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ncq9f6avueytL8HOAEIQO6Dd29g=="/>
    </ext>
  </extLst>
</workbook>
</file>

<file path=xl/sharedStrings.xml><?xml version="1.0" encoding="utf-8"?>
<sst xmlns="http://schemas.openxmlformats.org/spreadsheetml/2006/main" count="22137" uniqueCount="20897">
  <si>
    <t>text_review</t>
  </si>
  <si>
    <t>text_review_english</t>
  </si>
  <si>
    <t>score</t>
  </si>
  <si>
    <t>['bantuan', 'semoga', 'paket', 'internet', 'super', 'murah']</t>
  </si>
  <si>
    <t>['jaringan', 'internet', 'kacau', 'tolong', 'diperbaiki', 'jaringan', 'hadehh']</t>
  </si>
  <si>
    <t>['semoga', 'jaringanya', 'lemot', '']</t>
  </si>
  <si>
    <t>['', 'bintang', 'telkomsel', 'jaringan', 'aceh', 'kecewa', 'bangat']</t>
  </si>
  <si>
    <t>['apknya', 'berguma']</t>
  </si>
  <si>
    <t>['dipertahankan', 'ditingkatkan', 'pelayanan']</t>
  </si>
  <si>
    <t>['mahal', 'doank', 'sampah', 'jangkau', 'luas', 'mending', 'ilangin', 'telkomsel', 'indo', 'mati', 'kau', 'telkomsell']</t>
  </si>
  <si>
    <t>['babiii', 'kali', 'beli', 'paket', 'data', 'langsung', 'apk', 'kesini', 'apk', 'admin', 'tolong', 'baca', 'langsung', 'benerin', 'ngga', 'nurun', 'peringkat']</t>
  </si>
  <si>
    <t>['jaringan', 'eeee', 'jaringan', 'tolong', 'perbaikan', 'dibaca', 'membantu', 'ulasan', 'orang']</t>
  </si>
  <si>
    <t>['ksini', 'kacau', 'bln', 'kali', 'perpanjang', 'sinyal', 'suka', 'eror', 'mnding', 'kartu', 'telkomnya']</t>
  </si>
  <si>
    <t>['aplikasi', 'nipu', 'uda', 'dowlod', 'login', 'akun', 'uda', 'masukin', 'masi', 'ngk']</t>
  </si>
  <si>
    <t>['gangguan']</t>
  </si>
  <si>
    <t>['mahal', 'doang', 'jaringan', 'hancur']</t>
  </si>
  <si>
    <t>['beli', 'paket', 'pulsa', '']</t>
  </si>
  <si>
    <t>['telkomsel', 'menjengkelkan', 'beli', 'paket', 'senilai', 'masuk', 'nomor', 'mohon', 'diperhatikan', 'mengambil', 'keuntungan', 'taunya', 'uang', 'ludes', 'ribu', 'gara', 'telkomsel', 'jaringan', 'mohon', 'perbaikan', 'tanggung', 'terima', 'kasih']</t>
  </si>
  <si>
    <t>['wkwkwk', 'ulasan', 'hapus', 'telkomsel', 'area', 'pulo', 'gadung', 'ramawangun', 'sinyal', 'ancur', 'pengguna', 'setia', 'telkomsel', 'sinyal', 'ancur', 'kaya', 'bgini', 'mendingan', 'pindah', 'provider', 'sebelah', 'provider', 'sebelah', 'murah', 'sinyak', 'kenceng', '']</t>
  </si>
  <si>
    <t>['smoga', 'dpt', 'hadia', 'bagus']</t>
  </si>
  <si>
    <t>['jaringan', 'telkomsel', 'hilang', 'harga', 'paket', 'hitung', 'mahal', 'susah', 'sinyal', 'jaringan', 'hilang', 'udah', 'gini']</t>
  </si>
  <si>
    <t>['kualitas', 'jaringan', 'buruk', 'ditingkatkan', 'kualitas', 'jaringan', 'pelanggan', 'setia', 'telkomsel', 'pindah', 'provider', 'berlanjut', 'tolong', 'diperhatikan', 'terimakasih', '']</t>
  </si>
  <si>
    <t>['jaringan', 'busuk', 'sinyal', 'jelek', 'pokoknya', 'parah']</t>
  </si>
  <si>
    <t>['beli', 'paket', 'jaminan', 'jaringan', 'diharapkan', 'nasib', 'tinggal', 'pelosok', 'lemot', 'udah', 'berap', 'minggu', 'wellcome', 'indonesia']</t>
  </si>
  <si>
    <t>['puas', 'dngan', 'playananya']</t>
  </si>
  <si>
    <t>['penukaran', 'tsel', 'poin', 'program', 'penukaran', 'pemanis', 'tiadakan', 'pilihan', 'hadiahnya', 'ambil', '']</t>
  </si>
  <si>
    <t>['aplikasi', 'dapatkan', 'hadiah', 'check', 'promo', 'paket', 'murah', 'mantap', 'puas', 'telkomsel']</t>
  </si>
  <si>
    <t>['blank', 'mulu', 'buka', 'apk', 'apk', 'hpnya', 'apknya', 'tolong', 'susah', 'cek', 'kouta', 'gini', 'trs']</t>
  </si>
  <si>
    <t>['ngk', 'seru', 'ngk', 'event', 'diamond', '']</t>
  </si>
  <si>
    <t>['mayan', 'bagus', 'adlh', 'jual', 'kouta', 'mahal', 'anjrot', 'turunin', 'kek', 'harga', 'kuota', '']</t>
  </si>
  <si>
    <t>['download', 'aplikasi', 'telkomsel', 'bro', 'mudah', 'transaksi', '']</t>
  </si>
  <si>
    <t>['aplikasinya', 'buka', '']</t>
  </si>
  <si>
    <t>['paketan', 'mahal', 'maling', 'pulsa', 'hilang', 'sinyal', 'pucek']</t>
  </si>
  <si>
    <t>['ngasih', 'kpuasan', 'jaringan', 'mahalin', '']</t>
  </si>
  <si>
    <t>['kuota', 'nonton', 'ngurangin', 'kuota', 'utama', 'aneh', 'banget']</t>
  </si>
  <si>
    <t>['teruslah', 'berbagi', 'berkat', 'sukses', 'jaya', '']</t>
  </si>
  <si>
    <t>['telkomsel', 'sengaja', 'ambil', 'pulsa', 'fitur', 'mytelkomselnya', 'mencegah', 'pulsa', 'terkuras', 'paket', 'internet', 'habis']</t>
  </si>
  <si>
    <t>['telkomsel', 'semoga', 'berinovasi']</t>
  </si>
  <si>
    <t>['harga', 'paket', 'sakti', 'mahal', 'ekonomi', 'sulit', 'tolong', 'telkomsel', 'harga', 'paket', 'turunkan', 'terima', 'kasih']</t>
  </si>
  <si>
    <t>['jelek', 'sekalih']</t>
  </si>
  <si>
    <t>['signal', 'parah', 'rumah', 'pinggir', 'jalan', 'raya', 'provinsi', 'mtr', 'tower', 'telkomsel', 'udah', 'gitu', 'pulza', 'ambil', 'mulu', 'dpt', 'sms', 'terimakasih', 'mengembalikan', 'pulza', 'darurat', 'pulza', 'darurat', 'habis', 'kuota', 'udah', 'beli', 'tolong', 'perbaikilah', 'meresahkan', 'rating', 'telkomsel', 'buruk', '']</t>
  </si>
  <si>
    <t>['repot', '']</t>
  </si>
  <si>
    <t>['bagus', 'banget', 'apilasinya', 'gratis', 'beli', 'cuman', 'sedikt', 'cek', 'serbu', 'koata', 'hanis', 'oke', 'oke', '']</t>
  </si>
  <si>
    <t>['jaringan', 'signal', 'menghawatirkan', '']</t>
  </si>
  <si>
    <t>['sinyal', 'telkom', 'lancar']</t>
  </si>
  <si>
    <t>['telkomsel', 'internet', 'lambat', 'banget', 'hutan', 'kecepatan', 'internet', 'mencapai', 'mbps', 'kuota', 'internet', 'kepake']</t>
  </si>
  <si>
    <t>['', 'memuaskan', 'bintang']</t>
  </si>
  <si>
    <t>['memberitahu', 'pengalaman']</t>
  </si>
  <si>
    <t>['sinyal', 'susah', 'jambi']</t>
  </si>
  <si>
    <t>['knp', 'beli', 'kuota', 'main', 'game', 'ngelag', 'banget', 'jdi', 'semangat', 'nge', 'game', 'mohon', 'perbaiki']</t>
  </si>
  <si>
    <t>['sayang', 'support', 'ram']</t>
  </si>
  <si>
    <t>['sinyal', 'susah', 'msih', 'kota', '']</t>
  </si>
  <si>
    <t>['semoga', 'maju', 'sukses']</t>
  </si>
  <si>
    <t>['nikmati', 'telkomsel', '']</t>
  </si>
  <si>
    <t>['bayar', 'tagihan', 'dipersulit', 'nanya', 'bot', 'telegram', 'veronika', 'dibayarkan', 'tagihan', 'halo', 'matikan', 'kartunya', 'diaktifkan', 'aneh', 'capek']</t>
  </si>
  <si>
    <t>['pulsa', 'utama', 'kepotong', 'mulu', 'bantu', 'memecahkan', '']</t>
  </si>
  <si>
    <t>['mantul', 'aplikasinya', 'pulsa', 'harinya', 'data', '']</t>
  </si>
  <si>
    <t>['bodoh', 'mahal', 'doang', 'ajg', 'sinyal', 'jelek', 'gblk', 'tolol', 'orang', 'keses', 'sesuai', 'ama', 'harga', 'harga', 'mahal', 'sinyal', 'jelek', 'bgo', 'bgo', 'bgo', 'bgo', 'bgo', 'anjg']</t>
  </si>
  <si>
    <t>['udah', 'beli', 'paket', 'telp', 'pulsa', 'ludes', 'setan', 'emang']</t>
  </si>
  <si>
    <t>['sinyal', 'download', 'lemot', 'udah', 'kali', 'komplen', 'perubahan', 'cape', 'ganti', 'kartu']</t>
  </si>
  <si>
    <t>['aplikasi', 'berjalan', 'lancar', 'realme', 'terima', 'kasih', 'update', 'telkomsel']</t>
  </si>
  <si>
    <t>['jaringan', 'buruk', 'main', 'lag', 'mulu', 'mengunakan', 'telkomsel', '']</t>
  </si>
  <si>
    <t>['bintang', 'menggambarkan', 'kualitas', 'jaringan', 'kartu', 'perdana', '']</t>
  </si>
  <si>
    <t>['aplikasi', 'udah', 'jelek', 'karna', 'paket', 'games', 'naiknya', 'banget', 'wekk']</t>
  </si>
  <si>
    <t>['pulsa', 'rb', 'mendownload', 'app', 'telkomsel', 'bohong']</t>
  </si>
  <si>
    <t>['kasi', 'bintang', 'karna', 'menukar', 'poin', 'paket']</t>
  </si>
  <si>
    <t>['bagus', 'aplikasinya', 'semoga', 'sukses']</t>
  </si>
  <si>
    <t>['pulsa', 'abis', 'pepek']</t>
  </si>
  <si>
    <t>['mantap']</t>
  </si>
  <si>
    <t>['wajib', 'download', 'gessss']</t>
  </si>
  <si>
    <t>['bagus', 'mempermudah', 'terimakasih']</t>
  </si>
  <si>
    <t>['aplikasi', 'memudahkan', 'bertransaksi', 'pulsa', 'data', 'dll', '']</t>
  </si>
  <si>
    <t>['promo', 'program', 'menarik', 'ngak', 'bonus', 'waaaaw', '']</t>
  </si>
  <si>
    <t>['aplikasinya', 'bagus', 'banget', 'traksaksi', 'telkomsel', 'mudah', 'aplikasinya', 'rumit', 'banyaknya', 'promo', 'seneng', 'banget', 'sukses', '']</t>
  </si>
  <si>
    <t>['ngaco']</t>
  </si>
  <si>
    <t>['okk', 'mudah']</t>
  </si>
  <si>
    <t>['harga', 'paketnya', 'mahal', 'beranjak', 'paket', 'omg', 'dipaksa', 'berlangganan', 'paket', 'disney', 'aplikasi', 'disney', 'ayolah', 'hilangkan', 'paket', 'disney', 'harga', 'paket', 'kuota', 'murah', '']</t>
  </si>
  <si>
    <t>['', 'trs', 'tngkatkan']</t>
  </si>
  <si>
    <t>['kadang', 'error']</t>
  </si>
  <si>
    <t>['alhamdulillah', 'puas', 'pelayanannya']</t>
  </si>
  <si>
    <t>['login', 'susah', 'bagus']</t>
  </si>
  <si>
    <t>['main', 'game', '']</t>
  </si>
  <si>
    <t>['aplikasinya', 'keren', 'banget', 'suka']</t>
  </si>
  <si>
    <t>['gampang', 'beli', 'paket', 'dll']</t>
  </si>
  <si>
    <t>['pulsanya', 'mahal', 'jaringan', 'jelek', 'telkomsel', 'kayak', 'dibaikin', 'jaringan', 'bagus']</t>
  </si>
  <si>
    <t>['sungguh', 'telkomsel', 'terbaik', 'rakyat', 'miskin']</t>
  </si>
  <si>
    <t>['sulit', 'transaksi', 'gagal', 'kali', 'minggu']</t>
  </si>
  <si>
    <t>['sinyal', 'telkomsel', 'buruk', 'udah', 'paketan', 'mahal', 'paketan', 'mingguan', 'mending', 'sinyal', 'bagus', 'buruk', 'daily', 'check', 'dapet', 'bonus', 'parah', 'telkomsel', 'ganti', 'kartu', 'gini', 'ceritanya', 'mah']</t>
  </si>
  <si>
    <t>['kwalitas', 'jaringan', 'internet', 'kalah', 'kuning', 'lemot']</t>
  </si>
  <si>
    <t>['sinyal', 'jelek', 'update', 'mulu', '']</t>
  </si>
  <si>
    <t>['telkomsel', 'terdepan']</t>
  </si>
  <si>
    <t>['jaringan', 'lemott']</t>
  </si>
  <si>
    <t>['aplikasi', 'buka']</t>
  </si>
  <si>
    <t>['jaringan', 'mohon', 'ditingkatkan']</t>
  </si>
  <si>
    <t>['kartu', 'freak', 'main', 'game', 'keganggu', 'mulu', 'gini', 'bangkrut', 'kau']</t>
  </si>
  <si>
    <t>['coba', 'bagus', 'kasih', 'bintang', '']</t>
  </si>
  <si>
    <t>['layanannya', 'bagus', 'lumayan', 'eimple', 'ribet', 'mudah', 'banget']</t>
  </si>
  <si>
    <t>['jaringan', 'telkomsel', 'udah', 'minggu', 'nggak', 'lancar', 'kabupaten', 'agam', '']</t>
  </si>
  <si>
    <t>['habis', 'perbaharui', 'dibuka', 'terulang', '']</t>
  </si>
  <si>
    <t>['gimana', 'semakain', 'beli', 'paketan', 'mahal', 'harganya', 'mohon', 'penjelasannya']</t>
  </si>
  <si>
    <t>['bintang']</t>
  </si>
  <si>
    <t>['', 'berguna']</t>
  </si>
  <si>
    <t>['mohon', 'oftimalkan']</t>
  </si>
  <si>
    <t>['kali', 'dapet', 'undian', 'telkomsel', 'point', '']</t>
  </si>
  <si>
    <t>['cek', 'aplikasinya', 'kuota', 'tambahan', 'pas', 'claim', 'mulu', 'sistem', 'sibuk', 'giliran', 'beli', 'paketan', 'tulisan', 'sistem', 'sibuk', 'tipu', 'tipu', 'males', 'bohongin', '']</t>
  </si>
  <si>
    <t>['bagus', 'memudahkan', 'lengkap', 'simple', 'mempermudah', 'counter']</t>
  </si>
  <si>
    <t>['sinyal']</t>
  </si>
  <si>
    <t>['kuota', 'gratis']</t>
  </si>
  <si>
    <t>['update', 'bingung', 'beli', 'paket', 'telpon']</t>
  </si>
  <si>
    <t>['pengembalian', 'pulsa', 'rb', 'udh', 'isi', 'paket', 'rb', 'mb', 'mengakses', 'internet', 'mengakses', 'internet', 'paket', 'otomatis', 'pulsa', 'rb', 'ptong']</t>
  </si>
  <si>
    <t>['parah', 'kuota', 'youtube']</t>
  </si>
  <si>
    <t>['bug', 'update', 'terbaru', 'gimana', 'solusinya', 'mental', 'geser']</t>
  </si>
  <si>
    <t>['jaringan', 'jelek', '']</t>
  </si>
  <si>
    <t>['nggak', 'promo']</t>
  </si>
  <si>
    <t>['jaringan', 'ngentod', 'dimana']</t>
  </si>
  <si>
    <t>['senang', 'dengat', 'kuota', 'internet', 'murah']</t>
  </si>
  <si>
    <t>['sinyal', 'jelek', 'knp', 'pulsa', 'berkurang', 'paket', 'internet', 'msh', '']</t>
  </si>
  <si>
    <t>['jaringannya', 'babi']</t>
  </si>
  <si>
    <t>['', 'aplikasi', 'asuh', 'babi']</t>
  </si>
  <si>
    <t>['udah', 'harga', 'paket', 'mahal', 'kuotanya', 'dikit', 'jaringan', 'buruk', 'harganya', 'mahal', 'kualitasnya', 'sepadan', 'keuntungan', 'dipikirkan', 'kualitas', 'jaringan', 'perdulikan']</t>
  </si>
  <si>
    <t>['pelayanan', 'buruk', 'respon', 'memecahkan', 'engga', 'butuh', 'sambutan', 'pulsa', 'kepotong', 'otomatis', 'harinya', 'engga', 'ngerasa', 'berlangganan', '']</t>
  </si>
  <si>
    <t>['ngehapus', 'data', 'telkomsel', 'downlod', 'aplikasi', 'telkomsel', 'branda', 'ngak', 'ituuu', 'knpa', 'min', 'gmna', 'min', '']</t>
  </si>
  <si>
    <t>['mohon', 'diperbanyak', 'diskon', 'kuota', 'good', 'jobb', '']</t>
  </si>
  <si>
    <t>['jaringan', 'telkomsel', 'buruk', 'berharap', 'telkomsel', 'layanan', 'publik', 'percaya', 'masyarakat', 'perbaikan', 'salam', 'hormat', '']</t>
  </si>
  <si>
    <t>['kecewa', 'daily', 'check', 'ulang', 'check', 'ngulang', 'tolong', 'perbaiki', 'bug', 'telkomsel']</t>
  </si>
  <si>
    <t>['trimakasih', 'aplekasi', 'sya', 'cek', 'kota', 'telkomzel', 'luarbiasa']</t>
  </si>
  <si>
    <t>['telkomsel', 'gini', 'yaa', 'pulsa', 'kesedot', 'terusss', 'habis', 'claim', 'giga', 'pemberitahuan', 'pulsa', 'habis', 'pusing', 'telkomsel', 'kecewa', '']</t>
  </si>
  <si>
    <t>['apk', 'jelek', 'bangett', 'tpi', 'boong']</t>
  </si>
  <si>
    <t>['kasih', 'bintang', 'kartu', 'sim', 'mahal', 'paket', 'nelfon', 'bulanya', 'harap', 'telkomsel', 'kurangin', 'harga', 'paket', 'nelfonya', '']</t>
  </si>
  <si>
    <t>['suka', 'aplkasi']</t>
  </si>
  <si>
    <t>['solusi', 'data', 'habis', 'bgmn', 'beli', 'paket', 'aplikasi', '']</t>
  </si>
  <si>
    <t>['membantu', 'keakuratan', 'efisien', 'konsumen', '']</t>
  </si>
  <si>
    <t>['udah', 'update', 'mytelkomsel', 'blank', 'putih', 'jaringan', 'lemot', 'bener', 'kota', 'kacau', 'kesini', 'buruk', 'kualitas', '']</t>
  </si>
  <si>
    <t>['sinyalnya', 'rusaakkk', 'kuotanya', 'bermasalah', 'udah', 'beli', 'kuota', 'unlimited', 'pas', 'paket', 'utama', 'habis', 'anjg', 'emang', 'telkontod']</t>
  </si>
  <si>
    <t>['kuota', 'nonton', 'nggak']</t>
  </si>
  <si>
    <t>['mantaaaaaaaaap', 'pokoknya']</t>
  </si>
  <si>
    <t>['paket', 'udah', 'mahal', 'jaringan', 'rusak']</t>
  </si>
  <si>
    <t>['tetaplah', 'kebanggaan', 'negeri', '']</t>
  </si>
  <si>
    <t>['resah', 'karna', 'beli', 'pulsa', 'ribu', 'beli', 'paket', 'harga', 'ribu', 'knp', 'sisa', 'pulsa', 'mencukupi', 'total', 'nominal', 'pulsa', 'ribu', 'tolong', 'kendala']</t>
  </si>
  <si>
    <t>['signal', 'bagus', 'dijalan', 'tol']</t>
  </si>
  <si>
    <t>['aplikasi', 'beli', 'pusa', 'matikan', 'data', 'masuk', 'pulsa', 'daftar', 'paketan', 'pulsa', 'kepotong', 'menerus', 'kecewa', 'tolong', 'tingkatkan', 'aplikasi']</t>
  </si>
  <si>
    <t>['kecewa', 'aplikasi', 'bayar', 'tagihan', 'kartu', 'halo', 'link', 'masuknya', 'tagihan', 'aplikasi', 'telkomsel', 'bertambah', '']</t>
  </si>
  <si>
    <t>['apasih', 'habis', 'top', 'beli', 'paket', 'gabisa', 'aneh', 'top', 'beli', 'paket', 'gangguan', 'sistem', 'pulsa', 'hilang']</t>
  </si>
  <si>
    <t>['gue', 'main', 'game', 'sinyal', 'ngeleg', 'gue', 'kasih', 'bintang']</t>
  </si>
  <si>
    <t>['aplikasi', 'buka', 'mending', 'instal']</t>
  </si>
  <si>
    <t>['ganti', 'kartu', 'layani', 'rusak']</t>
  </si>
  <si>
    <t>['paket', 'data', 'mahal', '']</t>
  </si>
  <si>
    <t>['keren', 'ngak']</t>
  </si>
  <si>
    <t>['ganti', 'signal', 'susah', 'gimana', '']</t>
  </si>
  <si>
    <t>['bintang', 'paket', 'unlimited', 'harga']</t>
  </si>
  <si>
    <t>['tolong', 'benerin', 'jaringan', 'telkomsel']</t>
  </si>
  <si>
    <t>['ngisi', 'kouta', 'ribet', 'kuota', 'lokal', 'kuota', 'video', 'rempong', 'ngeselin', 'beda', 'kota', 'udah', 'ngk', 'dipake', 'mahal', '']</t>
  </si>
  <si>
    <t>['jaringan', 'telkomsel', 'sungguh', 'berkualitas', 'udh', 'biaya', 'paket', 'mahal', 'pelanggan', 'puas', '']</t>
  </si>
  <si>
    <t>['stop', 'sebarkan', 'iklan', 'iklan', 'promo', 'sinyak', 'andalkan', 'pikir', 'provider', 'legenda', 'layak', 'pakai', 'lacak', 'lokasi', 'liat', 'kondisi', 'layanan', 'sinyal', 'burik', '']</t>
  </si>
  <si>
    <t>['trimaksih', 'telkomsel', 'semoga', 'kedepananya', 'fitur', 'menarik', 'telkomsel', '']</t>
  </si>
  <si>
    <t>['kasih', 'kontrol', 'pulsa', 'pulsa', 'kepotong', 'penggunaan', 'kalah', 'provider', 'sebelah', 'pakai', 'kontrol', 'pulsa', '']</t>
  </si>
  <si>
    <t>['cepat', 'perbaiki', 'donk', 'iya', 'hapus', 'data', 'masuk', 'aplikasi', 'telkomsel', '']</t>
  </si>
  <si>
    <t>['jaringan', 'abal', '']</t>
  </si>
  <si>
    <t>['berguna', 'bermamfaat']</t>
  </si>
  <si>
    <t>['telkomsel', 'bagus']</t>
  </si>
  <si>
    <t>['pakai', 'telkomsel', 'wilayah', 'sukabumi', 'jaringannya', 'jelek', 'sinyalnya', 'lemot', 'dipakai', 'main', 'mobile', 'legend', 'ngelag', 'pakai', 'putar', 'video', 'lemot', 'nggak', 'jalan', 'jalan', 'rekomendasi', 'wilayah', 'sukabumi', 'pakai', 'indosat', 'bagus', 'telkomsel', 'jakarta', 'banten', 'bandar', 'lampung', 'oke', 'bagus', 'wilayah', 'sukabumi', 'jelek', 'banget', 'udah', 'paketnya', 'mahal', 'dipakai', 'rugi']</t>
  </si>
  <si>
    <t>['telkomsel', 'terhormat', 'cuman', 'butuh', 'kecepatan', 'jaringan', 'stabilan', 'jaringan']</t>
  </si>
  <si>
    <t>['jaringan', 'kadang', 'kadang', 'gimana', 'tolong', 'benerin']</t>
  </si>
  <si>
    <t>['jaringan', 'lemoot', 'paketan', 'uda', 'mahal', 'jaringannya', 'busukkk']</t>
  </si>
  <si>
    <t>['jaringn', 'moga', '']</t>
  </si>
  <si>
    <t>['babi', 'pulsa', 'potong']</t>
  </si>
  <si>
    <t>['mantap', 'mantap', 'jiwa']</t>
  </si>
  <si>
    <t>['sippp', 'perbanyak', 'promo', 'paket', 'internetnya', 'yaaa', '']</t>
  </si>
  <si>
    <t>['puas', 'beli', 'paketan']</t>
  </si>
  <si>
    <t>['tukar', 'telkomsel', 'poin', 'paket', 'internet', 'clickbait', 'meningkatkan', 'downloader', 'apk', 'iya', 'sungguh', 'mengecewakan']</t>
  </si>
  <si>
    <t>['jam', 'lemot', 'nauzubillah']</t>
  </si>
  <si>
    <t>['aplnya', 'bagus']</t>
  </si>
  <si>
    <t>['terugikan', 'karna', 'saldo', 'pulsa', 'sllu', 'terpotong', 'dng', 'telkomsel']</t>
  </si>
  <si>
    <t>['', 'transfer', 'pulsa']</t>
  </si>
  <si>
    <t>['paket', 'multimedia', 'chat', 'video', 'msh', 'dikurangi', 'paket', 'utama', 'sebelah', 'paket', 'mahal']</t>
  </si>
  <si>
    <t>['teratur', 'hallo']</t>
  </si>
  <si>
    <t>['aplikasix', 'bagus', 'klu', 'data', 'cek', '']</t>
  </si>
  <si>
    <t>['versi', 'buka']</t>
  </si>
  <si>
    <t>['blokk', 'nape', 'paketnya', 'mahal']</t>
  </si>
  <si>
    <t>['telkomsel', 'hebat', 'trimakasih', 'menemani']</t>
  </si>
  <si>
    <t>['semoga']</t>
  </si>
  <si>
    <t>['mati', 'lampu', 'jaringan', 'sinyal', 'buruk', 'telkomsel', 'terbaik', 'mudah', 'mudahan', 'telkomsel', 'data', 'internet', 'unlimited', 'termurah', 'terjangkau', 'masyarakat']</t>
  </si>
  <si>
    <t>['terima', 'kasih', 'udah', 'perbaiki', 'aplikasinya', 'klw', 'aplikasi', 'simpel', 'alhamdulillah', 'puas', 'aplikasi', '']</t>
  </si>
  <si>
    <t>['kecewa', 'telkomsel', 'bobrok', 'jaringannya']</t>
  </si>
  <si>
    <t>['jelek', 'sinyal']</t>
  </si>
  <si>
    <t>['', 'indonesia', 'telkomsel', 'forever', 'ilove', 'telkomsel', '']</t>
  </si>
  <si>
    <t>['goblog', 'paket', 'utama', 'login', 'game', 'main', 'jaringan', 'reconect', 'habis', 'pertandingan', 'selesai', 'reconect', 'gua', 'ngebug', 'pas', 'ganti', 'data', 'kartu', 'lancar', 'kali', 'telkom', 'parah', '']</t>
  </si>
  <si>
    <t>['jaringan', 'internet', 'malam', 'stabil']</t>
  </si>
  <si>
    <t>['telkomsel', 'jaringannya', 'stabil', 'bermain', 'game', 'kuota', 'internet', 'mohon', 'diperbaiki', 'kenyamanan', 'konsumen', '']</t>
  </si>
  <si>
    <t>['telkomsel', 'menyebalkan', 'yaa', 'isi', 'pulsa', 'dri', 'app', 'mytel', 'gbsa', 'isi', 'kuota', 'gbsa', 'haduuhhh', 'sungguh', 'buruk']</t>
  </si>
  <si>
    <t>['bagus', 'hemat', 'menyenangkan']</t>
  </si>
  <si>
    <t>['jaringan', 'mendingan', 'aplikasinya', 'dibuka', '']</t>
  </si>
  <si>
    <t>['aplikasi', 'dibuka', 'minggu']</t>
  </si>
  <si>
    <t>['maaf', 'kesini', 'telkomsel', 'ribet', 'tlng']</t>
  </si>
  <si>
    <t>['puas', 'layanan', 'telkomsel']</t>
  </si>
  <si>
    <t>['emang', 'operator', 'telek', 'beli', 'paket', 'abis', 'diawal', 'mlah', 'tgl', 'ngk', 'taik', 'telkomsel']</t>
  </si>
  <si>
    <t>['paketan', 'mahal', 'standar', 'sma', 'kualitas', 'sinyal', 'daerah', 'kadang', 'suka', 'gangguan', 'tolong', 'ditingkatkan', 'kualitas', 'sinyal', 'pengguna', 'puas', 'layanan', 'telkomsel']</t>
  </si>
  <si>
    <t>['gimana', 'beli', 'paket', 'data', 'nggk', 'masuk']</t>
  </si>
  <si>
    <t>['aplikasi', 'udah', 'bagus', 'keluhan', 'minus', 'banget', 'respon', 'lambat', 'banget', 'solusi', 'menu', 'bot', 'membantu']</t>
  </si>
  <si>
    <t>['semoga', 'berkah', 'amin']</t>
  </si>
  <si>
    <t>['jaringan', 'lemot', 'banget', 'aplnya', 'udah', 'berbulan', 'dibuka', 'operatornya', 'afk', 'layanan', 'disuruh', 'coba', 'bbrp', 'sampah', 'bener']</t>
  </si>
  <si>
    <t>['kecewa', 'pelanggan', 'setia', 'paket', 'internetnya', '']</t>
  </si>
  <si>
    <t>['bagus', 'bangat', 'aplikasinya', 'ketuk', 'langsung', 'terimakasih', 'telkomsel', '']</t>
  </si>
  <si>
    <t>['terima', 'kasih', 'mytelkomsell', 'membantu', 'menhecek', 'pulsa']</t>
  </si>
  <si>
    <t>['hai', 'telkomsel', 'knp', 'jaringan', 'telkomsel', 'lelet', 'pakai', 'kartu', 'jaringan', 'lelet', 'banget', 'knp', '']</t>
  </si>
  <si>
    <t>['kartu', 'membeli', 'kuota', 'terbatas', 'beli', 'unlimeted']</t>
  </si>
  <si>
    <t>['udh', 'mahal', 'sinyal', 'jelek', 'najis', 'gitu', 'kemaren', 'beli', 'kuota', 'gb', 'dipake', 'gb', 'besok', 'besok', 'langsung', 'habis', 'hadeh', 'gaje', 'bet', 'provider', 'gajelas']</t>
  </si>
  <si>
    <t>['bagus', 'dipercaya', '']</t>
  </si>
  <si>
    <t>['aplikasi', 'sulit', 'dibuka', 'hapus', 'riwayat']</t>
  </si>
  <si>
    <t>['aplikasi', 'mudah', 'membeli', 'paket', 'murah']</t>
  </si>
  <si>
    <t>['membatu', 'pembelian', 'pembayaran']</t>
  </si>
  <si>
    <t>['aplikasi', 'bagus', 'bonus', 'beli', 'pulsa', 'makasi', 'telkomsel', 'ngapain', 'liat', 'hahah', 'hahah']</t>
  </si>
  <si>
    <t>['what', 'wrong', 'with', 'you', 'gilaa', 'lemot', 'sinyalnya', 'harga', 'kuota', 'mahal', 'please', 'jelek', 'banget', '']</t>
  </si>
  <si>
    <t>['kedepan', 'lemot', 'gajelas', 'beli', 'paket', 'unlimtd', 'multimedia', 'lancar', 'game', 'lancar', 'lemot', 'males', 'beli', 'paket', 'unlimited', 'udha', 'lemot', 'harga', 'naek', 'harga', 'skrang', 'miris', 'miris']</t>
  </si>
  <si>
    <t>['improve']</t>
  </si>
  <si>
    <t>['udh', 'cek', 'claim', 'eror', 'telkomsel', 'rugi', 'recommended', 'kaya', 'gituv']</t>
  </si>
  <si>
    <t>['tolong', 'diperbaiki', 'kualitas', 'sinyal', 'dikota', 'sinyal', 'dipelosok']</t>
  </si>
  <si>
    <t>['assalammualaikum', 'telkomsel', 'cintai', 'banggakan', 'karna', 'produk', 'telkosel', 'gratis', 'nelpon', 'poin', 'tukar', 'tukar', 'bayar', 'roli', 'mohon', 'penjelasannya', 'tentan', 'poin', 'trimakasih', 'telkosel', '']</t>
  </si>
  <si>
    <t>['telkomsel', 'aplikasi', 'telkomsel', 'eror', 'udh', 'banget', 'tindak', 'untk', 'memperbaiki', 'hati', 'hati', 'costumer', 'kecewa', 'beralih', 'operator', 'pelayanan', 'memuaskan', '']</t>
  </si>
  <si>
    <t>['kurangin', 'lagu', 'harganya']</t>
  </si>
  <si>
    <t>['lumayan', 'kecewa', 'kesel', 'apk', 'ntah', 'developer', 'ngantuk', 'gmn', 'yak', 'udh', 'hubungin', 'blm', 'perbaiki', 'dmn', 'kali', 'login', 'apk', 'telkomsel', 'force', 'close', 'coba', 'uninstall', 'install', 'bgtu', 'bgtu', 'mulu', 'timbulnya', 'kek', 'ngabisin', 'kuota', 'gtu', 'plis', 'perbaiki', 'udah', 'kesel', 'gtu', 'kebuka', 'kebuka', 'apk']</t>
  </si>
  <si>
    <t>['mengecewakan', 'udah', 'daily', 'check', 'ngumpulin', 'stamp', 'ditukar', 'hadiah', 'error', 'kali', 'ngalami', 'kuota', 'data', 'ditukar', 'stamp', 'kecewa', '']</t>
  </si>
  <si>
    <t>['ganti', 'provider', 'telkom', 'paket', 'mahal', 'doang', 'jaringan', 'stabil', 'murahin', 'paket', 'jaringan', 'stabil', 'blok']</t>
  </si>
  <si>
    <t>['membantu', 'customer']</t>
  </si>
  <si>
    <t>['udah', 'rusak', 'jaringan', 'telkom', 'lombok', 'kayak', 'telkom', 'ancur', 'paketan', 'main', 'mahal', 'jaringan', 'lemot', 'kek', 'siput', '']</t>
  </si>
  <si>
    <t>['telkomsel', 'sarankan', 'mengundurkan', 'dunia', 'provider', 'jaringan', 'buruk', 'harga', 'doang', 'mahal', 'sesuai', 'harganya', 'kecewa', 'berat', 'pakai', 'provider', 'telkomsel']</t>
  </si>
  <si>
    <t>['semoga', 'promo', 'murah', 'meriah']</t>
  </si>
  <si>
    <t>['jaringan', 'internet', 'telkom', 'wilayah', 'cisewu', 'garut', 'jam', 'sampe', 'jam', 'suka', 'down', 'sampe', 'speed', 'kayak', 'keong', 'sengaja']</t>
  </si>
  <si>
    <t>['halo', 'telkomsel', 'hobi', 'mengecewakan', 'pelangan', 'beli', 'paket', 'mahal', 'kesini', 'buruk', 'jaringannya', 'mahal', 'bagus']</t>
  </si>
  <si>
    <t>['nomer', 'pilihan', 'paket', 'beda', 'nomer', 'telkomsel', 'mahal', 'ribu', 'dapet', 'gb', 'rekan', 'beli', 'ribu', 'dpt', 'gb', 'gb', 'tolong', 'samakan', 'pakai', '']</t>
  </si>
  <si>
    <t>['versi', 'aplikasi', 'telkomsel', 'buka', 'layar', 'putih', 'update', 'versi', 'normal', 'buka', 'langsung', 'bintang', 'kayak', 'aturan', 'menu', 'telkomsel', 'kuota', 'kemarin', 'kuota', 'hilang', 'menu', '']</t>
  </si>
  <si>
    <t>['mantul', 'murah', 'murah']</t>
  </si>
  <si>
    <t>['aplimasi', 'udah', 'minggu', 'beli', 'paket', 'tuker', 'poin', 'bisaa']</t>
  </si>
  <si>
    <t>['bagus', 'signalnya']</t>
  </si>
  <si>
    <t>['aplikasinya', 'kadang', 'lemot', 'kasih', 'bintang', 'udah', 'fitur', 'kunci', 'pulsa', 'kayak', 'aplikasi', 'sebelah']</t>
  </si>
  <si>
    <t>['paket', 'kuota', 'combo', 'sakti', 'gb', '']</t>
  </si>
  <si>
    <t>['ditingkatkan', 'lag']</t>
  </si>
  <si>
    <t>['ambil', 'paket', 'susah', 'jaringan', 'bermasalah', 'pulsa']</t>
  </si>
  <si>
    <t>['perdana', 'telkomsel']</t>
  </si>
  <si>
    <t>['data', 'internet', 'mahal', 'jaringan', 'muas']</t>
  </si>
  <si>
    <t>['mengecewakan', 'pilihan', 'paket', 'terbatas', 'kuota', 'internet', 'dibagi', 'orang', 'butuh', 'kuota', 'kuota', 'khusus', 'aplikasi', 'performa', 'kualitas', 'telkomsel', 'menurun', 'disayangkan', '']</t>
  </si>
  <si>
    <t>['berbasis', 'bagus', 'pungsi', 'kebutuhan']</t>
  </si>
  <si>
    <t>['telkomsel', 'lemot', 'banget', 'beli', 'paket', 'nggak', 'kepake', 'gara', 'gara', 'jaringannya', 'lemot', '']</t>
  </si>
  <si>
    <t>['hadiah']</t>
  </si>
  <si>
    <t>['paket', 'aplikasi', 'mahal', 'jaringan', 'stabil', 'mahal', 'aktif', 'bos', 'paket', 'habis', 'pas', 'isi', 'ulang', 'hilangkan', 'paket', 'hooq', 'tiada', 'nambah', 'hilang', 'hilang', 'saran', 'perpanjang', 'aktif', 'paket', 'turunih', 'harga', 'paket', 'karna', 'indonesia', 'orang', 'kaya', 'bos', 'jaman', 'susah', 'nambah', 'nyusahin', 'orang']</t>
  </si>
  <si>
    <t>['paket', 'mahal', '']</t>
  </si>
  <si>
    <t>['terima', 'kasih', 'telkomsel', 'promo', 'paket', 'internat', 'murah']</t>
  </si>
  <si>
    <t>['bagus', 'pulsa', 'diskon']</t>
  </si>
  <si>
    <t>['telkomsel', 'terhormat', 'jaringan', 'internet', 'jelek', 'paket', 'data', 'jual', 'mahal', 'sadar', 'mencari', 'uang', 'zaman', 'susah', 'tolong', 'perbaiki', 'jaringan', 'internet', 'permurah', 'paket', 'internet', 'bandingkan', 'operator', 'telkomsel', 'kekurangan', 'semoga', 'telkomsel', '']</t>
  </si>
  <si>
    <t>['mahal', 'kecewa', 'kualitas', 'jaringan', 'merasakan', 'kekecewaan', 'harga', 'kwalitas', 'turun', 'parah', 'main', 'game', 'ngelag', 'nonton', 'tiktok', 'patah', 'kecewa']</t>
  </si>
  <si>
    <t>['semoga', 'jaya', 'telkomsel', 'kasih', 'diskon', 'pelanggan', 'setia']</t>
  </si>
  <si>
    <t>['alhamdullilah', 'aplikasi', 'buka', 'terima', 'kasih', 'telkomsel', '']</t>
  </si>
  <si>
    <t>['mencoba', 'transaksi', 'pembelian', 'pulsa']</t>
  </si>
  <si>
    <t>['kocak', 'beli', 'paket', 'pulsa', 'udah', 'sesuai', 'harga', 'ehh', 'pas', 'beli', 'katanta', 'pulsa']</t>
  </si>
  <si>
    <t>['notifikasi', 'pop', 'mengganggu', 'bermain', 'game']</t>
  </si>
  <si>
    <t>['apk', 'bagus', 'banget', '']</t>
  </si>
  <si>
    <t>['slalu', 'terbaik', 'maksimalkan', 'lgii']</t>
  </si>
  <si>
    <t>['membantyu', '']</t>
  </si>
  <si>
    <t>['bagus', 'aplikasinya', 'sngat', 'membantu', '']</t>
  </si>
  <si>
    <t>['tolong', 'upgrade', 'kartu']</t>
  </si>
  <si>
    <t>['ribet', 'mytelkomsel']</t>
  </si>
  <si>
    <t>['mantap', 'telkomsel', 'tandingannya']</t>
  </si>
  <si>
    <t>['kesana', 'mahal', '']</t>
  </si>
  <si>
    <t>['pulsa', 'gratis', 'telkomsel', 'terimak', 'kasih', '']</t>
  </si>
  <si>
    <t>['', 'telkomsel', 'gampang', 'beli', 'paket']</t>
  </si>
  <si>
    <t>['telkomnyet', 'ajg', 'user', 'telkomsel', 'extra', 'unlimited', 'dishop', 'emang', 'ajg', 'telkomsel']</t>
  </si>
  <si>
    <t>['jaringan', 'lag']</t>
  </si>
  <si>
    <t>['sarankan', 'buatlah', 'paket', 'internet', 'jam', 'akses', 'internet', 'bayarnya', 'ribu', 'jam', 'gitu']</t>
  </si>
  <si>
    <t>['', 'daerah', 'pegunungan', 'perjelas']</t>
  </si>
  <si>
    <t>['mantap', 'smga', 'kedepan', 'bgus', 'memuaskan', 'pelanggan']</t>
  </si>
  <si>
    <t>['ganti', 'telkomsel', 'kuota', 'cepat', 'terkuras', 'ngga', 'mantap', 'telkomsel', 'apresiasi', 'strategi', 'pemasarannya', 'maaf', 'mundur', 'telkomsel', 'pindah', 'karna', 'murah', 'ngga', 'murahan', '']</t>
  </si>
  <si>
    <t>['suka', 'aplikasinya']</t>
  </si>
  <si>
    <t>['telkomsel', 'promo', 'promo', 'murah', 'contoh', 'combo', 'sakti', 'murah', 'nomor', 'pengguna', 'kartu', 'paket', 'mahal', 'contohnya', 'paket', 'combo', 'sakti', 'pilihan', 'termurah', 'harga', 'kartu', 'murah', 'pilihan', 'paket', 'dibawah', 'harga', 'segitu', 'tolong', 'domg', 'kebijakan', 'telkomsel', 'paket', 'luamayan', 'murah', 'pengguna', 'sinyal', 'bagus', 'bagus', '']</t>
  </si>
  <si>
    <t>['memuaskan', 'kemudahan', 'pemakaian', 'aplikasi']</t>
  </si>
  <si>
    <t>['mahal', 'masak', 'seratus', 'poin', '']</t>
  </si>
  <si>
    <t>['semangkin', 'parah', 'jaringan', 'telkomsel', 'sumpah', 'parah', 'semangkin', 'pelanggan', 'semangkin', 'bagus', 'jaringan', 'semangkin', 'parah', 'karu', 'udh', 'kartu', 'telkomsel', 'jaringan', 'bagus', 'astaga', 'laen', 'ganti', 'kartu', 'gara', 'jaringan', 'kunjung', 'membaik', 'trimakasih']</t>
  </si>
  <si>
    <t>['tebuka', 'berandanya', 'woey']</t>
  </si>
  <si>
    <t>['aplikasi', 'hebat']</t>
  </si>
  <si>
    <t>['menyenangkan', 'membnu', 'aplikasi', 'kesempatan', 'menukarkan', 'poin', 'hadiah', 'mytelkomsel', 'semoga', 'terpilih', 'pemenang', 'undian', 'hehehe', '']</t>
  </si>
  <si>
    <t>['cba', 'poin', 'ditukar', 'pulsa', 'paket', 'data', 'emng', 'pengguna', 'telkomsel', 'belanja', 'mall', 'smua', 'pesen', 'mkn', 'delivery', 'smua', 'gtu', '']</t>
  </si>
  <si>
    <t>['min', 'sya', 'gabisa', 'beli', 'kuota', 'ulimitied', 'pdahal', 'pulsa', 'udh', 'dibeli', 'pesan', 'sistem', 'sibuk', 'pdahal', 'jringan', 'aman', 'ngerugiin', 'bnget', '']</t>
  </si>
  <si>
    <t>['semoga', 'sinyal', 'bagus']</t>
  </si>
  <si>
    <t>['poin', 'ditukar', 'poin', 'menukar', 'reedem']</t>
  </si>
  <si>
    <t>['sip', 'pokoknya']</t>
  </si>
  <si>
    <t>['', 'membantu']</t>
  </si>
  <si>
    <t>['membantu', 'the', 'best', 'pokonya']</t>
  </si>
  <si>
    <t>['tampilan', 'mendaftr', 'paket', 'maaf', 'produk', 'paket', 'daftar', 'jwbn', 'server', 'tawari', 'jawabanya', 'buruk', 'jaringan', 'ditempat', 'semoga', 'kedepan', 'pky', 'kal', 'teng', '']</t>
  </si>
  <si>
    <t>['nice', 'keren', 'sangatbgus', '']</t>
  </si>
  <si>
    <t>['telkomsel', 'gimana', 'kuota', 'utama', 'paket', 'youtube', 'nonton', 'youtube', 'kepotong', 'kuota', 'utama', 'kuota', 'youtube', 'tolong', 'perbaiki', 'sistemnya']</t>
  </si>
  <si>
    <t>['mantab', 'anak', 'perusahaan', 'plat', 'merah', 'harganya', 'menengah', 'harga', 'merakyat', 'beli', 'rakyat', 'indonesia', '']</t>
  </si>
  <si>
    <t>['buka', 'aplikasi', 'terlkomsel', 'download', 'buka', 'nga', 'hapus', 'download', 'nga', 'merugikan']</t>
  </si>
  <si>
    <t>['alhamdulillah', 'app', 'telkomsel', 'membantu', 'beli', 'paket', 'internet', 'rumah', 'trimakasih', 'may', 'telkomsel', 'smoga', 'jaya', 'slalu', 'tamtah', 'sukses', 'amin', '']</t>
  </si>
  <si>
    <t>['penukaran', 'point', 'game', 'jdi', 'bagus']</t>
  </si>
  <si>
    <t>['bagus', 'memudahkan', 'beli', 'paket', 'counter']</t>
  </si>
  <si>
    <t>['sinyal', 'telkomsel', 'siang', 'udah', 'sinyal', 'mulu', 'susah', 'keperluan', 'tolong', 'benahi']</t>
  </si>
  <si>
    <t>['bagus', 'banget', 'promonya', 'lumayan', 'semoga', 'sukses', 'telkomsel']</t>
  </si>
  <si>
    <t>['udah', 'aktifin', 'paket', 'data', 'sisa', 'pulsanya', 'tetep', 'hangus', 'udah', 'xnya', 'jaringannya', 'jelek', 'mohon', 'perbaiki', 'atuh', 'jaringan', 'diambil', 'sisa', 'pulsa', '']</t>
  </si>
  <si>
    <t>['mksh', 'gua', 'dapet', 'kuota', 'maytelkomsel', 'sayang', 'beli', 'pulsa', 'suka', 'potong', 'maytelkomsel', 'gimana', '']</t>
  </si>
  <si>
    <t>['banyakkan', 'promonya']</t>
  </si>
  <si>
    <t>['buka', 'app', 'tsel']</t>
  </si>
  <si>
    <t>['', 'signal', 'buruk', 'harga', 'mahal']</t>
  </si>
  <si>
    <t>['memudahkan', 'pembelian', 'paket', 'pulsa', 'promosi', 'bagus']</t>
  </si>
  <si>
    <t>['jawa', 'indonesia', 'memiliki', 'nama', 'agama', 'islam', 'negeri', 'indonesia', 'marty', 'muliana', 'anak', 'omong', 'indonesia', 'indonesia', 'marty', 'friedman', 'komentar', 'rumah', 'iiiii', 'komentar', 'sayang', 'deh', 'cinta', 'dimana', 'udah', 'deh', 'cinta', 'devi', 'liu', 'nama', 'bayi', 'islami', 'laki', 'laki', 'dikenal', 'publik', 'add', 'ribuan', 'toko', 'menjual', 'main']</t>
  </si>
  <si>
    <t>['pdhl', 'telkom', 'dpt', 'promo', 'dpt', 'sinyal', 'susah', '']</t>
  </si>
  <si>
    <t>['bagus', 'membantu', 'pengguna']</t>
  </si>
  <si>
    <t>['sayangnya', 'kuota', 'gratis']</t>
  </si>
  <si>
    <t>['telkomsel', 'mati', 'listrik', 'jaringannya', 'terganggu', 'kesal', 'main', 'game', 'mati', 'listrik', 'wifi', 'mati', 'kuota', 'pakai', 'diatasi', '']</t>
  </si>
  <si>
    <t>['aplikasinya', 'berat', 'banget', 'eror', 'blank', 'putih', 'hapus', 'data', 'login', 'ulang']</t>
  </si>
  <si>
    <t>['senang', 'aplikasi']</t>
  </si>
  <si>
    <t>['hormat', 'kru', 'pengguna', 'telkomsel', 'dukung', 'telkomsel', 'terbaik', 'memohon', 'harga', 'produk', 'telkomsel', 'diturunkan', 'karna', 'suka', 'suka', 'berpaling', 'harga', 'produk', 'sel', 'terimakasih', '']</t>
  </si>
  <si>
    <t>['update', 'notifikasi', 'paket', 'unlimitit', 'tpi', 'pas', 'cek', 'ngk', 'paket', 'unlimitit', 'update', 'perubahanya', 'ngk', 'kleliatan', 'mohon', 'penjelasanya', 'admin', 'telkomsel', 'terhormat', 'paket', 'unlimitit', 'ngk', 'notifikasi', 'masuk', 'pas', 'cek', 'ngk']</t>
  </si>
  <si>
    <t>['mahal']</t>
  </si>
  <si>
    <t>['terbaik']</t>
  </si>
  <si>
    <t>['pas', 'banget', 'paketan', 'super', 'kayak', 'gni', '']</t>
  </si>
  <si>
    <t>['telkomsel', 'mohon', 'diperbaiki', 'jaringan', 'desa', 'lancar']</t>
  </si>
  <si>
    <t>['tolong', 'diperbaiki', 'sinyal', 'jelek', 'bagus', 'jelek', 'mohon', 'cepat', 'diperbaiki']</t>
  </si>
  <si>
    <t>['memperm', 'udah', 'pelayanan', 'informasi', 'telkomsel', 'promo', 'pembelian', 'produk']</t>
  </si>
  <si>
    <t>['aplikasi', 'menyenangkan']</t>
  </si>
  <si>
    <t>['hrga', 'mahal', 'tpi', 'bnyak', 'syarat', 'rugi']</t>
  </si>
  <si>
    <t>['kecewa', 'telkomsel', 'udah', 'jaringan', 'stabil', 'tolong', 'perbaiki', 'jaringan', 'kuat', 'pelosok', 'negeri']</t>
  </si>
  <si>
    <t>['giliran', 'tukar', 'poin', 'slalu', 'sistem', 'sibuk']</t>
  </si>
  <si>
    <t>['mempermudah', 'membeli', 'paket', 'and', 'pulsa', 'aplikasi', 'telkomsel', '']</t>
  </si>
  <si>
    <t>['telkomsel', 'dihati', 'terdepan', 'signal', 'pelayanannya', 'call', 'centre', 'grapari', 'pelayanan', 'semoga', 'jaya', 'kwalitas', 'sesuai', 'tarifnya', 'semoga', 'kedepan', 'tarifnya', 'sejajar', 'operator', 'terima', 'kasih']</t>
  </si>
  <si>
    <t>['simple', 'nembantu']</t>
  </si>
  <si>
    <t>['bagus', 'mudah', 'dipakai']</t>
  </si>
  <si>
    <t>['jelek', 'banget', 'kouta', 'youtube', 'kouta', 'utamanya', 'gb', 'bintang', '']</t>
  </si>
  <si>
    <t>['anjinggggggg', 'sinyal', 'jelek', 'mahal', 'beli', 'paket', '']</t>
  </si>
  <si>
    <t>['mudah', 'bertanssaksi', 'pulsa']</t>
  </si>
  <si>
    <t>['telkomsel', 'mengerti']</t>
  </si>
  <si>
    <t>['nyaman', 'konsep', 'poin', 'mendapakan', 'poin', 'beli', 'pulsa', 'nominal', 'ditukar', 'internet', 'biaya', 'biaya', 'mahal', 'harga', 'normal', 'kuota', '']</t>
  </si>
  <si>
    <t>['ribet', 'bli', 'pulsa', 'bayar', 'bca', 'gada', 'males']</t>
  </si>
  <si>
    <t>['ojo', 'larang', 'paket', 'internet']</t>
  </si>
  <si>
    <t>['jaringan', 'lelet', 'harga', 'paket', 'mahal', 'sesuai', 'harga', 'kualitas', 'parah', '']</t>
  </si>
  <si>
    <t>['kali', 'masuk', 'berisik', 'suara', 'teng', 'tong', 'matiin', 'silent', 'suara', 'gimana', 'developer', 'norak', 'kasih', 'suara', 'gitu']</t>
  </si>
  <si>
    <t>['membantu', 'skx', 'pembelian', 'paket', 'plsa', 'mantaap', '']</t>
  </si>
  <si>
    <t>['kadang', 'buka', 'kadang', 'eror', 'kadang', 'pulsa', 'tiris', 'membuka', 'kuota', 'full', 'ferifikasi', 'mohon', 'tingkatkan', 'kuotanya', 'murah', 'bgtu']</t>
  </si>
  <si>
    <t>['susah', 'buka', 'berhari', 'hasil', 'udah', 'chat', 'mimin', 'veeonika', 'hasih', 'mengisi', 'keluha', 'tanggal', 'kejadian', 'dll', 'berubah', 'haduhhhhh', 'gimana', 'solusi', 'tok', 'cer', '']</t>
  </si>
  <si>
    <t>['apk', 'telkomsel', 'blank', 'buka', 'tampilan', 'warna', 'putih', 'bkn', 'telkomsel', 'bukti', 'ulasan', 'bernama', 'ragiel', 'permasalahan', 'tolong', 'perbaiki']</t>
  </si>
  <si>
    <t>['sinyalnya', 'gajelas', 'bangettt', 'bar', 'full', 'konek', '']</t>
  </si>
  <si>
    <t>['ulasannya', 'dihapus', 'pulsa', 'kepotong', 'kuota', 'gitu', 'namanya', 'mencuri', 'laporin', 'polisi']</t>
  </si>
  <si>
    <t>['tolong', 'tambahkan', 'fitur', 'transfer', 'kuota', 'fitur', 'pengunci', 'pulsa', '']</t>
  </si>
  <si>
    <t>['notif', 'sms', '']</t>
  </si>
  <si>
    <t>['mantap', 'terparcaya']</t>
  </si>
  <si>
    <t>['kadek', 'budi', 'adnyana']</t>
  </si>
  <si>
    <t>['unduhlah', 'mytelkomsel', 'rasakan', 'manfaat']</t>
  </si>
  <si>
    <t>['bagus', 'banget', 'membantu', '']</t>
  </si>
  <si>
    <t>['halo', 'telkomsel', 'maaf', 'cuman', 'ngasih', 'bintang', 'karna', 'isi', 'pulsa', 'udah', 'banget', 'kepotong', 'nukar', 'pulsa', 'paket', 'internet', 'keburu', 'dipotong', 'pulsanya', 'kemana', 'pulsanya', 'hilang']</t>
  </si>
  <si>
    <t>['mantab', 'aplikasi', '']</t>
  </si>
  <si>
    <t>['mantap', 'membantu']</t>
  </si>
  <si>
    <t>['info', 'tersedia', 'banyakin', 'promo', 'hemat', 'internet', '']</t>
  </si>
  <si>
    <t>['penipuan', 'tukar', 'poin', 'voucher', 'hotel', 'murah', 'pas', 'dipakai', 'voucher', 'invalid']</t>
  </si>
  <si>
    <t>['suka', 'apk']</t>
  </si>
  <si>
    <t>['', 'telkomsel', 'mantaps']</t>
  </si>
  <si>
    <t>['membantu', 'mempermudah', 'pencarian', 'paket', 'murah', 'sesuai', 'budget', 'top']</t>
  </si>
  <si>
    <t>['jaringan', 'telkomsel', 'bagus', 'kecewa', 'sinyal', 'full', 'tpi', 'koneksi', 'loading', 'kecewa', 'beralih']</t>
  </si>
  <si>
    <t>['buka', '']</t>
  </si>
  <si>
    <t>['kemarin', 'poin', 'nukerin', 'saldo', 'bonus', 'link', 'poin', 'nukerin', 'saldo', 'bonus', 'link', '']</t>
  </si>
  <si>
    <t>['membantu', 'terima', 'kasih', '']</t>
  </si>
  <si>
    <t>['tolong', 'kemarin', 'kartu', 'telkomsel', 'gabisa', 'registrasi', 'permintaan', 'proses', 'tunggu', 'seharian', 'blum']</t>
  </si>
  <si>
    <t>['buka', 'aplikasinya', 'loading', 'lamaaa', 'banget']</t>
  </si>
  <si>
    <t>['skr', 'buka', 'layar', 'putih', 'karna', 'pengguna', 'setia', 'prabayar', 'beralih', 'paska', 'bayar', 'kartu', 'hallo', 'tawarin', 'berfungsi', 'tutup', 'aplikasi', 'mohon', 'penjelasan', 'perbaikan', '']</t>
  </si>
  <si>
    <t>['aplikasi', 'bagusss']</t>
  </si>
  <si>
    <t>['telkomsel', 'terbaik']</t>
  </si>
  <si>
    <t>['harga', 'paket', 'internet', 'menyiksa', 'ekonomi', 'keluarga']</t>
  </si>
  <si>
    <t>['buruk', 'buruk', 'buruk', 'semoga', 'cepat', 'berangalt', 'haji', 'menindang', 'bangsa', 'paket', 'limit', 'emang', 'makn', 'paket', 'tolong', 'perbaiki', 'lelet']</t>
  </si>
  <si>
    <t>['gampang', 'transaksi', 'beli', 'paket', 'internetan']</t>
  </si>
  <si>
    <t>['haloooo', 'telkomsel', 'jaringan', 'terluas', 'tinggal', 'kota', 'jaringan', 'kayak', 'tinggal', 'hutan', '']</t>
  </si>
  <si>
    <t>['memudahkan', 'bagus']</t>
  </si>
  <si>
    <t>['kasih', 'bintang', 'perbaiki', 'buka']</t>
  </si>
  <si>
    <t>['bagus', 'sinyal', 'kuat', 'dimana']</t>
  </si>
  <si>
    <t>['maksih', 'telkomsel', 'semoga', 'paket', 'murah']</t>
  </si>
  <si>
    <t>['ribet', 'brow', 'aplikasinya']</t>
  </si>
  <si>
    <t>['waduhh', 'minn', 'kouta', 'gb', 'knya', 'ilang', 'padal', 'isi', 'pulsa', 'hadhh', 'balikin', 'kak', 'kasih', 'bintang', '']</t>
  </si>
  <si>
    <t>['aplikasinya', 'bermanfaat']</t>
  </si>
  <si>
    <t>['kualitas', 'sempurna']</t>
  </si>
  <si>
    <t>['aplikasi', 'bagus', 'undian', 'berhadiah', 'rekomended', 'thanks', 'mytelkomsel']</t>
  </si>
  <si>
    <t>['membantu', 'pengecekan']</t>
  </si>
  <si>
    <t>['daerah', 'kecamatan', 'jawilan', 'banten', 'sinyal', 'mohon', 'ditingkatkan', 'kualitasnya', 'berjarak', 'jam', 'jakarta', 'sinyal', 'jelek', '']</t>
  </si>
  <si>
    <t>['layanan', 'lancar']</t>
  </si>
  <si>
    <t>['perbaiki', 'sinyalnya', 'min', 'harga', 'mahal', 'sinyal', 'kek', 'diurusin', 'gini', 'mah', 'orang', 'orang', 'pindah', 'operator', 'perbaikilah', 'min', 'harga', 'mahal', '']</t>
  </si>
  <si>
    <t>['yay', 'udah', 'buka', 'aplikasinya', 'terimakasih']</t>
  </si>
  <si>
    <t>['sinyal', 'tingkatkan']</t>
  </si>
  <si>
    <t>['check', 'full', 'aplikasinya', 'mendadak', 'error', 'diakses', 'giliran', 'reedem', 'point', 'puluhan', 'kali', 'gagal', 'hubungi', 'csnya', 'ujung', 'point', 'hangus', 'licik', 'pola', 'bisnisnya']</t>
  </si>
  <si>
    <t>['paket', 'internet', 'ditawarkan', 'emang', 'udah', 'bagus', 'banget', '']</t>
  </si>
  <si>
    <t>['sya', 'menon', 'aktifkan', 'paket', 'sya', '']</t>
  </si>
  <si>
    <t>['kecewa', 'bet', 'gua', 'telkom', 'pulsa', 'ilang', 'data', 'mati', 'pdhl', 'udah', 'pakwt', 'mahal', 'habis', 'beli', 'pulsa', 'sedot', 'oprato', 'anak', 'dajjal']</t>
  </si>
  <si>
    <t>['halo', 'telkomsel', 'pengguna', 'setia', 'telkomsel', 'tpi', 'karna', 'keberlakuan', 'telkomsel', 'yng', 'beda', 'dlu', 'pindah', 'kekartu', 'tolong', 'telkomsel', 'diperbaiki', 'jaringan', 'bigitu', 'lemah', 'daerah', 'cikupa', 'balaraja', 'tanggrang', 'kouta', 'akses', 'dll', 'kecuali', 'google', 'jngan', 'yng', 'disedot', 'kouta', 'utama', 'kouta', 'multimedia', 'udah', 'habis', 'kouta', 'utama', 'susah', 'yng', 'mengakses', 'internet']</t>
  </si>
  <si>
    <t>['sukses', 'tuk', 'telkomsel']</t>
  </si>
  <si>
    <t>['pindah', 'nomer', 'kaga', 'udah', 'link', 'perifikasi']</t>
  </si>
  <si>
    <t>['hai', 'telkomsel', 'harga', 'kuota', 'mahal', 'jaringan', 'lemot', 'konsumen', 'kecewa']</t>
  </si>
  <si>
    <t>['mahal', 'padhal', 'pelanggan']</t>
  </si>
  <si>
    <t>['desember', 'aplikasi', 'dibuka', '']</t>
  </si>
  <si>
    <t>['terima', 'kasih', 'pelayanan', 'telkomsel', 'memudahkan', 'urusan']</t>
  </si>
  <si>
    <t>['membantu', 'pengguna', 'telkomsel']</t>
  </si>
  <si>
    <t>['kasih', 'bintang', 'kemudahan', 'penggunaan', 'aplikasi', 'harga', 'paket', 'terjangkau', 'mohom', 'maaf', 'saran', 'telkomsel', 'mengadakan', 'paket', 'unlimited', 'imternet', 'full', 'berbatas', 'fup', 'nilai', 'pengguna', 'paket', 'internet', 'jngn', 'terimakasih']</t>
  </si>
  <si>
    <t>['update', 'melulu', 'giliran', 'masuk', 'aplikasi', 'gembel', 'banget', 'susah', 'payah', 'telkomsel', 'recommeded', 'banget']</t>
  </si>
  <si>
    <t>['lumayan', 'kasi', 'bintang']</t>
  </si>
  <si>
    <t>['coba', 'bossku']</t>
  </si>
  <si>
    <t>['paket', 'hilang', 'berlaku', 'paket', 'kek', 'paket', 'ilang', 'tolong', 'perbaiki']</t>
  </si>
  <si>
    <t>['gopay', 'cashback', 'kaga', 'konsisten', 'udah', 'mah', 'sinyal', 'bapuk']</t>
  </si>
  <si>
    <t>['berararti', '']</t>
  </si>
  <si>
    <t>['bintang', 'buktikan']</t>
  </si>
  <si>
    <t>['simple', 'ribet']</t>
  </si>
  <si>
    <t>['emang', 'telkom']</t>
  </si>
  <si>
    <t>['aplikasi', 'sngat', 'membantu', 'banget', 'murah']</t>
  </si>
  <si>
    <t>['aplikasinya', 'download', '']</t>
  </si>
  <si>
    <t>['promonya', 'paketannya', 'menarik']</t>
  </si>
  <si>
    <t>['bagus', 'paket', 'terbaru']</t>
  </si>
  <si>
    <t>['telkomsel', 'internet', 'cepat', 'hemat']</t>
  </si>
  <si>
    <t>['sesalu', 'lancar', 'sinyal', 'suka', 'telkomseldan', 'telkomsel']</t>
  </si>
  <si>
    <t>['aplikasinya', 'bagus', 'menyukainya']</t>
  </si>
  <si>
    <t>['jaringan', 'kartu', 'buruk', 'tolong', 'diperbaiki', 'jaringannya', '']</t>
  </si>
  <si>
    <t>['bagus', 'aplikasinya', '']</t>
  </si>
  <si>
    <t>['membantu', 'jaya', 'telkomsel']</t>
  </si>
  <si>
    <t>['mahal', 'mahal', 'puas']</t>
  </si>
  <si>
    <t>['maaf', 'mohon', 'diperbaiki', 'jaringannya', 'full', 'ehh', 'pas', 'aplikasi', 'loading', 'loading', 'mahal', 'jaringan', 'telkomsel', 'harga', 'paket', 'mahal', 'berkualitas', '']</t>
  </si>
  <si>
    <t>['andal']</t>
  </si>
  <si>
    <t>['fup', 'kbps', 'paket', 'unlimited', 'max', 'bohong', 'seharus', 'kbps', 'mentok', 'kbps']</t>
  </si>
  <si>
    <t>['hai', 'telkomsel', 'terhormat', 'pengguna', 'telkomsel', 'kecewa', 'point', 'penukaran', 'point', 'paket', 'data', 'ngisi', 'pulsa', 'ribu', 'poin', 'penukaran', 'point', 'paket', 'data', 'dikenakan', 'biaya', 'tambahan', 'point', 'tambahan', 'harga', 'dimana', 'point', 'bonus', 'pelanggan', 'ditukarkan', 'apapun', 'gratis', 'penambahan', 'harga', '']</t>
  </si>
  <si>
    <t>['', 'telkomsel', 'sangan', 'bagus', '']</t>
  </si>
  <si>
    <t>['jelek', 'banget', 'simpati', 'kecewa', 'simpati', 'kartu', 'menang', 'mahal', 'doang', 'sinyal', 'bapuk', 'parah', '']</t>
  </si>
  <si>
    <t>['aplikasi', 'buka', 'oppo', 'android', '']</t>
  </si>
  <si>
    <t>['telkomsel', 'nyedot', 'pulsa', 'kya', 'drakula', 'pulsa', 'ilang', 'pemberitahuan', 'skli', 'isi', 'malem', 'th', 'hbs', 'pdhl', 'paketan', 'blm', 'hbs', 'tlg', 'dievaluasi', 'beda', 'kartu', 'beli', 'paketan', 'telkomsel', 'enak', 'ribet', 'blm', 'hbs', 'pulsa', 'kesedot', 'trus', 'ilang', 'alami', 'sekian', 'lumayan', '']</t>
  </si>
  <si>
    <t>['merchandise', 'gerai', 'telkomsel', 'terbatas', 'kayanya', 'dipromosikan', 'alhamdulillah', 'pulang', 'tangan', 'kosong', 'hehee']</t>
  </si>
  <si>
    <t>['sekqrqng', 'kasih', 'bintang', 'dlu', 'karna', 'jaringan', 'lemot']</t>
  </si>
  <si>
    <t>['tukar', 'poin', 'voucher', 'lazada', 'diklik', 'habis', 'gimmick', 'doang', 'kesel', '']</t>
  </si>
  <si>
    <t>['migrasi', 'migrasi', 'mending', 'operator', 'sebelah', 'lemot', 'sinyal', 'terkadang', 'mahal', 'janjiin', 'promo', 'doang', 'habis', 'bullset', 'deh']</t>
  </si>
  <si>
    <t>['lihat', 'kuat', 'jaringan']</t>
  </si>
  <si>
    <t>['pelayanan', 'kartu', 'hallo', 'tingkatkan']</t>
  </si>
  <si>
    <t>['parah', 'simpati', 'beli', 'data', 'tolong', 'kasih', 'terbaik', 'komplain', 'bagus', 'ancur', 'paketan', 'mahal', 'kualitas', 'murahan', 'payah', '']</t>
  </si>
  <si>
    <t>['heran', 'ratingnya', 'komentar', 'negatifnya', 'ratingnya', 'jaringan', 'ancur', 'ngga', 'bagus', 'koneksinya', 'gerangan', 'kawan', '']</t>
  </si>
  <si>
    <t>['bintang', 'telkomsel', 'semoga', 'sukses', 'pesaing']</t>
  </si>
  <si>
    <t>['kartu', 'aplikasi', 'telkomsel', 'mudah', 'beli', 'paket', 'telepon', 'internet', '']</t>
  </si>
  <si>
    <t>['tolong', 'tidk', 'mengunakan', 'paket', 'data', 'daya', 'beli', 'pakat', 'lokasi', 'ngak', 'data', 'tolong', 'perhatiannya', '']</t>
  </si>
  <si>
    <t>['kecepatan', 'paket', 'unlimited', 'telkom', 'berasa', 'paket', 'unlimited', 'smartfren', 'najis', 'parah']</t>
  </si>
  <si>
    <t>['tukar', 'poin', 'hadiah', 'poin', 'beruntung', 'dasar', 'pembohong']</t>
  </si>
  <si>
    <t>['kecewa', 'telkomsel', 'beli', 'kuota', 'sms', 'paket', 'aktifkan', 'besoknya', 'udah', 'pulsanya']</t>
  </si>
  <si>
    <t>['mantap', 'pokoknya']</t>
  </si>
  <si>
    <t>['berat', 'dibuka']</t>
  </si>
  <si>
    <t>['saran', 'hadiah', 'poin', 'paket', 'data', 'internet', 'gratis', 'masuk', 'bertambah']</t>
  </si>
  <si>
    <t>['berharap', 'event', 'aplikasi', 'nyata']</t>
  </si>
  <si>
    <t>['bilangnya', 'diperbaiki', 'jam', 'kena', 'prank', 'disimpulkan', 'proporsional', '']</t>
  </si>
  <si>
    <t>['ngapain', 'chat', 'dibales', '']</t>
  </si>
  <si>
    <t>['kecewa', 'mengklaim', 'special', 'reward', 'daily', 'check', 'kuota', 'gb', 'halaman', 'daily', 'cheick', 'terkonfirmasi', 'bahwasannya', 'berhasil', 'mengkalim', 'reward', 'reward', 'kuota', 'klaim', 'masuk', 'akun', 'nyesel', 'absen', 'realitanya', 'gajebo']</t>
  </si>
  <si>
    <t>['telkomsel', 'minjem', 'pulsa', 'facebook', 'bayar', 'tpi', 'knapa', 'tagih', 'mulu', 'untk', 'melunasinya', 'udh', 'sya', 'lunasi']</t>
  </si>
  <si>
    <t>['aplikasih', 'membatu']</t>
  </si>
  <si>
    <t>['lemotnya']</t>
  </si>
  <si>
    <t>['kemudahan', '']</t>
  </si>
  <si>
    <t>['puas', 'jaringan', 'terimakasih', 'telkomcell']</t>
  </si>
  <si>
    <t>['tolong', 'telkomsel', 'maksud', 'pulsa', 'terpotong', 'daftar', 'paket', 'udah', 'nggak', 'masuk', 'paket', 'terpotong', 'bangke', 'btul', '']</t>
  </si>
  <si>
    <t>['bguuus', 'klau', 'murah', 'puas']</t>
  </si>
  <si>
    <t>['', 'update', 'pulsa', 'diisi', 'kemana', '']</t>
  </si>
  <si>
    <t>['mohon', 'maaf', 'aplikasi', 'ratusan', 'ngeframe', 'parah', 'pubg', 'jugak', 'sinyalnya', 'telkomsel', 'down', 'aneh', 'banget']</t>
  </si>
  <si>
    <t>['mahal', 'rumit']</t>
  </si>
  <si>
    <t>['pertahankan', 'kualitas']</t>
  </si>
  <si>
    <t>['bini', 'senang']</t>
  </si>
  <si>
    <t>['apk', 'memuaskan', 'enda', 'promo', '']</t>
  </si>
  <si>
    <t>['tunggu', 'kualitas', 'meningkatkan']</t>
  </si>
  <si>
    <t>['pengalaman', 'buruk', 'tinggal', 'medan', 'terima', 'kasih', 'medan', 'desember', 'wib', '']</t>
  </si>
  <si>
    <t>['poinya', 'ditukar', 'skaligus']</t>
  </si>
  <si>
    <t>['paketan', 'mahal', 'sinyal', 'ampas']</t>
  </si>
  <si>
    <t>['mantap', 'tenan', 'telkomsel', 'pertahankan', 'yaa', 'jaringan', 'internetnya', 'terbaik', 'jeleknya', 'stabil', 'pelangganmu', 'persatu', 'pergi', 'meninggalkanmu', 'jaringan', 'internetmu', 'diperbaiki', 'kualitas', 'jaringan', 'internetmu', 'kuat', 'sinyal', 'jaringan', 'internetmu', 'diperbaiki', 'pergi', 'pindah', 'pakai', 'kartu', 'seluler', 'terhitung', 'januari', 'juni', 'kemajuan', 'jaringan', 'internetmu', '']</t>
  </si>
  <si>
    <t>['terima', 'kasih', 'telkomsel', 'layanan', 'telkomsel', 'mudah', 'cek', 'quota', 'update', 'pembayaran', 'kartu', 'halo', 'voucher', 'menarik', '']</t>
  </si>
  <si>
    <t>['telkomsel', 'kwalitas', 'terjaga', 'bagus']</t>
  </si>
  <si>
    <t>['aplikasi', 'terlemot', 'sampe', 'kesel', 'nungguin', 'loading', 'udh', 'ganti', 'koneksi', 'loading', 'payah', '']</t>
  </si>
  <si>
    <t>['aplikasinya', 'makan', 'memori', 'mb', 'apps', 'provider', 'pas', 'buka', 'berat', 'bgd', 'tunggu', 'detik', 'masuk', 'kebanyakan', 'fitur', 'tambahan', 'jarang', 'orang', 'liat', 'aplikasinya', 'berat', 'gunanya', 'liat', 'sisa', 'kuota', 'beli', 'paket', 'semoga', 'diperbaiki', 'update', 'perubahan', 'signifikan', 'thx', '']</t>
  </si>
  <si>
    <t>['sianjing', 'telkomsel', 'paket', 'murah', 'mahal', 'bangke', 'kapok', 'telkomsel', 'keringanan', 'pengguna', 'telkomsel', 'dimahalin', 'paketnya', '']</t>
  </si>
  <si>
    <t>['masi', 'blom', 'dibuka', 'gmna', 'iniiii']</t>
  </si>
  <si>
    <t>['', 'nomor', 'harga', 'paketan', 'ampun', '']</t>
  </si>
  <si>
    <t>['bagus', 'sihhh', 'hadiahnya', 'ditingkatkan', 'doank', 'aktif', 'penggunaan', 'hadiahnya', 'diperpanjang', 'makasi', 'telkomsel', '']</t>
  </si>
  <si>
    <t>['kasih', 'blm', 'download']</t>
  </si>
  <si>
    <t>['']</t>
  </si>
  <si>
    <t>['pakai', 'telkomsel', 'top']</t>
  </si>
  <si>
    <t>['mudah', 'alpon']</t>
  </si>
  <si>
    <t>['bertahun', 'kartu', 'telkomsel', 'ganti', 'kasi', 'promo', 'liat', 'temen', 'keluarga', 'kartu', 'telkomsel', 'promo', 'bagus', '']</t>
  </si>
  <si>
    <t>['telkomsel', 'password', 'tahunnn', 'makinnn', 'cam', 'pukii']</t>
  </si>
  <si>
    <t>['knpa', 'beli', 'internet', 'combo', 'kartu', 'mahal', 'umur', 'kartu', 'udah', 'perubahan']</t>
  </si>
  <si>
    <t>['kecewa', 'telkomsel', 'citeureup', 'jaringannya', 'susah', 'putus', 'putus', 'pengguna', 'kartu', 'telkomsel']</t>
  </si>
  <si>
    <t>[]</t>
  </si>
  <si>
    <t>['tekomsel', 'mengagumkan']</t>
  </si>
  <si>
    <t>['mahal', 'paketnya', 'bang']</t>
  </si>
  <si>
    <t>['kualitas', 'sinyal', 'telkomsel', 'sengaja', 'diturunkan', 'daerah', 'sinyal', 'telkomsel', 'layak', 'bagus', 'mengecewakan', 'dibilang']</t>
  </si>
  <si>
    <t>['pengalaman', 'aplikasi', 'bagus', 'sayang', 'mahal', 'paketx', 'jaringan', 'baguss', 'loading', 'bukanya', 'butuh', 'informasi', 'menarik', 'telkomsel']</t>
  </si>
  <si>
    <t>['mantap', 'instan']</t>
  </si>
  <si>
    <t>['game', 'keren', 'misinya', 'gampang', 'pokoknya', 'seru', 'deh', '']</t>
  </si>
  <si>
    <t>['november', 'kemarin', 'beli', 'combo', 'sakti', 'unlimited', 'harga', 'rb', 'november', 'rb', 'desember', 'udah', 'rb', 'cepet', 'banget', 'naiknya']</t>
  </si>
  <si>
    <t>['admin', 'slowrespon', 'pulsa', 'ilang']</t>
  </si>
  <si>
    <t>['mantep', 'asik', 'streaming', 'musik', 'lemot', 'taunya', 'kuota', 'abis', 'pulsa', 'utama', 'sedot', 'knp', 'pisah', '']</t>
  </si>
  <si>
    <t>['terimakasih', 'aplikasi', 'telkomsel', 'bermanfaat', 'lelet']</t>
  </si>
  <si>
    <t>['tolong', 'kuota', 'telkomsel', 'dimurahin', 'bulanan', 'combo', 'sakti', 'giga', 'ribu']</t>
  </si>
  <si>
    <t>['bagus', 'tingkatkan', 'pelayanan', 'konsumen', 'permudah', 'kebutuhan']</t>
  </si>
  <si>
    <t>['sinyal', 'telkomsel', 'komplek', 'pertanian', 'astiri', 'permai', 'citayem', 'depok', 'parah', 'banget', 'stabil', 'banget', 'ngedrop', 'mohon', 'penjelasanya']</t>
  </si>
  <si>
    <t>['semoga', 'paket', 'kombo', 'murah']</t>
  </si>
  <si>
    <t>['suka', 'aplikasi', 'telkomsel']</t>
  </si>
  <si>
    <t>['gua', 'kasih', 'bintang', 'njing', 'gua', 'udah', 'th', 'kartu', 'sinyal', 'susah', 'njing', 'benerin', 'napa', 'njing', 'daerah', 'gua', 'njing', '']</t>
  </si>
  <si>
    <t>['benerin', 'sinyal', 'main', 'game', 'jumping', 'sinyal', '']</t>
  </si>
  <si>
    <t>['terkadang', 'signal', 'hilang', 'sendirii']</t>
  </si>
  <si>
    <t>['wow', 'keren', 'skali', 'tmn', 'tmn', 'apk', 'bagus']</t>
  </si>
  <si>
    <t>['jaringanya', 'daerah', 'wanaraya', 'batola', 'sakit', 'parah', 'main', 'game', 'ngeleg', 'kalah', 'payah', 'telkomsel', 'mahal', 'sakit', 'jaringanya', 'tolong', 'telkomsel', 'daerah', 'orang', 'daerah', 'pindah', 'provider', 'axis']</t>
  </si>
  <si>
    <t>['halo', 'telkomsel', 'aplikasi', 'yaa', 'buka', 'update', 'uninstal', 'coba', 'tetep', 'muncul', 'warna', 'putih', 'tolong', 'bantuannya']</t>
  </si>
  <si>
    <t>['jaringannya', 'bgusin']</t>
  </si>
  <si>
    <t>['apknya', 'banget']</t>
  </si>
  <si>
    <t>['diskon', 'mahal', 'iya', 'teman', 'diskon', 'gede', 'tolong', 'samakan', 'pembelian', 'paket', 'harganya']</t>
  </si>
  <si>
    <t>['bintang', 'nge', 'lag', 'jaringan', 'kau', 'tahe']</t>
  </si>
  <si>
    <t>['tingkatkan', 'kinerja', 'mytelkomsel', 'tks']</t>
  </si>
  <si>
    <t>['sinyal', 'bapuk', 'harga', 'doang', 'mahal', 'perhatikan', 'jaringan', 'internet', '']</t>
  </si>
  <si>
    <t>['jaringannya', 'perbaiki']</t>
  </si>
  <si>
    <t>['app', 'bagus', 'bangat']</t>
  </si>
  <si>
    <t>['trobel', 'wilayah', 'gresik', 'selatan', '']</t>
  </si>
  <si>
    <t>['jaringan', 'terkadang', 'buruk']</t>
  </si>
  <si>
    <t>['', 'jaksel', 'tinggal', 'dipegunungan', 'telkosel', 'kesni', 'buruk']</t>
  </si>
  <si>
    <t>['kesel', 'lemot', 'apk', 'masuk', 'buka', 'beranda']</t>
  </si>
  <si>
    <t>['sistem', 'paket', 'habis', 'udah', 'gitu', 'nyedot', 'pulsa', 'yakali', 'telkomsel', 'mahal', 'doang', 'sistem', 'anak', 'magang']</t>
  </si>
  <si>
    <t>['lumayan', 'jaringan', 'lelet']</t>
  </si>
  <si>
    <t>['kasih', 'bintang', 'jaringan', 'telkomsel', 'jelek', 'banget', 'padaha', 'orang', 'sebelah', 'pakai', 'telkomsel', 'lancar', 'lancar', 'gitu', 'salah', 'tolong', 'jelasin', 'berharap', 'main', 'lancar', 'pakai', 'telkomsel', 'ngeleg', 'banget', 'tolong', 'bantu', 'telkomsel', 'main', 'lancar', 'makasih', '']</t>
  </si>
  <si>
    <t>['kuota', 'balance', 'murah', 'terimakasih']</t>
  </si>
  <si>
    <t>['telkomsel', 'oke', 'pokoknya']</t>
  </si>
  <si>
    <t>['sip', 'banget', '']</t>
  </si>
  <si>
    <t>['bagus', 'skali']</t>
  </si>
  <si>
    <t>['update', 'bermunculan', 'desember', 'aplikasi', 'andro', 'samsung', 'milik', 'muncul', 'dibuka', 'layar', 'memutih', 'menit', 'barusan', 'update', 'menit', 'komentar', 'release', '']</t>
  </si>
  <si>
    <t>['puas', 'telkomsel']</t>
  </si>
  <si>
    <t>['halo', 'developer', 'iven', 'poin', 'telkomsel', 'dpt', 'tukar', 'diamond', 'mobile', 'legend', 'semoga', 'baca', 'amin']</t>
  </si>
  <si>
    <t>['telkomsel', 'emg', 'mahal', 'pktnya', 'tpi', 'mohon', 'perbaiki', 'kualitas', 'sinyalnya', 'kota', 'tpi', 'telkomsel', 'seriiiiingggggg', 'gangguannya', '']</t>
  </si>
  <si>
    <t>['puas', 'jaringan', 'lemot']</t>
  </si>
  <si>
    <t>['kecewa', 'banget', 'udah', 'bertahun', 'telkomsel', 'beli', 'kouta', 'kali', 'koutanya', 'dipakai', 'manahan', 'harganya', 'sayang', 'sayang', 'banget', 'gb', 'kepake', '']</t>
  </si>
  <si>
    <t>['sinyal', 'kesini', 'bagus', 'paket', 'mahal', 'sinyal', 'buruk', 'setang', 'babi', 'ngana']</t>
  </si>
  <si>
    <t>['telkomsel', 'mahal', 'jaringannya', 'bagus', 'mohon', 'ditingkatkan', 'pelayanannya', 'jaman', 'sma', 'skrg', 'suka', 'telkomsel']</t>
  </si>
  <si>
    <t>['pelayanan', 'telkomsel']</t>
  </si>
  <si>
    <t>['kouta', 'promo']</t>
  </si>
  <si>
    <t>['menang']</t>
  </si>
  <si>
    <t>['paket', 'kouta', 'mahal', 'pulsa', 'sedot']</t>
  </si>
  <si>
    <t>['maaf', 'hrp', 'dicek', 'barusan', 'isi', 'plsa', 'blm', 'udh', 'kena', 'potong', 'mksd', 'mengarti', 'tolong', 'dicek', 'jga', 'disaat', 'main', 'game', 'jaringn', 'hilng', 'gtu', 'seling', 'potong', 'plsa', 'nomr', 'kode', 'tlong', 'dicek']</t>
  </si>
  <si>
    <t>['telkomsel', 'konsumen', 'biarkan', 'sengsara', 'beli', 'paket', 'mahal', 'mahal', 'jaringan', 'internet', 'putus', 'nyambung', 'tolong', 'kerja', 'lokasi', 'desa', 'cengkong', 'purwasari', 'kabupaten', 'karawang', 'jawa', 'barat', 'mengandalkan', 'internet', 'pindah', 'kartu', 'tolong', 'bantu', 'kerja', '']</t>
  </si>
  <si>
    <t>['nyaman', 'paketnya']</t>
  </si>
  <si>
    <t>['ajng', 'pulsa', 'kesedot', 'mulu']</t>
  </si>
  <si>
    <t>['tsel', 'korup', 'beli', 'unlimited', 'appsnya', 'buka', 'tiktok', 'chat', 'adminya', 'bangat', 'loadingnya', 'korup', 'cuih']</t>
  </si>
  <si>
    <t>['bbrp', 'dibuka', 'dibuka', 'pembaruan', 'terbaru', '']</t>
  </si>
  <si>
    <t>['suka', 'banget', 'aplikasi', 'bagus', 'membantu', 'semoga', 'suka', 'aplikasi', '']</t>
  </si>
  <si>
    <t>['sinyal', 'lag', 'membuka', 'you', 'tube', 'loading', 'kuota']</t>
  </si>
  <si>
    <t>['paketnya', 'mahal', 'pelanggan', 'setia', 'pakai', 'nomor', 'tawaran', 'mahal', 'mohon', 'kasih', 'promo', 'murah', '']</t>
  </si>
  <si>
    <t>['make', 'telkomsel', 'aplikasi', 'buka', 'maksudnya', 'white', 'blank', 'lancar', 'kecewa', 'aplikasi']</t>
  </si>
  <si>
    <t>['semoga', 'kado', 'spesial', 'telkomsel', 'yak', '']</t>
  </si>
  <si>
    <t>['nomor', 'telkomsel', 'orang', 'kloningan', 'menggangu', 'laporan', 'gimana', '']</t>
  </si>
  <si>
    <t>['assalamualaikum', 'min', 'update', 'mahal', 'kualitasnya', 'perbaiki', 'aneh', 'banget', 'loyalitas', 'batas', 'batasi', 'gagal', 'sidang', 'skripsi', 'gara', 'gara', 'sinyal', 'lemot', 'buffring', 'daerah', 'kota', 'banget', 'kecewa', 'telkomsel', '']</t>
  </si>
  <si>
    <t>['kecewa', 'telkomsel', 'paket', 'mahal', 'beli', 'jaringan', 'mengecewakan', 'berlangganan', 'telkomsel', 'jaringan', 'leg', 'menerus', 'kecewa', '']</t>
  </si>
  <si>
    <t>['ksni', 'jaringan', 'telkomsel', 'mkn', 'hilang', 'mulu', 'darah', 'pdhal', 'paketnya', 'mahal', 'sampe', 'pindah', 'deh', 'klu', 'bgni']</t>
  </si>
  <si>
    <t>['bagus', 'pokoknya', 'siiipppp', 'bagus', '']</t>
  </si>
  <si>
    <t>['kartu', 'mahal', 'paket', 'mahal', 'jaringan', 'kek', 'bab', 'emosi', 'ngeselin']</t>
  </si>
  <si>
    <t>['diperbarui', 'jalan', 'normal', 'tingkatkan']</t>
  </si>
  <si>
    <t>['aktifin', 'paket', 'updete', 'aplikasi', 'telkomsel', 'paket', 'ilang', 'pulsa', 'telkomsel', '']</t>
  </si>
  <si>
    <t>['sybkasih', 'bintang', 'maaf', 'telkomsel', 'bertanay', 'knp', 'jaringan', 'lemot', 'vicall', 'putus', 'jujur', 'sekeluarga', 'sgt', 'kecewa', 'penggunanya', 'costumer', 'lari', 'perdana', 'mohon', 'dri', 'telkomsel', 'mperbaiki', 'jaringan', 'jakarta', 'serang', 'banten', 'khusus', 'daerah', 'tirtayasa', 'terima', 'kasih']</t>
  </si>
  <si>
    <t>['enak', 'cek']</t>
  </si>
  <si>
    <t>['jangkauan', 'luas', 'keseluruh', 'pelosok', 'negri']</t>
  </si>
  <si>
    <t>['membantu', 'dapet', 'hadiah', '']</t>
  </si>
  <si>
    <t>['aplikasi', 'memudahkan', '']</t>
  </si>
  <si>
    <t>['telkomsel', 'skrg', 'busuk', 'jelek']</t>
  </si>
  <si>
    <t>['bintang', 'karna', 'paket', 'lokal', 'paket', 'lokal', 'paket', 'internet', 'max', 'gimana', 'udh', 'kepepet']</t>
  </si>
  <si>
    <t>['update', 'fitur', 'buka', 'isi', 'paket', 'kouta', 'susah']</t>
  </si>
  <si>
    <t>['mantul', 'aplikasi', 'pokoknya', 'download', 'nggak', 'nyesal', '']</t>
  </si>
  <si>
    <t>['gagal', 'aktifasi', 'paket', '']</t>
  </si>
  <si>
    <t>['aplikasi', 'membantu', 'mantap', 'tolong', 'tingkatkan', 'promo', 'paket', 'combo', 'pelanggan', 'telkomsel', 'murah', 'meriah', '']</t>
  </si>
  <si>
    <t>['halo', 'pusat', 'telkomsel', 'buka', 'aplikasi', 'terlkomsel', 'dibuka', 'tolong', 'perbaiki', 'aplikasi', 'telkomsel', 'terima', 'kasij']</t>
  </si>
  <si>
    <t>['aplikasi', 'mytelkomsel', 'terbaik', 'pengguna', 'telkomsel']</t>
  </si>
  <si>
    <t>['mudah', 'isi', 'pulsa', 'isi', 'data', 'pokoknya', 'keren', 'deh', 'aplikasi']</t>
  </si>
  <si>
    <t>['sempurna', 'pilih', 'pembelian', 'jenis', 'kuota', 'cek', 'kuota', 'cek', 'pulsa', 'mudah', '']</t>
  </si>
  <si>
    <t>['lumayan', 'bagus', 'membantu']</t>
  </si>
  <si>
    <t>['sebulan', 'apl', 'buka', 'sungguh', 'merugikan', '']</t>
  </si>
  <si>
    <t>['aplikasi']</t>
  </si>
  <si>
    <t>['telkomsel', 'sinyal', 'buruk', 'paketan', 'super', 'mahal', 'sinyal', 'payah']</t>
  </si>
  <si>
    <t>['operator', 'seluler', 'mantap']</t>
  </si>
  <si>
    <t>['coba', '']</t>
  </si>
  <si>
    <t>['semoga', 'unduhan', '']</t>
  </si>
  <si>
    <t>['parah', 'limit', 'tagihan', 'beli', 'extrakouta', 'rb', 'notifnya', 'melebihi', 'batas', 'limit', 'rb', 'rb', 'diatas', 'rb', 'komplain', 'aplikasi', 'instagram', 'kantor', 'pusatnya', 'kah', 'menyamakan', 'persepsi', 'hasil', 'hasilnya', '']</t>
  </si>
  <si>
    <t>['buka', 'facebook', 'free', 'paket', 'datanya', 'mkin', 'kesini', 'mahal', 'kuota', 'unlimited', 'nonton', 'buka', 'facebook', 'shere', 'vidio', 'story', 'kekirimnya', 'pdahal', 'sinyal', 'bagus', 'kecewa', 'tpi', 'gimana', 'sinyal', 'pling', 'bagus', 'telkomsel', '']</t>
  </si>
  <si>
    <t>['manapun', 'telkomsel', 'terbaik', 'tuk', 'berkomunikasi', 'jaringan', 'luas', 'dunia', '']</t>
  </si>
  <si>
    <t>['bintang', 'kasi', 'promo']</t>
  </si>
  <si>
    <t>['telkomsel', 'nukar', 'pakai', 'poin', 'kadang', 'hilang', 'gimana', 'tolong', 'perbaiki', 'nukar', 'diamond', 'game', 'hilang', 'aneh']</t>
  </si>
  <si>
    <t>['min', 'down', 'jaringannya', 'mah', 'enak', 'telkomsel', 'saia', 'baku', 'hantam']</t>
  </si>
  <si>
    <t>['jaringan', 'stabil', 'berlaku', 'kuota', '']</t>
  </si>
  <si>
    <t>['penghujung', 'signal', 'turun', 'kek', 'wahana', 'dufan', 'akses', 'internet', 'lambat', 'kek', 'siput', 'kadang', 'matimatian', 'kek', 'lampu', 'diwarung', 'remang', 'remang', 'membaik', 'memburuk', 'lokasi', 'cikarang', 'barat', 'komplain', 'customer', 'service', 'alihin', 'bot']</t>
  </si>
  <si>
    <t>['tolong', 'beli', 'paket', 'aktif', 'pulsa', 'koneksi', 'lancar']</t>
  </si>
  <si>
    <t>['kasih', 'beli', 'paket', 'promo', 'spesial', 'bayar', 'pakai', 'ewalet', '']</t>
  </si>
  <si>
    <t>['tolong', 'kak', 'sinyalnyo', 'tmpat', 'lambat', 'perbaiki', 'pelayanannyo']</t>
  </si>
  <si>
    <t>['kesini', 'knp', 'aplikasinya', 'lemot', 'susah', 'dibuka', 'trus', 'gitu']</t>
  </si>
  <si>
    <t>['maaf', 'mengisi', 'pulsa', 'langsung', 'kepotong', 'pulsa', 'gmn', 'solusi', '']</t>
  </si>
  <si>
    <t>['', 'komen', 'maju', 'telkomsel']</t>
  </si>
  <si>
    <t>['aplikasi', 'mytelkomsel', 'bagus', 'memudahkan', 'penggunanya', '']</t>
  </si>
  <si>
    <t>['', 'bagus', 'sebulan', 'pakenya']</t>
  </si>
  <si>
    <t>['harga', 'sengaja', 'naikin', 'isi', 'pulsa', 'rb', 'hadeh', 'nomor', 'kesedot', 'hadeh']</t>
  </si>
  <si>
    <t>['bintang', 'sinyal', 'telkomsel', 'ancur', 'parah', 'jelek', 'banget', 'kaya']</t>
  </si>
  <si>
    <t>['bagus', 'mmbantu']</t>
  </si>
  <si>
    <t>['udah', 'th', 'pakai', 'telkomsel', 'jaringan', 'nggak', 'sebagus', 'semoga', 'kedepannya', 'pelayanan', 'telkomsel', '']</t>
  </si>
  <si>
    <t>['telkomsel']</t>
  </si>
  <si>
    <t>['simple', 'mudah']</t>
  </si>
  <si>
    <t>['error', 'rating', 'kasih']</t>
  </si>
  <si>
    <t>['tatif', 'msh', 'mahal']</t>
  </si>
  <si>
    <t>['respond']</t>
  </si>
  <si>
    <t>['', 'telkomsel', 'bagus', 'mudah', 'rezeki', 'sari', 'uuh']</t>
  </si>
  <si>
    <t>['bagus', 'bos', 'promo', 'bonus', 'paket', 'internet', 'saktiny', 'klw', 'perpanjang', 'bos']</t>
  </si>
  <si>
    <t>['mantap', 'mohon', 'tingkatkan', 'pelayanan', 'bonus', 'poin']</t>
  </si>
  <si>
    <t>['pulsa', 'harga', 'paket', 'voucher', 'diskon', 'pembelian', 'paket', 'dibeli', 'diskon', 'langsung', 'ngurangi', 'harga', 'pembelian', 'kyk', 'cashback', 'malasnya', 'heh', 'ngisi', 'pulsa', '']</t>
  </si>
  <si>
    <t>['aplikasi', 'update', 'jaringanya', 'perbaiki', 'diupgrade', 'lemmot', 'siang', 'pikir', 'kalelawar', 'melek', 'malam', 'bandwith', 'bagus', '']</t>
  </si>
  <si>
    <t>['telkomsel', 'pokoknya', 'puas']</t>
  </si>
  <si>
    <t>['semoga', 'telkom', 'perdu', 'sekolah', 'pedalaman', 'info', 'cpt', 'didpt', 'harga', 'kuota', 'terllu', 'mahal', 'mahasiswa', 'lotim', 'ntb', 'mudh', 'menjangkau', '']</t>
  </si>
  <si>
    <t>['maaf', 'mahal', 'harga', 'data']</t>
  </si>
  <si>
    <t>['update', 'app', 'telkomsel', 'ida', 'ulangterus', 'ulah', '']</t>
  </si>
  <si>
    <t>['shipp', 'simpel', 'ribet', 'permudah', 'makasih', '']</t>
  </si>
  <si>
    <t>['alhamdulillah', 'udah', 'ngga', 'blank']</t>
  </si>
  <si>
    <t>['semenjak', 'update', 'harga', 'kuota', 'berubah', 'ubah', 'mahal', 'sesuai']</t>
  </si>
  <si>
    <t>['aplikasi', 'tida', 'dibuka', 'blank', 'parah', 'jaringan', 'jelek', 'parah']</t>
  </si>
  <si>
    <t>['tukar', 'poin', 'telkomsel', 'bintang']</t>
  </si>
  <si>
    <t>['tukar', 'paket', 'gratis']</t>
  </si>
  <si>
    <t>['jaringan', 'lelet', 'kota', 'beda', 'ama', 'gini', 'aneh', 'lancar', 'banget', 'scrol', 'scrol', 'cocofun', 'gitu', 'buka', 'google', 'bagus', 'lelet', 'erro', 'banget', 'jaringan', 'mohon', 'perbaiki']</t>
  </si>
  <si>
    <t>['aplikasi', 'buka', 'payah', 'telkomsel']</t>
  </si>
  <si>
    <t>['trimkaish', 'telkomsel', 'paketnya', 'murah', 'mahal', 'cari', 'duit', 'sulit', '']</t>
  </si>
  <si>
    <t>['prank', 'telkomsel', 'otomatis', 'berlangganan', 'disney', 'hotstar', 'kuota', 'nonton', 'gb', 'giliran', 'nonton', 'film', 'aplikasi', 'disney', 'hotstar', 'kepake', 'kuota', 'utamanya', 'anjirr', 'tefak', 'habis', 'kuota', 'utamanya', 'kepake', 'kuota', 'nontonnya', 'kayak', 'gini', 'mending', 'jenis', 'kuota', 'jadiin', 'full', 'kuota', 'utama', 'hadeeh', 'nipu', 'mulu', 'operator']</t>
  </si>
  <si>
    <t>['aplikasi', 'telkomsel', 'sya', 'terbuka', 'udh', 'sebulan', 'sya', 'udh', 'coba', 'perbaharui', 'sya', 'udh', 'coba', 'hapus', 'apk', 'trus', 'download', 'kebuka', 'gmna', '']</t>
  </si>
  <si>
    <t>['kualitas', 'sinyal', 'mantap', '']</t>
  </si>
  <si>
    <t>['', 'tes', 'dlu']</t>
  </si>
  <si>
    <t>['bagus', 'membantu']</t>
  </si>
  <si>
    <t>['kuota', 'murah', 'ilangin', 'kuota', 'mahalin', 'mending', 'ganti', 'sinyal', 'kgk', 'stabil', 'haduhh']</t>
  </si>
  <si>
    <t>['', 'bintang', 'jaringan', 'daerahku', 'lelet']</t>
  </si>
  <si>
    <t>['terima', 'kasih', 'memudahkan']</t>
  </si>
  <si>
    <t>['jaringan', 'telkomsel', 'payah', 'banget', 'buruk', 'cepat', 'perbaiki', 'kalah', 'saing', 'rival']</t>
  </si>
  <si>
    <t>['sebelunya', 'maaf', 'mengasih', 'bintang', 'beli', 'paket', 'dipotong', 'masuk', 'gimana', '']</t>
  </si>
  <si>
    <t>['masuk', '']</t>
  </si>
  <si>
    <t>['kecewa', 'banget', 'telkomsel', 'internet', 'lemot', 'banget', '']</t>
  </si>
  <si>
    <t>['', 'telkomsel', 'memudahkan', 'prlanggan', 'beli', 'paket', 'simpel', 'ribet', 'suka', 'perbanyak', 'promo', '']</t>
  </si>
  <si>
    <t>['tolong', 'jaringan', 'perbaiki', 'kaya', 'gini', 'paket', 'mahal', 'setara', 'jaringan', 'gua', 'nyaman', 'kaya', 'gini', 'tolong', 'yahh', 'tolong']</t>
  </si>
  <si>
    <t>['jaringan', 'erosi', 'rugi', 'gara', 'lost', 'jaringan', 'klaim', 'jariang', 'kuat', 'gini', 'mah', 'buruk', 'alih', 'hadewhhhh']</t>
  </si>
  <si>
    <t>['parah', 'telkomsel', 'mah', 'lemotnyaaaa', 'ribet', 'hubungi', 'pdhl', 'udah', 'castumer', 'komplain', 'perbaiki', 'pelayanannya', 'susahhh', 'iklan', 'doang', 'bener', 'pdahal', 'mah', '']</t>
  </si>
  <si>
    <t>['bagusx', 'simple']</t>
  </si>
  <si>
    <t>['tolong', 'tingkatkan', 'jaringan', 'ende', 'ntt']</t>
  </si>
  <si>
    <t>['bagus', 'mudah']</t>
  </si>
  <si>
    <t>['terimakasih', 'semoga', 'lancar']</t>
  </si>
  <si>
    <t>['teerima', 'kasih', 'kartu', 'telkomsel', 'beli', 'kartu', 'telkomsel', 'langsung', 'kuota', 'rbu', 'terimakasih', 'kartu', 'telkomsel', '']</t>
  </si>
  <si>
    <t>['kadang', 'lemot']</t>
  </si>
  <si>
    <t>['puas', 'paket', 'mahal', 'kya', '']</t>
  </si>
  <si>
    <t>['menukar', 'poin']</t>
  </si>
  <si>
    <t>['tolong', 'diperbaikin', 'sinyalnya', 'main', 'suka', 'ngeleg', 'mulu', 'rugi', 'gini', 'mulu', 'tolong', 'diperbaikin', 'sinyalnya', 'susah', 'berkomunikasi', 'perbaikan', 'abaikan', 'kartu', 'telkomsel']</t>
  </si>
  <si>
    <t>['simpaty', 'kesini', 'mahal', 'udh', 'gitu', 'sinyal', 'lemotsaya', 'pelanggan', 'udah', 'paketan', 'pilihan', 'mahal', 'bngt', 'kartu', 'udh', 'pilihan', 'paketan', 'murah', '']</t>
  </si>
  <si>
    <t>['jarinagnnya', 'tolong', 'jumping', '']</t>
  </si>
  <si>
    <t>['woi', 'telkomsel', 'jaringan', 'internet', 'lelet', '']</t>
  </si>
  <si>
    <t>['bagus', 'cepat']</t>
  </si>
  <si>
    <t>['promo']</t>
  </si>
  <si>
    <t>['jaringan', 'jelek', 'paket', 'mahal', 'parah', 'emang', 'manajemennya', '']</t>
  </si>
  <si>
    <t>['layar', 'interface', 'blank', 'putih', 'respon', 'galaxy', 'mohon', 'diperbaiki', 'aplikasi', '']</t>
  </si>
  <si>
    <t>['terimakasih', 'aplikasi', 'dibuka', '']</t>
  </si>
  <si>
    <t>['puas', 'pakai', 'telkomsel', 'sinyal', 'kuat', 'gangguan', 'sukses', 'telkomsel', 'paket', 'internet', 'murah', 'terimakasih', 'telkomsel']</t>
  </si>
  <si>
    <t>['tolong', 'pertingkat', 'kwalitas', 'signal', 'inrernet', 'daerah', 'pelosok', 'pelosok', 'membantu', 'berinteraksi', 'pengguna']</t>
  </si>
  <si>
    <t>['aplikasi', 'bunyi', 'loginnya', 'keren', '']</t>
  </si>
  <si>
    <t>['jaringan', 'stabil']</t>
  </si>
  <si>
    <t>['bahan', 'pokok', 'paket', 'internet', 'ikutan', 'mending', 'jaringan', 'optimal', 'uda', 'harga', 'jaringan', 'lemot', 'tinggal', 'daerah', 'pinggiran', 'kota', '']</t>
  </si>
  <si>
    <t>['oke', 'kendala', 'konsisten', 'jaringan', 'gangguan', 'parah', 'malem', 'gangguan', 'smpe', 'berkali', 'hilihhhh', 'kintil']</t>
  </si>
  <si>
    <t>['semoga', 'ajh', 'baca', 'tolong', 'telkomsel', 'pulsa', 'ribu', 'beli', 'ribu', 'beli', 'paket', 'combo', 'sakti', 'rp', 'ribu', 'pulang', 'cek', 'pulsa', 'berkurang', 'ribu', 'data', 'ajh', 'nyala', 'tolong', 'perbaiki']</t>
  </si>
  <si>
    <t>['telkomsel', 'maju', 'rakyat', 'indonesia', 'menengah', 'kebawah']</t>
  </si>
  <si>
    <t>['terima', 'kasih', 'kasih', 'telkomsel']</t>
  </si>
  <si>
    <t>['redem', 'poin', 'ilagin', 'golbok']</t>
  </si>
  <si>
    <t>['tolong', 'jaringannya', 'optimalkan', 'daerah', 'pedesaan']</t>
  </si>
  <si>
    <t>['aplikasi', 'membantu']</t>
  </si>
  <si>
    <t>['woii', 'pulsa', 'pinjam', 'bayar', 'main', 'ambil', 'bos', 'isi', 'pulsa', 'ribu', 'diembat']</t>
  </si>
  <si>
    <t>['sinyal', 'buruk', 'rumah', 'stabil', 'jelek', 'bangt', 'tolong', 'perbaiki', 'sinyal', 'internetnya', 'area', 'kolelet', 'kcamatan', 'panongan', 'tangerang', 'kabupaten']</t>
  </si>
  <si>
    <t>['suruh', 'update', 'nggak', 'update', 'ditambah', 'jaringannya', 'kesini', 'nyebelin']</t>
  </si>
  <si>
    <t>['aplikasi', 'dipublikasikan', 'tpi', 'sesuai', 'hasil', 'promosinya', 'aplikasi', 'sya', '']</t>
  </si>
  <si>
    <t>['permisi', 'kak', 'sinyal', 'jaringannya', 'simpati', 'kosambi', 'jakbar', 'buruk', 'banget', 'main', 'game', 'ngelag', '']</t>
  </si>
  <si>
    <t>['apl', 'mempermuda', 'paket', 'promonya', '']</t>
  </si>
  <si>
    <t>['payah', 'knp', 'sisa', 'pulsa', 'langsung', 'kepotong', 'internet', 'sisa', 'kuota', 'giga', 'hbs', '']</t>
  </si>
  <si>
    <t>['aplikasinya', 'membantu', '']</t>
  </si>
  <si>
    <t>['', 'telkomsel', 'tiada', 'duanya']</t>
  </si>
  <si>
    <t>['lumayan', 'promi']</t>
  </si>
  <si>
    <t>['yahh', 'masuk', 'kedalam', 'aplikasi', 'sehabis', 'masukan', 'link', 'magicnya', 'habis', 'tertulis', 'link', 'valid', 'kadaluarsa', 'masuk', 'facebook']</t>
  </si>
  <si>
    <t>['burukkk', 'pelayan', 'kwalitas', 'jaringan', 'ngisi', 'pulsa', 'potong', 'beli', 'paket', 'leletttt', '']</t>
  </si>
  <si>
    <t>['telkomsel', 'pelit', 'quota', 'mahal', 'pemakaian', 'internet', 'cepat', 'habisnya', 'jaringan', 'buruk', 'tolong', 'kasih', 'kebijan', 'pemakai', 'setia', 'telkomsel']</t>
  </si>
  <si>
    <t>['apps', 'terbaik', 'bosqu']</t>
  </si>
  <si>
    <t>['signal', 'susah', 'telpon', 'susah', 'jelek', 'banget']</t>
  </si>
  <si>
    <t>['akses', 'telkomsel', 'eror', 'memuat', 'halaman', 'karna', 'sistem', 'bermasalah', 'udah', 'update', 'udah', 'seminggu', 'tolong', 'infonya', '']</t>
  </si>
  <si>
    <t>['knp', 'jaringan', 'telkomsel', 'buruk', 'tuk', 'internet', 'pdhal', 'kuotanya', 'mahal', '']</t>
  </si>
  <si>
    <t>['diberitakan', 'jaringan', 'tercepat', 'nyata', 'lemot', 'udah', 'pemulihan', 'kabel', 'jaringan', 'jasuka', 'jaringan', 'pulih', 'nyata', 'tetep', 'desember', 'mudah', 'memperbaiki', 'kompensasi', 'bonus', 'pembelian', 'paket', 'data', 'pulsa', 'pelanggan', 'kecewa', 'telkomsel', 'membayar', 'biaya', 'kuota', 'pulsa', 'mahal', 'jaringan', 'buruk', '']</t>
  </si>
  <si>
    <t>['muda', 'mudahan', 'menangkan', 'undian', 'mobil', 'pulang', 'kampung', 'bus', 'amin', 'amin', 'amin', '']</t>
  </si>
  <si>
    <t>['tolong', 'kasih', 'pulsa', 'gratis', 'daerah', 'jual', 'pulsa', 'ribu', 'doang']</t>
  </si>
  <si>
    <t>['mahal', 'kartu']</t>
  </si>
  <si>
    <t>['alhamdulillah', 'apk', 'telkomsel', 'update', 'dibuka', 'bulanan', 'dibuka', 'muncul', 'warna', 'putih', 'berani', 'ngasih', 'bintang', '']</t>
  </si>
  <si>
    <t>['coba', 'muda', 'mudahan', 'kerja', 'telkomsel', '']</t>
  </si>
  <si>
    <t>['uji', 'coba', 'dlu', 'cocok']</t>
  </si>
  <si>
    <t>['suka', 'sma', 'telkomsel', 'tpi', 'susah', 'masuknya', 'tulisan', 'koneksi', 'jaringan', 'bagus', 'sungguh', 'mengecewakan', 'tolong', 'perbaiki', 'mimin', 'sungguh', 'mengecewakan']</t>
  </si>
  <si>
    <t>['membantu', 'terima', 'kasih']</t>
  </si>
  <si>
    <t>['dicoba', 'dlu']</t>
  </si>
  <si>
    <t>['sore', 'min', 'konfirmasi', 'kota', 'jaringan', 'telkomsel', 'sebentar', 'hidup', 'sebentar', 'mati', 'udh', 'min', 'tolong', 'kerja', 'kota', 'aceh', 'tenggara']</t>
  </si>
  <si>
    <t>['susah', 'beli', 'paket', 'dibilang', 'koneksi', 'begutu', 'berulang', 'koneksi', 'wifi', 'rumah', 'kenceng', 'sampe', 'update', 'diinstall', 'ulang', 'tolong', 'diperbaiki', '']</t>
  </si>
  <si>
    <t>['kak', 'mahal', 'paketan', 'internetnya', 'mohon', 'murahin', 'dikit', '']</t>
  </si>
  <si>
    <t>['coba', 'memuaskan', 'kasi', 'bintang', '']</t>
  </si>
  <si>
    <t>['tinggal', 'pusat', 'kota', 'serasa', 'tinggal', 'pedalaman', 'sekalinya', 'jaringan', 'mentok', 'papan', 'full', 'kecewa', '']</t>
  </si>
  <si>
    <t>['telkomsel', 'mahal', 'paket', 'data', 'tolong', 'pulsa', 'sos', 'aktifkan', 'kehabisan', 'paket', 'pengen', 'sos', 'maaf', 'system', 'sibuk', 'udah', 'ngk', 'ramah', 'kantong', 'mempermudah', 'customer', '']</t>
  </si>
  <si>
    <t>['sulit', 'masuk', 'update']</t>
  </si>
  <si>
    <t>['aplikasi', 'bagus', 'dipakai', 'paket', 'membeli', 'paket', 'berkualitas', 'bintang', 'kurangnya', 'jaringan', 'ditempat', '']</t>
  </si>
  <si>
    <t>['kecewa', 'jaringan', 'telkomsel', 'gada', 'bagusnya', 'maki', 'maki', 'jaringannya', 'kek', 'gini', 'beralih', 'tri', 'axis', 'kek', 'gini']</t>
  </si>
  <si>
    <t>['akses', 'cepat', 'memuaskan', 'customer']</t>
  </si>
  <si>
    <t>['operator', 'sinyal', 'buruk', 'kalsel']</t>
  </si>
  <si>
    <t>['mantab', 'cape', 'counter']</t>
  </si>
  <si>
    <t>['beli', 'paket', 'gagal', 'server', 'gagal', 'pulsa', 'lahhhh']</t>
  </si>
  <si>
    <t>['apanya', 'provider', 'jaringan', 'terluas', 'indonesia', 'pakai', 'telkomsel', 'tinggal', 'jempong', 'kota', 'mataram', 'ntb', 'sinyal', 'mengecewakan', 'tinggal', 'ditengah', 'kota', 'sinyal', 'provider', 'internet', 'terluas', 'indonesia', '']</t>
  </si>
  <si>
    <t>['aplikasi', 'bagus', 'harga', 'ditawarkan', 'mahal']</t>
  </si>
  <si>
    <t>['janagan', 'mahal', 'mahal', 'kompetitor', 'murah', 'bumn', 'tuan', 'rumah', 'dii', 'banggakan', '']</t>
  </si>
  <si>
    <t>['gua', 'butuh', 'kuota', 'darurat', 'tolong', 'aktif', 'udah', 'berkali', '']</t>
  </si>
  <si>
    <t>['even', 'tuker', 'poinnya', 'banget', 'poin', 'gue', 'thun', 'sia', 'bngt', 'bngsssd']</t>
  </si>
  <si>
    <t>['masi', 'gamemax', 'gamesilver', 'dll', 'masi', 'susah', 'login', 'pin', 'turun', 'gua', 'gini', 'setahun', 'masi', 'hadeh']</t>
  </si>
  <si>
    <t>['bagus', 'suka']</t>
  </si>
  <si>
    <t>['paket', 'harian', 'ribu', 'gb', 'mingguan', 'ribu', 'tolong', 'donk', 'turun', 'harga', 'paket']</t>
  </si>
  <si>
    <t>['mudah', 'membantu']</t>
  </si>
  <si>
    <t>['sinyal', 'diperbaiki']</t>
  </si>
  <si>
    <t>['php', 'app', 'suruh', 'daily', 'checkin', 'pas', 'klik', 'error', 'kirim', 'php', 'customer', 'bintang', 'downgrade']</t>
  </si>
  <si>
    <t>['yth', 'telkomsel', 'tolong', 'diperkuat', 'sinyal', 'pelanggan', 'betah', 'sinyal', 'tsel', 'terima', 'kasih']</t>
  </si>
  <si>
    <t>['nyaman']</t>
  </si>
  <si>
    <t>['combo', 'sakti', 'gb', 'hilang']</t>
  </si>
  <si>
    <t>['jringan', 'lelet']</t>
  </si>
  <si>
    <t>['pengen', 'paket', 'promo']</t>
  </si>
  <si>
    <t>['telkomsel', 'ngapa', 'in', 'pulsa', 'gua', 'kesedot', 'mulu', 'masuk', 'sms', 'akses', 'internet', 'tarif', 'non', 'paket', 'gua', 'make', 'telkomsel', 'paket', 'internet', 'gua', 'tri', 'pulsa', 'telkomsel', 'gua', 'kesedot', 'kejadiannya', 'berulang', 'ulang', '']</t>
  </si>
  <si>
    <t>['telkomsel', 'program', 'khusus', 'pengguna', 'setia', 'nomor', 'udah', 'kadaluarsa', 'diaktifkan', 'org', 'berguna', '']</t>
  </si>
  <si>
    <t>['kecewa', 'kecewa', 'maaf', 'buktikan', 'kenyamanan', 'pelanggal']</t>
  </si>
  <si>
    <t>['asli', 'nyebelin', 'telkomsel', 'bnyk', 'boongnya', 'trus', 'bsa', 'data', 'diaktifkn', 'ditarik', 'blngnya', 'biaya', 'internet', 'gnti', 'krtu', 'udh', '']</t>
  </si>
  <si>
    <t>['tolong', 'terkait', 'beli', 'paket', 'unlimited', 'kuota', 'ulimited', 'unlimited', 'dlu', 'kuota', 'utama', 'kuota', 'utama', 'habis', 'deh', 'anlimited']</t>
  </si>
  <si>
    <t>['surabaya', 'jaringannya', 'diperbaikin', 'woy', 'kota', 'jaringan', 'kayak', 'pedalaman', '']</t>
  </si>
  <si>
    <t>['kasih', 'bintang', 'beli', 'kuota', 'omg', 'beli', 'kuota', 'omg', 'berfungsi', 'beli', 'mahal', 'dapet', 'omg', 'dipake', 'update', 'versi', 'terbaru', 'telkomsel', 'tetep', 'kuota', 'omg', 'solusinya', '']</t>
  </si>
  <si>
    <t>['telkomsel', 'pulsa', 'kesedot', 'pulsa', 'menelpon', 'sms', 'memiliki', 'paket', 'internet', 'kecewa', 'telkomsel', 'kecewa']</t>
  </si>
  <si>
    <t>['signalntelkomsel', 'makinnhari', 'parah']</t>
  </si>
  <si>
    <t>['suka', 'eror', 'mulu', 'buka', 'aplikasi']</t>
  </si>
  <si>
    <t>['pas', 'gua', 'discon', 'cek', 'gua', 'ngak', 'login', 'beli', 'paket', 'telkom']</t>
  </si>
  <si>
    <t>['pernha', 'undian']</t>
  </si>
  <si>
    <t>['gila', 'beli', 'pulsa', 'cuman', 'bukak', 'aplikasi', 'telkom', 'beli', 'paketnya', 'langsung', 'habis', 'pulsa', 'anjjjng', 'emng']</t>
  </si>
  <si>
    <t>['terbuka', '']</t>
  </si>
  <si>
    <t>['pelayanannya', 'cepat', 'indonesia']</t>
  </si>
  <si>
    <t>['beli', 'paket', 'pulsa', 'suka', 'kemakan', 'duluan', '']</t>
  </si>
  <si>
    <t>['singal', 'sunggu', 'buruk', 'provider', 'berlomba', 'meningkatkan', 'jaringan', 'simpati', 'ketinggalan', 'sungguh', 'kecewa', 'simpati']</t>
  </si>
  <si>
    <t>['pengumuman', 'pemenang', 'hadiah', 'festival', 'disiarkan', 'ditv', 'nasional', 'lihat', 'langsung', 'penasaran', '']</t>
  </si>
  <si>
    <t>['bagus', 'teruskan']</t>
  </si>
  <si>
    <t>['harga', 'paket', 'combo', 'sakti', 'udah', 'koutannya', 'pindah', 'paket', 'bye', 'bye']</t>
  </si>
  <si>
    <t>['ngk', 'buka', 'udah', 'update', 'udah', 'uninstal', 'instal', 'lgi']</t>
  </si>
  <si>
    <t>['bagus', 'aplikasi']</t>
  </si>
  <si>
    <t>['hujan', 'jelek', 'jaringan']</t>
  </si>
  <si>
    <t>['sinyalnyo', 'jelekk', 'bangett', 'nyesell', 'pas', 'main', 'game', 'gaada', 'sinyall', 'lgagi', 'kerjaan', 'sinyal', 'hilangg', 'lanjutkannnn', '']</t>
  </si>
  <si>
    <t>['minggu', 'buka', 'aplikasi', 'telkomsel', '']</t>
  </si>
  <si>
    <t>['harga', 'paketan', 'promo', 'discon', 'jarang', 'kek', 'gini', 'beralih', 'kartu', 'kartu']</t>
  </si>
  <si>
    <t>['paket', 'msh', 'engga']</t>
  </si>
  <si>
    <t>['jaringan', 'telkom', 'jelek', 'buruk', 'ilangin', 'telkom', 'muka', 'bumi', 'boong']</t>
  </si>
  <si>
    <t>['', 'min', 'cobalah', 'telkomsel', 'isi', 'voucher', 'sibuk', 'scan', 'simple', 'telkomsel', 'gara', 'gara', 'suka', 'kesel', 'bulak', 'konter', 'tolong', 'tindak', 'lanjuti', 'udh', 'bener', 'kasih', 'bintang', '']</t>
  </si>
  <si>
    <t>['teklomsel', 'perbaikam', 'signal', 'jelek']</t>
  </si>
  <si>
    <t>['bismillahirrahmanirrahim', 'semoga', 'rejeki', 'terduga', 'aamiin']</t>
  </si>
  <si>
    <t>['woy', 'tolong', 'sinyalnya', 'perbaiki']</t>
  </si>
  <si>
    <t>['usul', 'akses', 'aplikasi', 'telkomsel', 'gratis', 'adakan', 'fitur', 'lock', 'pulsa', 'kenyamanan', 'kepuasan', 'pelanggan']</t>
  </si>
  <si>
    <t>['sinyal', 'sanggat', 'bagus']</t>
  </si>
  <si>
    <t>['normal']</t>
  </si>
  <si>
    <t>['mahal', 'bangettttt', 'paketmu', 'broo']</t>
  </si>
  <si>
    <t>['gimna', 'aplikasi', 'telkomsel', 'mlh', 'bli', 'pket', 'pkai', 'jringan']</t>
  </si>
  <si>
    <t>['saran', 'tema', 'pilihannya', 'syukur', 'tema', 'gelap', 'mengurangi', 'pencahayaan', 'menghemat', 'batrai', 'terima', 'kasih']</t>
  </si>
  <si>
    <t>['aplikasinya', 'skrg', 'bnyak', 'pakai', 'data', 'buka', 'aplikasi', 'data', 'udah', 'kesedot', 'ampe', 'puluhan', '']</t>
  </si>
  <si>
    <t>['keren', 'abis', 'dehh']</t>
  </si>
  <si>
    <t>['pas', 'mantab', '']</t>
  </si>
  <si>
    <t>['tambahin', 'bonus', 'game', 'epep', 'anjing', 'gua', 'maen', 'cod', 'kontol', 'admin', 'bangsad']</t>
  </si>
  <si>
    <t>['nie', 'telkomsel', 'kecewa', 'erorr', 'selesai', 'banget', 'erorr', 'chatingan']</t>
  </si>
  <si>
    <t>['mahal', 'harga', 'paket']</t>
  </si>
  <si>
    <t>['mantap', 'harga', 'turunkan']</t>
  </si>
  <si>
    <t>['jaringan', 'hilang', '']</t>
  </si>
  <si>
    <t>['kesini', 'mahal', 'bagus', 'sinyalnya', 'jelek', 'suka', 'ngilang', 'hapus', 'provider']</t>
  </si>
  <si>
    <t>['pokoknya', 'puas', 'pakai', 'telkomsel']</t>
  </si>
  <si>
    <t>['akun', 'jalan', 'buka', 'diberandanya', 'something', 'wrong', 'sinyal', 'kuota', '']</t>
  </si>
  <si>
    <t>['update', 'terusssss', 'paket', 'kuota', 'internet', 'mahalll', 'provaider', 'telkomsel', 'bangkruttt', '']</t>
  </si>
  <si>
    <t>['mantap', 'mudah', 'beli', 'pulsa', 'cek', 'beli', 'kuota']</t>
  </si>
  <si>
    <t>['bodoh', 'kasih', 'bintang', 'jaringan', 'lemot', 'pusat', 'kota', 'dibayar', 'ngasih', 'bintng', '']</t>
  </si>
  <si>
    <t>['puas', 'pelayanan', 'telkomsel', 'semoga', 'kedepannya', 'promo', 'promo', 'telkomsel', '']</t>
  </si>
  <si>
    <t>['ngentod', 'babi', 'monyet', 'ajinggggg']</t>
  </si>
  <si>
    <t>['jaringan', 'benerin', 'lag', 'mahal', 'doang']</t>
  </si>
  <si>
    <t>['bagus', 'aplikasi', '']</t>
  </si>
  <si>
    <t>['apk', 'mytelkomsel', 'membantu', 'dlm', 'memilih', 'paket', 'sesuai']</t>
  </si>
  <si>
    <t>['kouta', 'geratis', 'andk', 'ambil', 'cok']</t>
  </si>
  <si>
    <t>['ngotak', 'beli', 'pulsa', 'habisin', 'detik', 'kembaliin', 'pulsa', 'pokoknya', 'kembalikan']</t>
  </si>
  <si>
    <t>['paket', 'jaringannya']</t>
  </si>
  <si>
    <t>['layanan', 'terbaik', 'provider', 'indonesia', 'internet', 'lancar', 'mengadakan', 'daily', 'check', 'senang', 'hadiah', 'kuota', 'internet', 'pembelian', 'internet', 'murah', 'tambahkan', 'promo', 'internet', 'kuota', 'harganya', 'terjangkau', 'terima', 'kasih']</t>
  </si>
  <si>
    <t>['aplikasi', 'bagus', '']</t>
  </si>
  <si>
    <t>['lag', 'jaringan', 'mnta', 'ampun', 'deh', 'udah', 'kuota', 'mahal', 'ramah', 'kantong', 'jaringan', 'sesuai', 'harga', '']</t>
  </si>
  <si>
    <t>['harga', 'paket', 'mahal', 'trouble', 'gag', 'kepakai', 'kerja', 'udah', 'ganti', 'nomer', 'ratingnya', 'jelek', 'turun', 'bintangnya', '']</t>
  </si>
  <si>
    <t>['kemudahan', 'nomor', 'telkomsel', '']</t>
  </si>
  <si>
    <t>['salam', 'indonesia', 'maaf', 'canda', 'heeh', 'keren', 'mytelkomsel', 'membiat', 'pengguna', 'pemula', 'kadi', 'mengerti', 'mengisi', 'kuota', 'pulsa', 'thanks', '']</t>
  </si>
  <si>
    <t>['terbantu', 'kemudahan', 'kemudahan', 'terima', 'kasih', '']</t>
  </si>
  <si>
    <t>['bagus', 'membantu', 'terimkasih', 'telkomsel']</t>
  </si>
  <si>
    <t>['knapa', 'beli', 'kouta', 'perpanjang', 'gangguan', 'beli', 'peket', 'bisaa', 'kanapa']</t>
  </si>
  <si>
    <t>['sinyal', 'jelek', 'dikota', 'deket', 'tower', 'nga', 'nyaman', 'kali', 'sinyalnya', 'jelek', 'mulu']</t>
  </si>
  <si>
    <t>['jaringan', 'telkomsel', 'daerah', 'jelek', 'banget']</t>
  </si>
  <si>
    <t>['udahh', 'bbrp', 'sinyal', 'jelek', 'banget', 'pusat', 'kota', 'main', 'game', 'mengecewakan', 'tolong', 'lahh', 'udah', 'th', 'jdi', 'pelanggan', 'telkomsel', 'respon', 'keluhan', 'beli', 'kuota', 'internet', 'mahal', 'puas', 'mengecewakan']</t>
  </si>
  <si>
    <t>['hrd', 'tolong', 'jaringannya', 'dikondisikan', 'harga', 'kartu', 'paket', 'dimahalin', 'kualitas', 'jaringan', 'nol', 'update', 'apk', 'playstore', 'terkadang', 'butuh', 'durasi', 'jam', 'kapasitas', 'apk', 'palingan', 'mb', 'promo', 'dibanyak', 'in', 'kartu', 'kerja', 'sehari', 'bangke', 'otak', 'operator', 'telkomsel', 'tolong', 'sinyal', 'burik', 'provider', 'perbaiki', 'sebagus', 'fix', 'sinyal', 'telkom', 'anjinggggggggg']</t>
  </si>
  <si>
    <t>['beli', 'kartu', 'telkomsel', 'ntar', 'nyesel', 'sinyalnya', 'jelek', 'kuota', 'mahal', 'mending', 'kartu', 'sebelah', 'murah', 'sinyal', 'bagus', 'game']</t>
  </si>
  <si>
    <t>['telkomsel', 'kesini', 'payah', 'iya', 'bagus', 'kaya', 'provider', 'cuman', 'kayanya', 'parah', 'deh', 'buka', 'medsos', 'muter', 'tolong', 'pelanggan', 'kecewa', 'niat', 'hati', 'pindah', 'telkomsel', 'jaringan', 'kenyataanya', 'sesuai', 'ekspektasi', 'payahhh']</t>
  </si>
  <si>
    <t>['senang']</t>
  </si>
  <si>
    <t>['memuaskan', 'pelayanannya']</t>
  </si>
  <si>
    <t>['karna', 'kartu', 'kuota', 'pakai', 'telkomsel', 'kali', 'ngisi', 'pulsa', 'habis', 'tarik', 'internet', 'kuota', 'coba', '']</t>
  </si>
  <si>
    <t>['kecewa', 'telkomsel', 'lambat', 'jaringan', 'internet', 'murah', 'paket', 'promo', 'mati', 'listrik', 'mati', 'jaringan', 'pelanngan', 'setia', 'telkomsel', 'bintang', 'kurangi', '']</t>
  </si>
  <si>
    <t>['kali', 'kambuh', 'penyakit', 'telkomsel', 'error', 'pecat', 'pegawai', 'masak', 'iya', 'aplikasi', 'eror', 'mulu']</t>
  </si>
  <si>
    <t>['keluhan', 'beli', 'pembayaran', 'paket', 'gagal', 'respon', 'aplikasi', 'customer', 'service', 'andri', 'make', 'telkomsel', 'mengecewakan', 'mahal', 'lambat', 'mending', 'indoosat', 'bintang', '']</t>
  </si>
  <si>
    <t>['memuaskan', 'konsumen', '']</t>
  </si>
  <si>
    <t>['paket', 'nelfon', 'paket', 'internet', 'terbagi', 'nelfon', 'nelfon', 'aplikasi', 'paket', 'terbeli', 'sia', '']</t>
  </si>
  <si>
    <t>['mohon', 'diperbaiki', 'collect', 'sms', 'daftar', 'mengirim', 'collect', 'sms', 'layanan', 'pesan', 'permintaan', 'collect', 'sms', 'ditolak', 'nomor', 'dikenal', 'merugikan', 'top', 'pulsa', 'habis', 'collect', 'sms', '']</t>
  </si>
  <si>
    <t>['pakai', 'makasih']</t>
  </si>
  <si>
    <t>['isi', 'pulsa', 'potong', 'pinjam', 'pulsa', 'aktifkan', 'payah', 'telekomsel', 'bintang']</t>
  </si>
  <si>
    <t>['eror', 'update', 'aplikasi', 'sndri', 'kasi', 'bintang', '']</t>
  </si>
  <si>
    <t>['update', 'versi', 'aplikasinya', 'buka', 'layar', 'putih', 'tampil', 'mohon', 'perbaiki', 'pengguna', 'andorid', '']</t>
  </si>
  <si>
    <t>['', 'kasih', 'harga', 'murah', 'paketnya', '']</t>
  </si>
  <si>
    <t>['berinovasi', 'terbaik']</t>
  </si>
  <si>
    <t>['stlah', 'diupdate', 'dibuka', '']</t>
  </si>
  <si>
    <t>['perkuat', 'sinyal']</t>
  </si>
  <si>
    <t>['bagus', 'mempermudah']</t>
  </si>
  <si>
    <t>['jaringan', 'telkomsel', 'bagus']</t>
  </si>
  <si>
    <t>['jaringan', 'asuu', 'paket', 'mahal', 'jaringannya', 'bagus', 'bangettt']</t>
  </si>
  <si>
    <t>['sinyal', 'timbul', 'ilang', 'harga', 'kuota', 'mahal', 'sinyal', 'ngelag']</t>
  </si>
  <si>
    <t>['kasih', 'bintang', 'kecewa', 'isi', 'pulsa', 'ribu', 'udah', 'disedot', 'kembaliin', 'ama', 'chat', 'mudah', 'mudahan', 'dibaca', 'trus', 'kembaliin', 'pulsa']</t>
  </si>
  <si>
    <t>['disuruh', 'download', 'telkomsel', 'kayanya', 'pulsa', 'rb', 'bohong']</t>
  </si>
  <si>
    <t>['membantu', 'pademi', 'maju', 'depannya', 'salam', 'sehat', 'telkomsel', 'recomended']</t>
  </si>
  <si>
    <t>['mengases', 'informasi', 'cepat']</t>
  </si>
  <si>
    <t>['aplikasi', 'telkomsel', 'nggak', 'buka', 'yaa', '']</t>
  </si>
  <si>
    <t>['sinyal', 'ganguan']</t>
  </si>
  <si>
    <t>['telkomsel', 'jaringan', 'terbaik', 'terluas', 'nusantara', 'smoga', 'tuhan', 'hambamu', 'menang', 'hadia', 'lucky', 'draw', 'dri', 'terkomsel', 'amin', '']</t>
  </si>
  <si>
    <t>['alhamdulillah', 'dibuka', 'aplikasi', 'mytelkomsel', 'trimz', 'pertahankan', 'pelayanan', 'terbaik', 'aplikasi', 'mytelkomsel', '']</t>
  </si>
  <si>
    <t>['hrs', 'bagus']</t>
  </si>
  <si>
    <t>['apk', 'mytelkomsel', 'udah', 'dibuka', 'reset', 'ponsel', 'data', 'pabrik', 'unduh', 'tetep', 'kebuka', 'layar', 'putih', 'update', 'versi', 'udah', 'dibuka', 'lancar', 'jaya', 'kendala', 'terima', 'kasih', 'mytelkomsel', 'semoga', 'lancar', '']</t>
  </si>
  <si>
    <t>['terima', 'kasih', 'kasih', 'versi', 'terbaru', 'buka', 'aplikasi', 'telkomsel', '']</t>
  </si>
  <si>
    <t>['makasihh', 'baguss', 'bangettt']</t>
  </si>
  <si>
    <t>['gimana', 'isi', 'paket', 'data', 'lemot', 'jaringan', 'full', 'buruk', 'kaya', 'gini', 'paketnya', 'mahal', 'jaringan', 'jelek', 'mulu']</t>
  </si>
  <si>
    <t>['jaringan', 'terlelet', 'aplikasinya', 'mengecewakan', '']</t>
  </si>
  <si>
    <t>['bagus', 'kalah', 'ama', 'smartfren', 'ayo', 'simpati', 'kaya', 'lobang', 'semut', 'sinyal', 'kaga', 'nge', 'lag']</t>
  </si>
  <si>
    <t>['bohongi', 'ama', 'paket', 'zoom', 'mytelkomsel', 'dlm', 'deskripsi', 'menit', 'peserta', 'kenyataannya', 'menit', 'mati', 'max', 'peserta', 'kecewa', '']</t>
  </si>
  <si>
    <t>['aplikasi', 'sangaaaaaat', 'kereen', 'membantuuu']</t>
  </si>
  <si>
    <t>['tingkatkan', 'kualitas', 'jaringan', 'semoga', 'jaringan', 'pelosok', 'terpencil', '']</t>
  </si>
  <si>
    <t>['mohon', 'telkomsel', 'isi', 'pulsa', 'rb', 'masuk', 'membeli', 'indomaret', 'tertulis', 'struk', 'mengisi', 'pulsa', 'rb', 'salah', 'indomaret', 'telkomselnya', 'korupsi', 'mohon', 'kamis', 'dec', '']</t>
  </si>
  <si>
    <t>['benci', 'login', 'parah', 'uda', 'mahal', 'udah', 'ribet', 'ngapain', 'eror', 'wifi', 'provider']</t>
  </si>
  <si>
    <t>['', 'paket', 'internet']</t>
  </si>
  <si>
    <t>['update', 'jelek', 'apk', 'beli', 'kuota', 'gb', 'rb', 'update', 'beli', 'jaringan', 'lancar', 'mohon', 'diperbaiki', 'kedepannya']</t>
  </si>
  <si>
    <t>['', 'telkom', 'gmana', 'hitung', 'paket', 'data', '']</t>
  </si>
  <si>
    <t>['harga', 'beli', 'mahal', 'bukanya', 'murah', 'telkomsel', 'bersahabat', 'harga', 'paket', 'data', '']</t>
  </si>
  <si>
    <t>['main', 'potong', 'pulsa', 'kerjaan']</t>
  </si>
  <si>
    <t>['gampang', 'beli', 'paket']</t>
  </si>
  <si>
    <t>['sinyal', 'susah', 'lemottt', 'buka', 'aplikasi', 'telkomsel', 'kesalahan', 'mesti', 'sisa', 'pulsa', 'hilang', 'samasekali', '']</t>
  </si>
  <si>
    <t>['jaringan', 'knp', 'lemot', 'astaga', 'doang', 'loading', 'teruss', 'hadeh']</t>
  </si>
  <si>
    <t>['sinyalnya', 'telkomsel', 'rokanhulu', 'riau', 'menyerupai', 'pisang', 'goreng', 'hanyut', 'sungai', 'batang', 'lubuh', '']</t>
  </si>
  <si>
    <t>['tot', 'sinyal', 'lemah', 'buruk', 'sinyal', 'hilang', 'nyesel', 'beli', 'telkomsel', 'kali', 'beli']</t>
  </si>
  <si>
    <t>['jaringan', 'internetnya', 'kendala', 'kuota', 'mahal', 'sinyal', 'baguslah', 'mahal', 'doang', 'jaringan', 'ampas']</t>
  </si>
  <si>
    <t>['sinyal', 'parahnya', 'ngak', 'ngotak', 'sinyal', 'down', 'ngak', 'mohon', 'telkomsel', 'perbaikan', 'maksimal', 'berkesinambungan', 'konsistensinya']</t>
  </si>
  <si>
    <t>['aplikasi', 'mempersulit', 'hidup', 'pelanggan', 'tsel', 'pilihan', 'paket', 'diskon', 'promo', 'penukaran', 'poin', 'potong', 'pulsa', 'akui', 'jaringan', 'top', 'markotop', 'harga', 'paket', 'data', 'lipat', 'operator', 'sebelah', '']</t>
  </si>
  <si>
    <t>['telkomsel', 'pepek', 'mahal', 'anjenggg', 'terpake', 'kontolll']</t>
  </si>
  <si>
    <t>['aplikasi', 'bagus']</t>
  </si>
  <si>
    <t>['knp', 'pinjam', 'data', 'kuota', 'byk', 'kecewa', 'kayak', 'sengaja', 'muncul', 'dilayar', 'iklannya', 'sengaja', 'klik', 'isi', 'pulsa', 'selanjut', 'kena', 'potong', 'kasih', '']</t>
  </si>
  <si>
    <t>['najis', 'gue', 'pke', 'simpati', 'thn', 'bagus', 'jaringan', 'skrng', 'jaringan', 'bobrok', 'bogor', 'bubulak', 'jaringan', 'kadang', 'trus', 'kuota', 'sisa', 'gb', 'udh', 'lemot', 'provider', 'sblah', 'bagus', 'inu', 'simpati', 'thn', 'bobrok', 'ganti', 'pke', 'sblah', 'najis', 'simpati', 'jaringan', 'bobrok']</t>
  </si>
  <si>
    <t>['harga', 'kuota', 'mahal', 'paket', 'ribu', 'sinyal', 'ancur', 'plat', 'merah', 'emang', 'bener', '']</t>
  </si>
  <si>
    <t>['bagus', 'baget', 'aplksnya', '']</t>
  </si>
  <si>
    <t>['pagi', 'ngaktifin', 'paket', 'youtube', 'tersambung', 'youtube', 'coba', 'komplain', 'veronika', 'ampun', 'nyesel', 'banget', 'telkomsel', 'komplain', 'susah', 'sinyal', 'jelek', 'auto', 'buang', 'simcard', 'appnya', '']</t>
  </si>
  <si>
    <t>['oke', 'bangat', 'dimanapun', 'posisi', 'tingkatkan', 'performanya']</t>
  </si>
  <si>
    <t>['susah', 'masuk', 'aplikasi', 'gagal', 'uninstall', 'aplikasi', 'download', 'kali', 'masuk', 'gagal', 'mengulang', 'install', 'ulang', '']</t>
  </si>
  <si>
    <t>['pindah', 'jaringan', 'telkomsel', 'lag']</t>
  </si>
  <si>
    <t>['seminggu', 'aplikasi', 'blank', 'uda', 'clearchace', 'hapus', 'data', 'reinstall', 'msh', 'blank', 'hadeehhh', '']</t>
  </si>
  <si>
    <t>['puas', 'kecewa', 'internetnya', 'hilang']</t>
  </si>
  <si>
    <t>['telkomsel', 'raja', 'sinyal', '']</t>
  </si>
  <si>
    <t>['app', 'jelek', 'bkin', 'error', 'msk', 'beli', 'pulsa', 'app', 'telkomsel', 'nggk', 'masuk', 'pulsa', 'pembayaran', 'udah', 'clear', 'gmn', 'mksd', 'tolong', 'benerin', 'lgi', '']</t>
  </si>
  <si>
    <t>['membantu', '']</t>
  </si>
  <si>
    <t>['perbaikan']</t>
  </si>
  <si>
    <t>['suka', 'telkomsel', '']</t>
  </si>
  <si>
    <t>['isiin', 'paket', 'telkom', 'ribed', 'bgtt', 'udh', 'isi', 'pulsa', 'tpi', 'mncul', 'pesan', 'pulsa', 'mencukupi', 'bug', 'tlong', 'udh', 'mahal', 'boros', 'lemot', 'jaringan', 'terbtas', 'hadehh']</t>
  </si>
  <si>
    <t>['beli', 'paket', 'giganet', 'gb', 'harga', 'jaringan', 'kenyataanya', 'lemot', 'situs', 'judi', 'online', 'memperifikasi', 'periksa', 'jaringan', 'bos', 'ngepro', 'situs', 'online', 'mang', 'kerja', 'profesional', 'sinyal', 'rusak', 'lex', 'situs', 'akun', 'kluar', 'notifikasi', 'skrng', 'beli', 'paket', 'harga', 'sinyal', 'lembek', 'akun', 'situs', 'lex', 'perbaiki', 'laah', 'penggemar', 'simpati', 'kaum', 'radical', '']</t>
  </si>
  <si>
    <t>['login', 'terbaik', 'jaringan', 'lelet', 'kadang', 'pakai', 'wifi', 'ngeleg', 'aplikasinya', 'buka', 'emang', 'telkomsel', 'mengecewakan', '']</t>
  </si>
  <si>
    <t>['tolong', 'telkom', 'sinyal', 'perbaiki', 'enaknya', 'war', 'jaringan', 'edge', 'apaansii', '']</t>
  </si>
  <si>
    <t>['internetnya', 'mahal', 'nomor', 'lainya', 'blm', 'berubah', 'harganya']</t>
  </si>
  <si>
    <t>['nomor', 'dibajak', 'orang', 'whatsapp', 'telkomsel', 'tolong', 'meningkatkan', 'security', '']</t>
  </si>
  <si>
    <t>['tingkatkan', 'kwalitas', 'jaringan', 'daerah']</t>
  </si>
  <si>
    <t>['beli', 'paket', 'app', 'udah', 'udah', 'ulang', 'instal', 'kagak', 'jelek', 'banget', 'app', 'pelayanannya']</t>
  </si>
  <si>
    <t>['mantap', 'tingkatkan', 'gartisan', 'kuotanya']</t>
  </si>
  <si>
    <t>['bintang', 'gua', 'kasih', 'bintang', 'jelek', 'telkomsel', 'pelayanan', 'slow', 'respon', 'paket', 'gua', 'beli', 'pagi', 'kadang', 'siang', 'masuk', 'lelet']</t>
  </si>
  <si>
    <t>['pakatnya', 'telkomsel', 'mahal', 'mahal']</t>
  </si>
  <si>
    <t>['mudah', 'isi', 'paket', 'data', 'ribet', 'cri', 'counter', 'plsa', 'pas', 'daerah', 'susah', 'bngt', 'cri', 'telkomsel', 'gampang', 'sumpah', 'mkin', 'mudah', '']</t>
  </si>
  <si>
    <t>['harga', 'ribu', 'aslinya', 'pas', 'ribu', 'ribu', 'mubazir', 'pulsa', 'pass']</t>
  </si>
  <si>
    <t>['bintang', 'memuaskan', 'ntar', 'tambahin', 'bintangnya']</t>
  </si>
  <si>
    <t>['berpungsi', 'alhamdulillah']</t>
  </si>
  <si>
    <t>['mohon', 'tertibkan', 'sms', 'sms', 'nomer', 'nomer', 'judi', 'online', 'sehari', 'sms', 'masuk', 'mengganggu']</t>
  </si>
  <si>
    <t>['lambat', 'pembelian', 'paket', 'internet', 'berulang', 'ulang', 'pembelian', 'pulsa']</t>
  </si>
  <si>
    <t>['berlangganan', 'mahal', 'mahal', 'menu', 'nyaa', '']</t>
  </si>
  <si>
    <t>['hapus', 'kouta', 'multimedia', 'kepakek', 'useless', '']</t>
  </si>
  <si>
    <t>['telkomsel', 'mantap']</t>
  </si>
  <si>
    <t>['alhamdulillah', 'telkomsel', 'kuat', 'signalnya', 'paketnya', 'terjangkau', '']</t>
  </si>
  <si>
    <t>['bagusss', 'nggak', 'bingung', 'simpel']</t>
  </si>
  <si>
    <t>['paketannya', 'mahal']</t>
  </si>
  <si>
    <t>['maaf', 'pagi', 'menerima', 'telepon', 'mengatas', 'namakan', 'contacts', 'center', 'tawaran', 'menarik', 'data', 'pribadi', 'privasi', 'mengatas', 'namakan', 'contacts', 'center', 'beneran', 'penipuan', 'mohon', 'pencerahannya', 'ditanggapi']</t>
  </si>
  <si>
    <t>['sistem', 'jelek', 'sisa', 'pulsa', 'cek', 'beli', 'paket', 'internet', 'potongan', 'pulsa', 'suruh', 'isi', 'ulang', 'pulsa', 'paket', 'beli', 'haraga', 'pulsa', 'beres', 'hapus', 'apk', 'telkomsel', 'ngabisin', 'kuota', 'kecewa', 'banget', 'udh', 'thn', 'pakai', 'telkomsel']</t>
  </si>
  <si>
    <t>['kecewa', 'telkomse', 'kouta', 'combo', 'sakti', 'gb', 'harga', 'mending', 'pindah', 'provider', 'ajalah', 'harga', 'kouta', 'mahal', 'jaringan', 'jelek', 'banget']</t>
  </si>
  <si>
    <t>['apk', 'membantu', 'keluarga']</t>
  </si>
  <si>
    <t>['telkomsel', 'sinyalnya', 'susah', 'mahal', 'doang']</t>
  </si>
  <si>
    <t>['udah', 'beli', 'paket', 'internet']</t>
  </si>
  <si>
    <t>['telkomsel', 'mah', 'juara', '']</t>
  </si>
  <si>
    <t>['telkomsel', 'hati', 'tolong', 'jaga', 'signal', 'jaringan', 'internet', 'nyaman', 'mengunakan', 'telkomsel', 'jaringan', 'internet', 'perbaiki', 'daerah', 'bagus', 'jaringan', 'internet']</t>
  </si>
  <si>
    <t>['tolong', 'daerah', 'loyang', 'kecamatan', 'cikedung', 'kabupaten', 'indramayu', 'sinyal', 'tingkatin', 'sinyal']</t>
  </si>
  <si>
    <t>['rating', 'pelayanan', 'buruk', 'bot', 'solusinya']</t>
  </si>
  <si>
    <t>['kayu', 'didalam', 'air', 'timbul', 'tengelam', 'jaringannya', 'memuaskan', 'peribadi']</t>
  </si>
  <si>
    <t>['dapet', 'paketan', 'murah', 'dibawah', 'rb', 'kartu', 'tsl', 'udah', 'diskon', 'atwpun', 'apalah', 'lihat', 'teman', 'paketan', 'murah', 'murah', 'dapet', 'seminggu', 'jga', 'lumyan', 'iri', 'rasanyaa', 'semoga', 'denger']</t>
  </si>
  <si>
    <t>['ancur', 'jaringan', 'tsel', 'skrg', 'dmn', 'ancurrrr', 'ancurrrr', 'ancurrrrr']</t>
  </si>
  <si>
    <t>['oke', 'pokonya']</t>
  </si>
  <si>
    <t>['tingkatkan', 'jaringan', 'stabil']</t>
  </si>
  <si>
    <t>['aplikasinya', 'dibuka', 'udah', 'kali', 'instal', 'ulang', 'tetep', 'layarnya', 'putih', 'gimana', 'telkomsel', 'prustasi', 'bulak', 'instal', 'ulang']</t>
  </si>
  <si>
    <t>['intinya', 'kecewa', 'moga', 'telkomsel', 'gulung', 'tikar', 'sinyal', 'aduhhhh', 'nggak', 'org', 'hancur', 'gara', 'sinyal', '']</t>
  </si>
  <si>
    <t>['kecewa', 'ngeluh', 'komentar', 'kagak', 'udah', 'nge', 'keluhan', 'mala', 'kyk', 'suruh', 'survei', 'orang', 'nanya', 'permasalahan', 'jaringan', 'susah', 'mode', 'pesawat', 'solusinya', 'hadeh', 'ganti', 'propaider', 'kagak', 'kartu']</t>
  </si>
  <si>
    <t>['kualtas', 'internet', 'dtngktkn', 'lgi', 'trimksh', '']</t>
  </si>
  <si>
    <t>['kemudahan']</t>
  </si>
  <si>
    <t>['jelek', 'engak', 'buka', 'payah', 'mahal', 'doank', 'kartu']</t>
  </si>
  <si>
    <t>['telkomsel', 'terpuruk', 'beralih', 'lho', 'min', 'jawa', 'jaringan', 'telkomsel', 'melambat', 'drastis', 'ayoo', 'perbaiki', '']</t>
  </si>
  <si>
    <t>['jaringan', 'palakkk', 'paket', 'bali', 'maha', 'jaringan', 'palak', 'juo', 'lai', '']</t>
  </si>
  <si>
    <t>['', 'pakai', 'samsung', 'app', 'telkomsel', 'versi', 'terbaru', 'open', 'perngkat', '']</t>
  </si>
  <si>
    <t>['paket', 'data', 'mahal']</t>
  </si>
  <si>
    <t>['udah', 'minggu', 'ngga', 'tuker', 'poin', 'poinnya', 'udah', 'darurat', 'kuota', 'sampe', 'sampe', 'pinjam', 'operator', 'rb', 'gb', 'tolong', 'kuota', 'darurat', 'khusus', 'data', 'perbaikan', 'menukarkan', 'poin', 'data']</t>
  </si>
  <si>
    <t>['update', 'dibuka', 'diperbaiki', 'aplikasinya', 'bermasalah']</t>
  </si>
  <si>
    <t>['praktis', 'isi', 'ulang', 'pulsa', 'paket', 'data']</t>
  </si>
  <si>
    <t>['aplikasi', 'mendukung', 'aktivitas', 'menjual', 'informasi', 'salah']</t>
  </si>
  <si>
    <t>['keluhan', 'beli', 'pulsa', 'telkomsel', 'kali', 'masuk', 'hilang']</t>
  </si>
  <si>
    <t>['aneh', 'sekelas', 'telkomsel', 'aplikasinya', 'lemot', 'amet', 'masuk', 'halaman', 'loadingnya', 'amet', 'parah', 'parah', '']</t>
  </si>
  <si>
    <t>['perbanyak', 'promo', 'promo', '']</t>
  </si>
  <si>
    <t>['mudah', 'membeli', 'data']</t>
  </si>
  <si>
    <t>['', 'tertulis', 'habis', 'mahal', 'banget', 'gmna', 'hemat', 'gitu']</t>
  </si>
  <si>
    <t>['abis', 'update', 'login', 'samsek', 'apasii', 'weiii', 'perbaikin']</t>
  </si>
  <si>
    <t>['kartu', 'beda', 'beda', 'harga', 'paketnya', 'telkomsel', 'mahal', 'signal', 'menentu', 'mohon', 'diperbaiki', 'pengguna', 'telkomsel', 'pindah']</t>
  </si>
  <si>
    <t>['jaringan', 'stabil', 'harga', 'paket', 'mahal']</t>
  </si>
  <si>
    <t>['aplikasinya', 'dibuka', 'banget', 'layar', 'putih', 'harga', 'paketan', 'mahal', 'sinyal', 'menjamin', 'harga', 'mahal', 'leletnya', 'ampun', 'banget', 'lelet', 'sehari', 'kehitung', 'mohon', 'perbaiki', '']</t>
  </si>
  <si>
    <t>['jaringan', 'parah', 'kuat', 'game', 'online', 'internetan', 'nyaranin', 'propider', 'nyesel', 'beli', 'paket', 'ribu']</t>
  </si>
  <si>
    <t>['layak', 'kasih', 'bintang', 'karna', 'karna', 'tukar', 'poin', 'paket', 'poin', 'terkirim', '']</t>
  </si>
  <si>
    <t>['okee', 'bangett', 'mudahh', 'mengunakannya', '']</t>
  </si>
  <si>
    <t>['bermanfaat', 'promo', 'berjalan', 'maksimal', 'lawas', 'harap', 'peningkatannya', 'dirate', 'bintang', '']</t>
  </si>
  <si>
    <t>['mahal', 'harga', 'internetnya', 'pakai', 'youtube', 'pulsa', 'terpotong', 'kuota', 'internet', 'gb']</t>
  </si>
  <si>
    <t>['produk', 'telkomsel', 'mahal', 'paket', 'datanya']</t>
  </si>
  <si>
    <t>['hlo', 'telkomsel', 'mohon', 'hapus', 'paket', 'spesial', 'telpon', 'harga', 'tolong', 'urang', 'miskin', 'membeli', 'paket', 'telpone', 'munculkan', 'paket', 'menghubunggi', 'orang', 'tua', 'kasih', 'permanen', 'telpone']</t>
  </si>
  <si>
    <t>['telkomsel', 'tolong', 'yaaa', 'udh', 'beli', 'paket', 'internet', 'pulsa', 'tetep', 'ambil', 'kadang', 'internetan', 'pakai', 'telkomsel', 'pulsa', 'udh', 'diambil', 'telkomsel', '']</t>
  </si>
  <si>
    <t>['mudah', 'ribet', '']</t>
  </si>
  <si>
    <t>['bagus', 'banget', 'paket', 'promo', 'hargax', 'murah', 'jaringan', 'bagus', '']</t>
  </si>
  <si>
    <t>['internetnya', 'mahal', 'ganti', 'kartu', 'sajaaa', 'kecewa', 'bertahun', 'telkomsel', 'mahal', 'lelet']</t>
  </si>
  <si>
    <t>['menarik', '']</t>
  </si>
  <si>
    <t>['bagus', 'murah', 'beli', 'paket', '']</t>
  </si>
  <si>
    <t>['mahal', 'mahal', 'ahir', 'kecewa', 'balikin', 'beneran']</t>
  </si>
  <si>
    <t>['pulsa', 'kesedot', 'paket', 'internetnya', 'payah', '']</t>
  </si>
  <si>
    <t>['paketnya', 'taik', '']</t>
  </si>
  <si>
    <t>['beli', 'paket', 'telkomsel', 'gagal', 'koneksi', 'trs', 'sad', '']</t>
  </si>
  <si>
    <t>['ganti', 'unduh', 'aplikasi', 'telkomsel', 'diunduh', 'dibuka', 'layar', 'putih', 'chat', 'telegram', 'banget', 'solusinya', 'udah', 'restart', 'ulang', 'buka', 'telkomsel', 'diunduh', 'bintangnya', 'email', 'disuruh', 'downgrade', 'aplikasi', 'telkomsel', 'versi', 'dibuka', 'update', 'biarlah', 'versi', '']</t>
  </si>
  <si>
    <t>['mempertahankan', 'kemudahan', 'harga', 'murah']</t>
  </si>
  <si>
    <t>['pulsa', 'hilang', 'deh', 'beli', 'pasang', 'paket', 'sisa', 'ribu', 'ehh', 'udah', 'parah', 'banget', 'kali', '']</t>
  </si>
  <si>
    <t>['memuaskan']</t>
  </si>
  <si>
    <t>['kenapaaaa', 'pulsanya', 'masukk', '']</t>
  </si>
  <si>
    <t>['layanan', 'telkomsel', 'memuaskan', 'masyarakat', 'terima', 'kasih', 'telkomsel', '']</t>
  </si>
  <si>
    <t>['telkomsel', 'kesini', 'mahal', 'buruk', 'kantor', 'telkomsel', 'towernya', 'sinyal', 'bermasalah', 'teman', 'pengguna', 'telkomsel']</t>
  </si>
  <si>
    <t>['cepat', 'bermanfaat']</t>
  </si>
  <si>
    <t>['perbanyak', 'promo', 'paketan', 'internet', 'murah', '']</t>
  </si>
  <si>
    <t>['telkomsel', 'paten', 'kali', '']</t>
  </si>
  <si>
    <t>['bingung', 'sisa', 'kuota', 'blm', 'terpakai', 'buka', 'youtube', 'buka', 'foto', 'face', 'book', 'bayar', 'abudemen', '']</t>
  </si>
  <si>
    <t>['aplikasi', 'eror', 'pakai', 'pakai', 'ttp', 'pakai', 'beli', 'kuota', 'aplikasinya', 'bener', 'bener', 'prik', 'banget', 'eror', 'aplikasi', 'jelek', 'eror', '']</t>
  </si>
  <si>
    <t>['sekedar', 'fungsi']</t>
  </si>
  <si>
    <t>['lelet', 'buka']</t>
  </si>
  <si>
    <t>['aplikasi', 'membantu', 'cek', 'kuota', 'isi', 'paket', '']</t>
  </si>
  <si>
    <t>['burukk', 'sinyal', 'telkomsell', 'kuota', 'slalu', 'teruss', 'harganyaa', 'gara', 'kabel', 'digigit', 'hiu', 'serba', 'menurun', 'kualitasnya', '']</t>
  </si>
  <si>
    <t>['pelanggan', 'telkomsel', 'maaf', 'terpaksa', 'bintang', 'turunkan', 'sinyal', 'telkomsel', 'buruk', 'telepon', 'internetnya', 'mohon', 'diperbaiki', '']</t>
  </si>
  <si>
    <t>['bagus', 'bangett', 'aplikasi', 'kouta', 'borosss', 'sehari', 'habis', 'terimakasih']</t>
  </si>
  <si>
    <t>['suka', 'skl', 'aplikasinya', '']</t>
  </si>
  <si>
    <t>['mudah', 'penggunaanya']</t>
  </si>
  <si>
    <t>['bermanfaat', 'pribadi']</t>
  </si>
  <si>
    <t>['mahal', 'paket', 'datanya', 'sinyalnya', 'jelek']</t>
  </si>
  <si>
    <t>['sebulan', 'aplikasi', 'telkomsel', 'dibuka', 'normal', 'hapus', 'bintang', 'kemarin', 'tambahkan', 'bintang', 'bintang', 'mohon', 'kendala', 'kemarin', 'cepat', 'ditanggulangin', 'memakan', '']</t>
  </si>
  <si>
    <t>['swk', 'alias', 'waras', 'aplikasinya', 'kali', 'aplikasi', 'simple', 'powerable', 'nge', 'bug', '']</t>
  </si>
  <si>
    <t>['telkomsel', 'apk', 'bener', 'error', 'login', 'maintenance', 'silahkan', 'kasih', 'pemberitahuan']</t>
  </si>
  <si>
    <t>['tgl', 'aplikasi', 'telkomselku', 'buka', 'paham', 'penyebabnya', 'customer', 'telkomsel', 'mngalami', 'problem', 'aplikasi', 'telkomsel', 'dibuka', 'white', 'screen', 'kuncinya', 'sabar', '']</t>
  </si>
  <si>
    <t>['bagus', 'pisaaaaan', 'promonya', '']</t>
  </si>
  <si>
    <t>['', 'telkomsel', 'buka', 'terima', 'kasih', 'lancar', 'tolong', 'pertahankan']</t>
  </si>
  <si>
    <t>['mahal', 'paket', 'telkomsel']</t>
  </si>
  <si>
    <t>['kesini', 'paket', 'kuota', 'telkomsel', 'mahal', 'plus', 'jaringan', 'stabil', '']</t>
  </si>
  <si>
    <t>['', 'hrg', 'kuota', '']</t>
  </si>
  <si>
    <t>['sampah', 'berat', 'buka', 'aplikasi', 'enteng', 'kalah', 'social', 'media', '']</t>
  </si>
  <si>
    <t>['mantap', 'pembayaran', 'thd', 'pembelian', 'pke', 'pulsa', 'ovo', 'hrusnya', 'support', 'pembayaran', 'banking', 'via', 'virtual', 'account', 'bgtu', 'pembayaran', 'ovo', 'langsung', 'masuk', '']</t>
  </si>
  <si>
    <t>['semoga', 'satelit', 'kuota', 'data', 'internet', 'telkomsel', 'shabat', 'terbaik', 'nusantara', '']</t>
  </si>
  <si>
    <t>['untungnya']</t>
  </si>
  <si>
    <t>['terimakasih', 'puas']</t>
  </si>
  <si>
    <t>['mudah', 'membeli', 'paket', 'data', 'undian', 'hehehe']</t>
  </si>
  <si>
    <t>['kasih', 'promo', 'min']</t>
  </si>
  <si>
    <t>['pulsa', 'kesedot', 'pkt', 'kecewa', 'gini', 'mending', 'gua', 'ganti', 'kartu']</t>
  </si>
  <si>
    <t>['terbaik', 'bagus', 'telkomsel']</t>
  </si>
  <si>
    <t>['dibanggakan', 'sekaran', 'campakkan', 'berguna', 'sekaran', 'tiada', 'murah', 'sekaran', 'mahal', 'sinyal', 'penuh', 'arti', 'berguna', 'ngak', 'tower', 'sekaran', 'ngak', 'sinyal', 'ngak']</t>
  </si>
  <si>
    <t>['kekurangannya', 'pengunci', 'pulsa', 'pulsa', 'berkurang', 'kuota', 'hbis', 'jdi', 'tolong', 'tambahin', 'min', '']</t>
  </si>
  <si>
    <t>['kuata', 'mahal', 'tolong', 'perbaiki', 'jaringan', 'daerah', 'airtis', 'dipakai', 'telkomsel', 'terpaksa', '']</t>
  </si>
  <si>
    <t>['', 'telkomsel', 'membantu']</t>
  </si>
  <si>
    <t>['', 'bagus', 'masi', 'ulasanya']</t>
  </si>
  <si>
    <t>['andai', 'daerah', 'memiliki', 'jaringan', 'operator', 'telkomsel', 'tinggalkan', 'telkomsel', 'harga', 'paketnya', 'mencekik', '']</t>
  </si>
  <si>
    <t>['pelayanan', '']</t>
  </si>
  <si>
    <t>['kode', 'promo']</t>
  </si>
  <si>
    <t>['harga', 'kurangi', '']</t>
  </si>
  <si>
    <t>['udah', 'lagih', 'buka', 'aplikasi', 'telkomsel', 'sayah', 'kasih', 'bintang', 'mohon', 'maaf', 'massalah', 'lagih', 'aplikasi', 'lagih', 'sayah', 'kurangi', 'bintanya', 'mohon', 'tingkatkan', 'lagih']</t>
  </si>
  <si>
    <t>['perbaikan', '']</t>
  </si>
  <si>
    <t>['semoga', 'amanah']</t>
  </si>
  <si>
    <t>['paket', 'internet', 'gamemax', 'rugi']</t>
  </si>
  <si>
    <t>['toloong', 'jaringan', 'telkomsel', 'nyaman', 'makenya', 'nyari', 'keuntungan', 'kekmana', 'tolong', 'tolong', '']</t>
  </si>
  <si>
    <t>['oprator', 'jelasss', 'ngelag', 'mulu', 'dinyal', 'gua', 'banget', 'kecewa', 'kartu', 'bilangin', 'oprator', 'perbaiki', 'sinyal', 'udh', 'paketan', 'mahal', 'sinyal', 'jelek', 'bngsd']</t>
  </si>
  <si>
    <t>['kasi', 'bintang', 'pakai', 'aplikasi', 'telkomsel', 'bintangnya', 'aplikasinya', 'memuaskan']</t>
  </si>
  <si>
    <t>['kali', 'buka', 'aplikasinya', 'suka', 'update', 'engga', 'update', 'aplikasinya', 'engga', 'dibuka', 'heran', 'perusahaan', 'plat', 'merah', 'gulung', 'tikar', 'bosan', 'kerja', '']</t>
  </si>
  <si>
    <t>['masuk', 'telkomsel', 'pdahal', 'kmrin', 'bantu', 'dri', 'telkomsel', 'tolong', 'perbaiki']</t>
  </si>
  <si>
    <t>['main', 'game', 'patah', 'mohon', 'diperbaiki']</t>
  </si>
  <si>
    <t>['hallo', 'min', 'knapa', 'kouta', 'unlimited', 'youtube', 'beli', 'beli', 'minggu', 'pulsa', 'habis', 'berguna', 'tolong', 'benerin', '']</t>
  </si>
  <si>
    <t>['jaringan', 'buffring', 'biaya', 'mahal', 'paket', 'kuota', 'cepat', 'boros', 'paket', 'dibagi', 'dimana', 'area', 'konsumen', 'merugi', 'kuota', 'puluhan', 'transaksi', 'paket', 'bln', 'paket', 'multimedia', 'nonton', '']</t>
  </si>
  <si>
    <t>['puas', 'membantu', 'apl']</t>
  </si>
  <si>
    <t>['ngikutin', 'daily', 'login', 'klaim', 'reword', 'kasih', 'tutup', 'dikasih', 'duit', 'dilayanin', '']</t>
  </si>
  <si>
    <t>['bintang', 'karna', 'beli', 'paket', 'nomor', 'lau', 'kirim', 'gif', 'perbaharui', 'perbaharui', 'kirim', 'paket', 'nomor', 'kecewa']</t>
  </si>
  <si>
    <t>['diperbarui', 'susah', 'login', 'pdhl', 'buka', 'youtube', '']</t>
  </si>
  <si>
    <t>['promo', 'hapus', 'dasbor', 'ribet', 'harga', 'paketan', 'kartu', 'berbeda', 'beda', 'sihhhhh', 'aneh']</t>
  </si>
  <si>
    <t>['mantaabbppp', 'membantu']</t>
  </si>
  <si>
    <t>['blanja', 'paket', 'data', 'internet', 'malam', 'cepat', 'murah', 'yuk', 'blanja']</t>
  </si>
  <si>
    <t>['buruk', 'banget', 'lho', 'aplikasi', 'dibuka', 'telkomsel', 'kayak', 'gini', 'aneh', 'banget']</t>
  </si>
  <si>
    <t>['paket', 'internet', 'mahal', 'kuota', 'cepat', 'habis', 'jaringan', 'lelet', 'udh', 'pelangan', 'tolong', 'perbaiki', '']</t>
  </si>
  <si>
    <t>['diperbaiki', 'thanks']</t>
  </si>
  <si>
    <t>['plis', 'deh', 'mahal', 'banget', 'kuotanya', 'cumakartu', 'dpt', 'promo', 'kuota', 'murah', 'dahgitu', 'cepet', 'banget', 'abisnya']</t>
  </si>
  <si>
    <t>['info', 'paket', 'murah', 'meriah']</t>
  </si>
  <si>
    <t>['komunikasi', 'memperoleh', 'informasi', 'pulsa', 'dll']</t>
  </si>
  <si>
    <t>['paketvrelpon', 'bualanan', 'murah', '']</t>
  </si>
  <si>
    <t>['syang', 'blan', 'hrga']</t>
  </si>
  <si>
    <t>['paket', 'youtube', 'gb', 'dipake', '']</t>
  </si>
  <si>
    <t>['membantu', 'sekian']</t>
  </si>
  <si>
    <t>['jaringan', 'seret', 'banget']</t>
  </si>
  <si>
    <t>['poin', 'tukar', 'pulsa']</t>
  </si>
  <si>
    <t>['knpa', 'telkomsel', 'gua', 'ngk', 'terbuka', 'layar', 'putih', 'udh', 'gua', 'hapus', 'gua', 'download', 'lgi', 'ngk', 'terbuka', 'layar', 'putih', 'hmm']</t>
  </si>
  <si>
    <t>['apk', 'login', 'dibilang', 'coba', 'udh', 'apk', 'bodoh', 'saran', 'gue', 'download', 'apk', '']</t>
  </si>
  <si>
    <t>['jaringan', 'jelek', 'solusi', 'suruh', 'ganti', 'apn', 'restart', 'solusi', 'paketan', 'mahal', 'jaringan', 'lelet']</t>
  </si>
  <si>
    <t>['good', 'tpi', 'sayang', 'pulsa', 'kesedot', 'trus', 'yaa', 'paket', 'tpi', 'bagus', 'jaringan', 'josss', 'kemana']</t>
  </si>
  <si>
    <t>['telkomsel', 'pilihan', '']</t>
  </si>
  <si>
    <t>['tolong', 'telkomsel', 'jaringan', 'perluasan', 'lgi', 'kaum', 'kaum', 'pedalaman', 'sinyal', 'nggk', 'ketinggalan', 'jaman']</t>
  </si>
  <si>
    <t>['aplikasi', 'bagus', 'bermanfaat', 'gituu', 'liat', 'kuota', 'and', 'bonus', 'ditambahin', 'yaa', 'telkomsel', 'kuota', 'nyaa', 'jugaaa', '']</t>
  </si>
  <si>
    <t>['kuota', 'gamemax', 'silver', 'gb', 'gb', 'pindah', 'haluan', '']</t>
  </si>
  <si>
    <t>['bantu', 'perbaiki', 'signal', 'daerah', 'donk']</t>
  </si>
  <si>
    <t>['baguss', 'kali', 'apk']</t>
  </si>
  <si>
    <t>['suka', 'telkomsel', 'media', 'internet', 'sinyalnya', 'lancar', 'pelayanannya', 'bagus', 'pakai', 'telkomsel', 'puas', 'terima', 'kasih', 'perhatiannya', '']</t>
  </si>
  <si>
    <t>['jaringan', 'telkomsel', 'lemot', 'lelet', 'bayak', 'perubahan', 'harga', 'mahal', 'jaringan', 'lelet', 'paketan', 'bayak', 'contoh', 'kuota', 'lokal', 'kuota', 'internet', 'gb', 'kuota', 'nonton', 'gb', 'masyarakat', 'resah', 'besok', 'besok', 'ganti', 'kuota', 'indutri', 'haduuu', 'payah', 'payah', 'jadiin', 'kuota', 'internet', 'orang', 'beli', 'batasin']</t>
  </si>
  <si>
    <t>['kasih', 'bintang', 'karana', 'update', 'buka']</t>
  </si>
  <si>
    <t>['ngiss', 'kon', 'tol', 'bakko', 'pecah']</t>
  </si>
  <si>
    <t>['aplikasi', 'telkomsel', 'membantu', 'keterbukaan', 'informasi', 'publik', 'rakayasa', '']</t>
  </si>
  <si>
    <t>['paymentnya', 'metodenya', 'hilang', 'update', 'difix', 'full', 'apresiasi', 'bintang', '']</t>
  </si>
  <si>
    <t>['kecewa', 'dibuka', 'appnya', 'kali', 'buka', 'hapus', 'data', 'buang', 'kuaota', 'trus']</t>
  </si>
  <si>
    <t>['aplikasi', 'telkomsel', 'bukak', 'klik', 'gambar', 'tolong', 'dibantu']</t>
  </si>
  <si>
    <t>['informqtif', 'mudah']</t>
  </si>
  <si>
    <t>['telkomsel', 'dibuka', 'terima', 'kasih', 'telkomsel', '']</t>
  </si>
  <si>
    <t>['bagus', 'cepat', 'ngecek', 'data', 'susah', 'bantuan', 'min', '']</t>
  </si>
  <si>
    <t>['jaringan', 'kbs', 'ngapain', 'gila', 'jaringan', 'simpati', 'hancur', 'tpi', 'paket', 'pengambilan', '']</t>
  </si>
  <si>
    <t>['sebenernya', 'males', 'ngasih', 'ulasan', 'bales', 'baca', 'bot', 'doang', 'sesuai', 'pembahasan', 'customer', 'ngasih', 'solusi', 'gitu', 'gitu', 'solusinya', 'menyelesaikan', 'permasalan', 'customer', '']</t>
  </si>
  <si>
    <t>['terima', 'kasih', 'telkomsel', 'percaya', 'telkomsel', 'pakai', 'kartu', 'telkosem']</t>
  </si>
  <si>
    <t>['bagus', '']</t>
  </si>
  <si>
    <t>['mantab', '']</t>
  </si>
  <si>
    <t>['sinyal', 'jelek', 'paket', 'doang', 'mahal', 'sesuai', 'pke', 'main', 'game', 'udh', 'bsa', 'percaya', 'sya', 'kcewa', 'sbgai', 'member', '']</t>
  </si>
  <si>
    <t>['aplikasi', 'membatu', 'kenyataannya', 'kekuatan', 'sinyal', 'lemah', '']</t>
  </si>
  <si>
    <t>['', 'buka', 'maunya', 'update', 'lagiiiiiiiiiiiiiiiiiii']</t>
  </si>
  <si>
    <t>['telkomsel', 'dibuka', 'susah', '']</t>
  </si>
  <si>
    <t>['', 'coba', 'bilim']</t>
  </si>
  <si>
    <t>['susah', 'bngt', 'dpt', 'sinyal', 'jelek', 'sinyalnya', 'tolong', 'perbaiki', 'trmksh', '']</t>
  </si>
  <si>
    <t>['kembaliin', 'pulsa', 'isi', 'beli', 'kuota', 'pulsa', 'pas', 'beli', 'kuota', 'transaksi', 'gagal', 'alasannya', 'pulsa', 'mencukupi', 'buka', 'aplikasinya', 'wifi', 'restart', 'buka', 'apliksi', 'telkomselnya', 'lakh', 'pulsa', 'tinggal', 'kmna', '']</t>
  </si>
  <si>
    <t>['kesini', 'edan', 'sinyal']</t>
  </si>
  <si>
    <t>['nyesel', 'gue', 'kartu', 'telkomsel', 'jaringan', 'kaya', 'taiiiii', 'lemot', 'asuuu']</t>
  </si>
  <si>
    <t>['telkomsel', 'jaringan', 'telkomsel', 'emang', 'mengecewakan', 'harga', 'mahal', 'koneksi', 'bermasalah', 'kali', 'kecewa']</t>
  </si>
  <si>
    <t>['hmm', 'gimana', 'kuota', 'kemakan', 'pulsanya', 'parah', 'telkomsel']</t>
  </si>
  <si>
    <t>['bertele', 'menunya', 'pengguna', 'kayak']</t>
  </si>
  <si>
    <t>['sebel', 'deh', 'ngga', 'beli', 'paket', 'internet', 'bermasalah', 'reseh', 'sebel', 'pokoknya', 'mending', 'ngga', 'telkomsel', 'deh', 'susah', 'sinyal', 'apk', 'ngga']</t>
  </si>
  <si>
    <t>['update', 'sinyal', 'suka', 'ilang', 'ilang', 'kek', '']</t>
  </si>
  <si>
    <t>['tingkatkan', '']</t>
  </si>
  <si>
    <t>['telkomsel', 'scam', 'udah', 'beli', 'voucher', 'vidio', 'point', 'pas', 'dimasukkan', 'kode', 'voucher', 'mantap']</t>
  </si>
  <si>
    <t>['jaringan', 'internet', 'memuaskan', 'stabil', 'telkomsel', 'ngga', 'andalkan', 'jaringan', '']</t>
  </si>
  <si>
    <t>['walupun', 'mahal', 'sinyal', 'goib', 'gpp', '']</t>
  </si>
  <si>
    <t>['oke', 'applikasinya', 'mantap', 'tolong', 'tingkatkan', 'teeus', 'bos', '']</t>
  </si>
  <si>
    <t>['mahal', 'doang', 'siyal', 'lelet']</t>
  </si>
  <si>
    <t>['min', 'sinyal', 'jelek', 'mohon', 'baca', 'min', 'turnamen', 'game', 'butuh', 'secepatnya', 'sinyalnya', 'bagus', 'min', 'kegangu', 'sinyal', 'ngelag', 'min', 'kaga', 'tuker', 'point', 'jadiin', 'voucher', 'game', 'min', '']</t>
  </si>
  <si>
    <t>['perna', 'tukar', 'poin', 'pulasa', 'gimana']</t>
  </si>
  <si>
    <t>['telkomsel', 'bagus', 'bagus', 'rusak']</t>
  </si>
  <si>
    <t>['pembaruan', 'mulu', 'jaringan', 'diperbarui', 'kesini', 'gajelas', 'jaringan', 'internetnya']</t>
  </si>
  <si>
    <t>['nge', 'lag', 'cok', 'bosok', 'share', 'lock', 'babi', 'lonte']</t>
  </si>
  <si>
    <t>['sinyal', 'tesel', 'hancur', 'paket', 'mahal', 'lgi', '']</t>
  </si>
  <si>
    <t>['wes', 'wes', 'sinyalnya', 'jelek', 'wifi', 'orbitpun', 'heran', 'telkomsel', 'buruk', 'kualitas', 'sinyalnya']</t>
  </si>
  <si>
    <t>['kuota', 'kau', 'mahal', 'mahalin', 'jaringan', 'kau', 'kutengok', 'gaada', 'etika', 'kau', 'kau', 'beli', 'kuota', 'kau', 'mahal', 'daon', 'uang', 'kali', 'betingkah', 'emang', 'kau', 'mending', 'ganti', 'kartu']</t>
  </si>
  <si>
    <t>['perbaikan', 'sinyal', 'menerus']</t>
  </si>
  <si>
    <t>['kecewa', 'aturan', 'fup', 'kuota', 'multimedia', 'mbps', 'gabisa', 'digunain', 'udah', 'hapus', 'kuota', 'multimedianya', 'beli', 'paket', 'kuota', 'utama', 'kuota', 'multimedia', 'pembodohan', 'tolong', 'rubah', 'aturan', 'fup']</t>
  </si>
  <si>
    <t>['', 'telkomsel', 'udah', 'sebulan', 'dibuka', 'nelpon', 'operator', 'jam', 'ditindak', 'lanjuti', 'tolong', 'tipu', 'njirrrrrrrrrr', 'tambahi', 'bintangnya', 'telkomsel', 'udah', 'dibuka', 'jujur', 'sinyal', 'kalah', 'provider', 'sebelah']</t>
  </si>
  <si>
    <t>['adakan', 'unlimited', 'perbulan', 'golongan', 'kelas', 'menengah', '']</t>
  </si>
  <si>
    <t>['berhenti', 'berlangganan', 'kartu', 'halo', 'kecewa', 'jaringan', 'jelek', 'banget', 'pusing', 'klu', 'internet']</t>
  </si>
  <si>
    <t>['', 'data', 'seluler', 'matikan', 'pulsa', 'sedot', 'sampe', 'habis', 'langganan', 'aneh', '']</t>
  </si>
  <si>
    <t>['pengguna', 'telkomsel', 'kesini', 'jaringan', 'buruk', 'perbaiki', 'pelayanan', 'konsumen', 'ngejar', 'cuan', '']</t>
  </si>
  <si>
    <t>['app', 'terlemot', 'kebanyakan', 'maaf', 'kesalahan', 'sistem', '']</t>
  </si>
  <si>
    <t>['puas', 'apk', 'mytelkomsel']</t>
  </si>
  <si>
    <t>['kali', 'isi', 'langganan', 'disney', 'hotstar', 'koktetap', 'nnton', '']</t>
  </si>
  <si>
    <t>['klau', 'jokes', 'yaa', 'leg', 'taikk', 'masuk', 'apk', 'telkom']</t>
  </si>
  <si>
    <t>['utuk', 'daerah', 'pebayuran', 'sinyal', 'telkomsel', 'parah', 'banget', 'jaringan', 'telkomsel', 'sinyalnya', 'jelek', 'banget', 'stabil', 'tolong', 'telkomsel', 'perbaiki', 'boro', 'pakai', 'jelek', 'mengecewakan', 'konsumen', 'telkomsel', '']</t>
  </si>
  <si>
    <t>['undi', 'point', 'menang', '']</t>
  </si>
  <si>
    <t>['trading', 'sinyal', 'rugi', 'review', 'jujur', 'perbaiki', 'kualitas', 'sinyal', 'internet', 'kehilangan', 'pelanggan']</t>
  </si>
  <si>
    <t>['user', 'paketan', 'mahal', 'tpi', 'servicenya', 'memuaskan', 'sinyal', 'ilang', 'trus', 'wooooooooyyyyyyyyyyyyyy', '']</t>
  </si>
  <si>
    <t>['paket', 'telpon', 'lokal', 'aplikasi', 'update', 'terbaru', 'paket', 'telpon', 'negeri', 'hey', 'operator', 'telkomsel', 'terhormat', 'pengguna', 'telkomsel', 'indonesia', 'nelpon', 'negeri', 'warga', 'tinggal', 'telpon', 'lokal', 'bener', 'aplikasi', 'nti', 'uninstal', 'aplikasi', '']</t>
  </si>
  <si>
    <t>['aplikasi', 'informatif', 'informasi', 'seringkali', 'bertentangan', 'aplikasi', 'samgat', 'user', 'friendly', 'kecewe', 'telkomsel', '']</t>
  </si>
  <si>
    <t>['jaringan', 'oke', 'semoga', 'ditingkatkan', '']</t>
  </si>
  <si>
    <t>['paketnya', 'mahal', 'jaringannya', 'jelek', 'gimana', '']</t>
  </si>
  <si>
    <t>['pulsa', 'melebihi', 'paket', 'dibeli', 'harga', 'paket', 'mahal']</t>
  </si>
  <si>
    <t>['hati']</t>
  </si>
  <si>
    <t>['mudah', 'isi', 'paketan']</t>
  </si>
  <si>
    <t>['aplikasi', 'bagus', 'membantu']</t>
  </si>
  <si>
    <t>['paketan', 'mahal', 'sinyal', 'gada', 'lawak']</t>
  </si>
  <si>
    <t>['coba', 'nnt', 'klu', 'cocok', 'bintangnya', '']</t>
  </si>
  <si>
    <t>['telkomsel', 'tutup', 'uda', 'gunanya', 'jaringan', 'internet', 'lemot', 'kek', 'siput', 'harga', 'paket', 'mahal', 'kek', 'emas', 'kecewa', 'telkomsel', 'udah', 'berpuluh', 'make', 'telkomsel', 'bagus', 'mlah', 'buruk']</t>
  </si>
  <si>
    <t>['proses', 'cepat']</t>
  </si>
  <si>
    <t>['jaringan', 'ngelag', 'pengguna', 'berkurang', 'akibat', 'jaringan', 'telkomsel', 'ngelag', 'mohon', 'perbaiki', '']</t>
  </si>
  <si>
    <t>['signal', 'busuk', 'paket', 'doang', 'mahal', 'pelayanan', 'ditingkatkan', 'perbaikan', 'karna', 'relasi', 'buang', 'ketempat', 'sampah', 'peras', 'beli', 'paketan', 'mahal', 'kualitas', 'murahan', '']</t>
  </si>
  <si>
    <t>['sinyal', 'kayak', 'taik', 'main', 'game', 'online', 'ping', 'merah', 'turus']</t>
  </si>
  <si>
    <t>['sesuai', 'tarif', 'alias', 'lemot', 'jaringan', '']</t>
  </si>
  <si>
    <t>['jaringan', 'telkomsel', 'ngeleg', 'udah', 'banget', 'jaringan', 'stabil', 'gimana', 'tolong', 'perbaikin', 'jaringannya', 'nggak', 'lemot', 'banget', '']</t>
  </si>
  <si>
    <t>['woy', 'telkomsel', 'kasih', 'hadiah', 'kuota', 'gratislah', 'barunii', 'minimal', 'gban', 'pelanggan', 'setia', 'mewakili', 'pengguna', 'telkomsel', '']</t>
  </si>
  <si>
    <t>['jaringan', 'kali', 'jelek', 'tolong', 'perbaiki', 'jaringan']</t>
  </si>
  <si>
    <t>['', 'fast', 'respon', 'mantap', 'pilihan', 'paket', 'lengkap', '']</t>
  </si>
  <si>
    <t>['tolong', 'tingkatkan', 'notifikasi', 'check', 'pas', 'udah', 'login', 'apk', 'ingatkan', '']</t>
  </si>
  <si>
    <t>['aplikasinya', 'keren', 'oaket', 'murah', 'kecepatan', 'setabil']</t>
  </si>
  <si>
    <t>['paketnya', 'super', 'hemat', 'terjangkau']</t>
  </si>
  <si>
    <t>['semoga', 'jaya', 'jaringan', 'telkomsel', 'pelosok', 'kalimantan', 'aamiin']</t>
  </si>
  <si>
    <t>['harga', 'paket', 'murah']</t>
  </si>
  <si>
    <t>['aplikasinya', 'joos', 'banget']</t>
  </si>
  <si>
    <t>['udah', 'bayar', 'tagihan', 'kota', 'internet', 'telkomsel', 'bangkrut', 'ditutup']</t>
  </si>
  <si>
    <t>['sinyal', 'kayak', 'kontol', 'ilang', 'mulu', 'anjing', 'woii', 'anjing', 'balas', '']</t>
  </si>
  <si>
    <t>['min', 'kuota', 'ketengan', 'facebook', 'hotspot', 'orang', 'tua', 'bermain', 'facebook', 'hotspot', 'kuota', 'utama', '']</t>
  </si>
  <si>
    <t>['mohon', 'pulsa', 'ambil', 'trus', 'telkom', 'sinyal']</t>
  </si>
  <si>
    <t>['update', 'pas', 'buka', 'update', 'udh', 'update', 'gajelas', 'apk', 'telkomsel', 'skrg']</t>
  </si>
  <si>
    <t>['udah', 'lelet', 'tukar', 'poin', 'ngak', 'gue', 'unistal', 'min', 'operator', 'bagus', 'hadirnya', '']</t>
  </si>
  <si>
    <t>['kualitas', 'sinyal', 'perbaiki', 'kesini', 'buruk', 'kualitas', 'telkomsel']</t>
  </si>
  <si>
    <t>['simpati', 'kau', 'emng', 'sinyal', 'jelek', 'kaya', 'gini', 'tolong', 'punah', 'punah', 'ajah', 'sinyal', 'sekecewa', 'simpati', '']</t>
  </si>
  <si>
    <t>['sinyal', 'burik', 'beli', 'kuota', 'mahal', 'sinyal', 'lemot', 'kuota', 'pakai', 'update', 'mulu', 'sinyalnya', 'lemot', 'banget', '']</t>
  </si>
  <si>
    <t>['spam', 'bintang', 'yok', 'sinyal', 'njiiing', 'udah', 'ganti', 'kartu', 'sinyal', 'mulu']</t>
  </si>
  <si>
    <t>['masuk']</t>
  </si>
  <si>
    <t>['tolong', 'perbaiki', 'jaringannya', 'khusus', 'pasaman', 'sumatra', 'barat', 'jaringan', 'jelek', 'kuota', 'mahal', 'kuota', 'serasa', 'karna', 'jaringan', 'lambat', 'tolong', 'perbaikiya', 'mimin', '']</t>
  </si>
  <si>
    <t>['komplain', 'melulu', 'gue', 'update', 'udah', 'diakses', 'paket', 'combo', 'sakti', 'gb', 'dikemanain', 'busyeeeettt', 'telkomsel', 'kayaknya', 'telkomsel', 'khusus', 'kalangan', 'executive', 'jelata', '']</t>
  </si>
  <si>
    <t>['bintang', 'sinyal', 'jelek', 'pengguna', 'setia', 'telkomsel', 'nilai']</t>
  </si>
  <si>
    <t>['telkomsel', 'jaringannya', 'susah', 'kaya', 'gini', 'percayalah', 'pengguna', 'telkomsel', 'berkurang', 'mohon', 'telkomsel', 'jaringannya', 'ditingkatkan', 'terimaksih']</t>
  </si>
  <si>
    <t>['', 'senang', 'telkomsel']</t>
  </si>
  <si>
    <t>['paketan', 'mahal', 'jaringan', 'blank', 'ngomong', 'kampung', 'tangerang', 'kota', 'ambil', 'untung', 'trus', 'manitance', 'tower', 'membagongkan', 'disconected', 'game', 'sulit', 'login', 'game', 'jaringan', 'koneksi', '']</t>
  </si>
  <si>
    <t>['paket', 'internetnya', 'mahal', 'ngotak', 'mending', 'pindah', '']</t>
  </si>
  <si>
    <t>['sel', 'masuk', 'masuk', 'gue', '']</t>
  </si>
  <si>
    <t>['bagus', 'memudahkan', 'beli', 'paket']</t>
  </si>
  <si>
    <t>['keseringan', 'update', 'aplikasinya', 'lemot', 'keong', 'buka', 'aplikasinya', 'layar', 'putih', 'doang', 'terbaru', 'ram', 'sinyal', 'telkomsel', 'aplikasi', 'lancar', 'aapa', '']</t>
  </si>
  <si>
    <t>['udah', 'mahal', 'sinyal', 'pelit', 'kecepatan', 'keong', 'wiss', 'buang', 'buang']</t>
  </si>
  <si>
    <t>['bunds', 'harga', 'paket', '']</t>
  </si>
  <si>
    <t>['nihhh', 'ngelag', 'pas', 'nge', 'game', 'ngelagnya', 'wajar', 'massa', 'iya', 'kartu', 'mahal', 'kouta', 'mahal', 'serba', 'mahal', 'sinyalnya', 'kek', 'gini', 'mohon', 'benerin', '']</t>
  </si>
  <si>
    <t>['tolol', 'lag', 'parah']</t>
  </si>
  <si>
    <t>['lemot', 'pdhl', 'sudan', 'jaringan', 'signal', 'bagus', 'isi', 'pulsa', 'suka', 'mempotong', 'saldonya', 'buka', 'doang', 'cepet', 'habis', 'boros', 'sehari', 'abis', 'gb', 'pdhl', 'menit']</t>
  </si>
  <si>
    <t>['', 'upload', 'ancur', 'udahlah', 'sinyal', 'ngk', 'maju', 'kualitas', 'telkomsel', 'menurun', '']</t>
  </si>
  <si>
    <t>['sinyal', 'kaya', 'jelek', 'bet']</t>
  </si>
  <si>
    <t>['jaringan', 'macem', 'tokai', 'mahal', 'doang', 'sinyal', 'kaya']</t>
  </si>
  <si>
    <t>['telcomsel']</t>
  </si>
  <si>
    <t>['sinyal', 'bagus', 'kali', 'lambat', 'karna', 'musim', 'hujan', 'kali', '']</t>
  </si>
  <si>
    <t>['buruk', 'kualitas', 'jaringan', 'gua', 'telkomsel', 'udah', 'belasan', 'asli', 'kesini', 'parah']</t>
  </si>
  <si>
    <t>['telkomsel', 'parah', 'jaringan', 'data', 'bagus', 'rugi', 'beli', 'data', 'harga', 'mahal', 'jaringnya', 'buruk', 'tolong', 'perbaiki', 'seandainya', 'jaringan', 'masyarakat', 'kotaku', 'jaringan']</t>
  </si>
  <si>
    <t>['aplikasi', 'dibuka']</t>
  </si>
  <si>
    <t>['suka', 'banget', 'aplikasi', 'membantu', 'kuota', 'cek', 'kuota', 'tambahan', 'lumayan', 'terima', 'kasihhhh']</t>
  </si>
  <si>
    <t>['aplikasi', 'buka', 'stuck', 'karyawan', 'perbaiki', 'aplikasinya', 'membutihkan', 'tenaga', 'berkonstribusi', 'kebutulan', 'org', 'salah', 'perusahaan', 'bumn']</t>
  </si>
  <si>
    <t>['parah', 'jringanlu', 'full', 'ngapa', 'ngadad', 'browsing', 'doang', 'muter', 'bae']</t>
  </si>
  <si>
    <t>['memuaskn']</t>
  </si>
  <si>
    <t>['beli', 'paket', 'mahal', 'mahal', 'jaringan', 'tetep', 'jelek', 'kirain', 'sesuai', 'harganya']</t>
  </si>
  <si>
    <t>['', 'siip', 'terima', 'kasih', 'mengoptimalkan', 'sinyal', 'tsel', 'bagus', 'tolong', 'pertahankan', 'yaa', 'kinerjanya', '']</t>
  </si>
  <si>
    <t>['aplikasinya', 'sederhana', 'memudahkan', 'pengguna']</t>
  </si>
  <si>
    <t>['tolong', 'telkomsel', 'isi', 'ulang', 'kuota', 'kuota', 'nonton', 'lokal', 'mengikuti', 'syarat', 'ketentuan', 'kepake', 'gimana', 'tetep', 'kuota', 'utama', 'kesedot', 'mending', 'dihapuskan', 'kuota', 'nonton', '']</t>
  </si>
  <si>
    <t>['pengguna', 'setia', 'telkom', 'kecewa', 'membeli', 'kuota', 'pilihannya', 'terbatas', 'combo', 'sakti', 'kuota', 'utama', 'multimedia', 'internet', 'omg', 'pilihan', 'penggolongan', 'kuota', 'bulanan', 'mengecewakan', 'harga', 'speednya', 'menurun', '']</t>
  </si>
  <si>
    <t>['bagus', 'aplikasinya']</t>
  </si>
  <si>
    <t>['pas', 'buka', 'app', 'koneksi', 'internet', 'bagus', 'loading', 'koneksi', 'internet', 'bagus', 'transfer', 'kuota', 'cepat', 'kasih', 'bintang', 'deh']</t>
  </si>
  <si>
    <t>['weh', 'gmn', 'mentang', 'mentang', 'paket', 'utama', 'cuman', 'paket', 'youtube', 'unlimited', 'paket', 'youtube', 'unlimited', 'jalan', 'buka', 'youtube', 'sesara', 'kuota', '']</t>
  </si>
  <si>
    <t>['udh', 'sebulan', 'aplikasi', 'dibuka', 'unistal', 'jdnya', 'lemot', 'banget', 'parah']</t>
  </si>
  <si>
    <t>['hei', 'telkomsel', 'dimana', 'paket', 'data', 'mahal', 'jaringan', 'amburadul', 'udah', 'ngapain', 'telkomsel', '']</t>
  </si>
  <si>
    <t>['aplikasi', 'ngak', 'beli', 'paket', 'serba', 'mahal', 'ngak', 'promo']</t>
  </si>
  <si>
    <t>['aplikasi', 'dibuka', 'admin', 'tolong', 'upgrade', 'aplikasinya', 'versi', '']</t>
  </si>
  <si>
    <t>['alhamdulillah', 'membantu', 'harga', 'paket', 'kurangi', 'selebihnya', '']</t>
  </si>
  <si>
    <t>['sinyal', 'lelet', 'udah', 'kota', 'lelet', 'deket', 'towernya', 'saranin', 'beli', 'kartu', 'telkom', 'deh', 'nyesel', 'mending', 'pakek', 'wifi', 'kartu', 'pokok', 'telkomsel', 'sekian']</t>
  </si>
  <si>
    <t>['membantu']</t>
  </si>
  <si>
    <t>['kasi', 'internet', 'murahhhh']</t>
  </si>
  <si>
    <t>['jaringan', 'unlimetid', 'nggak', 'bagus', 'mengecewakan']</t>
  </si>
  <si>
    <t>['woi', 'telkomsel', 'bener', 'udah', 'beli', 'paket', 'telpon', 'pulsa', 'udah', 'hilang', 'bonus', 'telpon', 'telkomsel', 'uang', 'penipuan', 'parah', 'kali', 'telkomsel', 'balikin', 'pulsa', 'hilang', 'udah', 'gila', 'telkomsel', '']</t>
  </si>
  <si>
    <t>['paketnya', 'murahin', 'telkomsel', 'mantaf']</t>
  </si>
  <si>
    <t>['sebulan', 'aplikasi', 'dibuka', 'jelek', 'pelayanan', 'telkomsel', '']</t>
  </si>
  <si>
    <t>['jaringan', 'nyah', 'ngelag', 'mulu', 'fak', '']</t>
  </si>
  <si>
    <t>['tolong', 'masuk', 'permudah']</t>
  </si>
  <si>
    <t>['deket', 'pasca', 'sinyalnya', 'jelekk', 'seminggu', 'sinyal', 'ngadat', 'tgl', 'desember', '']</t>
  </si>
  <si>
    <t>['adakan', 'paket', 'gceria']</t>
  </si>
  <si>
    <t>['komplain', 'ditanggepin', 'dikasih', 'bintang', 'direspon', '']</t>
  </si>
  <si>
    <t>['bagus', 'berguna']</t>
  </si>
  <si>
    <t>['bagus', 'tambahan', 'discount', 'promonya']</t>
  </si>
  <si>
    <t>['telkomsel', 'laganan', 'sayah']</t>
  </si>
  <si>
    <t>['kbuka', 'lgi', 'diakses']</t>
  </si>
  <si>
    <t>['', 'login', 'hape', 'murah', 'jadul']</t>
  </si>
  <si>
    <t>['dipake', 'predikat']</t>
  </si>
  <si>
    <t>['', 'telkomsel', 'aman', 'telkomsel', 'orang', 'tagihan', 'rb', 'jt']</t>
  </si>
  <si>
    <t>['mkasdny', 'telkom', 'kya', 'ginih', 'jdi', 'jelek', 'bli', 'pket', 'jdi', 'susah', 'sekirany', 'iklad', 'promo', 'telkom', 'tutup', 'lam', 'gua', 'beralih', 'jariangan', 'telkom', 'parah']</t>
  </si>
  <si>
    <t>['murah', 'paketnya']</t>
  </si>
  <si>
    <t>['jaringannya', 'lag', 'mulu', '']</t>
  </si>
  <si>
    <t>['terbaik', 'semoga', 'promo']</t>
  </si>
  <si>
    <t>['bintang', 'internetnya', 'rumah', 'masuk', 'ngan', 'kamar', 'hilang', 'berubah', '']</t>
  </si>
  <si>
    <t>['min', 'beli', 'ekstra', 'unlimited', 'metode', 'udah', 'isi', 'saldo', 'sopay', 'ehh', 'beli', 'ekstra', 'unlimited', 'ngak', 'min', 'tolong', 'perbaiki']</t>
  </si>
  <si>
    <t>['apk']</t>
  </si>
  <si>
    <t>['mudah', 'rumit', 'membeli', 'paket', '']</t>
  </si>
  <si>
    <t>['mudah', 'pembelian', 'paket']</t>
  </si>
  <si>
    <t>['harga', 'paket', 'mahal', 'jaringan', 'buruk', 'pusat', 'kota', 'desa', 'berasa', 'tolong', 'perbaiki', '']</t>
  </si>
  <si>
    <t>['aplikasinyah', 'bagus', 'banget']</t>
  </si>
  <si>
    <t>['simpel', 'memudahkan']</t>
  </si>
  <si>
    <t>['sape', 'aplikasi', 'telkomsel', 'terinstal']</t>
  </si>
  <si>
    <t>['apk', 'lemot', '']</t>
  </si>
  <si>
    <t>['kasih', 'bintang', 'karna', 'mahal', 'kuota', '']</t>
  </si>
  <si>
    <t>['aplikasi', 'bermutu', 'udah', 'kali', 'download', 'daftar', 'gagal', 'kamprettttt']</t>
  </si>
  <si>
    <t>['aplikasinya', 'sdah', 'bagus', 'tolong', 'jngan', 'mnempilkan', 'pilihan', 'paket', 'darurat', 'scroll', 'mengganggu', 'apalgi', 'pket', 'darurat', 'aktif', 'sepengetahuan', 'pemilik', 'kuota', 'pemberitahuan', 'paket', 'darurat', 'aktif', 'pilihan', 'aplikasi', 'paket', 'darurat', 'menampilkan', 'membuka', 'aplikasi', 'media', 'sosial', '']</t>
  </si>
  <si>
    <t>['bagus', 'pakai', 'otp', 'link', 'karna', 'pakai', 'nomer', '']</t>
  </si>
  <si>
    <t>['install', 'berharap', 'undian', 'udah', 'setahun', 'tukar', 'poin', 'pengundian', 'disiarkan', 'live', 'dicurangi']</t>
  </si>
  <si>
    <t>['membatu', 'kereeen']</t>
  </si>
  <si>
    <t>['', 'telkomsel', 'bagus', 'lancar', 'hemat', 'mohon', 'maaf', 'buka', 'aplikasi', 'disitu', 'putih', 'senyap', 'orang', 'oprator', 'brengsek', 'mencuri', 'kuota', 'check', 'mohon', 'oprator', 'telkomsel', 'harap', 'waspada', 'hati', 'thanks', '']</t>
  </si>
  <si>
    <t>['nyaman', 'telkomsel', 'transfer', 'pulsa', 'gagal', 'nyaman', '']</t>
  </si>
  <si>
    <t>['telkomsel', 'emang', 'best']</t>
  </si>
  <si>
    <t>['pengguna', 'telkomsel', 'apk', 'download', 'dibuka', 'dicoba', 'berulang', 'kali', 'beda', 'beda', 'ttep', 'kebuka', 'tolong', 'bantuannya', 'admin', '']</t>
  </si>
  <si>
    <t>['', 'menuhi', 'imanan', 'maha', 'esa', 'berkat', 'alloh', 'swt', 'semoga', 'bermanfaat', 'sobat', 'ngasih', 'saham', 'berdoalah', 'allah', 'maha', 'kuasa', 'nikmat', 'sehat', 'perhatian', 'khusus', 'menuhi', 'nikmat', 'perhatian', 'khusus', 'amin']</t>
  </si>
  <si>
    <t>['apk', 'telkomsel', 'bagus', 'membantu', 'gue', 'beraktivitas']</t>
  </si>
  <si>
    <t>['harga', 'sinyal', 'sebanding', '']</t>
  </si>
  <si>
    <t>['apk', 'telkomsel', 'mauuu', 'bukaa', '']</t>
  </si>
  <si>
    <t>['memuaskan', 'harga', 'data', 'mahal']</t>
  </si>
  <si>
    <t>['udh', 'download', 'muncul', 'cmn', 'blank', 'putih', '']</t>
  </si>
  <si>
    <t>['kog', 'log', 'klik', 'link', 'sms', 'otp', 'aplikasi', 'dibuka', '']</t>
  </si>
  <si>
    <t>['woi', 'kartu', 'mahal', 'jaringan', 'ngelag']</t>
  </si>
  <si>
    <t>['jaringan', 'lemoot', 'sekaliiii', 'broooo']</t>
  </si>
  <si>
    <t>['semoga', 'telkomsel', 'maju', 'memperbanyak', 'bonus', 'kuota', 'internet', 'pelayanan', '']</t>
  </si>
  <si>
    <t>['suka', 'ngeblank', 'buk']</t>
  </si>
  <si>
    <t>['pelayanan', 'telkomsel', 'lancar', 'lelet', 'daerah', 'sumatra', 'humbanghasundutan', 'sinyalnya', 'jelek', 'banget', '']</t>
  </si>
  <si>
    <t>['kecewa', 'paketan', 'internet', 'tolong', 'telkomsel', 'diadakan', 'paketan', 'internet', 'harganya', 'ribu', 'kalangan', 'menengah', 'membantu', 'terima', 'kasih', '']</t>
  </si>
  <si>
    <t>['telkomsel', 'boros', 'beli', 'paket', 'seharga', 'habis']</t>
  </si>
  <si>
    <t>['aplikasi', 'dibuka', 'tolonglah', 'kasihan', 'rakyat', '']</t>
  </si>
  <si>
    <t>['apk', 'bermanfaat', 'semoga', 'apk', 'sukses', '']</t>
  </si>
  <si>
    <t>['senang', 'pakai', 'telkomsel', 'harganya', 'milik', 'indonesia', '']</t>
  </si>
  <si>
    <t>['aplikasi', 'buruk', 'buka', 'bbrpa', 'kli', 'instal', 'ajh', 'kebuka']</t>
  </si>
  <si>
    <t>['pelanggan', 'telkomselko', 'paket', 'mahal', 'ksh', 'bntng', 'ajalah']</t>
  </si>
  <si>
    <t>['perbaiki', 'jaringan', 'jngan', 'koar', 'koar', 'ngiklan', 'doang', 'prcuma', 'mahal', 'kualitas', 'mengecewakan']</t>
  </si>
  <si>
    <t>['memakai', 'telkomsel', 'promo', 'paket', 'mahal']</t>
  </si>
  <si>
    <t>['pelayan', 'sesuai', 'harga', '']</t>
  </si>
  <si>
    <t>['vivo', '']</t>
  </si>
  <si>
    <t>['apk', 'jelek', 'maketkannya', 'kuota', 'kota', 'banyuasin', 'apk', 'telkomsel', 'kuota', 'lokalnya', 'gabisa']</t>
  </si>
  <si>
    <t>['memuaskan', 'memakai', 'telkomsel']</t>
  </si>
  <si>
    <t>['paket', 'mahal', 'knapa', '']</t>
  </si>
  <si>
    <t>['voucher', 'zalora', 'hasil', 'check', 'harian', 'dipakai', '']</t>
  </si>
  <si>
    <t>['beli', 'paket', 'mudah', 'telkomsel', 'terima', 'kasih']</t>
  </si>
  <si>
    <t>['mytelkomsel', 'membantu', 'terimakasih', 'mytelkomsel', '']</t>
  </si>
  <si>
    <t>['fungsi', 'tampilan', 'menarik', '']</t>
  </si>
  <si>
    <t>['setia', 'karna', 'sinyal', 'stabil', 'sayangnya', 'kartu', 'harga', 'paketnya', 'mahal', 'kartu', 'perdana', '']</t>
  </si>
  <si>
    <t>['paket', 'telkomsel', 'mahal', 'udah', 'kartu', 'wifi', '']</t>
  </si>
  <si>
    <t>['bagus', 'membanyu']</t>
  </si>
  <si>
    <t>['instal']</t>
  </si>
  <si>
    <t>['aplikasi', 'buka', 'putih', 'layarnya']</t>
  </si>
  <si>
    <t>['ngapasih', 'jaringan', 'telkomsel', 'melulu']</t>
  </si>
  <si>
    <t>['tolong', 'fiks', 'gangguan', 'mulu', 'gabisa', 'berlangganan', 'amazon', 'prime', 'nunggu', 'menit', 'ulangi', 'transaksi', 'udh', 'ttp', '']</t>
  </si>
  <si>
    <t>['paket', 'berlangganan', 'turun', 'naikan', 'menyusahkan']</t>
  </si>
  <si>
    <t>['why', 'pedulilindungi', '']</t>
  </si>
  <si>
    <t>['min', 'jaringan', 'telkomsel', 'aceh', 'tenggara', 'mati', 'min', 'mohon', 'perbaiki', 'moga', 'lihat', 'bagus', '']</t>
  </si>
  <si>
    <t>['mantap', 'pertahankan', 'tingkatkan']</t>
  </si>
  <si>
    <t>['aplikasi', 'bagus', 'banget', '']</t>
  </si>
  <si>
    <t>['enga', 'enga', 'bener', 'hub', 'pengaduan', 'susah']</t>
  </si>
  <si>
    <t>['gampang', 'ngeliat', 'sisa', 'kuota', 'praktis', 'pokoknya', 'mytelkomsel', 'thank', '']</t>
  </si>
  <si>
    <t>['sebenernya', 'telkomsel', 'uda', 'bagus', 'keselnya', 'dapet', 'kuota', 'berlakunya', 'dikit', 'contoh', 'sehari', 'doang', 'didahuluin', 'tetep', 'kuota', 'utama', 'sayang', 'kuota', 'sehari', 'kebuang', 'sia', 'bilangnya', 'kepake', 'kuota', 'utama', 'udah', 'habis', 'kuota', 'utama', 'dahuluin', 'berlakunya', '']</t>
  </si>
  <si>
    <t>['membantu', 'pengisian', 'kuota', 'pulsa', 'pilihan', 'paketnya', 'mantap']</t>
  </si>
  <si>
    <t>['poin', 'aplikasi', 'buka', 'respon', 'telkomsel']</t>
  </si>
  <si>
    <t>['sekedar', 'ngingetin', 'telkom', 'paket', 'murah', 'cuman', 'ketutupan', 'namany', 'marketing']</t>
  </si>
  <si>
    <t>['dibuka']</t>
  </si>
  <si>
    <t>['apk', 'telkomsel', 'dibuka']</t>
  </si>
  <si>
    <t>['', 'dibuka', 'apdate', 'jelek', 'versi', 'terbaru']</t>
  </si>
  <si>
    <t>['susah', 'banget', 'dipakai', 'force', 'close', 'kaget', 'sekelas', 'telkomsel', 'perusahaan', 'trilyunan', 'aplikasi', 'seburuk', 'buruk', 'melegenda', 'keburukanya', '']</t>
  </si>
  <si>
    <t>['aplikasi', 'buka', 'kak']</t>
  </si>
  <si>
    <t>['inii', 'beli', 'paket', 'unlimited', 'udah', 'dapet', 'notif', 'beli', 'paket', '']</t>
  </si>
  <si>
    <t>['update', 'akhirx', 'masuk']</t>
  </si>
  <si>
    <t>['harga', 'paket', 'merayap', 'bosku']</t>
  </si>
  <si>
    <t>['knp', 'menghilangkan', 'combosakti', 'gb', '']</t>
  </si>
  <si>
    <t>['buruk', 'kecewa', 'pelanggan', 'setia', 'bln', 'simpati', 'down', '']</t>
  </si>
  <si>
    <t>['jaringan', 'bagus', 'mantao', 'kendala', 'sayang', 'daftar', 'paket', 'jam', 'malem', 'paket', 'slalu', 'hangus', 'ambil', 'paket', 'harian', 'terkadang', 'lupa', 'mematikan', 'data', 'plz', 'abis', 'gara', 'paketin', 'ulang']</t>
  </si>
  <si>
    <t>['mantap', 'lemot']</t>
  </si>
  <si>
    <t>['aplikasi', 'paket', 'datanya', 'murah']</t>
  </si>
  <si>
    <t>['telkomsel', 'bobrok', 'sinyal', 'susah', 'cek', 'pulsa', 'susah', 'jaringan', 'ngadat', 'paket', 'mahal']</t>
  </si>
  <si>
    <t>['mndpt', 'komplain', 'dri', 'pengguna', 'setia', 'aplikasi', 'dibuka', 'kasih', 'bintang', 'terimakasih']</t>
  </si>
  <si>
    <t>['kemarin', 'uda', 'uninstal', 'aplikasi', 'dibuka', 'barusan', 'download', 'pikir', 'uda', 'normal', 'tetep', 'dibuka', 'aplikasinya', 'gimana', 'solusinya', 'mohon', 'dibantu']</t>
  </si>
  <si>
    <t>['kualitas', 'sinyal', 'buruk', 'beli', 'kuota', 'harga', 'mahal', 'lemmmot']</t>
  </si>
  <si>
    <t>['aplikasinya', 'jelek', 'susah', 'buka', 'bln', 'aplikasinya', 'dibuka', '']</t>
  </si>
  <si>
    <t>['mudah', 'mengakses', 'pertahankan', 'prestasi']</t>
  </si>
  <si>
    <t>['download', 'klw', 'bgus', 'bru', 'ksih', 'bintang', '']</t>
  </si>
  <si>
    <t>['', 'aplikasi', 'buka', '']</t>
  </si>
  <si>
    <t>['puas', 'pemakaian', 'telkomsel', 'mengikuti', 'telkomsel', 'sagat', 'puas']</t>
  </si>
  <si>
    <t>['apaa', 'mytelkomsel', 'knpa', 'white', 'screen', 'knpa', 'masuk', 'kecewa', 'pelanggan']</t>
  </si>
  <si>
    <t>['aplikasi', 'memuaskan', 'membeli', 'paket']</t>
  </si>
  <si>
    <t>['masuk', 'aplikasi', 'telkomsel', 'mudah', '']</t>
  </si>
  <si>
    <t>['samsung', 'dibuka', '']</t>
  </si>
  <si>
    <t>['beerapa', 'kuis', 'hadiah', 'terima']</t>
  </si>
  <si>
    <t>['bagus', 'sinyal', 'telkomsel', 'buruk', 'diseluruh', 'indonesia', 'kota', 'minggu', 'tolong', 'jaringan', 'telkomsel', 'diperbaiki']</t>
  </si>
  <si>
    <t>['semoga', 'telkomsel', 'pelayanan', 'terbaiknya', '']</t>
  </si>
  <si>
    <t>['setalah', 'upgrade', 'kog', 'masuk', 'home', 'cek', 'kuota', 'dll', 'bantu', '']</t>
  </si>
  <si>
    <t>['download', 'apk', 'telkomsel', 'sekian', 'kalinya', 'bolak', 'apk', 'buka', 'tlg', 'tanggapi', 'mslh', 'trims']</t>
  </si>
  <si>
    <t>['membantu', 'membeli', 'kuota', 'data', 'internet']</t>
  </si>
  <si>
    <t>['tingkatkan', 'sinyal']</t>
  </si>
  <si>
    <t>['membantu', 'kuota', 'habis', 'promonya', '']</t>
  </si>
  <si>
    <t>['', 'terimakasih', 'aplikasinya', 'buka']</t>
  </si>
  <si>
    <t>['sisa', 'pulsa', 'tertinggal', 'digerus', 'saban', 'notifikasi', 'riwayat', 'transaksi', 'aplikasinya', 'nyuguhin', 'layar', 'putih', 'hadeuhhh']</t>
  </si>
  <si>
    <t>['oloading', 'mang', 'ole', 'anjim']</t>
  </si>
  <si>
    <t>['apk', 'membantu']</t>
  </si>
  <si>
    <t>['nyesel', 'beli', 'kuota', 'telkomsel', 'sinyal']</t>
  </si>
  <si>
    <t>['pelayanan', 'nyaman']</t>
  </si>
  <si>
    <t>['telkomsel', 'bsa', 'buka', '']</t>
  </si>
  <si>
    <t>['bagus', 'swkali']</t>
  </si>
  <si>
    <t>['telkomsel', 'skrang', 'gerget', 'maaf', 'trmasuk', 'planggan', 'telkomsel', 'internetan', 'jaringan', 'jelek', 'kadang', 'mengoperasikan', 'planggan', 'bnyak', 'laris', 'kondisikan', 'kesetabilan', 'jaringan', 'internetnya', 'min', 'tolong', 'perhatikan', 'cotumernya', 'trimakasih']</t>
  </si>
  <si>
    <t>['tydak', 'ramah', 'jaringan', 'memuaskan', 'paket', 'pilih', 'kasih', 'pilih', 'paket', 'murah', 'sinyal', 'dikasih', 'murahan']</t>
  </si>
  <si>
    <t>['mengirim', 'hadiah', 'paket', 'data', 'orang', 'tua', 'aktif', '']</t>
  </si>
  <si>
    <t>['provider', 'busuuuuuk', 'harga', 'mahal', 'kualiatas', 'murahan', 'najis', '']</t>
  </si>
  <si>
    <t>['tolong', 'propaider', 'kebanyakan', 'iklan', 'pulsa', 'bores', 'banget', 'pulsa', 'lenyap', 'sekejap', 'beli', 'fitur', 'kuota', 'habis', 'ganti', 'mode', 'offline', 'napa', 'jaringan', 'bagus', 'kuota', 'pulsa', 'diambil', 'login', 'doang', 'ambil', 'pulsa', 'sampah']</t>
  </si>
  <si>
    <t>['bermanfaat']</t>
  </si>
  <si>
    <t>['', 'telkomsel', 'pulas', 'ganji', 'juta', 'meilim']</t>
  </si>
  <si>
    <t>['min', 'aplikasinya', 'buka']</t>
  </si>
  <si>
    <t>['beli', 'kuota', 'belajar', 'berkurang', 'kuota', 'utama', 'menghubungin', 'aplikasi', 'buka', 'aplikasi', 'bersamaan', 'contoh', 'buka', 'google', 'meet', 'aplikasi', 'gaboleh', 'dibuka', 'barengan', 'mustahil', 'notifikasi', 'aplikasi', 'beli', 'paket', 'kuota', 'belajar', 'keterangan', 'buka', 'aplikasi', 'bersamaan', 'udah', 'bantu', 'banget', 'hahahahah', '']</t>
  </si>
  <si>
    <t>['knp', 'mytelkomsel', 'sekrg', 'daftr', 'paket', 'koq', 'tolong', 'cek', 'telkomsel', 'daftar', 'eror', 'gmna']</t>
  </si>
  <si>
    <t>['babi', 'telkom', 'sel', 'anjeng', 'harga', 'mahal', 'sinyal', 'kek', '']</t>
  </si>
  <si>
    <t>['buka', 'aplikasinya']</t>
  </si>
  <si>
    <t>['jelek', 'banget', 'buka', 'lemot']</t>
  </si>
  <si>
    <t>['update', 'sayang', 'android', 'jadul', 'kompatibel', 'kelemahan', 'menggangu', 'membeli', 'paket', 'diperbaiki', 'update', 'telkomsel', 'lite', 'login', 'muncul', 'kalimat', 'something', 'went', 'wrong', 'tampa', 'kejelasan']</t>
  </si>
  <si>
    <t>['telkomsel', 'hati', 'semoga', 'sukses']</t>
  </si>
  <si>
    <t>['tolong', 'knp', 'aplikasi', 'nga', 'dibuka', 'kecewa', 'banget', 'apk', 'telkomsel', 'kali', 'login', 'apk', 'nga', 'masuk', 'putih', '']</t>
  </si>
  <si>
    <t>['aplikasinya', 'bukaaaaaa', 'woeeee', 'paketan', 'mahal', 'aplikasi', 'kyk', 'entut', '']</t>
  </si>
  <si>
    <t>['sya', 'penghuna', 'simpati', 'skr', 'paket', 'data', 'simpati', 'empot', 'tan', 'kadang', 'buka', 'youtb', 'ato', 'download', 'aplikasi', 'loding', 'banget', '']</t>
  </si>
  <si>
    <t>['quota', 'paket', 'buruk', 'promon', 'quota', 'guedhe', 'rinciann', 'dibagi', 'hasil', 'dibagi', 'dipake', 'luemooot', 'pooll', 'parah', 'mending', 'rating', 'turunin', 'gini', '']</t>
  </si>
  <si>
    <t>['aplikasi', 'telkomsel', 'pas', 'buka', 'beranda', 'terang', 'keliatan']</t>
  </si>
  <si>
    <t>['aplikasi', 'udah', 'bolak', 'download', 'kebuka', 'diakses', 'ginana', 'dibula', 'langsung']</t>
  </si>
  <si>
    <t>['hadeuh', 'promo', 'acak', 'acak', '']</t>
  </si>
  <si>
    <t>['bagus', 'sinyal', 'mudah']</t>
  </si>
  <si>
    <t>['tolong', 'telkomsel', 'kemaren', 'sinyal', 'jelek', 'trus']</t>
  </si>
  <si>
    <t>['ancur', 'sinyal', 'telkomsel', 'uda', 'mahal', 'kualitasnya', 'buruk']</t>
  </si>
  <si>
    <t>['mudah', 'diakses', 'dimanapun', 'promo']</t>
  </si>
  <si>
    <t>['ngebug', 'jelek', 'parah']</t>
  </si>
  <si>
    <t>['udh', 'download', 'buka', 'mytelkomsel', 'tolong', 'bantu']</t>
  </si>
  <si>
    <t>['bagus', 'kelebihan', 'harganya', 'mahal', 'promo', 'pakai', 'mikir', 'sinyalnya', 'top', 'markotop', 'hilang', 'pokoknya', 'tingkatkan', 'kelebihan', 'berharap', 'daerah', 'tinggal', 'telkomsel']</t>
  </si>
  <si>
    <t>['mantap', 'jok', 'org', 'jambi']</t>
  </si>
  <si>
    <t>['aplikasi', 'maw', 'terbuka', 'pas', 'buka', 'tampilan', 'layar', 'warna', 'putih', '']</t>
  </si>
  <si>
    <t>['aplikasi', 'membatu']</t>
  </si>
  <si>
    <t>['sinyal', 'cacad', 'harga', 'selangit']</t>
  </si>
  <si>
    <t>['efektif', 'efesien']</t>
  </si>
  <si>
    <t>['ancur', 'telkomsel', 'jaringan', 'kacau', 'live', 'komen', 'orang', 'masuk']</t>
  </si>
  <si>
    <t>['', 'banget', 'telkomsel']</t>
  </si>
  <si>
    <t>['telkomtoddd', 'kuota', 'mahal', 'jaringan', 'lelet', 'kayak', 'siput']</t>
  </si>
  <si>
    <t>['termurah', 'terbaik']</t>
  </si>
  <si>
    <t>['gua', 'maen', 'mobile', 'legend', 'jaringan', 'nge', 'lag', 'harga', 'paket', 'mahal', 'kualitas', 'jaringan', 'kek', 'taik', 'kualitas', 'rendah', '']</t>
  </si>
  <si>
    <t>['mudah', 'akses', 'pulsa', 'habis', 'hutang', '']</t>
  </si>
  <si>
    <t>['promo', 'berlaku', 'nongol']</t>
  </si>
  <si>
    <t>['paket', 'kartu', 'mahal', '']</t>
  </si>
  <si>
    <t>['min', 'mohon', 'perbaiki', 'tampilan', 'menunya', 'putih', 'buka']</t>
  </si>
  <si>
    <t>['operator', 'sekelas', 'telkomsel', 'fedbacknya', 'jelek', 'pembenahan']</t>
  </si>
  <si>
    <t>['hleh', 'tsel', 'skrg', 'lemot', 'sma', 'tri', 'sklinya', 'promo', 'paket', 'murah', 'kuota', 'gde', 'sinyal', 'tpi', 'edge', 'niat', 'alesan', 'mlu', 'server', 'eror', 'payah', '']</t>
  </si>
  <si>
    <t>['mendukung', 'komunikasi']</t>
  </si>
  <si>
    <t>['alhamdulilah', 'udh', 'skrng', 'apl']</t>
  </si>
  <si>
    <t>['tingkatkan', 'promo']</t>
  </si>
  <si>
    <t>['mahal', 'pulsanya', 'signalnya', 'ujan', 'angin', 'morat', 'marit', 'segitu', 'rumah', 'dikampung']</t>
  </si>
  <si>
    <t>['mantap', 'tolong', 'harga', 'paket', 'internet', 'diturunkan', 'harganya', 'bersaing']</t>
  </si>
  <si>
    <t>['', 'puas', 'pelayanan', 'app', 'mytelkomsel']</t>
  </si>
  <si>
    <t>['apk', 'mytelkomsel', 'bagus', 'memiliki', 'penawaran', 'menarik', 'harga', 'murah', '']</t>
  </si>
  <si>
    <t>['salam', 'sehat', 'semangat', 'semoga', 'allah', 'memberkati', 'telkomsel', 'kedepan', 'semangat']</t>
  </si>
  <si>
    <t>['memudahkan', '']</t>
  </si>
  <si>
    <t>['sinyal', 'benerin', 'orang', 'main', 'game', 'turun', 'ping', 'nyaa', '']</t>
  </si>
  <si>
    <t>['jaringan', 'lemah']</t>
  </si>
  <si>
    <t>['', 'shopy', 'peembayaran', 'mudah', 'tks', 'shopy', 'semoga', 'jaya']</t>
  </si>
  <si>
    <t>['wao', 'bagus']</t>
  </si>
  <si>
    <t>['mudah', 'pilihan']</t>
  </si>
  <si>
    <t>['aplikasi', 'bodoh', 'loading', 'bumn', 'tutup', 'dibuka', 'dilayar', 'tulisan', 'mutar', '']</t>
  </si>
  <si>
    <t>['gajls', 'apl', 'dlu', 'nyaman', 'mahal', 'akun', 'beda', 'harga', 'heran', 'kecewa']</t>
  </si>
  <si>
    <t>['review', 'ulasan', 'tambahi', 'bintang', 'bintang', 'aplikasinya', 'mudah', 'akses', 'menu', 'paket', 'fair', 'good', 'job', '']</t>
  </si>
  <si>
    <t>['apk', 'bagusnya']</t>
  </si>
  <si>
    <t>['paket', 'internetnya', 'mahal', 'mahal', 'bosss', 'kasian', 'miskin', '']</t>
  </si>
  <si>
    <t>['puas', 'telkomsel', 'sinyal', 'bgus']</t>
  </si>
  <si>
    <t>['aplikasi', 'bagus', 'mempermudah', 'pengguna', 'telkomsel']</t>
  </si>
  <si>
    <t>['terimakasih', 'telkomsel']</t>
  </si>
  <si>
    <t>['membantu', 'paketan', 'trima', 'kasih', 'mytelkomsel']</t>
  </si>
  <si>
    <t>['bagus']</t>
  </si>
  <si>
    <t>['puas', 'promonya', '']</t>
  </si>
  <si>
    <t>['semoga', 'hadiah', 'nataru']</t>
  </si>
  <si>
    <t>['memuaakan']</t>
  </si>
  <si>
    <t>['buruk', 'update', 'aplikasinya', 'buka', 'uninstal', 'download', 'harga', 'pelayanan', 'berbeda', 'bumn', 'maju', 'perusahaan', 'kinerja', '']</t>
  </si>
  <si>
    <t>['aplikasi', 'telkomsel', 'aktifkan', '']</t>
  </si>
  <si>
    <t>['serba', 'mudah', 'jaringan', 'putus', '']</t>
  </si>
  <si>
    <t>['aplikasi', 'telkomsel', 'buka', 'mohon', 'bantuannya', '']</t>
  </si>
  <si>
    <t>['udah', 'beli', 'paket', 'mahal', 'bln', 'kadang', 'pakai', 'tower', 'koneksi', 'internet', 'lumayan', 'bagus', 'hilang', 'timbul', 'udah', 'nelpon', 'operator', 'telkomsel', 'minggu', 'koneksi', 'normal', 'hilang', 'timbul', '']</t>
  </si>
  <si>
    <t>['mencoba', 'mengenal', 'lbih', 'aplikasi', 'makasih']</t>
  </si>
  <si>
    <t>['dulunya', 'suka', 'banget', 'pakai', 'aplikasi', 'telkomsel', 'aplikasinya', 'buka', 'gitu', 'udah', 'kecewa', 'mohon', 'perbaiki', '']</t>
  </si>
  <si>
    <t>['uda', 'telkomsel', 'best', 'pokok', '']</t>
  </si>
  <si>
    <t>['tingkatkan', 'layanan']</t>
  </si>
  <si>
    <t>['update', 'terbaru', 'terbuka', 'udh', 'reinstall', 'blank', 'putih', 'apk', 'telkomsel', 'apk', 'lancar', 'kendala']</t>
  </si>
  <si>
    <t>['jaringan', 'jelek', 'desa', 'dikota', 'kapok', 'beli', 'paket', 'giga', 'kepake', 'giga', 'giganya', 'jaringan', 'jelek', '']</t>
  </si>
  <si>
    <t>['harga', 'paket', 'gb', 'skarang', '']</t>
  </si>
  <si>
    <t>['paket', 'internet', 'kuota', 'gb', 'harga', 'langsung', 'liciknya', 'bisnis', 'telkomsel', 'pecahan', 'pulsa', 'dibeli', 'dst', 'dibikin', 'sesuai', 'pecahan', 'kuota', 'dipotong', 'gb', 'bantu', 'konsumen', 'kenyamanan', 'keamanan', 'telkomsel', 'ngambil', 'profit', 'pelanggan', 'ceroboh', 'sengaja', 'celah', 'sistem', 'pelanggan', 'terjebak', 'merugi', 'tolong', 'perbaiki']</t>
  </si>
  <si>
    <t>['', 'kalu', 'unlimitidnya', 'batas', 'mahal', 'mahal', 'unlimitidnya', 'batesin']</t>
  </si>
  <si>
    <t>['aplikasi', 'berat', 'dibuka', 'loading', 'pakai', 'telkomsel', '']</t>
  </si>
  <si>
    <t>['sangatt', 'memuasksn']</t>
  </si>
  <si>
    <t>['pakai', 'telkomsel', 'nomor', 'utama', 'inti', 'bagus', 'jaringan', 'tersebar', 'dimana', 'desa', '']</t>
  </si>
  <si>
    <t>['gabisa', 'dibuka', 'udah', 'uninstall', 'pasang', 'ttep', 'gabisaaa']</t>
  </si>
  <si>
    <t>['udah', 'puluhan', 'kali', 'diinstal', 'aplikasi', 'telkomsel', 'msih', 'ngak', 'dibuka', 'tlg', 'min', 'gimna', 'ngatasi', 'pnguna', 'tlkom', 'sel', 'kecwa', 'solusi', 'buka', 'aplikasi', '']</t>
  </si>
  <si>
    <t>['akir', 'login', 'bleng', 'putih', 'masuk']</t>
  </si>
  <si>
    <t>['mudah', 'snagat', 'bermanfaat', 'semoga', 'kedepannya', 'progam', 'fitur', 'mempermudah', 'pelangan']</t>
  </si>
  <si>
    <t>['jaringan', '']</t>
  </si>
  <si>
    <t>['login', 'berbeda', '']</t>
  </si>
  <si>
    <t>['keren', 'paket', 'saran', 'promo', 'hrga', 'turun', 'tambha', 'ajib', '']</t>
  </si>
  <si>
    <t>['paket', 'telkomsel', 'mahal', 'jaringan', 'lelet', 'ampun', 'ngalah', 'hin', 'siput', 'main', 'game', 'ngelag', 'mulu', 'heran', 'liat', 'telkomsel', 'niatan', 'perbaiki', 'kualitas', 'gitu', 'pelanggan', 'telkomsel', 'bnyak', 'loo', 'jngan', 'bnyak', 'kecewa', 'berubah', 'haluan']</t>
  </si>
  <si>
    <t>['tolong', 'dibantu', 'login', 'aplikasi', 'gambarnya', 'blank', 'putih', 'help', 'please']</t>
  </si>
  <si>
    <t>['kren', 'aplikasi', 'mytelkomsel']</t>
  </si>
  <si>
    <t>['pengguna', 'telkomsel', 'belasan', 'menerima', 'hadiah', 'telkomsel']</t>
  </si>
  <si>
    <t>['apk', 'buka', 'blank', '']</t>
  </si>
  <si>
    <t>['notificasi', 'ksh', 'bahasa', 'indo']</t>
  </si>
  <si>
    <t>['mahal', 'lemot']</t>
  </si>
  <si>
    <t>['suka', 'pelayanan', 'rekomendasi', 'orang', 'terimakasih']</t>
  </si>
  <si>
    <t>['terbantu', 'jarak']</t>
  </si>
  <si>
    <t>['aplikasi', 'memotong', 'pulsa', 'aplikasi', 'gratis', '']</t>
  </si>
  <si>
    <t>['mantap', 'telkomsel', 'paketnya', 'murah', 'meriah']</t>
  </si>
  <si>
    <t>['jelek', 'kuota', 'kartu', 'mcm', 'ttp', 'ngeleg', 'sorry', 'bintangnya', 'diambil', '']</t>
  </si>
  <si>
    <t>['diakses', 'downloud']</t>
  </si>
  <si>
    <t>['update', 'uda', 'login', '']</t>
  </si>
  <si>
    <t>['mempermudah', 'aktifitas', 'berhubungan', 'telkomsel']</t>
  </si>
  <si>
    <t>['minggu', 'apk', 'telkomsel', 'terbuka', 'salah', 'sekian', 'pelanggan', 'telomsel', '']</t>
  </si>
  <si>
    <t>['jaringan', 'telkomsel', 'super', 'lelet', 'lemot', 'uda', 'paket', 'internet', 'mahal', 'lelet', 'jaringannya', 'emosi', 'sinyalnya', '']</t>
  </si>
  <si>
    <t>['telkomsel', 'terhormat', 'jaringan', 'jelek', 'banget', 'jelek', 'njrrrrr', 'gue', 'transaksi', 'susah', 'kuota', 'mahal', 'gembel', 'banget', 'jaringannya', 'tolong', 'perbaiki', 'sesuai', 'kuota', 'mahal', 'buruk', 'banget', 'jaringannya', 'pengguna', 'emosi', 'hujan', 'hadehhhh', 'gembel', 'banget', 'parah', 'asli', '']</t>
  </si>
  <si>
    <t>['telkomsel', 'kartu', 'menyebalkan', 'sinyal', 'bagus', 'harga', 'kuota', 'ngotak', 'mahal', 'banget', 'boros', 'banget', 'tolong', 'harga', 'kuota', 'turunin', 'trs', 'samain', 'harga', 'kuota', 'kartu', 'adil', '']</t>
  </si>
  <si>
    <t>['aplikasi', 'dibuka', 'layar', 'putih', 'muncul', '']</t>
  </si>
  <si>
    <t>['promo', 'internet', 'gb', '']</t>
  </si>
  <si>
    <t>['gua', 'kasih', 'bintsng', 'sumpah', 'gua', 'kecewa', 'banget', 'telkomsel', 'singal', 'full', 'main', 'game', 'susah', 'susah', 'sumpah', 'kek', 'sinyalnya', 'bagus', 'tolong', 'telkom', 'perbaiki', 'singal', 'singalnya', 'kuat', 'download', 'tspi', 'kuat', 'ngagame', 'aneh', 'game', 'nguras', 'data', 'download', 'sampe', 'ber', 'mb', 'tolong', 'perbaikan', 'singal', 'lancar', 'main', 'game']</t>
  </si>
  <si>
    <t>['aplikasi', 'siak', 'dak', 'daotak']</t>
  </si>
  <si>
    <t>['simpel', 'beli', 'paket', 'isi', 'pulsa']</t>
  </si>
  <si>
    <t>['mantep', 'kak', 'telkomsel', 'jaringan', 'kuat', 'lancar', 'dikalimantan', 'harga', 'paket', 'murah', 'gb', 'pembagian', 'pembatasan', 'mantappppp', 'lanjutan', '']</t>
  </si>
  <si>
    <t>['ekonomi', 'pengeluaran', 'terbatas', 'harga', 'naikin']</t>
  </si>
  <si>
    <t>['min', 'aplikasi', 'telkomsel', 'nggk', 'dibuka', 'minggu']</t>
  </si>
  <si>
    <t>['bagus', 'membantu', 'pengguna', 'telkomsel', 'disamping', 'informasi', 'promo', 'produk', 'telkomsel', 'pokoke', 'joooz']</t>
  </si>
  <si>
    <t>['mahal', 'doang', 'kualitas', 'sinyal', 'zaman', 'batu']</t>
  </si>
  <si>
    <t>['sinyalnya', 'lemot']</t>
  </si>
  <si>
    <t>['membantu', 'aplikasi']</t>
  </si>
  <si>
    <t>['', 'punyaku', 'dibuka', 'blank', 'putih']</t>
  </si>
  <si>
    <t>['salah', 'kirim', 'pulsa', 'ehhh', 'masuknya', 'nomor', 'salah', 'gimana', 'mengembalikan', 'pulsa']</t>
  </si>
  <si>
    <t>['yaya', 'bagus']</t>
  </si>
  <si>
    <t>['sinyal', 'jelek', 'mulu']</t>
  </si>
  <si>
    <t>['poin', 'tukar', 'diamond', '']</t>
  </si>
  <si>
    <t>['masuk', 'menu', 'telkomsel']</t>
  </si>
  <si>
    <t>['mantap', 'telkomsel', 'masyarakat', 'indonesia', 'mudah', 'kedepan', 'jaringannya', 'bagus', 'macet', '']</t>
  </si>
  <si>
    <t>['jaringan', 'burik']</t>
  </si>
  <si>
    <t>['terimah', 'kasih', 'telkomsel', 'pakai', 'telkomsel', 'internet', 'sinyal', 'full', 'terkadang', 'berkurang', 'internet', 'browsing', 'youtube', 'game', '']</t>
  </si>
  <si>
    <t>['maaf', 'barusan', 'pulsa', 'beli', 'paket', 'seharga', 'saldo', 'habis', 'hutang', 'ato', 'gimna']</t>
  </si>
  <si>
    <t>['mohon', 'tingkat', 'kekuatan', 'sinyal', 'didaerah']</t>
  </si>
  <si>
    <t>['paham', 'habis', 'cek', 'dapa', 'ngga']</t>
  </si>
  <si>
    <t>['dihati']</t>
  </si>
  <si>
    <t>['bagus', 'semoga', 'pertahankan', 'tingkatkan', 'performnya', '']</t>
  </si>
  <si>
    <t>['nanya', 'masuk', 'aplikasi']</t>
  </si>
  <si>
    <t>['saran', 'min', 'tambahin', 'menu', 'beli', 'voucher', 'game', 'aplikasinya', 'min', 'kaya', 'aplikasi', 'min', 'mudah', 'top', 'diamon', 'dll', 'min']</t>
  </si>
  <si>
    <t>['informasi', 'kenyamanan', 'penggunaan', 'telkomsel', 'mudah']</t>
  </si>
  <si>
    <t>['telkomsi', 'buka', 'liat', 'sisa', 'kuota', 'terpakai']</t>
  </si>
  <si>
    <t>['cek', 'paket', 'kouta', 'nomornya', 'riwayat', 'kouta', 'orang', 'muncul', 'tolong', 'diperbaiki', 'makasih']</t>
  </si>
  <si>
    <t>['bagus', 'kebantu', '']</t>
  </si>
  <si>
    <t>['sinyalnya', 'suka', 'turun', 'beli', 'paket', 'mahal', 'sinyalnya', 'jelek']</t>
  </si>
  <si>
    <t>['awas', 'bohongan', 'hadiah', '']</t>
  </si>
  <si>
    <t>['masuk', 'bingung', 'isi', 'data']</t>
  </si>
  <si>
    <t>['tukar', 'koin', 'dpt', 'pulsa']</t>
  </si>
  <si>
    <t>['nice', 'hadiah', 'bnyk', 'conten', 'menarik', 'bnyk', 'discon', 'pokoknya', 'asyiik']</t>
  </si>
  <si>
    <t>['lambat', '']</t>
  </si>
  <si>
    <t>['berminggu', 'aplikasi', 'kebuka', 'gimana', 'min', '']</t>
  </si>
  <si>
    <t>['pengalaman', 'bergabung', 'jaringan', 'telkomsel', 'puas']</t>
  </si>
  <si>
    <t>['beli', 'pulsa', 'kounter', 'daftarin', 'aplikasi', 'telkomsel', 'pas', 'buka', 'aplikasi', 'data', 'seluler', 'daftarin', 'paket', 'pulsa', 'sedot', 'sma', 'aplikasi', 'pasang', 'aplikasi']</t>
  </si>
  <si>
    <t>['berniat', 'pengen', 'pindah', 'operator', 'sebelah', 'sistem', 'gangguan', 'masak', 'gapari', 'besuk', 'akses', 'pas', 'besuk', '']</t>
  </si>
  <si>
    <t>['app', 'update', 'terbaru', 'ngestuck', 'dibuka', '']</t>
  </si>
  <si>
    <t>['nohp', 'simpati', 'setia', 'th', 'telkomsel', 'tandingan', 'des', 'telkomsel', 'tandingan', 'tanggung', 'produknya', 'jual', 'murah', 'unlimited', 'kesetiaan', 'pelanggan', 'telkomsel', 'mabuk', 'laut', 'semoga', 'acuan', 'produk', 'telkomsel', 'arah', 'murah', 'unlimited', 'boroh', 'renego', 'deterjen', 'harga', 'mahal', 'harga', 'murah', 'bersih', 'cucian', 'deterjen', 'mahal', 'murah', 'ditinggalkan', 'konsumen', 'komunitas', 'salam']</t>
  </si>
  <si>
    <t>['app', 'jalan', '']</t>
  </si>
  <si>
    <t>['sutoyo', 'banjarmasin', 'paket', 'promo', 'mahal', 'ehh', 'jaringan', 'lelet', 'maumuuuuu']</t>
  </si>
  <si>
    <t>['memudahkan', 'pelanggan', 'jaya', '']</t>
  </si>
  <si>
    <t>['berkali', 'hapus', 'download', 'layar', 'putih', 'sekelas', 'telkomsel', 'apk', 'sampah', 'kebanyakan', 'korup', '']</t>
  </si>
  <si>
    <t>['pulsa', 'berkurang', 'gajelas', 'paket', 'data', 'beli', 'tetep', 'pulsa', 'berkurang', '']</t>
  </si>
  <si>
    <t>['memudahkan']</t>
  </si>
  <si>
    <t>['tingkatkan', 'promo', 'paket', 'data', 'murahnya']</t>
  </si>
  <si>
    <t>['mantap', 'lelet', 'beli', 'paket', 'data', 'ditautkan', 'apk', 'dana', 'leletnya', 'ampiun', 'mimim', 'pokok', 'lelet', 'let', 'let', 'moga', 'kedepan', 'lancar', 'naikin', 'rating']</t>
  </si>
  <si>
    <t>['kali', 'komplen', 'telkomsel', 'beli', 'pulsa', 'hilang', 'niat', 'top', 'diamond', 'beli', 'pulsa', 'kaga', 'top', 'diamond', 'coda', 'shop', 'kemaren', 'kaga', 'kaga', 'aneh', 'pulsa', 'konsumen', 'dirugikan', 'telkomsel', 'moga', 'ditanggapi', 'makasih', '']</t>
  </si>
  <si>
    <t>['apk', 'terbaik']</t>
  </si>
  <si>
    <t>['nggak', 'dibuka', 'udahbberminggu', 'minggu', 'aktifin', 'paket', 'sms', 'beli', 'pulsa', 'aktifin', 'paket', 'aplikasi', 'payah', 'mih', 'uninstall', 'install', 'mggak']</t>
  </si>
  <si>
    <t>['susah', 'telkomsel']</t>
  </si>
  <si>
    <t>['aplikasinya', 'mantap', 'makasih', 'mytelkomsel']</t>
  </si>
  <si>
    <t>['aplikasi', 'bagus', 'pas', 'aktifkan', 'jaringan', 'data', 'beli', 'paket', 'pulsa', 'abis', 'perbaiki', '']</t>
  </si>
  <si>
    <t>['aplikasinya', 'mudah', 'fitur', 'fitur', 'menarik', '']</t>
  </si>
  <si>
    <t>['pelanyanan', 'cpat']</t>
  </si>
  <si>
    <t>['bagus', 'bintang']</t>
  </si>
  <si>
    <t>['lancar', 'murah', 'bonusnya']</t>
  </si>
  <si>
    <t>['mantap', 'pkonya']</t>
  </si>
  <si>
    <t>['bagusbanyak', 'promo']</t>
  </si>
  <si>
    <t>['nyaman', 'aman', 'jaringan', 'telkomsel']</t>
  </si>
  <si>
    <t>['jaringan', 'kesini', 'jelek', 'berasa', 'ngga', 'bedanya', 'pakai', 'telkomsel', 'jaringannya', 'bagus', 'jelek', '']</t>
  </si>
  <si>
    <t>['', 'telkomsel', 'sanggar', 'membantu']</t>
  </si>
  <si>
    <t>['susah', 'buka', 'aplikasi']</t>
  </si>
  <si>
    <t>['sdg', 'akses', 'internet', 'tarif', 'non', 'paket', 'sdg', 'memakai', 'data', 'alhasil', 'pulsa', 'terpotong', 'sungguh', 'kecewa', 'provider', '']</t>
  </si>
  <si>
    <t>['menarik', 'mudah', 'isi', 'paket', 'murah']</t>
  </si>
  <si>
    <t>['sinyal', 'sekrng', 'bagus', 'operator', 'indosat', 'smafren', 'daerah', '']</t>
  </si>
  <si>
    <t>['knpa', 'habis', 'updet', 'aplikasinya', 'dibuka', '']</t>
  </si>
  <si>
    <t>['', 'tepatnya', 'desa', 'porang', 'paring', 'kel', 'porang', 'paring', 'kecamatan', 'sukolilo', 'pati', 'jawa', 'sinyal', 'internet', 'sussaah', 'tolong', 'solusinya', '']</t>
  </si>
  <si>
    <t>['apk', 'kagak', 'dibuka']</t>
  </si>
  <si>
    <t>['telkomsem', 'bukak', 'ceh', 'kecewa']</t>
  </si>
  <si>
    <t>['maaf', 'gangguan', 'sistem', 'beli', 'paket', 'pakai', 'pulsa', 'aplikasi', 'manual', 'why', '']</t>
  </si>
  <si>
    <t>['pas', 'update', 'error', 'putih', 'doang', 'gambarnya', '']</t>
  </si>
  <si>
    <t>['mengecewakan', 'download', 'apk', 'pulsa', 'abis', 'terpotong', 'paket', 'data', 'beserta', 'bonusnya']</t>
  </si>
  <si>
    <t>['download']</t>
  </si>
  <si>
    <t>['trimakasih', 'jaringan', 'kuat', 'bagus']</t>
  </si>
  <si>
    <t>['udah', 'buka', '']</t>
  </si>
  <si>
    <t>['', 'update', 'buka', 'respon', 'berkali', 'kali', 'download', 'ulang', 'buang', 'paket', 'data']</t>
  </si>
  <si>
    <t>['perbaiki', 'sistem', 'beli', 'pulsa', 'nggak', 'via', 'gopay', 'pembayaran', 'cuman', 'link', 'jt', 'tinggal', 'nggak', 'lucu']</t>
  </si>
  <si>
    <t>['jaringan', 'terluas', 'akses', 'cepat', 'terbaik', '']</t>
  </si>
  <si>
    <t>['mantap', 'paket', 'murah']</t>
  </si>
  <si>
    <t>['aplikasi', 'bagus', 'mudah', 'cepat', 'buruan', 'download', '']</t>
  </si>
  <si>
    <t>['kesini', 'susah', 'log', 'susah', 'kesalahan', 'kesalahan', 'mulu', 'tolong', 'diperbaiki', 'beli', 'paket', 'telkomsel', 'wifi', 'provider', 'masuk', 'aneh', 'beli', 'paket', 'dipersulit', '']</t>
  </si>
  <si>
    <t>['aplikasi', 'menguras', 'pulsa', 'nga', 'lgi', 'malam', 'tdi', 'beli', 'besoknya', 'nga', 'pulsa', 'telkomsel', 'telkomsel', '']</t>
  </si>
  <si>
    <t>['praktis', 'ribet', 'pokonya', 'the', 'best']</t>
  </si>
  <si>
    <t>['paket', 'internet', 'telkomsel', 'mahaal', 'banget', 'pulsa', 'promo', 'anehnya', 'beli', 'pulsa', 'promo', 'hilang', '']</t>
  </si>
  <si>
    <t>['murah', 'daftar', 'kouta']</t>
  </si>
  <si>
    <t>['laporan', 'desa', 'walikukun', 'ngawi', 'jatim', 'semenjak', 'listrik', 'padam', 'jaringan', 'telkomsel', 'lambat', 'banget', 'sinyal', 'kadang', 'bar', 'bar', 'normal', 'lokasi', 'daerah', 'kecamatan', 'stasiun', 'kereta', 'api', 'walikukun']</t>
  </si>
  <si>
    <t>['bagus', 'banget', 'jual', 'pulsa', '']</t>
  </si>
  <si>
    <t>['murah', 'murah', 'skarang', 'beli', 'paket', 'aplikasi', 'smakin', 'mahal', 'harganya', 'tolonglah', 'diperbaiki', 'karna', 'pengguna', 'butuh', 'murah', 'mahal', 'terimakasih']</t>
  </si>
  <si>
    <t>['kwalitas', 'jaringan', 'buruk']</t>
  </si>
  <si>
    <t>['kemajuan']</t>
  </si>
  <si>
    <t>['informatif', 'trmksh', 'tukar', 'poinnya', 'mohon', 'kalangan', 'krna', 'smw', 'pilihan', 'tukar', 'poin', 'hmpir', 'smw', '']</t>
  </si>
  <si>
    <t>['aga', 'jelek', 'sinyal', 'trus']</t>
  </si>
  <si>
    <t>['penjelasan', 'lengkap', 'mengerti', 'pulsa', 'telkomsel', 'kesedot', 'ajah', '']</t>
  </si>
  <si>
    <t>['bintang', 'berbicara', 'promo', 'nomor', 'beda', 'nomor', 'lbh', 'murah', 'telkomsel', '']</t>
  </si>
  <si>
    <t>['mempermudah', 'informasi', 'telkomsel']</t>
  </si>
  <si>
    <t>['telkomsel', 'ditawarin', 'migrasi', 'kartu', 'halo', 'tawaran', 'gb', 'ribu', 'pas', 'udah', 'selesai', 'prosesnya', 'kuotanya', 'cuman', 'gb', 'itupun', 'dibagi', 'ngerti', 'telemarketingnya', 'emang', 'lahirnya', 'tukang', 'tipu', 'telkomselnya', 'training', 'marketingnya', 'nipu', 'orang', 'kartu', 'ngejebak', 'orang', 'senang', 'hati', 'grapari', 'tutup', 'kartu', 'halo', 'pindah', 'provider', '']</t>
  </si>
  <si>
    <t>['sinyal', 'bosok', 'ganti', 'trus', '']</t>
  </si>
  <si>
    <t>['buka', 'aplikasi', 'telkomsel', 'white', 'screen', 'ngeblank', 'udah', 'coba', 'uninstal', 'instal', 'knpnya', 'versinya', 'beda', 'gmnnya', 'mohon', 'solusinya', '']</t>
  </si>
  <si>
    <t>['kesini', 'sinyal', 'nurun', 'kualitas', 'memparah', 'udh', 'gitu', 'doang']</t>
  </si>
  <si>
    <t>['perkuat', 'jaringan', 'internet', 'kutai', 'barat', 'melak', 'ilir', 'banget', 'gangguannya', '']</t>
  </si>
  <si>
    <t>['ikutan', 'undian', 'poin', 'udah', 'samoe', 'zong', 'perbarui', 'aplikasi', 'lemotttt', 'bukanya', 'belajar', 'aplikasi', 'mahir']</t>
  </si>
  <si>
    <t>['telkomsel', 'maju', 'skarang', 'menu', 'beli', 'aktif', 'suka', 'fitur', 'sanga', 'membantu', 'aktif', 'jarang', 'isi', 'pulsa', '']</t>
  </si>
  <si>
    <t>['menyenangkan', 'telkomsel']</t>
  </si>
  <si>
    <t>['internetan', 'lancardengan', 'sinyal', 'bagus', '']</t>
  </si>
  <si>
    <t>['putih', 'abis', 'update', 'gitu', 'update', 'beli', 'kuota', 'ribet', '']</t>
  </si>
  <si>
    <t>['developer', 'paket', 'game', 'max', 'game', 'tambahin', 'pubg', 'mobile', 'terimaksih', '']</t>
  </si>
  <si>
    <t>['telkomsel', 'tolong', 'promo', 'paket', 'murahnya', 'paket', 'combo', 'sakti', '']</t>
  </si>
  <si>
    <t>['paket', 'datanya', 'trlalu', 'mahal', 'trus', 'coin', 'tuker']</t>
  </si>
  <si>
    <t>['membantu', 'pengguna']</t>
  </si>
  <si>
    <t>['mohon', 'maaf', 'terhormat', 'kesini', 'telkomsel', 'mahal', 'paketan', 'combo', 'saktinya', 'hilang', 'skrang', 'pindah', 'sebelah', 'gue', 'sinyal', 'pas', 'main', 'game', 'hilang', 'hilangan', 'hujan', 'angin', 'eeeh', 'hilang', 'ayo', 'apk', 'menyamankan', 'mempermudah']</t>
  </si>
  <si>
    <t>['mencoba']</t>
  </si>
  <si>
    <t>['paket', 'internet', 'tersedia', 'apk', 'mahal']</t>
  </si>
  <si>
    <t>['aplikasi', 'bgus']</t>
  </si>
  <si>
    <t>['fungsinya', 'bermanfaat', 'pengguna', '']</t>
  </si>
  <si>
    <t>['udah', 'beli', 'kuota', 'masuk', 'orang', 'udah', 'bayar', 'kasih', 'kuota', '']</t>
  </si>
  <si>
    <t>['mahal', 'beli', 'paket', '']</t>
  </si>
  <si>
    <t>['aplikasi', 'memudahkan']</t>
  </si>
  <si>
    <t>['download', 'buka', 'layar', 'putih']</t>
  </si>
  <si>
    <t>['pln', 'mobile', 'mudah']</t>
  </si>
  <si>
    <t>['ampas', 'bet', 'jaringan']</t>
  </si>
  <si>
    <t>['mengecewakan', 'pulsa', 'terpotong', 'bayar', 'internet', 'non', 'paket', 'malas', 'isi', 'pulsa', 'isi', 'pulsa', 'tenggang', 'ehh', 'berguna', 'tenggang', '']</t>
  </si>
  <si>
    <t>['apk', 'telkomsel', 'gag', 'buka', 'ragara', 'gag', 'beli', 'pulsa', 'paketan', 'zaman', 'pandemi', 'nyari', 'uang', 'susah', 'jng', 'sayang', 'poin', 'gag', 'gratisan', 'kuota', 'gb', 'gag', 'akses', 'mohon', 'akses', 'telkomsel', 'mudah', 'cek', 'pulsa', 'kuota', 'dsbnya', 'ksh', 'wkt', 'thn', 'dpn', 'tgl', 'msh', 'gag', 'maaf', 'ganti', 'kartu', 'lbh', 'murah', 'pelanggan', 'thn', 'setia', 'pakai', 'telkomsel', 'dpt']</t>
  </si>
  <si>
    <t>['parah', 'tertera', 'paket', 'telpon', 'pas', 'klik', 'harganya', 'sampe', 'paket', 'internet', 'parah', 'mkin', 'nggak', 'sinkron', 'pelayanannya', 'ngakalin', 'pengguna', 'nguras', 'dana', 'rivalnya', 'sinkron', 'harga', 'tertera', 'konsisten', 'ntar', 'muncul', 'operator', 'trus', 'rival', 'telkomsel', 'meningkatkan', 'jaringannya', 'telkomsel', 'lngsung', 'jatoh', 'reputasi', 'titik', 'perusahan', 'smartphone', 'terkenal', 'ayolah', 'perbaiki', 'lyanann']</t>
  </si>
  <si>
    <t>['telkomsel', 'buka']</t>
  </si>
  <si>
    <t>['good', 'harga', 'paket', 'data', 'mahal']</t>
  </si>
  <si>
    <t>['apk', 'rusak', 'hpus']</t>
  </si>
  <si>
    <t>['parah']</t>
  </si>
  <si>
    <t>['apknya', 'bermasalah', 'kah', '']</t>
  </si>
  <si>
    <t>['tagihan', 'telkomsel', 'mahal']</t>
  </si>
  <si>
    <t>['app', 'bagus', 'banget']</t>
  </si>
  <si>
    <t>['mytelkomsel', 'oke']</t>
  </si>
  <si>
    <t>['absen', 'pakai', 'telkomsel']</t>
  </si>
  <si>
    <t>['mytelkomsel', 'dibuka']</t>
  </si>
  <si>
    <t>['mantaf', 'bagus', 'membantu']</t>
  </si>
  <si>
    <t>['kartu', 'halo', 'jaringan', 'emosi']</t>
  </si>
  <si>
    <t>['aplikasi', 'buka', '']</t>
  </si>
  <si>
    <t>['ser', 'ng', 'kecewa', 'layanan', 'telkomsel', 'quota', 'bhw', 'quota', 'habis', 'quota', 'darurat', 'ambil', 'pulsa', 'isi', 'ulang', 'tolong', 'telkom', 'perbaiki', 'kondisi', 'telkom', 'andalkan', 'sistemnya', 'fair']</t>
  </si>
  <si>
    <t>['apk', 'beda', 'beli', 'paket', 'internet', 'paket', 'maxtrime', 'nonton', 'menurutmu', 'ngga', 'keperluan', 'mending', 'kaya', 'kemaren', 'banyakan', 'internetnya', 'bingung']</t>
  </si>
  <si>
    <t>['ksih', 'bintang', 'apk', 'login', 'hnya', 'layar', 'putih', 'udh', 'normal', 'sya', 'tmbahin', 'bintangnya', 'trgantung', 'dri', 'prkembangan', 'aplikasinya', 'bagus', 'smpai', 'bintang', '']</t>
  </si>
  <si>
    <t>['kuota', 'trus', 'udah', 'kartu', 'kuota', 'mahal', 'murah', 'ngk', 'nyampe', 'pemkaiannya', 'udah', 'abis', 'minggu']</t>
  </si>
  <si>
    <t>['apk', 'oke', 'minesnya', 'gemers', 'suka', 'top', 'via', 'pulsa', 'tolong', 'perbanyak', 'pilihan', 'penukaran', 'poin', 'telkomsel', 'game', 'pilihan', 'game', 'tolong', 'perbanyak', '']</t>
  </si>
  <si>
    <t>['mengklaim', 'hadiah', 'cek', 'harian', 'kenakan', 'biaya', 'rp', 'kurangi', 'poin', 'tolong', 'bantuannya']</t>
  </si>
  <si>
    <t>['paket', 'multimedia', 'chat', 'music', 'games', 'sosmed', 'pas', 'dicoba', 'buka', 'sosmed', 'game', 'stream', 'video', 'spotify', 'jalan', 'satupun', 'beli', 'kuota', 'deskripsi', 'memadai', 'customer', 'servis', 'ngomong', 'robot', 'isi', 'pulsa', 'shopeepay', 'udah', 'terkonfirmasi', 'shopeepay', 'pulsa', 'masuk', 'cek', 'cek', 'pakai', 'apapun', 'hilang', 'pulsa', 'komplain', 'tanggapan', 'pelayanan', 'buruk', 'tanggung']</t>
  </si>
  <si>
    <t>['semoga', 'paket', 'data', 'mahal']</t>
  </si>
  <si>
    <t>['gila', 'redem', 'vocer', 'jaringan', 'sibuk', 'parah', 'repot', 'ambil', 'hak', 'sendirj', 'hadehhh']</t>
  </si>
  <si>
    <t>['alhamdulliah', 'membaik']</t>
  </si>
  <si>
    <t>['memuaskan', 'gampang', 'beli', 'paket', 'promo', 'promo', 'paket', 'paket', 'disediakan', 'murah', 'pokoknya']</t>
  </si>
  <si>
    <t>['irit', 'bnyak', 'pilihan']</t>
  </si>
  <si>
    <t>['mudah', 'murah', 'pembelian', 'paket', 'internet']</t>
  </si>
  <si>
    <t>['gajelas', 'bangett', 'isi', 'pulsa', 'masuk', 'langsung', 'beli', 'paket', 'nelfon', 'blm', 'detik', 'masuk', 'udh', 'kebeli', 'gajelas', 'bangett']</t>
  </si>
  <si>
    <t>['kadang', 'suka', 'lemot', 'sinyalnya']</t>
  </si>
  <si>
    <t>['jaringan', 'parah', 'mahal', 'doang', 'parahhhhhhh']</t>
  </si>
  <si>
    <t>['', 'orang', 'pulsa', 'ribu', 'gue', 'pulsa', 'annjing', 'banget', 'telkomsel', 'tailah', 'gue', 'rutin', 'beli', 'paket', 'mahal', 'jarang', 'beli', 'paket', 'murah', 'emang', 'tailah', 'telkomsel', 'mending', 'gue', 'make', 'indosat']</t>
  </si>
  <si>
    <t>['kuota', 'multimedia', 'kepake', 'youtube', 'inimah', 'kuota', 'utama', 'dluan', 'abis', 'udah', 'kuota', 'multimedia', 'doang', 'susah', 'hadeh']</t>
  </si>
  <si>
    <t>['jaringan', 'jelek', 'banget', '']</t>
  </si>
  <si>
    <t>['error', 'paket', 'beda', 'dibeli', 'dikomplain', 'pulak', 'tolong', 'diperbaiki', 'terimakasih']</t>
  </si>
  <si>
    <t>['', 'apk', 'sinyal']</t>
  </si>
  <si>
    <t>['mehong', 'mahal', 'harganya']</t>
  </si>
  <si>
    <t>['paket', 'mahal', 'sinyal', 'kayak', 'babijjjjjjjjj']</t>
  </si>
  <si>
    <t>['kak', 'apk', 'dibuka']</t>
  </si>
  <si>
    <t>['jaringannya', 'lemot', 'udah', 'upgrade', 'kartu', 'halo', 'lemot', 'perasaan', 'buruk', 'jaringan']</t>
  </si>
  <si>
    <t>['kemudahan', 'ditingkatkan', 'berkomunikasi', 'terkait', 'permasalahan', 'seputar', 'telkomsel', 'didalam', 'chat', 'aplikasi', 'telkomsel', 'fast', 'respon', 'terima', 'kasih']</t>
  </si>
  <si>
    <t>['paket', 'habis', 'pulsa', 'kesedot', 'langsung', 'habis']</t>
  </si>
  <si>
    <t>['tolong', 'tingakatkan', 'jaringan', 'pengguna', 'telkomsel', 'nyaman', 'harga', 'doang', 'mahal', 'jaringan', 'jelek']</t>
  </si>
  <si>
    <t>['jaringan', 'terluas', 'sinyal', 'kuat']</t>
  </si>
  <si>
    <t>['kesempatan', 'perpanjang', 'langganan', 'internet', 'telkomsel', 'memilih', 'paket', 'langsung', 'potong', 'terpotong', 'rupiah', 'aktif', 'internet', 'habis', 'masuk', 'app', 'telkomsel', 'alihkan', 'penggunaan', 'datanya', 'pulsa', 'reguler', 'keluhan', 'mengerti', 'telkomsel', 'kecewa', '']</t>
  </si>
  <si>
    <t>['aplikasi', 'mytemkomsel', 'berbeda', 'aplikasi', 'penyedia', 'layanan', 'jaringan', 'aplikasi', 'mytemkomsel', 'simpel', 'menguntungkan', 'pembelian', 'paket', 'dial', 'number', '']</t>
  </si>
  <si>
    <t>['iyah', 'ambil', 'paket', 'sistem', 'sibuk', 'mulu', 'tulisannya', 'aplikasi', 'banget', 'tolong', 'perbaiki']</t>
  </si>
  <si>
    <t>['harga', 'paket', 'mahal']</t>
  </si>
  <si>
    <t>['undianya', 'tukar', 'koin', 'bnyak', 'hasilnya', 'mengaksesnya', 'hahaha', '']</t>
  </si>
  <si>
    <t>['nga', 'buka']</t>
  </si>
  <si>
    <t>['kecewa', 'telkomsel', 'jaringannya', 'jelek', 'main', 'game', 'merah', 'lgi', 'jam', 'malam', 'gax', 'bakar', 'tower', 'telkomsel']</t>
  </si>
  <si>
    <t>['update', 'terbaru', 'dibuka', 'samsung', 'instal', 'versi']</t>
  </si>
  <si>
    <t>['update', 'aplikasi', 'telkomsel', 'hapus', 'download', 'ulang', 'kebuka', 'timbul', 'layar', 'putih', '']</t>
  </si>
  <si>
    <t>['apan', 'pemberitahuan', 'kuota', 'berkurang', 'telkom', 'jelek']</t>
  </si>
  <si>
    <t>['mudah', 'bertransaksi', 'mytelkomsel']</t>
  </si>
  <si>
    <t>['', 'dowload', 'aplikasi', 'telkomsel', 'buka', 'tolong', 'bantuannya', 'mksh']</t>
  </si>
  <si>
    <t>['informatif', 'membantu']</t>
  </si>
  <si>
    <t>['iklan', 'mengganggu', 'disaat', 'bermain', 'game']</t>
  </si>
  <si>
    <t>['bagus', 'may', 'telkomsel', 'beli', 'kuota', 'pulsa', 'poin', 'tukar', 'jenis', 'apapun', 'hadiah']</t>
  </si>
  <si>
    <t>['maafnya', 'telkomsel', 'kartu', 'telkomsel', 'jaringan', 'telkomsel', 'parah', 'pulsa', 'ilang', 'kemana', 'anggap', 'santai', 'skrng', 'paket', 'telkomsel', 'mahal', 'jaringannya', 'kecewa', 'beli', 'paket', 'nelpon', 'beli']</t>
  </si>
  <si>
    <t>['buka']</t>
  </si>
  <si>
    <t>['terima', 'kasih', 'telkomsel', 'menunggu', 'hahahaha', 'sukses', 'telkomsel', '']</t>
  </si>
  <si>
    <t>['jaringan', 'lemot', 'udah', 'mahal', 'lelet']</t>
  </si>
  <si>
    <t>['saran', 'paket', 'dibagi', 'beli', 'mikir', 'kali', 'karna', 'paket', 'nontonnya', 'paket', 'dipake', 'diluar', 'aplikasi', 'nonton', 'pelayanan', 'udah', 'bagus', 'kali', 'dibantu', 'veronika', 'kualitas', 'jaringan', 'udah', 'bagus', 'tergantung', 'cuaca', '']</t>
  </si>
  <si>
    <t>['aduh', 'kualitas', 'sinyalnya', 'buruk', 'banget', '']</t>
  </si>
  <si>
    <t>['knapa', 'update', 'apk', 'mytelpomsel', 'buka', 'kecewaa', '']</t>
  </si>
  <si>
    <t>['mantap', 'berbagi', 'hadiah', 'kali', 'mobil', '']</t>
  </si>
  <si>
    <t>['paketan', 'terburuk', 'telkomsel', 'main', 'game', 'jaringan', 'buruk', 'berhenti', 'langganan', 'hapus', 'aplikasi', 'buruk']</t>
  </si>
  <si>
    <t>['sinyal', 'telkomsel', 'jelek', 'gini', 'gangguan', 'hujan', 'dikit', 'gangguan', 'telkomsel', 'partai', 'lampung', 'timur']</t>
  </si>
  <si>
    <t>['paketan', 'mahal', 'jaringan', 'abal', 'abal', 'yuk', 'ganti', 'provider']</t>
  </si>
  <si>
    <t>['koneksi', 'internet', 'kadang', 'langsung', 'lag', 'kadang', 'jelek', 'harga', 'mahal', 'kualitas', 'murahan', '']</t>
  </si>
  <si>
    <t>['mudah', 'beli', 'paket', 'internet', 'mantab', 'pokoknya']</t>
  </si>
  <si>
    <t>['telkomsel', 'andalanku', 'jaringan', 'trrrmudah', 'terrr', 'cepat']</t>
  </si>
  <si>
    <t>['telkomsel', 'sinyal', 'kaya', 'kartu', 'lemot', 'baget']</t>
  </si>
  <si>
    <t>['apk', 'dibuka', 'pdhl', 'udh', 'update', '']</t>
  </si>
  <si>
    <t>['signal', 'jaringan', 'telkomsel', 'dikota', 'diragukan', 'didesa', 'lemah', 'jangkauan']</t>
  </si>
  <si>
    <t>['jaringan', 'error', 'main', 'game', 'main', 'sosmed', 'ngeluh', 'balas', 'bot', 'operatornya']</t>
  </si>
  <si>
    <t>['', 'cocok', 'hiburan', 'bagus', 'tida', 'coba']</t>
  </si>
  <si>
    <t>['semoga', 'layananya', 'bagus', 'sukses', 'perbanyak', 'hadianya', 'kiamat', 'semoga', 'terbukti', 'hadianya', 'amin']</t>
  </si>
  <si>
    <t>['dwonload', 'masuk', 'aplikasi', 'buka', 'backgraund', 'layar', 'putih', 'tampilan', 'berulang', 'kali', 'dwonload']</t>
  </si>
  <si>
    <t>['mudah', 'berlayanan', 'pokonya', 'sip']</t>
  </si>
  <si>
    <t>['menukar', 'poin', 'pulsa']</t>
  </si>
  <si>
    <t>['php', 'alias', 'berbeda', '']</t>
  </si>
  <si>
    <t>['tolong', 'harga', 'sesuaikan', 'kualitas', 'koneksi', 'jaringan', 'lag', 'bermain', 'game']</t>
  </si>
  <si>
    <t>['paketnya', 'mahal', 'jaringanyta', 'lelet']</t>
  </si>
  <si>
    <t>['jelek', 'banget', 'aplikasi', 'telkomsel', 'kaga', 'buka', 'habis', 'update', 'kaga', 'buka', 'data', 'hapus', 'cache', 'hapus']</t>
  </si>
  <si>
    <t>['dperbhrui', 'perbharu', 'lgi', 'buka', 'pmbruan']</t>
  </si>
  <si>
    <t>['siyal', 'parahh', 'jamin', 'harga', 'mahal']</t>
  </si>
  <si>
    <t>['kecewa', 'telkomsel', 'skrang', 'buruk', 'jaringan', 'slalu', 'lelet', 'sebagus', '']</t>
  </si>
  <si>
    <t>['tolong', 'harga', 'kuota', 'permurah', 'dimasa', 'pamdemi', 'gini', 'susah', 'cari', 'uang', 'kuota', 'mahal', '']</t>
  </si>
  <si>
    <t>['tingkatkan', 'trs']</t>
  </si>
  <si>
    <t>['beli', 'paket', 'gamemax', 'nyesel', 'ngelag', 'parah', 'ping', 'gapernah', 'beli', 'gamemax', 'komplain', 'telp', 'gaguna']</t>
  </si>
  <si>
    <t>['gimana', 'gua', 'nyesel', 'beli', 'pulsa', 'dipaketin', 'jaringan', 'kek', 'harap', 'pulsa', 'dikembalikan', 'beli', 'kuota', 'langsung', 'batas', 'fup', 'aneh']</t>
  </si>
  <si>
    <t>['sinyal', 'telkomsel', 'jelek', 'jam', 'lemot', 'susah', 'kuota', 'mahal', 'lemoooot', 'gangguan']</t>
  </si>
  <si>
    <t>['bermoral', 'uang', 'pelayanan', 'harapkan', '']</t>
  </si>
  <si>
    <t>['kuota', 'jaringan', 'fulll', 'game', 'ancur', 'banget', 'kartu', 'perdana', 'mahal', 'gini', 'tolong', 'perbaiki', 'sakit', 'hati', 'karna', 'sinyal', 'tipu', '']</t>
  </si>
  <si>
    <t>['telkomsel', 'sinyalnya', 'ilang', 'setabil', 'main', 'game', 'ilang', 'kridit', 'skor', 'habis', 'kasih', 'bintang']</t>
  </si>
  <si>
    <t>['sinyal', 'bagus', 'membantu']</t>
  </si>
  <si>
    <t>['req', 'rmh']</t>
  </si>
  <si>
    <t>['apl', 'terbantu', '']</t>
  </si>
  <si>
    <t>['berjalan', 'lancar', 'kesini', 'sinyal', 'lemot', 'kalah', 'provaider', 'sebelah', 'abal', 'abal', 'aplikasi', 'telkomsel', 'dibuka', 'pelangan', 'setia', 'telkomsel', 'gimana', 'pelayanan', 'kian', 'menurun']</t>
  </si>
  <si>
    <t>['bayar', 'gopay', 'teleport', 'playstore', 'gajelas']</t>
  </si>
  <si>
    <t>['paketannya', 'mahal', 'jaringan', 'murahan', 'ktanya', 'bagus', 'mna', 'masuk', 'kampung', 'dikit', 'jelek', 'ampun', 'perubahan', 'terpaksa', 'berhenti', 'langganan', '']</t>
  </si>
  <si>
    <t>['jos', 'pokok', '']</t>
  </si>
  <si>
    <t>['buka', 'telkomsel', 'mao', 'ngecek', 'point']</t>
  </si>
  <si>
    <t>['mudah', 'ribet', 'penggunaanx', 'thanks', 'telkomsel', '']</t>
  </si>
  <si>
    <t>['lemot', 'telkomsel']</t>
  </si>
  <si>
    <t>['kali', 'uninstall', 'aplikasi', 'download', 'ulang', 'pas', 'buka', 'aplikasi', 'layar', 'putih', 'tolong', '']</t>
  </si>
  <si>
    <t>['jenis', 'paketane', 'konyol', 'kaya', 'wagu', '']</t>
  </si>
  <si>
    <t>['kemari', 'mahal', 'harga', 'paket', 'telkomsel', 'udah', 'berlangganan', 'bertahun', 'kali', 'mikir', 'cari', 'provider', 'harga', 'paketnya', 'terjangkau', 'pakai', 'telkomsel', 'unggul', 'coverage', 'pandemi', 'gini', 'provider', 'plat', 'merah', 'merakyat', 'banget', 'harga', 'paketnya', '']</t>
  </si>
  <si>
    <t>['udh', 'pengguna', 'kartu', 'telkomsel', 'sinyal', 'ajh', 'ajh', 'gangguan', 'kecewaa', 'udh', 'mah', 'mahal', 'kuota', 'sinyal', 'jelek', '']</t>
  </si>
  <si>
    <t>['semenjak', 'update', 'apk', 'eror', 'layarnya', 'putih', 'tolong', 'knpa']</t>
  </si>
  <si>
    <t>['ber', 'bintang', 'telkomsel', 'ngasih', 'hadiah', 'kasih', 'doong']</t>
  </si>
  <si>
    <t>['', 'login', 'sebulan', 'nnti', 'kasih', 'bintangnya']</t>
  </si>
  <si>
    <t>['proses', 'order', 'paket', 'hadeeeuh']</t>
  </si>
  <si>
    <t>['puas', 'layanan', 'aplikasi', 'mytelkomsel', '']</t>
  </si>
  <si>
    <t>['tingkatkan', 'promo', 'pulsanya', '']</t>
  </si>
  <si>
    <t>['jaringan', 'kau', 'kek', 'baby', 'dajjal', 'orang', 'main', 'game', 'lag', 'kek', 'anak', 'baby']</t>
  </si>
  <si>
    <t>['mahal', 'paket', 'sinyal', 'sejelek', 'cacad', '']</t>
  </si>
  <si>
    <t>['kuota', 'pulsa', 'rb', 'ludes', 'jga', 'nyampe', 'sisain', 'nol', 'bkn', 'skali', 'kaya', 'gini', 'udh', 'bbrapa', 'bln', 'kaya', 'gini', 'trus', 'udh', 'kuota', 'mahal', 'skrg', 'pulsa', 'malingin', 'jls', 'telkomsel', 'klw', 'total', 'malingin', 'udh', 'lbh', 'dri', 'rb', 'plsa', 'ambil', 'trs', 'pdhl', 'kuota', 'msh', 'byk', 'pke', 'unlimited', 'ttp', 'plsa', 'gercep', 'ngambil', 'mnding', 'pke', 'krtu', 'dri', 'pda', 'trus', 'empet', 'make', 'telkomsel', 'pdhl', 'udh', 'udh', 'lbh', 'thn', 'dri', 'pke', 'kcwa', 'skrg']</t>
  </si>
  <si>
    <t>['sinyal', 'mantap', 'pelosok']</t>
  </si>
  <si>
    <t>['semoga', 'maju', 'murah', 'harga', 'kuotanya', 'bagus', 'jaringannya', 'sukses', 'telkomsel', 'noted', 'menyulitkan', 'nasabah', 'kartunya', 'hangus', 'diganti', 'nomor', 'merugikan', 'konsumen', 'nomor', 'diganti', 'dngn', 'terimakasih']</t>
  </si>
  <si>
    <t>['jaringan', 'telkomsel', 'lelet', 'buka', 'game', 'online', 'buka', 'lte', 'susah', 'kecewa', 'telkomsel', 'kenal', 'jaringan', 'terbaik', 'jaringan']</t>
  </si>
  <si>
    <t>['andalkan', 'sinyal', 'jelek', 'stabil', 'game', 'online', 'mahal', 'service', 'spadan', 'komplain', 'tunggu', 'proses', 'bagus', 'simpati', 'andalkan', '']</t>
  </si>
  <si>
    <t>['internet', 'daerah', 'full', 'min', '']</t>
  </si>
  <si>
    <t>['telkomsel', 'tolol', 'anjingg', 'mahal', 'doank', 'jaringan', 'internet', 'kaya', 'babi', 'kecewa', 'sbg', 'pengguna']</t>
  </si>
  <si>
    <t>['signal', 'jelek', 'skaranng']</t>
  </si>
  <si>
    <t>['jaringan', 'burik', 'harga', 'mahal', 'customer', 'service', 'bantu', 'keluhan', 'customer', 'kesini', 'parah']</t>
  </si>
  <si>
    <t>['aplikasi', 'bagus', 'pengguna', 'telkomsel']</t>
  </si>
  <si>
    <t>['paketan', 'harga', 'mahal', 'sinyal', 'jelek', 'siapalagi', 'telkomsel']</t>
  </si>
  <si>
    <t>['beli', 'paket', 'tambahan', 'youtube', 'unlimited', 'kepotong', 'kouta', 'utama']</t>
  </si>
  <si>
    <t>['sinyal', 'dlm', 'kota', 'parah', 'lemot']</t>
  </si>
  <si>
    <t>['kecewa', 'berat', 'sma', 'telkomsel', 'paket', 'mahal', 'jaringan', 'kek', 'babi', 'ngelag', 'parah', 'game', 'ngelag', 'robohin', 'towernya', 'lag', 'trs', '']</t>
  </si>
  <si>
    <t>['min', 'telkomsel', 'buka', 'berkali', 'unsintal', 'instal', 'ulang', 'dibuka', 'emang', 'kendala', 'gmn', 'udah', 'sebulanan', 'dibuka']</t>
  </si>
  <si>
    <t>['mengubah', 'kartu', 'halo', '']</t>
  </si>
  <si>
    <t>['sinyalnya', 'paraaah', 'udahlah', 'mahal', 'sinyal', 'parah', 'gitu', 'layanannya', 'ganti', 'operator']</t>
  </si>
  <si>
    <t>['sanagat', 'membantu', 'suka']</t>
  </si>
  <si>
    <t>['kedepankan', 'kualitas', 'telkomsel']</t>
  </si>
  <si>
    <t>['aplikasi', 'jaringan', 'udah', 'provider', 'murahan', 'ajah', 'harga', 'mahal', 'kualitas', 'jongkok', '']</t>
  </si>
  <si>
    <t>['udah', 'minggu', 'aplikasi', 'buka', 'layar', 'putih', 'doank', 'muncul', 'bolak', 'download', 'tetep', 'menyedihkan', '']</t>
  </si>
  <si>
    <t>['udah', 'undian', 'telkomsel', 'rezeki']</t>
  </si>
  <si>
    <t>['jaringan', 'kos']</t>
  </si>
  <si>
    <t>['bantuanya', 'bos', '']</t>
  </si>
  <si>
    <t>['semenjak', 'update', 'aplikasi', 'biaa', 'buka', 'layar', 'putih']</t>
  </si>
  <si>
    <t>['jaringan', 'buruk', 'pemai']</t>
  </si>
  <si>
    <t>['udah', 'sebulan', 'aflikasi', 'mytelkomsel', 'nge', 'blank', 'bgaimana', 'bukanya']</t>
  </si>
  <si>
    <t>['sinyalnya', 'parah', 'kawasan', 'bojonggede', 'bogor']</t>
  </si>
  <si>
    <t>['aplikasi', 'error', 'samsung', 'android']</t>
  </si>
  <si>
    <t>['fup', 'paketan', 'menggangu', 'kecewa', 'mending', 'dlu', 'bln', 'pakai', 'internet', 'unlimited', 'youtube', 'lancar', 'apps', 'masoh', 'lancar', 'emosi', '']</t>
  </si>
  <si>
    <t>['harga', 'mahalin', 'jaringan', 'perbaikin', 'taik']</t>
  </si>
  <si>
    <t>['lumayan', 'updete', 'suport', 'dpi', 'tolong', 'penukaran', 'poin', 'perhatikan', 'menukar', 'poin', 'meberi', 'kesulitan', 'kejenuhan', 'lgi', 'restar', 'menukan', 'poin', 'sesi', 'habis', '']</t>
  </si>
  <si>
    <t>['mahal', 'sinya', 'jelek', 'babi', '']</t>
  </si>
  <si>
    <t>['puas', 'aplikasi']</t>
  </si>
  <si>
    <t>['jaringan', 'jelek']</t>
  </si>
  <si>
    <t>['skrng', 'telkomsel', 'jaringan', 'lemot', '']</t>
  </si>
  <si>
    <t>['mantaf', 'sukses', 'trus', 'telkomsel']</t>
  </si>
  <si>
    <t>['aplikasi', 'menyediakan', 'layanan', 'bebas', 'data', 'pelanggan', 'pembelian', 'paket', 'data', 'kondisi', 'darurat', 'kehabisan', 'paket', 'data', 'wilayah', 'terpencil', '']</t>
  </si>
  <si>
    <t>['gua', 'beli', 'promo', 'rb', 'gb', 'gagal', 'pulsa', 'mencukupi', 'udah', 'isi', 'pulsa', 'tipuan', 'orang', 'beli', 'pulsa', 'telkom', '']</t>
  </si>
  <si>
    <t>['apk', 'buka', 'kecewa', 'kasih', 'solusi']</t>
  </si>
  <si>
    <t>['jaringan', 'telkomsel', 'bener', 'angin', 'hujan', 'sinyal', 'hilang', 'boro', 'jaringan', 'internet', 'jaringn', 'telp', 'kalah', 'jaringan', 'lbh', 'murah', 'sinyal', 'bagus']</t>
  </si>
  <si>
    <t>['apk', 'nyah', 'jelek', 'lelet', 'kuota', 'mahal']</t>
  </si>
  <si>
    <t>['pembohong', 'pinjam', 'paket', 'data', 'harganya', 'rp', 'isi', 'ulang', 'pulsa', 'pulsa', 'tersedot', '']</t>
  </si>
  <si>
    <t>['bagus', 'hemat', 'pengeluarannys', '']</t>
  </si>
  <si>
    <t>['gila', 'paketan', 'harganya', 'mahal', 'dibandingkan', 'temen', 'beda', 'sampe', 'rb', 'beli', 'paket', 'omg', 'cuman', 'knapa', 'harganya', 'kecewa', 'parah', 'telkomsel']</t>
  </si>
  <si>
    <t>['jaringanny', 'jdi', 'lemot', 'kek', 'siput']</t>
  </si>
  <si>
    <t>['paket', 'mahal', 'jaringan', 'buruk', 'jaringan', 'hilang', 'hilang']</t>
  </si>
  <si>
    <t>['telkomsel', 'oke', 'banget', '']</t>
  </si>
  <si>
    <t>['knpa', 'oppo', 'instal', 'app', 'tolong', 'bantu']</t>
  </si>
  <si>
    <t>['sinyal', 'lag', 'tolong', 'diperbaiki', 'sinyalnya', 'daerah', 'plosok', 'daerah', '']</t>
  </si>
  <si>
    <t>['', 'eror', 'trus', 'silakan', 'coba', 'trus']</t>
  </si>
  <si>
    <t>['aplikasi', 'telkomsel', 'kren']</t>
  </si>
  <si>
    <t>['kya', 'jaringan']</t>
  </si>
  <si>
    <t>['paketannya', 'mahal', 'mahal', 'coba', 'promo', 'kuota', 'internet', '']</t>
  </si>
  <si>
    <t>['woi', 'sinyal', 'kau', 'bangsatttt', '']</t>
  </si>
  <si>
    <t>['goog', 'bagus', 'banget']</t>
  </si>
  <si>
    <t>['sinyalnya', 'buruk', 'mahal']</t>
  </si>
  <si>
    <t>['signal', 'lemot']</t>
  </si>
  <si>
    <t>['sanggat', 'membantu', 'menbeli', 'intrnetan']</t>
  </si>
  <si>
    <t>['aplikasi', 'buka', 'nongol', 'warna', 'putih']</t>
  </si>
  <si>
    <t>['kasih', 'promo', 'rbu', 'kya', 'kartu', 'tetangga', 'mksh']</t>
  </si>
  <si>
    <t>['kecewa', 'beli', 'kuota', 'combo', 'sakti', 'sinyal', 'ilang']</t>
  </si>
  <si>
    <t>['aplikasi', 'menghilang', 'koneksi', 'lemot', 'lelet', 'mahal', 'koneksi', 'jelek', '']</t>
  </si>
  <si>
    <t>['mantappp', 'telkomsel', 'terbaik']</t>
  </si>
  <si>
    <t>['paket', 'internet', 'smua', 'mahal']</t>
  </si>
  <si>
    <t>['login', 'susah', 'papua', 'mayoritas', 'pengguna', 'telkomsel']</t>
  </si>
  <si>
    <t>['internetnya', 'lemot', 'kada', 'suka', 'jaringan', 'internet', 'enak', 'jaringan', 'telkomselnya', 'maaf', 'kasih', 'bintang', '']</t>
  </si>
  <si>
    <t>['dpt', 'promo', 'parsel', 'hilang', 'promo', 'combonya', '']</t>
  </si>
  <si>
    <t>['kecewa', 'udh', 'blank', 'putih']</t>
  </si>
  <si>
    <t>['jaringan', 'ngeleg', 'sinyalnya', 'full', 'paket', 'beli', '']</t>
  </si>
  <si>
    <t>['aplikasi', 'tampilan', 'eror', 'layar', 'putih']</t>
  </si>
  <si>
    <t>['tingkatkan', 'segi', 'jaringan', 'tersendat', 'sendat', 'penggunaan', 'internet']</t>
  </si>
  <si>
    <t>['govlok', 'banget', 'telkomsel', 'banyakin', 'fitur', 'kurangi', 'kualitas', 'jaringan', 'kesel', 'ampe', 'banting', 'asli']</t>
  </si>
  <si>
    <t>['kualitas', 'jelek', 'pelayanan', 'admin', 'whatsapp', 'ramah', 'fast', 'respon']</t>
  </si>
  <si>
    <t>['telkomsel', 'hebat', 'hebat', 'lemotnya', 'isi', 'kuota', 'tiktok', 'dipake', 'makan', 'uang', 'orang', 'moga', 'berkah', 'hidup', 'jaringan', 'super', 'lemot', 'kalah', 'axis', 'langganan', 'telkomsel', 'msih', 'sma', 'thun', '']</t>
  </si>
  <si>
    <t>['tolong', 'telkomsel', 'sinyal', 'pas', 'hujan', 'hujan', 'sinyal', 'jelek', 'sekalii', 'tolong', 'perbaiki', '']</t>
  </si>
  <si>
    <t>['bsa', 'buka']</t>
  </si>
  <si>
    <t>['beli', 'paket', 'aplikasi', 'telkomsel', 'buka', '']</t>
  </si>
  <si>
    <t>['susah', 'dipakai', 'non', 'internet']</t>
  </si>
  <si>
    <t>['aplikasi', 'ngebug', 'layar', 'putih', 'doang', '']</t>
  </si>
  <si>
    <t>['pelayanan', 'sinyal', 'bagus', 'kecewa', 'harga', 'mahal', 'kualitas', 'perbaiki']</t>
  </si>
  <si>
    <t>['bagus', 'namanya', 'lelet']</t>
  </si>
  <si>
    <t>['kasih', 'rating', 'buruk', 'pembenahan', 'jujur', 'kesini', 'kualitas', 'koneksi', 'buruk', 'harga', 'paket', 'mahal', 'kualitas', 'nambah', 'nambah', 'buruk', 'pelanggan', 'setia', 'telkomsel', 'service', 'pelanggannya', 'harga', 'bayar', 'murah', '']</t>
  </si>
  <si>
    <t>['', 'upgrade', 'kartu', 'hallo', 'bagus', 'pelayanan', 'payah', 'gue', 'berhenti', 'berlangganan', 'emang', 'unlimited', 'unlimited', 'apapun', 'ngelag', 'ngelag', 'hapus', 'metode', 'tukar', 'poin', 'ujung', 'tukar', '']</t>
  </si>
  <si>
    <t>['kox', 'telkomsel', 'ngak', 'bukak', '']</t>
  </si>
  <si>
    <t>['praktis', 'mudah', '']</t>
  </si>
  <si>
    <t>['kecewa', 'banget', 'beli', 'paketan', 'mahal', 'mahal', 'jaringan', 'stabil', 'kecepatan', 'jaringan', 'lambat']</t>
  </si>
  <si>
    <t>['simple', 'menggunakannya', 'tolong', 'perbaiki', 'jaringannya', 'yeaa', 'top', 'game', 'simple', '']</t>
  </si>
  <si>
    <t>['kecewa', 'hujan', 'mati', 'lampu', 'sinyal', 'hilang', 'tolong', 'diperbaiki', 'koneksinya', 'terimakasih']</t>
  </si>
  <si>
    <t>['jaringan', 'kontoll', 'mahal', 'beli', 'paket', 'telkomsel', 'taikk', 'buka', 'youtube', 'lag', 'hpus', 'jaringan', 'mending', 'pindah', 'smartfren', 'pengguna', 'jngan', 'beli', 'telkomsel', 'rugi', 'harga', 'paket', 'mahal', 'jaringan', '']</t>
  </si>
  <si>
    <t>['telkomsel', 'sinyal', 'emosi', 'naek', 'darah', 'bagus', 'lancar', 'internet', 'nyut', 'sinyal', 'loading', 'mulu', 'pelosok', 'pelosok', 'gimana', 'skrg', 'jkrt', 'sinyal', 'internet', 'pdhal', 'quota', 'msh', 'trouble', 'mulu', 'telkomsel', 'internet', 'penonton', 'kecewa', '']</t>
  </si>
  <si>
    <t>['kadang', 'enak', 'kali', 'pakek', 'aplikasi', 'selamat', 'aplikasi', 'mantap', 'pokok']</t>
  </si>
  <si>
    <t>['jual', 'tower', 'sinyal', 'jelek']</t>
  </si>
  <si>
    <t>['mantap', 'paketnya', 'pda', 'murah', 'promonya']</t>
  </si>
  <si>
    <t>['', 'buka']</t>
  </si>
  <si>
    <t>['login', 'aneh', 'telkomsel', 'klik', 'tautan', 'sms', 'klik']</t>
  </si>
  <si>
    <t>['kecewa', 'telkomsel', 'make', 'combo', 'sakti', 'unliminitide', 'paket', 'utama', 'udah', 'abis', 'lemot', 'banget', 'paket', 'multemedia', 'trus', 'lemot', 'banget', 'aduhh', 'kefewa', 'kaya', 'combo', 'saktinya', 'kouta', 'utamanya', 'abis', 'lancar', 'internetannya', 'lemot', 'beda', '']</t>
  </si>
  <si>
    <t>['promo', 'paket', 'untk', 'kartu', 'murah', 'diturunkan', 'hargax']</t>
  </si>
  <si>
    <t>['kemudahan', 'bertransaksi', 'ribet', '']</t>
  </si>
  <si>
    <t>['kek', 'man', 'telkomsel', 'paket', 'nelpon', 'tlpon', 'kagak']</t>
  </si>
  <si>
    <t>['udah', 'update']</t>
  </si>
  <si>
    <t>['pulang', 'kerja', 'jenuh', 'pusing', 'pikiran', 'pengen', 'banget', 'istirahat', 'nonton', 'vidio', 'film', 'apapun', 'menghibur', 'sinyalnya', 'jelek', 'banget', 'aduh', 'depresi', 'mati', '']</t>
  </si>
  <si>
    <t>['jaringan', 'kek', 'gitu', 'beli', 'mahal', 'mahal', 'jaringan', 'jelek']</t>
  </si>
  <si>
    <t>['sinnyal', 'bagus', 'jaringan', 'jelek', 'mending', 'kasih', 'sinnyal', 'sexalian']</t>
  </si>
  <si>
    <t>['aplikasi', 'mudah', 'beli', 'paket', 'diskon', 'nyaaaaa', '']</t>
  </si>
  <si>
    <t>['android', 'buka', 'tsel', 'blank', 'layar', 'putih', '']</t>
  </si>
  <si>
    <t>['beli', 'kuota', 'mahal', 'malas', 'lag', 'bangt', 'jaringanya', 'gajelas', 'bngt', 'smpe', 'liat', 'kaga']</t>
  </si>
  <si>
    <t>['beli', 'pulsa', 'ribu', 'rupiah', 'telkomsel', 'masuk', 'bayar', 'virtual', 'acount', 'bca', 'masuk', 'tolong', 'respon']</t>
  </si>
  <si>
    <t>['pelayanan', 'ramah', 'ribet', 'ruwed', 'susah', 'pelit', 'plin', 'plan']</t>
  </si>
  <si>
    <t>['gabisa', 'transaksi', 'beli', 'pulsa']</t>
  </si>
  <si>
    <t>['', 'terkomsel', 'terbaik']</t>
  </si>
  <si>
    <t>['telkomsel', 'sekrang', 'eror', 'jaringan', 'blm', 'lancar', '']</t>
  </si>
  <si>
    <t>['paketan', 'mahal', 'sinyal', 'jing', '']</t>
  </si>
  <si>
    <t>['telkomsel', 'buka', 'uda', 'hapus', 'download', 'perbarui', 'tetep', 'buka', 'tolong', 'penjelasan', '']</t>
  </si>
  <si>
    <t>['', 'aplikasi', 'telkomselnya', 'buka', 'yahh', 'lancar']</t>
  </si>
  <si>
    <t>['harga', 'produk', 'telkomsel', 'beda', 'tipis', 'harga', 'pasaran', 'muda', 'top', 'pasaran']</t>
  </si>
  <si>
    <t>['bagus', 'tolong', 'tingkatkan']</t>
  </si>
  <si>
    <t>['kak', 'baguss', 'naikin', 'bintang', 'mkny', 'ksih', 'harga', 'paket', 'miring', 'mahal', '']</t>
  </si>
  <si>
    <t>['telkomsel', 'kota', 'klw', 'daerah', 'dataran', 'pegunungan', 'sulit', 'sinyal', 'jaringan', 'apapun', 'susah', 'mohon', 'perhatikan', 'perkampungan', 'tinggal', 'dataran', '']</t>
  </si>
  <si>
    <t>['bayar', 'paket', 'mahal', 'jaringan', 'lemot', 'game', 'nglag', 'parah']</t>
  </si>
  <si>
    <t>['semoga', '']</t>
  </si>
  <si>
    <t>['mudah', 'gampang', 'beli', 'pulsa', 'data']</t>
  </si>
  <si>
    <t>['menu', 'pilihan', 'beli', 'paket', 'data', 'harga', 'rp', 'habis', 'ngisi', 'pulsa', 'sisa', 'pulsa', 'tinggal', 'kemanan', 'sisanya', 'pulsa', 'cek', 'sisa', 'tolong', 'benerin', 'komputernya', 'operatornya', 'ngacok', 'woi', 'telkomsel', 'simpati', 'lte', 'brekele', 'bener']</t>
  </si>
  <si>
    <t>['membantu', 'proses', 'belajar']</t>
  </si>
  <si>
    <t>['aplikasi', 'top']</t>
  </si>
  <si>
    <t>['mohon', 'meningkatkan', 'jaringan', 'membeli', 'kuota', 'paket', 'duit', 'kualitas', 'memadai', 'maju', 'bobrok']</t>
  </si>
  <si>
    <t>['mudah', 'pembelian', 'kuota', 'internet', 'promo', 'menarik', '']</t>
  </si>
  <si>
    <t>['semoga', 'bermanfaat']</t>
  </si>
  <si>
    <t>['urusan', 'mudah']</t>
  </si>
  <si>
    <t>['standar', 'bagus', 'tampilannya', 'lemot', 'kalah', 'sebelah']</t>
  </si>
  <si>
    <t>['sinyal', 'telkomsel', 'kayak', 'taiiiii', 'anjingggggg']</t>
  </si>
  <si>
    <t>['selengkapnya']</t>
  </si>
  <si>
    <t>['isi', 'pulsa', 'rb', 'buka', 'aplikasi', 'terkurang', 'pembelian', 'apapun', 'membeli', 'paket', 'malam', 'gb', 'rb', 'muncul', 'kuotanya', 'pulsa', 'kepotong', 'cek', 'sms', 'pesan', 'masuk', 'cek', 'cek', 'kuota', 'tertulis', 'pulsa', 'kepotong', 'diwaktu', 'membeli', 'paket', 'malam', 'kuotanya', 'masuk', 'mohon', 'bantuannya', '']</t>
  </si>
  <si>
    <t>['mahal', 'doang', 'jaringan', 'kaya', 'anjing', 'ngeleg', 'parah', 'banget']</t>
  </si>
  <si>
    <t>['instal', 'telkomsel', 'dibuka', 'tolong', 'dibantu', 'informasi', 'solusinya', '']</t>
  </si>
  <si>
    <t>['mehong', 'sinyal', 'ngga', 'stabil', 'esmosi', '']</t>
  </si>
  <si>
    <t>['baguss', 'memudahkan', 'pembelian', 'paket', 'data', '']</t>
  </si>
  <si>
    <t>['udah', 'beli', 'paketan', 'tetep', 'pulsa', 'tersedot', 'hati', 'gaes']</t>
  </si>
  <si>
    <t>['aplikasinya', 'nggak', 'dibuka', 'layar', 'putih', '']</t>
  </si>
  <si>
    <t>['usaha', 'mikirin', 'pikirin', 'orang', 'gunain', 'barang', 'mending', 'kaga', 'usaha', 'maju', 'usaha', 'ngrugiin', 'orang']</t>
  </si>
  <si>
    <t>['slalu', 'setia', 'telkomsel']</t>
  </si>
  <si>
    <t>['diperbaiki', 'layanan', 'aplikasi', 'seminggu', 'komplain', 'direspon', '']</t>
  </si>
  <si>
    <t>['pengguna', 'telkomsel', 'sinyal', 'bagus', 'lelet', 'gini', 'parah', 'sinyal', 'telkomsel', 'aduhhh', 'kecewa', '']</t>
  </si>
  <si>
    <t>['paket', 'mahal', 'koneksi', 'buriikkk', 'rumah', 'stabil', 'turun', 'sinyalnya', 'labil', 'parah', 'speed', 'download', 'asalnya', 'sampe', 'mbps', 'dapet', 'mbps', 'turun', 'drop', 'parah', '']</t>
  </si>
  <si>
    <t>['', 'membantu', 'cek', 'pls']</t>
  </si>
  <si>
    <t>['beda', 'promonya', 'jls', 'telkomsel']</t>
  </si>
  <si>
    <t>['mytelkomsel', 'murah', 'praktis']</t>
  </si>
  <si>
    <t>['taik', 'telkomsel', 'lelet', 'sinyal', 'ampun', 'beli', 'mahal', 'kuota', 'mending', 'indosat', 'kartu', 'mantap', 'kuat', 'murah', 'kuota']</t>
  </si>
  <si>
    <t>['ujan', 'lag', 'maunya', 'anjjjjj']</t>
  </si>
  <si>
    <t>['mantap', 'memudahkan', 'memilih', 'paket', 'internet']</t>
  </si>
  <si>
    <t>['bet', 'updetnya', '']</t>
  </si>
  <si>
    <t>['paket', 'internet', 'telkomsel', 'mahal', 'nomor', 'jaringannya', 'lemot', 'untungnya', 'mahal', 'sinyal', 'burik']</t>
  </si>
  <si>
    <t>['tampilannya', 'mantap', 'membingungkan', 'pengguna', 'awam', 'thanks']</t>
  </si>
  <si>
    <t>['tingkat', 'kualitas', 'sinyal', 'daerah', 'propinsi', 'bengkulu', 'utara', 'kab', 'muko', 'muko', 'kec', 'koto', '']</t>
  </si>
  <si>
    <t>['kenapah', 'bayar', 'ovo', 'sagat', 'igin']</t>
  </si>
  <si>
    <t>['maksih', 'paket', 'gua', 'murah', 'banget', 'cmn', 'rb', 'ngotak', 'wkwkwk', 'bagus', 'apknya', '']</t>
  </si>
  <si>
    <t>['', 'telkomsel', 'terbaik']</t>
  </si>
  <si>
    <t>['membuka', 'aplikasi', 'telkom', 'sel', 'mohon', 'solusinya']</t>
  </si>
  <si>
    <t>['tolong', 'daerah', 'kalsel', 'tepatnya', 'kota', 'banjarbaru', 'jaringan', 'lelet', 'buka', 'muter', 'doang', 'aplg', 'pas', 'mlm', 'jaringan', 'brubah', 'doang', 'support', 'lock', 'jaringan', 'lelet', 'mnt', 'ampun', 'telkomsel', '']</t>
  </si>
  <si>
    <t>['adain', 'promo', 'kuota', 'hadiah', 'login', 'udah', 'mantap', 'tingkatin', 'hadiah', 'bonus', '']</t>
  </si>
  <si>
    <t>['koq', 'karuan', 'nie', 'sinyal', 'telkomsel', 'dipakai', 'online', 'sinyal', 'dibawa', 'masuk', 'gedung', 'parkir', 'bandara', 'ngeblass']</t>
  </si>
  <si>
    <t>['gakbisa', 'dibuka']</t>
  </si>
  <si>
    <t>['aplikasi', 'keren', 'promo', 'telkomsel', 'emng', 'the', 'bast', 'nyesel', 'dowload', 'pengguna', 'beli', 'kuota', 'gb', 'harga', 'cuman', 'ribu', 'doang']</t>
  </si>
  <si>
    <t>['pulsanya', 'habis', 'nggk', 'pakai', 'mohon', 'infonya']</t>
  </si>
  <si>
    <t>['menarik', 'mudah', 'mudahah', 'medapatkan', 'telkomsel', 'berharap', 'telkomsel', 'hebat', '']</t>
  </si>
  <si>
    <t>['bsa', 'dibuka', 'cek', 'kuota', 'manual', 'haduh']</t>
  </si>
  <si>
    <t>['harga', 'paket', 'internet', 'telkomsel', 'mahal', 'operator']</t>
  </si>
  <si>
    <t>['', 'telkomsel', 'memudahkan', 'pembelian', 'kuota', 'cek', 'pulsa', 'terima', 'kasih', 'telkomsel', '']</t>
  </si>
  <si>
    <t>['gangguan', 'aplikasi', 'telkomsel', 'dibuka']</t>
  </si>
  <si>
    <t>['mantul', 'pemotongan', 'pulsa', 'karna', '']</t>
  </si>
  <si>
    <t>['kecewa', 'berat', 'paket', 'combo', 'sakti', 'unlimited', 'chat', 'music', 'game', 'sosmed', 'gua', 'pakai', 'doang', 'main', 'game', 'coc', 'masuk', 'klau', 'sosmed', 'masuk', 'mutar', 'mutar', 'hubungi', 'veronika', 'ngubung', 'nyesal', 'nyesalll', 'beli', 'paket', 'telkomsel', 'klau', 'masukkan', 'foto', 'uda', 'kumasukkan', 'paketan', 'gb', 'gunanya']</t>
  </si>
  <si>
    <t>['prosesnya', 'cpt', 'semoga', 'paket', 'btl', 'smpai']</t>
  </si>
  <si>
    <t>['serba', 'mahal', 'diskon', 'tah']</t>
  </si>
  <si>
    <t>['gaada', 'kuota', 'gratis']</t>
  </si>
  <si>
    <t>['claim', 'hadiah', 'login', 'pakai', 'pulsa', 'pakai', 'poin', 'claim', 'hadiah', 'pakai', 'pulsa', 'membeli', 'gratis']</t>
  </si>
  <si>
    <t>['bagus', 'tingkatkan', '']</t>
  </si>
  <si>
    <t>['', 'telkomsel', 'buka', 'buka', 'apknya', 'warna', 'putih', 'sumpah', 'apk', 'jelek', 'beli']</t>
  </si>
  <si>
    <t>['buruk', 'beli', 'mahal', 'paket', 'game', 'youtube', 'jeeeeelek', 'teroooosss', 'siang', 'malam', 'leg', 'bagus', 'provider', 'dukung', 'pulsa', 'paket', 'habis', 'main', 'ambil', 'kaya', 'pulsa', 'aman', 'data', 'habis']</t>
  </si>
  <si>
    <t>['', 'telkomsel', 'super', 'nyaman', 'operator']</t>
  </si>
  <si>
    <t>['masuk', 'putih']</t>
  </si>
  <si>
    <t>['bermain', 'game', 'data', 'terputus', 'aktifkan', 'nonaktifkan', 'mode', 'pesawat', 'menghidupkan', 'data', 'seluler', 'sinyal', 'didaerah', 'bagus']</t>
  </si>
  <si>
    <t>['combo', 'sakti', 'anlimitit', 'disney', 'hostar', 'install', 'promo', '']</t>
  </si>
  <si>
    <t>['bolak', 'instal', 'ulang', 'ngga', 'dibuka', 'cek', 'kuota', 'susah', 'kuota', 'jaringan', 'telkomsel', 'suka', 'ngadat', 'mahal', '']</t>
  </si>
  <si>
    <t>['terima', 'kasih', 'telkomsel']</t>
  </si>
  <si>
    <t>['mahal', 'paketannya', '']</t>
  </si>
  <si>
    <t>['nunggu', 'paket', 'sakti', 'murah', 'semoga', 'naek', 'beli', 'cepat', 'habis', '']</t>
  </si>
  <si>
    <t>['aplikasi', 'telkolmsel', 'kali', 'buka', 'cuman', 'layar', 'putih']</t>
  </si>
  <si>
    <t>['harga', 'paket', 'mahal', 'murahnya', 'parah', 'banget']</t>
  </si>
  <si>
    <t>['dikasih', 'masukan', 'kartu', 'banded', 'simpati', 'produksi', 'kartu', 'perdana', 'pilihan', 'kartu', 'sim', 'indonesia', 'bukanya', 'perbaiki', 'mendukung', 'sistem', 'korup', 'band', 'nomer', 'kartu', 'pelanggan', 'menunjukan', 'ketidak', 'profesionalan', 'jenis', 'kartu', 'rusaknya', 'sistem', 'terimakasih', 'kartu', 'sim', 'susah', 'payah', 'banded', 'nomer', '']</t>
  </si>
  <si>
    <t>['dibuka', 'udah', 'update']</t>
  </si>
  <si>
    <t>['kasi', 'bintang', 'istimewa']</t>
  </si>
  <si>
    <t>['semoga', 'boss', 'tekomsel', 'sehat', 'berilah', 'kesempatan', 'menang', 'undian', 'telkomsel', 'point', 'boss', 'mmbuat', 'ortu', 'bahagia']</t>
  </si>
  <si>
    <t>['mantap', 'pokoknya', 'telkomsel', 'nomer', '']</t>
  </si>
  <si>
    <t>['sesuai', 'janji', 'point', 'tukar', 'paket', 'kuota', '']</t>
  </si>
  <si>
    <t>['luarbiasa', 'bagus', 'pelayanannya']</t>
  </si>
  <si>
    <t>['kenap', 'hujan', 'sinyal', 'susah', 'engga', '']</t>
  </si>
  <si>
    <t>['seharian', 'aplikasi', 'dibuka', '']</t>
  </si>
  <si>
    <t>['sinyal', 'telkomsel', 'mulu', 'dri', 'turun', 'kadang', 'sinyal', 'hilang', 'yok', 'kompak', 'pkek', 'telkomsel', '']</t>
  </si>
  <si>
    <t>['tolong', 'provider', 'jaringan', 'hilang', 'main', 'game', 'merugikan', 'costumer', 'harga', 'paket', 'telkomsel', 'mahal']</t>
  </si>
  <si>
    <t>['mimin', 'menyebalkan', 'tolong', 'harga', 'internett', 'kurangiii', 'min', 'malu', 'harga', 'selangit', 'jaringan', 'lelettttt', 'plisslah', 'imbang', 'gituuu', 'kadang', 'pas', 'main', 'game', 'sinyal', 'ilang', 'plis', 'min', 'sampe', 'berulah', 'dahlah', 'tinggalin', 'telkomtod', 'alesan', 'min', 'rumah', 'deket', 'tower', 'telkomsel', 'sekian', 'terima', 'kasih', '']</t>
  </si>
  <si>
    <t>['koneksi', 'jaringan', 'ngeleg', 'ngeleg', 'nyaman', 'bermain', 'game', 'online', 'sepert', 'mobile', 'legend', 'banggga', 'telkomsel', 'karna', 'kartu', 'lancar', 'kesini', 'buruk', 'iri', 'kartu', 'tri', 'pengen', 'ganti', 'kartu']</t>
  </si>
  <si>
    <t>['paketan', 'internet', 'beda', 'beda', 'kartu', 'telkomsel', 'sial', 'kartu', 'paketannya', 'mahal', 'banget', 'kaya', 'paketan', 'kartu', 'kakak', 'promonya', '']</t>
  </si>
  <si>
    <t>['aplikasi', 'membantu', 'isi', 'paket', 'data', 'mudah']</t>
  </si>
  <si>
    <t>['parah', 'gue', 'beli', 'kuota', 'gb', 'snapchat', 'tolong', 'klau', 'jual', 'paket', '']</t>
  </si>
  <si>
    <t>['app', 'dibuka', 'layar', 'putih', 'signal', 'bagus']</t>
  </si>
  <si>
    <t>['tambahan', 'aktif', 'bertambahnya', 'transfer', 'pulsa', 'sekian', 'potong', 'bertambah', 'coba', 'perbaiki', 'sistemnya', '']</t>
  </si>
  <si>
    <t>['membantu', 'pengguna', 'telkomsel', 'informasi', 'terbaru']</t>
  </si>
  <si>
    <t>['sukaaa', 'suka', 'telkomsel', 'loveee', 'loveee', '']</t>
  </si>
  <si>
    <t>['busyeet', 'sinyal', 'internet', 'paraaah', 'buuangeet', '']</t>
  </si>
  <si>
    <t>['', 'telkomsel', 'buka', '']</t>
  </si>
  <si>
    <t>['mantapp', 'bismillah', 'smg', 'rezekii', 'akhr', 'thn', 'aamiin', 'allah']</t>
  </si>
  <si>
    <t>['tolong', 'sediakan', 'paket', 'mengerti', 'kantong', 'jaringan', 'suka', 'lelet', 'harga', 'sesuai', 'pelayanan']</t>
  </si>
  <si>
    <t>['free', 'sms', 'free', 'telp', 'berfungsi', '']</t>
  </si>
  <si>
    <t>['kualitas', 'internet', 'buruk', 'pelayanan', 'penuh', 'bot', 'ngga', 'menyelesaikan']</t>
  </si>
  <si>
    <t>['tukar', 'poin', 'mencet']</t>
  </si>
  <si>
    <t>['aplikasi', 'handphone', 'aplikasi', 'susah', 'buka', 'berat', 'napa', 'instal', 'berulang', 'kali', 'bgtu', 'berat', 'klwdi', 'buka', 'terbuka', 'layar', 'putih', 'muncul', '']</t>
  </si>
  <si>
    <t>['', 'prnh', 'aktiv', 'data', 'wifi', 'pulsa', 'hilang', 'sendirix', 'malas', 'telkomsel', 'udh', 'mahal', 'pencuri', 'pulsa', '']</t>
  </si>
  <si>
    <t>['harga', 'layanan', 'kelas', 'bintang', 'layanan', 'area', 'coverage', 'kec', 'cimanggung', 'kab', 'sumedang', 'jawa', 'barat', 'kelas', 'centang', 'shame', 'you', '']</t>
  </si>
  <si>
    <t>['diperbarui', 'ngak', 'dibuka', '']</t>
  </si>
  <si>
    <t>['parah', 'main', 'game', 'sinyalnya', 'jelek', 'paketan', '']</t>
  </si>
  <si>
    <t>['berbuat', 'siknalnya', '']</t>
  </si>
  <si>
    <t>['kayak']</t>
  </si>
  <si>
    <t>['', 'aplikasi', 'dibuka', 'susah', 'banget']</t>
  </si>
  <si>
    <t>['aplikasi', 'dibuka', 'paket', 'saldonya', 'otomatis', 'memperpanjang', 'paketnya', 'pulsanya', 'termakan', 'nonpaket', '']</t>
  </si>
  <si>
    <t>['bagus', 'suka', 'mantap']</t>
  </si>
  <si>
    <t>['beli', 'kuota', 'gagal', 'tulisannya', 'pulsa', 'nominal', 'pulsa', 'harga', 'paket', 'buka', 'app', 'loading', 'doang', 'detik', 'pulsa', 'kepotong', 'rb', 'emg', 'capek', 'deh', '']</t>
  </si>
  <si>
    <t>['kuota', 'mlbb', 'bener', 'jncgokk', 'start', 'maching', 'mulu', 'kreditskor', 'turun', 'trus', 'disconect', 'akibatnya', 'jdi', 'afk', 'gada', 'ahlak', 'telkomsel', '']</t>
  </si>
  <si>
    <t>['harga', 'sesuai', 'kualitas', 'mahal', 'doang', 'tpi', 'nge', 'lag']</t>
  </si>
  <si>
    <t>['okey']</t>
  </si>
  <si>
    <t>['telkomsel', 'pemboteeeee', 'beda', 'indosat', 'isi', 'pulsa', 'ketik', 'tulisan', 'rb', 'gb', 'sekalinya', 'habis', 'ngisi', 'langsung', 'hilang', '']</t>
  </si>
  <si>
    <t>['telkom', 'sel', 'membri', 'kmudahn', 'bonus', 'internet', 'bonus', 'lokal']</t>
  </si>
  <si>
    <t>['maaf', 'min', 'isi', 'pulsa', 'rb', 'hangus', 'sekejap', 'pdhl', 'matikan', 'data', 'suka', 'potong', 'sndri', 'kecewa', 'layanan', 'telkomsel']</t>
  </si>
  <si>
    <t>['mudah', 'lihat']</t>
  </si>
  <si>
    <t>['update', 'buka']</t>
  </si>
  <si>
    <t>['pakai', 'paket', 'combo', 'sakti', 'rb', 'internet', 'tahan', 'sebulan', 'migrasi', 'pascabayar', 'rb', 'internet', 'tahan', 'dirubah', 'harga', 'rb', 'kuota', 'internet', 'telpon', 'mnt', 'sms', 'mohon', 'jawabannya', 'terima', 'kasih', 'syahrul', 'chaniago']</t>
  </si>
  <si>
    <t>['sya', 'masuk', 'tulisannya', 'memuat', 'halaman', 'knp', 'tolong']</t>
  </si>
  <si>
    <t>['beli', 'paket', 'gamemax', 'kuota', 'habis', 'kuota', 'game', 'maen', 'game', 'login', 'udah', 'telkomsel', '']</t>
  </si>
  <si>
    <t>['sistem', 'eror', 'pas', 'beli', 'paket', 'disurih', 'tunggu', 'menit', 'tpi', 'pas', 'dicoba']</t>
  </si>
  <si>
    <t>['aplikasi', 'bagus', 'login', 'langsung', 'gratisan', 'kouta', 'kouta', 'gb', 'pakai', 'kartu', 'telkomsel', 'memakai', 'aplikasi', 'makasih', 'mytelkomsel', '']</t>
  </si>
  <si>
    <t>['udah', 'hapus', 'trs', 'download', 'sampe', 'tetep', 'kebuka', 'knp', 'kmrn', 'skrg', 'mendadak', 'buka', 'mohon', 'bantuan', 'udah', 'kali', 'restrat', 'hapus', 'data', 'pengaturan', 'aplikasi', '']</t>
  </si>
  <si>
    <t>['jaringan', 'ntt', 'bermasalah', 'tolong', 'perhatikan']</t>
  </si>
  <si>
    <t>['membantu', 'promo', 'kak']</t>
  </si>
  <si>
    <t>['paket', 'kuotanya', 'murah', 'donk', 'isi', 'kuotanya', 'kejangkau', 'rakyat']</t>
  </si>
  <si>
    <t>['mytelkomsel', 'terpercaya']</t>
  </si>
  <si>
    <t>['pakai', 'kuota', 'habis']</t>
  </si>
  <si>
    <t>['bagus', 'jaringannya']</t>
  </si>
  <si>
    <t>['sinyal', 'telkomsel', 'parah', 'kota', 'surabaya', 'main', 'mobile', 'legend', 'lag', 'parah']</t>
  </si>
  <si>
    <t>['aga', 'lemot']</t>
  </si>
  <si>
    <t>['', 'telkomsel', 'dibuka', 'blank', 'putih', 'mohon', 'diperbaiki', '']</t>
  </si>
  <si>
    <t>['layar', 'putih', 'instal', 'versi', 'login', '']</t>
  </si>
  <si>
    <t>['jaringan', 'lancar', 'aman', 'banyakin', 'diskon', 'paketnya']</t>
  </si>
  <si>
    <t>['mkin', 'kesini', 'ancur', 'jaringan', 'jaringan', 'doang', 'penuh', 'internet', 'lelet', 'kayak', 'keong', 'skrg', 'mending', 'tsel', 'ampass']</t>
  </si>
  <si>
    <t>['tolong', 'peningkatan', 'jaringan', 'akses', 'internet', 'karna', 'lemot', 'nonton', 'yotube', 'muter', 'akses', 'internet', 'terima', 'kasih']</t>
  </si>
  <si>
    <t>['tampilannya', 'putih']</t>
  </si>
  <si>
    <t>['beli', 'kuota', 'combo', 'sakti', 'unlimit', 'ribu', 'dimana', 'telkomsel', 'mengecewakan', '']</t>
  </si>
  <si>
    <t>['uda', 'coba', 'kirim', 'email', 'kayanya', 'numpuk', 'tolong', 'banget', 'diperbaiki', 'layar', 'putih', 'mulu', 'munculnya', 'pdhl', 'uda', 'coba', 'unin', 'apk', 'telkomsel', 'coba', 'install', 'ttp', 'gabisa', 'please', 'darurat']</t>
  </si>
  <si>
    <t>['pembaruan', 'aplikasi', 'buka', 'blank', 'putih']</t>
  </si>
  <si>
    <t>['harga', 'kuota', 'nambah', 'murah', 'bulanan', 'mahal', 'beda']</t>
  </si>
  <si>
    <t>['kesini', 'signal', 'telkomsel', 'buruk', 'paketan', 'mahal', 'perbaiki', 'sinyal', 'main', 'game', 'lag', 'ganti', 'jaringan']</t>
  </si>
  <si>
    <t>['kecewa', 'paket', 'combo', 'unlimited', 'harganya']</t>
  </si>
  <si>
    <t>['blank', 'putih', 'buka', 'aplikasi']</t>
  </si>
  <si>
    <t>['pemakai', 'berharap', 'telkomsel', 'unggulan', 'melebihi']</t>
  </si>
  <si>
    <t>['', 'pakai', 'telkomsel']</t>
  </si>
  <si>
    <t>['harga', 'tolong', 'permurah']</t>
  </si>
  <si>
    <t>['mytelkomsel', 'mantaaaaap', 'membantu', '']</t>
  </si>
  <si>
    <t>['mohon', 'maaf', 'min', 'aplikasi', 'buka', '']</t>
  </si>
  <si>
    <t>['gada', 'murah', 'kasih', 'bree']</t>
  </si>
  <si>
    <t>['maaf', 'update', 'apk', 'telkomsel', 'login', 'blank', 'putih', 'sayanya', 'gimana', 'udah', 'instal', 'ulang', 'pas', 'buka', 'apk', 'kartu', 'mohon', 'solusinya', 'terima', 'kasih']</t>
  </si>
  <si>
    <t>['paket', 'internet', 'mahal', 'sinyal', 'jelek', 'daerahku']</t>
  </si>
  <si>
    <t>['kuwalitasnya', 'membaik', 'telkomsel', 'terpercaya', 'the', 'best', '']</t>
  </si>
  <si>
    <t>['mahal', 'doang', 'berkualitas', 'kagak', 'bermasalah', 'pembayaran', 'pas', 'top', '']</t>
  </si>
  <si>
    <t>['gunta', 'ganti', 'mulu', 'paketnya']</t>
  </si>
  <si>
    <t>['lumayan', 'bagus', 'pertahankan', 'tingkatkan', '']</t>
  </si>
  <si>
    <t>['gampang', 'banget', '']</t>
  </si>
  <si>
    <t>['aplikasi', 'telkomsel', 'buka']</t>
  </si>
  <si>
    <t>['kesini', 'sinyal', 'gajelas', 'beli', 'unlimited', 'bsa', 'browsing', 'payah', '']</t>
  </si>
  <si>
    <t>['kuota', 'harga', 'mahal']</t>
  </si>
  <si>
    <t>['skrng', 'login', 'pdhal', 'pertengahan', 'kmarin', 'lancar', 'ajah', 'klau', 'masuk', '']</t>
  </si>
  <si>
    <t>['pakai', 'modem', 'kartu', 'orbit', 'bawaan', 'produk', 'sinyalnya', 'turun', 'kota', 'tolong', 'solusinya', 'telkomsel', 'beli', 'mahal']</t>
  </si>
  <si>
    <t>['brenti', 'tlkomsel', 'udah', 'mahal', 'paket', 'jaringan', 'sesuai', 'harga', 'lemot']</t>
  </si>
  <si>
    <t>['promo', 'tampil', 'ditawarkan', 'notifikasi', 'sesuai', 'harga', 'ditawarkan', 'aplikasinya', 'harga', 'paket', 'mahal', 'tawarkan', 'notifikasi', 'harga', 'paket', 'aplikasi', 'notifikasi', 'worth', '']</t>
  </si>
  <si>
    <t>['sinyal', 'lag', 'poll', 'beli', 'mahal', 'sinyal', 'down']</t>
  </si>
  <si>
    <t>['beli', 'paket', 'internet', 'dipromosikan', 'kerja', 'qatar', 'paketan', 'roamax', 'diaspora', 'qatar', 'registrasi', 'tolak', 'chat', 'aplikasi', 'telkomsel', 'solusinya', 'berlangganan', 'telkomsel', 'thn', '']</t>
  </si>
  <si>
    <t>['notifikasi', 'kuota', 'habis', 'makan', 'pulsa', 'kecewa', 'udah', 'harga', 'mahal', '']</t>
  </si>
  <si>
    <t>['lambat', 'proses']</t>
  </si>
  <si>
    <t>['update', 'buka', 'blank', 'layar', 'putih', 'doang', 'tungguin', 'tetep', 'layarnya', 'putih', 'system', 'update', 'android', 'lancar', 'aplikasi', 'ngebug']</t>
  </si>
  <si>
    <t>['udah', 'cek', 'trus', 'dapet', 'hadiah', 'hadiahnya', 'klaim', 'gimana', 'nihh', 'min', '']</t>
  </si>
  <si>
    <t>['bagus', 'begadang', 'gb', 'rp']</t>
  </si>
  <si>
    <t>['jaringan', 'jelek', 'dipusat', 'kota', 'harga', 'kwota', 'internet', 'mahal', 'kwota', 'internet', 'boros', 'membuka', 'medsos', 'habis', 'gigabyte', 'sehari', 'wajar', 'apaguna', 'perusahaan', 'plat', 'merah', 'telkomsel', 'mengecewakan', '']</t>
  </si>
  <si>
    <t>['mohon', 'kebanyakan', 'errornya', 'push', 'gara', 'telkomsel', 'gangguan']</t>
  </si>
  <si>
    <t>['combo', 'saktinya']</t>
  </si>
  <si>
    <t>['bintang', 'berbicara']</t>
  </si>
  <si>
    <t>['poinnya', 'nggak', 'ditukar', 'paket', 'mahal', 'pemakaian', 'boros']</t>
  </si>
  <si>
    <t>['susah', 'jaringan']</t>
  </si>
  <si>
    <t>['', 'buka', 'banget', 'masuknya']</t>
  </si>
  <si>
    <t>['jaringan', 'unlimetitnya', 'sangt', 'buruk', 'sya', 'sangt', 'kecewa', 'dengn', 'jaringn', 'telkomsel', '']</t>
  </si>
  <si>
    <t>['telkomsel', 'sangan', 'bagus', 'kawan', 'kawan', 'donload', 'telkomsel', 'teman', 'teman', 'rui']</t>
  </si>
  <si>
    <t>['paket', 'multimedia', 'gb', 'paket', 'internet', 'habis', 'dasar', 'telkomsel', 'marketing', 'membagonggkan']</t>
  </si>
  <si>
    <t>['kuota', 'combo', 'unlimited', 'harganya', '']</t>
  </si>
  <si>
    <t>['pelanggan', 'setia', 'telkomsel', 'jujur', 'kecewa', 'jaringan', 'lag', 'lag', 'main', 'game', 'stabil', 'jaringan', 'telkomsel', '']</t>
  </si>
  <si>
    <t>['kartu', 'patut', 'beli', 'kuota', 'kerjain', 'tugas', 'ngeliat', 'jaringan', 'muter', 'niat', 'perbaikin', 'permurah', 'serasa', 'rugikan']</t>
  </si>
  <si>
    <t>['jaringan', 'daerah']</t>
  </si>
  <si>
    <t>['bagus', 'kali', 'aplikasi']</t>
  </si>
  <si>
    <t>['applikasi', 'telkomsel', 'buka', '']</t>
  </si>
  <si>
    <t>['mengejutkan']</t>
  </si>
  <si>
    <t>['harga', 'paket', 'mahal', 'worth', '']</t>
  </si>
  <si>
    <t>['buruk', 'jaringan', 'buruk', 'memiliki', 'saldo', 'pulsa', 'diambil', 'rp', 'menggunakannya', 'kuota', 'jaringan', 'buruk', 'melayangkan', 'komplain', 'dibalas', 'waaah', 'buruk', 'pelayanan', 'telkomsel']</t>
  </si>
  <si>
    <t>['kemarin', 'tulis', 'telkomsel', 'gabisa', 'dibuka', 'nge', 'blank', 'warna', 'putih', 'dilayar', 'bantu', 'admin', '']</t>
  </si>
  <si>
    <t>['lupa']</t>
  </si>
  <si>
    <t>['sekian', 'telkomsel', 'stres', '']</t>
  </si>
  <si>
    <t>['harga', 'mahal', 'kualitas', 'ancur', 'sinyal', 'suka', 'lemot', 'parah', 'ganti', 'provider', 'bye', '']</t>
  </si>
  <si>
    <t>['prakris', 'cepat']</t>
  </si>
  <si>
    <t>['aplikasinya', 'gimana', 'berkali', 'download', 'dbuka', 'cuman', 'layar', 'putih', 'doank', 'eror', 'stiap', 'kali', 'buka', '']</t>
  </si>
  <si>
    <t>['buka', 'download', 'udah', 'update', 'kecewa']</t>
  </si>
  <si>
    <t>['lalot', 'jaringan', 'kuota', 'data', 'unlimitednya']</t>
  </si>
  <si>
    <t>['pembicara', 'lupa', 'cek', 'kuota', 'konsentrasi', 'tulisan', 'kuota', 'mencukupi', 'kegrapari', 'langsung', 'ditambah', 'kuota', 'aman', 'telkomsel', '']</t>
  </si>
  <si>
    <t>['sinyal', 'busuk', 'nhak', 'mutuu']</t>
  </si>
  <si>
    <t>['', 'fitur', 'lock', 'pulsa', 'paket', 'habis']</t>
  </si>
  <si>
    <t>['mohon', 'maaf', 'telkomsel', 'pulsa', 'darurat', 'terbayar', 'isi', 'ulang', 'isi', 'ulang', 'terbayar', 'muncul', 'sms', 'melunasi', 'pulsa', 'darurat', 'isi', 'ulang', 'pulsa', 'langsung', 'habis', 'pakai', 'pulsanya', 'muncul', 'sms', 'suruh', 'pembayaran', 'pulsa', 'darurat', 'gitu', 'rugi', 'ngisi', 'pulsa', 'tpi', 'pulsanya', 'habis', 'mulu', 'mohon', 'tanggapannya', 'telkomsel']</t>
  </si>
  <si>
    <t>['daerah', 'cikarang', 'selatan', 'desa', 'sukaresmi', 'jaringan', 'telkomsel', 'dlu', 'puas', 'kmi', 'pengguna', 'telkomsel', 'perbaiki']</t>
  </si>
  <si>
    <t>['telkomsel', 'dihati', '']</t>
  </si>
  <si>
    <t>['knp', 'buka', 'trus', 'instal', 'ualng', 'tetep', 'gbs']</t>
  </si>
  <si>
    <t>['eleh', 'sinyal', 'ngelek', 'bermanfaat', 'cacat', 'gembel', 'cuman', 'dapet', 'uang', 'pansos', 'mending', 'tutup', 'simpati', 'mah', 'mahal', 'doang', 'asw']</t>
  </si>
  <si>
    <t>['pulsa', 'potong', 'makai', 'pulsa', 'beli', 'paket', 'banget', 'proses', 'kadang', 'sinyalnya', 'jelek', 'telkomsel', 'kali', 'kesal', '']</t>
  </si>
  <si>
    <t>['mudah', 'cek', 'jenis', 'paket', 'promo']</t>
  </si>
  <si>
    <t>['telkom', 'lelet', 'banget', 'dlu', 'lancar', 'tolong', 'diperbaiki', 'gini', 'pindah', 'kartu', 'udh', 'mahal', 'lelet']</t>
  </si>
  <si>
    <t>['update', 'samsung', 'white', 'blank', 'login', 'aplikasi', 'mohon', 'perbaiki']</t>
  </si>
  <si>
    <t>['menghubungkan', 'akun', 'dana', 'tersedia', 'pengaturan', 'menu']</t>
  </si>
  <si>
    <t>['', 'mahal', 'ngelg', 'ajng', 'ilang', 'jaringan', 'ngntd', 'emg']</t>
  </si>
  <si>
    <t>['jaringan', 'ngelag', 'parah', 'beres']</t>
  </si>
  <si>
    <t>['okeeyy', 'mudahan', 'motor', '']</t>
  </si>
  <si>
    <t>['log', 'out', 'log', 'out', 'log', 'susah', 'sms', 'link', 'dikirim', 'orang', 'perpanjang', 'paket', 'susah', 'nomor', 'password', 'donk', 'akses', 'sulit', 'apk', 'bapuk']</t>
  </si>
  <si>
    <t>['gabisa', 'akses', 'layar', 'putih', 'doang', 'udah', 'copot', 'trs', 'instal', 'ttp', 'gabisa', 'why', '']</t>
  </si>
  <si>
    <t>['puas', 'program', 'telkomsel']</t>
  </si>
  <si>
    <t>['knp', 'paket', 'tlpn', 'harganya']</t>
  </si>
  <si>
    <t>['bnyak', 'beli', 'paket', 'jaringan', 'ancur', 'telkomsel', 'payahhhhh', '']</t>
  </si>
  <si>
    <t>['telkomsel', 'emng', 'juaraaaaaaa']</t>
  </si>
  <si>
    <t>['habis', 'beli', 'paket', 'data', 'ngegem', 'pakai', 'ngegem']</t>
  </si>
  <si>
    <t>['muda', 'mudahan']</t>
  </si>
  <si>
    <t>['hai', 'telkomsel', 'paketnya', 'tolong', 'pelanggan', 'setia', 'telkomsel', 'keringanan', 'setia', 'memakai', 'telkomsel', 'kadang', 'apapun', 'jaringan', 'hilang', 'hutang', 'apapun', 'pulsa', 'potong', 'mengecewakan']</t>
  </si>
  <si>
    <t>['', 'jelek', 'jelekkk', 'telkomsel', 'layar', 'putih']</t>
  </si>
  <si>
    <t>['aplikasi', 'buka', 'lemoooooot', '']</t>
  </si>
  <si>
    <t>['parah', 'ngutang', 'paket', 'ngutang']</t>
  </si>
  <si>
    <t>['update', 'sayang', 'kuotanya']</t>
  </si>
  <si>
    <t>['login']</t>
  </si>
  <si>
    <t>['kesini', 'telkomsel', 'lemot', 'banget', 'segi', 'signal', 'aoliksainya', 'suka', 'eror', 'mending', 'operator', 'lancar', 'murah', 'terahir', 'ngabisin', 'kuota', 'nggk', 'males', 'banget', '']</t>
  </si>
  <si>
    <t>['apk', 'abal', 'buka', 'ngeblank', 'layar', 'putih', 'loading', 'kunjung', 'selesai', 'bangun', 'kebanyakan', 'tidoooor', 'ayoooo', 'kerjaaaa']</t>
  </si>
  <si>
    <t>['paketnya', 'mahal', 'sue', 'lemot', 'mah', 'gpp', 'udah', 'mahal', 'lemot']</t>
  </si>
  <si>
    <t>['alhamdulilah', 'app', 'tekomsel', 'buka', 'terima', 'kasih', 'telkomsel']</t>
  </si>
  <si>
    <t>['telkomsel', 'masuk', 'aplikasi', 'slalu', 'putih', 'gambar', 'halaman', 'ganngu', 'banget', 'sumpah']</t>
  </si>
  <si>
    <t>['jaringan', 'kek', 'taiik', 'paket', 'mahal', 'telkomsel', 'jaringan', 'terburuk', '']</t>
  </si>
  <si>
    <t>['telkomsel', 'terbaik', 'jangkauan', 'thank', 'you']</t>
  </si>
  <si>
    <t>['jaringan', 'hancur', 'kuota', 'mahal', 'jaringan', 'hancur', 'ganti', 'kartu', 'pakai', 'telkomsel']</t>
  </si>
  <si>
    <t>['bismillah', 'instal', 'semoga', 'dpt', 'ipon', 'wkwkk']</t>
  </si>
  <si>
    <t>['tolong', 'memotong', 'pulsa', 'penggunaan', 'internet', 'paket', 'ojol']</t>
  </si>
  <si>
    <t>['lemottttttttttttttttt', 'sms', 'telkomsel', 'mengganggu']</t>
  </si>
  <si>
    <t>['didaerah', 'signal', 'bagus']</t>
  </si>
  <si>
    <t>['sinyal', '']</t>
  </si>
  <si>
    <t>['buka', 'parah', 'unistall', 'ahh', '']</t>
  </si>
  <si>
    <t>['telkomsel', 'bagus', 'jaringannya', 'pelosok', 'daerah']</t>
  </si>
  <si>
    <t>['kali', 'anggota', 'keluarga', 'teman', 'paket', 'internet', 'promo', 'berhasil', 'diaktifkan', 'dikenakan', 'tarif', 'non', 'paket', 'super', 'mahal', 'mengherankan', 'sekelas', 'telkomsel', 'akses', 'internet', 'dibanyak', 'ditengah', 'kota', 'jakarta', 'dijangkau', 'operator', 'ditinggalkan', 'pelanggan', 'setianya']</t>
  </si>
  <si>
    <t>['download', 'apk', 'mutu', 'gua', 'telkomsel', '']</t>
  </si>
  <si>
    <t>['update', 'login', 'parahnya', 'app', 'muncul', 'layar']</t>
  </si>
  <si>
    <t>['buka', 'aplikasinya', '']</t>
  </si>
  <si>
    <t>['membantu', 'mnatap']</t>
  </si>
  <si>
    <t>['bintangnya', 'sosalnya', '']</t>
  </si>
  <si>
    <t>['membantu', 'kelancaran', 'transaksi']</t>
  </si>
  <si>
    <t>['semoga', 'bonus', 'jaringan', 'lelet', '']</t>
  </si>
  <si>
    <t>['aplikasinya', 'bagus', 'signalnya', 'lemah', 'putus']</t>
  </si>
  <si>
    <t>['', 'dibuka', 'pas', 'dibuka', 'layarnya', 'warna', 'putih', 'teruss', 'udah', 'instal', 'berkali', 'sma', 'tetep', 'warna', 'putihh', 'smpe', 'ganti', 'kartu', 'tpi', 'tetep', 'ajaa']</t>
  </si>
  <si>
    <t>['mudah', 'mengerti']</t>
  </si>
  <si>
    <t>['semoga', 'kendala', 'lgi']</t>
  </si>
  <si>
    <t>['telkomsel', 'sukses', 'abadi']</t>
  </si>
  <si>
    <t>['harga', 'paket', 'kuota', 'beli', 'hilang', 'dialihkan', 'harga', 'mahal', 'mohon', 'paket', 'beli', 'dikembalikan', 'harga', 'paketan', 'membantu', 'belajar', 'online', 'aktivitas', 'lainya', 'terimakasih', 'min']</t>
  </si>
  <si>
    <t>['aplikasi', 'good', 'very', 'good', 'membantu', 'pandemi', 'good', 'job']</t>
  </si>
  <si>
    <t>['udah', 'lancar', 'kayak']</t>
  </si>
  <si>
    <t>['ngelag', 'main', 'game', 'ngelag', 'tolong', 'diperbaiki', 'bang', '']</t>
  </si>
  <si>
    <t>['kecewa', 'banget', 'udh', 'banget', 'pakai', 'app', 'stlah', 'update', 'mlh', 'isa', 'buka', 'udah', 'minggu', 'isa', 'pakai', 'hapus', 'trus', 'donwload', 'ber', 'kali', 'hasilnya', 'tetep', 'isa', 'buka', '']</t>
  </si>
  <si>
    <t>['memuaskan', 'biarkan', 'bintang', 'berbicara']</t>
  </si>
  <si>
    <t>['paket', 'kontol', 'udah', 'mahal', 'ngelek', 'pepek', 'anjeng']</t>
  </si>
  <si>
    <t>['lbh', 'mudah', 'lbh']</t>
  </si>
  <si>
    <t>['aplikasi', 'kaya', 'download', 'sungguh', 'aplikasi', 'mytelkomsel', 'aplikasi', 'canggih', 'mytelkomsel', 'download', '']</t>
  </si>
  <si>
    <t>['alhamdulillah', 'akses', '']</t>
  </si>
  <si>
    <t>['sinyal', 'juelek', 'muluu', '']</t>
  </si>
  <si>
    <t>['suka', 'telkomsel', 'mantap']</t>
  </si>
  <si>
    <t>['telkomsel', 'penggunaan', 'internet', 'menguci', 'kunci', 'susah', 'buka', 'youtube', '']</t>
  </si>
  <si>
    <t>['semoga', 'jaringan', 'telkomsel', 'sehat', 'stabil']</t>
  </si>
  <si>
    <t>['aplikasi', 'telkomsel', 'buka', '']</t>
  </si>
  <si>
    <t>['membantu', 'sisa', 'paket', 'data', 'beli', 'paket', 'data']</t>
  </si>
  <si>
    <t>['memudahkan', 'membeli', 'kuota']</t>
  </si>
  <si>
    <t>['main', 'game', 'sisa', 'kuota', 'payah', 'coba', 'bayangkan', 'sisa', 'mb', 'tawa', 'liat', 'jaringan', 'simpati', 'wkwkkw', 'gitu', 'syaa']</t>
  </si>
  <si>
    <t>['reendem', 'point', 'error', 'jaringan', 'error', 'telkomsel']</t>
  </si>
  <si>
    <t>['paketan', 'doang', 'mahal', 'sinyal', 'kek', 'taaai']</t>
  </si>
  <si>
    <t>['apk', 'lumayan', 'tolong', 'ing', 'dikit', 'telkomsel', 'harga', 'pulsa', 'paketan', 'kurangin', 'habisin', 'uang', 'gue', 'pliss', 'aneh', 'gue', 'download', 'telkomsel', 'kartu', 'data', 'gue', 'epik', 'gue']</t>
  </si>
  <si>
    <t>['harga', 'paket', 'aneh', 'sinyal', 'tetep', 'turun', '']</t>
  </si>
  <si>
    <t>['', 'buka', 'aplikasinya', 'upgrade', 'tolong', 'min']</t>
  </si>
  <si>
    <t>['assalamualaikum', 'telkomsel', 'mengajukan', 'permintaan', 'penukaran', 'koin', 'penukaran', 'koin', 'diamonnd', 'game', 'online', 'frie', 'free', 'mobile', 'legends', 'sekian', 'terimakasih', '']</t>
  </si>
  <si>
    <t>['telkomsel', 'leletnya', 'parah', 'ancur', 'udah', 'paketan', 'harga', 'mahal', 'ampun', 'jaringan', 'lemot', 'sinyal', 'ilang', 'mabar', 'afk', 'mending', 'smartfren', 'gini', '']</t>
  </si>
  <si>
    <t>['jaringannya', 'udah', 'stabil', 'datanya', 'udah', 'akses', 'internet', 'beli', 'kuota', 'mahal', 'mahal', 'jaringan', '']</t>
  </si>
  <si>
    <t>['mantap', 'klu', 'murah', '']</t>
  </si>
  <si>
    <t>['tolong', 'perbaiki', 'consistensi', 'signal']</t>
  </si>
  <si>
    <t>['manakah', 'meninfestasikan']</t>
  </si>
  <si>
    <t>['bagus', 'menarik', 'promonya']</t>
  </si>
  <si>
    <t>['bagus', 'rekomendasi', 'jaringan', 'telkomsel', 'bagus', 'alamat']</t>
  </si>
  <si>
    <t>['jaringan', 'jelek', 'parah', 'ngerti', 'gua', 'mah', 'kaya', 'dlu', 'skrng', 'sinyal', 'udh', 'kaya', 'sinyal', 'kartu', 'lemot', 'kartu', 'jaringan', 'dlu', 'bagus', 'sinyal', 'skrng']</t>
  </si>
  <si>
    <t>['bahasa', 'iklannya', 'iklannya', 'sinyal', 'kuat', 'dimana', 'nyatanys', 'menjangkau', 'pelosok', 'rumah', 'kesulitan', 'nyari', 'sinyal', 'telkomsel', 'kadang', 'kuota', 'habis', 'kepake', 'nemu', 'sinyal', 'kota', 'dapet', 'sinyal', 'stabil']</t>
  </si>
  <si>
    <t>['kren', 'seklai', 'aplikasi', '']</t>
  </si>
  <si>
    <t>['aplikasi', 'telkomsel', 'gangguan', 'udah', 'buka', 'telkomsel', 'beli', 'kuota', 'susah']</t>
  </si>
  <si>
    <t>['turunkan', 'bintang', 'sinyal', 'hilang', 'mencuri', 'pulsa', 'pulsa', 'ngk', 'diambil', 'diam', 'isi', 'beli', 'kuota', 'aplikasi', 'axis', 'mengunci', 'pulsa', 'pulsa', 'aman', '']</t>
  </si>
  <si>
    <t>['aplikasi', 'mytelkomsel', 'versi', 'produk', 'cacad', 'mohon', 'diperbarui', 'versi', 'diupdate', 'versi', 'keluhan', 'pelanggan', 'aplikasi', 'dibuka', 'layar', 'putih', 'pulsa', 'berkurang', 'paket', 'off', 'lbh', 'blm', 'perbaikn']</t>
  </si>
  <si>
    <t>['nomor', 'udh', 'paketan', 'tetep', 'selangit', 'dikota', 'jakarta', 'sinyal', 'parah', 'pelosok', 'tolong', 'perhatiannya']</t>
  </si>
  <si>
    <t>['sinyal', 'telkomsel', 'jelek', 'kalah', 'provider']</t>
  </si>
  <si>
    <t>['lma', 'mnjdi', 'pngguna', 'krtu', 'telkomsel', 'sya', 'prnh', 'tertarik', 'mnggunkn', 'aplikasi', 'jlas', 'sya', 'aplkasi', 'telkomsel', 'tpi', 'knpa', 'pas', 'dibuka', 'layarny', 'ngblank', 'putih', 'cba', 'berkli', 'ttp', 'bgtu', 'bingungkn', 'sya', 'sllu', 'kontrol', 'pemkaian', 'kuota', 'pmbayaran', 'bulnan', 'dngn', 'pnggunaanny', 'sesuai', 'blm', 'lgi', 'jaringn', 'sllu', 'hilng', 'timbul', 'tolong', 'telkomsel', 'perbaiki', 'jaringn', 'sya', 'gnti', 'krtu', '']</t>
  </si>
  <si>
    <t>['aplikasi', 'buka', 'aneh', 'gmn', 'beli', 'kuota', 'jelek', 'banget', 'aplikasi']</t>
  </si>
  <si>
    <t>['paket', 'pakai']</t>
  </si>
  <si>
    <t>['beli', 'kuota', 'utama', 'paket', 'unlimited', 'youtube', 'pas', 'liat', 'youtube', 'kuota', 'utama', 'sedot', 'habis', 'sisa', 'pulsa', 'dasar', 'akhak', 'kuota', 'belajar', 'rampok', 'habis']</t>
  </si>
  <si>
    <t>['desember', 'aplikasinya', 'putih', 'masuk', 'november', 'pakai', 'lancar', 'beli', 'pulsa', 'gimana']</t>
  </si>
  <si>
    <t>['aplikasinya', 'dibuka', 'tampil', 'layar', 'putih', 'samsung', '']</t>
  </si>
  <si>
    <t>['mantabbb']</t>
  </si>
  <si>
    <t>['paket', 'multimedia', 'paket', 'nonton', 'tidsk', 'gunain', 'paket', 'utama', 'habis', 'tolong', 'perbaiki', 'coba', 'rubah', 'sistemnya', 'paket', 'multimedia', 'paket', 'utama', '']</t>
  </si>
  <si>
    <t>['puas', 'layanan', 'kartu']</t>
  </si>
  <si>
    <t>['gua', 'suka', 'gua', 'hapus', 'mahal', 'banget', 'hayrga', 'abis', 'payaj', 'buka', 'pulak', 'aplikasinya', 'ribet', '']</t>
  </si>
  <si>
    <t>['aplikasi', 'dibuka', 'muncul', 'tampilan', 'putih']</t>
  </si>
  <si>
    <t>['jaringan', 'internet', 'buruk', 'skali', 'bagus', 'dapet', 'bintang', 'bagus', 'okeh', '']</t>
  </si>
  <si>
    <t>['aplikasi', 'telkomsel', 'mempermudah', '']</t>
  </si>
  <si>
    <t>['mempermudah', 'transaksi', 'promo']</t>
  </si>
  <si>
    <t>['paket', 'menelpon', 'sebulan', 'rb', 'pas', 'beli', 'harganya', 'menu', 'rb', '']</t>
  </si>
  <si>
    <t>['knapa', 'sjak', 'update', 'bsa', 'bka', '']</t>
  </si>
  <si>
    <t>['mahal', 'setahun', 'mengalami', 'peningkatan', 'harga', 'combo', 'sakti', 'rupiah', 'gb', 'pelit', 'telkom', 'pingin', 'pindah']</t>
  </si>
  <si>
    <t>['appsnya', 'berat', 'jaringannya', 'lemot', '']</t>
  </si>
  <si>
    <t>['penggunaan', 'voucher', 'diskon', 'kuota']</t>
  </si>
  <si>
    <t>['buka', 'aplikasinya', 'buka', 'buka', 'aplikasinya']</t>
  </si>
  <si>
    <t>['sinyal', 'mati', 'manapun', 'mudah', 'beli', 'kuota', 'san', 'pulsa', '']</t>
  </si>
  <si>
    <t>['beli', 'paket', 'games', 'voucher', 'diamond', 'pas', 'tuker', 'kode', 'failed', 'beru', 'beli', 'paket', 'semalam', 'bantu', 'admin']</t>
  </si>
  <si>
    <t>['menerima', 'cashback', 'pembelian', 'gopay', 'kasih', 'bintang', '']</t>
  </si>
  <si>
    <t>['good', 'apk', 'knp', 'download', '']</t>
  </si>
  <si>
    <t>['tolonglah', 'kasih', 'paket', 'data', 'ush', 'tertulis', 'unlimited', 'ktika', 'paket', 'utama', 'habis', 'dbuat', 'buka', 'google', 'lemot', 'unlimited', 'all', 'beli', 'paket', 'simpati', 'murah', 'dibanding', 'provider', '']</t>
  </si>
  <si>
    <t>['buka', 'aplikasi', 'nge', 'blank', 'warna', 'putih', 'lamaa', 'banget', 'kebuka', '']</t>
  </si>
  <si>
    <t>['harga', 'paket', 'normal']</t>
  </si>
  <si>
    <t>['sinyal', 'tellkomsel', 'jelek', 'lemot', 'kalah', 'axis', 'kebanyakan', 'makek', 'axis', 'coba', 'perbaiki']</t>
  </si>
  <si>
    <t>['promo', 'isi', 'pulsa', 'promo', 'setalah', 'isi', 'pulsa', 'langsung', 'naek', 'promonya', 'gocap', 'naek', 'sampe', 'menit', 'promo', 'liat', 'isipulsa', 'telkomsel', '']</t>
  </si>
  <si>
    <t>['kuota', 'awet', 'habis', 'habis', 'main', 'mobile', 'legends', 'kali', '']</t>
  </si>
  <si>
    <t>['apk', 'broken', 'update', 'blank', 'putih']</t>
  </si>
  <si>
    <t>['telkomsel', 'terhormat', 'sya', 'habis', 'update', 'mala', 'ngk', 'kebuka', 'cma', 'stak', 'layar', 'putuh', 'sja', 'mhn', 'bantuan']</t>
  </si>
  <si>
    <t>['layanan', 'bagus', 'bagus', 'layanan', 'stop', 'layanan', 'kartu', 'halo', '']</t>
  </si>
  <si>
    <t>['line', 'terunggul']</t>
  </si>
  <si>
    <t>['', 'telkomsel', 'dibuka', 'parah', 'telkom', 'jaringan', 'lemot', 'laq', 'jelek', 'harga', 'kuota', 'mahal', '']</t>
  </si>
  <si>
    <t>['aplikasinya', 'gabisa', 'buka', 'samasekali']</t>
  </si>
  <si>
    <t>['jaringan', 'kuat']</t>
  </si>
  <si>
    <t>['membantu', 'terimakasih']</t>
  </si>
  <si>
    <t>['telkomsel', '']</t>
  </si>
  <si>
    <t>['knp', 'yaa', 'abis', 'update', 'dibuka', 'gtu', 'ush', 'update']</t>
  </si>
  <si>
    <t>['telkomsel', 'terbaik', '']</t>
  </si>
  <si>
    <t>['kecewa', 'aplikasi', 'harga', 'paket', 'nelpon', 'kecewa', 'aplikasi']</t>
  </si>
  <si>
    <t>['gampang', 'beli', 'paket', 'internet', '']</t>
  </si>
  <si>
    <t>['pengguna', 'kecewa', 'mengakses', 'internet', 'provider', 'pulsa', 'habis', 'telkomsel', 'minggu', 'pulsa', 'berkurang', 'minggu', 'isi', 'pulsa', 'menggunakanya', 'sisa', 'pulsa', 'tinggal', 'kemana', 'pulsa', 'hilang', 'berlangganan', 'apapun', 'kemana', 'pulsa']</t>
  </si>
  <si>
    <t>['penggunaan', 'mudah']</t>
  </si>
  <si>
    <t>['membantu', 'pokoknya']</t>
  </si>
  <si>
    <t>['update', 'buka', 'aplikasinya', 'bagus', 'layanan', 'koneksinya', 'tolong', 'perbaiki', 'secepat', 'kecewa', 'pengguna', 'telkomsel', 'rating', 'ancur', 'gini', 'mood', 'mood', 'jelek', 'udah', 'suruh', 'pengguna', 'telkom', 'pindah']</t>
  </si>
  <si>
    <t>['', 'dibuka']</t>
  </si>
  <si>
    <t>['beli', 'paket', 'dibilang', 'pulsa', 'pulsa', 'udah', 'melebihi', 'harga', 'paket', 'tolong', 'diperbaiki', '']</t>
  </si>
  <si>
    <t>['buka', 'mohon', 'bantuannya']</t>
  </si>
  <si>
    <t>['gangguan', 'detik', 'pas', 'buka', 'aplikasi', 'blank', 'layar', 'putih', 'mohon', 'penjelasan', '']</t>
  </si>
  <si>
    <t>['', 'versi', 'buka', 'layar', 'putih', 'mohon', 'perbaiki']</t>
  </si>
  <si>
    <t>['telkomsel', 'jaringan', 'lemot', 'sesuai', 'harga']</t>
  </si>
  <si>
    <t>['membantu', 'istimewa']</t>
  </si>
  <si>
    <t>['aplikasi', 'komplit']</t>
  </si>
  <si>
    <t>['mudah']</t>
  </si>
  <si>
    <t>['uninstal', 'apk', 'diklik', 'blank', '']</t>
  </si>
  <si>
    <t>['isi', 'kuota', 'sebentar', 'buka', 'udah', 'habis', 'gb', 'telkomsel']</t>
  </si>
  <si>
    <t>['min', 'komplen', 'pembelian', 'paket', 'internet', 'apk', 'sesuai', 'paketnya', 'belinya', 'tgl', 'ehh', 'aktifnya', 'smpe', 'tgl', 'tgl', 'beda', 'kalinya', 'jaga', 'shiftnya', 'mabok', 'darat', 'gimana', 'paketnya', 'zona', 'negeri', 'tolong', 'diperbaiki', 'min', 'please', '']</t>
  </si>
  <si>
    <t>['mudah', 'bergabung', 'mytelkomsel']</t>
  </si>
  <si>
    <t>['metode', 'pembayaran', 'promo', 'cashback', 'desember', 'tolong', 'diupdate', '']</t>
  </si>
  <si>
    <t>['hallo', 'telkomsel', 'klaim', 'hadiah', 'menggecewakan', 'itukan', 'hak', 'konsumen', 'parah', 'sinyalnya']</t>
  </si>
  <si>
    <t>['sinyal', 'msh', 'ngeleg', 'listriknya', 'mati', 'gmn', 'main', 'lancat', 'msh', 'jelek', 'astaga', 'sinyal', 'babi']</t>
  </si>
  <si>
    <t>['ayo', 'download', 'aplikasi', 'telkomsel']</t>
  </si>
  <si>
    <t>['aplikasi', 'membantu', 'dlm', 'pelaksanaan', 'mengatur', 'memilih', 'quota']</t>
  </si>
  <si>
    <t>['aman', 'terpercaya']</t>
  </si>
  <si>
    <t>['bka', 'lngsung', 'top', 'deh', 'semoga', 'lancr', 'trs', 'sukses']</t>
  </si>
  <si>
    <t>['dipilih', 'telkomsel', 'udah', 'mahal', 'sinyalnya', 'lag']</t>
  </si>
  <si>
    <t>['men', 'cangak', 'jak', 'haga', 'benoq']</t>
  </si>
  <si>
    <t>['ditingkatkan']</t>
  </si>
  <si>
    <t>['mendekati', 'lengkap']</t>
  </si>
  <si>
    <t>['ribet']</t>
  </si>
  <si>
    <t>['gabisa', 'masuk', 'apk']</t>
  </si>
  <si>
    <t>['', 'gratis', 'kuota', 'pulsa', '']</t>
  </si>
  <si>
    <t>['sumpah', 'appnya', 'lemot', 'beli', 'internet', 'gabisa', 'mulu', 'bilangnya', 'proses', 'prosesnya', 'beuh', 'banget', 'internet', 'bagus', 'daerah', 'aneh', 'app', 'tolong', 'diperbaiki', 'yaaaaaaaaa']</t>
  </si>
  <si>
    <t>['bagus', 'jaringanya']</t>
  </si>
  <si>
    <t>['buka', 'aplikasi', 'telkomsel', 'muncul', 'layar', 'putih', 'telkomsel', 'buruk', 'kualitas', '']</t>
  </si>
  <si>
    <t>['promo', 'ilang', 'kmren', 'enak', 'promonya', 'bagus', 'bagus', 'sekrang', 'mahal', 'mahal']</t>
  </si>
  <si>
    <t>['jangakuan', 'sigyal', 'bagus', 'harga', 'kuota', 'diturunkan', 'pengguna', 'telkomsel', 'salam', 'sehat', 'tulungagung', '']</t>
  </si>
  <si>
    <t>['aplikasi', 'dibuka', 'install', 'ulang']</t>
  </si>
  <si>
    <t>['jaringannya', 'paraaaah', 'bangeeeeeeet', 'lemoooot', 'harga', 'paket', 'kuota', 'stabil', 'turun', 'turun', 'saran', 'perbaiki', 'kualitas', 'konsumen', 'lari', 'provider', 'kalah', 'saing', 'provider', 'terimakasih', 'berkometar', 'mudah', 'mudahan', 'kritik', 'membangun']</t>
  </si>
  <si>
    <t>['bagus', 'tambahkan', 'paket', 'menonton', 'hbo', 'suka', '']</t>
  </si>
  <si>
    <t>['mahal', 'skali', 'paket', 'datanya', 'bro', 'kartuku', 'kartu', 'rugi', 'belanja', 'apk', 'telkomsel', 'hny', 'mementingkan', 'bagus', 'beli', 'kartu', 'data', 'counter', 'gb', 'cuman', 'apk', 'telkomsel', 'ribu', 'kasian', 'haji', 'kaya', 'taiiiii', '']</t>
  </si>
  <si>
    <t>['dibuka', 'layar', 'putih', 'tok']</t>
  </si>
  <si>
    <t>['mahal', 'ajaa', 'simpati', 'jdi', 'males', 'make', 'nyaa']</t>
  </si>
  <si>
    <t>['dri', 'berubah', 'suka', 'nyolong', 'pulsa', 'paket', 'data', 'ssaya', 'hri', 'nyedot', 'pulsa', 'pencuri']</t>
  </si>
  <si>
    <t>['semoga', 'dpt', 'hadiah', 'telkomsel', 'bayar', 'hutang', 'orang', 'tua', 'bank', 'aamiin', 'robbal', 'alamin']</t>
  </si>
  <si>
    <t>['dibuka', 'realme', '']</t>
  </si>
  <si>
    <t>['aplikasi', 'telkomsel', 'bagus']</t>
  </si>
  <si>
    <t>['update', 'buka', 'tampilanny', 'putihhhh', 'boro', 'liat', 'promo', 'sisa', 'kuota', 'sisa', 'pulsa', 'nampil', 'tolong', 'perbaiki', 'thx']</t>
  </si>
  <si>
    <t>['jaringan', 'bagusin', 'min', 'harga', 'diatas', 'oprator', 'trus', 'jaringan', 'malu', '']</t>
  </si>
  <si>
    <t>['lancar', 'sekqli']</t>
  </si>
  <si>
    <t>['aplikasi', 'memuaskan', '']</t>
  </si>
  <si>
    <t>['pulsa', 'telkomsel', 'nomor', 'pnya', 'istri', 'sbgai', 'pengguna', 'setia', 'telkomsel', 'berpuluh', 'skrg', 'pulsa', 'berkurang', 'smpai', 'nol', 'penukaran', 'point', 'penukaran', 'point', 'nomor', 'tsb', 'apk', 'stlh', 'bbrp', 'kali', 'dicoba', 'dikirimkan', 'link', 'kadaluarsa', 'login', 'pdhl', 'nukar', 'point', 'undian', 'reward', 'wkwkw', 'kesini', 'koq', 'serasa', 'kena', 'prank', 'tukar', 'point', 'wajarlah', 'blm', 'tntu', 'menang']</t>
  </si>
  <si>
    <t>['buruk', 'buruk', 'buruk', 'sebenernya', 'gunanya', 'unlimited', 'deskripsi', 'produk', 'bener', 'kepakai', 'buka', 'twitter', 'spotify', 'lemotnya', 'nauzubillah', 'tiktok', 'kbps', 'emg', 'selemot', 'emg', 'embel', 'unlimited', 'marketing', 'doang', 'kali', 'wkwkwkwkk', 'desa', 'pemerataan', 'jaringan', 'provider', 'buruk', 'ogah', 'tsel', 'daerahku', 'jaringannya', 'suka', 'ilang', 'nggak', 'mending']</t>
  </si>
  <si>
    <t>['harap', 'semoga', 'harga', 'kouta', 'murah', '']</t>
  </si>
  <si>
    <t>['jaringan', 'internet', 'down', 'terkadang', 'udah', 'membaik', 'sarana', 'telekomunikasi', '']</t>
  </si>
  <si>
    <t>['susah', 'keluhan', 'responnya', 'solutif']</t>
  </si>
  <si>
    <t>['sinyal', 'lemot']</t>
  </si>
  <si>
    <t>['hadiahnya']</t>
  </si>
  <si>
    <t>['paket', 'event', 'membantu', 'kebutuhan', 'komunikasi']</t>
  </si>
  <si>
    <t>['maaf', 'kak', 'beli', 'paket', 'unlimited', 'max', 'gb', 'cuman', 'main', 'game', 'nonton', 'tik', 'tok', 'tolong', 'kasih', 'penjelasannya']</t>
  </si>
  <si>
    <t>['membantu', 'terimakasih', 'telkomsel']</t>
  </si>
  <si>
    <t>['internet', 'telkomsel', 'jelek']</t>
  </si>
  <si>
    <t>['telkomsel', 'menjangkau', 'jaringan', 'indonesia', 'desa', 'terpencil']</t>
  </si>
  <si>
    <t>['pengguna', 'aplikasi', 'bagus', 'cepat']</t>
  </si>
  <si>
    <t>['dibuka', 'gas', 'pakai', 'telkomsel']</t>
  </si>
  <si>
    <t>['pelanggan', 'telkomsel', 'sim', 'card', 'operator', 'mempertahankan', 'simpati', 'manapun', 'sinyalnya', 'kadang', 'semulus', 'jalan', 'tol', 'setia', 'simpati', '']</t>
  </si>
  <si>
    <t>['beli', 'paketan', 'harganya', 'harganya', 'mahaaaall', 'paketan', 'unlimited', 'lake', 'sinyal', 'muncul', 'ilang', 'gitu', 'beli', 'paket', 'kebuang', 'sia', 'sia', 'rugiiiii', '']</t>
  </si>
  <si>
    <t>['aplikasi', 'blank', 'rerror', 'unistal', 'menuh', 'memori', 'telkomsel']</t>
  </si>
  <si>
    <t>['aplikasi', 'mbantuu']</t>
  </si>
  <si>
    <t>['', 'telkomsel', 'harga', 'paket', 'kuota', 'internet', 'mahal', 'turunin', 'harga', 'merakyat', 'jaringan', 'tetep', 'makasih']</t>
  </si>
  <si>
    <t>['bagusss', 'banget', 'pokoknya']</t>
  </si>
  <si>
    <t>['gabisa', 'add', 'sim', 'card', 'cacad', 'bat', 'udah', 'mahal', 'pelayanannya', 'jelek', 'ewh']</t>
  </si>
  <si>
    <t>['mahal', 'paketannya']</t>
  </si>
  <si>
    <t>['tekomsel', 'terbaik']</t>
  </si>
  <si>
    <t>['harga', 'kuota', 'turunin']</t>
  </si>
  <si>
    <t>['bitang', 'mudah', 'bagus', '']</t>
  </si>
  <si>
    <t>['puas', 'layanan', 'mytelkomsel']</t>
  </si>
  <si>
    <t>['', 'pakai', 'nomor', 'kartu', 'ganti', 'telkomsel', 'mahal', 'kualitas', 'jaringan', 'bagus', 'kencang', 'download', 'menit', 'selesai', 'kadang', 'cepat', 'ngalahin', 'wifi', 'komitmen', 'nomor', 'bonus', 'beli', 'paket', 'cuman', 'ribu', 'semurah', 'maju', 'telkomsel']</t>
  </si>
  <si>
    <t>['bagus', 'jaringannya', 'jelek', 'kab', 'tanggamus', 'lampung', '']</t>
  </si>
  <si>
    <t>['insan', 'kamil', 'kebaktiannya', 'orang', 'tuanya', '']</t>
  </si>
  <si>
    <t>['demii', 'buka', 'sekaleee', 'weeeee', 'gimna', 'ituuu', 'udah', 'berulang', 'download', 'hapus', 'gituuu', 'kesell', 'dahh']</t>
  </si>
  <si>
    <t>['apk', 'sangaat', 'membantu']</t>
  </si>
  <si>
    <t>['berguna', 'membantu']</t>
  </si>
  <si>
    <t>['aplikasi', 'ngk', 'kebuka', 'boro', 'liat', 'daftar', 'paket', 'layar', 'putih', 'doang', '']</t>
  </si>
  <si>
    <t>['mudah', 'penggunaannya']</t>
  </si>
  <si>
    <t>['kecewa', 'telkomsel', 'jaringan', 'enak', 'buruk', 'trus', 'game', 'leg', 'parah', 'sudh', 'membaik', 'buruk', 'tolong', 'kak', 'benerin', 'lokasi', 'gubeng', 'bangkalan', 'madura']</t>
  </si>
  <si>
    <t>['telkomsel', 'kuotanya', 'murah', 'sanggup', 'membeli', 'paket', 'internet', 'telkomsel', 'karna', 'mahal']</t>
  </si>
  <si>
    <t>['aplikasi', 'dibuka', 'hape', 'samsung', '']</t>
  </si>
  <si>
    <t>['', 'buka', 'apk', 'uninstall', 'install', 'ulg', 'dsr', 'payah', 'jaringan', 'busuk', '']</t>
  </si>
  <si>
    <t>['update', 'blank', 'putih', 'apk', 'tolong', 'diperbaiki', '']</t>
  </si>
  <si>
    <t>['dihp', 'aplikasinya', 'dibuka', 'menampilkan', 'white', 'screen', 'udah', 'kontak', 'csnya', 'tanggapan', 'edit', 'dibantu', 'sarannya', 'memakai', 'versi', 'update', 'gaes', 'terimakasih', 'kak', 'micha', '']</t>
  </si>
  <si>
    <t>['tingkatkan', 'jaringan', 'papua', 'keamanan']</t>
  </si>
  <si>
    <t>['koq', 'buka', 'tlong', 'perbaiki', 'sistemnya']</t>
  </si>
  <si>
    <t>['', 'pilihan', 'paket', 'bagus', 'udah', 'mahal', 'dibagi']</t>
  </si>
  <si>
    <t>['buka', 'app', 'ngeblang', 'putih', 'doang', 'perbaiki', 'jngan', 'nyusahin', 'pelanggan', '']</t>
  </si>
  <si>
    <t>['mantul', 'mantap']</t>
  </si>
  <si>
    <t>['telkomse', 'kerja', 'mudah']</t>
  </si>
  <si>
    <t>['mantap', 'pokoke']</t>
  </si>
  <si>
    <t>['mudah', 'hemat']</t>
  </si>
  <si>
    <t>['oke', 'paket', 'tingkatin', 'promo', 'bossque']</t>
  </si>
  <si>
    <t>['nama', 'simpati', 'terkubur', 'kalah', 'bersaing', 'dngn', 'khusunya', 'internet', '']</t>
  </si>
  <si>
    <t>['merekomendasikan', 'aplikasi', 'telkomsel', 'memiliki', 'fitur', 'tampilan', 'dark', 'mode', 'nyaman', 'malam']</t>
  </si>
  <si>
    <t>['sinyal', 'butut', 'kalah', 'smartfreen']</t>
  </si>
  <si>
    <t>['mantap', 'lancar', 'mahal', 'harga', 'kuotanya']</t>
  </si>
  <si>
    <t>['telkomsel', 'udh', 'aktif', 'dibuka', 'layar', 'putih', 'coba', 'diperbaiki', 'dunk']</t>
  </si>
  <si>
    <t>['lumayan', 'sayang', 'sinyalnya', 'lemot', 'areal', 'pelabuhan', 'pomako', 'timika', 'papua', 'jdi', 'paket', 'data', 'rugi', 'hbis', 'aktifnya', 'cuman', 'kepakai', 'dikit', '']</t>
  </si>
  <si>
    <t>['tingkatkan', 'promo', 'paketnya']</t>
  </si>
  <si>
    <t>['pakai', 'simpati', 'tersebar', 'dimana', 'dipakai', 'pertahankan', 'aplikasi', 'pakai', 'notifikasi', 'beli', 'pakai', 'paket', 'internet', 'mahalnya', 'ampun', 'provider', 'nasional', 'serasa', 'international', '']</t>
  </si>
  <si>
    <t>['mudah', 'diakses', 'informasi', 'lengkap']</t>
  </si>
  <si>
    <t>['alhamdulillah', 'telkomsel', 'kebuka', 'email', 'keluhan', 'respon', 'bagus', 'balas', 'terimakasih', 'respon', 'perbaikan', 'mohon', 'ditingkatkan', 'pelayanannya', 'perkuat', 'jaringannya', 'keluarin', 'paket', 'murah', 'customer', 'puas', 'telkomsel', 'berkomentar', 'kecewa', 'terima', 'kasih', 'respon', 'bantuan', '']</t>
  </si>
  <si>
    <t>['kasih', 'kuota', 'gb', 'gratis', 'tunggu', 'kuotanya', 'terimakasiih', '']</t>
  </si>
  <si>
    <t>['pakai', 'telkomsel', 'ok', 'mudah', 'kendala', 'apapun', 'aamiin']</t>
  </si>
  <si>
    <t>['perbaiki', 'sinyalnya', 'error', 'dikala', 'hujan', 'gerimis', 'lemah', 'dikala', 'hujan', 'lebat', 'lamban', 'mengunduh', 'mendownlod', 'file', 'gambar', 'film', 'bravo', 'telkomsel', '']</t>
  </si>
  <si>
    <t>['aplikasi', 'telkomsel', 'buka', 'pulsa', 'paket', 'lho', 'tolong', 'harga', 'paket', 'versi', 'kartu', 'ringan', 'mahal', '']</t>
  </si>
  <si>
    <t>['aplikasi', 'bagus', 'banget', 'membantu', 'makasih', 'telkomsel', '']</t>
  </si>
  <si>
    <t>['aplikasinya', 'gsk', 'dibuka', '']</t>
  </si>
  <si>
    <t>['bagus', 'telkomsel', 'beli', 'pulsa', 'nyala', 'internet', 'langsung', 'kepotong', 'sinyal', 'jelek']</t>
  </si>
  <si>
    <t>['sinyal', 'susah', 'sreng', 'hilang', 'pdhl', 'tower']</t>
  </si>
  <si>
    <t>['banget', 'masuk', 'aplikasinya', 'update', 'isinya']</t>
  </si>
  <si>
    <t>['kebuka', 'upgrade', 'layar', 'putih', 'doang', '']</t>
  </si>
  <si>
    <t>['kecewa', 'telkomsel', 'ganguan', 'paket', 'udah', 'mahal', 'kualitas', 'jaringan', 'edge', 'ganguan', 'trus', 'nyedot', 'kuata', 'kuat', 'adan', 'putuskan', 'keluarga', 'memakai', 'telkomsel']</t>
  </si>
  <si>
    <t>['masuk', 'aplikasi', 'muncul', 'layar', 'putih', 'hapus', 'data', 'reset', 'aplikasi', 'mytelkomsel', 'layar', 'putih', 'plis', 'gimana', 'beli', 'paket', 'aplikasinya', 'error', 'mohon', 'penjelasanya']</t>
  </si>
  <si>
    <t>['aplikasinya', 'bgus', 'pulsa', 'sya', 'hilang', 'ketarik', 'kemana']</t>
  </si>
  <si>
    <t>['performa', 'telkomsel', 'buruk', 'alasanya', 'cuaca', 'jaringan', 'normal', '']</t>
  </si>
  <si>
    <t>['bagus', 'terimakasih', 'mytelkomsel']</t>
  </si>
  <si>
    <t>['stabil', 'jaringannya']</t>
  </si>
  <si>
    <t>['banyakin', 'promo', 'kuota', 'bestie', 'kartu']</t>
  </si>
  <si>
    <t>['gini', 'pro', 'noeb', 'memperkuat', 'pernyataan', 'komentar', 'link', 'posting', 'selesai', 'maintenance', 'server', 'memperkuat', 'pernyataan']</t>
  </si>
  <si>
    <t>['nggak']</t>
  </si>
  <si>
    <t>['murahkan', 'paket', 'combo', 'sakti', 'mahal', '']</t>
  </si>
  <si>
    <t>['pulsa', 'hilang', 'warasssss']</t>
  </si>
  <si>
    <t>['bagus', 'fungsi', 'bnget']</t>
  </si>
  <si>
    <t>['telkomsel', 'bagus', 'pertahankan', '']</t>
  </si>
  <si>
    <t>['sinyal', 'jelek', 'harga', 'kuota', 'mahal', 'parah']</t>
  </si>
  <si>
    <t>['oii', 'gua', 'beli', 'paket', 'ketenangan', 'youtube', 'seminggu', 'kuota', 'utama', 'kepotong', 'enak', 'nonton', 'youtube', 'bak', 'tertimpa', 'duren', 'pohon', 'dapet', 'sms', 'kuota', 'tinggal', 'kuota', 'gb', 'nyeseknya', 'nyampe', 'ubun', 'ubun', 'gue', 'spot', 'jantung', 'tolong', 'benerin', 'oiii', 'ketawa', 'bacanya', 'serius', 'gua', 'oii', '']</t>
  </si>
  <si>
    <t>['aplikasi', 'telkomsel', 'udah', 'nggk', 'dibuka', 'kemarin', 'nggk', 'diperbaiki', 'kemana', 'sich', 'ngapain', 'sich', 'bolak', 'buka', 'aplikasi', 'blank', 'putih', 'doank', '']</t>
  </si>
  <si>
    <t>['kesini', 'sinyalnya', 'harga', 'paket', 'mahal', 'sinyal', 'trs', 'kadang', 'nonton', 'youtube', 'muter', 'ganti', 'kartu', '']</t>
  </si>
  <si>
    <t>['buka', 'aplikasi', 'putih', 'dilayar', 'niat', 'aplikasi', 'lemah', '']</t>
  </si>
  <si>
    <t>['mempermudah', 'pelanggan', 'tetep', 'semangat', 'telkomsel']</t>
  </si>
  <si>
    <t>['mantap', 'gan', 'andalkan']</t>
  </si>
  <si>
    <t>['apk', 'berguna', 'dibuka', 'ajj', 'veronica', 'email', 'responya', 'jawabannya', 'memuaskan', 'sinyalnya', 'jelek', 'bngt', 'jak', 'sel', 'ajj', 'sinyal', 'garis', 'pelosok', 'kekoneksi', 'nyesel', 'nie', 'proveider', 'axis', 'murah']</t>
  </si>
  <si>
    <t>['kapok', 'kapok', 'kapokkk']</t>
  </si>
  <si>
    <t>['aplikasi', 'lemot', 'banget', 'opretornya', 'abis', 'daftar', 'paket', 'pulsa', 'ketarik', 'trus', 'paketnya', 'cek', 'aktif']</t>
  </si>
  <si>
    <t>['memuaskan', 'bnyak', 'promonya', 'sinyalnya', 'kuat']</t>
  </si>
  <si>
    <t>['jaringannya', 'buruk']</t>
  </si>
  <si>
    <t>['appnya', 'terbuka', 'blank', 'putih', 'ganti', 'download', '']</t>
  </si>
  <si>
    <t>['baguuss', 'lemoot', 'yaa', '']</t>
  </si>
  <si>
    <t>['mundah', 'membelikan', 'paket', 'data']</t>
  </si>
  <si>
    <t>['update', 'susah', 'buka', '']</t>
  </si>
  <si>
    <t>['cok', 'knpaa', 'pulsa', 'gabisa', 'beli', 'paket', 'malam']</t>
  </si>
  <si>
    <t>['kota']</t>
  </si>
  <si>
    <t>['aplikasinya', 'buka', 'oppo', 'tolong', 'perbaiki', '']</t>
  </si>
  <si>
    <t>['lemot', 'sinyal']</t>
  </si>
  <si>
    <t>['puas', 'aplikasi', 'telkomsel', '']</t>
  </si>
  <si>
    <t>['mudah', 'cepat', 'pokoknya', 'top', 'telkomsel']</t>
  </si>
  <si>
    <t>['app', 'skrang', 'bsa', 'buka', 'sma', 'skli', 'wlau', 'udh', 'dwnload', 'berkali', 'jga', 'mlahhan', 'ngeblank', 'cma', 'gmbar', 'putihh', 'doang', 'apk', 'telkomsell', '']</t>
  </si>
  <si>
    <t>['aplikasinya', 'update', 'tpi', 'dibuka', '']</t>
  </si>
  <si>
    <t>['maaf', 'donload', 'telkomsel', 'pas', 'buka', 'layar', 'putih', 'gambar', 'apapun', 'muncul', 'tolong', 'jelasin']</t>
  </si>
  <si>
    <t>['knp', 'jaringan', 'telkomsel', 'kartu', 'simpati', 'kerap', 'error', 'didaerah', 'tembalang', 'telkomsel', 'terkenal', 'jaringan', 'sinyal', 'kuat', 'kerap', 'error', 'bermasalah', '']</t>
  </si>
  <si>
    <t>['harga', 'gb', 'jangn', 'dinaikin']</t>
  </si>
  <si>
    <t>['apk', 'bagus', 'bangettt']</t>
  </si>
  <si>
    <t>['ngeblank', 'apk', 'dibuka', 'setela', 'update', 'eror', 'juka', 'via', 'web', 'skarang']</t>
  </si>
  <si>
    <t>['mudah', 'terbantu', 'mytelkomsel']</t>
  </si>
  <si>
    <t>['mohon', 'telkomsel', 'jaringannya', 'kesini', 'parah', 'pelanggan', 'mohon', 'benahi', 'jaringannya', 'terimakasih', 'nnti', 'kasih', 'bintang']</t>
  </si>
  <si>
    <t>['knp', 'telkomsel', 'hpku', 'nggak', 'dibuka', 'udah', 'minggu', '']</t>
  </si>
  <si>
    <t>['mengecewakan', 'kecewawaaaaaaaaaaaaaa', 'tolong', 'perbaiki', 'jaringan', 'koto', 'kampar', 'hulu', 'kampar', 'telkomsel', 'bangkrut', 'memperbaiki', 'jaringan', '']</t>
  </si>
  <si>
    <t>['update', 'aplikasi', 'buka', 'aplikasinya', 'jaringan', 'bagus', 'internet', 'buruk', 'aplikasi', 'banned', 'ulasan', 'silahkan', 'real', 'pengguna', '']</t>
  </si>
  <si>
    <t>['kesini', 'jaringan', 'jelek', 'ditambah', 'buka', 'aplikasi', 'blank', 'wrna', 'putih', 'dibuka', 'kirain', 'hape', 'rusak', 'aplikasi', 'rusak', 'tolong', 'telkomsel', 'perbaiki', 'jaga', 'kepercayaan', 'kepuasan', 'pelanggan']</t>
  </si>
  <si>
    <t>['dibuka', 'instal', 'uninstal', 'dibuka', 'berkali', 'instal', 'hapus']</t>
  </si>
  <si>
    <t>['isi', 'paket', 'data', 'mudah']</t>
  </si>
  <si>
    <t>['jaringan', 'kek', 'gini', '']</t>
  </si>
  <si>
    <t>['gag', 'dibuka', 'aplikasinya', 'kemarin', 'gag', 'buka', 'mohon', 'solusinya']</t>
  </si>
  <si>
    <t>['bertukar', 'mata']</t>
  </si>
  <si>
    <t>['mudah', 'bertransaksi', 'mytelkomsel', '']</t>
  </si>
  <si>
    <t>['lemot', 'susah', 'sinyal', 'imternetnya']</t>
  </si>
  <si>
    <t>['beralih', 'operator', 'parah', 'bet', 'nggame', 'sinyal', 'stabill', 'parahhhh']</t>
  </si>
  <si>
    <t>['harga', 'beda', 'beda', 'teman', 'paket', 'murah', 'pas', 'download', 'paket', 'mahal', 'udah', 'gitu', 'jaringan', 'lemot']</t>
  </si>
  <si>
    <t>['parah', 'parah', 'parah', 'sekelas', 'telkomsel', 'data', 'pribadi', 'orang', 'jebol', 'orang', 'berstatus', 'outsourcing', 'parah', 'emg', 'orang', 'dalamnya', 'kebanyakan', 'wahabi', 'hti', '']</t>
  </si>
  <si>
    <t>['update', 'buka', 'ngebleng', 'tolong', 'bantu', 'tunggu', 'solusinya', '']</t>
  </si>
  <si>
    <t>['murah', 'jaringan', 'pakai', 'telkomsel', '']</t>
  </si>
  <si>
    <t>['telkomsel', 'milik', 'eror', 'tolong', 'admin', 'perbaiki', 'secepatnya']</t>
  </si>
  <si>
    <t>['aplikasi', 'berguna', 'banget']</t>
  </si>
  <si>
    <t>['bang', 'beli', 'pulsa', 'ribu', 'pulsa', 'tekena', 'sedot', 'pulsa', 'ribu', 'pulsa', 'mengunakan', 'wifi']</t>
  </si>
  <si>
    <t>['aplikasi', 'dibuka', 'layar', 'putih', 'seharian', 'penjelasan', 'diem', 'dibius', 'conan', '']</t>
  </si>
  <si>
    <t>['masuk', 'susah', 'banget', 'kaya', 'operator', 'sebelah', 'simple', 'praktis', 'udh', 'perbarui', 'msh', 'susah', 'perbaiki', 'konsumen', 'puas', '']</t>
  </si>
  <si>
    <t>['semoga', 'telkomsel', 'jaya']</t>
  </si>
  <si>
    <t>['apk', 'matap', 'sekelai', 'bosku', '']</t>
  </si>
  <si>
    <t>['harga', 'mahal', 'jaringan', 'super', 'lemot', '']</t>
  </si>
  <si>
    <t>['ganti', 'paket', 'nelpon', 'hr', 'sepuasnnya', 'tsel', 'beli', 'klik', 'muncul', 'maaf', 'paket', 'beli', 'tolong', 'perbaiki', 'rubah', '']</t>
  </si>
  <si>
    <t>['jujur', 'kecewa', 'sma', 'tsel', '']</t>
  </si>
  <si>
    <t>['masuk', 'telkomsel', 'mohon', 'bantuanya']</t>
  </si>
  <si>
    <t>['pakai', 'telkomsel', 'mahal', 'harga', 'paket', 'telpon', 'internet', 'kartu', 'udah', 'pakai', 'mkn', 'kartu', 'mensiasatinya', 'murah', '']</t>
  </si>
  <si>
    <t>['tingkat', 'kendala', 'sinyal', 'dll', '']</t>
  </si>
  <si>
    <t>['kemudahan', 'informasi']</t>
  </si>
  <si>
    <t>['versi', 'terbaru', 'dibuka', 'samsung', 'tolong', 'aplikasinya', 'ngebug', 'layarnya', 'blank']</t>
  </si>
  <si>
    <t>['kembalikan', 'pulsa', 'kawan', 'kau', 'potong', 'telkomsel', 'paket', 'dibagi', 'paket', 'data', 'harganya', 'mahal', 'jaringan', 'lelet', 'suka', 'sedot', 'pulsa', 'sembarangan', 'tolong', 'presiden', '']</t>
  </si>
  <si>
    <t>['respon', 'costumer', 'service']</t>
  </si>
  <si>
    <t>['perubahan', 'gitu', 'iklan', 'lapangan', 'kali', 'plosok', 'papua', 'udah', 'kota', 'ngellek', '']</t>
  </si>
  <si>
    <t>['mingguan', 'apk', 'telkomsel', 'dibuka', 'hapus', 'download', 'terbuka', 'dibuka', 'tampilannya', 'putih']</t>
  </si>
  <si>
    <t>['', 'instal', 'realme', 'narzo', 'ndk', 'buka', 'app', 'bintngnya']</t>
  </si>
  <si>
    <t>['mantap', 'jaya', 'telkomsel']</t>
  </si>
  <si>
    <t>['puas', 'jaringan', 'kasih', 'bintang', 'udh', 'bagus', 'tambahkan']</t>
  </si>
  <si>
    <t>['memakai', 'telkomsel', 'pindah', 'malas', 'tingkatkan', 'pelayanannya', 'promo', 'internet', 'murahnya', 'dikartu', 'kartu', '']</t>
  </si>
  <si>
    <t>['restart', 'mode', 'pesawat', 'off', 'ganti', 'signal', 'akses', 'kuota', 'medsos', 'unlimitiednya', '']</t>
  </si>
  <si>
    <t>['telkomsel', 'bonus', 'memuaskan', '']</t>
  </si>
  <si>
    <t>['pakai', 'kasi', 'bintang', '']</t>
  </si>
  <si>
    <t>['berbenah', 'karna', 'sinyal', 'didaerah', 'pelosok', 'desa', 'madih', 'susah', '']</t>
  </si>
  <si>
    <t>['bagus', 'pelayanan']</t>
  </si>
  <si>
    <t>['bagus', 'tingkat', 'pelayan', 'daerah', 'daerah']</t>
  </si>
  <si>
    <t>['layanan', 'puas']</t>
  </si>
  <si>
    <t>['beli', 'paket', 'data', 'pulsa', 'dipotong', 'kembalikan', 'pulsa', 'telkomsel', '']</t>
  </si>
  <si>
    <t>['bingung', 'liat', 'telkomsel', 'paket', 'beraneka', 'jenis', 'ragam', 'dimana', 'fungsi', 'istimewa', 'sinyal', 'full', 'internet', 'lelet', 'paket', 'full', 'berguna', 'internet', 'lokal', 'lokasi', 'aktivasi', 'taik', 'berguna', 'pakai', 'lelet', 'internet', 'combo', 'omg', 'gamemax', 'haduh', 'mahal', 'harga', 'internet', 'telkomsel', 'juta', 'paket', 'kaya', '']</t>
  </si>
  <si>
    <t>['mantap', 'kembangkan']</t>
  </si>
  <si>
    <t>['kartu', 'sampah', 'fitur', 'kunci', 'pulsa', 'ngotak', 'cokkk', 'ngotakkk', 'nyedot', 'pulsa', 'cokkkk', 'ngotakkkk']</t>
  </si>
  <si>
    <t>['suka', 'ama', 'telkomsel', 'gua', 'dpt', 'bonus', 'sampe', 'beruntung', 'dpt', 'temen', 'dpt', 'gua', 'dpt', 'tolong', 'bonus', 'telkomsel', '']</t>
  </si>
  <si>
    <t>['hutang', 'pulsa', 'aplikasi', 'mytelkomsel']</t>
  </si>
  <si>
    <t>['mahal', 'doang', 'sinyal', 'busuk', '']</t>
  </si>
  <si>
    <t>['bb', 'ngelag', 'main', 'game']</t>
  </si>
  <si>
    <t>['kak', 'jaringan', 'lemot', 'kak', 'kompetisi', 'sekolah', 'latihan', 'deh']</t>
  </si>
  <si>
    <t>['dibuka', 'aplikasi', '']</t>
  </si>
  <si>
    <t>['kasih', 'aplikasi', 'dibuka', 'layar', 'ngeblank', 'teman', 'gimana', 'telkomsel', '']</t>
  </si>
  <si>
    <t>['harga', 'paket', 'ngotak', 'telkomsel', 'naiknya', 'kebangetan', '']</t>
  </si>
  <si>
    <t>['membantu', 'covid', 'covid', 'oke']</t>
  </si>
  <si>
    <t>['yes', 'update', 'berfungsi', 'terimakasih']</t>
  </si>
  <si>
    <t>['tolong', 'diperbaiki', 'kadang', 'susah', 'masuk']</t>
  </si>
  <si>
    <t>['membantu', 'keabisan', 'paket']</t>
  </si>
  <si>
    <t>['bagus', 'mudah', 'memilih', 'pilihan', 'paket', 'data']</t>
  </si>
  <si>
    <t>['update', 'buka', 'blnk', 'putih', 'ajah', 'respon']</t>
  </si>
  <si>
    <t>['telkomtol', 'ngeleg', 'goblog', 'ganggu', 'orang', 'main', 'anjing', 'telkom']</t>
  </si>
  <si>
    <t>['jarngan', 'kau', 'baikan', 'dak', 'pelosok', 'jaringn', 'cam', 'memeq', 'udh', 'oecah', '']</t>
  </si>
  <si>
    <t>['sinyal', 'daerah', 'seleman', 'temptku', 'kerja', 'sinyalnya', 'buruk', 'mengecewakan', 'masak', 'iya', 'bawa', 'wifi', 'gunanya', 'kartu', 'telkomsel', 'uang', 'jaringan', 'mengecewakan']</t>
  </si>
  <si>
    <t>['jaringan', 'lemot', 'kartu', 'hallo']</t>
  </si>
  <si>
    <t>['masuk', 'category', 'telkomsel', 'bye']</t>
  </si>
  <si>
    <t>['jaringannya', 'lemot', 'pas', 'beli', 'kuota', 'unlimited', 'gb', 'lemot', 'parah', 'malam', 'mohon', 'diperbaiki', '']</t>
  </si>
  <si>
    <t>['dibutuhkan', 'kualitas', 'jaringan', 'bagus', 'harga', 'paket', 'ditingkatkan']</t>
  </si>
  <si>
    <t>['good', 'byee', 'telkomsel', 'pindah', 'operator', 'sebelah', 'langgan', 'paket', 'kesini', 'mencekik', 'harga', 'paket', 'ampun', 'pokonya']</t>
  </si>
  <si>
    <t>['tolong', 'jaringan', 'internet', 'benerin']</t>
  </si>
  <si>
    <t>['kemari', 'jaringn', 'jelek', 'ajhh']</t>
  </si>
  <si>
    <t>['membantu', 'berguna', 'penggunanya', '']</t>
  </si>
  <si>
    <t>['parah', 'buanget', 'dibuka', 'blank', 'putih', 'kubuang', 'trus', 'instal', 'berkali', 'waduuh', 'pusing', 'banget', 'aplikasinya', 'bagus', 'jelek', 'parah', 'parah', '']</t>
  </si>
  <si>
    <t>['jaringan', 'bagus', 'ancur', 'bagusa', 'axis', 'kartu', 'murah', 'mahal', 'jaringan', 'ancur', 'sebanding', 'harga', 'najis', 'bngt']</t>
  </si>
  <si>
    <t>['buk', 'poin', 'ngk', 'tukar', 'tolong', 'perbaiki', 'buk']</t>
  </si>
  <si>
    <t>['rating', 'kirim', 'ulasan', 'pedulikan', 'sangay', 'busuk', 'perhatikan', 'keluhan', 'pelanggan', 'mahal', 'buruk', 'sinyalnya', 'ganti', 'kartu', 'males', 'telkomsel', 'tolong', 'baca', 'tolong', 'ketik', 'ulasan', 'membantu']</t>
  </si>
  <si>
    <t>['aplikasi', 'mytelkomsel', 'nggak', 'dibuka', '']</t>
  </si>
  <si>
    <t>['buka', 'aplikasi', 'respon', 'perbaiki', 'kerja', '']</t>
  </si>
  <si>
    <t>['buka', 'aplikasinya', 'susah', 'deh', 'aplikasi']</t>
  </si>
  <si>
    <t>['telkomsel', 'smoga', 'terbaik', 'sabang', 'merauke', '']</t>
  </si>
  <si>
    <t>['', 'heran', 'apk', 'promo', 'pket', 'murah', 'gtu', 'beli', 'ganguan', 'jrgan', 'nunggu', 'lgi', 'menit', 'gilla', 'telkomsel', 'diulang', 'msih', 'sueeeee']</t>
  </si>
  <si>
    <t>['parah', 'jaringan', 'telkomsel', 'bintang', 'kasih', 'bintang', 'udah', 'beli', 'paket', 'mahal', 'jaringan', 'gila', 'lambat', 'cepat', 'keong', 'kampung', 'cepat', 'smartfren', 'kasih', 'bintang', 'pitam', 'jaringan', 'asli', 'buka', 'paket', 'terbuang', 'sia', 'sia']</t>
  </si>
  <si>
    <t>['udah', 'keren', 'promonya', 'donk', '']</t>
  </si>
  <si>
    <t>['apk', 'cek', 'kuota', 'paket', 'data', 'senang', 'sinyal', 'pelosok', 'daerah', 'disukai', 'telkomsel', 'beda', 'bedakan', 'kartu', 'dibikin', 'seragam', 'kartu', 'sakti', '']</t>
  </si>
  <si>
    <t>['paket', 'sekrang', 'unlimited', 'batasi', 'mending', 'pakai', 'indosat', 'pas', 'sebulan', '']</t>
  </si>
  <si>
    <t>['kecewa', 'jaringan', 'telkomsel', 'buruk', '']</t>
  </si>
  <si>
    <t>['jaringan', 'telkomsel', 'sangatttt', 'burukkkkkk', 'provider', 'lancar', 'lancar', 'promo', 'trus', 'jaringan', 'semain', 'terdepan', 'lemotnya', '']</t>
  </si>
  <si>
    <t>['harga', 'naek', 'turnin', 'napa', 'boss']</t>
  </si>
  <si>
    <t>['', 'aket', 'mahal', 'jaringannya', 'hilang', '']</t>
  </si>
  <si>
    <t>['bgus', 'jarigan', 'skrng', 'lemot']</t>
  </si>
  <si>
    <t>['kecewa', 'jaringan', 'telkomsel', 'kebelakang', 'telkomsel', 'kuat', 'sinyalnya', 'pedesaan', 'kesini', 'parah', 'provider', 'perubahan', 'berbanding', 'terbalik', 'telkomsel', 'perubahanya', 'buruk', 'bertransisi', 'muter', 'youtub', 'buffering', 'tutup', 'memakai', 'telkomsel']</t>
  </si>
  <si>
    <t>['', '']</t>
  </si>
  <si>
    <t>['gampang', 'mudah']</t>
  </si>
  <si>
    <t>['tingkatttykannn', 'jaringaaannnn', 'paket', 'mahal', 'mahaaalll', 'dongggg']</t>
  </si>
  <si>
    <t>['paket', 'data', 'harganya', 'mahal', 'jaringan', 'jelek', 'beli']</t>
  </si>
  <si>
    <t>['aplikasiii', 'kmprettt', 'nggak', 'bisaa', 'bukaaaaa']</t>
  </si>
  <si>
    <t>['lemot', 'lelet', 'erorrr']</t>
  </si>
  <si>
    <t>['verivikasi', 'mulu', 'udah', 'update', 'buka', 'dapet', 'sms', 'mulu', 'buka']</t>
  </si>
  <si>
    <t>['heran', 'siang', 'jaringan', 'bagus', 'rusak', 'sampe', 'malam', 'jaringan', 'hilang', 'timbul', 'bar', 'full', 'harga', 'kuota', 'mahal', 'sesuai', 'jaringan', 'rusak', 'gmna', 'kasih', 'solusi', 'kecepatan', 'jaringan', 'kyk', 'kartu', 'saingan', 'telkom', 'harga', 'kuota', 'kartu', 'saingan', 'telkom', 'bagus', 'imbang', 'telkom', 'skrng']</t>
  </si>
  <si>
    <t>['parah', 'sinyalnya', 'anjg']</t>
  </si>
  <si>
    <t>['aplikasi', 'jelek']</t>
  </si>
  <si>
    <t>['terhormat', 'telkomsel', 'kuota', 'beli', 'jaringan', 'harunya', 'konsisten', 'paket', 'mahal', 'kualitas', 'bagus', 'tolong', 'perbaiki', 'terima', 'kasih', 'kasih', 'baca', 'pihan', 'bersangkutan', 'kurangin', 'sinyalnya', 'mending', 'indosat', 'terima', 'kasih']</t>
  </si>
  <si>
    <t>['kesini', 'parah', 'pokonya', 'kecewa', 'paket', 'data', 'sinyal', 'penuh', 'jaringan', 'lemot', 'maen', 'game', 'bete', 'sinyal', 'lemot', '']</t>
  </si>
  <si>
    <t>['', 'telkomsel', 'memuaskan', 'pakai', 'kandala', 'pokoknya', 'puas', 'mantap', '']</t>
  </si>
  <si>
    <t>['sim', 'card', 'sim', 'card', 'beda', 'kualitas', 'koneksinya', 'pengaktifan', 'sim', 'card', 'cenderung', 'laload', 'susah', 'menangkap', 'jaringan', 'sim', 'card', 'koneksi', 'internetnya', 'mohon', 'perbaiki', 'telkomsel', 'terhormat']</t>
  </si>
  <si>
    <t>['aplikasi', 'mendukung']</t>
  </si>
  <si>
    <t>['jaringannya', 'ancur', 'mending', 'nyesel', 'make', 'kartu', 'udah', 'mahal', 'jaringan', '']</t>
  </si>
  <si>
    <t>['', 'persamaan', 'telkomsel', 'nggak', 'emang', 'ngentoddddddddd', 'dddddd', '']</t>
  </si>
  <si>
    <t>['bagus', 'praktis', 'aplikasi']</t>
  </si>
  <si>
    <t>['jeleeeeekkkk', 'apk', 'dibuka', 'loading', 'mulu', 'perbaiki', '']</t>
  </si>
  <si>
    <t>['', 'event', 'loginnya', 'gratis', 'bayar', 'pke', 'pulsa']</t>
  </si>
  <si>
    <t>['aahhh', 'pokoknya', 'syuka', 'aplikasi', 'blanja', 'akurat', '']</t>
  </si>
  <si>
    <t>['halo', 'kak', 'kendala', 'slama', 'minggu', 'kebelakang', 'apk', 'dibuka', 'coba', 'hapus', 'downlod', 'dibuka', 'gimna', 'solusinya', 'kakk', '']</t>
  </si>
  <si>
    <t>['apk', 'dibuka', 'merespon', 'update', 'rutin', 'apk', 'ngebug', 'bintang', 'tunggu', 'respon', 'penyelesaian', '']</t>
  </si>
  <si>
    <t>['cuih', 'jaringan', 'busuk', 'mahal', 'main', 'game', 'ping', 'stabil', 'sudi', 'beli', 'telkomtol']</t>
  </si>
  <si>
    <t>['minggu', 'telkomsel', 'dibuka', 'telkomsel', 'oke', 'pengguna', 'telkomsel', 'kecewa', '']</t>
  </si>
  <si>
    <t>['kuota', 'salah', 'pas', 'main', 'game', 'jaringan', 'hancur', 'telkomsel', 'kartu', 'mahal', 'mahal', 'jaringan', 'semot', 'pakai', 'telkomsel', 'telkomsel', 'lag', '']</t>
  </si>
  <si>
    <t>['apk', 'jelek', 'dibuka', '']</t>
  </si>
  <si>
    <t>['lelet', 'jaringan', 'berharap', 'pakai', 'telkomsel', 'jaringan', 'kuat', 'tpi', 'sebalik']</t>
  </si>
  <si>
    <t>['telkomsel', 'bersih', 'kaum', 'radikalis', 'bahaya', 'data', 'pribadi', 'pelanggan', 'disebarluaskan', 'orang', 'perusahaan', 'bodoh', 'berbahaya', 'penyakit', 'menular', 'kutipan', 'komedian', 'alm', 'edi', 'sud', 'paket', 'data', 'beli', 'sinyal', 'jelek', 'banget', 'tolong', 'diperbaiki', 'pelanggan', 'telkomsel', '']</t>
  </si>
  <si>
    <t>['terimaksih', 'all', 'tim', 'ahirny', 'apk', 'mytelkomsel', 'buka', 'upgrade', 'versi', 'menunggu', 'menunggu', 'hapus', 'apk', 'mytelkomsel', 'truss', 'tingkatkn', 'kendala', 'gerak', 'cepat', '']</t>
  </si>
  <si>
    <t>['terimakasih', 'telkomsel', 'kendala', 'lag', 'jaringanmu', 'setia', 'beli', 'telkomsel', 'berubah', 'koneksi', 'stabil', 'bang', 'lose', 'streak']</t>
  </si>
  <si>
    <t>['kecewa', 'ama', 'telkomsel', 'wilayah', 'gading', 'wonosari', 'susah', 'ama', 'siknal', 'telkomsel', 'sampa', 'terpaksa', 'beli', 'boster', 'gsm', 'kuatkan', 'siknal', '']</t>
  </si>
  <si>
    <t>['iya', 'mkin', 'ribet', 'bngt', 'signal', 'lemot', 'klu', 'kau', 'buka', 'situs', 'ribet', 'lemot', 'ampun', 'giliran', 'beli', 'kuota', 'mahal']</t>
  </si>
  <si>
    <t>['abis', 'update', 'lelet', 'sinyal', 'bagus', 'banget']</t>
  </si>
  <si>
    <t>['jaringan', 'tlkomsel', 'kesinj', 'lelet', 'kecewa', 'pemakai', 'tlkomsel', 'dri', 'jaman', 'enak', 'skrng']</t>
  </si>
  <si>
    <t>['sinyal', 'kaya', 'taiiiiiiiiiiiiii', 'jelek', 'daerah', '']</t>
  </si>
  <si>
    <t>['', 'sinyalnya', 'bagus', 'lelet', '']</t>
  </si>
  <si>
    <t>['membatu']</t>
  </si>
  <si>
    <t>['sinyalnya', 'kaga', 'bener']</t>
  </si>
  <si>
    <t>['harga', 'paketan', 'mahal', 'sinyal', 'alakadarnya', 'duit', 'mulu', 'dipikirin', 'kepuasan', 'pelanggan']</t>
  </si>
  <si>
    <t>['ditunggu', 'promo']</t>
  </si>
  <si>
    <t>['aplikasi', 'buka', 'layar', 'putih', '']</t>
  </si>
  <si>
    <t>['', 'kasih', 'bintang', 'ajah']</t>
  </si>
  <si>
    <t>['aman', 'mudah']</t>
  </si>
  <si>
    <t>['diupdate', 'aplikasi', 'buka', 'tolong', 'kondisikan']</t>
  </si>
  <si>
    <t>['mahal', 'doang', 'jaringan', 'buruk', 'nyesel', 'telkomsel', '']</t>
  </si>
  <si>
    <t>['apknya', 'mantap', 'menginformasikan', 'sisa', 'kouta', 'membeli', 'kouta', 'harga', 'terjangkau', 'thx', 'dev']</t>
  </si>
  <si>
    <t>['jaringan', 'jelek', 'promonya', 'nipu', 'promo', 'gb', 'beli', 'pulsa', 'koo', 'pulsa', 'mencukupi', 'beli', 'mari', 'pindah', 'kartu', 'im', 'sinyal', 'promonya', 'oke', '']</t>
  </si>
  <si>
    <t>['katru', 'hangus', 'pulsa', 'hilang', 'gima', 'tanggung', 'telkosel']</t>
  </si>
  <si>
    <t>['parah', 'lemot', 'jaringannya', 'lte', 'tingkatkan', 'mutu', 'jaringannya']</t>
  </si>
  <si>
    <t>['sinyal', 'benerin', 'ampas', 'banget', 'maen', 'game', 'mahal', 'doang', 'sinyal', 'mah', 'murahan']</t>
  </si>
  <si>
    <t>['mahal', 'mahal', 'koneksi', 'lambat', 'kecewa', 'parah', '']</t>
  </si>
  <si>
    <t>['jaringan', 'parah', 'banget', 'telkomsel', 'jayapura', 'wilayah', 'ramai', 'kota', 'kepelabuhan']</t>
  </si>
  <si>
    <t>['dibuka', 'aplikasinya', 'woyy', 'gimana', 'beli', 'paket', 'beli', 'lwt', 'pilihannya', 'kacau']</t>
  </si>
  <si>
    <t>['koq', 'blank', 'putih', 'bosque', 'install', 'android', '']</t>
  </si>
  <si>
    <t>['mantap', 'memudahkan']</t>
  </si>
  <si>
    <t>['bagus', 'lncar', 'masuk', 'kesini', 'mlh', 'sellu', 'masuk', 'telkomsel', 'tlong', 'donk', 'pwrnudah', 'lgi', 'akses', 'jaringannya', 'terimaksih']</t>
  </si>
  <si>
    <t>['paket', 'internet', 'mahal', 'jaringan', 'kaya', 'keong', 'down', 'ujan', 'jaringan', 'ilang', 'lucu']</t>
  </si>
  <si>
    <t>['paket', 'doang', 'harga', 'mahal', 'sinyal', 'turun', 'mulu', 'lucu']</t>
  </si>
  <si>
    <t>['jaringan', 'telkomsel', 'bagus', 'game', '']</t>
  </si>
  <si>
    <t>['tingkat', 'signal', 'terkuat', 'indonesia']</t>
  </si>
  <si>
    <t>['kasih', 'gratis', 'bos', 'beli', 'mahal']</t>
  </si>
  <si>
    <t>['udah', 'lambat', 'main', 'game', 'sinyalnya', 'hilang', 'maaf', 'bintang', 'diturunkan', 'sengaja', 'komen', 'diperbaiki', 'telkomsel', 'looo', '']</t>
  </si>
  <si>
    <t>['buka', 'apk', 'warna', 'putih', 'trus', 'langsung', '']</t>
  </si>
  <si>
    <t>['tambahin', 'fitur', 'kontrol', 'pulsa', 'block', 'sms', 'spam', 'malak', 'pulsa', 'akses', 'diluar', 'jaringan']</t>
  </si>
  <si>
    <t>['beli', 'paket', 'gamesmex', 'vocher', 'mobile', 'legend', '']</t>
  </si>
  <si>
    <t>['jelek', 'apk', 'ngeblank', '']</t>
  </si>
  <si>
    <t>['kasih', 'promo']</t>
  </si>
  <si>
    <t>['', 'telkomsel', 'dibuka', 'parah', '']</t>
  </si>
  <si>
    <t>['instal', 'layar', 'putih', 'trs', 'telkomsel', 'lancar', 'beda', 'lelet', 'gimana', 'aplikasinya', 'buka']</t>
  </si>
  <si>
    <t>['telkomsel', 'jaringanya', 'tolong', 'dperbaiki', 'main', 'game', 'jaringanya', 'parah', 'bet', 'kayak', 'gini', 'ganti', 'kartu', '']</t>
  </si>
  <si>
    <t>['woi', 'sinyal', 'gajelas', 'ngentod', 'udah', 'mahal', 'sinyal', 'gajelas', 'kek', 'kepala', 'kau', 'ehh', 'jing', 'dibiarin', 'ngelunjak', 'gaa', 'sinyal', 'dikota', 'babi', 'unlimited', 'batas', 'kau', 'ituu', 'unlimited', 'namnya', 'jing']</t>
  </si>
  <si>
    <t>['ngeblank', 'putih', 'gajelas']</t>
  </si>
  <si>
    <t>['telkomsel', 'sinyal', 'bagus', 'telkomsel', 'anak', 'sultan', 'telkomsel', 'mahal']</t>
  </si>
  <si>
    <t>['kasih', 'bintang', 'kecewa', 'telkomsel', 'masak', 'paket', 'nelvon', 'menit', 'pakai', 'poin', 'daily', 'chek', 'tukarkan', 'tpi', 'tdak', 'masuk', 'pulsa', 'terpotong', 'mohon', 'perbaiki', 'terima', 'kasih', '']</t>
  </si>
  <si>
    <t>['mabagaimana', 'mengaktifkan', 'kartu', '']</t>
  </si>
  <si>
    <t>['', 'diskon', 'udah', 'pakai', 'ovo', 'nggak', 'bayar']</t>
  </si>
  <si>
    <t>['pulsa', 'internet', 'gratis', 'amin']</t>
  </si>
  <si>
    <t>['coba', 'donk', 'program', 'nlpn', 'intrnt', 'dll', 'harga', 'terjangkau', 'mending', 'jaringan', 'bagus', 'kadang', 'kesel', 'sinyal', 'jaringan', 'parah', '']</t>
  </si>
  <si>
    <t>['lag', 'bangst', 'telko', 'benerin', 'sinyal', 'udah', 'beli', 'mahal', 'nge', 'lag', 'dasar', 'banjingan']</t>
  </si>
  <si>
    <t>['', 'bangeeeeet', 'mudah', 'banget']</t>
  </si>
  <si>
    <t>['suka', 'bangga']</t>
  </si>
  <si>
    <t>['hapus', 'nomor', 'ganti', 'susah', '']</t>
  </si>
  <si>
    <t>['kecewa', 'jaringgan', 'telkomsel', 'internet', 'daerah', 'sinyal', 'lemah', 'lelet', 'telefon', 'enak', 'internet', 'lelet', 'banget', 'udah', 'paketan', 'mahal', 'sinyal', 'lemah', 'kalou', 'erah', 'plosok', 'maklumi', 'daerah', 'pusat', 'keramaian', 'susah']</t>
  </si>
  <si>
    <t>['', 'buruk']</t>
  </si>
  <si>
    <t>['yes']</t>
  </si>
  <si>
    <t>['mudah', 'mytelkomsel']</t>
  </si>
  <si>
    <t>['telkomsel', 'jembut', 'ngleg', 'taek']</t>
  </si>
  <si>
    <t>['lenih', 'buruk', '']</t>
  </si>
  <si>
    <t>['aplikasi', 'bagus', 'mudah']</t>
  </si>
  <si>
    <t>['buka', 'aplikasi', 'telkomsel', 'udah', 'hapus', 'dondlwd', 'ttp', 'udah', 'berkali', 'kali', 'hpus', 'donwld', 'ttp', 'buka', 'bermasalh', 'atou', '']</t>
  </si>
  <si>
    <t>['mudah', 'dang', 'murah']</t>
  </si>
  <si>
    <t>['youtube', 'dll', 'lancar', 'nonton', 'disney', 'hostar', 'buffering', 'banget', 'lelet', '']</t>
  </si>
  <si>
    <t>['tolong', 'bantuan', 'kak', 'transaksi', 'paket', 'data', 'koneksi', 'jaringan', 'wifi', 'kemarin', 'bisaa', '']</t>
  </si>
  <si>
    <t>['', 'sinyal', 'woi', 'game', 'reloag', 'trus', 'tolong', 'diperbaiki']</t>
  </si>
  <si>
    <t>['halo', 'telkomsel', 'pulsa', 'dipotong', 'biaya', 'internet', 'regular', 'paket', 'internet', 'aktif']</t>
  </si>
  <si>
    <t>['knapa', 'sya', 'uda', 'buka', 'apk', 'pdahal', 'mmbantu', 'tolong', 'bantuan']</t>
  </si>
  <si>
    <t>['', 'dec', 'jaringan', 'aplikasi', 'buka', 'edy', 'karawang']</t>
  </si>
  <si>
    <t>['kecewa', 'layanan', 'pelanggan', 'telkomsel', 'komplain', 'jaringan', 'blum', 'suport', 'iya', 'trus', 'mute', 'telkomsel', 'komen', 'telkomsel', 'telkomsel', 'suport', 'main', 'game', 'buktikan', 'kartu', 'telkomsel', 'speednya', 'bsa', 'operator', 'game', 'kuat', 'mgkin', 'krna', 'operator', 'indo', 'terkenal', 'leletnya', 'sdah', 'diakui']</t>
  </si>
  <si>
    <t>['blank', 'android']</t>
  </si>
  <si>
    <t>['membantu', 'situasi']</t>
  </si>
  <si>
    <t>['', 'bonus', 'kuota', 'cek', 'klaim', 'jaringan', 'sibuk', 'payah', '']</t>
  </si>
  <si>
    <t>['jaringan', 'kayak', 'sundel', 'ganti', 'kartu', 'pakai', 'telkomsel', 'udah', 'bbi']</t>
  </si>
  <si>
    <t>['mantap', 'telkomsel', 'perdana']</t>
  </si>
  <si>
    <t>['udh', 'donlod', 'nge', 'blang', 'putih', 'infinix', 'smart', 'iya', 'suport']</t>
  </si>
  <si>
    <t>['aplikasi', 'berfungsi', 'mestinya', 'kartu', 'pulsa', 'berkurang', 'nol']</t>
  </si>
  <si>
    <t>['jaringan', 'kadang', 'lemot', 'kdang', 'mlah', 'ilang', 'separah']</t>
  </si>
  <si>
    <t>['bitang', 'berbicara']</t>
  </si>
  <si>
    <t>['assalammualaikum', 'min', 'keluhan', 'sinyal', 'telkomsel', 'ngeleg', 'bangett', 'tolong', 'perbaiki', 'secepat', 'min', 'pengguan', 'telkomsel', 'nyaman', '']</t>
  </si>
  <si>
    <t>['sinyal', 'erorr', 'harga', 'paketnya', 'melesat', 'nama', 'inflasi', 'kemarin', 'rb', 'itupu', 'harganya', 'rb', 'harga', 'nanggung', 'pulsanya', 'topup', 'ujung', 'kesedot', 'promo', 'promo', 'siang', 'ngomong', 'sorenya', 'tobatlah', 'telkomsel', 'jutaan', 'masyarakat', 'zolimi', 'dikota', 'telkomsel', 'gara', 'ndak', 'pilihan', 'nokia', 'tumbang', 'gara', '']</t>
  </si>
  <si>
    <t>['jaringan', 'parah', 'kasih', 'hujan', 'ancurrrr', 'harga', 'paket', 'kuota', 'terusss', 'meringankan', 'nambah', 'memberatkan', '']</t>
  </si>
  <si>
    <t>['baguslah', 'aplikasi', 'tipu', 'tipu']</t>
  </si>
  <si>
    <t>['mudah', 'promo', 'lumayan', 'harga', 'menguras', 'kantong', 'halangan', 'telkomsel', 'memiliki', 'sinyal', 'stabil', 'susah', 'jangkau', 'sinyal']</t>
  </si>
  <si>
    <t>['pemilik', 'jariang', 'memikirkan', 'keuntungan', 'pribadi', 'tisak', 'memikirkan', 'kesejahteraan', 'rakyat', 'jelata', 'mengedepankan', 'penggunaan', 'data', 'pengaturan', 'paketan', 'habis', 'berlaku', 'habis', 'pulsa', 'habis', 'bersisa']</t>
  </si>
  <si>
    <t>['liat', 'paket']</t>
  </si>
  <si>
    <t>['markotop', 'hadiahnya', 'semoga', '']</t>
  </si>
  <si>
    <t>['mantab', 'update', '']</t>
  </si>
  <si>
    <t>['memuaskan', 'pokonya', 'telkomsel']</t>
  </si>
  <si>
    <t>['jaringan', 'buruk', 'semoga', 'perubahan', 'kedepannya']</t>
  </si>
  <si>
    <t>['aplikasinya', 'dibuka', 'ntar', 'dibuka', 'bintangnya']</t>
  </si>
  <si>
    <t>['pulsa', 'terpotong', 'menyalakan', 'data', 'pakai', 'wifi', 'mematikan', 'data', 'isi', 'ulang', 'pulsa', 'terpotong', 'ntah', 'beli', 'pulsa', 'pas', 'paket', 'data', 'beli', 'langganan', 'paket', 'mengisi', 'pulsa', 'pulsa', 'terpotong', 'tolong', 'telkomsel', 'tanggung', 'dirugikan', '']</t>
  </si>
  <si>
    <t>['jaringan', 'buka', 'indihome', 'sistem', 'rusak', 'beralasan', 'jaringan', 'internet', 'pengguna', 'payah', 'paket', 'terkesan', 'memaksakan', 'paket', 'sukai', 'paket', 'giga', 'internet', 'gigantic', 'sisanya', 'paket', 'bermutu', 'hiburan', 'out', 'date', 'desember', 'dibuka', 'blank', 'putih', 'hitam', 'buka', 'instal', 'diinstal', 'ulang', '']</t>
  </si>
  <si>
    <t>['bagusssss', 'bagusss', 'bagusss', '']</t>
  </si>
  <si>
    <t>['harga', 'paketan', 'mahal', 'gpp', 'deh', 'mahal', 'jaringan', 'internetnya', 'lancar', 'udah', 'mahal', 'jaringannya', 'lelet', 'sumpah', 'buang', 'perdana', 'rekomendet', 'banget', 'dehh']</t>
  </si>
  <si>
    <t>['jaringan', 'lemoot', 'tolong', 'perbaiki', 'jaringannya', '']</t>
  </si>
  <si>
    <t>['harga', 'nggk', 'konsisten', 'sinyal', 'nggk', 'stabil']</t>
  </si>
  <si>
    <t>['minggu', 'aplikasi', 'dibuka', 'komplain', 'keluhan', 'perbaikan', 'menghubungi', 'layanan', 'pelanggan', 'membantu', 'buruk', 'update', 'aplikasi', 'dibuka', 'kasih', 'bintang', 'kali', 'kendala', 'kendala', 'masif', 'dialami', 'orang', 'memperbaikinya', 'tolong', 'solusi', 'membantu', '']</t>
  </si>
  <si>
    <t>['jaringan', 'lag', 'lgi', 'main', 'game', 'jelek', 'berbaiki', 'lgi', 'kak', 'penukaran', 'poin', 'bagus', 'sistem', 'penukaran', 'jelek']</t>
  </si>
  <si>
    <t>['buka', 'aplikasi', 'tampilan', 'putih', 'lancar', 'lancar', 'coba', 'reinstall', 'kali', 'buka', 'aplikasi', 'tampilan', 'putih', '']</t>
  </si>
  <si>
    <t>['telkomsel', 'top', 'markotop', 'jaringan', 'luas', 'lemot']</t>
  </si>
  <si>
    <t>['harga', 'paketnya', 'murahin', 'kase', '']</t>
  </si>
  <si>
    <t>['telkomsel', 'terhormat', 'jaringan', 'internet', 'udah', 'burik', 'gimana', 'loyo', 'perbaiki', '']</t>
  </si>
  <si>
    <t>['knpa', 'masuk', 'mytelkomsel']</t>
  </si>
  <si>
    <t>['', 'puas', 'berlangganan', 'mytelkomsel']</t>
  </si>
  <si>
    <t>['senang', 'appk', '']</t>
  </si>
  <si>
    <t>['semoga', 'perbaikan', 'wilayah', 'sinyal', 'sinyalnya', 'lemah', 'telkomsel', 'andalan', '']</t>
  </si>
  <si>
    <t>['kesini', 'jelek', 'kartu', 'apknya', 'susah', 'membeli', 'kouta', 'mengeceknya', 'lapor', 'telkomselnya', 'tpi', 'gada', 'respon', 'mohon', 'bijak', 'kebutuhan', 'dampak', '']</t>
  </si>
  <si>
    <t>['mudah', 'jangkau']</t>
  </si>
  <si>
    <t>['ribet', 'buka', 'log', 'aplikasi', 'maju', 'mundurrr', '']</t>
  </si>
  <si>
    <t>['tukar', 'poin', 'gimana', '']</t>
  </si>
  <si>
    <t>['check', 'quota', 'font', 'huruf', 'susah', 'mata', 'usia', 'serengah', 'umur', 'keatas', 'hrs', 'kaca', 'mata', 'mohon', 'perbesar', 'font', 'huruf', 'lbh', 'warna', 'hitam', 'bkn', 'coklat', 'susah', 'dibaca', 'mksh', '']</t>
  </si>
  <si>
    <t>['udah', 'log', 'aplikasi', 'telkomsel', 'tolonglah', 'diperbaiki', 'mohon', 'penjelasannya', 'log', 'stp', 'log', 'putih', 'layarnya', 'pdahal', 'jaringan', 'fuull', '']</t>
  </si>
  <si>
    <t>['bagus', 'update']</t>
  </si>
  <si>
    <t>['dwonlot', 'males', 'dwonlot', 'berulang', 'kali', 'dibuka']</t>
  </si>
  <si>
    <t>['pulsa', 'kali', 'telan', 'paket', 'internet', 'habis', 'operator', 'spt']</t>
  </si>
  <si>
    <t>['saranya', 'admin', 'mytelkomsel', 'dibuka', 'layar', 'putih', 'tampil', 'gaka', 'perubahan', 'jalan']</t>
  </si>
  <si>
    <t>['reting', 'bintang', 'telkomsel', 'udah', 'mahal', 'lelet', 'kartu', 'pindah', 'telkomsel', 'karna', 'terpaksa', 'nyesal', 'makai', 'telkomsel', 'mahal', 'lelet']</t>
  </si>
  <si>
    <t>['kuota', 'aplikasi', 'harganya', 'mahal', 'konter', 'trs', 'ngumpulin', 'koin', 'gratisanya', 'dikit', 'lag', 'tolong', 'perbaiki', '']</t>
  </si>
  <si>
    <t>['bagus', 'baget', 'murah']</t>
  </si>
  <si>
    <t>['bagus', 'mdh', 'mmbeli', 'kuota', 'kdg', 'bonus', 'poin', 'mndapat', '']</t>
  </si>
  <si>
    <t>['kasih', 'bintang', 'jls', 'uda', 'didownload', 'kali', 'ttp', 'dibuka', '']</t>
  </si>
  <si>
    <t>['', 'sinyal', 'telkomsel', 'bagus', 'daerah', 'garut', 'daerah', 'liat', 'story', 'doang', 'muter', 'rekomendasi', 'paket', 'bagus', 'sibyalnya', 'sya', 'gb', 'rb', 'intinya', 'puas', 'sya', 'udah', 'bngt', 'telkomsel']</t>
  </si>
  <si>
    <t>['aplikasi', 'dibuka', 'layar', 'putih', 'muncul']</t>
  </si>
  <si>
    <t>['kuota', 'mahal', 'bos']</t>
  </si>
  <si>
    <t>['jaringan', 'lelet', 'telkomsel', 'main', 'game', 'putus', 'gara', 'gara', 'jaringan', 'telkomsel', 'bagus', 'pakek', 'axis', 'telkomsel', 'mahal', 'lelet']</t>
  </si>
  <si>
    <t>['udah', 'instal', 'buka', '']</t>
  </si>
  <si>
    <t>['pulsa', 'gratis']</t>
  </si>
  <si>
    <t>['engga', 'dibuka', 'samsung', '']</t>
  </si>
  <si>
    <t>['nyangkut', 'dagangan', 'pinginnya', 'buang', 'nomer', 'harga', 'ngira', 'mahal', 'sultan', 'puoolll', 'aba', 'aba', 'harga', 'paketan', 'dikurangi', 'nomer', 'beda', 'beda', 'harganya', 'apk', 'beda', 'harga', 'user', 'milih', 'dipilihin', 'butuh', 'butuh', 'simbiosis', 'mutualisme', 'pemberitahuan', 'kek', 'iklan', 'sms', 'kek', 'lari', 'pelanggan', 'setia', 'gini', 'begoo']</t>
  </si>
  <si>
    <t>['telkomselku', 'mati', '']</t>
  </si>
  <si>
    <t>['jaringan', 'sampah', '']</t>
  </si>
  <si>
    <t>['bertahun', 'pke', 'simpati', 'kesini', 'jaringan', 'down', 'tower', 'rumah', 'jaringan', 'gimana', 'nyaman', 'diluncurkan', 'jaringan', 'jelek']</t>
  </si>
  <si>
    <t>['yaa', 'min', 'update', 'dibuka', 'aplikasinya', 'beli', 'paket', 'nii', '']</t>
  </si>
  <si>
    <t>['tolong', 'paket', 'youtube', 'udah', 'kayak', 'siput', 'ktax', 'gratis', 'lemot']</t>
  </si>
  <si>
    <t>['sebulan', 'aflikasi', 'telkomsel', 'dibuka', 'gimana', 'pliiiiiiisss', '']</t>
  </si>
  <si>
    <t>['sinyal', 'telkomsel', 'bagusn']</t>
  </si>
  <si>
    <t>['sinyal', 'buruk', 'wlau', 'kota', 'desa', 'sma', 'aktifkan', 'data', 'seluler']</t>
  </si>
  <si>
    <t>['knp', 'telkomsel', 'nggak', 'buka', 'tungguin', 'nggak', 'kebuka', 'telkomselnya']</t>
  </si>
  <si>
    <t>['sinyal', 'busuk', 'gblk']</t>
  </si>
  <si>
    <t>['aplikasi', 'mytelkomsel', 'dpt', 'membeli', 'pulsa', 'mudah', 'harganyapun', 'terjangkau', 'bonusnya', '']</t>
  </si>
  <si>
    <t>['jaringan', 'lemot', 'woy', 'beli', 'paket', 'mahal', 'jaringan', 'kek', 'gini', 'woy']</t>
  </si>
  <si>
    <t>['habis', 'perbarui', 'buka']</t>
  </si>
  <si>
    <t>['jaringan', 'lemot', 'main', 'game', 'loading', 'tolong', 'diperbaiki', 'jaringan', 'telkomsel', 'bagus', 'kasih', 'bintang', '']</t>
  </si>
  <si>
    <t>['tukang', 'sedot', 'pulsa', 'babiii']</t>
  </si>
  <si>
    <t>['puas', 'pelayanan']</t>
  </si>
  <si>
    <t>['kusus', 'daera', 'maluku', 'utara', 'mahal', 'prodak', 'telkomsel']</t>
  </si>
  <si>
    <t>['berfungsi', 'memudahkan']</t>
  </si>
  <si>
    <t>['bener', 'woi', 'pas', 'coba', 'biat', 'masuk', 'nomor', 'mulu', 'tulosannya', 'sesi', 'silahkan', 'login', 'maksudnya', 'coba', 'berkali', 'berkali', 'tolonglah', 'perbaiki', 'telkomsel', 'mendingan']</t>
  </si>
  <si>
    <t>['telkomsel', 'parah', 'abis', 'daerah', 'cilimus', 'kab', 'kuningan']</t>
  </si>
  <si>
    <t>['kasih', 'bintang', '']</t>
  </si>
  <si>
    <t>['aplikasi', 'membantu', 'jaringan', 'mengecewakan', 'kuota', 'mahal', 'jaringan', 'susah', 'banget', 'hilang', 'lokasi', 'ruangan', 'dinding', 'tebal', 'langsung', 'jaringan', 'hilang', 'mengecewakan', '']</t>
  </si>
  <si>
    <t>['harga', 'mahal', 'jamin', 'kualitas', 'bagus', '']</t>
  </si>
  <si>
    <t>['parahh', 'sekaliii', 'layar', 'putih', 'aplikasi', 'bisaa', 'buka']</t>
  </si>
  <si>
    <t>['terkomsel', 'parah', 'menguntungkan', 'pelanggan', 'merugikan', 'sial', 'telkomsel', 'serba', 'mahal', '']</t>
  </si>
  <si>
    <t>['terimakasih', 'layanan', 'mudah', 'membeli', 'paket']</t>
  </si>
  <si>
    <t>['apknya', 'membantu', 'mudah', 'ringan', 'membantu', 'pokonya', 'top', 'banget']</t>
  </si>
  <si>
    <t>['', 'cocok', 'main', 'game', 'jelek', 'banget', 'suka', 'ping', 'habis', 'hujan']</t>
  </si>
  <si>
    <t>['mohon', 'maaf', 'aplikasi', 'dibuka', 'mengalami', 'white', 'screen', 'menerus', 'penyebab', 'solusinya', 'terima', 'kasih', 'kayanya', 'emang', 'dikasih', 'bintang', 'direspon', '']</t>
  </si>
  <si>
    <t>['event', 'isi', 'pulsa', 'trus', 'sesi', 'mulu', 'link', 'udh', 'diakses', 'sesi']</t>
  </si>
  <si>
    <t>['jaringan', 'telkomsel', 'muda', 'han', 'kedepannya', 'jaringan', 'telkosel', 'wilayah', 'bima', 'dompu', 'ntb', 'bagus', '']</t>
  </si>
  <si>
    <t>['update', 'versi', 'open', 'app', 'blank', 'white', 'screen', 'respon', 'clear', 'cache', 'clear', 'data', 'reinstall', 'app', 'tetep', 'downgrade', 'versi', 'aman', 'update', '']</t>
  </si>
  <si>
    <t>['aplikaeinya', 'bagus']</t>
  </si>
  <si>
    <t>['udah', 'telkom', 'sekli', 'dapet', 'undian', 'hehehehe']</t>
  </si>
  <si>
    <t>['dimana', 'kecuali', 'dihutan']</t>
  </si>
  <si>
    <t>['biasaaaa']</t>
  </si>
  <si>
    <t>['melaksanakan']</t>
  </si>
  <si>
    <t>['tolong', 'perbaiki', 'secepat', 'erah', 'kota', 'banjar', 'sin', 'jaringan', 'telkomsell', 'lelet', 'hilang', 'tolong', 'perbaiki', 'kasih', 'bntang', 'kasih', 'bintang', '']</t>
  </si>
  <si>
    <t>['apk', 'sangattt', 'bagussss', 'beli', 'paket', 'murah', 'bangettt', 'pokoknya', 'baguss', 'banget', 'dehh']</t>
  </si>
  <si>
    <t>['jaringan', 'sinyal', 'droop', 'merugikan', 'banget', 'enak', 'main', 'game', 'jaringan', 'turun', 'nyaman', 'banget', 'sinyal', 'stabil', 'tolong', 'jaringan', 'sinyal', 'perbaiki', 'udh', 'mahal', 'beli', 'paket', 'ehh', 'kaya', 'gitu', 'jaringan', 'sinyal', 'jengkel', '']</t>
  </si>
  <si>
    <t>['murah', 'beli', 'paket', 'disinj']</t>
  </si>
  <si>
    <t>['kesal', 'harga', 'melulu', 'udah', 'make', 'murahan', 'pakek', 'entar', 'udah', 'murahan', 'make', 'kasih', 'bintang', 'segini', '']</t>
  </si>
  <si>
    <t>['mantap', 'kasi', 'murah', '']</t>
  </si>
  <si>
    <t>['didowngrade', 'versinya', 'sembuh', 'blank', 'putihnya']</t>
  </si>
  <si>
    <t>['min', 'tolong', 'min', 'isi', 'voucher', 'sistem', 'sibuk', 'mulu', 'muncul', 'bacaan', 'nunggu', 'jam', 'jdi', 'gimana', 'min']</t>
  </si>
  <si>
    <t>['mudah', 'bermanfaat']</t>
  </si>
  <si>
    <t>['bagus', 'sekaliiiiiiiiiiiiiiiiiiiiiiiiiiiiiiiiiiiiiiiiiiiiiiiiiiiiiiiiiiiiiiiiiiiiiiiiiiiiiiiiiiiiiiiiiiiiiiiiiiiiiiiiiiiiiiiiiiijiiiiiiiiiiiiiiiiiiiiiiiiiiiiiiiiiiiiiiiiiiiiiiiiiiiiiiiiiiiiiiiiiiiiiiiiiiiiiiiiiiiiiiiiiiiiiiii']</t>
  </si>
  <si>
    <t>['kecewa', 'pas', 'kuota', 'abis', 'beli', 'extra', 'kuota', 'dsuruh', 'bayar', 'tagihan', 'blm', 'tagihan', 'halo', 'family', 'tagihan', 'dikartu', 'utama', 'slalu', 'bayar', 'tagihan', 'pas', 'coba', 'bayar', 'berhasil', 'masuk', 'tetep', 'bli', 'extra', 'kuota', 'telp', 'dsuruh', 'nunggu', 'jam', 'parah', '']</t>
  </si>
  <si>
    <t>['kesini', 'lemooooooooot', 'aplikasi', 'dipake', 'alias', 'heeeng', 'jalan', '']</t>
  </si>
  <si>
    <t>['update', 'apknya', 'gabisa', 'dibuka', 'nge', 'blank', 'putih', 'kecewa', 'banget', 'fitur', 'update', 'paketannya', 'mahal', 'apknya', 'nyusahin', 'tolong', 'kerjasamanya']</t>
  </si>
  <si>
    <t>['sinyal', 'telkomselbagus', 'sampe', 'daerah', 'pelosok', 'rawakuda', 'kec', 'kedungwaringin', 'parah', 'sesuai', 'iklan', 'hebatnya', '']</t>
  </si>
  <si>
    <t>['kuota', 'multimedia', 'ngelag', 'buka', 'sosmed']</t>
  </si>
  <si>
    <t>['jaringan', 'bagus']</t>
  </si>
  <si>
    <t>['mantap', 'bro', 'undian']</t>
  </si>
  <si>
    <t>['gerangan', 'jaringannya', 'jdi', 'enk']</t>
  </si>
  <si>
    <t>['gjd', 'jelek']</t>
  </si>
  <si>
    <t>['update']</t>
  </si>
  <si>
    <t>['singnal', 'ilang', 'paket', 'mahal', 'pelayanan', 'udahlah', '']</t>
  </si>
  <si>
    <t>['bagus', 'aplikasinya', 'udah', 'buka', '']</t>
  </si>
  <si>
    <t>['kebuka', 'aplikasi', 'update', 'versi', 'terbarunya']</t>
  </si>
  <si>
    <t>['bagus', 'apk', '']</t>
  </si>
  <si>
    <t>['ayo', 'telkomsel', 'kalah', 'sebelah', 'kuota', 'diakumulasi', 'aktifnya', 'diperpanjang', 'kuota', 'jaringan', 'minimal', 'jaringan', 'stabil', '']</t>
  </si>
  <si>
    <t>['mantap', 'lag']</t>
  </si>
  <si>
    <t>['bagus', 'tingkatkan', 'kualitas', 'mahal', 'harganya', '']</t>
  </si>
  <si>
    <t>['kecewa', 'kuota', 'game', 'nggak', 'main', 'game', 'tergantung', 'kuto', 'reguler', 'gimana']</t>
  </si>
  <si>
    <t>['susah', 'buka']</t>
  </si>
  <si>
    <t>['', 'pnya', 'bsa', 'putih', 'layar']</t>
  </si>
  <si>
    <t>['mdh', 'hadiah']</t>
  </si>
  <si>
    <t>['paket', 'terjangkau']</t>
  </si>
  <si>
    <t>['mudah', 'mantab']</t>
  </si>
  <si>
    <t>['pikirnya', 'versi', 'masuk', 'ngeriiiii', '']</t>
  </si>
  <si>
    <t>['kasih', 'diskon', 'njenf']</t>
  </si>
  <si>
    <t>['membantu', 'mytelkomsel']</t>
  </si>
  <si>
    <t>['provider', 'sampah', 'provider', 'bumn', 'gini', 'anjg', 'udah', 'kapitalis', 'pelit', 'promo', 'aplikasi', 'cacat']</t>
  </si>
  <si>
    <t>['mohon', 'maaf', 'staf', 'telkomsel', 'salah', 'pengguna', 'setia', 'telkomsel', 'kompline', 'bln', 'jaringan', 'internet', 'telkomsel', 'bagus', 'setabil', 'koneksi', 'internet', 'pengguna', 'telkomsel', 'kecewa', 'ketidak', 'puasan', 'jaringan', 'internet', 'telkomsel', 'harga', 'paket', 'data', 'internet', 'mahal', 'tolong', 'klarifikasi', '']</t>
  </si>
  <si>
    <t>['sayangnya', 'updute', 'ponsel', 'buka', 'telkomselnya', 'pengguna', 'setia', 'telkomsel', 'darimana', 'donk', 'aplikasinya', 'kuota', 'paket', 'nelpon', 'tersisa', 'aplikasinya', 'buka', 'android', 'masukan', '']</t>
  </si>
  <si>
    <t>['applikasi', 'nyedot', 'data', 'claim', 'gagal', 'alasan', 'memenuhi', 'syarat', 'daily', 'check', 'buang', 'data', 'sia']</t>
  </si>
  <si>
    <t>['bagus', 'mudah', 'beli', 'kuota', 'mantep', 'polll']</t>
  </si>
  <si>
    <t>['hujan', 'plus', 'mati', 'lampu', 'kek', 'jaman', 'batu']</t>
  </si>
  <si>
    <t>['update', 'engga', 'kebuka', 'parah']</t>
  </si>
  <si>
    <t>['harga', 'terjangkau']</t>
  </si>
  <si>
    <t>['sinyal', 'bagus', 'biarpun', 'cuaca', 'mendung', 'tinggal', 'kaki', 'gunung', 'salak']</t>
  </si>
  <si>
    <t>['memuaskanlah']</t>
  </si>
  <si>
    <t>['pelayanannya', 'gimana', 'bentar', 'diperlama']</t>
  </si>
  <si>
    <t>['kuota', 'gb', 'aktif', 'kuota', 'masak', 'lemot', 'banget', 'game', 'kalok', 'kuota', 'beli', 'enak', 'jaringannya', 'masak', 'iya', 'beli']</t>
  </si>
  <si>
    <t>['jelek', 'banget', 'beli', 'kuota', 'pilihan', 'kuota', 'tersedia', 'aneh', 'banget']</t>
  </si>
  <si>
    <t>['kak', 'apk', 'telkom', 'paket', 'tersedia', 'mohon']</t>
  </si>
  <si>
    <t>['kirim', 'kuota', '']</t>
  </si>
  <si>
    <t>['aplikasi', 'beli', 'paket', 'paket', 'tersedia', '']</t>
  </si>
  <si>
    <t>['tdi', 'lgi', 'ngegame', 'trs', 'jaringannya', 'jdi', 'merah', 'pdhl', 'kuota', 'msih', 'bnyk', 'jdi', 'tlg', 'kak', 'perbaiki', 'nnti', 'susah', 'sekolah', 'ngelag', 'gmm', 'pas', 'main', 'tmn', 'trims', 'edit', 'makasih', 'min', 'skrg', 'udh', 'mendingan', 'pas', 'main', 'pubg', 'error', 'jdi', 'hrs', 'sampe', 'restart', 'bru', 'lancar']</t>
  </si>
  <si>
    <t>['kesini', 'parah', 'buka', 'pas', 'masuk', 'paket', 'tersedia', 'jaringan', 'buka', 'bagus', 'bagus']</t>
  </si>
  <si>
    <t>['update', 'blank', 'putih', 'dimohon', 'pelayananya', 'diperbaiki', 'telkomsel']</t>
  </si>
  <si>
    <t>['beli', 'data', 'aneh', 'tulisan', 'package', 'gimana', 'tuker', 'data', 'mingguan', 'mahal']</t>
  </si>
  <si>
    <t>['pelit', 'pengguna', 'dri', 'pke', 'telkomsel', 'kuotanya', 'mahal', 'doang', 'dibagi']</t>
  </si>
  <si>
    <t>['nukar', 'poin', 'pulsa']</t>
  </si>
  <si>
    <t>['download', 'buka', '']</t>
  </si>
  <si>
    <t>['tolonglah', 'update', 'mulu', '']</t>
  </si>
  <si>
    <t>['jaringannya', 'super', 'super', 'lelet']</t>
  </si>
  <si>
    <t>['telkomsel', 'paket', 'internet', 'tawarkan', 'beli', 'kuota', 'susah', 'error']</t>
  </si>
  <si>
    <t>['masuk', 'apk', 'kal', '']</t>
  </si>
  <si>
    <t>['aplikasihnya', 'berat', 'dipahami', '']</t>
  </si>
  <si>
    <t>['list', 'paket', 'data', 'jual', 'muncul', 'udah', 'jualan', 'paket', 'data', '']</t>
  </si>
  <si>
    <t>['paket', 'hilang', 'harganya', 'cuman', 'ribu']</t>
  </si>
  <si>
    <t>['tlng', 'tikatkan', 'lgi', 'aplikasi', 'telkomselnya', 'kasih', 'tetangga', 'sebelah']</t>
  </si>
  <si>
    <t>['membantu', 'thanks', 'telkomsel']</t>
  </si>
  <si>
    <t>['paket', 'tersedia']</t>
  </si>
  <si>
    <t>['bagus', 'download', 'telp', 'ribet', 'nyari', 'ngecek', 'pulsa', 'dll', '']</t>
  </si>
  <si>
    <t>['telkomsel', 'hebat', 'sukses']</t>
  </si>
  <si>
    <t>['mantap', 'jaya', 'aplikasinya', 'keren', 'banget', 'pilihan', 'kreatif', '']</t>
  </si>
  <si>
    <t>['gangguan', 'pulsa', 'pas', 'beli', 'paket', 'pulsa', 'mencukupi', 'bingung', 'ganti', 'kartu']</t>
  </si>
  <si>
    <t>['lambat', 'mahal']</t>
  </si>
  <si>
    <t>['apl', 'tipu']</t>
  </si>
  <si>
    <t>['bagus', 'terbuka', 'aplikasinya']</t>
  </si>
  <si>
    <t>['', 'telkomsel', 'membantu', 'banyaknya', 'promo', 'unlimited', '']</t>
  </si>
  <si>
    <t>['ngirim', 'credit', 'pulsa', 'persulit', 'tenggang', 'apalah', 'tenggang', 'kasih', 'kasih', 'ribet', 'pelayanan', 'dana', 'persulit', 'niat', 'provider']</t>
  </si>
  <si>
    <t>['membantu', 'bagus']</t>
  </si>
  <si>
    <t>['nge', 'lag', 'mendung', 'tebal']</t>
  </si>
  <si>
    <t>['aplikasi', 'telkomsel', 'buka', 'lancar', 'ganti', 'buka', 'ribet', 'telkomsel', 'cek', 'pulsa', 'kouta', 'beli', 'paket', 'masuk', 'google', 'langsung', 'aplikasi', 'telkomsel']</t>
  </si>
  <si>
    <t>['mantul', 'dikasih', 'bintang', '']</t>
  </si>
  <si>
    <t>['karna', 'kondisi', 'jaringan', 'jelek', 'daerah', '']</t>
  </si>
  <si>
    <t>['apk', 'terbuka', 'android', 'tolong', 'diperbaiki']</t>
  </si>
  <si>
    <t>['semoga', 'dpt', 'undian', 'sukses', 'telkomsel', 'mohon', 'permurah', 'paketannya', '']</t>
  </si>
  <si>
    <t>['aplikasi', 'buka', 'paraaah', '']</t>
  </si>
  <si>
    <t>['mohon', 'maaf', 'telkomsel', 'semenah', 'menah', 'mentang', 'mentang', 'daerah', 'telkomsel', 'kecepatan', 'jaringan', 'perbaiki', 'stabil', 'banget', 'jujur', 'provider', 'daerah', 'pindah', 'dasar', 'udah', 'bayar', 'mahal', 'kualitas', 'banget', 'layak', 'perjualbelikan']</t>
  </si>
  <si>
    <t>['kecewa', 'udah', 'aplikasi', 'telkomsel', 'buka', 'udah', 'hubungi', 'custumer', 'service', 'kelanjutannya', '']</t>
  </si>
  <si>
    <t>['telkomsel', 'jaringan', 'jelek', 'bagain', 'sulawesi', 'selatan', 'kartu', 'doang', 'mahal']</t>
  </si>
  <si>
    <t>['sinyal', 'suka', 'jelek']</t>
  </si>
  <si>
    <t>['update', 'buka', 'coba', 'install', 'instal', 'buka', '']</t>
  </si>
  <si>
    <t>['telkomsel', 'tolong', 'perbaiki', 'jaringan', 'daerah', 'sumatera', 'utara', 'nias', 'jaringan', 'buruk', 'beli', 'kartu', 'paket', 'jaringan', 'buruk', 'mohon', 'tanggapi', '']</t>
  </si>
  <si>
    <t>['latnnpakuragu', 'ianya', 'aman']</t>
  </si>
  <si>
    <t>['mytelkomsel', 'dibuka', 'blank', 'tlfn', 'suruh', 'tunggu', 'ttp', 'dibuka', 'telkomsel']</t>
  </si>
  <si>
    <t>['', 'buka', 'aplikasi']</t>
  </si>
  <si>
    <t>['kebangetan', 'beli', 'paket', 'kuota', 'udah', 'dipake', 'call', 'chat', 'dibatasi', 'call', 'namanya', 'paket', 'ketenangan', 'fix', 'ketipu']</t>
  </si>
  <si>
    <t>['gimna', 'ngk', 'buka', 'huuu', 'rusak', 'apk']</t>
  </si>
  <si>
    <t>['jaringan', 'rumah', 'stabil', 'kasi', 'bintang']</t>
  </si>
  <si>
    <t>['perbaiki', 'sinyal', 'kota', 'semarang', 'daerah', 'kota', 'sinyalnya', 'jelek', 'suka', 'main', 'game', 'afk', 'gara', 'sinyal', 'jelek', 'mulu', 'betah', 'telkomsel', 'bagus', 'jelek']</t>
  </si>
  <si>
    <t>['kirim', 'pulsa', 'bkn', 'telkomsel', 'tolong', 'perbaiki']</t>
  </si>
  <si>
    <t>['kuotanya', 'mahal', 'banget', '']</t>
  </si>
  <si>
    <t>['jaringan', 'telkomsel', 'mengecewakan', 'harga', 'jaringan', 'lelet', 'kebangetan']</t>
  </si>
  <si>
    <t>['pulsa', 'porortin', 'rerus', 'dasar', 'taik', 'udah', 'pakai', 'kartu', 'thun', 'tetep', 'perubahan', 'isi', 'pulsa', 'pas', 'cek', 'aktifin', 'data', 'isi', 'data', 'suruh', 'aktifin', 'pulsa', 'ambil', 'sampe', 'aplikasi', 'bodoh', 'miskin', 'njing']</t>
  </si>
  <si>
    <t>['jaringan', 'lancar', 'tetiba', 'hancur', 'lebur', 'geser', 'mati', 'aplikasinya', 'blank', 'putih', 'sngt', 'kecewa']</t>
  </si>
  <si>
    <t>['praktis', 'mudah', 'ber', 'transaksi', 'mksh', 'telkomsel']</t>
  </si>
  <si>
    <t>['aplikasi', 'bagus', 'informatif']</t>
  </si>
  <si>
    <t>['min', 'plis', 'min', 'plis', 'knp', 'jaringan', 'telkomsel', 'pas', 'main', 'game', 'ngelag', 'pas', 'nonton', 'youtube', 'ngelag', 'plis', 'min', 'kezel', 'udah', 'main', 'tim', 'epic', 'bocil', 'bocil', 'laknat', 'jaringan', 'ngelag', 'min', '']</t>
  </si>
  <si>
    <t>['kualitas', 'sinyal', 'diragukan', 'semoga', 'stabil']</t>
  </si>
  <si>
    <t>['telkomsel', 'paket', 'mahal', 'aplikasi', 'telkomsel', 'ndak', 'dibuka', 'pokoknya', 'menyebalkan', 'perbaiki', 'komentar', 'telkomsel', 'memperbaiki', 'sistemnya', '']</t>
  </si>
  <si>
    <t>['pemula', 'dlu', 'deh', 'bner', 'nyaman', 'ksih', 'bintang', '']</t>
  </si>
  <si>
    <t>['bingung', 'skrang', 'beli', 'paket', 'jaringannya', 'pahala', 'jaringan', 'bagu', 'paket', 'blom', 'habis', 'tolong', 'solusi', '']</t>
  </si>
  <si>
    <t>['knpa', 'kokk', 'telkomsel', 'buka', '']</t>
  </si>
  <si>
    <t>['beli', 'paket', 'data', 'mudah', 'murah', '']</t>
  </si>
  <si>
    <t>['tambahin', 'promo', 'murah', 'murah']</t>
  </si>
  <si>
    <t>['tes']</t>
  </si>
  <si>
    <t>['pembelian', 'paket', 'lbh', 'murah', 'dibanding', 'counter']</t>
  </si>
  <si>
    <t>['berulang', 'downlod', 'aplikasix', 'blom', 'terbukaaa', 'aaa', '']</t>
  </si>
  <si>
    <t>['', 'byr', 'tagihan', 'bbrp', 'poin', 'msuk', 'wktu', 'tukar', 'poin', 'dsuruh', 'byr', 'tagihn', 'hedeeeh', 'mcm', 'mna', 'tsel', 'tmbahkn', 'donk', 'fslts', 'mlmpirkn', 'foto', 'video', 'testimoni', 'apk', 'smua', 'lihat', 'spt', 'mslh', 'alami', 'plnggan', 'trllu', 'byk', 'program', 'utamakan', 'kualitas', 'layanan', 'dlu', 'deh', '']</t>
  </si>
  <si>
    <t>['aplikasi', 'membangongkan', 'abis', 'tukar', 'poin', 'aplikasi', 'buka', 'forced', 'close', 'trus', 'perbaiki', 'paoookkk']</t>
  </si>
  <si>
    <t>['bermanfaat', 'mudah']</t>
  </si>
  <si>
    <t>['login', 'susah', 'banget', 'signal', 'jakarta', 'selatan', 'halte', 'imigrasi', 'jelek', 'banget', 'signal', 'buruk', 'harga', 'meroket', 'signal', 'kaya', 'planet', 'burik', '']</t>
  </si>
  <si>
    <t>['kemarin', 'date', 'date', 'buka', 'apl', 'chat', 'veronika', 'bantu', 'udah', 'grapari', 'telkomsel', 'terdekat', 'bantu', '']</t>
  </si>
  <si>
    <t>['keren', 'bngt', 'promo', 'menarik', 'hadiah', 'hadiah', 'kalah', 'menarik', 'lupaa', 'download', 'teklomsel', 'okey', '']</t>
  </si>
  <si>
    <t>['tolong', 'disama', 'ratakan', 'paket', 'telkomsel', 'jagan', 'dibeda', 'bedakan', 'terimakasih', '']</t>
  </si>
  <si>
    <t>['habis', 'update', 'kacau', 'buka', 'update', 'bug', 'update', 'aplikasi', '']</t>
  </si>
  <si>
    <t>['aplikasi', 'bagus', 'banget']</t>
  </si>
  <si>
    <t>['poin', 'tudak', 'tukar', 'hadiah', 'diingin']</t>
  </si>
  <si>
    <t>['jaringa', 'ter', 'kuota', 'mahal', '']</t>
  </si>
  <si>
    <t>['kecewa', 'telkomsel', 'aplikasi', 'buka', 'masuk', 'tolong', 'perbaiki', 'kesalahan', 'sinyal', 'internet', 'bagus', 'mohon', 'tanggapi', 'telkomsel', 'kasih', 'kapa', '']</t>
  </si>
  <si>
    <t>['aplikasi', 'membantu', 'kebutuhan', 'memilih', 'paket', 'internet', 'promo', 'lainya', 'komen', '']</t>
  </si>
  <si>
    <t>['harga', 'paketan', 'masuk', 'akal', 'mahal', 'bangkrut', 'gimana', 'paketannya', 'mahal', 'banget']</t>
  </si>
  <si>
    <t>['mhon', 'maaf', 'telkomsel', 'bangga', 'telkomsel', 'jaringannya', 'menurun', 'stabil', 'ditambah', 'harga', 'paket', 'kalah', 'bersaing', 'provider', 'telkomsel', 'mahal', 'mahal', 'jaringan', 'oke', 'anggap', 'sepadan', 'skarang', 'menurun', 'hujan', 'dikit', 'kumat', 'lemot', 'gangguan', 'telkomsel', 'maju', 'kedepan', 'setia', 'kartu', 'telkomsel', 'semoga', 'lbih']</t>
  </si>
  <si>
    <t>['aplikasinya', 'error', 'halaman', 'muncul', '']</t>
  </si>
  <si>
    <t>['aplikasi', 'membantu', 'mudah', '']</t>
  </si>
  <si>
    <t>['berkali', 'dowload', 'hapus', 'gara', 'suka', 'error', 'dibuka', 'ayolah', 'telkom', '']</t>
  </si>
  <si>
    <t>['wau', 'membantu']</t>
  </si>
  <si>
    <t>['paket', 'mahal']</t>
  </si>
  <si>
    <t>['bagus', 'beget', 'jaringan', 'lemot', 'kouta', 'murah', 'seneng', 'banget', '']</t>
  </si>
  <si>
    <t>['telkomsel', 'juara', 'juara', '']</t>
  </si>
  <si>
    <t>['bang', 'paket', 'geme', 'beli', 'tolong', '']</t>
  </si>
  <si>
    <t>['perbanyak', 'bonus', 'kuota', 'gratisnya', '']</t>
  </si>
  <si>
    <t>['diperbarui', 'buka', 'putih', 'doang', 'layar', 'hpnya']</t>
  </si>
  <si>
    <t>['membantu', 'nyaman']</t>
  </si>
  <si>
    <t>['gampang', 'cari', 'pulsa']</t>
  </si>
  <si>
    <t>['sayang', 'jaringan', 'internet', 'mengalami', 'kemunduran']</t>
  </si>
  <si>
    <t>['mempersulit']</t>
  </si>
  <si>
    <t>['update', 'mudah', 'gampang', 'praktis', 'kebutuhan', 'update', 'kbuka', 'salah', 'versinya']</t>
  </si>
  <si>
    <t>['sms', 'verifikasi', 'masuk', 'app', 'boborok']</t>
  </si>
  <si>
    <t>['jaringannya', 'tolong', 'diperbaiki', 'masuk', 'era', 'digitalisasi', 'jaringan', 'jelek']</t>
  </si>
  <si>
    <t>['sinyal', 'bukittinggi', 'kecamatan', 'baso', 'jelek', 'telkomsel', 'jelek', 'tolong', 'perbaiki', 'spesifik', 'sinyal', 'jelek', 'cari', '']</t>
  </si>
  <si>
    <t>['bagusss', 'mantap', 'mudah']</t>
  </si>
  <si>
    <t>['terbaik', 'memudahkan']</t>
  </si>
  <si>
    <t>['telkomsel', 'skrg', 'lemot', 'jir', 'kek', 'uler', 'keket', 'mna', 'paket', 'data', 'trs', 'gda', 'perbaikan', 'pda', 'pindah', 'sebelah', 'jaringan', 'bagus', 'data', 'murah', 'hadeh', 'payah', 'telkomsel', '']</t>
  </si>
  <si>
    <t>['kali', 'ndak', 'jls', 'lamban', 'aplikasi', 'buka', 'aduuuhh']</t>
  </si>
  <si>
    <t>['muara', 'jaya', 'caringin', 'bogor', 'gnya', 'lelet']</t>
  </si>
  <si>
    <t>['signal', 'bagus']</t>
  </si>
  <si>
    <t>['konsumen', 'dipaksa', 'beli', 'paketan', 'mahal', 'murah', 'sengaja', 'dimunculkan', 'menu', 'beli', 'murah', 'beli', 'paket', 'darurat', 'merugikan', 'konsumen']</t>
  </si>
  <si>
    <t>['udah', 'beli', 'kartu', 'sakti', 'pas', 'paket', 'sakti', 'ilang']</t>
  </si>
  <si>
    <t>['aplikasi', 'susah', 'dibuka', 'sinyal', 'bagus', 'terbuka', 'semoga', 'diperbaiki', 'versi', 'terbaru', '']</t>
  </si>
  <si>
    <t>['dibuka', '']</t>
  </si>
  <si>
    <t>['kasii', 'bintang', 'karna', 'bingung', 'telkom', 'beli', 'kuota', 'poin', 'jaringan', 'sibuk', 'tolong', 'coba', 'kenapaaaa', 'yaa', 'jaringan', 'bagus', 'tolong', 'minn', 'bantu', 'yaa']</t>
  </si>
  <si>
    <t>['beli', 'data', 'giga', 'jarang', 'pakai', 'krna', 'rumah', 'wifi', 'bener', 'masak', 'sehari', 'habis', 'giga', 'youtube', 'wifi', 'rumah', 'wifi', 'rumah', 'wifi', 'rumah', 'cmn', 'wktu', 'dluar', 'cmn', 'hbs', 'giga', 'kyk', 'hrs', 'beralih', 'provider', '']</t>
  </si>
  <si>
    <t>['promo', 'menarik']</t>
  </si>
  <si>
    <t>['mudah', 'nyaman']</t>
  </si>
  <si>
    <t>['kecewa', 'telkomsel', 'ceritanya', 'gini', 'pulsa', 'transfer', 'tman', 'sya', 'sehabis', 'tansfer', 'pulsa', 'cek', 'pulsa', 'tpi', 'sisa', 'pulsa', 'nanya', 'kostumer', 'telkomsel', 'kerja']</t>
  </si>
  <si>
    <t>['beli', 'kuota', 'buka', 'aneh', 'banget', 'aplikasi']</t>
  </si>
  <si>
    <t>['telkomsel', 'babi', 'kartu', 'dajal', 'ngeleg', 'parah', 'beli', 'kouta', 'ngeleg', 'parah', 'trauma', 'gue', 'beli', 'kartu', 'telkomsel', 'dajal']</t>
  </si>
  <si>
    <t>['dasar', 'telkomsel', 'berguna', 'paket', 'mahal', 'sinyal', 'kayak', 'jelek', '']</t>
  </si>
  <si>
    <t>['suka', 'kuota', 'habis', 'ambil', 'pulsa', 'jadikan', 'kuota', 'merugikan', 'menyalakan', 'data', 'rb', 'sedot', 'aneh']</t>
  </si>
  <si>
    <t>['ambil', 'unlimited', 'youtube', 'brgerak', 'nyh', 'kaya', 'leg']</t>
  </si>
  <si>
    <t>['aplikasinya', 'susah', 'buka', '']</t>
  </si>
  <si>
    <t>['telkomsel', 'terpecaya', 'kalangan', 'masyarakat', 'bisnis']</t>
  </si>
  <si>
    <t>['', 'aplikasi', 'paket', 'internetnya', 'mahal', 'aplikasi', 'orang', 'telkomsel', 'murah', 'mohon', 'tindak', 'lanjuti', '']</t>
  </si>
  <si>
    <t>['paket', 'sbelumnya', 'murah', 'khok', 'mahal', '']</t>
  </si>
  <si>
    <t>['bagus', 'dech', 'bnyk', 'manfaat', 'dpt', 'dri', 'aplikasi', 'mudah', 'krna', 'keterangan', 'bgd', '']</t>
  </si>
  <si>
    <t>['jaringannya', 'dimana']</t>
  </si>
  <si>
    <t>['not', 'gud', 'sinyalnya', 'parah', 'hujan']</t>
  </si>
  <si>
    <t>['php', 'pulsa', 'rb']</t>
  </si>
  <si>
    <t>['apk', 'buka', 'lancar']</t>
  </si>
  <si>
    <t>['telkomsel', 'stabil', 'dibagian', 'jaringan', 'ditambah', 'paket', 'koutanya', 'mahal', 'mahal', 'smp', 'pakai', 'telkomsel', 'mohon', 'perbaiki', 'kurangi', 'harga', 'kouta', 'internetnya', '']</t>
  </si>
  <si>
    <t>['coba', 'update', 'mytelkomsel', 'login', 'layar', 'langsung', 'full', 'putih', 'langsung', 'error', 'terkeluar', 'aplikasi', 'tolong', 'diperbaiki']</t>
  </si>
  <si>
    <t>['wilayah', 'kota', 'maju', 'bnyk', 'penduduk', 'kualitas', 'jaringan', 'internetny', 'buruk', 'ntah', 'karna', 'ngerti', 'jaringan']</t>
  </si>
  <si>
    <t>['bagus', 'membantu', '']</t>
  </si>
  <si>
    <t>['knpa', 'stelah', 'update', 'dibuka', 'wooy']</t>
  </si>
  <si>
    <t>['', 'versi', 'bagus', 'cepet', 'aksesnya', 'update', 'buka', 'aplikasinya']</t>
  </si>
  <si>
    <t>['membantu', 'memudahkan', 'mantappp']</t>
  </si>
  <si>
    <t>['', 'kak', 'nanya', 'knp', 'kak', 'telkomsel', 'buka', 'akun', 'login', 'tolong', 'kak', 'telkomsel', 'perbaiki', 'kak']</t>
  </si>
  <si>
    <t>['aplikasinya', 'buka', 'kontooool']</t>
  </si>
  <si>
    <t>['hrus', 'lbih', 'hrpn', 'sya', 'jringn']</t>
  </si>
  <si>
    <t>['habis', 'diupdate', 'dibuka', 'aplikasinya', '']</t>
  </si>
  <si>
    <t>['sinyal', 'tolol', 'harga', 'mahal', 'pulsa', 'kepotong', 'pelayanan', '']</t>
  </si>
  <si>
    <t>['telkomsel', 'bagus', 'apl', 'lancar', 'internet', 'lancar', '']</t>
  </si>
  <si>
    <t>['sinyal', 'telkomsel']</t>
  </si>
  <si>
    <t>['kecewa', 'aplikasi', 'mendadak', 'dibuka', 'diaplud', 'dibuka']</t>
  </si>
  <si>
    <t>['', 'knp', 'buka']</t>
  </si>
  <si>
    <t>['versi', 'app', 'lemot', 'buka', 'nguras', 'kouta']</t>
  </si>
  <si>
    <t>['izin', 'membantu', 'rekan', 'pengguna', 'telkomsel', 'gangguan', 'layar', 'blank', 'putih', 'buka', 'aplikasi', 'saran', 'hubungi', 'telkomsel', 'via', 'email', 'keluhan', 'balasan', 'email', 'lakukan', 'instalasi', 'aplikasi', 'telkomsel', 'lihat', 'blsn', 'email', 'tsbt', 'lakukan', 'berhasil', 'kedepannya', 'update', 'aplikasi', 'telkomsel', 'play', 'store', 'semoga', 'membantu', 'rekan', 'terimakasih']</t>
  </si>
  <si>
    <t>['dlu', '']</t>
  </si>
  <si>
    <t>['poinku', 'hilang', 'harga', 'mahal', 'kualitas', 'axis']</t>
  </si>
  <si>
    <t>['aplikasi', 'buka', 'layar', 'berwarna', 'putih', 'mulu']</t>
  </si>
  <si>
    <t>['gila', 'aplikasi', 'kali', 'beli', 'paket', 'data', 'ovo', 'kesedot', 'paket', 'data', 'masuk', 'aplikasi', 'kaya', 'maling']</t>
  </si>
  <si>
    <t>['mohon', 'lbih', 'tingkat', 'kualitas', 'mati', 'lampu']</t>
  </si>
  <si>
    <t>['sederhana', 'membantu', '']</t>
  </si>
  <si>
    <t>['aplikasi', 'berguna', 'membantu', 'mantaaap', '']</t>
  </si>
  <si>
    <t>['sinyal', 'skrng', 'jelek', 'banget', 'udah', 'mah', 'paket', 'mahal']</t>
  </si>
  <si>
    <t>['', 'bagus', 'buka', 'parahhh', 'lbh', 'mlh']</t>
  </si>
  <si>
    <t>['paketan', 'internet', 'mahal', 'kualitas', 'jaringan', 'kayak', 'provider', 'alay', 'alasannya', 'digigit', 'hiu', 'digigit', 'pliosaurus', 'bngt', 'gangguan', 'berulang', 'copot', 'divisi', 'terkait', 'ganti', 'lbh', '']</t>
  </si>
  <si>
    <t>['', 'dpt', 'sms', 'promo', 'telkomsel', 'smsnya', 'pulsa', 'telkomsel', 'ribu', 'download', 'login', 'aplikasi', 'tsel', 'tsel', 'mel', 'download', 'dapatkan', 'pulsanya', 'promo', 'des', 'download', 'pulsanya', 'dpt', 'pulsa', 'pulsanya', 'update', 'telkomselnya', 'kota', 'kite', 'kesedok', 'parah', '']</t>
  </si>
  <si>
    <t>['woyyyyy', 'gua', 'unlimited', 'kuota', 'dikuras', 'kuota', 'utama', 'gua', 'telkomsel', 'sistemnya', 'bego', 'banget', 'rugi', 'gimana', 'emg', 'gamau', 'rugi', 'gausah', 'adain', 'paket', 'unlimited']</t>
  </si>
  <si>
    <t>['operator', 'telkomsel', 'pelayanan', 'buruk', 'harga', 'paketan', 'mahal', 'trus', 'fitur', 'kunci', 'pulsa', 'habis', 'kuota', 'internet', 'pulsa', 'regular', 'terpotong', 'habis', 'tolong', 'hadirkan', 'fitur', 'operator', 'dibdaerah', 'jaringan', 'pakai', 'telkomsel', 'terimakasih', '']</t>
  </si>
  <si>
    <t>['aplikasi', 'telkomsel', 'dibuka', 'instal', 'ulang', '']</t>
  </si>
  <si>
    <t>['ayolah', 'dapet', 'pulsa', 'jt', 'udah', 'tukar', 'poin', 'ttep', 'dapet', '']</t>
  </si>
  <si>
    <t>['yth', 'telkomsel', 'komplain', 'telkomsel', 'jaringanmu', 'cepat', 'memakai', 'telkomsel', 'jaringan', 'buruk', 'habis', 'pikir', 'harga', 'paket', 'dinaikan', 'telat', 'dikit', 'ngisi', 'paket', 'pulsa', 'habis', 'kesedot', 'salah', 'perusahaan', 'sebelah', 'emang', 'perbaiki', '']</t>
  </si>
  <si>
    <t>['gue', 'mah', 'bingung', 'telkomsel', 'aplikasi', 'lemot', 'sinyal', 'lemot', 'mahal', 'bertahan', 'kontak']</t>
  </si>
  <si>
    <t>['kecewa', 'apk', 'bagus', 'jelak', 'updet', 'mlh', 'nggak', 'buka', 'knp', 'tolong', 'perbaru']</t>
  </si>
  <si>
    <t>['buruk', 'parah', 'paketan', 'mahal', 'sinyal', 'buruk', 'rugi']</t>
  </si>
  <si>
    <t>['senang', 'pembelian', 'pulsa', 'slalu', 'poin', 'lansung', 'ditukar', '']</t>
  </si>
  <si>
    <t>['ngelek', 'beli', 'paket']</t>
  </si>
  <si>
    <t>['signal', 'bagus', 'cuman', 'harga', 'paket', '']</t>
  </si>
  <si>
    <t>['tolong', 'jaringannya', 'perbaiki', 'beli', 'paket', 'pulsa', 'jaringan', 'bagus']</t>
  </si>
  <si>
    <t>['aplikasinya', 'bagus', 'tpi', 'update', 'dibuka', 'scren', 'putih', 'mohon', 'bantuannya']</t>
  </si>
  <si>
    <t>['unggul', 'sinyal']</t>
  </si>
  <si>
    <t>['efektif', 'cepat', 'terimakasih']</t>
  </si>
  <si>
    <t>['maaf', 'mengasih', 'bintang', 'pas', 'masuk', 'aplikasinya', 'coba', 'download', 'ulang', 'bkl', 'kasih', 'bintang', '']</t>
  </si>
  <si>
    <t>['transaksi', 'mudah', 'murah', 'aplikasi', 'telkomsel', '']</t>
  </si>
  <si>
    <t>['paketnya', 'nguntungin', 'pelanggan', 'murah', 'aktif', 'pendek', 'murah', 'teramat', 'kecewa', '']</t>
  </si>
  <si>
    <t>['apk', 'jelek', 'tukar', 'poin', 'slalu', 'alasan', 'gangguan', 'kecewa']</t>
  </si>
  <si>
    <t>['pakai', 'telkomsel']</t>
  </si>
  <si>
    <t>['simpel', 'penggunannya']</t>
  </si>
  <si>
    <t>['selamat', 'siang', 'operator', 'telkomsel', 'apk', 'telkomsel', 'berguna', 'login', 'gangguan', 'halaman', 'pembelian', 'halaman', 'login', 'udah', 'coba', 'berkali', 'kali', 'membeli', 'paket', 'data', 'apk', 'butuh', 'paket', 'disney', 'hotstar']</t>
  </si>
  <si>
    <t>['semoga', 'jaya', 'angkasa']</t>
  </si>
  <si>
    <t>['telkomsel', 'bnyk', 'menjebak', 'pelanggan']</t>
  </si>
  <si>
    <t>['transfer', 'kuotanya', 'gimna', '']</t>
  </si>
  <si>
    <t>['keren', 'cpt', 'murah', 'makach']</t>
  </si>
  <si>
    <t>['aplikasinya', 'bagus', 'reconnect', 'tolong', 'sinyalnya', 'diperbaikin', 'kesel', 'bat', 'kota', 'lelet', 'banyakin', 'promo', 'mahal', 'paketnya', 'bos', 'kapitalis']</t>
  </si>
  <si>
    <t>['ttap', 'layanan']</t>
  </si>
  <si>
    <t>['komplen', 'telkomsel', 'jaringan', 'jaringan', 'data', 'berkedip', 'kedip', 'lampu', 'peringatan', 'jaringan', 'data', 'coba', 'emosi', 'udah', 'paket', 'mahal', 'tpi', 'puas', 'makenya', 'aktif', 'berkurang', 'lokasi', 'hutagodang', 'sumatera', 'utara', 'kecamatan', 'ulupungkut', 'kab', 'mandailing', 'natal', 'coba', 'kontrol', 'donk', 'trimakasih']</t>
  </si>
  <si>
    <t>['mantap', 'kadang', 'sinyal', 'jelek', 'papa']</t>
  </si>
  <si>
    <t>['bohong', 'harga', 'paket']</t>
  </si>
  <si>
    <t>['membantu', 'pisan']</t>
  </si>
  <si>
    <t>['bintang', 'sinyal', 'telkomsel', 'daerah', 'lampung', 'jelek', 'jelek', 'tolong', 'luaskan', 'daerah', 'jangkauan', 'sinyal']</t>
  </si>
  <si>
    <t>['membantu', 'dlm', 'bertelekomuni', 'sasi', 'sehari', '']</t>
  </si>
  <si>
    <t>['mahal', 'sinyal', 'internet', 'nggak', 'stabil', '']</t>
  </si>
  <si>
    <t>['tolong', 'kak', 'apk', 'mytelkomsel', 'upload', 'buka', 'tolong', 'perbaiki']</t>
  </si>
  <si>
    <t>['ajg', 'babi', 'ngtit', 'gua', 'main', 'ajg', 'ngeleg', 'ajg']</t>
  </si>
  <si>
    <t>['kuota', 'mhal', 'tpi', 'jaringan', 'lelotnya', 'mnta', 'ampun']</t>
  </si>
  <si>
    <t>['pakai', 'telkomsel', 'jaringan', 'namanya', 'perusahaan', 'ambil', 'untung', 'gimana', 'gajih', 'kariawan', 'rugi']</t>
  </si>
  <si>
    <t>['layanan', 'mantap']</t>
  </si>
  <si>
    <t>['mantap', 'kasi', 'promo', 'menarik']</t>
  </si>
  <si>
    <t>['paket', 'makasih', '']</t>
  </si>
  <si>
    <t>['mantapppp', 'terbaik']</t>
  </si>
  <si>
    <t>['jangkauan', 'pengguna']</t>
  </si>
  <si>
    <t>['', 'berterima', 'kasih', 'pelayanan', 'telkomsel', 'khusus', 'jaringan', 'signal', 'memuaskan', 'belasan', 'keluarga', 'telkomsel', 'bermasalah', 'jaringannya', 'apapun', 'dilayani', 'grapari', 'rekomendasikan', 'kpd', 'saudara', 'teman', 'kerabat', 'keluhan', 'mrk', 'provider', 'produk', 'telkomsel', 'terima', 'kasih', 'telkomsel', '']</t>
  </si>
  <si>
    <t>['aplikasinya', 'susah', 'masuk', 'masuk', 'kecewa', 'mytelkomsel', '']</t>
  </si>
  <si>
    <t>['huka', 'aplikasi', 'galxy', 'core', 'cari', 'lite', 'solusinya', 'kak', 'udh', 'reinstall', 'kali', 'restart', 'hape', 'udh', 'clear', 'chace', 'udh', 'aplikasinya', 'stuck', 'whitescreen', '']</t>
  </si>
  <si>
    <t>['telkom', 'knp', 'ngeleg', 'pindah', 'kartu', 'ngeleg', 'mulu']</t>
  </si>
  <si>
    <t>['buka', 'payah']</t>
  </si>
  <si>
    <t>['jatuh', 'tempo', 'tgl', 'isi', 'kuota', 'ato', 'apapun', 'tgl', 'bah', 'mank', 'budget', 'tlg', 'susahkan', 'percaya', 'kasih', 'limit', 'profesional', 'terima', 'kasih', '']</t>
  </si>
  <si>
    <t>['aplikasi', 'mengecewakan', 'bagus', 'buruk', '']</t>
  </si>
  <si>
    <t>['bagus', 'apli', 'berguna', 'cek', 'paket', 'data', 'pulsa', 'mudah', 'cek', 'paket', 'data', 'repot', 'untu', 'mengetik', 'tombol', 'angka', 'terimakasih', 'mytelkomsel', '']</t>
  </si>
  <si>
    <t>['paket', 'murah', 'dihilangkan']</t>
  </si>
  <si>
    <t>['jaringan', 'bagus', 'lancar', 'bxk', 'promonya', '']</t>
  </si>
  <si>
    <t>['josss', 'boong', 'habis', 'upgrade', 'telkomsel', 'dibuka', 'ndak', 'masuk', 'akal', 'suruh', 'upgrade', 'eror']</t>
  </si>
  <si>
    <t>['tolong', 'diperbaiki', 'telkomsel']</t>
  </si>
  <si>
    <t>['knp', 'telkomsel', 'error']</t>
  </si>
  <si>
    <t>['baguss', 'bangetttt', 'promonyaaa', '']</t>
  </si>
  <si>
    <t>['knp', 'stelah', 'update', 'malh', 'buka', 'app', '']</t>
  </si>
  <si>
    <t>['hallo', 'admin', 'telkomsel', 'kuota', 'multimedia', 'aplikasi', 'beli', 'kuota', 'reguler', 'multimedia', 'youtube', 'kuota', 'reguler', 'terpotong', 'sekrang', 'kuota', 'reguler', 'multimedia', 'utuh', 'dipakai', 'pakai', 'limited', 'kbps', 'lampirin', 'screen', 'shot', 'kuota', 'utuh', 'multimedia', 'skali', 'dipakai', 'main', 'game', 'youtube']</t>
  </si>
  <si>
    <t>['erorr', 'iya', 'beli', 'pagi', 'truss', 'ngga', 'peringatan', 'telkomsel', 'bawasannya', 'kuota', 'habis', 'truss', 'make', 'dikit', 'udah', 'banget', 'habis', 'jaringannya', 'rusak', 'parah', 'anjj']</t>
  </si>
  <si>
    <t>['telkomsel', 'semoga', 'kerja', 'telkomsel', 'canda']</t>
  </si>
  <si>
    <t>['jaringan', 'kxa', 'ttaaii', 'ssss', 'uuuu', 'nyesel', 'beli', 'kartu', 'kxa', 'kau', 'bbeeggo']</t>
  </si>
  <si>
    <t>['sumpah', 'jaringan', 'buruk', 'banget', 'deh', 'makai', 'tsel', 'ganggu', 'aktivitas']</t>
  </si>
  <si>
    <t>['ribet', 'aplikasinya', 'masuk', 'susah', 'langganan', '']</t>
  </si>
  <si>
    <t>['pembelian', 'pulsa', 'paket', 'data', 'mudah']</t>
  </si>
  <si>
    <t>['sagat', 'membantu', 'dipertimbangkan', 'bonus', 'promo', 'penggunanya', 'sukses']</t>
  </si>
  <si>
    <t>['aplikasi', 'mytelkomsel', 'dibuka', '']</t>
  </si>
  <si>
    <t>['sebulan', 'update', 'aplikasi', 'buka', 'blank', 'white']</t>
  </si>
  <si>
    <t>['beli', 'paket', 'masuknya', 'banget', '']</t>
  </si>
  <si>
    <t>['tlkmsel', 'beli', 'kuota', 'mahal', 'jaringan', 'kek', 'bi', 'trus', 'kadang', 'suka', 'kek', 'buka', 'pdhl', 'kuota', 'bnyak', 'semenjak', 'adanih', 'jringn', 'jdi', 'lag', 'bnget', 'emng']</t>
  </si>
  <si>
    <t>['cmn', 'pindah', 'telkomsel', 'msi', 'pls', 'perbaiki', 'trimksh', '']</t>
  </si>
  <si>
    <t>['sinyalnya', 'jelek', 'pindah', 'kartu', 'paket', 'murah', 'sinyal', 'jelek', 'banget', 'tolong', 'diperbaiki', 'sinyalnya']</t>
  </si>
  <si>
    <t>['tingkatkan', 'kualitas', 'jaringanya', 'perbanyak', 'promo', 'morahnya', 'jaya', 'telkomsel']</t>
  </si>
  <si>
    <t>['fiturnya', 'sngat', 'lengkap', 'dapet', 'undiannya', 'dpt']</t>
  </si>
  <si>
    <t>['jaringan', 'kali', 'hilang', 'susah', 'kerja', 'banget', 'tolong', 'telkomsel', 'periksa', 'anggap', 'sepele', 'merusak', 'citra', 'telkomsel', 'terkenal', 'jaringan', 'nusantara', '']</t>
  </si>
  <si>
    <t>['aplikasi', 'lumayan', 'sinyal', 'jelek', 'rugi', 'udah', 'beli', 'mahal', 'mahal', 'lag', 'parah']</t>
  </si>
  <si>
    <t>['aplikasi', 'buka', 'blank', 'layar', 'putih']</t>
  </si>
  <si>
    <t>['opsi', 'bayar', 'pilihan']</t>
  </si>
  <si>
    <t>['harga', 'naek', 'mulu', 'beli', 'paket', 'kuota', 'paket', 'telpon', 'trus', 'paket', 'combo', 'sakti', 'kuota', 'internetnya', 'duluan', 'abis', 'kuota', 'medsos', 'habis', 'kuota', 'internetnya', 'udah', 'terhenti', 'internetnya', 'kuotanya', '']</t>
  </si>
  <si>
    <t>['apk', 'apanih', 'beli', 'paket', 'kuota', 'proses', 'proses']</t>
  </si>
  <si>
    <t>['lupa', 'bahagia', '']</t>
  </si>
  <si>
    <t>['murahin', 'paket', 'internet', 'nelpon']</t>
  </si>
  <si>
    <t>['bagus', 'skrng', 'skrng', 'dibuka', 'aplikasinya', 'kecewaa', 'banget']</t>
  </si>
  <si>
    <t>['buka', 'apk', 'wew']</t>
  </si>
  <si>
    <t>['bayar', 'transaksi', 'google', 'play', 'store', 'saldo', 'mlulu', 'pdhl', 'saldonya', 'serakah', 'banget', 'telkomsel', 'maunya', 'saldo', 'bnyk', '']</t>
  </si>
  <si>
    <t>['nomor', 'paketnya', 'mahal', 'aplikasi', 'telkom', 'aplikasi', 'telkom', 'suami', 'promo', 'murah', 'gb', 'cuman', 'rb', 'aplikasi', 'telkom', 'gb', 'rb', 'nomor', 'telkomsel', 'drpd', 'suami', '']</t>
  </si>
  <si>
    <t>['apk', 'telkomsel', 'dibuka', '']</t>
  </si>
  <si>
    <t>['udh', 'perbaharui', 'berulang', 'mala', 'dibuka', 'habis', 'pakai', '']</t>
  </si>
  <si>
    <t>['senang', 'promo', 'telkomsel']</t>
  </si>
  <si>
    <t>['mohon', 'maaf', 'harga', 'masanya', 'jdi', 'hri', 'tanggung', 'broo', 'napa', 'harga', 'naggung', 'yaelahh', 'asalnya', 'masanya', 'aneh', 'ajaa', 'update']</t>
  </si>
  <si>
    <t>['diupdate', 'dibukaaaa', '']</t>
  </si>
  <si>
    <t>['puas', 'memvantu']</t>
  </si>
  <si>
    <t>['apk', 'terbuka']</t>
  </si>
  <si>
    <t>['setahun', 'jaringan', 'bagus', 'mengecewakan', 'kalah', 'smartfren', 'emosi', 'pengin', 'beralih']</t>
  </si>
  <si>
    <t>['', 'aplikasi', 'berguna']</t>
  </si>
  <si>
    <t>['udah', 'bagus', 'cuman', 'sinyal', 'jaringan', 'telkomsel', 'hilang']</t>
  </si>
  <si>
    <t>['user', 'telkomsel', '']</t>
  </si>
  <si>
    <t>['kuota', 'butuh', 'bulanan', 'murah', '']</t>
  </si>
  <si>
    <t>['tolong', 'depelover', 'telkomsel', 'bermain', 'game', 'jaringan', 'selesai', 'bermain', 'game', 'gimana', 'didaerah', 'pandeglang', 'banten', 'jujur', 'puas', 'jaringan', 'telkomsel', 'tolong', 'diperbaiki', 'pribadi', 'sedkit', 'kecewa']</t>
  </si>
  <si>
    <t>['busuk', 'buka', 'aplikasi', 'paketan', 'mahal', 'aplikasi', 'busuk', 'skali', 'dibuka', 'lemot', 'ampun', 'sinyal', 'full', 'payah', '']</t>
  </si>
  <si>
    <t>['tolong', 'sinyal', 'telkomsel', 'daerah', 'kota', 'serang', 'banten', 'tepatnya', 'dilink', 'curugmanis', 'kel', 'curug', 'kec', 'curug', 'diperbaiki', 'perhatiannya', 'terima', 'kasih']</t>
  </si>
  <si>
    <t>['bintang', 'aplikasi', 'loadingnya', 'masuk', 'menu', 'utama', 'harap', 'diperbaharui', 'berat', 'dibuka']</t>
  </si>
  <si>
    <t>['diperbarui', 'dibuka', 'apkikasiny']</t>
  </si>
  <si>
    <t>['murah', 'beli', 'kuota', '']</t>
  </si>
  <si>
    <t>['nubbbb', 'apk']</t>
  </si>
  <si>
    <t>['gabisa', 'dibuka', 'aplikasi', 'hei', 'isi', 'ulang', 'paket', 'gabisa']</t>
  </si>
  <si>
    <t>['jaringan', 'lelet', 'kadang', 'menghilang', 'aneh']</t>
  </si>
  <si>
    <t>['telkomsel', 'berminggu', 'minggu', 'mengakses', 'telkomsel', 'layar', 'putih', 'memprihatinkan', 'kecewa', 'kecewa', '']</t>
  </si>
  <si>
    <t>['ndk', 'buka', 'aplikasi', 'aplikasi', 'mytelkomsel', 'update', 'mlah', 'bagus', 'ndk', 'dibuka']</t>
  </si>
  <si>
    <t>['tambahkan', 'mode', 'pembayaran', 'via', 'bank', 'tambahkan', 'bintang', '']</t>
  </si>
  <si>
    <t>['aplikasi', 'harapan', 'masuk', 'menu', 'login', 'tolong', 'mytelkomsel', 'kaya', 'balikin', 'rekomend', 'bangatt', '']</t>
  </si>
  <si>
    <t>['pecinta', 'tsel', 'sinyal', 'lancar', 'dimana', 'jelek', 'game', 'koneksi', 'putus', 'tolong', 'diperbaiki', 'jaringan']</t>
  </si>
  <si>
    <t>['parah', 'nggk', 'buka', '']</t>
  </si>
  <si>
    <t>['bukaaaaaaaaaaaaa']</t>
  </si>
  <si>
    <t>['memuaskan', 'kedepan', 'harap', 'meningkatkan', 'kualitas', 'koneksi', 'sinyal', 'daerah', 'terpencil']</t>
  </si>
  <si>
    <t>['aplikasi', 'susah', 'dibuka']</t>
  </si>
  <si>
    <t>['apliksanya', 'buka', '']</t>
  </si>
  <si>
    <t>['mahal', 'paketan']</t>
  </si>
  <si>
    <t>['sengat', 'membatu']</t>
  </si>
  <si>
    <t>['', 'redmi', 'note', 'instal', 'app', '']</t>
  </si>
  <si>
    <t>['murah', 'cocok', '']</t>
  </si>
  <si>
    <t>['sinyal', 'sulit', '']</t>
  </si>
  <si>
    <t>['bintang', 'tarif', 'paket', 'data', 'pengguna', 'mahal', '']</t>
  </si>
  <si>
    <t>['gabung', 'aplikasi', 'lok', 'bagus', 'bintangnya']</t>
  </si>
  <si>
    <t>['beli', 'paket', 'gampang', 'murahhh']</t>
  </si>
  <si>
    <t>['pokona', 'pelayanan', 'terbaik']</t>
  </si>
  <si>
    <t>['payah', 'simpati', 'payah', 'ganguan', 'tolong', 'perbaiki', 'gangguan', 'udh', 'gitu', 'jaringan', 'payah', 'kouta', 'kaya', 'kouta', 'rugi', 'udh', 'ngisi', 'pulsa', 'gede', 'ngabisin', 'duit', 'doang', 'gangguan', 'tolong', 'perbaiki', 'lgi', 'diem', 'kecewa']</t>
  </si>
  <si>
    <t>['paket', 'gb', 'ribu', 'paketannya', 'mahal', 'mahal']</t>
  </si>
  <si>
    <t>['oke', 'mantap', 'aplikasi']</t>
  </si>
  <si>
    <t>['perjalanan', 'telkomsel', 'kemudahan', 'menu', 'program', 'smg', 'thn', 'dpn', 'bagus', '']</t>
  </si>
  <si>
    <t>['pelayanan', 'bagus', 'next', 'bagus', '']</t>
  </si>
  <si>
    <t>['pas', 'kantong']</t>
  </si>
  <si>
    <t>['kecewa', 'udah', 'beli', 'paket', 'giganet', 'ditambah', 'paket', 'perpanjang', 'aktif', 'pas', 'beli', 'tulisannya', 'sistem', 'sibuk', 'server', 'dll', 'beli', 'kuota', 'ketengan', 'pengen', 'bangkrut', 'kah', 'tolong', 'telkomsel', 'paket', 'dibeli', 'dicantumkan', 'aplikasi', 'ketipu', '']</t>
  </si>
  <si>
    <t>['login', 'susah']</t>
  </si>
  <si>
    <t>['isi', 'pulsa', 'berkurang', 'rupiah', '']</t>
  </si>
  <si>
    <t>['sinyal', 'jelek', 'parah', 'ping', 'gilaaaa', 'paketan', 'mahal', 'sinyal', 'stabil']</t>
  </si>
  <si>
    <t>['harga', 'paketan', 'udh', 'sinyal', 'putus', 'nyambung', 'hadeeh', '']</t>
  </si>
  <si>
    <t>['gimana', 'semenjak', 'update', 'versi', 'dibuka', 'boro', 'boro', 'beli', 'app', 'ikutan', 'promo', 'blank', 'layar', 'putih', 'polos']</t>
  </si>
  <si>
    <t>['mantap', 'melayani', 'segenap', 'hati']</t>
  </si>
  <si>
    <t>['mudah', 'cepat', 'terima', 'kasih']</t>
  </si>
  <si>
    <t>['menyediakan', 'kota', 'sesuai', 'kebutuhan', 'kali', 'pilihan', 'paketnya', 'makiiin', 'pusing', '']</t>
  </si>
  <si>
    <t>['dibuka', 'sekrang', 'edit', 'ulasnnya']</t>
  </si>
  <si>
    <t>['mantap', 'improvisasi', 'pengembangan', '']</t>
  </si>
  <si>
    <t>['bukaaaa', 'mahal', 'doang', 'jaringan', 'asuuu', 'maen', 'doang', 'ngelag', 'ampun']</t>
  </si>
  <si>
    <t>['sinyal', 'bagus', 'ganti', 'instal', 'tampil', 'blenk', 'putih', 'tolonh', 'bantu']</t>
  </si>
  <si>
    <t>['suka', 'pakai', 'telkomsel', 'terkadang', 'menjegkelkan', '']</t>
  </si>
  <si>
    <t>['membantu', 'jaringan', 'jga', 'stabil']</t>
  </si>
  <si>
    <t>['maaf', 'aplikasi', 'dibuka', 'betah', 'pakai', 'telkomsel', 'buruk', 'pulsa', 'data', 'internet', 'mahal', '']</t>
  </si>
  <si>
    <t>['knapa', 'ngk', 'buka', 'telkomsel', 'sinyap', 'bagus', 'telkom']</t>
  </si>
  <si>
    <t>['mantap', 'telkomselnya', 'ngga', 'muncul']</t>
  </si>
  <si>
    <t>['jaringan', 'stabil', 'sinyal', '']</t>
  </si>
  <si>
    <t>['buruk', 'sampah', 'sinyal', 'stabil', '']</t>
  </si>
  <si>
    <t>['update', 'dibuka', '']</t>
  </si>
  <si>
    <t>['telkomsel', 'signal', 'kuat', 'promonya']</t>
  </si>
  <si>
    <t>['kecewa', 'gua', 'telkomsel', 'jaringan', 'ngelek', 'mulu', 'rumah', 'gua', 'pemancar', 'data', 'gua', 'bangat', 'tolong', 'bantu', 'trimakasih', '']</t>
  </si>
  <si>
    <t>['proses', 'pembelian', 'simple', 'cepat', 'mantap', 'deh', 'nice', 'telkomsel']</t>
  </si>
  <si>
    <t>['tolong', 'min', 'sekian', 'pakai', 'mytelkomsel', 'dibuka', 'berulang', 'kali', 'diinstal', 'ulang', '']</t>
  </si>
  <si>
    <t>['bagus', 'promonya', 'bagus']</t>
  </si>
  <si>
    <t>['', 'udah', 'instal', 'berkali', 'kali', 'buka', 'aplikasi', 'blank', 'buka']</t>
  </si>
  <si>
    <t>['kesini', 'sinyal', 'parah', 'lemot', '']</t>
  </si>
  <si>
    <t>['info', 'pelanggan', 'telkomsel', 'aplikasi', 'bukak', 'saranin', 'download', 'aplikasi', 'versi', 'google', 'chrome', 'cari', 'aplikasi', 'telkomsel', 'versi', 'september', 'oktober', 'terima', 'kasih', '']</t>
  </si>
  <si>
    <t>['mahal', 'banget', 'paketnye', 'pelanggan', 'telkomsel', 'udh', 'bertahun', '']</t>
  </si>
  <si>
    <t>['mantapp', 'mudah']</t>
  </si>
  <si>
    <t>['bantu', 'tukar', 'poin', 'diamond', 'mobile', 'legend']</t>
  </si>
  <si>
    <t>['diupdate', 'anccooorrr', 'dibuka']</t>
  </si>
  <si>
    <t>['bagusss', 'lancarrr']</t>
  </si>
  <si>
    <t>['suka', 'enak', 'lancar']</t>
  </si>
  <si>
    <t>['mengecewakan', 'apk', 'skarng']</t>
  </si>
  <si>
    <t>['kuota', 'mahal', 'pulsa', 'mahal', 'signal', 'lemot', '']</t>
  </si>
  <si>
    <t>['senang', 'telkomsel', 'prosesnya', 'cepat', 'membantu']</t>
  </si>
  <si>
    <t>['mudah', 'murah']</t>
  </si>
  <si>
    <t>['', 'syarat', 'aplikasi', 'dibuka', 'tampilan', 'ngeblank', 'isi', 'pulsa', 'masuk', 'kecewa']</t>
  </si>
  <si>
    <t>['apknya', 'engga', 'buka', 'terkembali']</t>
  </si>
  <si>
    <t>['jaringannya', 'kuat', 'sich', 'cuman', 'mahalan', '']</t>
  </si>
  <si>
    <t>['signyal', 'gangguan']</t>
  </si>
  <si>
    <t>['gimna', 'min', 'apk', 'ngk', 'buka', 'smnjak', 'update']</t>
  </si>
  <si>
    <t>['udah', 'download', 'buka', '']</t>
  </si>
  <si>
    <t>['membantu', 'info', 'cek', 'kuota', 'menambah', 'kuota', 'pas', 'minim', 'menolong', 'telkomsel', 'kosong', 'pulsa', '']</t>
  </si>
  <si>
    <t>['knp', 'telkomsel', 'ngak', 'terbuka', 'samsung', 'update']</t>
  </si>
  <si>
    <t>['kuota', 'multimedia', 'pas', 'buka', 'youtube', 'kesedot', 'kuota', 'reguler', 'kuota', 'multimedia', 'berkurang', 'buka', 'whatsapp', 'kesedot', 'kuota', 'reguler', 'kuota', 'multimedia', '']</t>
  </si>
  <si>
    <t>['hilang', 'sinyalnya']</t>
  </si>
  <si>
    <t>['kecewa', 'sebulan', 'akses', 'may', 'telkomsel', 'lapor', 'kontak', 'senter', 'nunggu', 'jam', 'seminggu', 'buka', 'kecewa', '']</t>
  </si>
  <si>
    <t>['apknya', 'mantap', 'mantap', 'promo', 'pilihan', 'produk', 'terimakasih', '']</t>
  </si>
  <si>
    <t>['beralih', 'tri', 'ngab', 'operator', 'tri', 'udah', 'paket', 'khusus', 'gb', 'rb', 'jaringan', 'lumayan', 'cek', 'youtube', 'ngab', 'detail', '']</t>
  </si>
  <si>
    <t>['paket']</t>
  </si>
  <si>
    <t>['mempermudah']</t>
  </si>
  <si>
    <t>['buka', 'install', 'trus', 'uninstall', 'tetep', 'akses', 'blank']</t>
  </si>
  <si>
    <t>['aplikasi', 'lemot', 'susah', 'banget', 'beli', 'paket', 'paket', 'ditawarkan', 'lengkap']</t>
  </si>
  <si>
    <t>['top', 'keren', 'ajibb']</t>
  </si>
  <si>
    <t>['nyesel', 'nyesek', 'beli', 'paket', 'internet', 'unlimited', 'telkomsel', 'kuota', 'nonton', 'dipakai', 'menonton', 'you', 'tube', 'auto', 'pindah', 'perdana', 'axis']</t>
  </si>
  <si>
    <t>['apk', 'bagus', 'bget', 'tpi', 'knpa', 'apdet', 'buka', '']</t>
  </si>
  <si>
    <t>['maling', 'paketan', 'pulsa', 'dasar']</t>
  </si>
  <si>
    <t>['poin', 'penukarannya', 'kaya', 'gitu', 'doang', '']</t>
  </si>
  <si>
    <t>['salah', 'orang', 'kecewa', 'ahir', 'ahir', 'aplikasi', 'buka', 'buka', 'layar', 'putih', 'sekelas', 'telkomsel', 'gini', 'rekomendasi', 'banget', 'operator', 'sebelah', '']</t>
  </si>
  <si>
    <t>['semenjak', 'update', 'dibuka', 'gimana', 'orang', 'beli', 'paket', 'aplikasinya', 'dibuka', 'beneran', 'diupdate', '']</t>
  </si>
  <si>
    <t>['paketan', 'harganya']</t>
  </si>
  <si>
    <t>['pembahruan', '']</t>
  </si>
  <si>
    <t>['rumit', 'membantu']</t>
  </si>
  <si>
    <t>['parah', 'paket', 'data', 'mahal', 'sms', 'mahal', 'nelpon', 'mahal', 'fix', 'cust', 'ngacir', '']</t>
  </si>
  <si>
    <t>['bosa', 'masuk', 'wwooooiiij']</t>
  </si>
  <si>
    <t>['app', 'buka']</t>
  </si>
  <si>
    <t>['aplikasi', 'min', 'udah', 'seminggu', 'ndak', 'buka', 'aplikasinya', '']</t>
  </si>
  <si>
    <t>['nomor', 'jaringan', 'jelek', 'banget', 'mengoptimalkan', 'inginan', 'konsumen', 'sinyal', 'internet', 'cepat', 'gagal', 'pelayanan', 'perbaikan', 'kunjung', 'selesai', 'sampah', '']</t>
  </si>
  <si>
    <t>['', 'app', 'buka', 'bikinngapokinnnnnnnnnnnmnmmmmmmmmmmmmmmmmmmmmnnmmmmmmmmmmmmmmmnmnnn']</t>
  </si>
  <si>
    <t>['apk', 'bagus']</t>
  </si>
  <si>
    <t>['beli', 'paket', 'unlimited', 'kepake', 'kuota', 'reguler', 'rugi', 'udah']</t>
  </si>
  <si>
    <t>['mati', 'sinyal']</t>
  </si>
  <si>
    <t>['jaringan', 'bagus', 'paket', 'internetnya', 'kemahalan', 'murah', '']</t>
  </si>
  <si>
    <t>['buruk', 'telkomsel', 'nyedot', 'pulsa', 'planggan', 'trus', 'org', 'kaya', 'mngkit', 'ngrasa', 'pulsanya', 'berkurang', 'trus', 'paket', 'internetnya', 'krang', 'mmpu', 'memperhatikan', 'telkomsel', 'sultan', '']</t>
  </si>
  <si>
    <t>['menarik', 'ngak', 'bagus']</t>
  </si>
  <si>
    <t>['jaringan', 'ngellek']</t>
  </si>
  <si>
    <t>['bagus', 'harga', 'kuota', '']</t>
  </si>
  <si>
    <t>['jaringan', 'area', 'denpasar', 'hancur', 'tolong', 'perbaiki']</t>
  </si>
  <si>
    <t>['hallo', 'applikasinya', 'buka', 'jaringan', 'wifi', 'paket', 'data']</t>
  </si>
  <si>
    <t>['tolong', 'paket']</t>
  </si>
  <si>
    <t>['aplikasi', 'bodok', 'dlm', 'kurun', 'menit', 'aplikasi', 'logout', 'kali', '']</t>
  </si>
  <si>
    <t>['harga', 'paketnya', 'mahal', 'diatas', 'rb', 'nomor', 'loop', 'paket', 'combo', 'seharga', 'rb', 'murah', 'rb', 'efek', 'ditelpon', 'operatornya', 'suruh', 'beralih', 'kartu', 'halo', '']</t>
  </si>
  <si>
    <t>['habis', 'update', 'koq', 'langsung', 'layar', 'putih', 'telkomsel']</t>
  </si>
  <si>
    <t>['bubar', 'barisan', 'jalan']</t>
  </si>
  <si>
    <t>['mudah', 'pembelian', 'paket', 'data', 'promo', 'promo', 'menarik']</t>
  </si>
  <si>
    <t>['keluhan', 'membeli', 'paket', 'data', 'jaringan', 'pulsa', 'isi', 'semenjak', 'telkom', 'update', 'kesudah', 'membeli', 'paket', 'data', 'mohon', 'bantuan', 'sistemnya', 'perbaiki', 'mohon', 'bertidak', 'cepat']</t>
  </si>
  <si>
    <t>['kecawa', 'aplikasinya', 'dibuka', '']</t>
  </si>
  <si>
    <t>['merk', 'fren', 'pakai', 'jasa', 'mytelkomsel', 'mantaf', '']</t>
  </si>
  <si>
    <t>['pengen', 'hadiah', 'undian']</t>
  </si>
  <si>
    <t>['top', 'jaringanya', 'plosok', 'perkampungan', '']</t>
  </si>
  <si>
    <t>['aplikasi', 'telkomselnya', 'dibuka', '']</t>
  </si>
  <si>
    <t>['knp', 'skrg', 'sinyal', 'jelek', 'telkomsel', 'susah', 'buka', '']</t>
  </si>
  <si>
    <t>['update', 'buka', '']</t>
  </si>
  <si>
    <t>['halo', 'telkomsel', 'kesini', 'mengecewakan', 'pulsa', 'terpotong', 'kemana', 'perginya', 'kuota', 'nyaman', 'customer', 'kecewa', 'saingannya', 'udah', 'nyaman', 'menahan', 'pulsanya', 'hilang', 'kuota', 'habis', 'kuota', 'hilang', 'pulsanya', '']</t>
  </si>
  <si>
    <t>['blank', 'putih', 'bsa', 'dbuka', 'telkomsel']</t>
  </si>
  <si>
    <t>['membantu', 'area', 'bandung', 'telkimsel', 'the', 'best', '']</t>
  </si>
  <si>
    <t>['puas', 'aplikasinya', 'harga', 'kuota', 'boros', 'pemakaian', 'tolong', 'setting', 'kuota', 'boros', 'cepat', 'habis', '']</t>
  </si>
  <si>
    <t>['aplikasi', 'diakses', 'diupdate', 'kendalanya', 'mohon', 'bantuannya', '']</t>
  </si>
  <si>
    <t>['kesulitan', 'beli', 'paket', 'pembayaran', 'via', 'shopeepay', 'mohon', 'sistemnya', 'diperbaiki']</t>
  </si>
  <si>
    <t>['muncul', 'paket', 'uminitid', 'nyah']</t>
  </si>
  <si>
    <t>['', 'buka', 'payah']</t>
  </si>
  <si>
    <t>['telkomsel', 'mantap', 'tingkatkan', 'program', 'program', 'kreatifnya', 'lupa', 'promo', 'xixixi']</t>
  </si>
  <si>
    <t>['harga', 'paket', 'pembayaran', 'sesuai', 'harga', 'paket', 'dicantumkan', '']</t>
  </si>
  <si>
    <t>['dimohon', 'pengurus', 'telkomsel', 'balikin', 'pulsa', 'senilai', 'hilanggg', 'udh', 'daftar', 'kuota', 'pulsa', 'tersedot', 'tolong', 'ganti', 'pulsa', 'sayaaaa', 'terimakasihhhhhhhhhhhhhh', '']</t>
  </si>
  <si>
    <t>['sinyal', 'daerah', 'nambah', 'jelek', 'sinyal', 'dapet', 'digit', 'banting', 'tolong', 'perbaiki', 'min', 'kecewa']</t>
  </si>
  <si>
    <t>['aplikasi', 'sehabis', 'update', 'buka', 'nge', 'blank', 'putih', 'kecewa']</t>
  </si>
  <si>
    <t>['coba', 'dibantu', 'kakak', 'admin', 'apk', 'telkomsel', 'dibuka', '']</t>
  </si>
  <si>
    <t>['poin', 'tida', 'tukar', '']</t>
  </si>
  <si>
    <t>['signal', 'hilang']</t>
  </si>
  <si>
    <t>['mahal', 'ngk', 'ekonomi', 'telkomsel', 'udh', 'ksih', 'bintang', 'buang', 'kartu', 'harga', 'paket', 'selangit', 'kuntol', 'taikk']</t>
  </si>
  <si>
    <t>['memper', 'mudah', 'kebutuhan']</t>
  </si>
  <si>
    <t>['kuota', 'doang', 'mahal', 'sinyal', 'jelek', 'harga', 'sesuai', 'kualitas']</t>
  </si>
  <si>
    <t>['aplikasi', 'mudah', 'buka', 'bermanfaat', 'membantu', 'pembelian', 'pulsa', 'kuota', 'internetnya']</t>
  </si>
  <si>
    <t>['tolong', 'telkomsel', 'udah', 'paket', 'mahal', 'pulsa', 'apk', 'berkurang', 'gini', 'kali', 'nyari', 'untung']</t>
  </si>
  <si>
    <t>['kesekian', 'kalinya', 'kecewa', 'jaringan', 'telkomtot', 'tinggal', 'depok', 'kota', 'pelosok']</t>
  </si>
  <si>
    <t>['baguss', 'bangett', 'dehh', 'bikinn', 'gemmess', 'akunya', '']</t>
  </si>
  <si>
    <t>['dear', 'telkomsel', 'desember', 'aplikasinya', 'dibuka', 'mytelkomsel', 'udh', 'versi', 'gimana']</t>
  </si>
  <si>
    <t>['makai', 'kartu', 'telkomsel', 'udh', 'th', 'th', 'sya', 'pakai', 'telkomsel', 'parah', 'sinyal', 'udh', 'kota', 'tinggal', 'truss', 'kuota', 'mahal', 'plk', 'tuu', 'ngk', 'kyak', 'sya', 'belik', 'murah', 'jaringan', 'parah', 'download', 'susah', 'nunggu', 'main', 'game', 'parah', 'klau', 'mahal', 'ngk', 'papa', 'jaringan', 'bguss', 'nii', 'ngk', 'udh', 'mahal', 'jelek', 'lgi', 'jaringan', 'telkomsel', 'kyak', 'gini', 'truss', 'pindah', 'jaringan', 'sya', 'lgi', 'nyesel', 'pakai', 'telkomsel', 'rah']</t>
  </si>
  <si>
    <t>['sya', 'suka', 'mudah', 'beli', 'paket', 'mudah', 'informasi', 'mantap', 'telkomsel', '']</t>
  </si>
  <si>
    <t>['membantu', 'mudah']</t>
  </si>
  <si>
    <t>['kak', 'knpa', 'masuk', 'aplikasi', 'sinyal', 'bagus', '']</t>
  </si>
  <si>
    <t>['mending', 'unii', 'instal', 'ajh', 'deh', 'masuk', 'akun', 'knp']</t>
  </si>
  <si>
    <t>['bagus', 'gampang']</t>
  </si>
  <si>
    <t>['lumayan', 'bagus', 'pakai', 'telkomsel', '']</t>
  </si>
  <si>
    <t>['peningkatan', '']</t>
  </si>
  <si>
    <t>['apl', 'dibuka', 'ulang', 'ulang', 'hapus', 'download', 'terbuka', 'sulit', 'isi', 'pulsa', 'paket', 'bulanan', 'mmg', 'pelayanan', 'buruk', 'lapor', 'kemana', '']</t>
  </si>
  <si>
    <t>['', 'gabisa', 'login', 'temen', 'temen', 'tolong', 'perbaikan', '']</t>
  </si>
  <si>
    <t>['turun', 'iyah', 'beli', 'paket', 'ngk', '']</t>
  </si>
  <si>
    <t>['telkomsel', 'kali', 'pulsa', 'ilang', 'gitu', 'paketnya', 'masuk', '']</t>
  </si>
  <si>
    <t>['update', 'pembelian', 'paket', 'data', 'telkomsel', 'pembelian', 'via', 'telkomsel', 'tersedot', 'pulsanya', '']</t>
  </si>
  <si>
    <t>['senang', 'hati', 'membantu', 'darurat']</t>
  </si>
  <si>
    <t>['keren', 'malas', 'ngetik', '']</t>
  </si>
  <si>
    <t>['mahal', 'sippplah']</t>
  </si>
  <si>
    <t>['apk', 'hancur', 'dibuka', 'skali', 'uinstal', 'download', 'dibuka']</t>
  </si>
  <si>
    <t>['mohon', 'maaf', 'kasih', 'bintang', 'karna', 'point', 'tukar', 'beli', 'mobile', 'legend', 'ngk', 'tertulis', 'ngk', 'akses', 'kecewa', '']</t>
  </si>
  <si>
    <t>['mmbantu', 'pokoknya', '']</t>
  </si>
  <si>
    <t>['menukar', 'poin', 'paket', 'data', 'poin', '']</t>
  </si>
  <si>
    <t>['apk', 'uda', 'buka', 'update', 'aneh', 'apk', '']</t>
  </si>
  <si>
    <t>['penukaran', 'poin', 'hadiahnya']</t>
  </si>
  <si>
    <t>['mahal', 'sinyal', 'suka', 'sendat', 'berlaku', 'paket', 'hbs', 'paket', 'msh', 'sisa', 'paket', 'isi', 'paket', 'internet', 'embat', 'exp', '']</t>
  </si>
  <si>
    <t>['mahal', 'doang', 'emosi', 'jaringan', 'jelek', 'ampas']</t>
  </si>
  <si>
    <t>['aplikasi', 'ribet', 'masuknya', 'kode', 'otp', 'dikirim', 'niat', 'banget', 'aplikasi']</t>
  </si>
  <si>
    <t>['tolong', 'minperbaiki', 'kualitas', 'sinyal', 'telkomsel', 'kota', 'susah', 'plosok', 'tower', 'ketinggian', 'meter', 'telkomsel', 'pengguna', 'kualitas', 'sinyal', 'kalah']</t>
  </si>
  <si>
    <t>['setuju', 'ulasan', 'mbak', 'yasmin', 'keistimewaan', 'pascabayar', 'biaya', 'lbh', 'mahal']</t>
  </si>
  <si>
    <t>['bagus', 'buka']</t>
  </si>
  <si>
    <t>['sebulan', 'aplikasi', 'menampilkan', 'tampilan', 'blank', 'putih', 'pulsa', 'gue', 'terpotong', 'nggak', 'gue', 'pakai', 'pulsanya', 'kadang', 'rp', 'potong', 'pulsa', 'gue', 'komplain', 'perusahaan', 'media', 'pulsa', 'gue', 'terpotong', '']</t>
  </si>
  <si>
    <t>['telkomsel', 'emang', 'mantap']</t>
  </si>
  <si>
    <t>['habis', 'update', 'bagus', 'jelek', 'buka', 'tolong', 'diperbaiki', 'terima', 'kasih', '']</t>
  </si>
  <si>
    <t>['mahal', 'rb', 'hr', 'sekian', 'terimakasih']</t>
  </si>
  <si>
    <t>['kecepatan', 'sinyal', 'stabil', 'dimanapun', 'dtingkatkan', 'pelanggan', 'puas', 'bayar', 'mahal', '']</t>
  </si>
  <si>
    <t>['udah', 'mahal', 'mahal', 'sinyal', 'jelek', 'banget', 'tolonglah', 'perbaiki', 'nyesel', 'gua', 'kartu', 'tolong', 'perbaiki', 'daerah', 'cianjur']</t>
  </si>
  <si>
    <t>['memakai', 'nomer', 'telkomsel', 'membantu', 'murah', 'paketanya', 'terima', 'kasih', 'telkomseel']</t>
  </si>
  <si>
    <t>['maaf', 'kasih', 'bintang', 'paketnya', 'mahal', '']</t>
  </si>
  <si>
    <t>['', 'kecamatan', 'menit', 'kabupaten', 'tpi', 'jaringan', 'jelek', 'parah', 'skrng', 'gembar', 'gembor', 'msh', 'blm', 'merata', 'tinggal', 'pelosok', 'heran', 'jaringan', 'jelek', '']</t>
  </si>
  <si>
    <t>['blok', 'telkosel', 'kagak', 'kuota', 'doang', 'mahal', 'sebanding', 'harganya', 'jirr']</t>
  </si>
  <si>
    <t>['bgus', 'bget', 'biaya', 'mahal', 'internet']</t>
  </si>
  <si>
    <t>['signal', 'driver', 'grab', 'ditingkat']</t>
  </si>
  <si>
    <t>['bermamfaat']</t>
  </si>
  <si>
    <t>['dasar', 'monyet', 'kesini', 'parah', 'sinyal', 'emosi', 'pas', 'main', 'game', 'online', 'jari', 'buatmu', 'simpaty', 'sialan', 'doakan', 'gulung', 'tikar', 'mengecewakan', 'konsumen', 'berkepanjangan', '']</t>
  </si>
  <si>
    <t>['bagus', 'tolong', 'metode', 'pembayaran', 'gopay', 'beli', 'pulsa']</t>
  </si>
  <si>
    <t>['diperbaiki', 'jaringan', 'pelosok', 'desa', 'terimah', 'kasih']</t>
  </si>
  <si>
    <t>['bagus', 'telkomsel', 'berbagi', 'pulsa', 'bagus', 'send', 'give', 'paket', 'internet', 'plus', 'pulsa', 'semoga', 'variatif', 'sendgive', 'telkomsel', '']</t>
  </si>
  <si>
    <t>['lemot', 'banget', 'maen', 'game', 'udah', 'isi', 'kuota', 'tetep', 'lemot', 'tokai']</t>
  </si>
  <si>
    <t>['cuman', 'pengen', 'ngasih', 'jaringan', 'telkomsel', 'udah', 'kalah', 'beli', 'paket', 'mahal', 'jaringanya', 'burik', 'pleaselah', 'kembalikan', 'jaringan', 'telkomsel', 'masak', 'kalah', 'tetangga', 'harganya', 'terjangkau', 'darimu', '']</t>
  </si>
  <si>
    <t>['menarik', 'penawaranya', 'bos', 'sesuay', 'ama', 'notifikasi']</t>
  </si>
  <si>
    <t>['update', 'mintak', 'update', 'kemana', 'kuota', 'murah', 'tinggal', 'paket', 'mahal', 'kasih', 'paket', 'murah', 'veronica']</t>
  </si>
  <si>
    <t>['aplikasi', 'telkomsel', 'cek', 'kuota', 'susah', 'banget', 'nunggu', 'muncul', 'infonya', '']</t>
  </si>
  <si>
    <t>['sinyal', 'pelosok', 'pelosok', 'tolong', 'tingkatkan', '']</t>
  </si>
  <si>
    <t>['semoga', 'kaya', 'buka', 'youtube', 'jha', 'patah', 'patah', 'jaringan', 'full']</t>
  </si>
  <si>
    <t>['aplikasi', 'perbaiki', 'oooeeeee', 'sebulan', 'aplikasi', 'buka', 'ngebleng', 'putih', 'nyedot', 'pulsa', 'ngecek', 'jdi', 'susah', 'kuota', 'kerja', 'bener']</t>
  </si>
  <si>
    <t>['aplikasi', 'buruk', 'susah', 'aksesnya']</t>
  </si>
  <si>
    <t>['diupdate', 'dibuka', 'layar', 'putih']</t>
  </si>
  <si>
    <t>['jarainganya', 'jelek', 'yaa', 'menghubungkan', 'live', 'stream', 'ngk', 'kuat', 'dll', 'tolong', 'perbaiki', 'signalnya']</t>
  </si>
  <si>
    <t>['perbaikilahh', 'blank', 'putih', 'doang', 'udah', 'berminggu', 'minggu']</t>
  </si>
  <si>
    <t>['claer', 'chace', 'clear', 'data', 'paksa', 'berhenti', 'aplikasi', 'buka', 'uinstal', 'deh', 'fungsi', 'ngabisin', 'rom', 'data', 'memori', '']</t>
  </si>
  <si>
    <t>['mudah', 'akses', '']</t>
  </si>
  <si>
    <t>['telkomsel', 'parah', 'bahasa', 'jaringannya']</t>
  </si>
  <si>
    <t>['', 'pepek', 'pepek', 'besok', 'tambahin', 'sistem', 'misah', 'paket', 'nyangut', 'paket', 'kemendikbud', 'kesel', 'pas', 'maen', 'ping', 'jelek', 'paket', 'kepakek', 'kon', '']</t>
  </si>
  <si>
    <t>['enak', 'murah']</t>
  </si>
  <si>
    <t>['jaringannya', 'susah', 'banget', 'pas', 'hujan', 'tolong', 'beli', 'kuota', 'mahal', 'dapet', 'jelek', 'kualitasnya', '']</t>
  </si>
  <si>
    <t>['bolak', 'update', 'ngabis', 'in', 'data', 'aplikasinya', 'putihbersih']</t>
  </si>
  <si>
    <t>['telkomsel', 'hati', 'semoga', 'gratisannya']</t>
  </si>
  <si>
    <t>['buka', 'facebook', 'beralih', 'mode', 'gratis', 'mengganggu', 'tolong', 'perbaiki', 'kuota']</t>
  </si>
  <si>
    <t>['beli', 'kuota', 'mahal', 'mahal', 'jaringan', 'lappet', 'tolong', 'kerjasamanya', 'boss', '']</t>
  </si>
  <si>
    <t>['telkomsel', 'kontollllllllllllllllllllllllll', 'sinyal', 'doang', 'penuh', 'sinyal', 'data', 'internet', 'kaya', 'babi', 'cepat', 'jaringannya']</t>
  </si>
  <si>
    <t>['jaringannya', 'terimakasih', 'telkomsel', 'karna', 'menyediakan', 'paket', 'combo', 'sakti', 'kuota', 'harga', 'murah', 'semoga', 'konsisten', 'menyediakan', 'paket', 'kuota', 'relatif', 'murah', 'karna', 'daerah', 'daerah', 'jaringannya', 'bagus', 'harga', 'kuota', 'mahal', 'pilih', 'provider', 'jaringan', 'stabil', 'harga', 'murah', 'sekian', '']</t>
  </si>
  <si>
    <t>['bngsd', 'jaringan', 'parahh', 'bangett', 'lemott', 'ajigg', 'gilaa', 'gua', 'pusat', 'kota', 'udah', 'kartu', 'th', 'gua', 'kesini', 'signalnya', 'baguss', 'membagongkan', '']</t>
  </si>
  <si>
    <t>['jaringan', 'gangguan', 'karna', 'gimana', 'mohon', 'penjelasan', 'terima', 'kasih']</t>
  </si>
  <si>
    <t>['brapa', 'kuota', 'murah', 'contoh', 'gb', 'unlimited', 'non', 'fup', 'org', 'bayar', 'ngapain', 'kuota', 'org', 'bayar', 'udah', 'mikirin', 'perut', 'pikirin', 'rakyat', 'coba', 'posisi', 'bales', '']</t>
  </si>
  <si>
    <t>['', 'sinyal', 'jelek', 'banget', 'keluhan', 'tampung', 'doang', 'eksen']</t>
  </si>
  <si>
    <t>['ganti']</t>
  </si>
  <si>
    <t>['oiiii', 'terkonsel', 'beli', 'paket', 'uang', 'pakai', 'daun', 'jaringan', 'stabil', 'lelet', '']</t>
  </si>
  <si>
    <t>['sumpah', 'telkomsel', 'jaringan', 'cacattttt']</t>
  </si>
  <si>
    <t>['penukaran', 'poin', 'tukerin', 'diamond', 'mobile', 'legend', '']</t>
  </si>
  <si>
    <t>['', 'telkomsel']</t>
  </si>
  <si>
    <t>['jaringan', 'makain', 'parah', 'suka', 'lemot', 'kecewa', 'telkomsel', 'udah', 'mahal', 'lelet', 'pindah', 'yok', 'pindah']</t>
  </si>
  <si>
    <t>['buruk', 'layanan', 'telkmsel', 'sinyal', 'area', 'tibubeneng', 'kuta', 'utara', 'susah', 'tlg', 'perbaiki', 'mohon', 'disesuaikan', 'mahalnya', 'paket', 'data', 'layanan', '']</t>
  </si>
  <si>
    <t>['kecewa', 'telkomsel', 'jelasin', 'pacar', 'selingkuh', 'kirim', 'pesan', 'paket', 'sinyalnya', 'jelek', '']</t>
  </si>
  <si>
    <t>['jga', 'kecewa', 'bener', 'ama', 'telkomsel', 'tolong', 'lahk', 'develover', 'gua', 'tdi', 'udh', 'beli', 'pulsa', 'rebu', 'msuk', 'dicek', 'jga', 'trus', 'gua', 'beli', 'paket', 'ilmupedia', 'rebu', 'trus', 'gua', 'beli', 'knpaah', 'pulsa', 'mencukupi', 'haloo', 'develover', 'ngantuk', 'kah', 'gimna', 'jujur', 'mnding', 'pindah', 'kartu', 'bener', 'mkin', 'buruk']</t>
  </si>
  <si>
    <t>['waw', 'bagus']</t>
  </si>
  <si>
    <t>['kadang', 'kadang', 'lelet', 'jaringannya', '']</t>
  </si>
  <si>
    <t>['aplikasi', 'payah', 'buka', '']</t>
  </si>
  <si>
    <t>['dibuka', 'apk', 'sinyal', 'kenceng', '']</t>
  </si>
  <si>
    <t>['aplikasi', 'dibuka', 'udh', 'kirim', 'email', 'alamat', 'email', 'ditemukan']</t>
  </si>
  <si>
    <t>['date', 'bsa', 'dibuka', 'mohon', 'asda', 'perbaikan', 'kenyamanan', 'konsumen']</t>
  </si>
  <si>
    <t>['maaf', 'kasih', 'bintang', 'pas', 'updet', 'aplikasi', 'buka']</t>
  </si>
  <si>
    <t>['mengecewakan']</t>
  </si>
  <si>
    <t>['mudah', 'transaksi', 'beli', 'paket', 'tolong', 'paket', 'murahin', 'harga', 'paket', 'combo', 'terima', 'kasih', '']</t>
  </si>
  <si>
    <t>['jaringan', 'internet', 'area', 'tolong', 'diperbaiki', 'kualitas', 'terima', 'kasih']</t>
  </si>
  <si>
    <t>['data', 'doank', 'mahal', 'jaringan', 'urusss']</t>
  </si>
  <si>
    <t>['', 'paket', 'nelp', 'rb', 'bln', 'gnt', '']</t>
  </si>
  <si>
    <t>['harganya', 'mahal', 'kantong', 'mahasiswa']</t>
  </si>
  <si>
    <t>['telkomsel', 'buruk', 'skrng', 'jaringan', 'lelet', '']</t>
  </si>
  <si>
    <t>['mahal', 'banget', 'kuota', 'asuu', 'cuman', '']</t>
  </si>
  <si>
    <t>['apl', 'dibuka', 'smpai', 'downlod', 'kali', 'tdak', 'dibuka', 'tlong', 'diperbaiki']</t>
  </si>
  <si>
    <t>['barokah', 'hadiah']</t>
  </si>
  <si>
    <t>['belu', 'ngerti', 'aplikasi', 'bintang']</t>
  </si>
  <si>
    <t>['update', 'mlah', 'ngga', 'dibuka', 'gmn']</t>
  </si>
  <si>
    <t>['aplikasi', 'bagus', 'membantu', '']</t>
  </si>
  <si>
    <t>['telkomsel', 'jelek']</t>
  </si>
  <si>
    <t>['jaringanx', 'perbaiki', 'aplikasi', 'terbuka']</t>
  </si>
  <si>
    <t>['turunkan', 'broo', 'pendaftaran', 'rakyat', 'kismin', 'bergjolak', 'broo']</t>
  </si>
  <si>
    <t>['jaringan', 'buruk', 'harga', 'mahal', 'tolong', 'fokuskan', 'kualitas', 'jaringannya', 'tlkomsel']</t>
  </si>
  <si>
    <t>['perbaiki', 'sinyal']</t>
  </si>
  <si>
    <t>['mytelkomsel', 'buka', 'udh', 'unistal', 'trs', 'instal', 'berulang', 'kali', 'mohon', 'penjelasannya', 'trimakasih']</t>
  </si>
  <si>
    <t>['susahh', 'buka', 'aplikasi', '']</t>
  </si>
  <si>
    <t>['bagus', 'paketannya', 'mahal']</t>
  </si>
  <si>
    <t>['sumpah', 'kecewa', 'berat', 'namanya', 'telkomsel', 'harga', 'diberanda', 'gb', 'taunya', 'dibuka', 'uda', 'bli', 'pulsa', 'parah', 'sinyal', 'saraf', 'sabarin', 'tunggu', 'mentok', 'peduli', 'pindah', 'prop', 'ketawa', 'lihat', 'ratingnya', '']</t>
  </si>
  <si>
    <t>['paket', 'internetnya', 'berubah', 'ubah', 'nama', 'paketnya', 'paket', 'dibeli', 'daftar', 'harganya', 'mahal', 'mahal', '']</t>
  </si>
  <si>
    <t>['jaringan', 'solok', 'selatan', 'kayak', 'jelek', 'tolong', 'diperbaiki']</t>
  </si>
  <si>
    <t>['gajelas', 'simpan', 'sinyalnya', 'tolong', 'perbaiki', 'kecewa', 'pengguna', 'telkomsel']</t>
  </si>
  <si>
    <t>['bagus', 'boong']</t>
  </si>
  <si>
    <t>['tergiur', 'paketan', 'internet', 'murah', 'sesungguhnya', 'menawarkan', 'kualitas', 'sinyal', 'terburuknya', 'kapok', 'beli', '']</t>
  </si>
  <si>
    <t>['bangke', 'banget', 'app']</t>
  </si>
  <si>
    <t>['', 'suruh', 'update', 'layanan', 'telkomsel', 'buruk', 'beda', 'tetangga', 'sebelah', 'tolong', 'pelanggan', 'nyaman', '']</t>
  </si>
  <si>
    <t>['pengalaman', 'telkomsel', 'miris', 'jaringan', 'data', 'sngat', 'mengecewakan', 'sesuai', 'mahalnya', 'daftaran', 'kuota', 'paket', 'internet', '']</t>
  </si>
  <si>
    <t>['habis', 'pembaruan', 'dibuka']</t>
  </si>
  <si>
    <t>['kecewa', 'banget', 'buka', 'aplikasi', 'telkomsel', 'nga', 'buka', 'ngebleng', 'warna', 'putih', 'ganti', 'kartu', 'udah', 'kartu', 'hallo', 'penawaran', 'manis', 'costamer', 'nyesel', 'telkomsel', '']</t>
  </si>
  <si>
    <t>['knpa', 'susa', 'skli', 'terbuka', 'sya', 'sdah', 'brpa', 'kali', 'apus', 'trus', 'dwondlod', 'masi', 'ndk', 'terbuka', 'aplikasi']</t>
  </si>
  <si>
    <t>['telkomsel', 'jaringannya', '']</t>
  </si>
  <si>
    <t>['masuk', 'aplikasinya', 'susah', 'coba', 'mudah', 'ndk', 'ribet', 'ndk', 'kaya', 'provider', 'sebelah', 'nomor', 'kode', 'notifnya', 'produk', 'bumn', 'ribet', 'kecewa', 'mytelkomsel']</t>
  </si>
  <si>
    <t>['hallo', 'operator', 'telkomsel', 'terhormat', 'aplikasi', 'telkomsel', 'sebulan', 'dibuka', 'berkali', 'kali', 'menghapus', 'menginstal', 'dibuka', 'berlayar', 'putih', 'rusak', 'mohon', 'kejelasan', 'pelanggan', 'setia', 'telkomsel', 'kali', 'aplikasi', 'telkomsel', 'dibuka', 'mohon', 'kejelasannya', '']</t>
  </si>
  <si>
    <t>['harga', 'paket', 'mahal', 'tolong', 'min', 'disesuaikan', 'kondisi', 'rakyat', 'berkecukupan', 'kaya', 'harganya', 'sesuai', 'bersahabat', 'dikantong', '']</t>
  </si>
  <si>
    <t>['telkomsel', 'tlg', 'perbaiki', 'layanannya', 'byk', 'konsumen', 'komplen', 'mengeluh', 'ngehujat', 'kesannya', 'peduli', 'pelanggan', 'konsumen', 'gmn', 'maju', 'pelayanannya', 'diperbaiki']</t>
  </si>
  <si>
    <t>['kali', 'keterangan', 'persyaratan', 'penggunaan', 'kuota', 'paham', 'orang', 'beli', 'kuota', 'ketengan', 'youtube', 'doang', 'kuota', 'reguler', 'dipake', 'ketengannya', 'ngapain', 'beli', 'ketengan', 'beli', 'pdahal', 'doang', 'harganya', 'emang', 'ribet', 'telkomsel']</t>
  </si>
  <si>
    <t>['tinggal', 'ibukota', 'provinsi', 'kepulauan', 'riau', 'kota', 'tanjungpinang', 'tinggal', 'kota', 'sinyal', 'kalah', 'sinyal', 'desa', 'sumpah', 'parah', 'telkomsel', '']</t>
  </si>
  <si>
    <t>['edan', 'murah', 'poolll']</t>
  </si>
  <si>
    <t>['anjg', 'bayar', 'pulsa', 'darurat', 'suruh', 'bayar', 'beli', 'pemberitahuan', 'karna', 'bayar', 'kemaren', 'tanggal', 'dapet', 'pesan', 'melunasi', 'pulsa', 'darurat', 'kntl', 'bayar', 'anjg', 'kuota', 'kemendikbud', 'beli', 'pulsa', 'kesedot', 'kemaren', 'beli', 'karna', 'ngambil', 'kuota', 'darurat', 'dapet', 'pesan', 'melunasi', 'udah', 'paket', 'mahal', 'main', 'curang', 'alasan', 'karna', 'murah', 'bagus', '']</t>
  </si>
  <si>
    <t>['jaringan', 'kartu', 'parah', 'sumpah', 'main', 'game', 'buka', 'lelet', 'jaringan', 'andalin', 'kabar', 'doang', 'bagus', 'kartu', 'nyata', 'kagak']</t>
  </si>
  <si>
    <t>['aplikasi', 'berguna', 'terbuka']</t>
  </si>
  <si>
    <t>['kali', 'beli', 'pulsa', 'habis', 'tlpn', 'idk', 'samo', 'paket', 'data', 'mati', 'mase', 'bae', 'hilang', 'pulsa', '']</t>
  </si>
  <si>
    <t>['', 'update', 'bagus', 'buka', 'coba', 'instal', 'ulang', 'ttep', 'buka', '']</t>
  </si>
  <si>
    <t>['', 'multimedia', 'unlimited', 'maksudnya', 'chat', 'veronika', 'membantu', 'ngabisin', 'muter', 'nanya']</t>
  </si>
  <si>
    <t>['knapa', 'aplikasi', 'dibuka', '']</t>
  </si>
  <si>
    <t>['woi', 'parah', 'banget', 'udh', 'melunasi', 'paket', 'darurat', 'knp', 'bayar', 'isi', 'pulsa', 'terpaksa', 'termakan', 'pulsa', 'gajelas', 'jaringan', 'masuk', 'jaringan', 'buruk', 'kek', '']</t>
  </si>
  <si>
    <t>['bon', 'bayar', 'pulsa', 'mask', 'potong']</t>
  </si>
  <si>
    <t>['update', 'apk', 'dibuka', 'payah']</t>
  </si>
  <si>
    <t>['bintang', 'mengisi', 'pulsa', 'pulsa', 'kesedot', 'telkomsel', '']</t>
  </si>
  <si>
    <t>['gimana', 'sya', 'ngk', 'prnh', 'hutang', 'sma', 'telkomsel', 'pas', 'sya', 'beli', 'pulsa', 'tarik', 'pulsa', 'kartu', 'sya', 'bru', 'ngk', 'prnh', 'hutang', 'telkomsel', 'kek', 'gini', 'merugikan', '']</t>
  </si>
  <si>
    <t>['harga', 'mahal', 'kualitas', 'murahan', 'maen', 'game', 'lag', 'jam', 'lancar']</t>
  </si>
  <si>
    <t>['penipu', 'cashback', 'beli', 'pulsa', 'payment', 'gopay']</t>
  </si>
  <si>
    <t>['paket', 'mahal', 'parah', 'telkomsel', '']</t>
  </si>
  <si>
    <t>['terima', 'kasih', 'layanan', 'pengguna', 'telkomsel', 'puas', 'pelayanan']</t>
  </si>
  <si>
    <t>['', 'sinyal', 'dibaikin']</t>
  </si>
  <si>
    <t>['dibuka', 'aduh', 'kecewa']</t>
  </si>
  <si>
    <t>['', 'gbisa', 'buka']</t>
  </si>
  <si>
    <t>['minggu', 'aplikasi', 'dibuka', 'grapari', 'kendala', 'normal', 'jam', 'buktinya', 'nihil']</t>
  </si>
  <si>
    <t>['siyal', 'kau', 'paket', 'ultimate', 'tetep', 'susah', 'udah', 'riset', 'restat', 'udah', 'lakukan', 'jaringan', 'buruk', 'pengguna', 'telkomsel', 'pindah', '']</t>
  </si>
  <si>
    <t>['kartu', 'cacat', 'abis', 'kuota', 'ganti', 'kartu']</t>
  </si>
  <si>
    <t>['gue', 'utang', 'coba', 'bolehin', 'sampe', 'kali']</t>
  </si>
  <si>
    <t>['sinyal', 'gajelas', 'munkin', 'bangkrut', 'pindah', 'operator', '']</t>
  </si>
  <si>
    <t>['aplikasinya', 'bagus', '']</t>
  </si>
  <si>
    <t>['hbs', 'update', 'sekalo', 'dibukaa', 'tolong', 'diperbaiki', 'ribet', 'apl']</t>
  </si>
  <si>
    <t>['pembayaran', 'bagus']</t>
  </si>
  <si>
    <t>['sekeluarga', 'makenya', 'cuman', 'telkomsel', 'kesini', 'mahal', 'bagus', 'parah', 'signal', 'suka', 'ilang', 'complain', 'twitter', 'bilangnya', 'banget', 'ilang', 'signal', 'apalgi', 'nge', 'game', 'tolong', 'telkomsel', 'diperbaiki', 'terima', 'harga', 'mahal', 'berharap', 'kualitas', 'bgus', 'customers', 'terimakasih', 'semoga', 'dibaca', 'saran', 'kritik', '']</t>
  </si>
  <si>
    <t>['memakai', 'telkomsel', 'puas', 'karna', 'jaringannya', 'dimana', '']</t>
  </si>
  <si>
    <t>['pulsa', 'utama', 'dipotong', 'pemakaian', 'halu', 'orang', 'wifi', 'orang', 'tethering', 'hotspot', 'orang', 'data', 'seluler', 'operator', 'orang', 'data', 'selulernya', 'dimatikan', 'sms', 'data', 'seluler', 'tarif', 'non', 'paket', 'internet', 'ari', 'akang', 'cageur', '']</t>
  </si>
  <si>
    <t>['gimana', 'kali', 'install', 'tetep', 'buka', 'bagus', 'sinyal', 'full', 'mohon', 'perbaiki', 'kecewakan', 'customer']</t>
  </si>
  <si>
    <t>['tolonglah', 'sinyalnya', 'diperbaiki', 'pengennya', 'dibeli', 'dipake', 'gangguan']</t>
  </si>
  <si>
    <t>['maap', 'udah', 'instal', 'aplikasi', 'buka', 'vivo', 'merek', 'buka', '']</t>
  </si>
  <si>
    <t>['abis', 'update', 'ngga', 'buka', 'apk', '']</t>
  </si>
  <si>
    <t>['payah', 'sinyal', 'jelek', '']</t>
  </si>
  <si>
    <t>['sya', 'kasi', 'bintang', 'arti', 'terbaik', 'terburuk', 'apl', 'buka', '']</t>
  </si>
  <si>
    <t>['', 'lampung', 'signal', 'jelek', 'pdahal', 'mahal', 'membeli', 'paket', 'internet', 'telkomsel', 'kalah', 'ama', 'kartu', 'kuning', 'ama', 'biru', 'kecewa', '']</t>
  </si>
  <si>
    <t>['aplikasinya', 'dibuka', 'muncul', 'tampilan', 'kosong', 'signal', 'kuat', 'bts']</t>
  </si>
  <si>
    <t>['perbarui', 'dibuka', '']</t>
  </si>
  <si>
    <t>['ancur', 'jaringan', 'internet', 'lemotnya', 'ampun']</t>
  </si>
  <si>
    <t>['suka', 'aplikasi', 'gampang', 'beli', 'kouta', '']</t>
  </si>
  <si>
    <t>['kouta', 'internet', 'lancar', 'main', 'game', 'sinyal', 'pink', 'turun', 'mulu', 'perbaiki', 'woi']</t>
  </si>
  <si>
    <t>['signal', 'gangguan', 'beli', 'kuota', 'gede', 'tetep', 'lemot', 'berlaku', 'januari', 'tanggal', 'januari', 'udah', 'mutar', 'doang']</t>
  </si>
  <si>
    <t>['jelek', 'sher', 'lock', 'baku', 'hantam']</t>
  </si>
  <si>
    <t>['telkomsel', 'jaringan', 'telpon', 'terbaik', 'kepelosok', 'daerah']</t>
  </si>
  <si>
    <t>['updet', 'ngak', 'bisah', 'bukak']</t>
  </si>
  <si>
    <t>['kasih', 'bintang', 'klw', 'bagus', 'kasih']</t>
  </si>
  <si>
    <t>['jaringan', 'harap', 'dimaksimalkan']</t>
  </si>
  <si>
    <t>['kuatkan', 'sinyal', 'betah', 'telkomsel']</t>
  </si>
  <si>
    <t>['coba']</t>
  </si>
  <si>
    <t>['app', 'mytelkomsel', 'buka', 'kemarin', 'kuota', 'sinyal', 'tolong', 'perbaikin']</t>
  </si>
  <si>
    <t>['mudah', 'ribet', 'isi', 'kuota', 'tinggal', 'klik', 'langsung', 'pilih', 'paket']</t>
  </si>
  <si>
    <t>['jaringan', 'telkomsel', 'main', 'game', 'ngelag', 'parah', 'mahal', 'mahalin', 'harganya', '']</t>
  </si>
  <si>
    <t>['kartu', 'buruk', 'kuota', 'mahal', 'jaringan', 'lemot', 'promo', 'kartu', 'pakai', 'ganti', 'kartu']</t>
  </si>
  <si>
    <t>['telkomsel', 'kenerja', 'pulsa', 'sya', 'tbia', 'sendakan', 'hutang', 'telkomsel', 'mohon', 'kraja', 'smanya']</t>
  </si>
  <si>
    <t>['kepercayaan', 'costumers', 'ngerasa', 'ditipu', 'telkomsel']</t>
  </si>
  <si>
    <t>['woi', 'anak', 'anjeng', 'kartu', 'begengsi', 'ngeleg', 'ngeleg', 'cek', 'karyawan', 'korupsi']</t>
  </si>
  <si>
    <t>['dikasih', 'promo', 'quota', 'max']</t>
  </si>
  <si>
    <t>['promo', 'skli', 'beli', 'klau', 'klik', 'metode', 'pembayaran', 'belinya', 'pakai', 'pulsa', 'jatohnya', 'mahal']</t>
  </si>
  <si>
    <t>['update', 'aplnya', 'lamaaaaaaaaa', 'munculnya', 'layar', 'putih', 'kosong', 'stelah', 'masuk', 'smp', 'berkali', 'kali', 'wkt', 'tunggu', 'super', 'login', 'besok', '']</t>
  </si>
  <si>
    <t>['kecewa', 'aplikasi', 'telkomsel', 'install', 'uninstal', 'berkali', 'kali', 'tetep', 'dibuka', 'ngecek', 'quota', 'repot', 'aplikasi', 'berguna']</t>
  </si>
  <si>
    <t>['keren', 'skli', 'apknya']</t>
  </si>
  <si>
    <t>['buka', 'aplikasi', 'susah', '']</t>
  </si>
  <si>
    <t>['memuaskan', '']</t>
  </si>
  <si>
    <t>['suerrrr', 'aplikasi', 'sangaaaaaaaaaattttttttttttttttttttttttt', 'bagussssss', '']</t>
  </si>
  <si>
    <t>['lelet', 'bner', 'sinyal', 'nyo', 'udah', 'paket', 'mahal', 'mendingan', 'beli', 'indosat', 'lgi', '']</t>
  </si>
  <si>
    <t>['alhamdulillah', 'berfungsi', 'kesulitan', 'apknya', 'muncul', 'gambar', 'putih', 'terbiasa', 'pakai', 'apk', 'semoga', 'depannya', 'terulang', '']</t>
  </si>
  <si>
    <t>['bersimpati', 'telkomsel', 'bekerjasama', 'memudahkan', 'transaksi', 'konsumen', 'jempol', 'dechhhhh', '']</t>
  </si>
  <si>
    <t>['bersahabat', 'smartphone', 'entry', 'level', 'mohon', 'ringan', 'terimakasih']</t>
  </si>
  <si>
    <t>['promo', 'kartu', 'gua', 'mahal', 'telkomsel']</t>
  </si>
  <si>
    <t>['tolong', 'dibenerin', 'semanjak', 'last', 'update', 'ngestuck', 'white', 'screen', 'udah', 'reinstall', 'ngestuck', 'white', 'screen', 'terimakasih']</t>
  </si>
  <si>
    <t>['jelek', 'sinyal', 'telkomsel', 'coba', 'perbaiki', 'pelanggan', 'nyaman']</t>
  </si>
  <si>
    <t>['apk', 'buka']</t>
  </si>
  <si>
    <t>['prlu', 'perbaikan', 'karna', 'aplikasi', 'buka', 'saampai']</t>
  </si>
  <si>
    <t>['nonton', 'video', 'okelah', 'tpi', 'main', 'banget', 'tolong', 'beli', 'paket', 'mahal', 'main', 'lag', 'banget', 'masak', 'kalah', 'kartu', 'murah']</t>
  </si>
  <si>
    <t>['tolong', 'telkomsel', 'simpati', 'kuota', 'abis', 'mending', 'kga', 'online', 'nyedot', 'pulsa', 'utama', 'pulsa', 'habis', 'buka', 'video', 'youtube', 'notif', 'sms', 'lambat', 'masuk']</t>
  </si>
  <si>
    <t>['kenapaya', 'semenjak', 'update', 'apk', 'buka', 'min', '']</t>
  </si>
  <si>
    <t>['telkomsel', 'perusahaan', 'seluler', 'terbesar', 'sayang', 'pelayanannya', 'harga', 'pulsanya', 'harga', 'paket', 'internetnya', 'mahal', 'kadang', 'masuk', 'akal', 'dasar', 'babi', 'telkomsel']</t>
  </si>
  <si>
    <t>['jaringan', 'telkomsel', 'skrg', 'mengecewakan', 'data', 'cepat', 'habis', 'akses', 'internet', 'respon', 'mohon', 'perbaiki', 'min', 'jaringan', 'tingkatkan', 'setia', 'telkomsel', 'trima', 'kasih', '']</t>
  </si>
  <si>
    <t>['maap', 'donng', 'signal', 'daerah', 'jdi', 'susah', 'banget', 'tolong', 'cek', 'bagus', 'daerah', 'kesini', 'jdi', 'jelek', '']</t>
  </si>
  <si>
    <t>['promo', 'quotatidak']</t>
  </si>
  <si>
    <t>['nahh', 'gitu', 'error']</t>
  </si>
  <si>
    <t>['suka', 'gangguan']</t>
  </si>
  <si>
    <t>['nggak', 'istimewa', 'istimewanya', 'paket', 'mahal', 'jaringan', 'lemot']</t>
  </si>
  <si>
    <t>['pelanggan', 'jelek', 'koneksi']</t>
  </si>
  <si>
    <t>['ngga', 'promo', 'menarik', 'dlm', 'artian', 'kadang', 'murah', 'telkomsel', 'promo', 'murah', 'pelanggan', 'setia', 'telkomsel', '']</t>
  </si>
  <si>
    <t>['semoga', 'sinyal', 'bagus', 'lelet', '']</t>
  </si>
  <si>
    <t>['udh', 'parah', 'banget', 'udah', 'terlanjur', 'kecewa', 'aplikasi', 'udah', 'sya', 'uninstall', 'bintang', 'dlu', 'udh', 'operator']</t>
  </si>
  <si>
    <t>['nggak', 'dibuka', 'woyyy', 'ntar', 'kasih', '']</t>
  </si>
  <si>
    <t>['good', 'mantap', 'ragukan', 'telkomsel', 'telkomsel', 'hati']</t>
  </si>
  <si>
    <t>['burik', 'seburik', 'aplikasi', 'provider', 'skrg', 'coba', 'tlong', 'diperbaiki', 'sinyalnya', 'aplikasi', 'dibuka', 'blank', 'putih', 'asli', 'burik', '']</t>
  </si>
  <si>
    <t>['tlkom', 'jelek', 'bngt', 'aceh', 'uda', 'ngda', 'notice', 'apalah', 'paket', 'mahal', 'hadehh', 'nyet', 'nyet']</t>
  </si>
  <si>
    <t>['aplk', 'telkomsel', 'kemarin', 'dibuka', 'jaringan', 'oke', 'updet', '']</t>
  </si>
  <si>
    <t>['pas', 'dibuka', 'update', 'terbaru', 'alangkah', 'bagus', 'halaman', 'blank', 'putih', 'bersih', 'gimana', 'telkom', 'bagus', 'ngaco', 'udah', 'percaya', 'provider', '']</t>
  </si>
  <si>
    <t>['', 'dlu', 'tolong', 'jaringannya', 'perbaiki', 'kabandungan', 'sukabumi']</t>
  </si>
  <si>
    <t>['kasih', 'harga', 'paket', 'kuota', 'ganjil', 'harga', 'paket', 'kuota', 'hadehhh', 'harga', 'paket', 'mahal', 'jaringan', 'murahan']</t>
  </si>
  <si>
    <t>['', 'jaringan', 'stabil', 'tolong', 'perbaiki', 'sebanding', 'harga']</t>
  </si>
  <si>
    <t>['habis', 'update', 'ngga', 'buka', 'aneh', 'banget', 'aplikasi']</t>
  </si>
  <si>
    <t>['aplikasi', 'nda', 'berfungsi', '']</t>
  </si>
  <si>
    <t>['membeli', 'paket', 'dri', 'apk']</t>
  </si>
  <si>
    <t>['bnykk', 'murh']</t>
  </si>
  <si>
    <t>['jaringam', 'ter', 'luas', 'iya', 'lemot', 'banget', 'harga', 'selangit', 'kualitas', 'nol', 'sebanding', 'harga', 'paket', 'data', 'pelanggan', 'kecewa', 'pelayanan', 'telkomsel', 'jaringan', 'terluas', '']</t>
  </si>
  <si>
    <t>['kuota', 'gratisnya', '']</t>
  </si>
  <si>
    <t>['semenjak', 'update', 'buka', 'mohon', 'diperbaiki', 'lelah', 'menunggu']</t>
  </si>
  <si>
    <t>['ditengah', 'pandemi', 'dipersulit', 'pengguna', 'kartu', 'hallo', 'pascabayar', 'diwajibkan', 'paketan', 'internet', 'lawak', 'paketan', 'mahal', 'bet', 'mending', 'im', '']</t>
  </si>
  <si>
    <t>['bukak']</t>
  </si>
  <si>
    <t>['ngga', 'buka', 'aplikasi', 'hey', '']</t>
  </si>
  <si>
    <t>['jaringan', 'kek', 'kont', 'bayar', 'paketan', 'doang', 'mahal']</t>
  </si>
  <si>
    <t>['mahal', 'banget', 'bayarnya', 'ngga', 'beli', 'pulsa', 'darurat', 'kog', 'sms']</t>
  </si>
  <si>
    <t>['bukak', 'aplikasinya', 'lemot', 'didaerah', 'rumah', 'sinyal', 'masi', 'stabil', 'mulu', 'plosok', 'kaga', 'daerahnya']</t>
  </si>
  <si>
    <t>['jaringan', 'telkomsel', 'nonton', 'bokep', 'vpn', 'beuhhh', 'lancarnya', 'maen', 'ampe', 'ngaceng', 'tegangg', 'giliran', 'ngegame', 'ama', 'daring', 'ngeleg', 'tanggung', 'sumpah', 'provider', 'perusak', 'bangsa', 'kah', '']</t>
  </si>
  <si>
    <t>['paketan', 'mahal', 'sinyal', 'lemot', 'maen', 'game', 'kagak', 'mulu', 'sinyal', 'kecewa', 'berat', 'pelayanan', '']</t>
  </si>
  <si>
    <t>['udah', 'mahal', 'lelet', 'jaringan', 'hilang', 'timbul', 'jaringan', '']</t>
  </si>
  <si>
    <t>['semoga', 'kedepan']</t>
  </si>
  <si>
    <t>['kecewa', 'buka', 'ditunggu', 'lamaaaa', 'layar', 'putih', 'berkali', 'kali', 'instal', 'uninstal', 'hasilnya', 'tetep', '']</t>
  </si>
  <si>
    <t>['coba', 'install', 'ulang', 'blank', 'putih', 'udah', 'seminggu', 'aplikasi', 'dibuka', 'kecewa']</t>
  </si>
  <si>
    <t>['mantap', 'promo']</t>
  </si>
  <si>
    <t>['berhasil', 'instal', 'buka', 'telkomsel', '']</t>
  </si>
  <si>
    <t>['lelet']</t>
  </si>
  <si>
    <t>['beli', 'paket', 'telpon', 'spesial', '']</t>
  </si>
  <si>
    <t>['trimakasih', 'apk', 'telkomsel', 'login', 'dapet', 'mb', 'cepet', 'donlod']</t>
  </si>
  <si>
    <t>['bagus', 'banget', 'apknya', '']</t>
  </si>
  <si>
    <t>['aneh', 'gabisa', 'masuk', 'telkomsel', 'udh', 'dihapus', 'maduk', 'tetep', 'gabisa', 'stresss']</t>
  </si>
  <si>
    <t>['poin', 'ditukar', 'item', 'game']</t>
  </si>
  <si>
    <t>['service', 'memuaskan', 'jaringan', 'peratahan', 'telkomsel', 'kecepatan', 'jaringan', 'bagus', '']</t>
  </si>
  <si>
    <t>['membantu', 'membeli', 'paket', 'internet']</t>
  </si>
  <si>
    <t>['paket', 'mahal', 'jaringan', 'kaya', 'ms', 'mulu', 'jing']</t>
  </si>
  <si>
    <t>['paket', 'murah', 'bolleh', '']</t>
  </si>
  <si>
    <t>['', 'buka', '']</t>
  </si>
  <si>
    <t>['pelit', 'bener', 'voucher', 'pulsa', 'monetary', 'gabisa', 'beli', 'kuota', 'pelit', 'bener']</t>
  </si>
  <si>
    <t>['pengguna', 'kartu', 'telkomsel', 'kecewa', 'aplikasi', 'update', 'buka', 'sarankan', 'ngga', 'update', 'perubahan', 'bagus', 'jelek', 'aplikasinya']</t>
  </si>
  <si>
    <t>['telkomsel', 'gua', 'dibuka', 'woi']</t>
  </si>
  <si>
    <t>['okeelagi', 'telkomsel']</t>
  </si>
  <si>
    <t>['promonya', 'bnyak', 'jaringnnya', 'tlong', 'perbagus', '']</t>
  </si>
  <si>
    <t>['tawaran', 'menarik']</t>
  </si>
  <si>
    <t>['murah', 'amanah']</t>
  </si>
  <si>
    <t>['koq', 'ngeblank', 'mulu', 'buka']</t>
  </si>
  <si>
    <t>['jaringan', 'rusak']</t>
  </si>
  <si>
    <t>['perasaan', 'paket', 'sebelah', 'jaringannya', 'ngelag', 'knp', 'paket', 'parah']</t>
  </si>
  <si>
    <t>['aplikasi', 'telkomsel', 'buka', 'update', 'terimakasih']</t>
  </si>
  <si>
    <t>['telkomsel', 'login', 'buka']</t>
  </si>
  <si>
    <t>['apk', 'telkomsel', 'buka', 'udah', 'instal', 'gagal', 'trs', 'tlg', 'diperbaiki', 'check', 'saldo', 'kuota']</t>
  </si>
  <si>
    <t>['stress', 'kartu', 'telkomsel', 'harga', 'paketan', 'mahal', 'bkn', 'paketan', 'sinyal', 'dajal', 'abis', 'ilang', 'pas', 'maen', 'djancok', 'sinyalnya', 'gajelas', 'djancok', 'lelet', 'lelet', 'mah', 'ngilang', 'sinyalnya', 'sinyal', 'mbps', 'main', 'lag', 'parah', 'pdhl', 'paketan', 'msih', 'full', 'jlek', 'bangkrut']</t>
  </si>
  <si>
    <t>['gabisa', 'dibuka', '']</t>
  </si>
  <si>
    <t>['semoga', 'jaringan', 'bandung', 'timur', 'bagus']</t>
  </si>
  <si>
    <t>['ancur', 'jaringan', 'buka', 'aplikasi', 'susah', 'payah', 'mahal', 'doang', '']</t>
  </si>
  <si>
    <t>['download', 'aplikasi', 'telkomsel', 'msh', 'buka', 'mengecewakan', 'pelanggan', 'pengguna', 'setia', 'telkomsel', '']</t>
  </si>
  <si>
    <t>['kecewa', 'simpati', 'harga', 'paket', 'mencekik', 'sinyal', 'kadang', 'bagus', 'kadang', 'jelek', 'paketan', 'habis', 'lag', 'parah', 'paket', 'combo', 'sakti', 'dikasih', 'harga', 'mahal', 'combo', 'sakti', 'murah', 'aktif', 'sebulan', 'isi', 'paket', 'customer', 'untungkan', 'buntungkan', 'kecewa', 'pelayanan', 'telkomsel', 'parah', '']</t>
  </si>
  <si>
    <t>['aplikasi', 'berguna']</t>
  </si>
  <si>
    <t>['woi', 'telkomsel', 'setan', 'kau', 'rugi', 'gua', 'beli', 'paket', 'internet', 'paketnya', 'lelet', 'banget', 'kau', 'ubah', 'jaringannya', 'lelet', 'kayak', 'kali', 'gua', 'rugi', 'beli', 'dasar', 'telkomsel', 'sampah', 'taik', 'kau', 'setan', '']</t>
  </si>
  <si>
    <t>['jaringan', 'lemot', 'banget', 'internet', 'lelet']</t>
  </si>
  <si>
    <t>['sihh']</t>
  </si>
  <si>
    <t>['jaringan', 'buruk', 'jelek', 'main', 'pubg', 'jaringan', 'merah', 'trusss', 'tolong', 'diperbaiki']</t>
  </si>
  <si>
    <t>['buka', 'sudh', 'ipdate']</t>
  </si>
  <si>
    <t>['aplikasinya', 'bagus', 'memudahkan', 'beli', 'paket']</t>
  </si>
  <si>
    <t>['alhamdulillah', 'suka', 'aplikasi', 'harga', 'kuota', 'murah', 'sinyal', 'lancar', 'transaksi', 'pakai', 'pulsa', 'semoga', 'jaya', '']</t>
  </si>
  <si>
    <t>['', 'harga', 'jiwa', 'kemiskinanku', 'meronta', 'ronta', 'kasian', 'tinggal', 'daerah', 'pedalamanan', 'tersedia', 'jaringan', 'operator', 'terkomsel']</t>
  </si>
  <si>
    <t>['semoga', 'kedepan', 'telkomsel', 'jaya', 'sukses', '']</t>
  </si>
  <si>
    <t>['sulit', 'buka']</t>
  </si>
  <si>
    <t>['signyal', 'buruk', 'wilayah', 'tepatnya', 'desa', 'setianegara', 'kec', 'cibeureum', 'kota', 'tasikmalaya', 'jabar', 'tolong', 'diperbaiki', 'pengguna', 'telkomsel', 'nyaman', 'terimakasih', 'tunggu', 'perbaikannya', '']</t>
  </si>
  <si>
    <t>['aplikasi', 'tukar', 'poin', 'jdi', 'buka', 'skalinya', 'buka', 'cod', 'gajelas']</t>
  </si>
  <si>
    <t>['rating', 'aplikasi', 'dibuka', 'android', 'android', 'buka', 'berat', '']</t>
  </si>
  <si>
    <t>['mohon', 'dibantu', 'berhenti', 'langganan', 'kartu', 'halo', '']</t>
  </si>
  <si>
    <t>['maaf', 'bintang', 'beli', 'kuota', 'pdhl', 'jaringan', 'bagusm']</t>
  </si>
  <si>
    <t>['buka', 'semenjak', 'update', '']</t>
  </si>
  <si>
    <t>['tolong', 'perbaiki', 'sinyalnya', 'jabodetabek', 'sinyalnya', 'jelek', '']</t>
  </si>
  <si>
    <t>['kecewa', 'telkomsel', 'skrng', 'mai', 'beli', 'kuota', 'mahal', 'truss', 'beli', 'kali', '']</t>
  </si>
  <si>
    <t>['mempermudah', 'ngisi', 'kuota']</t>
  </si>
  <si>
    <t>['pembelian', 'paket', 'gampang', 'trus', 'promo', 'sinyal', 'kadang', 'stabil']</t>
  </si>
  <si>
    <t>['aplikasi', 'telkomsel', 'knp', 'habis', 'update', 'login', 'mnggu', 'mohon', 'pencerahannya', 'beli', 'paket', 'susah', '']</t>
  </si>
  <si>
    <t>['paket', 'gaje', 'beli', 'combo', 'sakti', 'unlimited', 'paket', 'unlimited', 'appsnya', 'fupnya', 'kecepatan', 'internetnya', 'dipotong', 'sedari', 'lantas', 'fup', 'nama', 'paket', 'unlimited', 'apps', 'gimmick', 'dipakai', 'selebihnya', 'masuk', 'gamesmax', 'bermain', 'game', 'kecepatan', 'internetnya', 'dipotong', 'kena', 'fup', '']</t>
  </si>
  <si>
    <t>['cepat', 'berkelas']</t>
  </si>
  <si>
    <t>['loading', 'nggak', 'buka']</t>
  </si>
  <si>
    <t>['kenpa', 'jelek', 'jaringan', 'telkomsel', 'laporkan', 'kartu', 'goblog', 'banget', 'perbaiki', 'jaringannya', 'pindah', 'kartu', 'telkomtol', 'telkomlag']</t>
  </si>
  <si>
    <t>['membantu', 'kereeeeeenn']</t>
  </si>
  <si>
    <t>['parahhh', 'semalam', 'ilangin', 'signal', 'huu', 'dtng', 'bakuhantam']</t>
  </si>
  <si>
    <t>['sinyal', 'payah', 'tolong', 'telkomsel', 'perbaiki', 'sinyal', 'lancar', 'sinyalnya', 'kaya', 'sosmed', 'ngelegnya', 'istighfar', '']</t>
  </si>
  <si>
    <t>['beli', 'paketan', 'pulsa', 'utama', 'kecuri', 'paketan', 'sisa', 'notifikasi', 'pulsa', 'pas', 'cek', 'pulsa', 'habis', 'kaya', 'kartu', 'sebelah', 'penguncian', 'pulsa', 'utama', 'jdi', 'khuatir', 'pulsa', 'keambil', '']</t>
  </si>
  <si>
    <t>['install', 'aplikasi', 'nggak', 'sibuka', 'buka', 'aplikasi', 'layar', 'blank', 'putih', 'nggak', 'aplikasi', '']</t>
  </si>
  <si>
    <t>['membantu', 'informasi']</t>
  </si>
  <si>
    <t>['sim', 'tolak', 'ngk', 'tersedia', 'entak', 'kau', 'telkomsel', 'males', 'pakai', 'kartu', 'telkomsel', 'mending', 'pakai', 'axis', 'telkomsel', 'burik', '']</t>
  </si>
  <si>
    <t>['kaga', 'dibuka', 'apk', 'parah', 'beli', 'paket', 'data', 'games', 'login', 'apaansi', 'telkomsel', 'parah', 'bet', '']</t>
  </si>
  <si>
    <t>['telkomsel', 'kartu', 'layak', 'udah', 'mah', 'paket', 'mahal', 'signal', 'burik', '']</t>
  </si>
  <si>
    <t>['update', 'buka', 'njirr', 'payah', 'asli']</t>
  </si>
  <si>
    <t>['mudah', 'murah', 'membeli', 'paaket']</t>
  </si>
  <si>
    <t>['aplikasi', 'sgt', 'membantu']</t>
  </si>
  <si>
    <t>['tch', 'jaringan', 'suka', 'ilang']</t>
  </si>
  <si>
    <t>['versi', 'karna', 'dibuka', 'kendatipun', 'lelet']</t>
  </si>
  <si>
    <t>['versi', 'terbaru', 'berguna', 'buka', 'apk', 'berhenti', 'paksa']</t>
  </si>
  <si>
    <t>['paket', 'cepat', 'habis']</t>
  </si>
  <si>
    <t>['mudah', 'transaksi', 'aplikasi']</t>
  </si>
  <si>
    <t>['oii', 'buka', 'buset']</t>
  </si>
  <si>
    <t>['aplikasi', 'dibuka', 'tampilan', 'putih']</t>
  </si>
  <si>
    <t>['tolong', 'perbaiki', 'sinyal', 'kuota', 'murah', 'sinyal', 'jelek', 'player', 'mobile', 'legend', 'tolong', 'perbaiki', 'sinyal', 'udh', 'bagus', 'komentar', 'plis', 'sinyal', 'naikin', '']</t>
  </si>
  <si>
    <t>['apk', 'sia', 'sia', 'isi', 'pulsa', 'tarik', 'apk', 'kon']</t>
  </si>
  <si>
    <t>['msih', 'blum', 'paham']</t>
  </si>
  <si>
    <t>['sinyal', 'jelek', 'wilayah', 'support', 'sinyal', 'tinggal', 'dikota', 'serasa', 'sinyal', 'pegunungan', '']</t>
  </si>
  <si>
    <t>['mengecewakan', 'aplikasinya', 'buka', 'huh']</t>
  </si>
  <si>
    <t>['layanan', 'jaringannya', 'benerin', 'main', 'ngelag', 'kali', 'maklum', 'ngelagnya', 'kek', 'ditendang', 'rahmatullah', 'anying']</t>
  </si>
  <si>
    <t>['kakak', 'knp', 'buka', 'apk', 'layar', 'putihhh', 'terusss', 'boleee', 'masukk', 'knppo', 'yaaaa', 'mkasiii']</t>
  </si>
  <si>
    <t>['', 'telkomsel', 'udah', 'beli', 'mahal', 'pas', 'main', 'game', 'jaringan', 'emosii']</t>
  </si>
  <si>
    <t>['dear', 'telkomsel', 'lapor', 'maytelkomsel', 'buka', 'perbaharui', 'solusinya', 'beli', 'paket', 'telkomsel', 'poin', 'terima', 'kasih']</t>
  </si>
  <si>
    <t>['kecewa', 'update', 'aplikasi', 'buka', 'aplikasi', 'telkomsel', '']</t>
  </si>
  <si>
    <t>['suka', 'telkomsel', 'tukar', 'koin', 'nggak', 'menang', '']</t>
  </si>
  <si>
    <t>['paket', 'internet', 'mahal', 'signal', 'lemot']</t>
  </si>
  <si>
    <t>['kaga', 'dibuka', 'aplikasi', 'milih', 'paketan', 'gabisa', 'buruk', 'telkomsel', 'payah', '']</t>
  </si>
  <si>
    <t>['kecewa', 'abis', 'update', 'apk', 'telkomsel', 'buka', 'hapus', 'beli', 'paket', 'internetnya', 'mahal', 'ganti', 'kartu', 'perdana', 'semoga', 'indosat', 'kayak', 'gini', '']</t>
  </si>
  <si>
    <t>['isi', 'pulsa', 'rb', 'langsung', 'terpotong', 'rb', 'bwt', '']</t>
  </si>
  <si>
    <t>['upgrate', 'terbuka', 'apknyaa']</t>
  </si>
  <si>
    <t>['menarik', 'ngan', '']</t>
  </si>
  <si>
    <t>['semoga', 'promonya', '']</t>
  </si>
  <si>
    <t>['mudah', 'isi', 'pulsa', '']</t>
  </si>
  <si>
    <t>['tolong', 'disediakan', 'bts', 'daerah', 'daerah', 'terpencil', 'imbal', 'untung', 'jasa', 'telkomsel', 'perkotaan', 'terimakasih', '']</t>
  </si>
  <si>
    <t>['dibuka', 'nyesal', 'download']</t>
  </si>
  <si>
    <t>['beli', 'paket', 'kuota', 'apk', 'telkomsel']</t>
  </si>
  <si>
    <t>['halo', 'kak', 'pelanggan', 'setia', 'telkomsel', 'kecewa', 'promo', 'mahal', 'logout', 'login', 'uninstal', 'install', 'perubahan', 'karen', 'sesuai', 'petunjuk', 'perkembangan']</t>
  </si>
  <si>
    <t>['woy', 'telkomsel', 'sinyal', 'gua', 'main', 'sinyal', 'jelek', 'udah', 'mahal', 'sinyal', 'kayak', 'taik', 'mending', 'gua', 'pindah', 'murah', 'sinyal', 'bagus', 'emang', 'telkomsel', 'udah', 'tua', 'udah', 'sinyal', '']</t>
  </si>
  <si>
    <t>['bangga', 'banget', 'telkomsel', 'paket', 'murah', 'cocok', 'kantong', 'pelajar', 'semoga', 'paket', 'internet', 'membantu', 'banget', 'harga', 'terjangkau', 'dlu', 'prnya', 'tingkatkan', 'kualitas', 'jaringan', 'mengalami', 'sinyal', 'hilang', 'tolong', 'perhatikan', 'terkait', 'problem', '']</t>
  </si>
  <si>
    <t>['', 'bintang', 'pakai', 'bagus', 'bintang']</t>
  </si>
  <si>
    <t>['diisi', 'nomor', 'buka', 'tlng', 'diperbaiki', 'sempurna']</t>
  </si>
  <si>
    <t>['', 'paket', 'internet', 'kau', 'promo', 'jaringan', 'kota', 'pedesaan', 'kota', 'kau', 'pedulikan', 'jaringan', 'telkomsel', 'kau', 'perkuat', 'pedesaan', 'lupa', 'stabil', 'jaringan', '']</t>
  </si>
  <si>
    <t>['mdh', 'sinyal', 'slalu', 'stabil']</t>
  </si>
  <si>
    <t>['kartunya', 'cepat', 'expired', 'mati', 'pelayanan', 'buruk', 'menyelesaikan', 'pakai', 'indosat', 'tri', '']</t>
  </si>
  <si>
    <t>['mantul', 'aplikasi', 'sngat', 'menyenangkan']</t>
  </si>
  <si>
    <t>['jaringan', 'wilayah', 'rumah', 'jelek', 'kondisi', 'mendung', 'hujan', 'hujan', 'sinnyal', 'bagus', 'tolong', 'yth', 'telkomsel', 'pasulitas', 'sinnyal', 'jaringan', 'bagus', 'wilayah', 'wilayah', 'kalahang', 'nyomplong', 'kadudodol', 'kec', 'cimanuk', 'kab', 'pandeglang', 'banten', 'tunggu', 'sinnyal', 'jaringan', 'bagus', 'kasih', 'bintang', 'deh', 'kasih', 'smp', 'jaringan', 'bagus']</t>
  </si>
  <si>
    <t>['kecewa', 'sumpah', 'ama', 'telkomsel', 'paketan', 'internet', 'internetan', 'non', 'faket', 'kuota', 'internet', 'gb', 'pulsa', 'gue', 'kepotong', 'kecewa', 'sumpah', 'gblg']</t>
  </si>
  <si>
    <t>['wee', 'kasih', 'bagus', 'jaringan', 'desakuu', 'darah', 'tigi', 'main', 'gemm', '']</t>
  </si>
  <si>
    <t>['moon', 'maap', 'tanggal', 'desember', 'ulasan', 'aplikasi', 'telkomsel', 'dibuka', 'mohon', 'diperbaiki', 'bug', '']</t>
  </si>
  <si>
    <t>['aplikasinya', 'update', 'mahal', 'mohon', 'turunkan', 'harga', 'paketnya', 'orang', 'susah', 'susah', 'mohon', 'pengertianya']</t>
  </si>
  <si>
    <t>['masuk', 'aplikasi', 'update', 'mohon', 'perbaikanya']</t>
  </si>
  <si>
    <t>['pls', 'makan', 'trus', 'apk', 'yaa']</t>
  </si>
  <si>
    <t>['sya', 'kecewa', 'skli', 'karna', 'sya', 'beli', 'paket', 'mahal', 'tpi', 'jaringan', 'msmuaskan']</t>
  </si>
  <si>
    <t>['apk', 'telkomselku', 'ndak', 'buka', 'sampe', 'kecewa']</t>
  </si>
  <si>
    <t>['kayaknya', 'orang', 'telkomsel', 'ngambek', 'perusahaan', 'karna', 'bug', 'aplikasi', 'perbaiki', 'buka', 'aplikasi', 'blank', 'putih', 'beli', 'kebuka', 'masak', 'pakai', 'aplikasi', 'mytelkomsel', 'beli', 'wkwkwkwk', '']</t>
  </si>
  <si>
    <t>['mohon', 'diperbaiki', 'sush', 'ngecek', 'kuata', 'isi', 'paket', 'masuk', 'acan', 'sngat', 'kecewa']</t>
  </si>
  <si>
    <t>['gimana', 'update', 'dipakai', 'app', 'mytelkomselnya', 'layar', 'putih', 'trus', 'solusinya', '']</t>
  </si>
  <si>
    <t>['parah', 'nukerin', 'poin', 'telkomsel', 'poin', 'voucher', 'alfamart', 'seminggu', 'ditukarkan', 'keterangan', 'ditukarkan', 'alfamart', 'batang', 'jawa', 'posisi', 'surabaya', 'lemahnya', 'proyeksi', 'telkomsel', 'terhdap', 'hacker', '']</t>
  </si>
  <si>
    <t>['membuka', 'telkomsel', 'butuh', 'perjuangan', '']</t>
  </si>
  <si>
    <t>['beli', 'kartu', 'telkomsel', 'udh', 'mahal', 'sinyal', 'turun', 'beli', 'kartu', 'telkomsel', 'mending', 'beli', 'murah', 'sinyal', 'kuat', 'telkomsel', 'coba', 'udh', 'mahal', 'ngelag', 'ngelag', 'lgi', 'sinyalnya', 'kagak', 'gini', 'sekrng', 'knp', 'kartu', 'mencekik']</t>
  </si>
  <si>
    <t>['pengguna', 'telkomsel', 'harap', 'perhatikan', 'aktifnya', 'lupa', 'screen', 'shot', 'berubah', 'halus', 'telkomsel', 'customer', 'membeli', 'pulsa', 'memperpanjang', 'aktif', '']</t>
  </si>
  <si>
    <t>['jaringan', 'maximal', 'undian', 'telkomsel', 'kabar', 'beritanya', 'sdg', 'ngirim', 'poin']</t>
  </si>
  <si>
    <t>['hati', 'hati', 'telkomsel', 'aktif', 'halus', 'telkomsel', 'customer', 'membeli', 'pulsa', 'memperpanjang', 'aktif', 'komen', 'hilang', 'penulisan', 'komen', '']</t>
  </si>
  <si>
    <t>['apl', 'buruk', 'ganti', 'kartu', 'mas', 'bro', 'serius', 'ntar', 'sakit', 'ati', 'telkomsel', 'mantap', 'murah', 'mah', 'mahal', 'tolol', 'cuihhhhhh']</t>
  </si>
  <si>
    <t>['pulsa', 'hilang', 'menu', 'kunci', 'pulsa', 'isi', 'pulsa', 'aman', '']</t>
  </si>
  <si>
    <t>['apklikasinya', 'knp', 'buka', 'beli', 'paket', 'combo', 'sakti', 'aplikasi', 'updete', 'apk', 'buka']</t>
  </si>
  <si>
    <t>['knp', 'telkomsel']</t>
  </si>
  <si>
    <t>['mohon', 'perbaiki', 'apk', 'telkomsel', 'udh', 'kayak', 'jujur', 'suka', 'telkomsel', 'dlu', 'sakarang', 'selisih', 'harga', 'membeli', 'paketan', 'tolong', 'kuota', 'darurat', 'hapus', 'kuota', 'tinggal', 'separuh', 'udah', 'aktif', 'kuota', 'daruratnya', '']</t>
  </si>
  <si>
    <t>['telkomsel', 'seminggu', 'telkomsel', 'lelet', 'jaringannya', 'mulu', 'lancar', 'mohon', 'telkomsel', 'memperbaiki', 'wonogiri', 'jawa']</t>
  </si>
  <si>
    <t>['isi', 'pulsa', 'tpi', 'jdi', 'trus', 'notifikasi', 'internet', 'non', 'paket', 'nonaktifkanya', 'gimana', '']</t>
  </si>
  <si>
    <t>['telkomsel', 'suka', 'curi', 'pulsa', 'isi', 'udah', 'abis', 'kali', 'tpi', 'sinyal', 'gada', 'dikota', 'gmana', 'udah', 'veronica', 'gini', 'mending', 'pindah', 'tri', '']</t>
  </si>
  <si>
    <t>['cepat', 'akurat']</t>
  </si>
  <si>
    <t>['aplikasi', 'terkini', 'memper', 'mudah', 'masyarakat', 'pengguna', 'telkomsel']</t>
  </si>
  <si>
    <t>['main', 'benerin', 'napa', 'bro', 'mahal', 'beli', 'stabil']</t>
  </si>
  <si>
    <t>['tolong', 'paket', 'ekstra', 'unlimited', 'balikin', 'min', '']</t>
  </si>
  <si>
    <t>['tolonglah', 'telkomsel', 'tingkatkan', 'sinyal', 'daerah', 'depok', 'plosok', 'pakai', 'kartu', 'sinyalnya', 'kartu', 'isi', 'paket', 'sinyalnya', 'busuk', 'mahalnya', 'doang', 'beda', 'kartu', 'sebelah', 'murah', 'kemampuan', 'tolong', 'tingkatkan']</t>
  </si>
  <si>
    <t>['bagus', 'apknya', 'mura']</t>
  </si>
  <si>
    <t>['puas', 'membantu', 'banget', '']</t>
  </si>
  <si>
    <t>['buka', 'layar', 'putih', 'muncul']</t>
  </si>
  <si>
    <t>['telkomsel', 'kesini', 'jelek', 'singnal', 'paket', 'internet', 'mahal', 'sperti', 'trus', 'bnyak', 'pindah', 'kartu', 'tolong', 'perbaikin', 'admin']</t>
  </si>
  <si>
    <t>['dibuka', 'yaa', 'apk', '']</t>
  </si>
  <si>
    <t>['sinyal', 'jaringan', 'telkomsel', 'tolong', 'diperbaiki', 'lemot']</t>
  </si>
  <si>
    <t>['masuk', 'aplikasi', 'cek', 'pulsa', 'masuk']</t>
  </si>
  <si>
    <t>['aplikasi', 'terbuka']</t>
  </si>
  <si>
    <t>['beli', 'paket', 'udh', 'kebuka', 'apk', 'jaringan', 'udh', 'bagus', 'trus', 'udh', 'wifi', 'kebuka', 'kemarin', 'beli', 'paket', 'suprise', 'deal', 'kaga', 'udh', 'hapus', 'apk', 'trus', 'download', 'ulang', 'kebuka', 'parah', 'emang', 'apk']</t>
  </si>
  <si>
    <t>['puas', 'sayang', 'kebanyakan', 'kuota', 'lokal']</t>
  </si>
  <si>
    <t>['aplikasi', 'dlbisa', 'dibuka']</t>
  </si>
  <si>
    <t>['semoga', 'baguss']</t>
  </si>
  <si>
    <t>['aplikasi', 'telkomsel', 'bagus', 'memper', 'mudah', 'interaksi', 'ber', 'komunikasi']</t>
  </si>
  <si>
    <t>['sebulan', 'aplikasi', 'ngga', 'buka']</t>
  </si>
  <si>
    <t>['sinyal', 'jelek']</t>
  </si>
  <si>
    <t>['update', 'aplikasi', 'membukanya', '']</t>
  </si>
  <si>
    <t>['diperbarui', 'instal', 'ulang', 'tetep', 'dibuka', 'aplikasinya', '']</t>
  </si>
  <si>
    <t>['kecewa', 'ama', 'telkomsel', 'sinyal', 'susah', 'kaya', 'kadang', 'serasa', 'jaringan', 'lemot', 'jual', 'merugikan', 'beli', 'paket', 'unlimited', 'youtube', 'jalan', 'jalan', 'rugi', 'tolong', 'lhk', '']</t>
  </si>
  <si>
    <t>['login', 'cengkunek', 'sebentar', 'update', 'buk', 'aplikasi', 'sll', 'kogin', 'udh', 'diperbaharui', 'aplikasi', 'perbarui', 'dodol']</t>
  </si>
  <si>
    <t>['layanannya']</t>
  </si>
  <si>
    <t>['tambahin', 'bonusan']</t>
  </si>
  <si>
    <t>['haduuuuuh', 'dibuka', 'apk']</t>
  </si>
  <si>
    <t>['assalamualaikum', 'malam', 'dingin', 'merek', 'negara', 'amerika']</t>
  </si>
  <si>
    <t>['harga', 'paket', 'internetnya', 'mahal', 'jaringan', 'ilang', 'mendadak', 'nyesel', 'pakai', 'telkomsel']</t>
  </si>
  <si>
    <t>['boboboy', 'terbaik', '']</t>
  </si>
  <si>
    <t>['gratis', 'wkwkwk']</t>
  </si>
  <si>
    <t>['respon', 'bot', 'ditangani', 'muter', 'botnya', 'trus', 'jaringannya', 'ilang', 'provider', 'mantan', 'telkomselnya', 'muncul', 'ihh', '']</t>
  </si>
  <si>
    <t>['kepercayaan', 'jaga']</t>
  </si>
  <si>
    <t>['knapa', 'telkomsel', 'ngk', 'buka', 'udah', 'download', 'berkali', 'ngk', 'buka']</t>
  </si>
  <si>
    <t>['telkomsel', 'dirombak', 'total', 'direksinya', 'perubahan', 'akin', 'buruk', 'kualitas', 'layanan', 'konsumen', 'terimakasih', 'mohon', '']</t>
  </si>
  <si>
    <t>['telkontoi', 'beli', 'paket', 'susah', 'pembayaran', 'gagal', 'mulu', 'udah', 'lag', 'ajg']</t>
  </si>
  <si>
    <t>['aplikasi', 'emang', 'mantap', 'cepat']</t>
  </si>
  <si>
    <t>['mohon', 'aplikasi', 'telkom', 'perbaikin', 'susah', 'buka', 'apklikasi', 'telkom', 'kasih', 'bintang', 'aplikasi', 'telkom', 'udah', 'buka']</t>
  </si>
  <si>
    <t>['nonton', 'youtube', 'paket', 'youtube', 'kesedot', 'paket', 'utama', 'dasar', 'provider', 'rusak', 'sma', 'korupsi', 'berkali', 'kali']</t>
  </si>
  <si>
    <t>['internet', 'tarif', 'non', 'paket', 'pulsa', 'kepotong', 'penjelasan', 'pemakaian', 'aplikasi', '']</t>
  </si>
  <si>
    <t>['telkomsel', 'pelit', 'promo', 'mahal', 'poin', 'telkomsel', 'dpt', 'undian', '']</t>
  </si>
  <si>
    <t>['aplikasinya', 'dibuka', 'paket', 'data', 'aplikasi', 'perbarui', 'dibuka', 'tolong', 'servernya', 'diperbaiki', 'min', 'jujur', 'kecewa', '']</t>
  </si>
  <si>
    <t>['', 'bagus', 'tolol', 'jaringannya', 'kaya', 'karyawan', 'kerja', 'ngurus', 'jaringan', 'kontolll']</t>
  </si>
  <si>
    <t>['dibuka', 'apk', 'min', 'udah', 'pekan', 'ngisi', 'paket']</t>
  </si>
  <si>
    <t>['jaringannya', 'hilang', 'hilang', 'pdhal', 'kota', 'makassar', 'buka', 'aplikasi', 'tsel', 'loading', '']</t>
  </si>
  <si>
    <t>['lumayanlah', 'fitur', 'telkomsel', 'gratis', 'kuota', 'jaringannya', 'lumayan', 'bagus']</t>
  </si>
  <si>
    <t>['masuk', 'apk', 'telkomsel', 'kenapaa', 'cuman', 'layar', 'putih', 'doang', 'buka', 'uninstall', 'refres', 'mohon', 'perbaiki']</t>
  </si>
  <si>
    <t>['upgrade', 'harga', 'kuota', 'mahal']</t>
  </si>
  <si>
    <t>['mksih', 'telkomsel', 'slalu', 'menemani']</t>
  </si>
  <si>
    <t>['hadiah', 'kupon', 'telkomsel', 'terbaik', '']</t>
  </si>
  <si>
    <t>['memuas']</t>
  </si>
  <si>
    <t>['update', 'ngga', 'tampilan', 'nge', 'blank', 'lihat', 'tagihan', '']</t>
  </si>
  <si>
    <t>['kurangi', 'bintang', 'buruk', 'pelayanan', 'paket', 'sesuai', 'kecewa', '']</t>
  </si>
  <si>
    <t>['dibuka', 'pembaharuan', 'parah', 'parah', 'parahnya', 'jaringan', 'gnya', 'ibukota', 'didaerah', 'hheeee']</t>
  </si>
  <si>
    <t>['suka', 'aplikasi', 'mudah', 'beli', 'paket', 'promo', 'terimakasih', 'telkomsel', '']</t>
  </si>
  <si>
    <t>['telkomsel', 'kek', 'konto', 'hujan', 'ngelag', 'kartu', 'laen', 'kagak', 'udh', 'mahal', 'paketan', 'tpi', 'lelet', 'asw']</t>
  </si>
  <si>
    <t>['paketan', 'niat', 'unlimited', 'batasannya', 'gajelas']</t>
  </si>
  <si>
    <t>['puas', 'telkomsel', 'manjadi', 'mudah', 'belanja', 'paket', 'ajak', 'voucher', 'belanja', 'undian', 'memuaskan', '']</t>
  </si>
  <si>
    <t>['dibuka', 'apl', 'udh', 'rendem', 'poin', 'tolong', 'telkomsel', 'knapa']</t>
  </si>
  <si>
    <t>['sekelas', 'telkomsel', 'wilayah', 'perum', 'gardenia', 'city', 'sidoarjo', 'bertahun', 'sinyal', 'bar', 'doang', 'penguatan', 'sinyal', 'kalah', 'ama', 'provider', 'rugi', 'kartu', 'halo', 'sinyal']</t>
  </si>
  <si>
    <t>['omg', 'nonton', 'youtube', '']</t>
  </si>
  <si>
    <t>['harga', 'kualitas', 'turun', 'sinyal', 'kacau', 'dlu', 'lancar', 'buruk']</t>
  </si>
  <si>
    <t>['singkat', 'bile', 'kuota']</t>
  </si>
  <si>
    <t>['tipu', 'beli', 'data', 'ribu', 'ngak', 'masuk', 'gue', 'pulsa', 'udah', 'hilang', 'data', 'ngak', 'dasar', 'penipu']</t>
  </si>
  <si>
    <t>['kuota', 'multimedia', 'deskripsi', 'tulis', 'sosmed', 'iming', 'games', 'dll', 'sekedar', 'buka', 'maps', 'butuh', 'mnt', 'jaringan', 'full']</t>
  </si>
  <si>
    <t>['pasang', 'paket', 'pulsa', 'emang', 'telkomsel', 'kaya', '']</t>
  </si>
  <si>
    <t>['jaringanya', 'emosi']</t>
  </si>
  <si>
    <t>['paket', 'internet', 'mahal', 'sinyal', 'jelek', 'gini', 'teruss', 'ganti', 'kartu', 'ajaa', 'akuuu']</t>
  </si>
  <si>
    <t>['bgus', 'mantaps']</t>
  </si>
  <si>
    <t>['kualitas', 'signal']</t>
  </si>
  <si>
    <t>['jelek', 'andal', 'game', 'online', 'mengecewakan']</t>
  </si>
  <si>
    <t>['skrg', 'buka', '']</t>
  </si>
  <si>
    <t>['apl', 'buka', 'jaringan', 'super', 'bagus', 'neh', 'bayar', 'tag', 'kartu', 'hallo', 'terkendala']</t>
  </si>
  <si>
    <t>['pelayanannya', 'via', 'veronika', 'buruk', 'slow', 'respond', 'komplain', 'voucher', 'jam', 'valid', 'beda', 'jam', 'pulsa', 'kepotong', 'gatau', 'beli', 'mohon', 'diperbaiki', 'pelayanannya']</t>
  </si>
  <si>
    <t>['jaringan', 'telkomsel', 'buruk', 'nonton', 'youtube', 'lambat', 'resolusi', 'masi', 'muter', '']</t>
  </si>
  <si>
    <t>['tolong', 'pakai', 'sinyalnya', 'mulu', 'tolong', 'perbaiki', 'ntar', 'kasih', 'bintang', '']</t>
  </si>
  <si>
    <t>['telkomsel', 'jaringannya', 'jelek', 'nggak', 'main', 'nonton', 'yutub', 'lag', '']</t>
  </si>
  <si>
    <t>['layar', 'putih', 'diapa', 'apain']</t>
  </si>
  <si>
    <t>['beli', 'ketengan', 'sosmed', 'kebawa', 'kuota', 'utama', 'aneh']</t>
  </si>
  <si>
    <t>['semoga', 'dapet', 'hadiah']</t>
  </si>
  <si>
    <t>['trif', 'telkomsel', 'kartu', 'beda', 'murah', 'mahal', 'jringan', 'rada', 'loyo']</t>
  </si>
  <si>
    <t>['bangke', 'update', 'buka', 'gimana']</t>
  </si>
  <si>
    <t>['', 'telkomsel', 'dibuka', 'payah', 'cek', 'pulsa', 'cek', 'kuota', 'jam', 'muncul', 'instal', 'mytelkomsel', 'buka', '']</t>
  </si>
  <si>
    <t>['harga', 'paket', 'sebanding', 'jaringan', 'sinyal', 'dpt', 'harga', 'paket', 'mahal', 'provider', 'kualitas', 'lokasi', 'jogja', 'kota']</t>
  </si>
  <si>
    <t>['semoga', 'menang', 'undian', 'telkomsel']</t>
  </si>
  <si>
    <t>['telkomsel', 'gue', 'buka', 'buka', 'putih', 'doang', 'bangke']</t>
  </si>
  <si>
    <t>['jaringannya', 'kesini', 'jelek', 'provider', 'sampah']</t>
  </si>
  <si>
    <t>['telkomsel', 'paket', 'habis', 'pulsa', 'main', 'sedot', 'kebiasaan']</t>
  </si>
  <si>
    <t>['', 'beli', 'voucher', 'mobile', 'legend', 'point', 'klik', 'meng', 'akses', 'point', 'beli', 'saldo', 'link', 'link', 'pke', 'gunanya']</t>
  </si>
  <si>
    <t>['knp', 'dibuka', 'aplikasinya', '']</t>
  </si>
  <si>
    <t>['combo', 'sakti', '']</t>
  </si>
  <si>
    <t>['bagus', 'buruk', 'simpati', 'sinyal', 'jelek', 'apk', 'telkomsel', 'buka', 'udh', 'kali', 'tlp', 'suruh', 'tunggu', 'sampe', 'udh']</t>
  </si>
  <si>
    <t>['knp', 'apk', 'buka', '']</t>
  </si>
  <si>
    <t>['ulasannya', 'lugas']</t>
  </si>
  <si>
    <t>['update', 'aplikasi', 'dibuka', '']</t>
  </si>
  <si>
    <t>['dibuka', 'layar', 'putih', 'coba', 'update', 'aplikasinya', 'telkomsel', 'visa', 'dibuka']</t>
  </si>
  <si>
    <t>['smua', 'serba', 'mahal', 'sinyal', 'lelet', 'kampung', 'masuk', 'akal', 'dikota', 'tangerang']</t>
  </si>
  <si>
    <t>['mantap', 'semoga', 'beruntung', '']</t>
  </si>
  <si>
    <t>['suka', 'aplikasi']</t>
  </si>
  <si>
    <t>['aplikasi', 'kebuka', 'layar', 'putih', 'pakai', 'aplikasinya', 'satunya', 'buka', 'normal', 'aplikasinya', '']</t>
  </si>
  <si>
    <t>['', 'iya', 'beli', 'paketan', 'telkom', 'rb', 'beli', 'gb', 'pas', 'cek', 'gb', 'doang', 'hah', 'korup', 'sumpah']</t>
  </si>
  <si>
    <t>['update', 'gabisa', 'buka', 'ngeblank', 'putih']</t>
  </si>
  <si>
    <t>['lemot', 'bukti', 'transfer', 'pulsa', 'via', 'sms', '']</t>
  </si>
  <si>
    <t>['alhamdulillah', 'aplikasinya']</t>
  </si>
  <si>
    <t>['sinyal', 'ancur', 'area', 'surabaya', 'modal', 'mahal', 'doang', 'sinyal', 'busuk']</t>
  </si>
  <si>
    <t>['paketan', 'cepat', 'habis', 'bantu', '']</t>
  </si>
  <si>
    <t>['hay', 'telkomsel', 'knapa', 'aplikasimu', 'dibuka', 'respon', 'please', 'cepat', 'respon', 'dylu', 'pernag', 'rewel', 'skrg', 'knapa', 'jdi', 'gni', 'sich', 'trouble', 'jga']</t>
  </si>
  <si>
    <t>['informasi']</t>
  </si>
  <si>
    <t>['promo', 'keren', 'keren']</t>
  </si>
  <si>
    <t>['aplikasi', 'mendukung', 'admin', 'aplikasi', 'harga', 'yng', 'murah', 'terjangkau', '']</t>
  </si>
  <si>
    <t>['kecewa', 'paket', 'combo', 'sakti', 'internet', 'sosmed', 'diakses', 'paket', 'sosmed']</t>
  </si>
  <si>
    <t>['simpati', 'kesini', 'parah', 'motongin', 'pulsa', 'cek', 'tagihan', 'pulsa', 'darurat', 'udh', 'ngisi', 'pulsa', 'potong', 'gila', 'bener', 'simpati', '']</t>
  </si>
  <si>
    <t>['nanya', 'beli', 'kouta', 'unlimited', 'tertera', 'ngegame', 'sosmed', 'dll', 'niat', 'jualan', '']</t>
  </si>
  <si>
    <t>['uji', 'coba', '']</t>
  </si>
  <si>
    <t>['ngebug', 'gabisa', 'dibuka', '']</t>
  </si>
  <si>
    <t>['kali', 'download', 'ulang', 'karna', 'buka', 'udah', 'biarin', 'menit', 'masuk', '']</t>
  </si>
  <si>
    <t>['aplikasinya', 'dibuka', 'tolong', 'aplikasi', 'kompatible', 'versi', 'android', 'sekelas', 'bumn', 'merancang', 'aplikasi', 'sebodoh', 'korupsi']</t>
  </si>
  <si>
    <t>['kesini', 'jaringannya', 'parah', 'nyoba', 'kartu', 'halo', 'lemot', 'kartu', 'simpati', 'perubahan', 'mendingan', 'merekomen', 'kartu', 'simpati', 'tmn', 'bintangpun', 'ksh', 'intinya', 'sebanding', 'lakukan', 'simpati', 'tolong', 'perbaiki', 'maks', '']</t>
  </si>
  <si>
    <t>['sungguh', 'bagus', 'telkomsel', '']</t>
  </si>
  <si>
    <t>['aplikasinya', 'habis', 'diupdate', 'dibuka', 'udah', 'berhari', 'ngecek', 'beli', 'kuota', '']</t>
  </si>
  <si>
    <t>['mahal', 'signal', 'jelek', 'game', 'lemot', 'mantap', 'kekurangan', 'jos', 'kayaknya', 'udah', 'bangkrut', 'bintang', 'kasih', 'bintang', '']</t>
  </si>
  <si>
    <t>['membatu', 'pembelian', 'paket', 'data', 'plz', 'counter', 'plz', 'sukses', 'jaga', 'keaslian', 'aplikasinya', 'lelet', 'update', 'tingkatkan', 'terbaik', 'pengguna', 'aplikasi', 'mkah', '']</t>
  </si>
  <si>
    <t>['telkomsel', 'lemot', 'parah']</t>
  </si>
  <si>
    <t>['transaksi', 'pembelian', 'paket', 'praktis', 'informasi']</t>
  </si>
  <si>
    <t>['tukar', 'poin']</t>
  </si>
  <si>
    <t>['quota', 'kebuang', 'pakai', '']</t>
  </si>
  <si>
    <t>['aplikasi', 'telkomsel', 'dibuka', 'kecewa', 'berat', 'beli', 'paket', 'data', 'paket', 'data', 'telkomsel', 'pdhl', 'lumayan', 'murah', 'tolong', 'perbaiki', 'donk', 'aplikasi', 'terimakasih']</t>
  </si>
  <si>
    <t>['mati', 'hilang', 'sinyal', 'nggak', 'lancar', 'tugas', 'nggak', 'kirim', 'gara', 'gara', 'paketan', '']</t>
  </si>
  <si>
    <t>['sinyal', 'kuat', 'mn', '']</t>
  </si>
  <si>
    <t>['apk', 'buka', '']</t>
  </si>
  <si>
    <t>['', 'pegunungan', 'sinyalnya', 'bagus']</t>
  </si>
  <si>
    <t>['rekomendasikan']</t>
  </si>
  <si>
    <t>['simpel', 'harga', 'murah']</t>
  </si>
  <si>
    <t>['layak', 'dipertahankan', 'telkomsel', 'buruk', 'barang', 'harga', 'bro', 'kirim', 'pesan', 'berasa', 'lgi', 'hutan']</t>
  </si>
  <si>
    <t>['telkoms', 'hati']</t>
  </si>
  <si>
    <t>['mantap', 'simple', 'isi', 'paket']</t>
  </si>
  <si>
    <t>['susah', 'masuk', 'aplk', 'telkom']</t>
  </si>
  <si>
    <t>['update', 'aplikasi', 'gabisa', 'dibuka', 'tolong', 'atasi', 'permasalahan', 'lihat', 'ulasan', 'terimakasih']</t>
  </si>
  <si>
    <t>['perbaiki', 'penjualan', 'paket', 'terkonfirmasi']</t>
  </si>
  <si>
    <t>['telkomsel', 'banget', 'potong', 'pulsa', 'alasan', 'lunas', 'mengembalikan', 'pulsa', 'darurat', 'pdhl', 'prnh', 'jasa', 'pulsa', 'darurat', 'plis', 'laa', 'telkomsel', '']</t>
  </si>
  <si>
    <t>['aplikasi', 'telkomselnya', 'buka', '']</t>
  </si>
  <si>
    <t>['kuota', 'internet', 'berlaku', 'desember', 'pulsa', 'utama', 'berkurang', 'bayar', 'internet', 'aktifkan', 'paket', 'tukar', 'poin', 'poin', 'gb', 'belasan', 'ribu', 'pulsa', 'hilang', 'mengecewakan', '']</t>
  </si>
  <si>
    <t>['perbaiki', 'sinyal', 'jaringan', 'ntah', 'perusahan', 'plat', 'merah', 'kinerja', 'profesional', 'jaringan', 'lemot', 'harga', 'mahal', '']</t>
  </si>
  <si>
    <t>['parah', 'buka', 'uninstall', 'install', 'ttp', 'buka']</t>
  </si>
  <si>
    <t>['menginstalnya']</t>
  </si>
  <si>
    <t>['penggunaannya', 'gampang', 'harganya', 'murahhhhhh']</t>
  </si>
  <si>
    <t>['mudah', 'transaksi', 'pulsa', 'data']</t>
  </si>
  <si>
    <t>['mencoba', 'aplikasinya', 'paham', 'kasih', 'rating', '']</t>
  </si>
  <si>
    <t>['buka', 'aplikasiny', 'pas', 'buka', 'putih', 'muncul', 'kesel', 'dehhh']</t>
  </si>
  <si>
    <t>['sms', 'masuk', 'gag', 'langsung', 'terkompir', 'masi', 'apli', 'kasi', 'payah', 'gag']</t>
  </si>
  <si>
    <t>['semoga', 'telkomsel', 'membonusi']</t>
  </si>
  <si>
    <t>['parah', 'aplikasi', 'buka', 'nge', 'blang', 'warna', 'tampilan', 'putih', 'bersih', 'noda']</t>
  </si>
  <si>
    <t>['keluhan', 'customer', 'jawabannya', 'itupun', 'robot', 'dilempar', 'kesana', 'solusi', 'php', 'perbaikan', 'mytelkomsel', 'niat', 'aplikasi', 'malu', 'tetangga', 'sebelah', 'aplikasinya', 'lbh', 'arogan', 'memanjakan', 'costumernya', 'thks']</t>
  </si>
  <si>
    <t>['mytelkomsel', 'login', '']</t>
  </si>
  <si>
    <t>['tingkatkan', 'poin']</t>
  </si>
  <si>
    <t>['yth', 'telkomsel', 'tolong', 'perbaiki', 'koneksi', 'jaringan', 'wilayah', 'batang', 'jambi', 'sinyal', '']</t>
  </si>
  <si>
    <t>['jaringan', 'telkomsel', 'kesini', 'buruk']</t>
  </si>
  <si>
    <t>['gangguan', 'trus', 'internet']</t>
  </si>
  <si>
    <t>['mudah', '']</t>
  </si>
  <si>
    <t>['bner', 'terlkom', 'sekrang', 'jaringan', 'lelet', 'gile', 'buka', 'apk', 'skrng', 'dri', 'bgini', 'skrng', 'parah', 'kecewa', 'ama', 'jaringannya', 'telkomsel', '']</t>
  </si>
  <si>
    <t>['pas', 'nukar', 'poin', 'diamod', 'mobile', 'legends', '']</t>
  </si>
  <si>
    <t>['memperbaiki', 'bug', 'bug', 'parah']</t>
  </si>
  <si>
    <t>['paket', 'murah', 'sinyal', 'kencang', '']</t>
  </si>
  <si>
    <t>['bagus', 'baget', 'puas']</t>
  </si>
  <si>
    <t>['awww', 'napa', 'buka', '']</t>
  </si>
  <si>
    <t>['hbs', 'diperbarui', 'buka', 'aplikasiny']</t>
  </si>
  <si>
    <t>['telkomsel', 'mantap', 'terimakasih', 'telkomsel', '']</t>
  </si>
  <si>
    <t>['', 'bagus', 'memahami', 'perintahnya', 'berfungsi', 'optimal']</t>
  </si>
  <si>
    <t>['kecewa', 'isi', 'pulsa', 'karna', 'kuota', 'habis', 'isi', 'pulsa', 'masuk', 'aplikasi', 'menyalakan', 'data', 'langsung', 'pulsa', 'terpotong', 'rb', 'membeli', 'paket', 'internet', 'beli', 'pulsa', 'terbeli', 'informasi', 'pulsa', 'mencukupi', 'silahkan', 'isi', 'ulang', 'beli', 'paket', 'pulsa', 'terpotong', 'karna', 'menyalakan', 'data', 'seluler', 'masuk', 'aplikasi', 'pulsa', 'terpotong', '']</t>
  </si>
  <si>
    <t>['aplikasi', 'bsa', 'buka', 'nesel', 'donlodnya', 'habis', 'kuota', '']</t>
  </si>
  <si>
    <t>['paketnya', 'murah']</t>
  </si>
  <si>
    <t>['aplikasinya', 'bagus']</t>
  </si>
  <si>
    <t>['woah', 'bagus', 'banget']</t>
  </si>
  <si>
    <t>['tingkat', 'mahal', 'donk', '']</t>
  </si>
  <si>
    <t>['diupdate', 'blank', 'putih', 'doang']</t>
  </si>
  <si>
    <t>['makai', 'telkomsel', 'mudah', 'bermanfaat']</t>
  </si>
  <si>
    <t>['pengguna', 'telkomsel', 'keluhan', 'parah', 'ulasan', 'minus', 'bintang', 'gua', 'kasih']</t>
  </si>
  <si>
    <t>['aplikasi', 'telkomsel', 'buka', 'aplikasinya', 'update', 'update', 'bagus', 'lancar', 'aplikasinya', 'kali', 'dibuka', 'layar', 'putih', 'berat', 'aplikasinya', 'udah', 'instal', 'kali', 'mohon', 'telkomsel', 'unyuk', 'memperbaikinya', '']</t>
  </si>
  <si>
    <t>['sinyalnya', 'jelek', 'muter', 'mengecewakan', 'bsa', 'buka', 'aplikasi', 'telkomsel', 'bsa', 'bli', 'paket', 'lwt', 'apl', 'tel', 'tolong', 'secepatnya', 'perbaiki']</t>
  </si>
  <si>
    <t>['aplikasi', 'membantu', 'bagus', 'rugi', 'download']</t>
  </si>
  <si>
    <t>['', 'uninstal', 'berkali', 'ikutin', 'ngk', 'diakses', 'mlh', 'mash', 'buka', 'tsel']</t>
  </si>
  <si>
    <t>['slalu', 'menolak', 'akses', 'penukaran', 'poin']</t>
  </si>
  <si>
    <t>['patch', 'aplikasinya', 'blank', 'putih', 'buka']</t>
  </si>
  <si>
    <t>['paket', 'internet', 'ganguan']</t>
  </si>
  <si>
    <t>['mahal', 'doang', 'jaringan']</t>
  </si>
  <si>
    <t>['kaga', 'telkomsel', 'prabayar', 'jaringan', 'internetny', 'kaga']</t>
  </si>
  <si>
    <t>['app', 'membantu']</t>
  </si>
  <si>
    <t>['app', 'telkomselnya', 'kebuka', 'nge', 'blank', 'layar', 'putih', 'doang', 'bolak', 'instal', 'ulang', 'kebuka', '']</t>
  </si>
  <si>
    <t>['pnya', 'voucher', 'cmn', 'bwt', 'call', 'duty', 'njir', 'kga', 'ngep', '']</t>
  </si>
  <si>
    <t>['terhormat', 'pegawai', 'staf', 'telkomsel', 'tolong', 'disney', 'hotstar', 'tolong', 'hapus', 'kepake', 'pengguna', 'telkomsel', 'kecewa', 'asalnya', 'paket', 'unlimited', 'max', 'unlimited', 'gantikan', 'desney', 'hotstar', '']</t>
  </si>
  <si>
    <t>['memuaskan', 'terima', 'kasih']</t>
  </si>
  <si>
    <t>['mencoba', 'login', 'tpi', 'linknya', 'kekirim', '']</t>
  </si>
  <si>
    <t>['woy', 'isi', 'pulsa', 'maketin', 'gagal', 'mlu', 'pas', 'maketin', 'pulsa', 'kgk', 'thai', 'beli', 'pulsa', 'kuota', 'kgk', 'dpt', 'maketin', 'bis', 'shue']</t>
  </si>
  <si>
    <t>['aplikasi', 'taaaaiiiiii', 'buka', 'tutup', 'aplikasi', 'nipu', 'orang', 'donload']</t>
  </si>
  <si>
    <t>['sampah', 'buka', 'ayo', 'bumn', 'kerjanya', 'bener', 'app', 'semenjak', 'update', 'kyk', 'gini', 'sya', 'pengguna', 'feteran', 'jdi', 'kecewa', 'sya', 'pindah', 'provider', 'sebelah', 'mohom', 'telkomsel', 'bumn']</t>
  </si>
  <si>
    <t>['aplikasi', 'berengsek', 'kirim', 'pulsa', 'pulsa', 'berkurang', '']</t>
  </si>
  <si>
    <t>['jaringan', 'tolong', 'diperbaiki', '']</t>
  </si>
  <si>
    <t>['terimakasih', 'telkomsel', 'semoga', 'berkah', 'nuker', 'poin', 'nggak', 'beruntung']</t>
  </si>
  <si>
    <t>['internetnya', 'lancar', 'kuota', 'combo', 'murah', 'membantu', 'anak', 'sekolah']</t>
  </si>
  <si>
    <t>['pemakaian', 'bagus', 'tolong', 'dipertahankan']</t>
  </si>
  <si>
    <t>['kena', 'aplikasi', 'buka', 'perbaharui', 'bukanya', 'tambahbagus', 'jelek', 'hapus', 'download', 'buka']</t>
  </si>
  <si>
    <t>['membantu', 'pengguna', 'setia']</t>
  </si>
  <si>
    <t>['blm', 'pserta']</t>
  </si>
  <si>
    <t>['sya', 'pelanggan', 'telkomsel', 'sya', 'kecewa', 'skarang', 'beli', 'combo', 'pas', 'bayar', 'jdi', 'harganya', 'pemberitahuan', 'mahal', '']</t>
  </si>
  <si>
    <t>['mingguan', 'kuota', 'lumayan']</t>
  </si>
  <si>
    <t>['', 'semenjak', 'update', 'login', 'tolong', 'perbaiki']</t>
  </si>
  <si>
    <t>['mantap', 'banget', 'apl']</t>
  </si>
  <si>
    <t>['gass', 'pol', 'jaringan', 'cuaca', 'extreem']</t>
  </si>
  <si>
    <t>['mantab', 'mantul', 'joss']</t>
  </si>
  <si>
    <t>['kecewa', 'update', 'apk', 'dibuka', '']</t>
  </si>
  <si>
    <t>['maaf', 'kurangi', 'bintangnya', 'membeli', 'paket', 'telkomsel', 'parahlah', 'hubungi', 'csnya', 'susah', 'banget', '']</t>
  </si>
  <si>
    <t>['tolong', 'sinyal', 'kabupaten', 'ciomas', 'diperbaiki', 'sulit', 'dpat', 'orderan']</t>
  </si>
  <si>
    <t>['jaringan', 'oke', 'dimana']</t>
  </si>
  <si>
    <t>['telkomsel', 'sekrang', 'mahal', 'doang', 'jaringannya', 'lemot', 'kadang', 'ilang', 'ilang']</t>
  </si>
  <si>
    <t>['uda', 'kali', 'download', 'playstore', 'bukak', 'koneksi', 'eror', 'habis', 'instal', 'aman', 'sore', 'bukak', 'eror', 'pengguna', 'telkomsel', 'bosss']</t>
  </si>
  <si>
    <t>['update', 'apk', 'lancar', 'update', 'bukanya', 'buka', 'aplikasi', 'ngeblnk', 'layar', 'putih']</t>
  </si>
  <si>
    <t>['maaf', 'tlong', 'knapa', 'buka', 'apknya', 'cmn', 'muncul', 'layar', 'putih', 'trus', '']</t>
  </si>
  <si>
    <t>['semoga', 'pembahruan', 'aps', 'mytelkomsel']</t>
  </si>
  <si>
    <t>['paket', 'terjangkau', 'anak', 'sekolah', 'mahasiswa', '']</t>
  </si>
  <si>
    <t>['bagus', 'melayani']</t>
  </si>
  <si>
    <t>['susah', 'login', 'mytelkomsel']</t>
  </si>
  <si>
    <t>['knapa', 'apl', 'buka', 'mohon', 'saranya', '']</t>
  </si>
  <si>
    <t>['combo', 'sakti', 'tolong', 'diturunkan', 'harganya', 'banyakin', 'paket', 'murahnya']</t>
  </si>
  <si>
    <t>['pketan', 'mhal', 'kkuatan', 'jrgn', 'mnurun', 'trus', 'skrg', 'pelanggan', 'nyaman', 'masak', 'kalah', 'oprtr', 'biru', 'tolong', 'prbaiki', 'mski', 'pket', 'mhal', 'kekuatan', 'jaringan', 'maksimal']</t>
  </si>
  <si>
    <t>['pengguna', 'telkomsel', 'insyaallah', 'nomer', 'semoga', 'telkomsel', 'merakyat', 'rakyat', 'amiinn', 'robalallamin', '']</t>
  </si>
  <si>
    <t>['beli', 'paket', 'telkomsel', 'mahal', 'bngt', '']</t>
  </si>
  <si>
    <t>['sinyal', 'masuk', 'gresik', '']</t>
  </si>
  <si>
    <t>['teloomsel', 'kian', 'kian', 'bobrok', 'tinggal', 'kec', 'sei', 'melayu', 'kab', 'ketapang', 'kalbar', 'jaringan', 'payah', 'banget', 'keterangan', 'tpi', 'kualitas', 'payah', 'video', 'call', 'download', 'kirim', 'browsing', 'susahnya', 'cari', 'ketiak', 'ular', 'terhitung', 'kali', 'hubungi', 'call', 'center', 'tpi', 'menunggu', 'ntah', 'telkomsel', 'bangkrut', 'andai', 'pilihan', 'bintang', 'bintang', 'bagus']</t>
  </si>
  <si>
    <t>['telkomsel', 'sinyalnya', 'lemot', 'merasakan', 'telkomsel', 'berbeda', 'ganti', 'paket', '']</t>
  </si>
  <si>
    <t>['mudah', 'pembelian', 'paket', 'internet', 'recommended', 'pokoke', '']</t>
  </si>
  <si>
    <t>['kartu', 'pas', 'natal', 'promo', 'murah', 'telkom', 'pas', 'natal', 'mahal', 'sinyal', 'jelek', 'kouta', 'internet', 'mahal', 'najis', 'bet']</t>
  </si>
  <si>
    <t>['aplikasi', 'buka', 'trus', 'knpa', 'jaringan', 'buruk', '']</t>
  </si>
  <si>
    <t>['apknya', 'nga', 'update', 'nga', 'buka', '']</t>
  </si>
  <si>
    <t>['cek', 'kwota', 'simpel']</t>
  </si>
  <si>
    <t>['nonton', 'youtube', 'loading', 'patah', 'patah', 'kouta', 'mengecewakan']</t>
  </si>
  <si>
    <t>['turunkan', 'harga', 'paket', 'kuotanya', 'murah']</t>
  </si>
  <si>
    <t>['kenqpa', 'susah', 'dibuka', 'yaa', 'update']</t>
  </si>
  <si>
    <t>['pulsa', 'kepotong', 'mengakses', 'internet', 'mohon', 'perbaikilah']</t>
  </si>
  <si>
    <t>['kesini', 'jelek', 'aplikasi', 'telkomsel', 'susah', 'akses', 'buka', 'layar', 'putih', '']</t>
  </si>
  <si>
    <t>['tolong', 'jaringan', 'perbaiki', 'turun', 'paket', 'mahal', 'turun', '']</t>
  </si>
  <si>
    <t>['praktis', 'ngecek', 'pulss', 'kuota', 'tinggal', 'klik', 'ngambil', 'kuota', 'tinggal', 'pilih', 'sesuai', 'kebutuhan', 'poloknya', 'mytelkomsel', 'emang', 'mamtap', '']</t>
  </si>
  <si>
    <t>['telkomsel', 'susah', 'buka', 'pas', 'kuota', 'tinggal', 'dikit', 'buka', 'pulsa', 'terpakai', '']</t>
  </si>
  <si>
    <t>['apk', 'bagus', 'ngebantu', 'banget', 'isi', 'pulsa', 'tingkatkan', '']</t>
  </si>
  <si>
    <t>['sinyal', 'kuat', 'jaringan', 'internetnya', 'mengecewakan', 'kalah', 'kasih', 'bintang', '']</t>
  </si>
  <si>
    <t>['mudah', 'transaksi', 'inet']</t>
  </si>
  <si>
    <t>['aplikasinya', 'bagus', 'baget', 'sayang', 'cari', 'paket', 'combo', 'sakti', 'aplikasinya', '']</t>
  </si>
  <si>
    <t>['menang', 'telkomsel', 'poin', '']</t>
  </si>
  <si>
    <t>['', 'telkomsel', 'dibuka', '']</t>
  </si>
  <si>
    <t>['sip', 'paketbya', 'murah']</t>
  </si>
  <si>
    <t>['curiga', 'penipu', 'keluhan', 'pengguna', 'tanggapi', 'komentar', 'positif', 'tanggapi', 'ngga', 'trimakasih', 'komentar', 'kritis', 'developer', 'ngke', '']</t>
  </si>
  <si>
    <t>['apk', 'bagus', 'bngt', 'bermanfa', 'lgi', '']</t>
  </si>
  <si>
    <t>['undian', 'koar', 'doang', 'biaya', 'paket', 'mahal', 'seharus', 'kariawan', 'coment', 'pelanggan', 'ngeluh', 'terkait', 'jaringan', 'sbagiannya', 'direspond', 'catetyaa', 'prioritaskan', 'terkaid', 'kendala', 'telkomsel', 'fungsi', 'aplikasi', 'crash', 'apdate', 'bentar', 'sekian', 'riau']</t>
  </si>
  <si>
    <t>['tolong', 'perbaiki', 'mengalami', 'kesibukan', 'jaringan', 'update', 'hancur']</t>
  </si>
  <si>
    <t>['tingkatkan', 'kualitas', 'sinyal', 'internet', 'wilayah', 'pedalaman', 'sinyal', 'internet', 'lelet']</t>
  </si>
  <si>
    <t>['senakin', 'membantu', 'pelanggan', 'berkomunikasi']</t>
  </si>
  <si>
    <t>['suka', 'banget', 'telkomsel', 'promonyaa', 'love', 'you', 'telkomsel']</t>
  </si>
  <si>
    <t>['aflikasi', 'buka']</t>
  </si>
  <si>
    <t>['sinyal', 'jelek', 'harga', 'mahal', 'ngotak']</t>
  </si>
  <si>
    <t>['biaya', 'admin', 'transaksi']</t>
  </si>
  <si>
    <t>['cek', 'apapun', 'gampang', 'telkomsel']</t>
  </si>
  <si>
    <t>['simpati', 'gegara', 'blokir', 'jaringan', 'sayang', 'banget', 'daya']</t>
  </si>
  <si>
    <t>['bagus', 'membantu', 'terimakasih', '']</t>
  </si>
  <si>
    <t>['auto', 'check', 'out', 'bad', 'game', 'silver', 'kuota', 'sisa', 'kuota', 'game', 'dipakai', 'dilarikan', 'kuota', 'utama', 'njirrr']</t>
  </si>
  <si>
    <t>['masi', 'proses', 'mempelajari']</t>
  </si>
  <si>
    <t>['telkomsel', 'harap', 'apresiasi', 'pengguna', 'pengguna', 'hargai', '']</t>
  </si>
  <si>
    <t>['', 'uda', 'joss']</t>
  </si>
  <si>
    <t>['mantap', 'banget', 'tsel']</t>
  </si>
  <si>
    <t>['redeem', 'poin', 'pket', 'internet', 'sibuk', 'layanan', 'poin', '']</t>
  </si>
  <si>
    <t>['aplikasi', 'masuk', 'warna', 'putih', 'layarnya', 'udah', 'berulang', 'kali', 'hapus', 'download', 'tpi', 'bgtu', '']</t>
  </si>
  <si>
    <t>['isi', 'bonus', 'pulsa']</t>
  </si>
  <si>
    <t>['good', 'promonya', 'indonesia', 'bangga', 'rakyat', 'bahagia', 'telkomsel', 'dada', '']</t>
  </si>
  <si>
    <t>['download', 'dibuka', 'aplikasinya', 'update', 'software', 'dibuka', 'aplikasinya', 'aplikasi', 'membantu', 'cek', 'data', 'paketan', 'sisa', 'pulsa', 'tolong', 'informasi', 'telkomsel', 'aplikasi', 'dibuka', 'bug', 'sistem', 'aplikasi', 'mohon', 'diperbaiki', 'kelancaran', 'kenyamanaan', 'custamer', '']</t>
  </si>
  <si>
    <t>['membuka', 'telkomsel', 'tampilan', 'putih', '']</t>
  </si>
  <si>
    <t>['bagus', 'byk', 'informasi', 'kemudahan', 'bonus', 'pelanggan', 'thn', 'pelanggan', 'telkomsel', 'sukses', '']</t>
  </si>
  <si>
    <t>['kecewa', 'perbarui', 'buka', 'kasih', 'bintang', 'kecewa']</t>
  </si>
  <si>
    <t>['mudah', 'akses', 'kasih', 'harga', 'murah', 'pengguna', 'kartu', 'kesetian', 'pelanggan', 'apresiasi', '']</t>
  </si>
  <si>
    <t>['puwass', 'tingkat', '']</t>
  </si>
  <si>
    <t>['paketan', 'maxtream', 'kuota', 'utama', 'kena', 'sedot', 'aneh']</t>
  </si>
  <si>
    <t>['update', 'masuk', 'aplikasinya']</t>
  </si>
  <si>
    <t>['sinyal', 'buruk', 'harga', 'mahal']</t>
  </si>
  <si>
    <t>['menukarkan', 'poin', 'bgke']</t>
  </si>
  <si>
    <t>['knp', 'masuk', 'even', 'kagak']</t>
  </si>
  <si>
    <t>['paketan', 'mahal', 'turunkan', 'harga', 'internet', 'combo', 'sakti']</t>
  </si>
  <si>
    <t>['mahal', 'doang', 'ngelag']</t>
  </si>
  <si>
    <t>['', 'telkomsel', 'buka', 'datanya', 'buka', 'buka', 'loding', 'aneh', 'ama', 'telkomsel']</t>
  </si>
  <si>
    <t>['buka', 'apl', 'mucul', 'yar', 'putih']</t>
  </si>
  <si>
    <t>['byk', 'poin', 'kirim', 'tanda', 'kegembiraan', '']</t>
  </si>
  <si>
    <t>['pokoknya', 'telkomsel', 'yes', 'smoga', 'kedepanya', 'smakin', 'bnyk', 'promo']</t>
  </si>
  <si>
    <t>['kimak', 'bapakkau', 'telkom', 'ppq', 'mahal', 'mahal', 'beli', 'paket', 'jaringan', 'ppq', 'kau', 'kasihh', 'apntek', 'angg', 'telkom', 'anjiggg']</t>
  </si>
  <si>
    <t>['pemula', 'giliran', 'buka', 'kupon', 'habis', 'exp', 'date', 'tinggal', 'apalah', 'daya', 'tukar', 'promo', 'barang', 'rezeki', '']</t>
  </si>
  <si>
    <t>['amanan', 'pulsa', 'tolong', 'fiturnya', 'paket', 'data', 'internet', 'otomatis', 'memakai', 'pulsa', 'menyebalkan', 'disaat', 'lupa', 'mematikan', 'data', 'pulsa', 'tersedot', 'habis']</t>
  </si>
  <si>
    <t>['menyukai', 'aplikasi', 'ketipu', 'aplikasi', 'telkomsel', 'data', 'kuota', 'aplikasi', 'plus', 'paket', 'tersisa', 'mb', 'hilang', 'habis', 'online', 'charger', 'ponsel', 'mohon', 'kejelasannya', 'kejadian', 'jam', 'wita', 'tinggal', 'wilayah', 'makassar', 'ksh']</t>
  </si>
  <si>
    <t>['knp', 'apk', 'tsel', 'layar', 'ngblank', 'putih', 'pakai', 'galaxy', 'hanupis', 'sateuacan', '']</t>
  </si>
  <si>
    <t>['halo', 'telkomsel', 'jaringan', 'telkomsel', 'memalukan', 'lgi', 'terkenal', 'sebutan', 'rajanya', 'sinyal', 'internet', 'sekaran', 'berbalik', 'sesuai', 'harga', 'kualitas', 'koneksi', 'rendah', 'jujur', 'kesal', 'jaringan', 'telkomsel', 'terimakasih']</t>
  </si>
  <si>
    <t>['pemula', 'kasi', 'bintang']</t>
  </si>
  <si>
    <t>['produk', 'poin', 'telkomsel', 'nga', 'tukar', 'pulsa', 'telkomsel', '']</t>
  </si>
  <si>
    <t>['aplikasinya', 'bagus', 'fiturnya', 'menarik', 'promo', 'telkomsel', 'poin', 'semoga', 'hadiah', 'mobil', 'aamiin', '']</t>
  </si>
  <si>
    <t>['lumayan', 'bagus']</t>
  </si>
  <si>
    <t>['perbaiki', 'jaringannya', 'hujan']</t>
  </si>
  <si>
    <t>['lancar', 'jayaaaa', 'solusi', 'tercepat']</t>
  </si>
  <si>
    <t>['parah', 'paket', 'mahal', 'jaringan', 'burik', 'mending', 'tetangga', 'sebelah', 'murah', 'stabil', '']</t>
  </si>
  <si>
    <t>['', 'telkomsel', 'versi', 'terbaru', 'handphone', 'mendukung', 'versi', 'terbaru', 'saranin', 'versi', 'update', 'semoga', 'informasi', 'bermanfaat']</t>
  </si>
  <si>
    <t>['masuk', 'apk', 'putih', 'layarnya']</t>
  </si>
  <si>
    <t>['brengsek', 'pencuri', 'pulsa', 'paketan', 'berlaku', 'pulsa', 'kesedot', 'internet', '']</t>
  </si>
  <si>
    <t>['mantap', 'apk']</t>
  </si>
  <si>
    <t>['paket', 'mahal', 'mcm', 'kualiats', 'gtu', 'bertahun', 'tlkomsel', 'kcewa', 'tlg', 'perbaiki', 'kualitas', 'jaringan']</t>
  </si>
  <si>
    <t>['knpa', 'gabisa', 'buka', 'app']</t>
  </si>
  <si>
    <t>['jaringan', 'telkomsel', 'sinyalnya', 'susah', 'pembayaran', 'link', 'bagus']</t>
  </si>
  <si>
    <t>['susah', 'yaa', 'min', 'layar', 'putih', 'terusssssss', 'buka', 'apalikasi', 'uninstal', 'trs', 'instal', 'bisaaaa', 'disayangkan', 'sekelas', 'telkomsel', 'aplikasinya', 'menyusahkan', 'perbaiki', 'min', 'semudah', 'tengkyuuuu']</t>
  </si>
  <si>
    <t>['samsung', 'galaxy', 'akses', 'aplikasi', 'layar', 'putih', 'menerus', 'harap', 'diperbaiki', 'terimakasih', '']</t>
  </si>
  <si>
    <t>['knapa', 'yaa', 'kali', 'masuk', 'aplikasi', 'cma', 'layar', 'putih', 'pas', 'tunggu', 'sampe', 'menitan', 'tetep', 'bsa', 'masuk', 'udah', 'uninstal', 'instal', 'hasilnya', 'mohon', 'penjelasanya', '']</t>
  </si>
  <si>
    <t>['apknya', 'buka']</t>
  </si>
  <si>
    <t>['hallo', 'operator', 'telkomsel', 'knpa', 'aplikasi', 'telkomsel', 'ngk', 'dibuka', 'sebulan', 'ngk', 'aplikasinya', 'terbuka', 'org', 'mengunakan', 'aplikasi', 'telkomsel', 'ngk', 'terbuka', 'ngk', 'terbuka', 'aplikasinya', 'buka', 'aplikasinya', 'timbul', 'gambar', 'putih', 'tolonglh', 'operator', 'telkomsel', 'kendala', 'aplikasinya', 'tlng', 'diperbaiki', 'sngt', 'mbthkn', 'aplikasi', 'trsbt', 'sekian', 'trmksh']</t>
  </si>
  <si>
    <t>['update', 'apk', 'gabisa', 'buka', 'pas', 'apk', 'buka', 'putih', 'tolong', 'telkomsel', 'bantu', 'selesain', '']</t>
  </si>
  <si>
    <t>['toplah', 'tekomsel', 'perbanyak', 'bonus', '']</t>
  </si>
  <si>
    <t>['tolong', 'perbaiki', 'sinyal', 'telkomsel', 'daerah', 'surabaya', 'utara', 'orang', 'pindah', 'sinyal', 'faham']</t>
  </si>
  <si>
    <t>['jaringan', 'lemot', 'banget', 'udah', 'beli', 'paket', 'maxstreaming', 'gb', 'live', 'streaming', 'disney', 'lamot', 'keputar']</t>
  </si>
  <si>
    <t>['jaringan', 'telkomsel', 'busuk', 'mati', 'listrik', 'sinyal', 'langsung', 'hilang', 'kayak']</t>
  </si>
  <si>
    <t>['mengecewakan', 'telkomsel', 'mahal', 'penghargaannya', 'pengguna', 'telkomsel', 'setia', 'buset', 'pulsa', 'rp', 'harga', 'paket', 'rp', 'saldo', 'pembelian', 'konyol', '']</t>
  </si>
  <si>
    <t>['halo', 'developer', 'sya', 'sgt', 'senang', 'krna', 'kuota', 'ketengan', 'tiktok', 'unlimited', 'smoga', 'ditambhkan', 'lgi', 'ktengan', 'trima', 'kasih']</t>
  </si>
  <si>
    <t>['mantap', 'keren', '']</t>
  </si>
  <si>
    <t>['puas', 'penukaran', 'point']</t>
  </si>
  <si>
    <t>['udah', 'mhal', 'pket']</t>
  </si>
  <si>
    <t>['', 'apk', 'gimana', 'instal', 'disamsung', 'ngebleng', 'layar', 'putih', 'dihp', 'hadeh', '']</t>
  </si>
  <si>
    <t>['yth', 'provider', 'telkomsel', 'mohon', 'bantuannya', 'login', 'buka', 'aplikasi', 'telkomsel', 'kartu', 'prabayar']</t>
  </si>
  <si>
    <t>['bayar', 'mahal', 'jaringan', 'mendukung', 'kemajuan', 'turun', 'gimana']</t>
  </si>
  <si>
    <t>['harga', 'data', 'mahal', 'jaringan', 'murahan']</t>
  </si>
  <si>
    <t>['hadiahnya', '']</t>
  </si>
  <si>
    <t>['maaf', 'update', 'versi', 'apk', 'buka', 'versi', 'android', '']</t>
  </si>
  <si>
    <t>['apk', 'mytelkomsel', 'buka', '']</t>
  </si>
  <si>
    <t>['jaringan', 'kali', 'lelet']</t>
  </si>
  <si>
    <t>['oprator', 'terburuk', '']</t>
  </si>
  <si>
    <t>['jaringan', 'buruk', 'harga', 'paket', 'mahal', 'mending', 'axis', '']</t>
  </si>
  <si>
    <t>['aplikasi', 'eror', 'buka', 'blank', 'putih', '']</t>
  </si>
  <si>
    <t>['banget', 'buka', 'aplikasinya']</t>
  </si>
  <si>
    <t>['kemvanfkan', 'aplikasi', 'pelayanannya', 'maju', 'indonesiaku', '']</t>
  </si>
  <si>
    <t>['kutoa', 'abis', 'boros', 'kontll', 'telkomsel', 'sokk', 'sinyal', 'jelek', 'data', 'abis', 'pulsa', 'boros', 'unag', 'mahal', 'haram', 'bagus', 'suka', 'gratis', 'data', 'pulsa', 'tolong']</t>
  </si>
  <si>
    <t>['cocok', 'bet', '']</t>
  </si>
  <si>
    <t>['aplikasi', 'lambat', 'murah', 'meriah']</t>
  </si>
  <si>
    <t>['jelek', 'koneksi']</t>
  </si>
  <si>
    <t>['semoga', 'promo', 'menarik']</t>
  </si>
  <si>
    <t>['nggak', 'telkomsel', 'ngirim', 'gitu', 'lag', 'lihat', 'lihat', 'kondisi', 'trus', 'apk', 'nggak', 'dibukak', 'pulak', 'tolong', 'tsel', 'mahal', 'doang', 'pelayanan', 'berakibat', 'beralih', 'povider', 'lho', 'pelayanan', 'tsel']</t>
  </si>
  <si>
    <t>['telkomsel', 'kuota', 'berbeda', 'kuota', 'gb', 'unlimited', 'youtube', 'beli', 'kuota', 'gb', 'paket', 'unlimited', 'kubuat', 'nonton', 'youtube', 'kuota', 'gb', 'ilang', 'abis', 'download', 'bego', 'telkomsel']</t>
  </si>
  <si>
    <t>['telkomsel', 'harga', 'paketan', 'melambung', 'ngidupin', 'sinyalnya', 'pertamax', 'min', 'kualitas', 'sinyal', 'kalah', 'solar', 'min', 'jual', 'mahal', 'apanya', 'min', '']</t>
  </si>
  <si>
    <t>['paket', 'combo', 'mahal', '']</t>
  </si>
  <si>
    <t>['bagus', 'berguna', 'harga', 'murahin', '']</t>
  </si>
  <si>
    <t>['udah', 'bagus', 'jaringan', 'hehehe']</t>
  </si>
  <si>
    <t>['aplikasi', 'telkomsel', 'buka', 'lancar', 'tpi', 'knpa', 'skarang', 'buka', '']</t>
  </si>
  <si>
    <t>['knpa', 'terbuka', 'telkomsel', 'kendala', '']</t>
  </si>
  <si>
    <t>['habis', 'hujan', 'langsung', 'jelek', 'banget', 'sinyalnya', 'main', 'game', 'ping', 'turun', 'ngeleg']</t>
  </si>
  <si>
    <t>['nyoba', 'moga', 'cocok']</t>
  </si>
  <si>
    <t>['memuak', 'sinyal', 'ngak', 'lemot', 'down', 'ntah', 'menghubungkan', 'parah']</t>
  </si>
  <si>
    <t>['woyyy', 'telkosel', 'tolong', 'jaringan', 'benerin', 'jngan', 'peket', 'doang', 'mahal', 'anjx', '']</t>
  </si>
  <si>
    <t>['mempermudah', 'transaksi', 'belanja', 'paket']</t>
  </si>
  <si>
    <t>['lmyn', 'membantu']</t>
  </si>
  <si>
    <t>['kuota', 'internet', 'pulsa', 'dipisah']</t>
  </si>
  <si>
    <t>['', 'dun', 'blank', 'putih', 'tok']</t>
  </si>
  <si>
    <t>['banyakin', 'promonya']</t>
  </si>
  <si>
    <t>['dibetulkan', 'blank', 'putih', 'udah', 'hapus', 'cache', 'forced', 'close', 'instal', 'ulang']</t>
  </si>
  <si>
    <t>['ngasih', 'bintang', 'jaringan', 'stabil', 'ngelag', 'pas', 'main', 'game', 'alhasil', 'kalah']</t>
  </si>
  <si>
    <t>['sinyal', 'buruk', 'sinyal', 'full', 'ngapa', 'in']</t>
  </si>
  <si>
    <t>['kasih', 'bintang', 'full', 'paket', 'orbit', 'asik', 'telkomsel', '']</t>
  </si>
  <si>
    <t>['habis', 'diperbarui', 'ngga', 'dibuka']</t>
  </si>
  <si>
    <t>['paket', 'mahal', 'jaringan', 'kucing']</t>
  </si>
  <si>
    <t>['pelayanan', 'buruk', 'tinggal', 'diarea', 'tower', 'sinyal', 'lemah', 'beli', 'paket', 'combo', 'lemah', 'sinyal', '']</t>
  </si>
  <si>
    <t>['tolong', 'telkomsel', 'memperbaiki', 'jaringan', 'paket', 'internet', 'kuota', 'unlimited', 'dipakai', 'main', 'game', 'selebihnya', 'normal', 'terimakasih', '']</t>
  </si>
  <si>
    <t>['jelek', 'bonusnya']</t>
  </si>
  <si>
    <t>['makai', 'telkomsel', 'udah', 'puluh', 'perna', 'berminat', 'kartu', 'telkomsel', 'emang', 'okey', '']</t>
  </si>
  <si>
    <t>['app', 'telkomsel', 'bintang', 'update', 'dibuka', 'ahirnya', 'aplikasi', 'berguna', '']</t>
  </si>
  <si>
    <t>['dear', 'telkomsel', 'jaringan', 'lag', 'parah', 'membuka', 'game', 'sosmed', 'mohon', 'perbaiki', 'fup', 'hapus', 'jelek', 'jaringan', 'lambat', 'banget', 'tolong', '']</t>
  </si>
  <si>
    <t>['harga', 'paketnya', 'turun', '']</t>
  </si>
  <si>
    <t>['apk', 'dibuka', '']</t>
  </si>
  <si>
    <t>['mudahan', 'copat', 'mampus', 'anjing']</t>
  </si>
  <si>
    <t>['jelek', 'jaringan', 'telkomsel', 'udah', 'mahal', 'lemot', '']</t>
  </si>
  <si>
    <t>['sinyal', 'telkomsel', 'ngga', 'main', 'game', 'sosmed', 'susah', 'banget', 'tolong', 'dibenerin']</t>
  </si>
  <si>
    <t>['paketan', 'mahal', 'sinyal', 'emosi', 'gamenya', 'emang', 'sinyalnya', 'dasar', 'paketan', 'mahal', 'berkelas', 'mendingan', 'pakek', 'pole', 'telkomsel', 'poke', 'telkomsel', 'poke', 'poke', '']</t>
  </si>
  <si>
    <t>['mantap', 'telkomsel', 'hujan', 'gerimis', 'dikit', 'sinyal', 'langsung', 'down', 'mantap', '']</t>
  </si>
  <si>
    <t>['kali', 'beli', 'paket', 'internet', 'maaf', 'gangguan', 'sistem', 'cek', 'koneksi', 'ulangi', 'transaksi', 'menit', 'pas', 'ulang', 'hasil', 'tetep', '']</t>
  </si>
  <si>
    <t>['mahal', 'sinyal', 'optimal', 'parah']</t>
  </si>
  <si>
    <t>['lumayan', 'beli', 'kuota', 'beli', 'paket', 'knapa', 'hri', 'buka', 'layar', 'mlah', 'ngbleng', 'putih', '']</t>
  </si>
  <si>
    <t>['mempermudah', 'transaksi', '']</t>
  </si>
  <si>
    <t>['maaf', 'min', 'app', 'buka', 'uda', 'seminggu', 'lancar', 'lancar', 'update', 'buka']</t>
  </si>
  <si>
    <t>['update', 'aplikasi', 'buka', 'blank', 'layar', 'putih', 'saran', 'tim', 'telkomsel', 'testing', 'aplikasi', 'pakai', 'low', 'end', 'high', 'end', 'donk', 'keluhan', 'tanggapi', 'custumer', 'beli', 'paket', 'data', 'beli', 'paket', 'data', 'operator', '']</t>
  </si>
  <si>
    <t>['update', 'giliran', 'diupdate', 'dibuka', 'kacau', '']</t>
  </si>
  <si>
    <t>['kecewa', 'sinyal', 'buruk', 'malam']</t>
  </si>
  <si>
    <t>['jaringan', 'lemot', 'heran', 'maun', 'game', 'sinyal', 'down', 'mulu', 'perbaiki', 'gimana', 'gaada', 'kenyamanan', 'tinggal', 'pelosok', '']</t>
  </si>
  <si>
    <t>['jaringan', 'lelet', '']</t>
  </si>
  <si>
    <t>['harga', 'mahal', 'kualitasnya', 'jelek']</t>
  </si>
  <si>
    <t>['pelit', 'telkomsel', 'kuotanya', 'mahal', 'orang', 'indonesia', 'udah', 'telkomsel', 'kasih', 'harga', 'ekonomis', 'warga', 'indonesia', 'kah', '']</t>
  </si>
  <si>
    <t>['beli', 'paket', 'internet', 'ovo', 'knp', 'min', '']</t>
  </si>
  <si>
    <t>['jaringan', 'telkomsel', 'kayak', 'anjing', 'woy', 'niat', 'jaringan', 'hapus', 'telkomsel', 'indonesia', 'taik', 'losereak', 'mulu', 'anjinkkkk']</t>
  </si>
  <si>
    <t>['bener', 'ajalah', 'nuker', 'paket', 'data', 'nggak', 'pemberitahuan', 'nunggu', 'doang', 'udah', 'gitu', 'pakrt', 'datanya', 'habis', 'nggak', 'notifikasi', 'habislah', 'pulsanya', '']</t>
  </si>
  <si>
    <t>['kemudahan', 'bertransaksi']</t>
  </si>
  <si>
    <t>['realme', '']</t>
  </si>
  <si>
    <t>['apl', 'nga', 'dibuka', 'jelek', 'tolong', 'benerin', 'min']</t>
  </si>
  <si>
    <t>['menyukai', 'halaman']</t>
  </si>
  <si>
    <t>['mantaf', 'praktis', 'makasih']</t>
  </si>
  <si>
    <t>['tolong', 'telkomsel', 'sinyal', 'benerin', 'burik', 'koneksinya']</t>
  </si>
  <si>
    <t>['kualitas', 'sinyal', 'kecepatan', 'internet', 'tolong', 'perhatikan', 'area', 'kecamatan', 'tawangsari', 'sukoharjo']</t>
  </si>
  <si>
    <t>['paket', 'internet', 'unlimited', 'nggak', 'lancar', 'disamakan', 'paket', 'utama']</t>
  </si>
  <si>
    <t>['susah', 'dibuka', 'aplikasi', 'knapa', '']</t>
  </si>
  <si>
    <t>['sinyal', 'lemot', 'banget', 'telkomsel', '']</t>
  </si>
  <si>
    <t>['kuota', 'gjls', 'suka', 'ilang', 'ilangan']</t>
  </si>
  <si>
    <t>['pas', 'isi', 'kuota', 'pembayaran', 'gopay', 'berhasil', 'data', 'aktif', 'gadak', 'internet', 'gimna', 'berlangganan', 'gini', 'ceritanya']</t>
  </si>
  <si>
    <t>['aplikasinya', 'rusak', 'login']</t>
  </si>
  <si>
    <t>['aplikasi', 'mytelkomsel', 'bagus']</t>
  </si>
  <si>
    <t>['bagus', 'murah']</t>
  </si>
  <si>
    <t>['jaringan', 'lancar', 'puas', 'lokasi', 'jaringan', 'lancar']</t>
  </si>
  <si>
    <t>['kasih', 'promo', 'donk']</t>
  </si>
  <si>
    <t>['buka', 'kemarin', 'kayak', 'gini', 'telkomsl', '']</t>
  </si>
  <si>
    <t>['membantu', 'mhon', 'dimurahkan']</t>
  </si>
  <si>
    <t>['beli', 'pulsa', 'transaksi', 'masuk', 'trus', 'transaksi', 'masuk', 'saldo', 'keambil', 'gimana', 'telkomsel', 'nipu', 'terpaksa', 'pinda', 'oprator', 'telkomsel', 'parah', '']</t>
  </si>
  <si>
    <t>['habis', 'diperbaharui', 'knp', 'blank', 'putih', 'trus', '']</t>
  </si>
  <si>
    <t>['bintang', 'sebulan', 'aplikasi', 'ngeblank', 'layar', 'putih', 'kosong', 'pengguna', 'android', 'kompatibel', 'pemberitahuan', 'kecewa', 'berat', 'developer', 'becus', 'menangani', 'bertahun', 'customer', 'provider', 'nomor', 'mengalami', '']</t>
  </si>
  <si>
    <t>['bagus', 'berbagi', 'hadiah']</t>
  </si>
  <si>
    <t>['sinyal', 'jelek', 'paket', 'mahal', 'layanan', 'buruk', 'aplikasi', 'eror', 'lamban', 'gapernah', 'respon', 'pengguna', 'tamparan', 'bagus', 'kesini', 'jelek', '']</t>
  </si>
  <si>
    <t>['jaringan', 'ngadat']</t>
  </si>
  <si>
    <t>['smoga', 'telkomsel', 'lancar', 'trs']</t>
  </si>
  <si>
    <t>['harga', 'kuota', 'omg']</t>
  </si>
  <si>
    <t>['pakai', 'simpati', 'halo', 'skrng', 'hadiah', 'telkomsel', '']</t>
  </si>
  <si>
    <t>['buka', 'telkomsel', 'buka', 'layar', 'putih', 'trus']</t>
  </si>
  <si>
    <t>['lelet', 'internet', 'daerah', 'cirebon']</t>
  </si>
  <si>
    <t>['slow', 'respon']</t>
  </si>
  <si>
    <t>['parah', 'isi', 'pulsa', 'paketan', 'rb', 'gb', 'paketnya', 'ilang', 'mahal', 'mahal', 'parah', 'gilak', 'muak', 'pakek', 'krtu', 'kasih', 'bintang', 'kasih', 'bintang', '']</t>
  </si>
  <si>
    <t>['beli', 'paket', 'aplikasi', 'keterangan', 'gangguan', 'sistem', 'coba', 'berkali', 'kali', 'tolong', 'perbaiki', '']</t>
  </si>
  <si>
    <t>['memuaskan', 'beli', 'paket', 'mahal', 'susah', 'jring', 'nysal', 'sya', 'beli']</t>
  </si>
  <si>
    <t>['beli', 'aplikasi', 'habiskan', 'rb', 'lambat', 'banget']</t>
  </si>
  <si>
    <t>['bagus', 'bangaaat', 'lihat', 'kebawa', 'bagus', 'bagus', 'bangat', '']</t>
  </si>
  <si>
    <t>['halooo', 'apps', 'dibuka', 'layar', 'putih', 'udah', 'uninstal', 'berkali', 'kali']</t>
  </si>
  <si>
    <t>['mantap', 'sayangnya', 'telkomsel', 'ngisi', 'voucher', 'telkomsel', 'please', 'buatkan', 'fitur', 'memudahkan', 'pengguna', 'aplikasi', 'semoga', 'baca', '']</t>
  </si>
  <si>
    <t>['interaksi']</t>
  </si>
  <si>
    <t>['telkomsel', 'ngada', 'harga', 'ngelonjak', 'jaringan', 'kadang', 'jelek', 'pas', 'ujan']</t>
  </si>
  <si>
    <t>['habis', 'pembaruan', 'telecom', 'sel', 'parah', 'pulsa', 'hilang', 'program', 'apapun', 'pulsa', 'hilang', 'parah', 'proses', 'operator', 'seluler', 'tanggapan', 'semoga', 'perbaikan', 'kepuasan', 'pelanggan', 'tujuan', 'utama', 'pulsa', 'habis', 'beli', 'hilang', 'tuyul', 'kesel', 'kecewa', 'simpati', 'telecom', 'sel', 'semoga', 'perhatian', 'khusus', 'sukses', 'telecom', 'sel', 'terima', 'kasih']</t>
  </si>
  <si>
    <t>['jangkauan', 'cakupan', 'sinyal', '']</t>
  </si>
  <si>
    <t>['tukar', 'point', 'kuota', 'gagal', 'giliran', 'voucher', 'game', 'sukses', 'point', 'abis', 'voucher']</t>
  </si>
  <si>
    <t>['', 'buka', 'aplikasinya']</t>
  </si>
  <si>
    <t>['good', 'job', 'puas', 'pelayanannya']</t>
  </si>
  <si>
    <t>['sinyal', 'buruk', 'pas', 'mati', 'lampu', 'pusing', 'udah', 'paket', 'mahal', 'sinyal', 'jelek']</t>
  </si>
  <si>
    <t>['sebulan', 'buka', 'aplikasi', 'kirain', 'istri', 'buka', 'aplikasi', 'warna', 'putih']</t>
  </si>
  <si>
    <t>['kendala', 'apk', 'telkomsel', 'susah', 'banget', 'buka', 'apk']</t>
  </si>
  <si>
    <t>['sinyal', 'telkomsel', 'buruk', 'terganggu', 'cuaca', 'hujan', 'kit', 'bergerak', 'sinyal', 'menghilang']</t>
  </si>
  <si>
    <t>['keren', 'wow']</t>
  </si>
  <si>
    <t>['updetqn', 'maqlah', 'buka']</t>
  </si>
  <si>
    <t>['jaringan', 'kadang', 'bagus', 'kadang', 'jelek', 'knp', '']</t>
  </si>
  <si>
    <t>['telkomsel', 'parah', 'dibuka', 'aplikasinya']</t>
  </si>
  <si>
    <t>['aplikasi', 'memudahkan', 'customer', 'bertransaksi', 'langsung', 'provider', '']</t>
  </si>
  <si>
    <t>['harga', 'pulsa', 'paket', 'samain', 'simpati', 'pengguna', 'kartu', 'loyal', 'fasilitas', 'kartu', 'simpati']</t>
  </si>
  <si>
    <t>['sinyal', 'telkomsel', 'lemot', 'mengganggu', 'aktivitas', 'mengoperasikan', 'telkomsel', 'lemot']</t>
  </si>
  <si>
    <t>['udah', 'mahal', 'ngelag']</t>
  </si>
  <si>
    <t>['tolong', 'ngga', 'kasih', 'batasan', 'penggunaan', 'data', 'konsumen', 'bayar', 'mengganggu', 'nyaman', '']</t>
  </si>
  <si>
    <t>['min', 'tolong', 'distabilkan', 'dioptimalkan', 'jaringan', 'internetnya', 'ngak', 'paket', 'internetnya', 'dimahalin', 'jaringan', 'internetnya', 'stabil', 'lancar', '']</t>
  </si>
  <si>
    <t>['buka', 'kecewa']</t>
  </si>
  <si>
    <t>['mohon', 'sinyalnya', 'perkuat', 'duluh', 'tolong', 'jangat', 'lemot', '']</t>
  </si>
  <si>
    <t>['event', 'penukaran', 'mobile', 'legend', 'akses', 'event', 'mobile', 'legend', 'kecewa']</t>
  </si>
  <si>
    <t>['mantap', 'aplikasi', '']</t>
  </si>
  <si>
    <t>['tolonglah', 'telkomsel', 'data', 'murahin', 'dikit', 'full', 'kuota', 'utama', 'dibagi']</t>
  </si>
  <si>
    <t>['paketannya', 'mahal', 'tolong', 'dimurahin']</t>
  </si>
  <si>
    <t>['knpa', 'aplikasi', 'buka', 'samsung', 'tolong', 'infonya', 'dlu', 'buka', 'kecewa', 'memakai', 'telkomsel']</t>
  </si>
  <si>
    <t>['masuk', 'aplikasi']</t>
  </si>
  <si>
    <t>['memakai', 'telkomsel', 'dmnapun', 'menggunakannya', 'terbaik', 'terima', 'kasih', 'telkomsel', '']</t>
  </si>
  <si>
    <t>['maaf', 'kasih', 'bintang', 'udah', 'harga', 'mahal', 'sinyal', 'nggak', 'stabil', 'pulak']</t>
  </si>
  <si>
    <t>['sajauh', 'blm']</t>
  </si>
  <si>
    <t>['mudah', 'cek', 'kuota']</t>
  </si>
  <si>
    <t>['kesini', 'telkomsel']</t>
  </si>
  <si>
    <t>['memuaskan', 'mintak', 'tolong', 'akun', 'telkomsel', 'promo', 'paket', 'internet', 'murah', 'telkomsel']</t>
  </si>
  <si>
    <t>['muncul', 'aplikasinya']</t>
  </si>
  <si>
    <t>['beli', 'kuota', 'combo', 'sakti', 'harga', 'gagal', 'yaa', '']</t>
  </si>
  <si>
    <t>['bersahabat', 'harga', 'paketannya', 'sinyal', 'dimohon', 'stabil', 'udah', 'beli', 'mahal', 'disamain', 'murah']</t>
  </si>
  <si>
    <t>['informasi', 'paket', 'data', 'sisa', 'pulsa', 'habis', 'terkuras']</t>
  </si>
  <si>
    <t>['tolong', 'harga', 'paketnya', 'mahal', 'kesini', 'mahal', 'saudara', 'beli', 'paket', 'telkomsel', 'harganya', 'mahal', 'kayak', 'telkomsel', '']</t>
  </si>
  <si>
    <t>['cocok', 'banget', 'beli', 'data', 'pulsa']</t>
  </si>
  <si>
    <t>['kuota', 'mahall', 'jaringan', 'lemot']</t>
  </si>
  <si>
    <t>['apk', 'bagus', 'banget']</t>
  </si>
  <si>
    <t>['stop', 'telkomsel', 'masak', 'main', 'game', 'sinyal', 'hilang', 'stop', 'telkomsel', 'sinyal', 'mendukung', 'banget']</t>
  </si>
  <si>
    <t>['sinyal', 'dimaxsimalkan']</t>
  </si>
  <si>
    <t>['buka', 'telkomsel', 'jaringan', 'wifi', 'apapun', 'jaringan', 'dadakan', 'kadang', 'susah', 'dibuka']</t>
  </si>
  <si>
    <t>['ribet', 'pemakaiannya', 'mengganggu', 'download']</t>
  </si>
  <si>
    <t>['kpn', 'promo', 'terbaik']</t>
  </si>
  <si>
    <t>['telkomsel', 'tolol', 'sinyal', 'kayak', 'orang', 'ngemis', 'ajg', 'telkomsel', 'pelanggan', 'susah']</t>
  </si>
  <si>
    <t>['gara', 'ambil', 'pulsa', 'darurat', 'sedot', 'mulu', 'kecewa', 'telkomsel']</t>
  </si>
  <si>
    <t>['mantap', 'semangat', 'pengguna', 'telkomsel']</t>
  </si>
  <si>
    <t>['aplikasi', 'telkomsel', 'dibuka', 'layar', 'putih', 'polos', 'hapusdata', 'sampah', 'instal', 'ulang', '']</t>
  </si>
  <si>
    <t>['tautan', 'kode', 'taruh', 'lol']</t>
  </si>
  <si>
    <t>['aplikasi', 'error', 'bolak', 'masukkan', 'nomor', '']</t>
  </si>
  <si>
    <t>['mahal', 'jaringan', 'suka', 'lelet', 'pulsa', 'ilang', 'mohon', 'diperbaiki', 'terimakasih', '']</t>
  </si>
  <si>
    <t>['aplikasinya']</t>
  </si>
  <si>
    <t>['', 'iya', 'min', 'nanya', 'poin', 'dm', 'gabisa', 'beli', 'min', 'poin', 'iya', 'makasi', 'min']</t>
  </si>
  <si>
    <t>['samapai', 'perbaikan', 'pembayaran', 'link']</t>
  </si>
  <si>
    <t>['jaringan', 'memakai', 'ngelag', 'sinbol', 'jaringan', 'nge', 'lag', 'telkomsel', 'skrg', 'ngga', 'kaya', 'telkomtol', 'ngelag', 'dsr', 'kartu', 'ajg', 'gaguna']</t>
  </si>
  <si>
    <t>['udah', 'mahal', 'jaringan', 'waras', 'gws']</t>
  </si>
  <si>
    <t>['aplikasi', 'tolong', 'beli', 'unlimitedmax', 'umb', 'gara', 'aplikasi', 'beli', 'unlimitedmax', 'aneh', 'banget', 'paket', 'mahal', 'aplikasi', 'recommended']</t>
  </si>
  <si>
    <t>['telkomnyet', 'anying', 'jaringan', 'kayak', 'taikk']</t>
  </si>
  <si>
    <t>['beli', 'paket', 'jaringan', 'lemot', 'suruh', 'menit', 'coba', 'geram', 'jaringannya', 'sesuai', 'iklan', 'berharap', 'maksimalkan', 'pengguna', 'kartu', 'berpaling']</t>
  </si>
  <si>
    <t>['yth', 'telkomsel', 'hadiah', 'mohon', 'pertimbangkan', 'pelanggan', 'setia', 'telkomsel', 'terimakasih', '']</t>
  </si>
  <si>
    <t>['aplikasinya', '']</t>
  </si>
  <si>
    <t>['msh', 'blm', 'buka', 'apk', 'udh', 'brapa', 'kali', 'instal', 'ulang', 'ttep', 'buka']</t>
  </si>
  <si>
    <t>['membatu', '']</t>
  </si>
  <si>
    <t>['membantu', 'bingung', 'bayar', 'tagihan', 'kartu', 'halo', 'tgl', 'desember', 'habis', 'kuota', 'kuota', 'langganan', 'pakai', 'biaya', 'tagihan', 'berjalan', 'rbu', 'terpaksa', 'kuota', 'berlangganan', 'membinggungkan', 'pengaktifan', 'kuota', 'tanggal', 'bbatas', 'pembayaran', 'tgl', 'aktif', 'pakai', 'kartu', 'halo', 'tanggal', 'blokir', '']</t>
  </si>
  <si>
    <t>['sinyal', 'bagus', 'kel', 'semanan', 'kec', 'kalideres']</t>
  </si>
  <si>
    <t>['puas', 'banget', 'kouta', 'internetnya', 'tolong', 'dipermurahkan', 'peminatnya', 'bertambah', 'mohon', 'maaf', 'salah', 'trima', 'kasih', 'telkomsel', 'didepan', '']</t>
  </si>
  <si>
    <t>['aplikasi', 'keren', 'telkomsel', 'isi', 'saldo', 'pulsa', 'hilang', '']</t>
  </si>
  <si>
    <t>['min', 'telkomsel', 'isi', 'pulas', 'ambil', 'contoh', 'beli', 'gini']</t>
  </si>
  <si>
    <t>['ubah', 'bintang', 'kesini', 'jaringan', 'buruk', 'bagus']</t>
  </si>
  <si>
    <t>['paket', 'game', 'max', 'ridak']</t>
  </si>
  <si>
    <t>['telkomsel', 'jaringan', 'lemot', 'apalgi', 'main', 'game', 'online', 'jaringan', 'lemot', 'parah']</t>
  </si>
  <si>
    <t>['nyesel', 'unduh', 'buka', 'putih', 'doang']</t>
  </si>
  <si>
    <t>['aplikasinya', 'dibukak', 'udah', 'hpus', 'instal', 'lgi', 'dibukak', 'knp']</t>
  </si>
  <si>
    <t>['dear', 'developer', 'update', 'trakhir', 'sya', 'akses', 'masuk', 'penukaran', 'poin', 'diamond', 'game', 'update', 'lancar', 'syang', 'banget', 'poinnya', 'hangus', 'perbaiki', 'mempung', 'penukarannya', '']</t>
  </si>
  <si>
    <t>['halo', 'pengguna', 'telkomsel', 'tisak', 'bukak', 'telkomselnya', 'poin', 'mohon', 'bantuanya', '']</t>
  </si>
  <si>
    <t>['knapa', 'buka', 'loadingnya', 'jam', 'lamaaa', 'pisan', 'masuk', '']</t>
  </si>
  <si>
    <t>['puasa', 'murahin', 'donk', 'paket']</t>
  </si>
  <si>
    <t>['telkomsel', 'jaringannya', 'mantap']</t>
  </si>
  <si>
    <t>['telkomsel', 'rank', 'turun', 'mytik', 'sampe', 'epic', 'gila', 'emang', 'kesel', 'ngeleg', 'trus', 'ampe', 'banting', '']</t>
  </si>
  <si>
    <t>['abis', 'pembaruan', 'buka', 'susah', 'ngecek', 'kuota']</t>
  </si>
  <si>
    <t>['sumpah', 'bagus', 'bnget', 'cma', 'nukarin', 'poin', 'slalu', 'sistem', 'sibuk', 'bnget', 'poin', 'maaf', 'klau', 'cma', 'kasi', 'bintang', 'perbaiki', 'dlu', 'tukerin', 'poin']</t>
  </si>
  <si>
    <t>['telkomsel', 'parah', 'tanggal', 'desember', 'jaringan', 'internet', 'parah', 'udah', 'buang', 'kouta', 'kepakai', 'jaringan', 'internet', 'jelekkk', '']</t>
  </si>
  <si>
    <t>['sms', 'telkomsel', 'pulsa', 'hilang', 'dasar', 'tuyul', 'maling', 'pulsa', 'sms', '']</t>
  </si>
  <si>
    <t>['membantu', 'cepat', 'dlm', 'pengisuan', 'pulsa', 'paket', 'internet']</t>
  </si>
  <si>
    <t>['dasar', 'goblog', 'suka', 'ambil', 'pulsa', 'utama', 'paket', 'internet', 'habis', 'goblogggggg']</t>
  </si>
  <si>
    <t>['isi', 'paket', 'gangguan', 'sistem', 'bingung', 'aplikasi', 'isi', 'paket', 'internet', 'nelpon', 'jam', 'udah', 'beli', 'udah', 'jugak', 'salahnya', 'dimana', 'cobak', 'chat', 'virtual', 'veronika', 'nyambung', 'chat', 'orgnya', 'langsung']</t>
  </si>
  <si>
    <t>['handphone', 'real', 'pakaai', 'aplikasi', 'dibuka', 'muncu', 'laayaar', 'putih', 'terusss', 'knp', 'tolong', '']</t>
  </si>
  <si>
    <t>['bertambah', 'bertahun', 'smakin', 'karuan', 'jaringan', 'telkomsel', 'gunax', 'dipakai', 'telkomsel', 'isi', 'kouta', 'jaringan', 'stabil', 'kendala', 'transparan', 'memojokkan', 'mafia', 'kubu', 'singkirkan', 'berbau', 'negatif', 'kubumu', 'salam', 'kecewa', '']</t>
  </si>
  <si>
    <t>['kasih', 'bintang', 'dibuka']</t>
  </si>
  <si>
    <t>['parah', 'sinyal', 'telkomsel', 'harga', 'kuota', 'mahal', '']</t>
  </si>
  <si>
    <t>['pulsa', 'tersedot', 'langganan', 'paket', 'internetan', 'tersedot', 'unregnya', 'terima', 'kasih']</t>
  </si>
  <si>
    <t>['knpa', 'telkomsel', 'bsa', 'kbuka', 'tlong', 'prbaiki']</t>
  </si>
  <si>
    <t>['telkomsel', 'signal', 'mantappp', '']</t>
  </si>
  <si>
    <t>['ngak', 'bagus', 'lgi', 'aplikasi']</t>
  </si>
  <si>
    <t>['keluarkan', 'promo', 'tukar', 'point', 'diamond', 'free', 'fire']</t>
  </si>
  <si>
    <t>['pengguna']</t>
  </si>
  <si>
    <t>['provider', 'busuk', 'sinyal', 'internet', 'telp', 'chat', 'aplikasi', 'mesin', 'bodoh', 'mending', 'bangkrut', 'udah', 'mahal', 'sinyal', 'busuk']</t>
  </si>
  <si>
    <t>['parah', 'nggak', 'masuk']</t>
  </si>
  <si>
    <t>['suka', 'pakek', 'simpati']</t>
  </si>
  <si>
    <t>['bags', 'aplikasi']</t>
  </si>
  <si>
    <t>['payah', 'app', 'buka', 'doang', 'kesini', 'lemot']</t>
  </si>
  <si>
    <t>['temanku', 'telkomsel', 'terima', 'kasih', '']</t>
  </si>
  <si>
    <t>['terkadang']</t>
  </si>
  <si>
    <t>['kualitas', 'internet', 'buruk', '']</t>
  </si>
  <si>
    <t>['knapa', 'buka', 'aplikasi', 'yaaa', 'tlong', 'bantuanya']</t>
  </si>
  <si>
    <t>['ajak', 'kompromi', '']</t>
  </si>
  <si>
    <t>['membaik', 'aplikasi', 'semoga', 'kedepannya', 'bagus', 'event', 'bonus', 'kuota', 'poin']</t>
  </si>
  <si>
    <t>['uda', 'download', 'berkali', 'pas', 'buka', 'tampilan', 'ngblank', 'pdhal', 'uda', 'pke', 'aplikasi', 'pas', 'masuk', 'desember', 'hasrat', 'hati', 'liat', 'promo', 'ehhhh', 'ngblank', 'download', 'tetep', 'sperti', '']</t>
  </si>
  <si>
    <t>['memakai', 'aplikasi', 'telkomsel', 'udah', 'download', 'kali', 'kebuka', 'mohon', 'bantuan']</t>
  </si>
  <si>
    <t>['sinyal', 'buruk', 'kasih', 'bintang', 'gausah', 'kasih', 'bintang']</t>
  </si>
  <si>
    <t>['sayang', 'tmbh', 'kesini', 'jaringan', 'tmbh', 'lemot', 'tlg', 'perbaiki']</t>
  </si>
  <si>
    <t>['sinyalnya', 'bagus', 'banget', 'sampe', 'sampe', 'emosi', 'membanting', 'hape']</t>
  </si>
  <si>
    <t>['bagus', 'suka', 'promo', 'kouta', 'murah']</t>
  </si>
  <si>
    <t>['nda', 'terbuka', 'telkomsel', 'gimna', 'beli', 'pulsa', 'paket', 'bgmn', 'masuk', 'aplikasi', 'telkomsel', 'download', 'nda', 'terbuka', 'bgmn', 'pelayanan', 'telkomsel', 'kalu', '']</t>
  </si>
  <si>
    <t>['coba', 'lihat', 'bintang']</t>
  </si>
  <si>
    <t>['pelit', 'promo', 'nggak', 'murah', 'gitu', 'broooo', 'arghhhhh', 'kesal']</t>
  </si>
  <si>
    <t>['skrng', 'aplikasinya', 'buka', 'butuh']</t>
  </si>
  <si>
    <t>['login', 'telkom', '']</t>
  </si>
  <si>
    <t>['hello', 'telkomsel', 'fungsi', 'pulsa', 'monetary', 'batas', 'fungsinya', 'pulsa', 'utama', 'paket', 'data', 'gratis', 'ribu', 'ribu', 'pulsa', 'monetary', 'ngga', 'fungsinya', 'tolong', 'perbaiki', 'kasih', 'hadiah', 'pulsa', 'monetary', 'customer', 'dipakai', 'nilai', 'rupiah', 'pulsa', 'transfer', 'pulsa', 'beli', 'pulsa', 'nomor', 'tsb', 'pakai', 'isi', 'paket', 'data', 'bermanfaat', '']</t>
  </si>
  <si>
    <t>['good', 'combo', 'sakti', 'murah']</t>
  </si>
  <si>
    <t>['kasih', 'full', 'bintang', 'kebuka', 'aplikasinya']</t>
  </si>
  <si>
    <t>['bentar', 'make', 'kartu', 'smartfren', 'make', 'kartu', 'telkomsel']</t>
  </si>
  <si>
    <t>['beli', 'paket', 'unlimited', 'youtube', 'ttp', 'buka', 'aplikask', 'youtube', 'penipuan']</t>
  </si>
  <si>
    <t>['jngan', 'beli', 'trlkomsel', 'jaringan', 'jelek', 'mending', 'beli', 'kartu', 'perdana', 'exist']</t>
  </si>
  <si>
    <t>['nama', 'pribadi', 'kecewa', 'sedalam', 'telkomsel', 'listrik', 'pln', 'mati', 'mati', 'sinyal', 'internet', 'kecewaaa', 'berat']</t>
  </si>
  <si>
    <t>['aplikasi', 'telkomsel', 'kemudahan', 'layanan', 'pengguna', 'sulit', 'akses', 'jaringan', '']</t>
  </si>
  <si>
    <t>['ulasan', 'dihapus', '']</t>
  </si>
  <si>
    <t>['tahap', 'permulaan', 'layanan', 'harga', 'ttp', 'kompetitor', 'kasih', 'bintang', '']</t>
  </si>
  <si>
    <t>['bagus', 'menang']</t>
  </si>
  <si>
    <t>['nyoba']</t>
  </si>
  <si>
    <t>['nyesellll', 'kartu', 'halo']</t>
  </si>
  <si>
    <t>['knp', 'diperbarui', 'dibuka', '']</t>
  </si>
  <si>
    <t>['spam', 'nomor', 'dikenal', 'masuk', 'mudah', 'nomor', 'simpati', 'kualitasnya', 'buruk', 'harga', 'kuota', 'mahal']</t>
  </si>
  <si>
    <t>['ngelag', 'optimise']</t>
  </si>
  <si>
    <t>['sinyal', 'celeh', 'burik', 'beli', 'mahal', 'mahal', 'sinyalnya']</t>
  </si>
  <si>
    <t>['bismillahirrahmanirrahim', 'mudah', 'rezeki', 'didapatkan', 'semoga', 'telkomsel', 'keberkahan', '']</t>
  </si>
  <si>
    <t>['mohon', 'maaf', 'min', 'dibuka', 'aplikasinya', 'padaal', 'install', 'ulang', 'dibuka', 'min']</t>
  </si>
  <si>
    <t>['kreeen', 'banget']</t>
  </si>
  <si>
    <t>['ayo', 'telkomsel', 'poin']</t>
  </si>
  <si>
    <t>['update', 'dibuka', 'muncul', 'warna', 'putih', 'lanjutan', 'tunggu', 'berubah']</t>
  </si>
  <si>
    <t>['aplikasi', 'telkomsel', 'update', 'buka', 'bosqu', '']</t>
  </si>
  <si>
    <t>['beli', 'paket', 'gampang', 'telkom']</t>
  </si>
  <si>
    <t>['parah', 'harga', 'gedein', 'trs', 'kualitas', 'turun', 'khintil', 'murahan', 'mahal', 'udh', 'langganan', 'telkhintil', 'th', 'buriq', 'sinyal', 'hilang', 'udh', 'coba', 'hubungin', 'telkom', 'responnya', 'kek', 'bot', 'ujung', '']</t>
  </si>
  <si>
    <t>['mudah', 'mudahan', 'bagus']</t>
  </si>
  <si>
    <t>['wow', '']</t>
  </si>
  <si>
    <t>['koneksi', 'busuk', 'putus', 'nyambung', 'mulu', 'ngasih', 'hadiah', 'vocer', 'nyomot', 'pulsa', 'niat', 'kasih', 'hadiah', 'vocer', 'lag']</t>
  </si>
  <si>
    <t>['jaringan', 'tercepat', 'memancing', 'emosi', '']</t>
  </si>
  <si>
    <t>['aktif', 'paker', 'datanya', 'perpanjang', 'paket', 'data', 'murah', 'bonus', 'kartu', 'bnyk', 'bonusnya']</t>
  </si>
  <si>
    <t>['dear', 'telkomsel', 'terbaik', 'siyal', 'buruk', 'kualitas', 'sinyalnya', 'lancar', 'ketimbang', 'gnyasih', '']</t>
  </si>
  <si>
    <t>['kerusakan', 'aplikasi', 'hape', 'macet', 'aplikasi', 'berguna', 'hapus', '']</t>
  </si>
  <si>
    <t>['apk', 'pegurasn', 'tolong', 'kembalikan', 'plsa', 'sya', 'lahap', 'sma', 'telkomsel', 'anjin', 'sya', 'pnya', 'paket', 'data', 'masi', 'terpotong', 'apk', 'kocak']</t>
  </si>
  <si>
    <t>['udah', 'dibuka']</t>
  </si>
  <si>
    <t>['pindah', 'kartu', 'halo', 'telpon', 'telkomsel', 'karna', 'pindah', 'kartu', 'kartu', 'halo', 'berhenti', 'berlangganan', 'kartu', 'blokir', 'pemberitahuan', 'pindah', 'halo', 'pindah', 'kartu', 'prabayar', 'pindah', 'prabayar', 'langsung', 'grapari', 'nyata', 'kecewa', 'skali', 'blokir', 'telat', 'bayar', 'prnh', 'tlat', 'byr', '']</t>
  </si>
  <si>
    <t>['pngguna', 'telkomsel', 'kesini', 'paketnya', 'mahal', 'update', 'buka', 'aplikasi', 'telkomsel', 'kuota', 'beli', 'paket', 'mahal', 'berbeda', 'beda', 'harga', 'isi', 'pulsa', 'data', 'off', 'otomatis', 'pulsa', 'terpakai', 'langsung', 'daftar', 'paket', 'hadeuuhhhh', 'jujur', 'males', 'beli', 'kuota', 'pulsa', 'telkomsel', 'pertahanin', 'nomor', 'cantik', '']</t>
  </si>
  <si>
    <t>['pemborosan', 'kuota']</t>
  </si>
  <si>
    <t>['jaringan', 'mantap', 'kek', 'sebelah', '']</t>
  </si>
  <si>
    <t>['kenpa', 'uda', 'instal', 'blik', 'hape', 'nga', 'sia', 'sia']</t>
  </si>
  <si>
    <t>['membantu', 'pelanggan', 'telkomsel', 'beda', 'tarif', 'internet', 'sebelah']</t>
  </si>
  <si>
    <t>['beli', 'kuota', 'bayar', 'wallet', 'ngak', 'coba', 'berkali', 'kali', 'tetep', 'payah']</t>
  </si>
  <si>
    <t>['pulsa', 'tersedot', 'notifikasi', 'memiliki', 'kuota']</t>
  </si>
  <si>
    <t>['semoga', 'amanah', '']</t>
  </si>
  <si>
    <t>['dibuka', 'disuruh', 'upgrade', 'udah', 'upgrade', 'disuruh', 'upgrade', '']</t>
  </si>
  <si>
    <t>['telkomsel', 'bosok', 'masak', 'pulsa', 'rb', 'beli', 'paket', 'harga', 'rb', 'pulsa', 'mencukupi', 'bosok', 'bosok', '']</t>
  </si>
  <si>
    <t>['gimana', 'telkomsel', 'beli', 'pulsa', 'langsung', 'pdahal', 'aktifun', 'beli', 'pulsa', 'alasananya', 'bayar', 'paket', 'darurat', 'nlpn', 'jarng', 'tellkmsel', 'sampah']</t>
  </si>
  <si>
    <t>['sinyal', 'didaerah', 'teramat', 'buruk', 'pedalaman', 'tepatnya', 'kelurahan', 'mlese', 'gantiwarno', 'klaten', 'jawa', 'pelanggan', 'telkomsel', 'stiap', 'penggunaan', 'pulsa', 'playanan', 'telkomsel', 'keluhan', 'diabaykan', 'tolong', 'dibangun', 'pemancar', 'kualitas', 'jaringan', 'ddi', 'derah', 'membaik', 'dibenahi', 'pengguna', 'menutup', 'beralih', 'oprator', 'seluler']</t>
  </si>
  <si>
    <t>['aplikasi', 'susah', 'buka', '']</t>
  </si>
  <si>
    <t>['kena', 'dibuka', '']</t>
  </si>
  <si>
    <t>['kecewa', 'berat', 'update', 'kebuka', 'kurangin', 'bintang']</t>
  </si>
  <si>
    <t>['aplikasinya', 'bsa', 'buka', 'gimna', 'sblmnya', 'lancar']</t>
  </si>
  <si>
    <t>['buka', 'app', 'mytelkomsel', 'mohon', 'selesaikan', 'kerusakannya', 'mudah', 'terima', 'kasih']</t>
  </si>
  <si>
    <t>['pas', 'masuk', 'putih', 'putih']</t>
  </si>
  <si>
    <t>['beli', 'paket', 'data', 'saldo', 'pulsa', 'kemana', 'pusat', 'bantuan', 'chat', 'komputer', '']</t>
  </si>
  <si>
    <t>['puas', 'layanan', 'veronica', 'mohon', 'membantu', 'pelayanan']</t>
  </si>
  <si>
    <t>['dikartuku', 'harga', 'kuota', 'mahal', 'dikartu', 'temenku', 'murah', 'adil', '']</t>
  </si>
  <si>
    <t>['lemot', 'jaringan', 'daerah', 'tinggal']</t>
  </si>
  <si>
    <t>['terimakasih', 'cepat', 'belanjanya', 'telkomsel']</t>
  </si>
  <si>
    <t>['mhon', 'dperhatikan', 'jaringan', 'telkomsel', 'daerah', 'kab', 'kota', 'prov', 'lemot', 'gangguan', 'mhon', 'perhatianny', '']</t>
  </si>
  <si>
    <t>['turunkan', 'harga', 'paketnya', 'murah', '']</t>
  </si>
  <si>
    <t>['apk', 'nyaman', 'membeli', 'paket', 'pulsa']</t>
  </si>
  <si>
    <t>['pulsa', 'udah', 'pas', 'dibilang']</t>
  </si>
  <si>
    <t>['kecewa', 'banget', 'telkomsel', 'kuota', 'nonton', 'nonton', 'youtube', 'sosmed', 'udag', 'gabisa', 'kepakee', 'njirrrr', 'udah', 'lapor', 'kuota', 'reguler', 'dipake', 'kenyataannya', 'ajaaaa', 'barusan', 'isi', 'kuota', 'reguler', 'ttep', 'ajaa', 'kuota', 'nontonnya', 'ngga', 'berkurang', 'alias', 'kepakeee', 'saran', 'beli', 'unlimitedmax', 'kapok', 'pokoknya', 'ganti', 'provider']</t>
  </si>
  <si>
    <t>['gan', 'kasih', 'harga', 'bener', 'nanggung', 'harganya', 'kayak', 'ngisinya', 'sisa', 'pulsanya', 'apain', 'tar', 'ujung', 'ujungnya', 'ilang', 'pulsa', 'sayang', 'plis', 'mohon', 'ngasih', 'harga', 'nanggung', 'gitu', 'ana', 'orang', 'kaya', '']</t>
  </si>
  <si>
    <t>['mantap', 'perbaiki', 'lgi']</t>
  </si>
  <si>
    <t>['knp', 'aplikasiny', 'diakses', '']</t>
  </si>
  <si>
    <t>['tingkat', 'kecepatan', 'paket', 'unlimited', 'max', 'susah', 'bngt', 'loading', 'muluu', 'hujan', 'wahh', 'lumayan', 'kuota', 'utama', 'habis', 'unlimited', 'karna', 'kekuatan', 'bngt', 'loading', 'doang', 'banget', 'jelek', 'sinyal', 'kadang', 'mati', 'kartu', 'kaya', 'cabut', 'pdhal', 'gda', 'cabut', 'kartu', 'sim', 'hmm']</t>
  </si>
  <si>
    <t>['memakai', 'pulsa', 'rp', 'akses', 'internet', 'non', 'paket', 'beli', 'paket', 'tsel', 'tsel', 'pdahal', 'paket', 'data', 'dihidupin', 'pke', 'krtu', 'mksudnya', '']</t>
  </si>
  <si>
    <t>['aplikasi', 'cacat', 'quota', 'habis', 'ceper', 'banget', 'percaya', 'percaya', 'udh', 'ngisi', 'quota', 'habis', 'habis', 'asli', 'kesal', 'aplikasi', 'cuan', 'otak', 'pelayanan', '']</t>
  </si>
  <si>
    <t>['mambuka', 'app', 'layar', 'putih', '']</t>
  </si>
  <si>
    <t>['', 'telkomsel', 'kebuka', 'adroid', 'layar', 'putih', 'bagus']</t>
  </si>
  <si>
    <t>['telkomsel', 'terdepan', '']</t>
  </si>
  <si>
    <t>['sngt', 'membantu', 'untk', 'pembelian', 'data', 'dll']</t>
  </si>
  <si>
    <t>['perbaiki', 'sinyal', 'pulau', 'kampar', 'pekan', 'riau', 'soak', 'jaringan', 'telkom']</t>
  </si>
  <si>
    <t>['abis', 'diupdate', 'gabisa', 'dibuka']</t>
  </si>
  <si>
    <t>['', 'telkom', 'ngleg', 'kli', 'maen', 'gme', 'jaringan', 'merah', 'tolong', 'perbaiki']</t>
  </si>
  <si>
    <t>['rolong', 'dibantu', 'motor']</t>
  </si>
  <si>
    <t>['royal', 'pelanggan', 'loyal']</t>
  </si>
  <si>
    <t>['sinyal', 'simpati', 'parah', 'ajah', 'lemot', 'parah', 'parah', '']</t>
  </si>
  <si>
    <t>['telkomsel', 'pelit', 'coba', 'pelanggan', 'memakai', 'layanan', 'kartu', 'telkomsel', 'diatas', 'hadiah', '']</t>
  </si>
  <si>
    <t>['apk', 'bagus', 'mmbantu']</t>
  </si>
  <si>
    <t>['jujur', 'area', 'cakupan', 'luas', 'telkomsel', 'kecepatan', 'memgecewakan', 'khusus', 'kota', 'kabupaten', 'bogor', 'suka', 'hilang', 'timbul', 'sinyalnya', 'kritik', 'kartu', 'halo', 'modelnya', 'langganan', 'bonus', 'sms', 'banking', 'gabisa', 'payah', 'banget', '']</t>
  </si>
  <si>
    <t>['mudah', 'banget', 'pemakainnya']</t>
  </si>
  <si>
    <t>['asw', 'telkomsel', 'taik', 'bener', 'lag', '']</t>
  </si>
  <si>
    <t>['proses', 'cepat', 'mudah']</t>
  </si>
  <si>
    <t>['menyukai', 'fitur', 'telkomsel']</t>
  </si>
  <si>
    <t>['bagus', 'simpel', 'cek', 'kuota']</t>
  </si>
  <si>
    <t>['ngak', 'buka', 'aplikasinya']</t>
  </si>
  <si>
    <t>['apk', 'mantap']</t>
  </si>
  <si>
    <t>['cepat']</t>
  </si>
  <si>
    <t>['mantap', 'aplikasi', 'ngx', 'ribet']</t>
  </si>
  <si>
    <t>['normal', 'update', 'aplikaso', 'november', '']</t>
  </si>
  <si>
    <t>['aplikasi', 'bagus', 'min']</t>
  </si>
  <si>
    <t>['jaringan', 'lelet', 'terkadang', 'menguras', 'data', 'pemakaian', 'disamping', 'saldo', 'pulsa', 'terkuras', 'habis', 'penggunaan', 'terima', 'kasih']</t>
  </si>
  <si>
    <t>['semoga', 'harga', 'kuota', 'gua', 'murah']</t>
  </si>
  <si>
    <t>['bagus', 'jaringannya', 'mantap', 'pas', 'buka', 'langsung', 'menu', 'semoga', 'fitur', 'opsi', 'penggunaan', 'kuota', 'pilih', 'kuota', 'dipake', 'terimakasih', 'developer', '']</t>
  </si>
  <si>
    <t>['ancur', 'jaringan', 'telkomsel', 'mahal', 'jaringan', 'jelek']</t>
  </si>
  <si>
    <t>['susah', 'buka', 'faket']</t>
  </si>
  <si>
    <t>['mytelkomsel', 'senang', 'mytelkomsel', 'beli', 'paket', 'mudah', 'aplikasi', 'dibuka', 'parah', 'rugi', 'bolak', 'pasang', 'pasang', 'aplikasi']</t>
  </si>
  <si>
    <t>['telkomsel', 'paket', 'data', 'habis', 'dicek', 'pulsa', 'jdi', 'ikutan', 'habis', 'beda', 'ama', 'operator', 'pulsa', 'aman', 'data', 'habis', '']</t>
  </si>
  <si>
    <t>['paket', 'nelpon', 'mahal']</t>
  </si>
  <si>
    <t>['aplikasi', 'dibuka', 'update', 'app', 'muncul', 'layar', 'putih', 'infinix', 'smart', 'tolong', 'difix', 'makasih']</t>
  </si>
  <si>
    <t>['knapa', 'telkomsel', 'ngak', 'login', 'brapa', 'kali', 'download']</t>
  </si>
  <si>
    <t>['cobalah', 'paham']</t>
  </si>
  <si>
    <t>['hadiahnya', 'yaaaa', '']</t>
  </si>
  <si>
    <t>['harga', 'paketan', 'mahal']</t>
  </si>
  <si>
    <t>['pilihan', 'paket', 'internet', 'mahal']</t>
  </si>
  <si>
    <t>['kuota', 'ajh', 'mahal', 'jaringan', 'kaya', 'maen', 'game', 'ngeleg', 'trs', 'jaringan', 'urusin', 'kuota', 'mahal', 'gpp', 'ngeleg', '']</t>
  </si>
  <si>
    <t>['app', 'dibuka', 'gmn', 'nich', 'berkalikali', 'instal', 'instal', 'aplikasi', 'dibuka', '']</t>
  </si>
  <si>
    <t>['pulsanya', 'ilang', 'langganan', 'apapun', '']</t>
  </si>
  <si>
    <t>['parah', 'login', 'aplikasi', 'error', 'nie', 'telkomsel', 'tolong', 'respont', 'donk', 'keluhan', 'penguna', 'telkomsel']</t>
  </si>
  <si>
    <t>['udah', 'jaringan', 'internet', 'telkomsel', 'broken', 'stabil', '']</t>
  </si>
  <si>
    <t>['bagus', 'memudahkan', 'pengguna']</t>
  </si>
  <si>
    <t>['telkom', 'sakti']</t>
  </si>
  <si>
    <t>['kali', 'login', 'beli', 'paket']</t>
  </si>
  <si>
    <t>['buka', 'telkomsel', 'nyoba', 'tel', 'hapus', 'download', 'tel', 'buka', 'bintang', 'buka', 'buka', 'stres', '']</t>
  </si>
  <si>
    <t>['touch', 'appnya', 'sensinya']</t>
  </si>
  <si>
    <t>['meu', 'menggunakannya']</t>
  </si>
  <si>
    <t>['sekarng', 'sinyalny', 'jelek', 'kalah', 'im', 'bagus', 'bnget', 'sinyalny', 'tolong', 'perbaiki', 'udah', 'pke', 'telkomsel', 'jelek', 'sinyalny', 'mndingan', 'ganti', 'im', '']</t>
  </si>
  <si>
    <t>['bug', 'masuk']</t>
  </si>
  <si>
    <t>['update', 'update', 'layar', 'putih', 'aplikasi', 'dibuka']</t>
  </si>
  <si>
    <t>['paket', 'internya', 'mahal', 'sebanding', 'kualitas', 'jaringan', 'telkomsel', 'merata', 'internet', 'lemot', 'kalah', 'provider', 'sinyal', 'ajak', 'kmna', 'bagus', 'koneksi', 'internet', 'bagus', 'paket', 'internet', 'murah', '']</t>
  </si>
  <si>
    <t>['pulsa', 'kepotong', 'swdang', 'data', 'paket', 'operator', 'pulsa', 'simpati', 'kepotong', 'aneh', '']</t>
  </si>
  <si>
    <t>['manfaat', 'keramaian', '']</t>
  </si>
  <si>
    <t>['peket', 'mahal', 'jaringan', 'ngelek', 'sedunia', '']</t>
  </si>
  <si>
    <t>['ditingkatkan', 'sektor', 'pelayanan', 'publik']</t>
  </si>
  <si>
    <t>['aplikasinya', 'bagus', 'udah', 'pakenya', 'maaf', 'kasih', 'bintang', '']</t>
  </si>
  <si>
    <t>['sialan', 'udah', 'beli', 'paketan', 'sebulan', 'jaringan', 'internetnya', 'nggak', 'jalan', 'stay', 'kb', 'jaringannya', '']</t>
  </si>
  <si>
    <t>['memuaskan', 'bagus', 'promo', 'murahin', '']</t>
  </si>
  <si>
    <t>['aplikasinya', 'buka', 'isi', 'paket', 'dibuka', 'sudab', 'hapus', 'downlod', 'tetep', 'hadeee']</t>
  </si>
  <si>
    <t>['kuota', 'mahal', 'jaringan', 'buruk']</t>
  </si>
  <si>
    <t>['coba', 'bagus', 'bintang', '']</t>
  </si>
  <si>
    <t>['bagus', 'cepat', 'mantap']</t>
  </si>
  <si>
    <t>['harga', 'paket', 'mahal', 'beli', 'rb', 'isi', 'gb', 'dibayar', 'harga', 'berubah', 'rb', 'kadang', 'sinyal', 'lemot', 'lokasi', 'pusat', 'kota']</t>
  </si>
  <si>
    <t>['kasih', '']</t>
  </si>
  <si>
    <t>['dipahami', 'mudah']</t>
  </si>
  <si>
    <t>['telkom', 'knp', 'download', 'buka', 'jaringannya', 'bagus', 'anjj']</t>
  </si>
  <si>
    <t>['kuota', 'mxtreem', 'mending', 'hilangkan', 'bos']</t>
  </si>
  <si>
    <t>['harga', 'kuota', 'mahal', 'jaringan', 'lemot', 'tolong', 'perbaiki', 'kualitas', 'jaringan']</t>
  </si>
  <si>
    <t>['sinyal', 'smakin', 'buruk']</t>
  </si>
  <si>
    <t>['bagus', 'aplikasi', 'mantap']</t>
  </si>
  <si>
    <t>['apknya', 'gamau', 'kebuka', '']</t>
  </si>
  <si>
    <t>['banyakin', 'promo', 'paket', 'murah']</t>
  </si>
  <si>
    <t>['wilayah', 'bukit', 'daerah', 'blora', 'desa', 'bleboh', 'sinyal', 'hilang', 'pembisnis', 'maksimal']</t>
  </si>
  <si>
    <t>['', 'jaringan', 'jelek', 'banget', 'bagus', 'ketimbang', 'kartu', 'bagusan', 'smatfren', 'kartu', 'halo', 'lelet', 'banget', '']</t>
  </si>
  <si>
    <t>['aplikasi', '']</t>
  </si>
  <si>
    <t>['harapan', 'mobil', 'jalan', 'taun']</t>
  </si>
  <si>
    <t>['login', 'gambar', 'putih']</t>
  </si>
  <si>
    <t>['selamat', 'natal', 'semoga', 'kado', 'natal', 'telkomsel', '']</t>
  </si>
  <si>
    <t>['kesini', 'lemott', 'tuntut', 'telkomnya']</t>
  </si>
  <si>
    <t>['aplikasi', 'engga', 'dibuka', '']</t>
  </si>
  <si>
    <t>['jaringan', 'suka', 'stabil', 'lag']</t>
  </si>
  <si>
    <t>['membeli', 'paket']</t>
  </si>
  <si>
    <t>['mudahan', 'beruntung', 'menang', 'undian', 'poin']</t>
  </si>
  <si>
    <t>['udh', 'sinyal', 'jelek', 'korupsi', 'pulsa', 'lgi', 'hadeh', '']</t>
  </si>
  <si>
    <t>['hemat', 'banget', 'makasih', 'telkomsel', 'hati']</t>
  </si>
  <si>
    <t>['alasan', 'informasi']</t>
  </si>
  <si>
    <t>['sinyalnya', 'kadang', 'kadang', 'tensi']</t>
  </si>
  <si>
    <t>['bagus', 'terkadang', 'kendala']</t>
  </si>
  <si>
    <t>['kecewa', 'aplikasi', 'error', 'beli', 'paketan', 'gagal', 'jaringan', 'internet', 'lancar', 'beli', 'paketan', 'mi', 'telkomsel', 'gagal', 'tolong', 'banget', 'diperbaiki', 'secepatnya', 'terimakasih']</t>
  </si>
  <si>
    <t>['wooyyy', 'telkomsel', 'udah', 'salah', 'diem', 'bukanya', 'diperbaikin', 'dipake', 'diem', 'tanggung', 'haduuueeehhh', 'payah']</t>
  </si>
  <si>
    <t>['', 'bagus', 'ditambahin', 'bintangnya']</t>
  </si>
  <si>
    <t>['telkomsel', 'sehat', 'lemotnya', 'parah', 'tolong', 'perbaiki', 'terima', 'kasih']</t>
  </si>
  <si>
    <t>['', 'ampun', 'main', 'game', 'tb', 'reconnect', 'gajelas', 'sinyal', 'koneksi', 'aman', 'aman', '']</t>
  </si>
  <si>
    <t>['min', 'gimana', 'sebulan', 'bjsa', 'buka', 'aplikasi', 'bolak', 'balek', 'hapus', 'tetao', 'min', 'mohon', 'bantuannya', 'donk', '']</t>
  </si>
  <si>
    <t>['telkomsel', 'mahal', 'males', 'deh']</t>
  </si>
  <si>
    <t>['membatu', 'pembelian', 'kouta', 'data']</t>
  </si>
  <si>
    <t>['pakai', 'telkomsel', 'jaringan', 'jelek', 'banget', '']</t>
  </si>
  <si>
    <t>['serius', 'telkomsel', 'anak', 'kos', 'butuh', 'paket', 'murah', 'paket', 'diatas', '']</t>
  </si>
  <si>
    <t>['buka', 'jaringan', 'lancar', 'ruang', 'white', 'screen', 'mulu']</t>
  </si>
  <si>
    <t>['buka', 'aplikasi', 'telkomsel', 'loading', 'banget', 'putih', 'tolong', 'solusinya', 'terimakasih', '']</t>
  </si>
  <si>
    <t>['telkomsel', 'terjangkau', 'lokasi', 'jaringan', 'jernih', '']</t>
  </si>
  <si>
    <t>['gaisss', 'jelek', 'kmrn', 'alesan', 'server', 'deh', 'ples', 'deh', 'chat', 'temen', 'gabisa', '']</t>
  </si>
  <si>
    <t>['pengguna', 'calon', 'pengguna', 'telkomsel', 'domisili', 'babelan', 'telkomsel', 'buruk', 'jaringan', 'harap', 'baca', 'ulasan', 'berlangganan', 'menyesal']</t>
  </si>
  <si>
    <t>['paket', 'internet', 'menyedot', 'pulsa', 'bersisa', 'parah', 'miriss', 'aplikasi', 'update', 'buka', 'why', '']</t>
  </si>
  <si>
    <t>['paket', 'data', 'habis', 'menyisakan', 'paket', 'unlimited', 'aktifitas', 'lambat', 'karna', 'kecepatan', 'paket', 'dibatasi', 'lupa', 'kesalahan', 'lakukan', 'mohon', 'penjelasannya', 'berharap', 'berpaling', 'kartu', '']</t>
  </si>
  <si>
    <t>['telkomsel', 'dibuka', 'bos']</t>
  </si>
  <si>
    <t>['tambahin', 'promonya', 'woy']</t>
  </si>
  <si>
    <t>['aplikasix']</t>
  </si>
  <si>
    <t>['perasaan', 'udah', 'minggu', 'apknya', 'dibuka', 'pas', 'masuk', 'apknya', 'layar', 'putih', 'mohon', 'diperbaiki', '']</t>
  </si>
  <si>
    <t>['kesini', 'aplikasi', 'emosi', 'tampilan', 'white', 'screen', 'mulu', 'bapuk', 'kayak', 'pindah', 'provider', 'pelayanannya']</t>
  </si>
  <si>
    <t>['bermanfaat', 'kejutan', 'undian', 'beragam']</t>
  </si>
  <si>
    <t>['bagus', 'mudah', 'transaksi', 'paket', 'data']</t>
  </si>
  <si>
    <t>['selamat', 'siang', 'telkomsel', 'akses', 'mohon', 'bantuannya', 'terima', 'kasih']</t>
  </si>
  <si>
    <t>['apl', 'buka', 'tukar', 'poin', 'tukar', 'poin', 'eee', 'dpat', 'kupon', 'poin', 'kupon']</t>
  </si>
  <si>
    <t>['poin', 'ditukar', 'saldo', 'link', 'nukarnya', 'point', 'ditukar', 'sisa', 'point', 'ditukar', '']</t>
  </si>
  <si>
    <t>['coba', 'bagus', 'cari', 'nye', '']</t>
  </si>
  <si>
    <t>['selesai', 'download', 'pas', 'buka', 'muncul', 'layar', 'putih', 'doang', '']</t>
  </si>
  <si>
    <t>['aplikasi', 'keren', 'login', 'hadia', 'download', 'nyesal']</t>
  </si>
  <si>
    <t>['kemudahan', 'dlm', 'penggunaan', 'promo', 'membingungkan', 'indosat', 'promonya', 'tipu', '']</t>
  </si>
  <si>
    <t>['pakai', 'gopay', 'pembelian', 'paket', 'ketengan', 'utama', 'skrg', 'hrs', 'mengisi', 'pulsa', 'jelek', 'aplikasi', 'lemot', 'lemot', '']</t>
  </si>
  <si>
    <t>['nukar', 'poin', 'diamond', '']</t>
  </si>
  <si>
    <t>['membentu']</t>
  </si>
  <si>
    <t>['mhon', 'perbaiki', 'jaringan', 'tembagapurs']</t>
  </si>
  <si>
    <t>['ivent', 'chasbck', 'udah', 'turutin', 'pelaturan', 'chatbck', 'belom', 'masup', 'udah', 'masup', 'chasbck', 'jam', 'udah', 'belom', 'masup', 'kecewa', 'penipuan', 'hadeuh']</t>
  </si>
  <si>
    <t>['makasih', 'mytelkomsel', 'mantap', '']</t>
  </si>
  <si>
    <t>['lihat', 'sisa', 'kuota', 'beli', 'kuota', 'aplikasi', 'mytelkomsel', '']</t>
  </si>
  <si>
    <t>['puas', 'mengalami', 'lag', 'maen', 'game', 'rumah', 'rumah', 'stabil', 'cepat']</t>
  </si>
  <si>
    <t>['sya', 'buka', 'telkomsel', 'mentok', 'layar', 'putih', 'hufffff']</t>
  </si>
  <si>
    <t>['mudah', 'kasih', 'bintang', 'aplikasi', 'buka', 'ngeblang', 'putih', '']</t>
  </si>
  <si>
    <t>['promo', 'tukar', 'poin', 'diamond', 'free', 'fire', '']</t>
  </si>
  <si>
    <t>['aplikasi', 'beli', 'paket', 'gangguan']</t>
  </si>
  <si>
    <t>['telkomsel', 'pelayanannya', 'buruk', 'tolong', 'perbaiki', 'teljomsel']</t>
  </si>
  <si>
    <t>['kah']</t>
  </si>
  <si>
    <t>['pengen', 'dapet', 'kota', 'tambahan', 'beli']</t>
  </si>
  <si>
    <t>['masuk', 'halaman', 'voucher', 'bonus', 'game', 'mobile', 'legend', 'reedem', 'error', 'gimana', '']</t>
  </si>
  <si>
    <t>['telkomsel', 'mengecewakan', 'pindah', 'provider', 'kartu', 'karna', 'kuota', 'internetnya', 'murah', 'jaringan', 'bagus', 'udh', 'kuota', 'mahal', 'jaringan', 'tempaku', 'lemot', 'mengecewakan', '']</t>
  </si>
  <si>
    <t>['harga', 'termahal', 'jaringan', 'lemah', 'gimana']</t>
  </si>
  <si>
    <t>['jaringan', 'kuat', 'dimanapun', 'sip', 'jos']</t>
  </si>
  <si>
    <t>['kinerja', 'simpati', 'sya', 'beli', 'paket', 'telpon', 'sampe', 'pulsa', 'reguler', 'sya', 'habis', 'sedot', 'klu', 'emg', 'kasih', 'paket', 'kasih', 'promosi', 'paket', 'merugikan', 'pengguna', 'sekelas', 'simpati', 'kinerja', 'sperti', 'vendor', 'abal', 'malu', 'sbelah', 'konsisten', 'promo', '']</t>
  </si>
  <si>
    <t>['memudahkan', 'pembelian', 'pulsa']</t>
  </si>
  <si>
    <t>['paket', 'gamemax', 'mobile', 'legend', 'beli', 'paketnya', 'gb', 'dimainkan', '']</t>
  </si>
  <si>
    <t>['bagus', 'bermanfaat', 'lodingnya', 'telat', 'pengaruh', 'signalnya']</t>
  </si>
  <si>
    <t>['telkom', 'pagi', 'signal', 'gonta', 'ganti', 'ganggu', 'bet']</t>
  </si>
  <si>
    <t>['isi', 'pulsa', 'ribu', 'beli', 'paketan', 'internet', 'aplikasi', 'telkomsel', 'buka', 'stuck', 'layar', 'putih', 'sms', 'akses', 'internet', 'tarif', 'non', 'paket', 'wifi', 'cek', 'pulsa', 'pulsa', 'berkurang', 'kecewa', 'kayak', 'gini', 'mah', 'kejadian', 'udah', 'pulsa', 'habis', 'buka', 'aplikasinya']</t>
  </si>
  <si>
    <t>['aplikasi', 'membantu', '']</t>
  </si>
  <si>
    <t>['elor', 'minggu', 'buka']</t>
  </si>
  <si>
    <t>['telkomsel', 'anjig', 'lelet', 'sekli', 'taikkkk', 'nhapaen']</t>
  </si>
  <si>
    <t>['kasih', 'dlu', 'klu', '']</t>
  </si>
  <si>
    <t>['mantap', 'suka', 'pilihan', 'paket', 'combo', 'sakti', 'unlimited', 'terjangkau', 'kemampuan', 'terimakasih', 'pertahankan', 'layanan', '']</t>
  </si>
  <si>
    <t>['kecewa', 'telkomsel', 'plz', 'kepotong', 'suka', 'habis', 'maksud', 'pemberitahuan', 'plz', 'kepotong', 'aplikasi', 'busuuuuuuuuukkkkkkkkkkkk']</t>
  </si>
  <si>
    <t>['mohon', 'tingkatkan', 'jaringan', 'area', 'ntt', 'kabupaten', 'sabu', 'raijua', 'pedalaman', 'desa', 'ramedue', 'signyal', '']</t>
  </si>
  <si>
    <t>['mintk', 'tolong', 'sinyalnya', 'diperbaiki', 'lemot', '']</t>
  </si>
  <si>
    <t>['progres', 'perbaikan', 'terimakasih', 'mytelkomsel']</t>
  </si>
  <si>
    <t>['login', 'link', 'dikirm', 'sms', 'valid', 'kadaluarsa', 'coba', 'berulng', 'valid', '']</t>
  </si>
  <si>
    <t>['beli', 'kouta', 'ganguan', 'silah', 'coba', 'trus', 'udh', 'brpa', 'kalii', 'nii', 'gimna', 'apliksihnya', 'gunaa']</t>
  </si>
  <si>
    <t>['buka', 'realme', 'payah']</t>
  </si>
  <si>
    <t>['telkomsel', 'jaringan', 'kaya', 'ajing']</t>
  </si>
  <si>
    <t>['', 'honest', 'mengecewakan', 'ribet', 'tampilannya', 'simpel', 'penawaran', 'disediakan', '']</t>
  </si>
  <si>
    <t>['update', 'ancur', 'aplikasi', 'masak', 'masuk', 'hapus', 'data', 'stiap', 'kali', 'masuk', '']</t>
  </si>
  <si>
    <t>['aplikasi', 'pekok', 'sinyal', 'full', 'jaringan', 'nol']</t>
  </si>
  <si>
    <t>['kelomotan', 'hakiki', 'bosok', 'buka', 'telkomsel', '']</t>
  </si>
  <si>
    <t>['habis', 'pembaruan', 'buka', 'telkomsel', 'tolong', 'penjelasannya']</t>
  </si>
  <si>
    <t>['', 'telkomsel', 'mantap', 'bermanpaat']</t>
  </si>
  <si>
    <t>['telkomsel', 'diperbaharui', 'dibuka', 'layar', 'putih', 'kecewa', 'sya', 'udah', 'langganan', 'belin', 'peket', 'data', 'ditelkomsel', 'kayak', 'gini', 'gimana', 'solusinyaaa']</t>
  </si>
  <si>
    <t>['aplikasi', 'telkomsel', 'kebuka', 'mohon', 'penjelasannya']</t>
  </si>
  <si>
    <t>['kasih', 'bintang', 'signyal', 'beres', 'menit', 'eror', 'main', 'game', 'ancur', 'patah', '']</t>
  </si>
  <si>
    <t>['aplikasi', 'bagua']</t>
  </si>
  <si>
    <t>['sumpah', 'kesel', 'banget', 'telkomsel', 'aplikasi', 'telkomsel', 'minggu', 'kagak', 'dibuka']</t>
  </si>
  <si>
    <t>['aplikasinya', 'buka', 'udh', 'kali', 'dowload', 'tetep']</t>
  </si>
  <si>
    <t>['update', 'trsss', 'tpi', 'sinyal', 'tmbh', 'jelek']</t>
  </si>
  <si>
    <t>['sinyalnya', 'kek', 'taik', 'njirrr', 'harga', 'doang', 'mahal', 'kualitas', 'sinyal', 'jelekkkkkkk', 'fakkkk']</t>
  </si>
  <si>
    <t>['halo', 'telkomsel', 'aplikasi', 'dibuka', 'nge', 'blank', 'putih', 'minggu']</t>
  </si>
  <si>
    <t>['', 'payah', 'udah', 'kesekian', 'kalinya', 'instal', 'app', 'telkomsel', 'perubahan', 'cek', 'kuota', 'mahal', 'bagus', 'kuota', 'belakunya', 'sampe', 'januari', 'udah', 'abis', 'min', 'gb', 'kemarin', 'beli', 'gb', 'sisa', 'please', 'min', 'perbaiki', 'pakai', 'telkomsel', 'belasan', 'min', 'meningkat', 'merosot', 'kualitasnya']</t>
  </si>
  <si>
    <t>['', 'app', 'telkomsel', 'mudah', 'informasi', 'pulsa', 'paket', 'quota', 'pilihan', 'paket', 'relatif', 'terjangkau', 'terima', 'kasih', 'telkomsel', '']</t>
  </si>
  <si>
    <t>['sayang', 'beli', 'paket', 'dimaui']</t>
  </si>
  <si>
    <t>['bgus']</t>
  </si>
  <si>
    <t>['sms', 'kode', 'otp', 'telat', 'karnakan', 'sinyal', 'lemah']</t>
  </si>
  <si>
    <t>['aplikasi', 'telkomsel', 'buka', 'coba', 'hapus', 'donlot', '']</t>
  </si>
  <si>
    <t>['bagus', 'daerah', 'rame', 'daerah', 'kmapung', 'jaringan', 'memadai', '']</t>
  </si>
  <si>
    <t>['apk', 'telkomsel', 'pas', 'buka', 'muncul', 'layar', 'putih', 'langganan', 'telkomsel', 'drop', '']</t>
  </si>
  <si>
    <t>['sulit', 'buka', 'aplikasi', 'pulsa', 'dipotong', 'status', 'posisi', 'pakai', 'paket', 'data', 'prihatin', 'milik', 'pemerintah', '']</t>
  </si>
  <si>
    <t>['pulsa', 'tersedot', 'habis', 'kuota', 'habis', 'kabacut']</t>
  </si>
  <si>
    <t>['bagus', 'cepat', 'mengirimkan', 'hadiah', 'skrg', 'bayar', 'kartu', 'halo', 'aplikasi', '']</t>
  </si>
  <si>
    <t>['kasih', 'bintang', 'karna', 'gabisa', 'buka', 'upgrate', 'penasaran', 'uninstal', 'trus', 'dowload', 'ajja', 'kagak', 'buka', 'kecewa']</t>
  </si>
  <si>
    <t>['mudah', 'aman', 'tampilan', '']</t>
  </si>
  <si>
    <t>['min', 'blank', 'aplikasinya', 'udah', '']</t>
  </si>
  <si>
    <t>['sip', 'saran', 'telkomsel', 'aplikasi', 'mytelkomsel', 'fitur', 'lock', 'kontrol', 'penggunaan', 'pulsa', 'sengaja', 'penggunaan', 'kontrol', 'kehabisan', 'paket', 'data', 'terimakasih']</t>
  </si>
  <si>
    <t>['sya', 'masuk', 'aplikasi']</t>
  </si>
  <si>
    <t>['bagus', 'banget', 'aplikasi', 'membantu']</t>
  </si>
  <si>
    <t>['masuk', 'aplikasi', 'telkomsel', 'terkoneksi', 'internet', 'penyebabnya', 'loading', 'menerus', 'paket', 'kuota', 'internet', '']</t>
  </si>
  <si>
    <t>['ngaaih', 'link', 'sms', 'diklik', 'kadaluarsa', 'gimana']</t>
  </si>
  <si>
    <t>['paraahh', 'masuk', 'apk', 'susah']</t>
  </si>
  <si>
    <t>['beli', 'paket', 'promo', 'gb', 'ribu', 'gb', 'ribu', 'mulu', 'udah', 'pesan', 'terpaksa', 'beli', 'paket', 'internet', 'malesnya', 'pas', 'udah', 'beli', 'paket', 'muncul', 'sms', 'pulsa', 'mencukupi', 'bla', 'sms', 'muncul', 'muncul', 'pas', 'udah', 'beli', 'paket', 'udah', 'nunggu', 'menit', 'sengaja', 'banget', 'laku', 'pembelian', 'paket', '']</t>
  </si>
  <si>
    <t>['kecewa', 'kerna', 'beli', 'paket', 'data', 'slalu', 'gangguan', 'sistem', 'telkomsel', 'enak', 'dipakai']</t>
  </si>
  <si>
    <t>['aplikasi', 'membantu', 'penguna', 'kartu', 'telkomsel', 'very', 'good', '']</t>
  </si>
  <si>
    <t>['white', 'screen', 'mulu', 'dibuka']</t>
  </si>
  <si>
    <t>['', 'telkomsel', 'susah', 'login', 'payah', 'aplikasinya', 'mundur', 'maju', 'bantu', 'pembuatan', 'aplikasinya', 'providernya', 'baca', 'ulasan', 'pengguna', 'dibalas', 'aplikator', 'payah', 'payah', 'payah', 'payah', 'payah', 'payah', 'payah', 'payah']</t>
  </si>
  <si>
    <t>['pilihan']</t>
  </si>
  <si>
    <t>['paket', 'darurat', 'menipu', 'rb', 'kemarin', 'isi', 'terpotong', 'terpotong', 'rb', 'ditulis', '']</t>
  </si>
  <si>
    <t>['pelayanannya', '']</t>
  </si>
  <si>
    <t>['paket', 'data', 'pas', 'dinyalain', 'pulsa', 'kemakan', 'kartu']</t>
  </si>
  <si>
    <t>['telkomsel', 'akses', 'tampil', 'layar', 'putih', 'tolong', 'dipwrbaiki', 'dinstal', 'uninstall', 'berkali', 'kali', 'berubah', 'dilain', '']</t>
  </si>
  <si>
    <t>['senang', 'aplikasinya']</t>
  </si>
  <si>
    <t>['maaf', 'kritikan', 'kak', 'kemaren', 'emosi', 'maaf', 'kak', 'aplikasi', 'bagus', 'jaringan', 'kadang', 'kadang', 'jelek', 'mytelkomsel', '']</t>
  </si>
  <si>
    <t>['bagus', 'harga']</t>
  </si>
  <si>
    <t>['pokoknya', 'dwnld', 'apk']</t>
  </si>
  <si>
    <t>['segitu', 'sebentar', 'beli', 'kuota', 'internet']</t>
  </si>
  <si>
    <t>['aplikasi', 'diperbaharui', 'dibuka', '']</t>
  </si>
  <si>
    <t>['jaringannya', 'tolong', 'diperbaiki', 'kali', 'main', 'game', 'sinyalnya', 'lelet']</t>
  </si>
  <si>
    <t>['susah', 'banget', 'login', 'klau', 'udah', 'buka', 'apl', '']</t>
  </si>
  <si>
    <t>['sinyal', 'ampun', 'full']</t>
  </si>
  <si>
    <t>['kuota', 'abis', 'pulsa', 'disedot', 'parah']</t>
  </si>
  <si>
    <t>['lelet', 'penjualan', 'harga', 'mahal', 'kartu', 'telkomsel', 'stabil', 'ehh', 'cuman', 'namanya', 'tren', 'sinyal', 'lelet', 'pas', 'hujan', 'aduh', 'gabisa', 'skali', '']</t>
  </si>
  <si>
    <t>['update', 'koq', 'susah', 'dibuka', 'aplikasinya', '']</t>
  </si>
  <si>
    <t>['harganya', 'dinaikin', 'kekuatan', 'sinyalnya', 'diturunin']</t>
  </si>
  <si>
    <t>['knp', 'paket', 'internet', 'jdi', 'mahal', 'pdhl', 'murah']</t>
  </si>
  <si>
    <t>['murah', 'tingkatkan', 'kwalitas', 'kceptan', 'internetnya', 'buruk']</t>
  </si>
  <si>
    <t>['paket', 'internet', 'mahal', 'sinyal', 'internet', 'beda', 'paket', 'beda', 'kelas', 'mahal', 'kouta', 'bagus', 'jaringan', 'internet', 'harga', 'paket', 'internet', 'membedakan', 'kualitas', 'jaringan', 'internet', 'auto', 'ganti', 'provider', '']</t>
  </si>
  <si>
    <t>['gila', 'apk', 'dibuka', 'ngeblank', 'warna', 'putih', 'fix', 'gua', 'kasih', 'bintang']</t>
  </si>
  <si>
    <t>['pengguna', 'jdi', 'paham', 'tentan', 'telkomsel']</t>
  </si>
  <si>
    <t>['okesekali', 'mantul', 'aplikasi']</t>
  </si>
  <si>
    <t>['paket', 'gemsmax', 'beli', 'pulsa', 'kebuang']</t>
  </si>
  <si>
    <t>['membuka', 'aplikasinya', 'mohon', 'bantu']</t>
  </si>
  <si>
    <t>['aplikasi', 'ngeblank', 'buka', 'aplikasi', 'telkomsel']</t>
  </si>
  <si>
    <t>['aplikasi', 'keren', 'banget']</t>
  </si>
  <si>
    <t>['apo', 'berman', 'faat', '']</t>
  </si>
  <si>
    <t>['bagus', 'dapatkan', 'hadiah']</t>
  </si>
  <si>
    <t>['harganya', 'mahal', 'signalnya', 'ngilang', 'ngilang', 'kualitas', 'mohon', 'perbaiki']</t>
  </si>
  <si>
    <t>['apk', 'playstore', 'susah', 'dibuka', 'terpaksa', 'download', 'link', 'apk', 'playstore', '']</t>
  </si>
  <si>
    <t>['paket', 'internet', 'unlimited', 'murah', 'tolong', 'diadakan']</t>
  </si>
  <si>
    <t>['menukar', 'poin', 'internet']</t>
  </si>
  <si>
    <t>['alhamdulillah', 'mudah']</t>
  </si>
  <si>
    <t>['mytelkomsel', 'buka', 'ngehank', 'knapa', '']</t>
  </si>
  <si>
    <t>['telkomsel', 'gini', 'data', 'internet', 'pulsa', 'kepotong', 'tolong', 'betulkan', 'kepotong', 'diamkan', 'rugi', 'tolong', 'perbaiki', '']</t>
  </si>
  <si>
    <t>['telkomsel', 'sinyal', 'jlk', 'perbaiki', 'bli', 'kouta', 'duit', 'anjirrrr']</t>
  </si>
  <si>
    <t>['semoga', 'kuotanya', 'murah', 'banget']</t>
  </si>
  <si>
    <t>['mudah', 'pilihan', 'paketnya', 'mahal', '']</t>
  </si>
  <si>
    <t>['telkomsel', 'memuaskan']</t>
  </si>
  <si>
    <t>['bagus', 'kli', 'aplikasi', 'suka']</t>
  </si>
  <si>
    <t>['tolong', 'telkomsel', 'paket', 'permurah']</t>
  </si>
  <si>
    <t>['loading', 'trlalu']</t>
  </si>
  <si>
    <t>['diupdate', 'aplikasi', 'ngga', 'dibuka', 'coba', 'kali', 'dibuka', 'diupdate', 'bukanya', 'ancur', 'mengecewakan', '']</t>
  </si>
  <si>
    <t>['bagusssss', 'kali', 'bah']</t>
  </si>
  <si>
    <t>['mudah', 'dapet', 'undian', 'mobil', 'tuker', 'poin', 'karen', 'adik', 'anak', 'kartu', 'telkomsel', 'aamin']</t>
  </si>
  <si>
    <t>['', 'buka', 'appnya', 'kanpa', 'sich']</t>
  </si>
  <si>
    <t>['', 'bsa', 'buka', 'kecewa', 'berguna', '']</t>
  </si>
  <si>
    <t>['aplikasinya', 'keren', 'unik', 'promonya', 'hadiahnya', '']</t>
  </si>
  <si>
    <t>['telkom', 'the', 'best', 'mahal', 'jaringan', 'kayak', 'jaringan', 'sebelah', 'bagus', 'deh']</t>
  </si>
  <si>
    <t>['jaringan', 'telkomsel', 'khusus', 'daerah', 'garut', 'buruk', 'banget', 'daerah', 'kota', 'buruk', 'rumah', 'kota', 'daerah', 'kecepatan', 'internet', 'nyampe', 'mbps', 'kaya', 'daerah', 'garut']</t>
  </si>
  <si>
    <t>['telkomsel', 'bonus', '']</t>
  </si>
  <si>
    <t>['rilis', 'update', 'terbaru', 'versi', 'error', 'android', '']</t>
  </si>
  <si>
    <t>['tolong', 'fupnya', 'otomatis', 'hilang', 'pembelian', 'paket', '']</t>
  </si>
  <si>
    <t>['tolol', 'awk', 'main', 'mla', 'dikasi', 'cod', 'sma', 'mca', 'mna', 'nukarkan', 'poin', 'aplikasi', 'buruk']</t>
  </si>
  <si>
    <t>['mantaaap', 'berguna', 'aplikasi', 'berbagi', 'rezeki', '']</t>
  </si>
  <si>
    <t>['kasi', 'solusi', 'donk', 'min', 'apknya', 'buka', 'udh', 'download', 'ulang', 'kasi', 'saran', 'min', '']</t>
  </si>
  <si>
    <t>['puas', 'gays', 'mantap']</t>
  </si>
  <si>
    <t>['update', 'gabisa', 'buka', 'aplikasi']</t>
  </si>
  <si>
    <t>['bangus', 'sekalih']</t>
  </si>
  <si>
    <t>['telkomsel', 'jaringan', 'stabil', 'udah', 'gitu', 'mahal']</t>
  </si>
  <si>
    <t>['napa', 'akun', 'tekomselq', 'kebuka', 'kemarin', 'kemari', 'ganguan', 'kah', 'telkomsel', 'tolong', 'telkomsel']</t>
  </si>
  <si>
    <t>['buka', 'aplikasi', 'mytelkomsel']</t>
  </si>
  <si>
    <t>['apasih', 'gajelas', 'bet', 'main', 'cringe', 'parah', 'telkomto']</t>
  </si>
  <si>
    <t>['paket', 'limited', 'dihapus', '']</t>
  </si>
  <si>
    <t>['aplikasi', 'bermanfaat', 'suka', 'suka']</t>
  </si>
  <si>
    <t>['signal', 'telkomsel', 'bagus', '']</t>
  </si>
  <si>
    <t>['sinyal', 'jelek', 'lemot', 'klau', 'gini', 'trus', 'ganti', 'kartu']</t>
  </si>
  <si>
    <t>['kuota', 'mahal', 'sinyal', 'busuk', 'anjeeennnkkk', '']</t>
  </si>
  <si>
    <t>['aplikasinya', 'telkomsel', 'lumayan', 'semoga', 'beruntung', '']</t>
  </si>
  <si>
    <t>['buka', 'telekomsel', 'cek', 'kuota', 'pke', 'kuota', 'kuota', 'habis', 'mending', 'gratis']</t>
  </si>
  <si>
    <t>['harga', 'kuota', 'jaringan', 'trobel', 'mulu', 'kualitas', 'peningkatan', 'harga', 'kuota', 'meningkat', 'hadeh', 'parah', 'pindah', 'haluan', 'sebelah', 'murah', 'kualitas', 'jaringan', 'lbh', 'sekian', 'make', 'provider', 'pelanggan', 'kecewa', 'telkomnyet', 'skr', '']</t>
  </si>
  <si>
    <t>['buka', 'parah', 'telkomsel', 'aplikasi', 'gabisa', 'buka', 'parah', 'parah']</t>
  </si>
  <si>
    <t>['harga', 'paket', 'unlimeted', 'jaringanya', 'terkang', 'hilang', 'hilang', 'kepala', 'stress', 'udah', 'harga', 'paket', 'mahal', 'jaringan', 'jelass', 'jaringan', 'kendala', 'mohon', 'beritahu', 'melalu', 'karna', 'begit', 'pengguna', 'telkomsel', 'mengeluh', 'jaringan']</t>
  </si>
  <si>
    <t>['membantu', 'pandemi', 'covid', 'tks', 'telkomsel', '']</t>
  </si>
  <si>
    <t>['terima', 'ksih', 'telkomsel']</t>
  </si>
  <si>
    <t>['berat', 'coba', '']</t>
  </si>
  <si>
    <t>['membantu', 'bonusnya']</t>
  </si>
  <si>
    <t>['suka']</t>
  </si>
  <si>
    <t>['nukerin']</t>
  </si>
  <si>
    <t>['jelek', 'sampah', 'jaringan']</t>
  </si>
  <si>
    <t>['dimanapun', 'pakai', 'telkomsel', 'aman', 'sinyal']</t>
  </si>
  <si>
    <t>['aplikasi', 'udah', 'bagus', 'puas', 'telkomsel']</t>
  </si>
  <si>
    <t>['jaringan', 'internet', 'tolong', 'perbaiki']</t>
  </si>
  <si>
    <t>['berhenti', 'langganan', 'paket', 'darurat', 'sudh', 'coba', 'tpi', 'nihil', 'rugikan', 'isi', 'pulsa', 'potong', 'sya', 'utang', 'pulsa', 'darurat', 'tolong', 'solusinya', '']</t>
  </si>
  <si>
    <t>['harga', 'data', 'mahal', '']</t>
  </si>
  <si>
    <t>['aplikasinya', 'membantu', 'pengguna', 'telkomsel', 'semoga', 'kedepannya', 'solid']</t>
  </si>
  <si>
    <t>['lemot', 'aplikasinya']</t>
  </si>
  <si>
    <t>['', 'telkomsel', 'udah', 'buka']</t>
  </si>
  <si>
    <t>['aplikasinya', 'buruk', 'dibuka', '']</t>
  </si>
  <si>
    <t>['mncoba']</t>
  </si>
  <si>
    <t>['', 'wilayah', 'tinggal', 'jaringan', 'bagus']</t>
  </si>
  <si>
    <t>['', 'masuk', 'kemaren', 'kemaren', 'udah', 'paksa', 'berhenti', 'clear', 'cache', 'hapus', 'data', 'uninstall', 'tetep', 'gabisa', '']</t>
  </si>
  <si>
    <t>['smoga', 'bermanfaat', 'download']</t>
  </si>
  <si>
    <t>['ngga', 'buka', '']</t>
  </si>
  <si>
    <t>['plit', 'pket', 'mahal', 'smua']</t>
  </si>
  <si>
    <t>['buka', 'aplikasi', 'udah', 'nunggu', 'buka', 'sukaa', 'apk', '']</t>
  </si>
  <si>
    <t>['', 'skrang', 'jaringan', 'telkomsel', 'nge', 'lag', 'banget', 'smph', 'boong', 'beli', 'kuota', 'jaringan', 'nge', 'lag', 'banget', 'sbelum', 'mayan', 'pas', 'beli', 'kuota', 'gede', 'nge', 'lag', 'parah', 'kecewa', 'liat', 'tolong', 'telkomsel', 'atasi']</t>
  </si>
  <si>
    <t>['maksud', 'paket', 'extra', '']</t>
  </si>
  <si>
    <t>['jelek', 'sinyal', 'stabil', 'jangkauan', 'luas', 'buruk', '']</t>
  </si>
  <si>
    <t>['kecewa', 'telkomsel', 'pulsa', 'kuota', 'internet', 'harganya', 'mahal', 'sinyal', 'jaringan', 'lemot', 'tolong', 'perbaiki', 'sinyal', 'daerah', 'bekasi', 'karawang', 'semoga', 'cepet', 'bangkrut', 'telkomsel', '']</t>
  </si>
  <si>
    <t>['semoga', 'telkomsel', 'terbaik', 'pelanggan', 'setia', 'telkomsel', 'mytelkomsel', 'membantu', '']</t>
  </si>
  <si>
    <t>['putih', 'doank', 'kebuka', 'uninstall', 'trus', 'dowliad', 'tetep', 'gtu', 'apaada', 'kirain', 'support', 'ampe', 'download', 'ulang', 'tetep']</t>
  </si>
  <si>
    <t>['alhmdulillah', 'trimakasih', 'telkomsel', 'merilis', 'aplikasi', 'berguna', 'pelanggan', 'telkom', '']</t>
  </si>
  <si>
    <t>['sayang', 'sa', 'dibuka']</t>
  </si>
  <si>
    <t>['udah', 'pembaharuan', 'kebuka', 'aplikasinya']</t>
  </si>
  <si>
    <t>['sinyalnya', 'bagus']</t>
  </si>
  <si>
    <t>['', 'orang', 'tukar', 'poin', 'jdi', 'paket', 'data', 'sibuk', '']</t>
  </si>
  <si>
    <t>['kuota', 'miltimedia', 'nggak', 'liat', 'loading', 'trus', 'liat', 'halah']</t>
  </si>
  <si>
    <t>['telkomsel', 'jelek', 'jaringannya', 'beli', 'paket', 'telkomsel', 'mahal', 'gapapa', 'jangkauan', 'telkomsel', 'emang', 'dlo', 'jelek', 'banget', 'jaringannya', 'kadang', 'besok', 'jaringan', 'usaha', 'bos', 'jaringan', 'berpengaruh', 'sistem', 'penjualan', 'dionline', '']</t>
  </si>
  <si>
    <t>['', 'update', 'susah', 'buka', 'lemah']</t>
  </si>
  <si>
    <t>['seakan', 'lag', 'menimbulkan', 'ketidaknyamanan', 'pemakai', 'telkomsel']</t>
  </si>
  <si>
    <t>['update', 'aplikasi', 'mulu', 'jaringan', 'hilang', 'lelet', 'paketan', 'mahal', 'kualitas', 'jaringan', 'beda', 'make', 'make', 'lemot', 'pindah', 'ajalah', '']</t>
  </si>
  <si>
    <t>['sampah', 'jaringan', 'macet', '']</t>
  </si>
  <si>
    <t>['butuh', 'kestabilan', 'jaringan', 'kecepatan', 'jaringan', 'profesional']</t>
  </si>
  <si>
    <t>['tolong', 'bagus', 'jaringan', 'boss']</t>
  </si>
  <si>
    <t>['tingkatkan', 'pelayanan', '']</t>
  </si>
  <si>
    <t>['tingkatkan', 'sinyal', 'tower', 'bts', 'wilayah', 'tks']</t>
  </si>
  <si>
    <t>['pokoknya', 'mantap', 'pisan', 'euy', '']</t>
  </si>
  <si>
    <t>['harga', 'paket', 'berubah']</t>
  </si>
  <si>
    <t>['senang', 'aplikasi', 'telkomsel']</t>
  </si>
  <si>
    <t>['aplikasinya', 'blank', 'putih', 'polos']</t>
  </si>
  <si>
    <t>['updete', 'dibuka', 'blank', 'jaringab', 'stabil', 'komplain', 'email', 'massenger', 'direspon']</t>
  </si>
  <si>
    <t>['yth', 'telkomsel', 'bandar', 'lampung', 'coba', 'perbaiki', 'layanan', 'jaringan', 'sinyal', 'pikir', 'telkomsel', 'buruk', 'bintang', 'kesal', 'kecewa', 'kota', 'bandar', 'lampung', 'sinyal', 'internet', 'telkomsel', 'buruk', 'pakai', 'kuota', 'internet', 'telkomsel', 'kali', 'kuota', 'internet', 'three', 'indosat', 'pakai', 'wifi', 'telkomsel', 'ngga', '']</t>
  </si>
  <si>
    <t>['sinyal', 'baikin', 'asuu', 'tolinggula', 'gorontalo', '']</t>
  </si>
  <si>
    <t>['halo', 'napa', 'lemot', 'banget', 'buka', 'appnya', 'doank']</t>
  </si>
  <si>
    <t>['maaf', 'aplikasi', 'telkoomsel', 'handphon', 'nggak', 'terbuka']</t>
  </si>
  <si>
    <t>['paket', 'mahal', 'mahal']</t>
  </si>
  <si>
    <t>['harga', 'paket', 'mahal', 'jaringanya', 'jelek', 'nyesel', 'gua', 'jaringanya', 'dikota', 'bagus', 'im', '']</t>
  </si>
  <si>
    <t>['cepat', 'mudah']</t>
  </si>
  <si>
    <t>['paket', 'data', 'mahal', 'jaringan', 'murahan', 'cuihhh', 'tower', 'telkomsel', 'samping', 'rmh', 'gaguna']</t>
  </si>
  <si>
    <t>['telkomsel', 'jaringannya', 'hilang', 'muluu', 'gaje', 'telkomsel', '']</t>
  </si>
  <si>
    <t>['harga', 'paketnya', 'trus', 'stiap', 'trus', 'kayanya', 'kartu']</t>
  </si>
  <si>
    <t>['kuota', 'mahal', 'serba', 'mahal', 'anak', 'belajar', 'susah']</t>
  </si>
  <si>
    <t>['bantuan', 'penyelesaian', '']</t>
  </si>
  <si>
    <t>['kali', 'menukar', 'poin', 'semoga', 'memenangkan', 'hadiah', 'mobil', 'amin', '']</t>
  </si>
  <si>
    <t>['sinyal', 'jelek', 'maen', 'game', 'ping', 'merah', 'mulu', 'parah', 'telkomsel', 'kecewa', 'bnget', 'rekomended']</t>
  </si>
  <si>
    <t>['kecewa', 'aplikasinya', 'ngeblank', 'putih', 'dibuka', 'udh', 'restart', 'trs', 'aplikasinya', 'udh', 'uninstal', 'trs', 'dwonload', 'ulang', 'ttp', 'kebuka']</t>
  </si>
  <si>
    <t>['updat', 'jaringan', 'signalnya', 'lelet', 'bobrok', 'telkomsel', 'terimakasih', '']</t>
  </si>
  <si>
    <t>['sinyal', 'telkomsel', 'jelek', 'penyuka', 'games', 'pakai', 'telkomsel', '']</t>
  </si>
  <si>
    <t>['lho', 'aplikasinya', 'buka', 'uda', 'update', 'veri', 'masi', 'handphone', 'salah', '']</t>
  </si>
  <si>
    <t>['aplikasi', 'mytelkomsel', 'membantu', 'memudahkan', 'bertransaksi']</t>
  </si>
  <si>
    <t>['mantap', 'jaringan', 'lancar', 'babi']</t>
  </si>
  <si>
    <t>['semenjak', 'update', 'aplikasinya', 'buka', 'samsung', 'mohon', 'perbaiki', 'bug']</t>
  </si>
  <si>
    <t>['kali', 'isi', 'pulsa', 'nyimpen', 'pulsa', 'kesedot', 'habis', 'sampe', 'paket', 'udah', 'gitu', 'sinyal', 'hilang']</t>
  </si>
  <si>
    <t>['paket', 'internet', 'mahal', 'kali', 'murah']</t>
  </si>
  <si>
    <t>['udah', 'mahal', 'jaringan', 'kayak', 'taikkkkkk']</t>
  </si>
  <si>
    <t>['masuk', 'aplikasi', 'telkomsel']</t>
  </si>
  <si>
    <t>['sinyal', 'min', 'tolong', 'min', 'semoga', 'cepet', 'perbaiki']</t>
  </si>
  <si>
    <t>['signal', 'jelek', 'trus', 'tlong', 'telkomsel', 'perbaikin', 'khusus', 'daerah', 'sya', 'malu', 'iklan', 'kliiiiaaaaannnnn', '']</t>
  </si>
  <si>
    <t>['paket', 'internet', 'telkomsel', 'parah', 'mahal', '']</t>
  </si>
  <si>
    <t>['aneh', 'kadang', 'beberaoa', 'orang', 'dapet', 'kuota', 'unlimax', 'engga', 'dapet', 'best', 'deal', 'kuota', 'pengaruh', 'device', 'kah', 'kartu', '']</t>
  </si>
  <si>
    <t>['bagus', 'provider', 'mahal', 'gua', 'karna', 'emng', 'kencang', 'gila', 'parah', 'bener', 'jaringan', 'gua', 'maen', 'pabji', 'stuck', 'ping', 'tinggal', 'gua', 'pedalaman', 'tolong', 'perbaikin', '']</t>
  </si>
  <si>
    <t>['bertahun', 'pakai', 'telkomsel', 'ngerasain', 'jaringan', 'hancur', 'chattingan', 'butuh', 'jaringan', 'hilang', '']</t>
  </si>
  <si>
    <t>['beli', 'paket', 'pembayaran', 'ovo', 'udh', 'terpotong', 'paket', 'masuk', 'parah']</t>
  </si>
  <si>
    <t>['good', 'promonya']</t>
  </si>
  <si>
    <t>['', 'telkomsel', 'sya', 'butuh', 'cex', 'kuota', 'manual', 'lelet', 'blsan', 'pembelian', 'internet', 'atu', 'pulsa', 'sma', 'ajh', 'promonya', 'mahal', '']</t>
  </si>
  <si>
    <t>['mudah', 'ribet', 'haya', 'harapkan', 'promo', 'paket', 'telkomsel', 'penguna', 'pusat', 'pengaduan', 'whatsapp', 'call']</t>
  </si>
  <si>
    <t>['habis', 'update', 'dibuka', 'layar', 'putih', 'doang']</t>
  </si>
  <si>
    <t>['terimakasih', 'mendengarkan', 'keluhan', 'udah', 'tua', 'penyelesaian', 'cepat', 'karna', 'aplikasinya', 'samsung', '']</t>
  </si>
  <si>
    <t>['', 'telkomsel', 'mantap', 'kuotanny', 'murah', 'banget', '']</t>
  </si>
  <si>
    <t>['membantu', 'pemasangan', 'paket']</t>
  </si>
  <si>
    <t>['sinyalnya', 'lancar', 'gue', 'main', 'game', 'mobile', 'legenda', 'pon', 'susah', 'jaringan', 'jelek', 'banget', '']</t>
  </si>
  <si>
    <t>['upgrade', 'jdi', 'susah', 'masuk', 'mlah', 'nge', 'blank', 'aneh', 'bagus', 'versi']</t>
  </si>
  <si>
    <t>['minggu', 'aplikasi', 'parah', 'entak', 'didownload', 'ditekan', 'layar', 'putih', 'telkomsel', 'memperbaiki', '']</t>
  </si>
  <si>
    <t>['uda', 'minggu', 'jaringan', 'kampungku', 'buriq', 'kali', 'uda', 'isi', 'pulsanya', 'beli', 'paket', 'data', 'ngelag', 'nggak', 'main', 'mobile', 'legends', 'telkomsel', 'alasan', 'kawan', 'axis', 'lancar', 'telkomsel', 'mahal', 'nge', 'lag', 'fix', 'otw', 'pindh', 'kartu', 'sebelah']</t>
  </si>
  <si>
    <t>['pengguna', 'telkomsel', 'tpi', 'knapa', 'puas', 'bnyak', 'bnget', 'kendala', 'sinyal', 'sperti', 'kmaren', 'paket', 'mahal', 'tpi', 'sinyal', 'msalah', 'koneksi', 'jelek', 'berharap', 'tlong', 'tingkat', 'koneksi', 'jaringan', 'kmi', 'slaku', 'pengguna', 'puas', 'ganti', 'dri', 'telkomsel', 'sperti', 'trus', 'nyaman', 'paket', 'mahal', 'sinyal', 'parah', 'stiap', 'buka', 'sosmed', 'suka', 'mrah', 'sndiri', 'krena', 'msalah', 'jaringan', 'slaku', 'pengguna', 'telkomsel', 'mengeluh', '']</t>
  </si>
  <si>
    <t>['knp', 'membeli', 'pulsa', 'indomaret', 'alfamaret', 'keterangan', 'berhasil', 'muncul', 'pulsany', 'kehilangan', 'pulsa', 'ribu', 'nomer', 'telkom', 'lalai', 'degan', 'tugasny', 'kecewwa', 'makan', 'sebulan', '']</t>
  </si>
  <si>
    <t>['praktis', 'simple', 'prosesnya', 'mudah']</t>
  </si>
  <si>
    <t>['telkomsel', 'lelet', 'jaringan', 'banget', 'pas', 'main', 'game', 'jaringan', 'merah', 'pas', 'lancar', 'nonton', 'video', 'tolong', 'dikoreksi', '']</t>
  </si>
  <si>
    <t>['', 'telkomsel', 'kasi', 'bonoss', 'napa', 'pliss']</t>
  </si>
  <si>
    <t>['jaringan', 'terburuk', 'aplikasi', 'buka', 'paket', 'mahal', 'lengkap', 'aplikasi', 'terburuk', 'gue', 'pakek']</t>
  </si>
  <si>
    <t>['ukuran', 'aplikasi', 'versi', 'lite', 'aplikasi', 'gagal', 'tingkatkan']</t>
  </si>
  <si>
    <t>['udah', 'normal', 'thx']</t>
  </si>
  <si>
    <t>['mntp', 'bnyk', 'bonus']</t>
  </si>
  <si>
    <t>['jaringan', 'taii', 'jam', 'sinyal', 'lemot', 'banget', 'main', 'game', 'taii', 'nyesel', 'telkomsel', 'paket', 'ajh', 'mahal', 'sinyal', 'kek', 'anying', '']</t>
  </si>
  <si>
    <t>['busuk', 'beli', 'paket', 'internet', 'pulsa', 'embat', 'rampok']</t>
  </si>
  <si>
    <t>['kesini', 'suka', 'putus', 'koneksi', 'kouta']</t>
  </si>
  <si>
    <t>['layar', 'putih', 'masuk', 'aplikasi']</t>
  </si>
  <si>
    <t>['jaringannya', 'jelek', 'harga', 'sebanding', 'jaringannya']</t>
  </si>
  <si>
    <t>['membantu', 'harga', 'bersahabat']</t>
  </si>
  <si>
    <t>['pakai', 'apl', 'telkom', 'klu', 'aplkasi', 'share', 'temen', 'updet']</t>
  </si>
  <si>
    <t>['sinyal', 'parah', 'banget', 'lemot', 'mahal', 'kaya', 'kenceng', 'mahal']</t>
  </si>
  <si>
    <t>['lancar', 'jaya', 'sayang', 'paketnya', 'dibagi', 'mubasir']</t>
  </si>
  <si>
    <t>['kasih', 'bintang', 'semoga', 'telkomsel', 'melirik', 'nomor', '']</t>
  </si>
  <si>
    <t>['sebulan', 'layar', 'putih', 'berkali', 'reinstall', '']</t>
  </si>
  <si>
    <t>['ranting', 'buruk', 'kualitasnya', 'buru', 'jaringan', 'pindah', 'lelet']</t>
  </si>
  <si>
    <t>['benerin', 'loading', 'screen', 'gblg', 'bet', 'taik']</t>
  </si>
  <si>
    <t>['pengen', 'kasi', 'murah', 'beli', 'qouta']</t>
  </si>
  <si>
    <t>['buruk', 'aplikasi', 'pembaruan', 'dibuka', 'layar', 'putih', '']</t>
  </si>
  <si>
    <t>['udah', 'bayar', 'mahal', 'mahal', 'jaringan', 'kek', 'pepek']</t>
  </si>
  <si>
    <t>['isi', 'pulsa', 'ilang', 'abis', 'download', 'apk']</t>
  </si>
  <si>
    <t>['jaringan', 'telokomsel', 'hujan', 'seringkali', 'eror']</t>
  </si>
  <si>
    <t>['suka', 'bangat']</t>
  </si>
  <si>
    <t>['pengguna', 'telkomsel', 'kualitas', 'telkomsel', 'didaerah', 'bagus', 'buruk', 'banget', 'namanya', 'mati', 'bertahun', 'telkomsel', 'kali', 'memberikann', 'ulasan', 'negatif', '']</t>
  </si>
  <si>
    <t>['udah', 'mahal', 'gangguan', 'nyaman', '']</t>
  </si>
  <si>
    <t>['jaringannya', 'hancur', 'kecewa', 'beli', 'paket', 'data', 'mahal', 'mahal', 'kalah', 'operator', 'berkembang', 'kuat', 'jaringannya', 'auto', 'ganti', 'gsm', 'kayak', 'gini', '']</t>
  </si>
  <si>
    <t>['ubah', 'eror']</t>
  </si>
  <si>
    <t>['sinyal', 'telkomsel', 'lemot', 'mohon', 'pertimbangkan']</t>
  </si>
  <si>
    <t>['mudah', 'beli', 'paketan']</t>
  </si>
  <si>
    <t>['kualitas', 'jaringan', 'sesuai', 'harga']</t>
  </si>
  <si>
    <t>['sayang', 'kuota', 'mahal', 'jarang', 'promo', 'jaringan', 'hilang', 'kadang', 'jalan', 'internet', 'main', 'game', 'mending', 'beralih', 'kota', 'murah', 'promo', 'jaringan', 'signal', 'perbaiki', 'menyediaka', 'kuota', 'kuota', 'ngasih', 'bonus', 'tambahan', 'kota', 'paket', 'nelpon', 'pakek', 'acara', 'bonus', 'hostar', 'disney', 'jaugak', '']</t>
  </si>
  <si>
    <t>['tolong', 'paket', 'internet', 'murah', 'dikit']</t>
  </si>
  <si>
    <t>['baiklah', '']</t>
  </si>
  <si>
    <t>['aplikasi', 'dibuka', '']</t>
  </si>
  <si>
    <t>['tingkatkan', 'promo', 'kualitas', 'sinyal']</t>
  </si>
  <si>
    <t>['paket', 'mahal', 'jaringan', 'jelek', 'banget', 'kotak', 'jaringan', 'penuh', 'lelet', 'bamget']</t>
  </si>
  <si>
    <t>['pulsa', 'potong', 'tolong', 'perbaiki', '']</t>
  </si>
  <si>
    <t>['nyedot', 'pulsa', 'diem', 'apk', 'buka', 'tertulisa', 'apk', 'bermasalah', 'rusak', 'coba', '']</t>
  </si>
  <si>
    <t>['jaringan', 'jelek', 'parah', 'suka', 'ilang', 'ilangan', 'paketan', 'mahal', 'enak', 'telkomsel', 'andai', 'jaringannya', 'jelek', 'sepadan', 'harga', 'paketan', '']</t>
  </si>
  <si>
    <t>['harga', 'turunin']</t>
  </si>
  <si>
    <t>['kebuka', 'aplikasinya', 'pengaturan', 'udah', 'ijinkan']</t>
  </si>
  <si>
    <t>['', 'telkomsel', 'bagus']</t>
  </si>
  <si>
    <t>['jaringan', 'ilang', 'ilangan', 'anjeeng', 'gobloook', 'pikir', 'kartu', 'bagus', 'denpasar', 'masah', 'sinyal', 'ilang', 'data', 'nyala', 'kek', 'pakeran', 'masak', 'mode', 'pesawat', 'normal', 'cocok', 'maen', 'game', 'aktifitas', 'cepet']</t>
  </si>
  <si>
    <t>['bintang', '']</t>
  </si>
  <si>
    <t>['bagus', 'bet']</t>
  </si>
  <si>
    <t>['min', 'tolong', 'aplikasi', 'telkomsel', 'gatau', 'gabisa', 'dibuka', 'udah', 'uninstall', 'install', 'tetep', 'gabisa', 'gambarnya', 'putih', 'doang', 'mohon', 'min']</t>
  </si>
  <si>
    <t>['gimana', 'aplikasi', 'promo', 'memuaskan', 'murah', 'trus', 'aplikasi', 'error', 'tolong', 'donk', 'konsisten', 'lgi', 'ditingkatkn', 'lgi', 'klau', 'kek', 'gini', 'pkai', 'aplikasi']</t>
  </si>
  <si>
    <t>['mantap', 'paketnya', 'beli', 'harganya', 'naikkan', 'kasihan', 'orang', '']</t>
  </si>
  <si>
    <t>['knp', 'buka', 'aplikasi', 'backgroundnya', 'putih', 'tolong', 'aplikasi', 'bagus', 'tolong', '']</t>
  </si>
  <si>
    <t>['menarik', 'membantu', 'poin', 'kuota', 'gratis']</t>
  </si>
  <si>
    <t>['kuota', 'pemerintah', 'cpt', 'banget', 'habis', 'tolong', 'ulangan', '']</t>
  </si>
  <si>
    <t>['lawak', 'tekomsel', 'penyedot', 'pulsa', 'bintang', '']</t>
  </si>
  <si>
    <t>['gmn', 'telkomsel', 'aplikasi', 'buluk', 'buka']</t>
  </si>
  <si>
    <t>['temkonsel', 'menikmati', 'temkonsel']</t>
  </si>
  <si>
    <t>['buka', 'install', 'uninstall', 'kebuka', 'uninstall', 'kecewa', 'issh']</t>
  </si>
  <si>
    <t>['telkomsel', 'bagus', 'paket', 'jga', 'murah', 'tpi', 'blm', 'beruntung', 'hadiah', 'undian', '']</t>
  </si>
  <si>
    <t>['ngestak', 'mulu']</t>
  </si>
  <si>
    <t>['pulsa', 'potong', 'beli', 'paket', 'data', 'paket', 'tlp', 'wifi', 'pulsa', 'berkurang', 'mohon', 'telkomsel', 'potong', 'pulsa', 'orang', 'rugi', 'mahalkan', 'bkn', 'potong', 'pulsa', 'tgl', 'isi', 'pulsa', 'tgl', 'pulsatinggal', 'pemakaian']</t>
  </si>
  <si>
    <t>['asyik', 'menyenangkan']</t>
  </si>
  <si>
    <t>['membantu', 'disaat', 'urgent', 'pengisian', 'pulsa', 'data', 'darurat']</t>
  </si>
  <si>
    <t>['abdate', 'trus', 'gan']</t>
  </si>
  <si>
    <t>['aplikasinya', 'bagus', 'semoga', 'promo', 'terimakasih']</t>
  </si>
  <si>
    <t>['jaringannya', 'ngelag', 'mulu', 'tolooolllllllll']</t>
  </si>
  <si>
    <t>['bagus', 'memuaskan']</t>
  </si>
  <si>
    <t>['penyebabnya', 'buka', 'samsung', 'gabisa']</t>
  </si>
  <si>
    <t>['jelek', 'sinyalnya', 'paket', 'mahal', 'sinyal', 'jelek']</t>
  </si>
  <si>
    <t>['semoga', 'menang', 'undian', 'mobil', 'motor', 'amien']</t>
  </si>
  <si>
    <t>['habis', 'update', 'login', 'payah', 'neh', 'telkomsel']</t>
  </si>
  <si>
    <t>['telkomsel', 'kartu', 'ajgyg', 'pakai', 'udah', 'mahal', 'jaringannya', 'lemot', 'maen', 'game', 'mnding', 'ngga', 'telkomsel', 'nyesel', 'lag', 'parah', 'game', 'udh', 'harga', 'kuotanya', 'mahal', 'bulannya', 'harga', 'kuotanya', 'nambahnya', 'segitu', 'tetep', 'belinya', 'nambah', 'otu', 'saranin', 'mending', 'telkomsel']</t>
  </si>
  <si>
    <t>['mesin', 'penjawab', 'robot', 'coba', 'tanggap', 'keluhan', 'pelanggan', 'pengguna', 'miskin', 'kaya', 'raja', 'pelanggan', 'pengguna', 'klu', 'pergi', 'beralih', 'operator', 'menjamin', 'kedepan', 'telkomsel', 'berfikir', 'kepikiran', 'pakai', 'otakmu', 'otak', 'menciut', '']</t>
  </si>
  <si>
    <t>['menyukai', 'aplikasi']</t>
  </si>
  <si>
    <t>['afk', 'lemot', 'kadang', 'bleng', 'putih', 'ram', 'memadai', 'udh', 'ufgrade', 'msi', 'jengkel']</t>
  </si>
  <si>
    <t>['jaringan', 'telkomsel', 'jelek']</t>
  </si>
  <si>
    <t>['ngebleng', 'putih', 'kebuka']</t>
  </si>
  <si>
    <t>['jaringan', 'internet', 'lambat', 'gangguan', 'solusinya', 'tinggalkan', 'fitur', 'telkomselnya', 'tinggalkan', 'beralihlah', 'secepatnya', 'kartu', 'perdana', 'karna', 'provider', 'direcomendasikan', 'pengguna', 'mendesak', 'dll', 'pokonya', 'mengecewakan', 'produkannya', 'telkomsel', 'terimakasih', '']</t>
  </si>
  <si>
    <t>['murah', 'meriah', 'paket', 'internet']</t>
  </si>
  <si>
    <t>['paket', 'internetnya', 'mahal', 'mahal', 'kasih', 'tawaran', 'paket', 'alimitid', 'engga', 'tawaran', 'full', 'paket', 'bebasnya', 'tolong', 'kasih', 'perubahan', 'tawaran', 'paketnya', 'nyaman', '']</t>
  </si>
  <si>
    <t>['telkomsel', 'rumah', 'daerah', 'jogosatru', 'sukodono', 'sidoarjo', 'sinyalnya', 'jelek', 'game', 'sosmed', 'youtube', 'lancar', 'jaya', 'pindah', 'lokasi', 'desa', 'sebelah', 'sinyalnya', 'normal', 'tolong', 'perbaiki', 'telkomsel', 'pelosok', 'rumah']</t>
  </si>
  <si>
    <t>['bermasalah', 'telkomsel', 'aplikasi', 'buruk', '']</t>
  </si>
  <si>
    <t>['kerren', 'terbantu', 'berkomunikasi', 'memperoleh', 'info', 'info', 'medsos', 'sinyal', 'kuat', 'dimana', '']</t>
  </si>
  <si>
    <t>['stabil', 'sinyal', 'daerah', 'sinyal', 'jelek', 'banget', 'kirain', 'bagus', 'sinyalnya']</t>
  </si>
  <si>
    <t>['nuker', 'point', 'game', 'call', 'duty', 'point', 'kepotong', 'masuk']</t>
  </si>
  <si>
    <t>['atur', 'nomor', 'telepon', 'anggota', 'keluarga', 'paket', 'kuota', 'keluarga', 'rusak', 'aplikasinya', '']</t>
  </si>
  <si>
    <t>['sinyal', 'jelek', 'sie', 'knp', 'telkom', 'beli', 'kouta', 'mahal', 'mahal', 'knp', 'jaringan', 'jelek', 'kirim', 'chat', 'knp', 'loading', 'jam', 'dinding']</t>
  </si>
  <si>
    <t>['tolong', 'banget', 'mah', 'operator', 'telkomsel', 'terhormat', 'jaringan', 'daerah', 'caringin', 'bogor', 'jelek', 'banget', 'jaringan', 'kartu', 'telkomsel', 'ayah', 'jelek', 'susah', 'urgent', 'kirim', 'tugas', 'kuliah', 'susah', 'why', 'gitu', 'mohon', 'perbaiki', 'jaringan', 'telkomsel', 'daerah', 'ulasan', 'bintang', 'kecewa', 'sebulan', 'jaringan', 'perbaiki', 'kasih', 'ulasan', 'bintang', 'sekian', '']</t>
  </si>
  <si>
    <t>['macet', 'heeeeh', 'gangguan', 'sistem', '']</t>
  </si>
  <si>
    <t>['kecewa', 'telkomsel', 'jaringan', 'lelet', 'harga', 'paket', 'internet', 'dugaan']</t>
  </si>
  <si>
    <t>['menunggu', 'hadiah', 'menarik', 'telkomsel', '']</t>
  </si>
  <si>
    <t>['mantep', 'pokok', '']</t>
  </si>
  <si>
    <t>['bagus', 'bermanfaat', 'membantu', 'keterangan', 'konsumen', 'terima', 'kasih']</t>
  </si>
  <si>
    <t>['telkomsel', 'taik', 'harga', 'paketnya', 'otak']</t>
  </si>
  <si>
    <t>['pas', 'buka', 'putih', 'kiamat', 'dancok']</t>
  </si>
  <si>
    <t>['kesini', 'sinyal', 'pusing', 'kerja', 'berantakan', 'cilegon', 'sinyal', 'kaya', 'lilin', 'tiup', 'angin', 'kelapkelip', 'tolong', 'perbaiki', '']</t>
  </si>
  <si>
    <t>['knapa', 'bukak']</t>
  </si>
  <si>
    <t>['telkomsel', 'panggilan', 'alasan', 'telkomsel', 'menawarkan', 'undian', 'berhadiah', 'iming', 'tukar', 'point', 'vocer', 'belanja', 'dll', 'ujung', 'ujungnya', 'penipuan', 'telkomsel', 'bisabertindak', 'ngeblok', 'nomer']</t>
  </si>
  <si>
    <t>['update', 'dibuka', 'aplikasinya', 'tolong', 'perbaiki']</t>
  </si>
  <si>
    <t>['bernguna', 'bangi', 'penggunanya']</t>
  </si>
  <si>
    <t>['mahal', 'mahal', 'paketanya']</t>
  </si>
  <si>
    <t>['', 'telkomsel', 'informasi', 'uptidate', 'paketan', 'terjangkau', 'dinikmati', 'kalangan']</t>
  </si>
  <si>
    <t>['terima', 'kasih', 'telkomsel', 'kemajuannya', 'tingkatkan', 'kinerjanya']</t>
  </si>
  <si>
    <t>['bagus', 'layanan', 'nyaa']</t>
  </si>
  <si>
    <t>['', 'buka', 'samsung', 'cuman', 'layar', 'putih']</t>
  </si>
  <si>
    <t>['mahal', 'kuota']</t>
  </si>
  <si>
    <t>['lumayan', 'puas', 'promonya']</t>
  </si>
  <si>
    <t>['sngt', 'jlk', 'bngt', 'msk', 'susah', 'bngt', 'hbs', 'kuota', 'jlk', 'plyn', 'tlg', 'perbaharui', 'kmnl']</t>
  </si>
  <si>
    <t>['jaman', 'pakai', 'kartu', 'telkomsel']</t>
  </si>
  <si>
    <t>['paket', 'internet', 'kebanyakan', 'internet', 'lokal', 'gunanya', 'beli', 'paket', 'mahal', 'kuota', 'internetnya', 'dikit', 'lokalnya', 'haaii', 'pemakai', 'telkomsel', 'rakyat', 'kayak', 'negeri', 'daerah', 'jarang', 'ngapain', 'adain', 'internet', 'lokal', 'telkomsel', 'kesini', 'mahal', 'tolong', 'ngertiin', 'rakyat', 'kaya', 'mulu', 'smoga', 'kebaca', 'perbaiki', '']</t>
  </si>
  <si>
    <t>['telkomsel', 'buka', 'tolong', 'konfirmasi']</t>
  </si>
  <si>
    <t>['habis', 'update', 'dipake', 'dibuka', 'layar', 'putihh', 'kecewaaaa']</t>
  </si>
  <si>
    <t>['aplikasinya', 'berat', 'membantu']</t>
  </si>
  <si>
    <t>['membantu', 'menginfokan', 'paket', 'promo']</t>
  </si>
  <si>
    <t>['mengadukan', 'sinyal', 'dimana', 'sinyalnya', 'jelek', 'kenceng', 'turun', 'edge', 'ilang', 'jaringannya', 'tinggal', 'kota', 'provider', 'langsung', 'kenceng', 'stabil', 'temen', 'telkomsel', 'kaya', 'gitu', 'baca', 'tolong', 'perbaiki', 'pengguna', 'berkomentar', 'bertindak', 'tetep', 'provider', 'terimakasih']</t>
  </si>
  <si>
    <t>['semenjak', 'update', 'login']</t>
  </si>
  <si>
    <t>['alhamdulillah', 'mytelkomsel', 'terbantu', 'paket', 'datanya', 'murah', 'poinnya', 'dituker', 'apk', 'mytelkomsel']</t>
  </si>
  <si>
    <t>['', 'update', 'android', 'pakai', 'aplikasi', 'layar', 'putih']</t>
  </si>
  <si>
    <t>['aplikasi', 'telkomsel', 'dpt', 'pulsa', 'internet', 'berlaku', '']</t>
  </si>
  <si>
    <t>['dibuka', 'clear', 'cache', 'close', 'hapus', 'memory', 'tetep', 'ndk', 'samsung', '']</t>
  </si>
  <si>
    <t>['pertukaran', 'poin', 'menjebak', '']</t>
  </si>
  <si>
    <t>['terima', 'kasih', 'aplikasi', 'telkomsel', 'gua', 'beli', 'paket', 'murah', 'tambahan', 'kuota', 'omg', 'kode', 'diamond', 'gratis', 'kuota', 'gratis', 'login', 'aplikasi', 'telkomsel', '']</t>
  </si>
  <si>
    <t>['', 'rekomendasi', 'pokoknya']</t>
  </si>
  <si>
    <t>['jaringannya', 'lemot', 'area', 'cibitung', 'cikarang', 'barat', 'bekasi', 'tolong', 'perbaiki', '']</t>
  </si>
  <si>
    <t>['layanan', 'memuaskan', 'praktis', 'pembelian']</t>
  </si>
  <si>
    <t>['terimaksih', 'telkomsel', 'aplikasinya', 'membutuhkan', 'maaf', 'komentar', '']</t>
  </si>
  <si>
    <t>['udah', 'apk', 'buka', 'nge', 'stuck', 'layar', 'putih', 'doang', 'udah', 'coba', 'bersihkan', 'chache', 'udah', 'berkali', 'delete', 'buka', 'mohon', 'perhatian', 'dri', 'admin', 'telkomsel']</t>
  </si>
  <si>
    <t>['paket', 'quota', '']</t>
  </si>
  <si>
    <t>['kartu', 'tergila', 'pakai', 'beli', 'kuota', 'unlimited', 'youtube', 'dapet', 'gratisan', 'kuota', 'internet', 'gb', 'pas', 'kuota', 'internet', 'abis', 'kuota', 'unlimited', 'gimna', 'nyesel', 'gue', 'donlod', 'aplikasi', 'bangst', 'bangtt', 'lahh', '']</t>
  </si>
  <si>
    <t>['sinyal', 'merata', 'dipelosok', 'upgrade', 'kadang', 'sinyal', 'lemah', '']</t>
  </si>
  <si>
    <t>['permisi', 'tolong', 'telkomsel', 'memperbaiki', 'aplikasi', 'telkomsel', 'aplikasi', 'telkomsel', 'pas', 'masuk', 'layarnya', 'keliaatan', 'putih', 'doang', 'tolong', 'diperbaiki']</t>
  </si>
  <si>
    <t>['telkomsel', 'sibuk', 'banget', 'iya', 'telkomsel', 'membaik', 'buruk', 'mati', 'lampu', 'signal', 'sampek', 'oke', 'telkomsel', 'sekian', 'ulasan', 'orang', 'jember', 'selatan']</t>
  </si>
  <si>
    <t>['boongin', 'harganya']</t>
  </si>
  <si>
    <t>['udah', 'jaringan', 'lemot', 'paket', 'mahal', 'stop', 'berlangganan', 'telkomsel', 'berlangganan', 'rugikan', 'lemot', 'mahal', '']</t>
  </si>
  <si>
    <t>['cocok']</t>
  </si>
  <si>
    <t>['telkomsel', 'kesini', 'burik', 'jaringan', 'maen', 'game', 'slalu', 'lancar', 'ping', 'drop', 'nggk', 'kali', 'mohon', 'diperbaiki', 'jaringan', 'karna', 'jaringan', 'terbaik', 'tsel', '']</t>
  </si>
  <si>
    <t>['buka', 'telkomsel', 'nge', 'stuck', 'putih', 'masuk', 'tolong', 'perbaiki', '']</t>
  </si>
  <si>
    <t>['tolong', 'perbaiki', 'jaringan', 'internet', 'tlp', 'sms', 'nlp', 'operator', 'kayak', 'orang', 'budek', 'dpt', 'sms', 'daerah', 'ehh', 'giliran', 'aktifin', 'ngangkat', '']</t>
  </si>
  <si>
    <t>['transaksi', 'pembelian', 'paket', 'data', 'tolong', 'diperbaiki', 'keterangan', 'aplikasi', 'maaf', 'gangguan', 'sistem', 'transaksi', 'telkomsel', 'hapus', 'install', 'aplikasi', 'berkali', 'mohon', 'perbaikannya', 'terimakasih']</t>
  </si>
  <si>
    <t>['tulung', 'promo', 'internetnya', '']</t>
  </si>
  <si>
    <t>['bangus', 'membantu']</t>
  </si>
  <si>
    <t>['bagus', 'apk', 'paket', 'murah', 'dalamnya', 'download', 'nikmati', 'promo', 'berkelas', 'dalamnya']</t>
  </si>
  <si>
    <t>['aduhhh', 'apk', 'idio', 'gue', 'udah', 'beli', 'kuota', 'tolo', 'xxl']</t>
  </si>
  <si>
    <t>['buka', 'aplikasi', 'muncul', 'aplikasi', 'gimana', 'update', 'trus', 'kali', 'unisntall', 'install', 'tetep', 'gitu']</t>
  </si>
  <si>
    <t>['tanggal', 'kouta', 'unlimitedmax', 'ngga', 'gue', 'beli', 'kouta', 'aplikasi', 'mytelkomsel', 'ngga', 'tolong', 'diperbaiki']</t>
  </si>
  <si>
    <t>['', 'apk', 'bagus', 'semoga', 'kedepan', 'bagus']</t>
  </si>
  <si>
    <t>['coba', 'buwat', 'paket', 'tan', 'mahal', 'kasiyan', 'ama', 'misik', 'sehari', 'miskin', 'butuh', 'makn', 'enak', 'sisa', 'beli', 'paket', 'beli', 'makan', 'tapa', 'telkomsel', 'mah', 'murah']</t>
  </si>
  <si>
    <t>['apk', 'jelek', 'uda', 'poin', 'redeem', 'pulsa', 'ambil', 'udah', 'pindah', 'kartu', 'apk', 'kont', '']</t>
  </si>
  <si>
    <t>['puas']</t>
  </si>
  <si>
    <t>['', 'coba']</t>
  </si>
  <si>
    <t>['membantu', 'aktivitas', 'lihat', 'kouta', 'internet', '']</t>
  </si>
  <si>
    <t>['telkomsel', 'payah', 'suka', 'merampok', 'pulsa', 'ndak', 'uda', 'kuota', 'internet', 'kuota', 'telpon', 'dipotong', 'pulsanya', 'akses', 'internet', 'non', 'paket', 'esoknya', 'potong', 'pulsa', 'penjelasan', 'pemotongan', 'dasar', 'perampok', 'pulsa', 'teman', 'pilih', 'provider', 'pilih', 'provider', 'parah', '']</t>
  </si>
  <si>
    <t>['aplikasinya', 'bagus', 'bermanfaat']</t>
  </si>
  <si>
    <t>['tingkatkan', 'kualitas', 'sinyalnya']</t>
  </si>
  <si>
    <t>['', 'dibuka', 'dibuka', 'muncul', 'cuman', 'white', 'screen', 'doank', 'pdhl']</t>
  </si>
  <si>
    <t>['sinyall', 'ngelag', 'mohon', 'diperbaiki', 'sinyalnya', 'zoom', 'ngelag', 'nge', 'lag', 'emng', 'relkomsel', 'ngelag', 'ganti', 'kartu', 'indosat', '']</t>
  </si>
  <si>
    <t>['update', 'dibuka', 'buka', 'dianjurkan', 'update', '']</t>
  </si>
  <si>
    <t>['aplikasi', 'akurat', 'mending', 'hapus']</t>
  </si>
  <si>
    <t>['sinyal', 'busuk', 'hujan', 'mkin', 'hncurr', 'harga', 'doang', 'mahal']</t>
  </si>
  <si>
    <t>['jaringannya', 'ditingkatkan', 'ubtuk', 'harga', 'diharapkan', 'terjangkau', 'kalangan', 'masyarakat', 'telkomsel', 'terbaik', 'yess', '']</t>
  </si>
  <si>
    <t>['penipuan', 'tulisannya', 'kuota', 'unlimited', 'aplikasi', 'pas', 'batasnya', 'kuota', 'gb', 'tiktok', 'games', 'kecewa', 'telkomsel']</t>
  </si>
  <si>
    <t>['luarbiasa', 'mantul']</t>
  </si>
  <si>
    <t>['isi', 'ulang', 'pulsa', 'beli', 'paket', 'data', 'harga', 'pulsa', 'transaksi', 'selesai', 'hilang', 'pulsanya', 'paket', 'datanya', 'bukti', 'transaksi']</t>
  </si>
  <si>
    <t>['mudah', 'tinggal', 'tingkat']</t>
  </si>
  <si>
    <t>['krnapa', 'buka', '']</t>
  </si>
  <si>
    <t>['dibuka', 'app']</t>
  </si>
  <si>
    <t>['woii', 'mimin', 'mending', 'bantuin', 'buka', 'apk', 'telkomselnya', 'gua', 'apk', 'hancurr', 'kek', 'hati', 'gua', '']</t>
  </si>
  <si>
    <t>['telkomsel', 'tolong', 'ngasih', 'pilihan', 'pembelian', 'paket', 'gede', 'kasih', 'pilhan', 'tpi', 'akti', 'pelanganmu', 'membeli', 'kauta', 'jmbh', 'kya']</t>
  </si>
  <si>
    <t>['bayar', 'mahal', 'sinyal', 'jelek', 'banget']</t>
  </si>
  <si>
    <t>['layarnya', 'putih', 'udah', 'unistal', 'instal', 'bolak', 'msh', 'putih']</t>
  </si>
  <si>
    <t>['aplikasinya', 'ngak', 'buka', '']</t>
  </si>
  <si>
    <t>['mudahan', 'lancar', 'jaringan']</t>
  </si>
  <si>
    <t>['beli', 'paket', 'mahal', 'mahal', 'jaringan', 'hilang', 'provider', 'paketan', 'internet', 'lumayan', 'menguras', 'pertimbangan', 'jaringannya', 'kuat', 'merugi']</t>
  </si>
  <si>
    <t>['top', 'pulsa', 'belom', 'jam', 'udah', 'ajah', 'belom', 'kecewa', 'banget', 'telkomsel', 'perbaiki', 'ganti', 'sajah']</t>
  </si>
  <si>
    <t>['puas', 'aplikasi', 'susah', 'buka']</t>
  </si>
  <si>
    <t>['kecewa', 'apk', 'bgs', 'skrg', 'update', 'dibuka', 'knppppppp', 'pailit', 'bumn', 'hrs', 'ganti', 'kartu', 'deh', 'pakai', 'telkomsel', 'lbh', 'th', 'skrg', 'mkn', 'jelek', 'pelayananya', '']</t>
  </si>
  <si>
    <t>['mohon', 'maaf', 'apk', 'telkomsel', 'buka', '']</t>
  </si>
  <si>
    <t>['telkomsel', 'merata', 'pembelian', 'kuota', 'telkomsel', 'pengaruh', 'barunya', '']</t>
  </si>
  <si>
    <t>['aplikasi', 'bgs']</t>
  </si>
  <si>
    <t>['enak', 'beli', 'paket', 'dis', 'kon', 'dionlot']</t>
  </si>
  <si>
    <t>['pengguna', 'kartu', 'halo', 'kecewa', 'keistimewaan', 'pelanggan', 'pasca', 'bayar', 'telkomsel', 'harga', 'paket', 'mahal', 'telat', 'bayar', 'tagihan', 'internet', 'langsung', 'distop', 'banking', 'pulsa', 'batas', 'pemakaian', 'langsung', 'habis', 'jam', 'cycle', 'bulanan', 'voucher', 'bonus', 'data', 'program', 'daily', 'check', 'harian', 'diclaim', 'bayar', 'pulsa', 'like', 'pengguna', 'pascabayar', 'gabisa', 'dapet', '']</t>
  </si>
  <si>
    <t>['tolong', 'diperbaiki', 'samsung', 'galaxy', 'dibuka', 'blank', 'putih', 'versi', 'versi', 'aplikasinya', 'dibuka', '']</t>
  </si>
  <si>
    <t>['aplikasinya', 'bosa', 'buka', 'kek']</t>
  </si>
  <si>
    <t>['', 'apk', 'knp', 'login', 'nunggu', 'tetep', 'layar', 'putih', 'ber', 'ubah', '']</t>
  </si>
  <si>
    <t>['habis', 'update', 'buka', 'apk', 'lemot', 'tolong', 'perbaiki']</t>
  </si>
  <si>
    <t>['buka', 'aplikasinya', 'kemarin', 'update', 'udah', 'hapus', 'instal', 'tetep', 'ngebleng', 'putih', '']</t>
  </si>
  <si>
    <t>['aplikasi', 'jelek', 'mengirim', 'tautan', 'verifikasi']</t>
  </si>
  <si>
    <t>['parah', 'aplikasi', 'dibuka', 'udah', 'dicoba', 'berkali', 'hapus', 'aplikasi', 'download', 'tetep', 'warnanya', 'putih', 'checkin', 'dapet', 'poin', 'masuk', 'permainan', 'checkin', 'poin', '']</t>
  </si>
  <si>
    <t>['aplikasi', 'macet', '']</t>
  </si>
  <si>
    <t>['aplikasi', 'membantu', 'menu', 'pilihan', 'paket', 'beli', 'aplikasi', 'murah', 'beli', 'pantau', 'sisa', 'kuota', 'dsb', 'membantu', 'terima', 'kasih', '']</t>
  </si>
  <si>
    <t>['signalnya', 'bagus', 'banget', '']</t>
  </si>
  <si>
    <t>['akun', 'log', 'out', 'ngecek', 'log', 'merepotkan', 'buru', 'buru']</t>
  </si>
  <si>
    <t>['promonya', 'murah', 'murah']</t>
  </si>
  <si>
    <t>['gmna', 'mytelkomsel', '']</t>
  </si>
  <si>
    <t>['bayak', 'bonusnya']</t>
  </si>
  <si>
    <t>['gara', 'gara', 'telkomsel', 'pecah', 'banting', 'emosi', 'karna', 'jaringan', 'telkomsel', '']</t>
  </si>
  <si>
    <t>['biarpun', 'blm', 'updat', 'mntaplh', 'usahakn', 'perbaiki', 'kualitas', 'siqnal', 'smpai', 'kepelosok', 'indonesia', 'msh', 'blm', 'terjangkau', 'maksimal', 'trim', '']</t>
  </si>
  <si>
    <t>['aplikasinya', 'dibuka', 'udah', 'instal', 'ulang', 'tetep', 'ajah', 'dibuka']</t>
  </si>
  <si>
    <t>['membantu', 'banget', 'makasih', 'telkomsel', '']</t>
  </si>
  <si>
    <t>['knpa', 'telkomsel', 'buka', '']</t>
  </si>
  <si>
    <t>['kurangin', 'bintang', 'karna', 'maksimal', 'kadang', 'lemot', 'kadang', 'kenceng', 'pas', 'mlm', '']</t>
  </si>
  <si>
    <t>['terima', 'kasih', 'telkomsel', 'sukses']</t>
  </si>
  <si>
    <t>['pakai', 'telkomsel', 'kendala', 'masuk', 'telkomsel', 'layar', 'putih', 'salah', '']</t>
  </si>
  <si>
    <t>['jaringan', 'baguas']</t>
  </si>
  <si>
    <t>['bukaa', 'app', 'gabisa', 'muncul', '']</t>
  </si>
  <si>
    <t>['buruk', 'sinyal', 'telkomsel', 'beli', 'kuota', 'mahal', 'kualitas', 'sinyal', 'kayak', 'gini', 'ajghhhhh']</t>
  </si>
  <si>
    <t>['buruk', 'kartu', 'hallo', 'prioritas', 'buruk', 'upgrade', 'solusi', 'membantu', 'ganti', 'operator', 'mohon', 'maaf', 'ratingnya', 'bintang', 'mengecewakan', '']</t>
  </si>
  <si>
    <t>['cuman', 'kartu', 'telkomsel', 'suka', 'nipu', 'isi', 'kuata', 'langsung', 'abis', 'trus', 'beli', 'paket', 'tersedia', 'pas', 'paketin', 'tersedia', 'pulsa', 'tetep', 'ambil', 'udahmah', 'sinyal', 'jelek', 'tukang', 'tipu', 'kartu', 'telkomsel', 'mending', 'buang', 'ganti', 'inimah', 'kartunya', 'suka', 'nipu', 'orng', 'kena', 'temen']</t>
  </si>
  <si>
    <t>['kualitas', 'pelayanan', 'telkomsel', 'melayani', 'keluhan', 'respon', 'cepat', 'sukses', 'slaluu', 'telkomsel']</t>
  </si>
  <si>
    <t>['dri', 'bintang', 'turunin', 'bintang', 'pelit', 'amt', 'tlong', 'kmblikn', 'sprti', 'harganya', 'kyk', 'udh', 'meras', 'bnget', 'org', 'susah', 'beli', 'paket', 'rbu', 'gila', '']</t>
  </si>
  <si>
    <t>['udah', 'seminggu', 'kga', 'buka', 'aplikasi', 'layar', 'putih', '']</t>
  </si>
  <si>
    <t>['aplikasi', 'nggak', 'buka', 'muncul', 'putih']</t>
  </si>
  <si>
    <t>['kak', 'ngga', 'masuk', 'aplikasi', 'telkomsel', '']</t>
  </si>
  <si>
    <t>['tingkatkan', 'ivent', 'point', 'telkom', '']</t>
  </si>
  <si>
    <t>['mudah', 'cepat', 'simpel']</t>
  </si>
  <si>
    <t>['pembayaran', 'shopeepay', 'kak', '']</t>
  </si>
  <si>
    <t>['kebaca', 'apk', 'pemakaian', 'aplikasi', 'aman', 'sajaa', 'knapa', 'kgak', 'kebaca', 'layar', 'putih', 'polos', 'berjam', '']</t>
  </si>
  <si>
    <t>['beli', 'kartu', 'telkomsel', 'jaringan', 'turun', 'nyesel', 'harga', 'selangit', 'jaringan', 'kek', 'gada', 'otak']</t>
  </si>
  <si>
    <t>['tolong', 'jaga', 'jaringan', 'internet', 'pribadi', 'ganti', 'kartu', 'terima', 'kasih']</t>
  </si>
  <si>
    <t>['memudahkan', 'nasaba']</t>
  </si>
  <si>
    <t>['apk', 'mantab']</t>
  </si>
  <si>
    <t>['paketnya', 'mahal']</t>
  </si>
  <si>
    <t>['kirim', 'email', 'terkait', 'keluhan', 'aplikasi', 'dibuka', '']</t>
  </si>
  <si>
    <t>['kualitas', 'sinyal', 'buruk']</t>
  </si>
  <si>
    <t>['membutuhkannya']</t>
  </si>
  <si>
    <t>['telkomsel', 'top', 'markotop']</t>
  </si>
  <si>
    <t>['cinta', 'memandang', 'fisik', '']</t>
  </si>
  <si>
    <t>['jarang', 'dibuka', 'pas', 'klaim', 'point', 'gbs']</t>
  </si>
  <si>
    <t>['sya', 'nyoba', 'aplikasi', 'telkomsel', 'mdh', 'ajh', 'cocok', 'bagus', 'sinyal', '']</t>
  </si>
  <si>
    <t>['unlmtd', 'jaringannya', 'bagus', 'bukak', 'instagram', 'lancar', 'lelet', 'banget']</t>
  </si>
  <si>
    <t>['sinyal', 'los', 'rewel']</t>
  </si>
  <si>
    <t>['beli', 'paket', 'promo', 'gopay', 'tolong', 'diperbaiki']</t>
  </si>
  <si>
    <t>['telkomsel', 'buka', 'telkomselnya', 'buka', 'tolong', 'info', 'bgmana', 'sudab', 'delete', 'donwload', 'ulang', 'berkali', 'kali', 'matikan', 'berkali', 'kali', 'telkomselnya', 'buka', 'mhn', 'konfirmnya', 'telkomsel', 'terima', 'kasih', '']</t>
  </si>
  <si>
    <t>['aplikasi', 'susah', 'buka', 'hapus', 'data', 'masuk', 'mengecewakan']</t>
  </si>
  <si>
    <t>['buka', 'layar', 'putih', '']</t>
  </si>
  <si>
    <t>['cuman', 'kasih', 'saran', 'kalu', 'paket', 'internet', 'habis', 'mohon', 'pulsa', 'potong', 'kali', 'kuota', 'habis', 'pulsa', 'potong', 'otomatis', 'merugikan', 'maksih']</t>
  </si>
  <si>
    <t>['paket', 'mahal', 'dibagi', 'jam', 'dibagi', 'sosmed', 'ribet']</t>
  </si>
  <si>
    <t>['mantap', 'membantu', 'mudah', 'akses']</t>
  </si>
  <si>
    <t>['lumayan', 'bagus', 'beli', 'kuota', 'gampang']</t>
  </si>
  <si>
    <t>['bintang', 'aplikasi', 'negeriku', 'lakukan', 'kali', 'mengalami', 'kesulitan', 'membukanya', 'susah', 'loding', 'salahnya', 'ngerti', 'segi', 'penggunaan', 'efektif', 'jago', 'menyajikan', 'tawaran', 'penjualan', 'kuota', 'dipilih', 'suka', 'telkomsel', 'kritikan', 'telkomsel', '']</t>
  </si>
  <si>
    <t>['bermanfaat', 'berkomunikasi', 'kemajuan', 'bidang']</t>
  </si>
  <si>
    <t>['jaringan', 'telkomsel', 'area', 'blora', 'jawa', 'mati', 'wifi', 'mati']</t>
  </si>
  <si>
    <t>['kecewa', 'jaringan', 'telkomsel', 'ngelag', 'iya', 'jaringan', 'eror', 'iya', 'rumah', 'kota']</t>
  </si>
  <si>
    <t>['informasi', 'call', 'center', 'grapari', 'sesuai', 'khusunya', 'telkomsel', 'halo', 'menyebabkan', 'kerugian', 'pengguna', 'kecewa']</t>
  </si>
  <si>
    <t>['kemaren', 'buka', 'iishhh', 'udah', 'uninstal', 'instal', 'jelekkkkkkkkkkkkkkkkkk']</t>
  </si>
  <si>
    <t>['aktifkan', 'paket', 'mudah']</t>
  </si>
  <si>
    <t>['masuk', 'aplikasi', 'minggu', 'msh', 'masuk', 'aplikasi', 'telkomsel', '']</t>
  </si>
  <si>
    <t>['keterangan', 'bayar', 'pakai', 'gopay', 'klik', 'ndak', 'suruh', 'update', 'apk', 'gojek', 'update', 'ttp', 'ngak', 'byar', 'pakai', 'gopay']</t>
  </si>
  <si>
    <t>['keren', 'gampang']</t>
  </si>
  <si>
    <t>['aplikasinya', 'bagus', 'memudahkan', 'membeli', 'paket', 'internet', 'promo', 'murah', 'lihat', 'nggak', 'pengapdetan', 'aplikasi', 'ulasan', 'oiya', 'aplikasi', 'sangaaaaaaaaaaaaaaaaaaaaaaaaaaaaaaaaaaaaaaaaaaaaaaaaaaaaaaaaaaaaaaaaaaaaaaaaaaaaaaaaaaaaaaaaaaaaaaaaaaaattt', 'membantu', '']</t>
  </si>
  <si>
    <t>['mohon', 'ditingkatkan', 'kwalitasnya', 'pasca', 'bayar', 'beda', 'pra', 'bayar', 'terimakasih']</t>
  </si>
  <si>
    <t>['mohon', 'penjelasannya', 'aplikasinya', 'dibuka', '']</t>
  </si>
  <si>
    <t>['sinyal', 'kayak', 'taik', 'paketan', 'mahal', 'sinyal', 'turun', 'sinyal', 'telkomsel', 'busuk']</t>
  </si>
  <si>
    <t>['imformasi', 'kemudahan', 'membantu']</t>
  </si>
  <si>
    <t>['kanapa', 'stelah', 'upgrade', 'buka', 'ngablank', 'putih', 'buka', '']</t>
  </si>
  <si>
    <t>['tolong', 'perbaiki', 'aplikasinya', 'costumer', 'nyaman']</t>
  </si>
  <si>
    <t>['jngan', 'sms', 'tros', 'anying', 'isi', 'sinyal', 'lemot', 'msuk', 'dlm', 'rumah', 'ngilang']</t>
  </si>
  <si>
    <t>['tolong', 'tingkatkan', 'kualitas', 'jaringan', 'jalan', 'beji', 'karang', 'salam', 'banyumas', 'purwokerto', 'jawa', 'lag', 'parah', 'telkomsel', 'sinyal', 'browsing', 'kuota']</t>
  </si>
  <si>
    <t>['belik', 'paketnya', 'mahal']</t>
  </si>
  <si>
    <t>['udah', 'minggu', 'aplikasi', 'telkomsel', 'buka', 'tampilan', 'blank', 'putih', 'doank', 'hapus', 'aplikasi', 'trus', 'download', 'tetep', 'aplikasi', 'pdhal', 'lancar', '']</t>
  </si>
  <si>
    <t>['rekomendasi', 'telkomsel', 'sinyalnya', 'jelek', 'pas', 'main', 'game', 'telvon']</t>
  </si>
  <si>
    <t>['telkomsel', 'kesini', 'sinyal', 'jelek', 'paketan', 'mahal', 'tpi', 'timbal', 'kecewa', 'pengguna', 'telkomsel', 'tolong', 'perbaiki']</t>
  </si>
  <si>
    <t>['buka', 'menu', 'tampilannya']</t>
  </si>
  <si>
    <t>['semoga', 'telkomsel', 'kalah', 'operator', 'segi', 'sinyal', 'jaringan', 'kabupaten', 'hususnya', 'parungseah', 'sukabumi', 'mksh', '']</t>
  </si>
  <si>
    <t>['skrng', 'sinyal', 'telkom', 'jelek', 'asw']</t>
  </si>
  <si>
    <t>['pulsa', 'pas', 'beli', 'paket', 'pulsa', 'mencukupi', 'trus', 'pulsanya', 'kesedot', '']</t>
  </si>
  <si>
    <t>['kasih', 'bintang', 'jaringan', 'kadang', 'jelek', 'habiss', 'kemarin', 'khu', 'beli', 'kuota', 'telkomsel', 'akhu', 'kuotaa', 'hbiss', 'knp', 'bisaa', 'gitu', 'tolong', 'perbaiki', 'yaa', 'harga', 'mahal', 'kuota']</t>
  </si>
  <si>
    <t>['telkomsel', 'bagus', 'signalnya', 'dimana']</t>
  </si>
  <si>
    <t>['sinyal', 'lancar', 'tolong', 'diperbaiki', '']</t>
  </si>
  <si>
    <t>['sinyal', 'stabil', 'sesuai', 'harga', 'paket', 'internet', 'harga', 'hilang', 'berlangganan', 'mahal']</t>
  </si>
  <si>
    <t>['nyoba', 'download', 'login', 'mudah', 'ribet', 'semoga', 'ngasih', 'rewards', '']</t>
  </si>
  <si>
    <t>['apk', 'bagus', 'susah', 'bermasalah', 'menukarkan', 'poin', 'tunggu', 'padah', 'sinya', 'jaringan', 'bagus', 'kasi', 'bitang', 'bagus', 'tambahkan', 'bintang', 'terimakasih', '']</t>
  </si>
  <si>
    <t>['aplikasi', 'mytelkomsel', 'mempermudah', 'membeli', 'paket', 'data', 'sesuai', 'kemampuan', 'pengguna', 'pilihanya', 'lumayan', 'murah']</t>
  </si>
  <si>
    <t>['koq', 'aplikasix', 'bsa', 'buka', 'kykx', 'sebulan', 'blm', 'prbaikan', '']</t>
  </si>
  <si>
    <t>['min', 'aplikasi', 'kenapaa', 'min', 'update', 'dibuka', 'update', 'cepet', 'bukanya', 'selepas', 'update', 'gabisa', 'buka', '']</t>
  </si>
  <si>
    <t>['aplikasi', 'bagus', 'mengecek', 'paket', 'data', 'memebeli', 'paket', 'data', 'aplikasi', 'berfungsi', 'mengeluarkan', 'layar', 'putih', 'memiliki', 'jaringan', 'lam', 'kecewa', 'aplikasi', 'harap', 'telkomsel', 'memperbaiki', 'aplikasi', '']</t>
  </si>
  <si>
    <t>['', 'ngerti', 'mahal', 'telkomsel', 'udah', 'mahal', 'jaringan', 'eror', 'ngerti', 'komplain', 'patahin', 'kartunya', 'ganti', 'jaringan', 'putih', '']</t>
  </si>
  <si>
    <t>['kemari', 'hrg', 'paketnya', 'smakin', 'mencekik', 'leher', 'paket', 'mahal', 'bonus', 'internet', 'bnyk', 'syarat', 'embel', 'berhubungan', 'pekerjaan', 'tinggalkan', 'telkomsel', 'dri', '']</t>
  </si>
  <si>
    <t>['bagus', 'praktis', 'pakai', 'aplikasi', 'data', 'sesuai', 'transaksi', 'lihat', 'exp', 'kartu', 'mudah', 'lihat', 'mudah', 'mengontrol', 'aktif', 'kartu', '']</t>
  </si>
  <si>
    <t>['bintang', 'berharap', 'paket', 'telkomsel', 'tolong', 'mahal', 'sebulan', 'admin', '']</t>
  </si>
  <si>
    <t>['paketan', 'membuka', 'app']</t>
  </si>
  <si>
    <t>['apk', 'mantaf', 'membantu']</t>
  </si>
  <si>
    <t>['aktifkan', 'look', 'pls', 'karna', 'orng', 'pls', 'kesedot', 'gegara', 'lupa', 'matiin', 'paket', 'data', 'contoh', 'operator', 'simpati', 'semiskin', 'yaa', 'emng', 'sengaja', 'look', 'pls', '']</t>
  </si>
  <si>
    <t>['update', 'buka', 'menyesal', '']</t>
  </si>
  <si>
    <t>['paket', 'hallo', 'gb', 'cepat', 'habis', 'maksud', 'paket', 'dayli', '']</t>
  </si>
  <si>
    <t>['gabisa', 'buka', 'udah', 'coba', 'tetep', 'gabisa', '']</t>
  </si>
  <si>
    <t>['event', 'top', 'knpa', 'akses', 'min', '']</t>
  </si>
  <si>
    <t>['monmaap', 'kecewaa', 'nyaman', 'bangkrut', 'kenaikan', 'harganya', 'cuman', 'doang', 'kadang', 'gara', 'gara', 'berlangganan', 'paket', 'ehh', 'digaadain', 'paketnya', 'gamau', 'beli', 'paket', 'gede']</t>
  </si>
  <si>
    <t>['tolong', 'tingkatkan', 'sinyal', 'aplikasi', 'operator', 'menyedot', 'pulsa', 'hapus', 'tertibkan']</t>
  </si>
  <si>
    <t>['aplikasi', 'knp', 'msih', 'gambar', 'putih', 'pas', 'msuk', 'aplikasi', 'blan', 'sya', 'pakai', 'aplikasi', 'telkomsel', 'berkali', 'kali', 'sya', 'instal', 'uninstal', 'msih', 'layar', 'putih', 'pas', 'msuk', 'telkomsel']</t>
  </si>
  <si>
    <t>['mudah', 'lelet']</t>
  </si>
  <si>
    <t>['jaringan', 'telkomsel', 'kayak', 'bagus', 'jaringan', 'jelekkkkk', 'bagus']</t>
  </si>
  <si>
    <t>['awikwok', 'claim', 'data', 'gratis', 'pulsa', 'sedot']</t>
  </si>
  <si>
    <t>['menemukan', 'bug', 'aplikasi', 'pembelian', 'paket', 'data', 'login', 'aplikasi', 'down', 'update', 'aplikasi', 'versi', 'terbaru']</t>
  </si>
  <si>
    <t>['jaringan', 'internet', 'disempurnakan']</t>
  </si>
  <si>
    <t>['telkomsel', 'dpt', 'kuota', 'gratis', 'klaim', 'poin', 'cekin', 'udh', 'tuker', 'poin', 'udh', 'dpt', 'sms', 'selamat', 'pas', 'nyalain', 'data', 'laah', 'pulsanya', 'kepotong', 'kuotanya', 'kagak', 'kepake', 'pulsa', 'abis', 'kuota', 'hr', 'kagak', 'kepake', 'kagak', 'sinyal', 'wkwkwk', 'uninstall', 'ajadah', 'cape', 'klaim', 'telkomsell', 'layanannnya', 'gini', 'amatt', 'edit', 'blsan', 'bls', 'yak', 'emooh', 'mles', 'ngehubunginnya', 'terserah', 'telkomselnya', 'udh', 'uninstal', 'repot', '']</t>
  </si>
  <si>
    <t>['', 'kasih', 'bintang', 'promo', 'mytelkomsel', 'kartu', 'isi', 'kantong', '']</t>
  </si>
  <si>
    <t>['kak', 'liat', 'tik', 'tok', 'nuker', 'free', 'fire', 'akun', 'gaada', 'kak', '']</t>
  </si>
  <si>
    <t>['download', 'buka', 'mantap']</t>
  </si>
  <si>
    <t>['sedigit', 'knp', 'apk', 'telkomsel', 'mendadak', 'buka', 'suport', 'tolonh', 'perbaiki', 'telkomsel', 'gejala', 'terganggu']</t>
  </si>
  <si>
    <t>['kali', 'pakai', 'aplikasi', 'kendala', 'pembaharuan', 'aplikasi', 'aplikasi', 'aplikasi', 'terbuka', '']</t>
  </si>
  <si>
    <t>['telkomsel', 'taikk', 'kecewa', 'banget', 'sumpah', 'kali', 'isi', 'pulsa', 'rp', 'masuk', 'rp', 'aktifkan', 'mode', 'data', 'ambil', 'hadiah', 'check', 'ama', 'pakai', 'rp', 'ama', 'poin', 'pesan', 'berhasil', 'cek', 'kuota', 'masuk', 'pulsa', 'sumpah', 'nyesel', 'banget', 'pindah', 'telkomsel', 'mending', 'kuning', 'kuota', 'relatif', 'murah', 'pelit', 'hadiah', 'tukar', 'hadiah', 'check', 'sia', 'kek', 'rating', 'dibawah', 'bintang', 'kasih', 'sakit', 'hati', 'gagal', 'pulsa', 'hilang', '']</t>
  </si>
  <si>
    <t>['waduhhh', 'koq', 'putih', 'minguan']</t>
  </si>
  <si>
    <t>['jaringanya', 'parah', 'bln', 'ngisi', 'kuota', 'terpakai', 'sinyalnya']</t>
  </si>
  <si>
    <t>['update', 'aplikasi', 'force', 'close', 'update', 'dibuka', 'blank', 'layar', 'putih']</t>
  </si>
  <si>
    <t>['bagus', 'beneerrrr', 'aplikasix', 'memudahkan', 'skali', '']</t>
  </si>
  <si>
    <t>['sinyal', 'stabil', 'dipakai', 'game', 'online', 'jump', 'ping', 'paket', 'mahal', 'kualitas', 'labil', 'canggu']</t>
  </si>
  <si>
    <t>['bintang', 'berbicara', 'udh', 'thn', 'lbh', 'pakai', 'telkomsel', '']</t>
  </si>
  <si>
    <t>['hati', 'hati', 'orang', 'dalem', 'menghancurkan', 'telkomsel', 'mata', 'mata', 'persaingan', 'pasar', 'ganas', 'orang', 'kau', 'percaya', 'pengkhianat', 'hati', 'hati', 'hancur', 'perlahan', 'sadarilah', 'komen', 'jelek', 'telkomsel', 'awas', '']</t>
  </si>
  <si>
    <t>['sinyal', 'jelek', 'hrus', 'pindh', 'dlu', 'dpet', 'dlem', 'ruangan', 'psti', 'menyebalkan']</t>
  </si>
  <si>
    <t>['', 'update', 'update', 'dpt', 'blang', 'belaka', 'maksudnya', 'apanya', 'klau', 'update', 'nga', 'update', 'susah', 'pelaggan', 'keluhan', 'komputer', 'maaf', 'kaka', 'bla', 'mohon', 'maaf', 'ketidak', 'nyamannya', 'wkwkwkwkwk', 'tim', 'telkomsel', 'klau', 'blm', 'jago', 'nga', 'suruh', 'update', '']</t>
  </si>
  <si>
    <t>['aplikasi', 'membantu', 'mudah', 'pengoperasiannya', 'jaya', 'mytelkomsel', '']</t>
  </si>
  <si>
    <t>['pulsa', 'brkurang', 'pdahal', 'pkai', 'internet', 'sim', '']</t>
  </si>
  <si>
    <t>['aplilasi', 'gelo', 'sulit', 'dibuka', 'orang', 'cek', 'quota', 'pulsa', 'repot']</t>
  </si>
  <si>
    <t>['kak', 'aktivasi', 'kartu', 'telkomsel', 'coba', 'nggak', 'gimana', 'udh', 'hubungi', 'media', 'sosial', 'telkomsel', 'nggak', 'please', 'bantu', 'kak', 'tgl', 'kartunya', 'nggak', 'mati']</t>
  </si>
  <si>
    <t>['puisi', 'telkomsell', 'telkommm', 'sehatt', 'iklan', 'sinyal', 'terkuat', 'emosi', 'pas', 'telkom', 'harap', 'kau', 'ngotak', 'kuota', 'mahalin', 'sinyal', 'urusin', 'harap', 'penderitaan', 'lekas', 'membaik', 'telkomtll', '']</t>
  </si>
  <si>
    <t>['download', 'apk', 'cepet', 'loading', 'udh', 'muter', 'mulu', 'download']</t>
  </si>
  <si>
    <t>['bagus', 'simpel']</t>
  </si>
  <si>
    <t>['sempurna', 'terbaik', 'telkomsel']</t>
  </si>
  <si>
    <t>['tutup', 'botol', 'telkomsel', 'kek', 'kont', 'kuota', 'combo', 'sakti', 'pilih', 'ikhlas', 'operator']</t>
  </si>
  <si>
    <t>['normal', 'tpi', 'knp', 'dri', 'kemren', 'apk', 'telkomsel', 'buka', 'pdhal', 'jaringan', 'tolong', 'prbaiki', 'laah', 'min']</t>
  </si>
  <si>
    <t>['tolong', 'gmn', 'isi', 'pktannya']</t>
  </si>
  <si>
    <t>['lumayan', 'deh', 'kadang', 'kadang', 'eror', 'mati', 'lampu', 'hujan', 'deres', 'hujan', 'angin']</t>
  </si>
  <si>
    <t>['harga', 'paket', 'ngk', 'peningkatan', 'pelayanan', 'ganti', 'provider', 'deh']</t>
  </si>
  <si>
    <t>['halo', 'min', 'beli', 'paket', 'masuk']</t>
  </si>
  <si>
    <t>['dear', 'telkomsel', 'paket', 'darurat', 'tagihan', 'paket', 'darurat', 'tks']</t>
  </si>
  <si>
    <t>['bagus', 'smoga', 'lbih', 'terbaik', '']</t>
  </si>
  <si>
    <t>['bug', 'gitu', 'apk', 'kadang', 'masuk', 'kadang', 'ngk', '']</t>
  </si>
  <si>
    <t>['apk', 'dapet', 'poin', 'tuker', 'mending', 'hapus', 'ajah', 'berat', 'doang']</t>
  </si>
  <si>
    <t>['knp', 'harga', '']</t>
  </si>
  <si>
    <t>['aplikasi', 'berguna', 'mempermudah', 'menyelesaikan', 'kegiatan', 'sehari']</t>
  </si>
  <si>
    <t>['deh']</t>
  </si>
  <si>
    <t>['', 'skrg', 'sinyal', 'berkurang', 'yaa', 'jelek', 'bnyk', 'gangguan', 'lancar']</t>
  </si>
  <si>
    <t>['ucapan', 'terbaik', 'telcomsel', 'semoga', 'sukses', 'layanan', 'terbaik', '']</t>
  </si>
  <si>
    <t>['kasih', 'diskon', 'bang']</t>
  </si>
  <si>
    <t>['membuka', 'aplikasi', 'muncul', 'putih', '']</t>
  </si>
  <si>
    <t>['sengat', 'membatu', '']</t>
  </si>
  <si>
    <t>['puas', 'belanja', 'telkomsel']</t>
  </si>
  <si>
    <t>['cuman', 'ngasih', 'saran', 'pas', 'kuota', 'habis', 'langsung', 'makan', 'pulsa', 'aneh', 'datanya', 'dihidupin', 'muncul', 'sms', 'akses', 'internet', 'tarif', 'non', 'paket', 'pulsa', 'ditarik', 'nyesal', 'isi', 'pulsa', 'isi', 'disedot']</t>
  </si>
  <si>
    <t>['hai', 'min', 'udh', 'seminggu', 'gabisa', 'buka', 'app', 'mytelkomsel', 'solusinya', 'tks']</t>
  </si>
  <si>
    <t>['bayar', 'paket', 'internet', 'pakai', 'shopeepay', '']</t>
  </si>
  <si>
    <t>['apk', 'tolol', 'bermutu']</t>
  </si>
  <si>
    <t>['jaringan', 'boros', 'skrg', 'mggu']</t>
  </si>
  <si>
    <t>['apk', 'susah', 'buka', '']</t>
  </si>
  <si>
    <t>['rumit', 'perbanyak', 'promo', 'menarik', 'daya', 'beli', 'orang', 'gaya', 'perbanyak']</t>
  </si>
  <si>
    <t>['pas', 'donlod', 'loginn', 'nyesell', 'donlod']</t>
  </si>
  <si>
    <t>['aplikasi', 'lambat', 'dibuka']</t>
  </si>
  <si>
    <t>['masuk', 'akun']</t>
  </si>
  <si>
    <t>['terimakasih', 'telkomsel', 'memudahkan', 'jaringan', 'informasi', 'berkualitas']</t>
  </si>
  <si>
    <t>['byk', 'untungnyo', 'pkk', 'telkomsel']</t>
  </si>
  <si>
    <t>['bagus', 'fiturnya', 'mudah']</t>
  </si>
  <si>
    <t>['udah', 'update', 'buka']</t>
  </si>
  <si>
    <t>['aplikasinya', 'dibuka']</t>
  </si>
  <si>
    <t>['bagus', 'pilihan', 'paket', 'terjangkau', 'semoga', 'promo', 'trs', 'makasih', 'telkomsel', '']</t>
  </si>
  <si>
    <t>['mahal', 'lelet']</t>
  </si>
  <si>
    <t>['taik', 'banget', 'jaringan']</t>
  </si>
  <si>
    <t>['paket', 'mahal', 'telkomsel', '']</t>
  </si>
  <si>
    <t>['munguntungkan', 'pelangan', 'menguntungkan', 'telkomsel', '']</t>
  </si>
  <si>
    <t>['harga', 'paket', 'telp', 'mahal', 'aplikasi', 'mending', 'ketik', 'daftar', 'paket']</t>
  </si>
  <si>
    <t>['', 'telkomsel', 'membantu', 'hrg', 'paket', 'murah', 'pembelian', 'ribet', 'sukses', 'sll']</t>
  </si>
  <si>
    <t>['aplikasi', 'bagus', 'bangat', 'telpon', 'harga', '']</t>
  </si>
  <si>
    <t>['mantepp']</t>
  </si>
  <si>
    <t>['mantap', 'slalu', '']</t>
  </si>
  <si>
    <t>['aplikasinya', 'upgrade', 'update', 'jelek', 'diupdate', 'kebuka', 'ehhh', 'sudh', 'diupdate', 'kebuka', 'hnya', 'layar', 'putih', 'doang', 'telkomsel', 'kesini', 'jelek', 'layannx', 'jagn', 'aplikasi', 'kecewa', 'berat', '']</t>
  </si>
  <si>
    <t>['memuaskan', 'membantu']</t>
  </si>
  <si>
    <t>['login', 'telkomsel']</t>
  </si>
  <si>
    <t>['dijaga', 'layanan', 'prima']</t>
  </si>
  <si>
    <t>['internet', 'lemot', 'mohon', 'ditingkatkan', 'kualitasnya']</t>
  </si>
  <si>
    <t>['mudah', 'cepat', 'aman']</t>
  </si>
  <si>
    <t>['jaringan', 'diperbaiki']</t>
  </si>
  <si>
    <t>['saran', 'telkomsel', 'kasih', 'fitur', 'pulsa', 'save', 'pas', 'kuota', 'pulsa', 'tetep', 'ambil', 'kuota', 'masi', 'trus', 'isi', 'pulsa', 'pulsa', 'habis', 'rating', 'aplikasi', 'karna', 'banget', 'ngalami', 'kecewa', 'kartu', 'berkelas', 'ngabisin', 'pulsa', 'mulu', 'tolong', 'baca', 'keluhan', 'sayaa', '']</t>
  </si>
  <si>
    <t>['jaringan', 'buruk', 'telkomse']</t>
  </si>
  <si>
    <t>['download', 'aplikasi', 'susah', '']</t>
  </si>
  <si>
    <t>['jagan', 'mahal', 'mahal', 'pakettannya']</t>
  </si>
  <si>
    <t>['pastinya', 'good']</t>
  </si>
  <si>
    <t>['kartu', 'bangsad', 'dipake', 'maen', 'game', 'ngelag', 'mulu', 'kuota', 'jaringan', 'terluas', '']</t>
  </si>
  <si>
    <t>['aplikasi', 'bisah']</t>
  </si>
  <si>
    <t>['terima', 'kasih', 'apl', 'sngat', 'mmbtu', 'sya', 'tlg', 'tingkat', 'cra', 'krjax', '']</t>
  </si>
  <si>
    <t>['uda', 'sebulan', 'aplikasi', 'kebuka', 'dibuka', 'layarnya', 'putih', 'doank', 'kesal', '']</t>
  </si>
  <si>
    <t>['aplikasi', 'jeleek', 'dibuka', '']</t>
  </si>
  <si>
    <t>['ngetest', '']</t>
  </si>
  <si>
    <t>['napa', 'white', 'screen', 'mulu']</t>
  </si>
  <si>
    <t>['aplikasi', 'nggak', 'emosi', 'udh', 'beli', 'paket', 'nggak', 'kirim', 'lahi', 'download', 'apk', 'update', 'nggak', 'kebuka', 'kerja', 'apk', 'aneh', 'banget', 'srius', 'mending', 'nggak', 'ush', 'download']</t>
  </si>
  <si>
    <t>['bgus', 'bnget', 'aplikasi', '']</t>
  </si>
  <si>
    <t>['telkomsel', 'sinyalnya', 'suka', 'hilang', 'knepa', 'skrng', 'jaringannya', 'kadang', 'suka', 'hilang', 'game', 'padhal', 'paketn', 'sll', 'full']</t>
  </si>
  <si>
    <t>['', 'update', 'login', 'lemot']</t>
  </si>
  <si>
    <t>['bis', 'buka', 'apl', 'coba', 'berkali', 'kali', 'buka', 'apl', 'telkomsel']</t>
  </si>
  <si>
    <t>['dikasi', 'bonus']</t>
  </si>
  <si>
    <t>['baguss', 'bangettt', 'berguna', 'bngett']</t>
  </si>
  <si>
    <t>['tolonglah', 'admin', 'telkomsel', 'udah', 'minggu', 'knpa', 'blm', 'apk', 'pakai', 'tolong', 'tindakan']</t>
  </si>
  <si>
    <t>['sinyalnya', 'bagus', 'dipedalaman']</t>
  </si>
  <si>
    <t>['pelayanan', 'bagus', 'prima', 'semoga', 'jaya', '']</t>
  </si>
  <si>
    <t>['membantu', 'mengecek', 'data', 'beli', 'kuota']</t>
  </si>
  <si>
    <t>['semoga', 'hadiahnyaa', 'aamiin', 'setia', 'telkomsel']</t>
  </si>
  <si>
    <t>['paket', 'pulsa', 'berkurang', 'habis', 'dipakai', '']</t>
  </si>
  <si>
    <t>['mantap', 'sinyal', 'mantap', 'kecepatan', 'mantap', 'paketan', 'sayang', 'mahal', 'suka', 'mencuri', 'pulsa', 'paket', 'habis', 'berlaku', 'pakai', 'saldo', 'main', 'ambil', 'nomor', 'rb', 'tinggal', 'rb', 'coba', 'dikalikan', 'penduduk', 'indonesia', 'rupiah', 'hasil', 'mencurinya', '']</t>
  </si>
  <si>
    <t>['tolong', 'diskon', 'persen']</t>
  </si>
  <si>
    <t>['tolonglah', 'min', 'sinyal', 'jelek', 'kegiatan', 'daring', 'maen', 'game', 'kehalang', 'sinyal', 'ngelag']</t>
  </si>
  <si>
    <t>['bintang', 'aplnya', 'produk', 'telkomsel', 'kecewa', 'layanan', 'paket', 'internet', 'combo', 'saktinya', 'unlimited', 'dibatasi', 'gaa', 'gitu', 'gaa', 'dikasih', 'berasa', 'kek', 'kena', 'penipuan', '']</t>
  </si>
  <si>
    <t>['buka', 'hpnya', 'eror']</t>
  </si>
  <si>
    <t>['suka', 'sedot', 'pulsa', '']</t>
  </si>
  <si>
    <t>['mantap', 'apk', 'beli', 'pakai', 'gb', 'keren', 'pokok']</t>
  </si>
  <si>
    <t>['pembelian']</t>
  </si>
  <si>
    <t>['pakae', 'telkomsel', 'jaringannya', 'baguswalau', 'perdesaan', 'kinclong']</t>
  </si>
  <si>
    <t>['aplikasi', 'mudah']</t>
  </si>
  <si>
    <t>['aplikasi', 'buka', 'mohon', 'bantuan', 'pakai', 'samsung', 'galaxi', 'terimakasih', '']</t>
  </si>
  <si>
    <t>['kesal']</t>
  </si>
  <si>
    <t>['promo', 'pecinta', 'telkomsel', 'karna', 'telkomsel', 'hati', '']</t>
  </si>
  <si>
    <t>['maaf', 'mimin', 'aplikasi', 'ngk', 'akses']</t>
  </si>
  <si>
    <t>['berlangganan', 'telkomsel', 'pakai', 'paketan', 'gb', 'omg', 'sebelummya', 'sayangkan', 'paketan', 'telkomsel', 'paketan', 'sertai', 'sms', 'menit', 'telpon', 'telkomsel', 'alangkah', 'baiknya', 'gantikan', 'internet', 'sms', 'telpon', 'zaman', 'skrng', 'efektif', 'sayang', 'terpakai', 'sms', 'telpon', 'biaya', 'paketan', '']</t>
  </si>
  <si>
    <t>['good', 'pelayanan', 'nice', 'trmksh', 'telkomsel', 'pelayanan']</t>
  </si>
  <si>
    <t>['asyiknya', 'app']</t>
  </si>
  <si>
    <t>['burik', 'mahal', 'mahal']</t>
  </si>
  <si>
    <t>['membantu', 'mengontrol', 'kuota', 'paket', 'paketnya', 'kasih', 'murah', 'rakyat', 'jelata', 'menikmatinya', '']</t>
  </si>
  <si>
    <t>['peetambah', 'alminitid', 'hariannya']</t>
  </si>
  <si>
    <t>['knapa', 'buka', 'aplikasi', 'min', '']</t>
  </si>
  <si>
    <t>['beli', 'paket', 'metode', 'wallet', 'gagal', 'melulu', 'wallet', 'udah', 'isi', 'saldo', 'linkaja', 'gopay', 'ovo', 'shopee', 'sampah', 'ribet', '']</t>
  </si>
  <si>
    <t>['aplikasi', 'buka', 'susah', 'control', 'kuota', '']</t>
  </si>
  <si>
    <t>['langsung', 'kkkkkk']</t>
  </si>
  <si>
    <t>['telkomsel', 'buruk', 'kartu', 'dipakai', 'internet', 'dapet', 'sms', 'mengakses', 'internet', 'tarif', 'non', 'paket', 'cek', 'pulsa', 'auto', 'ribu', 'klaim', 'hadiah', 'check', 'beli', 'paket', 'mahal', 'maaf', 'telkomsel', 'kayak', 'gini', 'kartunya', 'pajangan']</t>
  </si>
  <si>
    <t>['aplikasi', 'cacaaaaattttttt', 'buka', 'aplikasi', 'blank', 'putih', 'sampe', 'uninstall', 'berkali', 'tetep', 'nggak', 'cacat', 'parah', '']</t>
  </si>
  <si>
    <t>['mohon', 'maaf', 'lahir', 'batin', 'rekomendasi', 'jaringan', 'telkomsel', 'buruk', 'mintak', 'tolo', 'jaringan', 'telkomsel', 'perbaiki', 'ganti', 'kartu']</t>
  </si>
  <si>
    <t>['', 'telkomsel', 'mantap']</t>
  </si>
  <si>
    <t>['tunggu', 'buruan', 'download']</t>
  </si>
  <si>
    <t>['sgt', 'memuaskan']</t>
  </si>
  <si>
    <t>['bagus', 'penguna', 'terima', 'kasih']</t>
  </si>
  <si>
    <t>['sumpahh', 'kecewa', 'telkomsel', 'pembelian', 'ekstra', 'kuota', 'harian', 'keterangan', 'jam', 'ehh', 'pas', 'jam', 'malam', 'kuota', 'udh', 'hilang', 'rugiii', 'harganya', 'beli', 'ekstra', 'kuota', 'harian', 'habis', 'segitu', 'kecewa', 'parah']</t>
  </si>
  <si>
    <t>['menjadj', 'mudah']</t>
  </si>
  <si>
    <t>['nyaman', 'pakai', 'apk', 'udah', 'masuk', 'apk', 'masuk', 'cuman', 'putih', 'doang', 'layarnya']</t>
  </si>
  <si>
    <t>['bos', 'tlg', 'telkomsel', 'buka', '']</t>
  </si>
  <si>
    <t>['pelajari', '']</t>
  </si>
  <si>
    <t>['aplikasi', 'buka', 'parah']</t>
  </si>
  <si>
    <t>['memudahkan', 'dlm', 'pekerjaan', '']</t>
  </si>
  <si>
    <t>['', 'apk', '']</t>
  </si>
  <si>
    <t>['mahal', 'sesuai', 'informasi', 'quota', 'paket']</t>
  </si>
  <si>
    <t>['paket', 'data', 'telkomselharga', 'meroket', '']</t>
  </si>
  <si>
    <t>['aplikasi', 'eror', 'emang', 'pakek', 'dibuka', 'aplikasinya', 'instal', 'ualang', 'berkali', 'tetep', 'dibuka', '']</t>
  </si>
  <si>
    <t>['buka', 'aplikasinya', 'susah', 'beli', 'paket', 'data', 'samsung', 'minggu', 'mytelkomsel', '']</t>
  </si>
  <si>
    <t>['instal', 'dibuka', 'aplikasinya']</t>
  </si>
  <si>
    <t>['jaya', 'telkomael']</t>
  </si>
  <si>
    <t>['telkom', 'hati', '']</t>
  </si>
  <si>
    <t>['membantu', 'kategori', 'gua', 'gaptek', '']</t>
  </si>
  <si>
    <t>['harga', 'paketan', 'non', 'bonus', 'telp', 'telkomsel', 'dikurangi', 'tarif', 'harganya', 'kemahalan', 'paket']</t>
  </si>
  <si>
    <t>['mencoba', 'bintang', 'full', 'menyusul', 'semoga', 'bermanfaat', 'memuaskan', 'pengguna']</t>
  </si>
  <si>
    <t>['aplikasinya', 'gabisa', 'buka']</t>
  </si>
  <si>
    <t>['telkomsel', 'perbaiki', 'jaringan', 'halteng', 'lelilef', 'jaringannya', 'jelek', 'banget']</t>
  </si>
  <si>
    <t>['suka', 'sekaliiiiiiii', 'bangussss', 'banget', 'aplikasi', 'maksih', 'telkomsel']</t>
  </si>
  <si>
    <t>['paket', 'kemahalan']</t>
  </si>
  <si>
    <t>['semoga', 'solid', 'lancar', 'internetnya', '']</t>
  </si>
  <si>
    <t>['error', 'buka']</t>
  </si>
  <si>
    <t>['simpel', 'keren']</t>
  </si>
  <si>
    <t>['aplikasi', 'bukak']</t>
  </si>
  <si>
    <t>['knpa', 'download', '']</t>
  </si>
  <si>
    <t>['gimana', 'udah', 'beli', 'kuota', 'app', 'gangguan', 'sistem']</t>
  </si>
  <si>
    <t>['update', 'layar', 'putih']</t>
  </si>
  <si>
    <t>['kartu', 'doang', 'bagus', 'jaringan', 'kek', 'curut']</t>
  </si>
  <si>
    <t>['adakan', 'penggembokan', 'sisa', 'pulsa', 'adakan', 'bonus', 'kuota', 'intrnet', 'lainya', 'sperti', 'aplikasi', 'internet']</t>
  </si>
  <si>
    <t>['aplikasi', 'system', 'hang', 'crash', 'jaringan', 'dipakai', 'telkomsel', 'wifi', 'butuh', 'menghidupkan', 'layar', 'menekan', 'tombol', 'power', 'mohon', 'diperbaiki', '']</t>
  </si>
  <si>
    <t>['', 'telkomsel', 'mempermudah', 'pembelian', 'paket', 'pilihan']</t>
  </si>
  <si>
    <t>['perbaiki', 'sinyalnya', 'kalah', 'lainya', 'telkomsel', 'gitu', 'looh']</t>
  </si>
  <si>
    <t>['kah', 'hadiah', 'telkomsel', 'kaya', 'hadia', 'motor', 'gitu', 'hasil', 'penukaran', 'point']</t>
  </si>
  <si>
    <t>['apk', 'bagus', '']</t>
  </si>
  <si>
    <t>['mantap', 'banget', 'gue']</t>
  </si>
  <si>
    <t>['aplikasinya', 'buka', 'udah']</t>
  </si>
  <si>
    <t>['kartu', 'udah', 'alhamdulillah', 'semenjak', 'daftar', 'dpt', 'paket', 'murah', 'lbh', 'thn', 'gb', 'rb', 'jaringan', 'nlpn', 'unlimitid', 'skrg', 'rb', 'paket', 'senang']</t>
  </si>
  <si>
    <t>['kasi']</t>
  </si>
  <si>
    <t>['telkomsel', 'pelosok', 'daerah', 'mantapp']</t>
  </si>
  <si>
    <t>['iya', 'suka']</t>
  </si>
  <si>
    <t>['harga', 'paket', 'indonesia', 'sinyal', 'ntt', 'parah', 'beda', 'jawa']</t>
  </si>
  <si>
    <t>['knapa', 'aplikasi', 'terbuka', 'samsung', '']</t>
  </si>
  <si>
    <t>['dipake', 'aplikasinyaaaaaaaa']</t>
  </si>
  <si>
    <t>['gampang', 'beli', 'pulsa']</t>
  </si>
  <si>
    <t>['promo', 'hadiah', 'tukar', 'poin', 'terbukti', 'klu', 'layanan', 'bagus']</t>
  </si>
  <si>
    <t>['aplikasi', 'error', 'dibuka', 'dibuka', '']</t>
  </si>
  <si>
    <t>['knp', 'cek', 'pdhl', 'udh', 'apdet', 'udh', 'hmpir', 'minggu', 'susah', 'beli', 'kouta', 'jga', 'lwt', 'aplikasi', 'telkomsel', 'cek', 'jga', '']</t>
  </si>
  <si>
    <t>['udah', 'update', 'dibuka', 'gimana', 'iniiiiiiii', 'beli', 'paket', 'jadii', 'susahhhhh', '']</t>
  </si>
  <si>
    <t>['aplikasi', 'bagussd']</t>
  </si>
  <si>
    <t>['paket', 'darurat', 'isi', 'pulsa', 'pembayaran', 'paket', 'darurat', 'lunasi', 'isi', 'pulsa']</t>
  </si>
  <si>
    <t>['payah', 'appsnya', 'ngeblank', 'putih', 'kasih', 'kritik', 'disni', 'responnya', 'hubungi', 'via', 'email', 'dll', 'email', 'responnya', 'lambat', 'soft', 'problemnya', 'prusahaan', 'playanannya', 'mengecewakan', '']</t>
  </si>
  <si>
    <t>['semoga', 'sukses', 'jaya', 'telkomsel', 'sistem', 'jaringannya', 'terima', 'kasih']</t>
  </si>
  <si>
    <t>['aneh', 'aplikasi', 'dibuka', 'blank', 'putih', 'coba', 'uninstall', 'install']</t>
  </si>
  <si>
    <t>['instal', 'pas', 'masuk', 'ngak']</t>
  </si>
  <si>
    <t>['memudahkan', 'transaksi']</t>
  </si>
  <si>
    <t>['mantap', 'nyaman']</t>
  </si>
  <si>
    <t>['nyaman', 'aplikasi', 'telkomsel', 'pembaruan', 'kali', 'perbarui', 'buka', 'layar', 'putih']</t>
  </si>
  <si>
    <t>['aplikasi', 'membosankan', 'terbuka']</t>
  </si>
  <si>
    <t>['semangat', 'pelayanan']</t>
  </si>
  <si>
    <t>['udah', 'kapokkkk', 'make', 'telkomsel', 'jaringan', 'lemot', 'parahhhh', 'main', 'game', 'luemooottttt', 'main', 'sosmed', 'harga', 'menjamin', 'kualitas', '']</t>
  </si>
  <si>
    <t>['putih', 'doang', 'layar', 'gue', 'kentang']</t>
  </si>
  <si>
    <t>['thanks', 'membantu', '']</t>
  </si>
  <si>
    <t>['mantap', 'mantap', 'murah', 'paketnya', 'super', 'sakti']</t>
  </si>
  <si>
    <t>['stelah', 'perbarui', 'aplikasinya', 'buka']</t>
  </si>
  <si>
    <t>['memuaskan', 'bertransaksi']</t>
  </si>
  <si>
    <t>['layanan', 'telkomsel', 'sgt', 'memuaskan', 'kartu', 'perdana', 'telkomsel']</t>
  </si>
  <si>
    <t>['internet', 'cepat']</t>
  </si>
  <si>
    <t>['bagus', 'pelit', 'jng', 'ditiadakan', 'reward']</t>
  </si>
  <si>
    <t>['dibuka', 'aplikasinya', 'gmn', 'nihh']</t>
  </si>
  <si>
    <t>['semoga', 'hadiahnya']</t>
  </si>
  <si>
    <t>['mantap', 'sinyal', 'perkuat', 'pedalaman', 'trima', 'kasih']</t>
  </si>
  <si>
    <t>['tingkatkan', 'kualitas', 'pelayanannya', 'min', '']</t>
  </si>
  <si>
    <t>['', 'bagus', 'banget', 'sgt', 'membantu', '']</t>
  </si>
  <si>
    <t>['bagus', 'tpi', 'paketanya', 'pelit']</t>
  </si>
  <si>
    <t>['gimn', 'internet', 'omg', 'tdinya', 'rb', 'rb', 'hadeh', 'udh', 'promo', 'bohong', 'pulang', 'rb', 'pas', 'kilk', 'jdi', 'rb', 'plis', 'rb', 'and', 'bintang', 'turun', 'jdi', 'udh', 'berubah', 'lgi', 'jdi', '']</t>
  </si>
  <si>
    <t>['nyaman', 'mudah', 'pertahankan', 'kepuasan', 'pelanggan', '']</t>
  </si>
  <si>
    <t>['mohon', 'maaf', 'buka', 'aplikasi', 'warna', 'putih', 'tolong']</t>
  </si>
  <si>
    <t>['mantap', 'lanjutin', 'bre', 'harganya', 'kek', 'sultan', 'ganti', 'kartu', 'gua', '']</t>
  </si>
  <si>
    <t>['bos', 'app', 'sdsh', 'dibuka', 'isi', 'ulang', 'combo', 'sakti', 'klau', 'bintangnya', '']</t>
  </si>
  <si>
    <t>['pelajari', 'dlu', 'aplikasix', 'bagus', 'kasi', 'bintan', '']</t>
  </si>
  <si>
    <t>['', 'jaringan', '']</t>
  </si>
  <si>
    <t>['semoga', 'byak', 'promosi', 'paket', 'data', 'telkomsel', 'mempermudah', 'penguna', '']</t>
  </si>
  <si>
    <t>['harga', 'kuota', 'kasihan', 'lgi', 'covid', '']</t>
  </si>
  <si>
    <t>['', 'senang', 'telcomsel']</t>
  </si>
  <si>
    <t>['', 'download', 'aplikasinya', 'buka', '']</t>
  </si>
  <si>
    <t>['dipake', '']</t>
  </si>
  <si>
    <t>['manfaat', 'iklan', 'berguna', 'sesungguhnya', 'fitnah', 'tidur', 'tuhan', 'memurkai', 'orang', 'membangunkannya', '']</t>
  </si>
  <si>
    <t>['nyesel', 'beli', 'paket', 'internet', 'beli', 'mahal', '']</t>
  </si>
  <si>
    <t>['kasih', 'bintang', 'tolong', 'promonya', 'internetnya', 'ditingkat']</t>
  </si>
  <si>
    <t>['jaga', 'kwalitas', 'jaringan', 'hilang', 'kepercayaan', 'konsumen']</t>
  </si>
  <si>
    <t>['dicoba']</t>
  </si>
  <si>
    <t>['percumah', 'instal', 'kebuka', '']</t>
  </si>
  <si>
    <t>['telkomsel', 'tolong', 'perbaiki', 'jaringannya', 'harga', 'kuota', 'sinyal', 'bagus', 'ktanya', 'jaringan', 'terluas', 'indonesia', 'bukti', 'harga', 'kuota', 'sinyal', 'jelek']</t>
  </si>
  <si>
    <t>['membantu', 'banget', 'telkomsel']</t>
  </si>
  <si>
    <t>['habis', 'dowload', 'aplikasi', 'pakai', 'ngeblang', 'aplikasi', '']</t>
  </si>
  <si>
    <t>['buka', 'telkomsel']</t>
  </si>
  <si>
    <t>['aplikasi', 'bgus', 'semoga', 'depanya', 'bnyak', 'hadiah', 'menarik', 'aamiin', 'sukses', 'telkomsel']</t>
  </si>
  <si>
    <t>['respon', 'aktifasi', 'paket', 'kuotanya', 'cepat']</t>
  </si>
  <si>
    <t>['buka', 'blank', 'putih']</t>
  </si>
  <si>
    <t>['pengguna', 'telkomsel', 'masak', 'paket', 'murah', 'pembelian', 'pulsa', 'peringkat', 'udah', 'platinum', 'tolong', 'gimana', 'paket', 'mahal', '']</t>
  </si>
  <si>
    <t>['penukaran', 'poin', 'ffnya', 'poin', 'gua', 'nganggur', 'nie', '']</t>
  </si>
  <si>
    <t>['aplikasi', 'bangke', 'emang', 'beli', 'paket', 'data', 'proses', 'proses', 'udah', 'sejam', 'bubarin', 'provider', 'emosi', 'sma', 'ngerugiin', 'buyer']</t>
  </si>
  <si>
    <t>['tolong', 'perbaiki', 'jaringan', 'telkomsel', 'daerah', 'boss', 'internet', 'ngk', 'taik']</t>
  </si>
  <si>
    <t>['aplikaai', 'telkomsel', 'buka']</t>
  </si>
  <si>
    <t>['menukarkan', 'poin', 'diamond', 'mobile', 'legends', 'diamond', 'diakses', '']</t>
  </si>
  <si>
    <t>['maaf', 'min', 'perdana', 'tukar', 'sibuk', 'berhasil', 'kasih', 'bintang', 'pul']</t>
  </si>
  <si>
    <t>['kecewa', 'berat', 'multimedia', 'ngeleg', 'parah', 'login', 'game', 'youtube', 'sia', 'beli', 'paket', 'kouta', 'unlimited', 'multimedia', 'hasil', 'zong', '']</t>
  </si>
  <si>
    <t>['', 'murah']</t>
  </si>
  <si>
    <t>['tooolllooooollll', 'buka', 'ngak', 'aplikasi', 'buang', 'kuota', 'hapus', 'aplikasi', 'gooobblllooookkk']</t>
  </si>
  <si>
    <t>['bintang', 'admin', 'harga', 'kuota', 'telkomsel', 'temen', 'beda', 'tolong', 'perbarui', 'trimakasih', 'min']</t>
  </si>
  <si>
    <t>['bagus', 'mempermuda', 'tuk', 'cek', 'pulsa', 'data', 'dll', 'bonus', 'promo', 'undian', 'berhadiah', 'mingguan', 'pesta', 'hadiah', '']</t>
  </si>
  <si>
    <t>['tolong', 'support', 'android', '']</t>
  </si>
  <si>
    <t>['telkomsel', 'daerah', 'daerah', 'plosok', 'tolong', 'perbaiki', 'kualitas', 'sinyalnya', 'online', 'shope', 'puas', 'kualitas', 'sinyal', 'telkomsel', 'menjangkau', 'plosok', 'negeri', 'kenyataan', 'telkomsel', 'iya', 'berdiri', 'tower', 'provider', 'tower', 'provider', 'beroperasi', 'orang', 'telkomsel', 'pindah', 'provider', 'kecewa', '']</t>
  </si>
  <si>
    <t>['apk', 'bagul', 'vocer', 'poin', 'tuker', 'vocer', '']</t>
  </si>
  <si>
    <t>['semoga', 'membantu']</t>
  </si>
  <si>
    <t>['aplikasi', 'mytelkomsel', 'terbuka', 'tampilannya', 'putih', 'polos', '']</t>
  </si>
  <si>
    <t>['mahal', 'paket', 'murah', 'bulanan', 'rumah', 'wifi', '']</t>
  </si>
  <si>
    <t>['perkuat', 'sinyal', 'game', '']</t>
  </si>
  <si>
    <t>['bagus', 'aplikasi', 'promo']</t>
  </si>
  <si>
    <t>['app', 'error', 'dibuka', 'udah', 'sampe', 'uninstal', 'error', 'tolong', 'perbaiki', 'secepatnya']</t>
  </si>
  <si>
    <t>['lanjutin', 'ancur', 'perusahaan', 'telkom']</t>
  </si>
  <si>
    <t>['tampilan', 'berubah', 'nyari', 'menu', 'pilihan', 'paket', 'kemarin', 'beli', 'recent', 'paket']</t>
  </si>
  <si>
    <t>['beli', 'pilsa', 'zrp']</t>
  </si>
  <si>
    <t>['sya', 'ksih', 'saran', 'jgm', 'apdate', 'trs', 'terbuka', 'sya', 'apdate', 'kebuka', 'tpi', 'sya', 'lgi', 'sya', 'apdate', 'dibuka']</t>
  </si>
  <si>
    <t>['selamat', 'berjuang']</t>
  </si>
  <si>
    <t>['buruk', 'apk', 'akses', 'paraahhhhh']</t>
  </si>
  <si>
    <t>['hallo', 'operator', 'telkomsel', 'kendala', 'aplikasi', 'sebulan', 'perdesember', 'dibuka', 'buka', 'aplikasi', 'mytelkomsel', 'muncul', 'blankk', 'putih', 'menerus', 'sperti', 'kendala', 'aplikasi', 'mohon', 'penjelasan', 'pengguna', 'setia', 'telkomsel', 'sngat', 'susah', 'apl', 'dibuka', 'terimakasih', 'semoga', 'jaga', 'kesehatan']</t>
  </si>
  <si>
    <t>['tolong', 'diperbaikin', 'sinyal', 'kyak', 'telkomsel', 'down', 'sinyal', 'telkomsel', 'raja', 'raja', 'sinyal', 'terbaik', 'tolong', 'pengguna', 'paket', 'data', 'masuk', 'app', 'telkomsel', 'gratis', 'pengguna', 'setia', 'telkomsel', 'membeli', 'data', 'pulsa', 'dll', 'app', 'telkomsel', 'dipotong', 'pulsa', 'posisi', 'data', 'handphone', 'mati', 'terimakasih', 'keluhan', 'direspon', 'setia', 'telkomsel', 'bintang', '']</t>
  </si>
  <si>
    <t>['kuotanya', 'mahal']</t>
  </si>
  <si>
    <t>['tumbang']</t>
  </si>
  <si>
    <t>['update', 'buka', 'update', 'lancar', 'payah', '']</t>
  </si>
  <si>
    <t>['aplikasi', 'buka', 'gmna', 'abis', 'pembaruan']</t>
  </si>
  <si>
    <t>['reza', 'fikkri']</t>
  </si>
  <si>
    <t>['lakukan', 'peningkatan', 'jaringan', 'pelosok', '']</t>
  </si>
  <si>
    <t>['aplikasi', 'buka', 'handphone']</t>
  </si>
  <si>
    <t>['instal', 'apk', 'uda', 'berulang', 'nggak', 'dibuka', 'min']</t>
  </si>
  <si>
    <t>['membeli', 'paket', 'internet', 'omg', 'menonton', 'youtube', 'terpotong', 'kuota', 'omg', 'kuota', 'utama', 'pliss', 'tolong', 'diperbaiki']</t>
  </si>
  <si>
    <t>['woy', 'aniing', 'review', 'hapus', 'liat', 'hapus', 'ttp', 'review', 'karna', 'layanan', 'emang', 'busuk', 'barusan', 'beli', 'pket', 'data', 'gb', 'gopay', 'eror', 'trpaksa', 'ganti', 'metode', 'pembayaran', 'pas', 'ganti', 'ovo', 'saldo', 'ovo', 'berkurang', 'paket', 'data', 'masuk', 'tulisan', 'transaksi', 'gagal', 'saldo', 'udah', 'kepotong', 'cok', 'staff', 'kmana', 'bales', 'live', 'chat', 'slow', 'respon', 'gitu', 'kasian', 'bat', 'lulusan', 'baca']</t>
  </si>
  <si>
    <t>['jaringannya', 'mohon', 'perbagus', '']</t>
  </si>
  <si>
    <t>['internet', 'stabil', 'busat', 'main', 'game', 'lemot', '']</t>
  </si>
  <si>
    <t>['tolong', 'donk', 'tingkatkan', 'line', 'klau', 'tingkat', 'line', 'lelet', 'ngak', 'sampe', 'terkadang', 'capek', 'nunggu', 'londing', 'banget', '']</t>
  </si>
  <si>
    <t>['semoga', 'bnyk', 'promo', 'paket', 'jam']</t>
  </si>
  <si>
    <t>['susah', 'terbuka']</t>
  </si>
  <si>
    <t>['samsung', 'aplikasi', 'telkomsel', 'terbuka', 'min', 'layar', 'putih', 'tampil', 'kali', 'uninstall', 'clear', 'chache']</t>
  </si>
  <si>
    <t>['coba', 'paket', 'internet', 'mlmnya', 'top']</t>
  </si>
  <si>
    <t>['tulisan', 'hilang', 'solusi', '']</t>
  </si>
  <si>
    <t>['jaringan', 'telkomsel', 'buruk']</t>
  </si>
  <si>
    <t>['multimedia', 'keterangannya', 'game', 'sosmed', 'chat', 'tpi', 'bsa', 'gunain', 'sllu', 'buffering', 'main', 'buka', 'sosmed', 'kecuali', 'chat', 'lancar', 'kecewa', 'pakai', 'telkomsel']</t>
  </si>
  <si>
    <t>['pelayanan', 'simpel', 'mudah']</t>
  </si>
  <si>
    <t>['update', 'blank', 'putih', 'kebuka', '']</t>
  </si>
  <si>
    <t>['jaringan', 'luas', 'paket', 'internet', 'mahal', 'aplikasi', 'telkomsel', 'eror', 'turun', 'bintang', 'males', 'mending', 'pindah', 'tri', 'ajah', '']</t>
  </si>
  <si>
    <t>['noob', 'paket', 'internet', 'orang', 'susah', 'gmna', 'urgent', 'skli', 'andelin', 'andai', 'provider', 'udh', 'mencakup', 'area', 'udh', 'ogah', 'aplikasi', '']</t>
  </si>
  <si>
    <t>['harga', 'paket', 'internetnya', 'mahal', '']</t>
  </si>
  <si>
    <t>['harga', 'paket', 'mahal', 'takok']</t>
  </si>
  <si>
    <t>['mantap', 'aplikasi', 'memudahkan', 'pelanggan', 'lengkap', 'membeli', 'kuota', 'pulsa', 'paket', 'lainya']</t>
  </si>
  <si>
    <t>['sinyal', 'memburuk', 'telkomsel', 'bagus', 'hilang', 'aneh', 'kalah', 'kartu', 'ecek', 'ecek', 'tolong', 'perbaiki', 'sistem', 'jaringan', 'telkomsel', 'bagus', '']</t>
  </si>
  <si>
    <t>['harga', 'kuota', 'gb', 'ribu', 'turun', 'naikin']</t>
  </si>
  <si>
    <t>['udh', 'susah', 'loginnya', '']</t>
  </si>
  <si>
    <t>['perbaiki', 'sinyalnya', 'main', 'game', 'hilang', 'sinyal', 'iklan', 'main', 'promosinya', 'sperti', 'hutan', 'dpt', 'sinyal', 'daerah', 'kota', 'tpi', 'suka', 'hilang', 'sinyalnya', 'sumpah', 'memuaskan', '']</t>
  </si>
  <si>
    <t>['pengguna', 'telkomsel', 'lancar', 'speed', 'internetnya', 'koneksi', 'internetnya', 'lemot', 'harga', 'paket', 'sesuai', 'speed', 'internet', 'buka', 'telkomsel', 'lemot', 'parah', 'udah', 'setting', 'mode', 'apapun', 'lemotnya', 'berjalan', 'kb', 'mb', 'kb', 'kb', 'buka', 'sosmed', 'tiktok', 'lemot', 'parah', 'tinggal', 'kota', 'jaringannya', 'doang', 'internetnya', 'parah', 'lemotnya', '']</t>
  </si>
  <si>
    <t>['gabisa', 'masuk', 'white', 'screen', 'apk', 'rusak', '']</t>
  </si>
  <si>
    <t>['update', 'apk', 'telkomsel', 'dibuka', 'dilayar', 'warna', 'putih', 'spek', 'hpnya', 'mendukung', 'intinya', 'smga', 'kedepanya', 'dibuka', '']</t>
  </si>
  <si>
    <t>['pulsa', 'terpotong', 'data', 'matikan', 'wifi', 'tolong', 'gimanasiii', '']</t>
  </si>
  <si>
    <t>['gimana', 'dpt', 'poin', 'isi', 'pulsa', '']</t>
  </si>
  <si>
    <t>['abis', 'update', 'dibuka', 'min', '']</t>
  </si>
  <si>
    <t>['', 'masuk', 'liat', 'saldo', 'ribet', 'banget', 'pakai', 'tautan', 'sgala', '']</t>
  </si>
  <si>
    <t>['mengaktivasi', 'sms', 'roaming', 'internasional', 'non', 'android', '']</t>
  </si>
  <si>
    <t>['bagus', 'sisa', 'sisa', 'quota']</t>
  </si>
  <si>
    <t>['ngga', 'buka', 'aplikasinya', '']</t>
  </si>
  <si>
    <t>['', 'udh', 'download', 'buka']</t>
  </si>
  <si>
    <t>['buka', 'aplikasinya', 'tolong', 'diperbaiki', 'samsung', 'galaxy', 'ram', '']</t>
  </si>
  <si>
    <t>['terbaik', 'telkomsel', 'biyar', 'kedepanya', 'unggul']</t>
  </si>
  <si>
    <t>['telkomsel', 'the', 'best', 'telkomsel', 'jamin', 'bnyk', 'untungnya', '']</t>
  </si>
  <si>
    <t>['pakel', 'habis', 'kuota', 'utama', 'kuota', 'game', 'media', 'janji', 'manis', 'doang', 'game', 'ngk', 'sanggup', 'jalan', 'blum', 'game', 'bli', 'pket', 'kasi', 'bonus', 'plsa', 'ngk', 'bsa', 'jaringan', 'ngk', 'stabil', '']</t>
  </si>
  <si>
    <t>['kuota', 'mmahal', 'jaringan', 'stabil']</t>
  </si>
  <si>
    <t>['telkomsel', 'payah', 'sinyalnya', 'lancar', 'apalg', 'daerah', 'sinyal', 'buka', 'youtube', 'kendalanya', 'tolong', 'perbaiki', '']</t>
  </si>
  <si>
    <t>['lancar', 'enak', 'dipakai']</t>
  </si>
  <si>
    <t>['benci', 'banget', 'gue', 'jaringan', 'kaga', 'karuan', 'fiks', 'ganti']</t>
  </si>
  <si>
    <t>['signal', 'buruk', 'harga', 'mahal', 'setara', 'harga', 'perfoma', 'tolong', 'min', 'dikota', 'jambi', 'signalnya', 'mngecewakan']</t>
  </si>
  <si>
    <t>['maaf', 'mas', 'aplikasinya', 'samsung', 'udah', 'install', 'pas', 'buka', 'ngefreeze', 'aplikasinya']</t>
  </si>
  <si>
    <t>['app', 'telkomsel', 'bukaa', 'tampilan', 'app', 'putih', 'blank']</t>
  </si>
  <si>
    <t>['kartu', 'upgrade', 'kartu', 'halo', 'bayar', 'kuota', 'masuk', 'call', 'center', 'pembayaran', 'kuota', 'bertambah', 'uang', 'angus']</t>
  </si>
  <si>
    <t>['puas', 'layanannya', '']</t>
  </si>
  <si>
    <t>['beli', 'paket', 'suprise', 'deal', 'rb', 'gb', 'pembayaran', 'masuk', 'paket', 'harga', 'rb', 'kacau', 'aplikasi', 'mohon', 'bantuan', 'refund', 'program', 'surprise', 'deal', 'tinggal', 'jam', '']</t>
  </si>
  <si>
    <t>['main', 'game', 'sinyalnya', 'ilang', 'pulihnya', 'jaringan', 'full', 'user', 'telkom', 'ganggu', 'jeda', 'sinyal', 'hilang']</t>
  </si>
  <si>
    <t>['mikirin', 'asilnya', 'betululin', 'jaringan', 'gangguan']</t>
  </si>
  <si>
    <t>['bos', 'aplikasi', 'gua', 'kagak', 'dibuka', 'udah', 'sebulan', 'dibantu', 'boss', '']</t>
  </si>
  <si>
    <t>['gunanya', 'coba', 'starlink', 'masuk', 'bubar', 'telkomsel', 'mahal', 'signal', 'lelet', '']</t>
  </si>
  <si>
    <t>['baguss', '']</t>
  </si>
  <si>
    <t>['memuaskan', 'mantap']</t>
  </si>
  <si>
    <t>['paket', 'dibagi', 'reguler', 'sosmet', 'knp', 'paket', 'regulernya', 'kesedot', 'trs', 'abis', 'buka', '']</t>
  </si>
  <si>
    <t>['update', 'desember', 'apps', 'dibuka', 'white', 'screen', 'langsung', 'force', 'closed', '']</t>
  </si>
  <si>
    <t>['terimakasih', 'jaringgan', 'kuat', 'sanggat', 'membantu', 'kegiyatan', 'kerja', 'driver', 'ojol', 'online', 'semanggat', '']</t>
  </si>
  <si>
    <t>['kecewa', 'kartu', 'perdana', 'sekelas', 'telkomsel', 'cuman', 'kebuka', 'data', 'sebentar', 'habis', 'pulsa', 'sedot', 'aktivitasi', 'pembayaran', 'paket', 'prosesnya']</t>
  </si>
  <si>
    <t>['semoga', 'murah', 'lancar', 'jaringannya', 'desa', 'desa', '']</t>
  </si>
  <si>
    <t>['terimakasih', 'min', 'paket', 'datanya', 'udah', 'murah']</t>
  </si>
  <si>
    <t>['mohon', 'jaringan', 'ditingkatkan']</t>
  </si>
  <si>
    <t>['dibuka', 'tergantung', 'type', 'hpnya', '']</t>
  </si>
  <si>
    <t>['tolong', 'atasi', 'pemotongan', 'pulsa', '']</t>
  </si>
  <si>
    <t>['kecewa', 'sinyal', 'telkomsel', 'nyaman', 'merugikan', 'pelanggan']</t>
  </si>
  <si>
    <t>['mudah', 'pakai', 'telkomsel']</t>
  </si>
  <si>
    <t>['paket', 'mahal', 'sinyal', 'butut', '']</t>
  </si>
  <si>
    <t>['ngadat', 'sinyal', 'data', 'skrng', 'telkomsel', 'tolong', 'perbaiki', '']</t>
  </si>
  <si>
    <t>['enggk', 'pulsanya', 'ngutang', 'gimana']</t>
  </si>
  <si>
    <t>['donlod', 'lancar', 'eror']</t>
  </si>
  <si>
    <t>['knp', 'aplikasi', 'ngblank', '']</t>
  </si>
  <si>
    <t>['kadang', 'jelek', 'kadang', 'bagus']</t>
  </si>
  <si>
    <t>['aplikasi', 'dibuka', 'layar', 'putih']</t>
  </si>
  <si>
    <t>['sinyal', 'setan', 'telkomsel', 'jelek']</t>
  </si>
  <si>
    <t>['cepat', 'tanggap', 'harap', 'promo', 'murah', 'telkomsel']</t>
  </si>
  <si>
    <t>['aplikasi', 'gampang', 'diakses', 'kadang', 'aplikasi', '']</t>
  </si>
  <si>
    <t>['tolonglah', 'jaringan', 'diperbaiki', 'kalah', 'provider', 'sebelah', 'jakarta', 'jaringan', 'berasa', 'hutan', 'belantara', '']</t>
  </si>
  <si>
    <t>['terimakasih', 'admin', 'telkomsel', 'burung', 'biru', 'btw', 'semoga', 'emot', 'gini', 'serius', 'ngeri', 'mending', 'gini', 'pokoknya', 'respon', 'admin', 'trs', 'gampang', 'dimengerti', 'top', '']</t>
  </si>
  <si>
    <t>['', 'upgrade', 'buka']</t>
  </si>
  <si>
    <t>['diragukan', '']</t>
  </si>
  <si>
    <t>['mengunakan', 'ket', 'darurat', 'menyrtujui', 'pinjaman', 'paket', 'darurat', 'kali', 'beli', 'pulsa', 'tagihan', 'paket', 'darueat', 'mintak', 'tolong', 'telkomsel', 'sitemnya', 'perbaiki', 'bantu', 'pengngaduan', 'tpi', 'tolong', 'kembalikan', 'pulsa', 'tagihan', 'paket', 'darurat', 'rugikan', '']</t>
  </si>
  <si>
    <t>['membantu', 'sayang', 'suka', 'lemot']</t>
  </si>
  <si>
    <t>['pemakai', 'telkomsel', 'aplikasi', 'mytelkomsel', 'dibuka', 'uninstall', 'reinstall', 'keluhan', 'pengguna', 'balasan', 'adm', 'solutif']</t>
  </si>
  <si>
    <t>['telkomsel', 'uda', 'bangkrut', 'kah', 'jaringan', 'lelet', 'uda', 'harga', 'paket', 'mahal', 'mahal']</t>
  </si>
  <si>
    <t>['telkomsel', 'kualitas', 'sinyal', 'bagus', 'udah', 'mahal', 'kuota', 'sinyal', 'bagus', 'dperbaiki', 'coba', 'kesel', 'sinyal', 'telkomsel', 'pke', 'telkomsel', 'mending', 'pke', 'indosat']</t>
  </si>
  <si>
    <t>['diskon']</t>
  </si>
  <si>
    <t>['dibuka', 'hpku', 'layarnys', 'putih', 'terussssss', 'pdhl', 'sinyal', 'amann']</t>
  </si>
  <si>
    <t>['tolong', 'gimana', 'udah', 'download', 'apk', 'masuk']</t>
  </si>
  <si>
    <t>['', 'buka', 'cuman', 'putih', 'layar', 'susah', 'mao', 'beli', 'kouta', 'aduuhh', 'beli', 'kouta', 'konter', 'mahal', 'bos', 'simpati', '']</t>
  </si>
  <si>
    <t>['parah', 'harga', 'paket', 'udah', 'mahal', 'kali', 'ekonomi', 'menengah', 'kebawah', 'signal', 'lost', 'ragu', 'coba', 'beli', 'telkomsel', 'nerima', 'telpon', 'internet', 'kartu', 'telkomsel', 'recomended', '']</t>
  </si>
  <si>
    <t>['bahagia']</t>
  </si>
  <si>
    <t>['mantap', 'semoga', 'program', 'berhadiah', '']</t>
  </si>
  <si>
    <t>['sinyal', 'error', 'telkomsel']</t>
  </si>
  <si>
    <t>['aplikasi', 'bagus', 'mudah', 'simpeel']</t>
  </si>
  <si>
    <t>['kecewa', 'telkomsel', 'main', 'game', 'jaringan', 'buruk', 'nggak', 'beli', 'apapun', 'berkaitan', 'telkomsel', 'mending', 'pakai', 'kecewa']</t>
  </si>
  <si>
    <t>['afk', 'menarik', 'menghasil', 'uang', 'boys']</t>
  </si>
  <si>
    <t>['semoga', 'hadiah', 'telkomsel', '']</t>
  </si>
  <si>
    <t>['aplikasi', 'udah', 'dibuka', 'layar', 'putih', 'masuk', 'aplikasi', 'telkomsel', 'mohon', 'dibantu']</t>
  </si>
  <si>
    <t>['kcewa', 'jringan', 'telkomsel', 'burik', 'bngt']</t>
  </si>
  <si>
    <t>['telkomsel', 'pulsa', 'suka', 'kepotong', 'notif', 'akses', 'internet', 'tarif', 'non', 'paket', 'kondisi', 'data', 'seluler', 'mati', 'poin', 'habis', 'udah', 'check', 'nambah', 'poinnya', 'klaim', 'hadiah', 'poin', 'ngga', '']</t>
  </si>
  <si>
    <t>['knp', 'aplikasi', 'buka', '']</t>
  </si>
  <si>
    <t>['bagus', 'login', 'malam']</t>
  </si>
  <si>
    <t>['susah', 'dibuka', 'susah', 'masuk', 'lihat', 'data', 'tinggal', 'diklik']</t>
  </si>
  <si>
    <t>['knp', 'aplikasi', 'telkomsel', 'buka', '']</t>
  </si>
  <si>
    <t>['', 'dech', 'mantull']</t>
  </si>
  <si>
    <t>['kouta', 'mahal', 'kena', 'hujan', 'dikit', 'ancorrrr']</t>
  </si>
  <si>
    <t>['nyedot', 'pulsa', '']</t>
  </si>
  <si>
    <t>['berat', 'jalan', 'aplikasinya', 'stelah', 'dibuka', 'menunggu', 'aplikasi', 'membantu', 'banget', 'tolong', 'perbaiki']</t>
  </si>
  <si>
    <t>['sinyal', 'telkomsel', 'bagus', 'sinyalnya', 'jelek', 'bangat', 'mending', 'kartu', 'sinyal', 'bagus', 'manapun']</t>
  </si>
  <si>
    <t>['pulsa', 'terpotong', '']</t>
  </si>
  <si>
    <t>['', 'paketan', 'promo', 'murah']</t>
  </si>
  <si>
    <t>['aneh', 'kartu', 'daftar', 'harga', 'paketannya', 'beda', 'beda', 'belinya', 'belinya', 'beda', 'pas', 'hubungi', 'regional', 'pembelian', 'pengguna', 'berpengaruh']</t>
  </si>
  <si>
    <t>['koq', 'kebuka', 'blank', 'layar', 'putih']</t>
  </si>
  <si>
    <t>['telkomsel', 'terbuka', '']</t>
  </si>
  <si>
    <t>['lemot', 'logo']</t>
  </si>
  <si>
    <t>['gangguan', 'paketan', 'pulsa', 'termakan', 'data', '']</t>
  </si>
  <si>
    <t>['tampilan', 'blank', 'putih', 'muncul', 'samsung', 'galaxy', '']</t>
  </si>
  <si>
    <t>['', 'telkomsel', 'mantap', 'bagus', 'cuman', 'saran', 'paketan', 'harga']</t>
  </si>
  <si>
    <t>['kenpa', 'yaa', 'tolong', 'benerin', 'update', 'mlah', 'nggk', 'buka', 'udah', 'donwload', 'kli', 'loo', 'gambarnya', 'putih', 'doangg', 'tolongg', 'bntu', 'yaa']</t>
  </si>
  <si>
    <t>['plese', 'kasih', 'kuota', 'murah', '']</t>
  </si>
  <si>
    <t>['suka', 'pakai', 'aplikasi', 'pertahankan', 'pelayanannya', '']</t>
  </si>
  <si>
    <t>['sinyal', 'woooiii', 'sebenernya', 'gpp', 'mahal', 'sinyal', 'woooiii']</t>
  </si>
  <si>
    <t>['miiin', 'buka', 'aplikasi', 'uninstal', 'trs', 'download', 'hapus', 'data', 'tetep', 'buka', 'kenapaaaa']</t>
  </si>
  <si>
    <t>['aplikasi', 'dibuka', 'senin', 'desember', 'tanggal', 'desember', 'dicoba', 'instalasi', 'ulang', 'hasilnya', 'samsung', '']</t>
  </si>
  <si>
    <t>['pokoknya', 'keren', 'aplikasi']</t>
  </si>
  <si>
    <t>['babi', 'beli', 'pulsa', 'blm', 'menit', 'potong', '']</t>
  </si>
  <si>
    <t>['update', 'kebuka', 'beli', 'pulsa', 'suka', 'kepotong', 'telkomsel', 'kecewa', '']</t>
  </si>
  <si>
    <t>['jaringan', 'telkomsel', 'lelet', 'udah', 'paket', 'mahal']</t>
  </si>
  <si>
    <t>['kemarin', 'sya', 'beli', 'pulsa', 'sya', 'aktif', 'pas', 'pulsa', 'sya', 'tinggal', 'gimana']</t>
  </si>
  <si>
    <t>['', 'telkomsel', 'jos', 'gandos']</t>
  </si>
  <si>
    <t>['kontol', 'jaringan', 'kek', 'kontol']</t>
  </si>
  <si>
    <t>['aplikasi', 'buka', 'kecewa', '']</t>
  </si>
  <si>
    <t>['hape', 'buka', 'aplikasiny', 'instal', 'unistall', 'berkali', 'kali', 'masuk', 'aplikasi', 'putih', 'blank', 'mohon', 'solusinya']</t>
  </si>
  <si>
    <t>['knpa', 'apl', 'bsa', 'buka', '']</t>
  </si>
  <si>
    <t>['telkomsel', 'malas', 'harga', 'qouta', 'mahal', 'kualitasnya', 'berkurang', 'membeli', 'paket', 'combo', 'sakti', 'unlimited', 'qouta', 'utama', 'habis', 'sisa', 'qouta', 'multimedia', 'buka', 'buang', 'duit', 'banget', 'rugi', 'qouta', 'multimedia', 'gb', 'tolong', 'perbaiki', 'telkomsel', '']</t>
  </si>
  <si>
    <t>['tampilan', 'telkomsel', 'muncul', 'berulang', 'diinstal', 'tampilannya']</t>
  </si>
  <si>
    <t>['', 'posisi', 'butuh', 'internet', 'telkomsel', 'paket', 'darurat', 'gb', 'giliran', 'layanan', 'sibuk', 'layanan', 'sibuk', '']</t>
  </si>
  <si>
    <t>['aplikasi', 'bagus', 'mudah', 'membeli', 'paket', 'data']</t>
  </si>
  <si>
    <t>['bagus', 'aplikasi', 'makaaih', 'telkomsel']</t>
  </si>
  <si>
    <t>['udah', 'seru', 'telkomsel', 'masuk', 'blank', 'putih', 'buka', 'buka']</t>
  </si>
  <si>
    <t>['buka', 'apk', 'layarnya', 'putih', '']</t>
  </si>
  <si>
    <t>['', 'telkomsel', 'terbaik', 'pelanggan']</t>
  </si>
  <si>
    <t>['membantu', 'rekomendasi']</t>
  </si>
  <si>
    <t>['suara', 'notif', 'udh', 'offkan', 'nyala', '']</t>
  </si>
  <si>
    <t>['jaringan', 'bagus', 'promo', 'menarik', 'puas', 'pakai', 'telkomsel']</t>
  </si>
  <si>
    <t>['paket', 'combo']</t>
  </si>
  <si>
    <t>['jos', 'susah', 'buka']</t>
  </si>
  <si>
    <t>['mantappp', 'bangat', 'akpnya']</t>
  </si>
  <si>
    <t>['jaringan', 'jelek', 'pengen', 'toxic']</t>
  </si>
  <si>
    <t>['susah', 'masuk']</t>
  </si>
  <si>
    <t>['mahal', 'lelet', 'kerja', 'serius', 'ngak', '']</t>
  </si>
  <si>
    <t>['menarik']</t>
  </si>
  <si>
    <t>['masuk', 'mudah', 'cek', 'pulsa', 'cek', 'data', 'akurat']</t>
  </si>
  <si>
    <t>['selamat', 'ulang']</t>
  </si>
  <si>
    <t>['sinyalnya', 'sulit', 'kali']</t>
  </si>
  <si>
    <t>['anjim', 'udah', 'minggu', 'aplikasinya', 'buka', 'anjim', 'telkomsel']</t>
  </si>
  <si>
    <t>['jaringan', 'tingkatkan', 'pelayanan', 'dipermudah']</t>
  </si>
  <si>
    <t>['knp', 'beli', 'paketan', 'beli', 'koneksi', 'jaringan', 'jelek', 'engak', 'gmn', 'min']</t>
  </si>
  <si>
    <t>['gtu', 'paketan', 'trun', 'murah', 'jdi', 'paketan', 'merakyat', 'sya', 'suka', 'bngt', 'tlkomsel', 'skrng']</t>
  </si>
  <si>
    <t>['loding', 'paket', 'tolong', 'diperbaiki', 'kaya', 'kesini', 'masuk']</t>
  </si>
  <si>
    <t>['aqw', 'terbantu', 'banget', 'apl', 'trimakasih', 'murah', 'bangeet', 'mudah']</t>
  </si>
  <si>
    <t>['min', 'kuota', 'unlimited', '']</t>
  </si>
  <si>
    <t>['jaringan', 'stabil', 'kapasitas', 'internet', 'memadai', 'mengakses', 'internet', 'cepat', 'terima', 'kasih', '']</t>
  </si>
  <si>
    <t>['sinyal', 'nyaaa', 'jelek', '']</t>
  </si>
  <si>
    <t>['bener', 'beli', 'paketan', 'unlimited', 'trs', 'belajar', 'tugas', 'kena', 'fup', 'pas', 'semenjak', 'kaya', 'gitu', 'sinyalnya', 'jelek', 'trs', 'telat', 'ngumpuin', 'tugas', 'tolong', 'dibenarkan', '']</t>
  </si>
  <si>
    <t>['gangguan', 'nga', 'udh', 'mahal', 'dapet', 'kualitas', 'kaya', 'gini', 'jakarta', 'pedalaman']</t>
  </si>
  <si>
    <t>['gratis', 'pulsa', 'belikan', 'paket', 'woy', 'bener', 'ajalah']</t>
  </si>
  <si>
    <t>['daerah', 'kota', 'metro', 'lampung', 'sinyal', 'parah', 'banget', 'udh']</t>
  </si>
  <si>
    <t>['knp', 'aplikasi', 'telkomsel', 'kbuka', 'udh', 'coba', 'hpus', 'aplikasi', 'unduh', 'msh', 'kbuka']</t>
  </si>
  <si>
    <t>['min', 'seminggu', 'apl', 'kebuka', 'semenjak', 'update', 'versi', 'terbaru']</t>
  </si>
  <si>
    <t>['dibuka', 'aplikasi', 'dibuka', 'langsung']</t>
  </si>
  <si>
    <t>['aplikasinya', 'buka', 'mohon', 'solusinya']</t>
  </si>
  <si>
    <t>['turunin', 'harga', 'paketan', 'mahal', 'andai', 'desa', 'jaringan', 'udh', 'beralih', 'provider']</t>
  </si>
  <si>
    <t>['lambat', 'jalannya']</t>
  </si>
  <si>
    <t>['dibuka', 'aplikasinya', 'tolong', 'dibantu', '']</t>
  </si>
  <si>
    <t>['mahal', 'doang', 'harganya', 'kualitasnya', 'jelek']</t>
  </si>
  <si>
    <t>['telkomsel', 'top']</t>
  </si>
  <si>
    <t>['tolong', 'perbaiki', 'sinyal', 'iya', 'paketan', 'mahal', 'sepadan', 'kecepatan', 'data', 'didapatkan', '']</t>
  </si>
  <si>
    <t>['puas', 'banget', 'telkomsel']</t>
  </si>
  <si>
    <t>['pelayanan', 'telkomsel', 'troble', 'manapun', 'tempatnya', 'ram', 'android', 'karyawan', 'gaji', 'memuaskan', 'pelanggan', '']</t>
  </si>
  <si>
    <t>['aplikasi', 'dibuka', 'blank', 'putih', 'doang', 'operator', 'respon', 'nda', 'dliat', 'dibalesin', 'masuk', 'ulasan', 'dear', 'kakak', 'mohon', 'maaf', 'kitidak', 'nyamanan', 'silahkan', 'hubungi', 'mimin', 'bla', 'bla', 'bla', 'nda', 'tolong', 'donk']</t>
  </si>
  <si>
    <t>['parah', 'kota', 'gue', 'paketnya', 'mahal', 'sinyalnya', 'kacau', 'kayak', 'hedeehhh', 'beli', 'paket', 'sinyalnya', 'mantap', 'tpi', 'ksini', 'mkin', 'sinyalnya', 'emosi', 'parahh', 'sihh']</t>
  </si>
  <si>
    <t>['pelayanan', 'puas', 'perluh', 'tingkat', 'khusus', 'promo', 'pulsa', 'hadia', 'orang', 'tertarik', 'sesuai', 'harapkan', '']</t>
  </si>
  <si>
    <t>['sinyal', 'aneh', 'kaga', 'ngatasinya', 'gimana', 'kuota', 'lag', 'karuan']</t>
  </si>
  <si>
    <t>['tolong', 'telkomsel', 'kouta', 'internet', 'unlimited', 'youtube', 'youtubean', 'berkurang', 'kuota', 'internet', 'unlimited', 'youtube', 'tolong', 'perbaiki', 'kasih', 'bintang', 'perbaiki', 'kasih', 'bintang', '']</t>
  </si>
  <si>
    <t>['aplikasi', 'rekomen', 'banget']</t>
  </si>
  <si>
    <t>['sinyal', 'setabil', 'pas', 'main', 'game', '']</t>
  </si>
  <si>
    <t>['telkomsel', 'kebuka', 'kali', 'hapus', 'download', 'kebuka', '']</t>
  </si>
  <si>
    <t>['pelit', '']</t>
  </si>
  <si>
    <t>['min', 'apk', 'telkomsel', 'white', 'screen', 'sinyal', 'lancar']</t>
  </si>
  <si>
    <t>['knapa', 'download', 'buka', 'aneh', 'aplikasi', 'rada', 'lelet', 'buka', 'layar', 'putih', 'doank', '']</t>
  </si>
  <si>
    <t>['aplikasi', 'dibuka', 'seminggu', 'komunikasi', 'asisten', 'virtual', 'veronika', 'lakukan', 'rekomendasinya', 'buka', 'diperbaiki', 'akibatnya', 'fatal', 'pelanggan', 'kecewa', 'ujung', 'pindah', 'operator', 'telkomsel', 'terbesar', 'terkecil']</t>
  </si>
  <si>
    <t>['aplikasi', 'dibuka', 'dibuka', 'hitam', 'terbuka', 'aplikasinya', '']</t>
  </si>
  <si>
    <t>['kasi', 'bintang', 'gabut']</t>
  </si>
  <si>
    <t>['', 'samsung', 'kebukak', 'updte', 'tolong', 'bos']</t>
  </si>
  <si>
    <t>['loading', 'aplikasi', 'berat', 'dibuka']</t>
  </si>
  <si>
    <t>['aplikasi', 'telkomsel', 'ngk', 'buka', '']</t>
  </si>
  <si>
    <t>['', 'update', 'error', 'ngga', 'buka']</t>
  </si>
  <si>
    <t>['tolong', 'keamanan', 'transaksinya', 'tingkatkan', 'payment', 'apapun', 'verifikasi', 'orang', 'tua', 'install', 'aplikasi', 'ditelepon', 'oknum', 'mengatas', 'namakan', 'telkomsel', 'otp', 'transaksi', 'rbu', 'transaksi', 'konfirmasi', 'mengandalkan', 'login', 'aplikasi', 'alangkah', 'baiknya', 'pakai', 'pin', 'transaksi', '']</t>
  </si>
  <si>
    <t>['kartu', 'telkomsel', 'tenggang', 'cepat', 'tenggang', 'susah', '']</t>
  </si>
  <si>
    <t>['cepat', 'telkomsel']</t>
  </si>
  <si>
    <t>['burik', 'jaringan', '']</t>
  </si>
  <si>
    <t>['kualitas', 'telkomsel', 'buruk', 'ngga', 'sesuai', 'harga', 'paket', '']</t>
  </si>
  <si>
    <t>['semoga', 'menang', 'poin', 'tukar', 'poin', 'menang', 'sinyal', 'sayang', 'terkadang', 'daerah', 'sinyal', 'telkomsel']</t>
  </si>
  <si>
    <t>['parah', 'mahal', 'boros', 'paket', 'tinggal', 'paket', 'data', 'gratisan', 'telepon', 'all', 'operator', 'telkomsel', 'rakus', 'mengambil', 'untungan', 'pelanggan', 'napas', 'menipu', 'alasan', 'hadiah', 'paket', 'data', 'takut', 'akhirat', 'pertanggung', 'perbuatan', 'takut', 'siksa', 'perbuatan', 'hidup', 'dunia', 'akhirat']</t>
  </si>
  <si>
    <t>['kuota', 'internet', 'jaringan', 'kuota', 'unlimited', 'apps', 'berlaku', 'penggunaan', 'aplikasi', 'facebook', 'instagram', 'whatsapp', 'line', 'gamesmax', 'musicmax', 'tiktok', 'aktif', 'mengikuti', 'sisa', 'aktif', 'internet', 'bulanan', 'pelanggan', 'miliki', 'keterangan', 'buka', 'tiktok', 'sma', 'gamesmax', 'beli', 'paket', 'extra', 'unlimited', 'tpi', 'tiktok', 'sma', 'gamesmax', 'ngakses', 'tolong', 'perbaiki', 'makasih']</t>
  </si>
  <si>
    <t>['aplikasi', 'telkomsel', 'dibuka', 'samsung', 'merek', 'mudah', 'masuk', 'aplikasi', 'kartu', 'simpati', 'telkomsel', 'sungguh', 'aneh', '']</t>
  </si>
  <si>
    <t>['membanru']</t>
  </si>
  <si>
    <t>['asyik', 'tpi', 'dapet', 'undian', 'kupon', '']</t>
  </si>
  <si>
    <t>['membantu', 'gampang', 'pakai', 'aplikasinya', '']</t>
  </si>
  <si>
    <t>['telkomsel', 'ngga', 'akses', '']</t>
  </si>
  <si>
    <t>['habis', 'diupgrade', 'langsung', 'dibuka', 'ngeblank', '']</t>
  </si>
  <si>
    <t>['tolong', 'teruskan', 'keluhan', 'jaringan', 'nagan', 'raya', 'jeram', 'desa', 'alue', 'tho', 'lemot', 'membalas', 'nunggu', 'menit', 'terkirim', 'download', 'aplikasi', 'jam', 'selesai', 'ukurannya', 'mb', 'terkadang', 'gagal', '']</t>
  </si>
  <si>
    <t>['parah', 'parah', 'parah', 'mending', 'ganti', 'sebelah', 'paket', 'murah', 'sinyal', 'lemot', 'paket', 'mahal', 'sinyal', 'lemot', 'tolong', 'area', 'tangerang', 'cipondoh', 'sinyal', 'perbaiki', 'menang', 'mahal', 'doang', 'tdi', 'sinyal', 'kaya', 'inget', 'min', 'hapus', 'komentar', 'telkomsel', 'kaya']</t>
  </si>
  <si>
    <t>['aplikasinya', 'dibuka', 'white', 'screen']</t>
  </si>
  <si>
    <t>['aplikasinya', 'bagus', 'sayang', 'dibuka', 'hahahah', 'hha', '']</t>
  </si>
  <si>
    <t>['sinyal', 'jelek', 'bet', 'kaya', 'gini', 'parah', 'buka', 'apk', 'lancar', 'giliran', 'main', 'game', 'sinyal', 'kek', 'eek']</t>
  </si>
  <si>
    <t>['mahal', 'doang', 'sinyal', 'lemot']</t>
  </si>
  <si>
    <t>['poin', 'diredeem', 'kuota', 'hrs', 'bayar', 'setauku', 'poin', 'lgsg', 'redeem', 'biaya', 'dikasih', 'saran', 'kritik', 'tanggapan', '']</t>
  </si>
  <si>
    <t>['apk', 'gabisa', 'kebuka', 'bayar', 'tagihan', 'apk', 'pas', 'apk', 'dipencet', 'putih', 'doang', 'udh', 'dicoba', 'coba', 'sampe', 'tpi', 'tetep', 'kebuka']</t>
  </si>
  <si>
    <t>['kuota', 'youtube', 'unlimited', 'kepakai', 'pulsa', 'kesedot', 'kejadian', 'kaya', 'gini', 'pelanggan', 'telkomsel', 'kaya', 'gini', 'ganti', 'provider', '']</t>
  </si>
  <si>
    <t>['bagus', 'tambahin']</t>
  </si>
  <si>
    <t>['apk', 'bagus', 'tolong', 'pliss', 'adain', 'promo', '']</t>
  </si>
  <si>
    <t>['aplikasi', 'kota', 'murah', '']</t>
  </si>
  <si>
    <t>['aplikasinya', 'buka', 'bosku']</t>
  </si>
  <si>
    <t>['mytelkomsel', 'pakai', 'tampilan', 'putih', 'doank', 'blank', 'cek', 'kuota', 'internet', 'mytelkomsel']</t>
  </si>
  <si>
    <t>['jaringan', 'kek', 'lalot', 'lihat', 'buka', 'jln', 'koata', 'telkomsel', 'mkin', 'mkin', 'hancur', '']</t>
  </si>
  <si>
    <t>['hei', 'knpa', 'beranaku', 'ngak', 'buka', 'poin', 'jga', 'smua', 'hilang', 'ngak', 'data', 'lihat', 'promosi', 'doang', 'tolong', 'perbaiki', 'ganti', 'canel', 'kartu', '']</t>
  </si>
  <si>
    <t>['puas', 'mengunakan', 'aplikasinya', 'mudah']</t>
  </si>
  <si>
    <t>['beli', 'kouta', 'orbit', 'susah', 'bnget', 'jaringan', 'bagus', 'beli', 'tulisan', 'gangguan', 'suruh', 'periksa', 'koneksi', 'koneksi', 'bagus']</t>
  </si>
  <si>
    <t>['', 'telkomsel', 'lambat', 'erro']</t>
  </si>
  <si>
    <t>['beli', 'pulsa', 'menit', 'udah', '']</t>
  </si>
  <si>
    <t>['beli', 'paket', 'combo', 'sakti', 'mytelkomsel', 'bayar', 'pakai', 'gopay', 'shopee', 'coba', 'kali', '']</t>
  </si>
  <si>
    <t>['maaf', 'min', 'knp', 'telkomsel', 'lemot', 'mah', 'pas', 'kali', 'make', 'sim', 'card', 'telkomsel', 'aman', 'knp', 'lemot', 'banget', '']</t>
  </si>
  <si>
    <t>['telkomsel', 'ketinggalan', 'zaman', 'sinyal', 'susah', 'kota', 'mahal', 'nelponpun', 'mahal', 'kecewa', 'isi', 'paket', 'kota', 'buka', 'youtube', 'lancar', 'main', 'game', 'haduh', 'kacau', 'sinyalya', 'berbeda', 'jaringan']</t>
  </si>
  <si>
    <t>['telkomsel', 'bermutu', 'provider', 'kesempatan', 'bersaing', 'pelayanan', 'percaya', 'pelanggan', 'telkomsel', 'beralih', 'provider', '']</t>
  </si>
  <si>
    <t>['jaringan', 'bersahabat']</t>
  </si>
  <si>
    <t>['paket', 'unlimited', 'fup', 'hancur', 'pemakaian', 'wajar', 'perhari', 'gb', 'gb', 'jaringannya', 'buka', 'mytelkomsel', 'lelet', 'buka', 'pubg', 'time', 'out', 'youtube', 'update', 'mytelkomsel', 'mb', 'mnt', 'recommended', 'beli', '']</t>
  </si>
  <si>
    <t>['mudah', 'bnyak', 'hadiah']</t>
  </si>
  <si>
    <t>['udah', 'paketnya', 'mahal', 'mahal', 'trus', 'sinyalnya', 'jelek', 'banget', 'enak', 'nge', 'game', 'tolong', 'perb', 'aiki', '']</t>
  </si>
  <si>
    <t>['masuk', 'apliksi', 'susah', '']</t>
  </si>
  <si>
    <t>['telkomsel', 'oke', 'deh']</t>
  </si>
  <si>
    <t>['buruk', 'pilihan', 'ganti', 'kartu', '']</t>
  </si>
  <si>
    <t>['sinyal', 'jelek', 'game', 'perbaiki', 'mahal', 'doang', 'kouta', 'dikirain', 'lancar', '']</t>
  </si>
  <si>
    <t>['skrng', 'app', 'buka', 'layar', 'putih', 'mohon', 'perbaikin', 'mengecewakan', 'pengguna', 'terima', 'kasih', '']</t>
  </si>
  <si>
    <t>['berguna', 'banget']</t>
  </si>
  <si>
    <t>['komplenan', 'tangani', 'kasih', 'teori', 'lihat', 'rating', 'ngasih', 'bintang', 'bintang', 'benahi', 'pelanggan', 'butuh', 'bukti', 'teori', 'malu', 'bintang', '']</t>
  </si>
  <si>
    <t>['beli', 'paket', 'perpanjang', 'aktif', 'tulisannya', 'kesalahan', 'pagi', 'sampe', 'sore', 'dicoba', 'gitu', 'emang', 'akal', 'akalan', 'telkomselnya', 'takut', 'rugi', '']</t>
  </si>
  <si>
    <t>['tolong', 'adain', 'fitur', 'save', 'pulsa']</t>
  </si>
  <si>
    <t>['aplikasi', 'may', 'tekom', 'sel', 'sku', 'ngga', 'mucul', 'putih', 'doang', '']</t>
  </si>
  <si>
    <t>['knpa', 'telkomsel', 'buka', 'nge', 'blank']</t>
  </si>
  <si>
    <t>['didownload', 'buang', 'kuota', 'masuk', 'apknya', 'kesalahan', 'payah', 'beda', 'aplikasi', 'sebelah', 'jos', 'gandosss', '']</t>
  </si>
  <si>
    <t>['', 'telkomsel', 'buka', 'layarnya', 'warna', 'putih']</t>
  </si>
  <si>
    <t>['trimakasih', 'layanan']</t>
  </si>
  <si>
    <t>['parah', 'jaringannya', 'ngeselin', 'turun', 'main', 'game', 'perubahannya', 'parah', 'kesel', '']</t>
  </si>
  <si>
    <t>['', 'tampil']</t>
  </si>
  <si>
    <t>['buka', 'jelek', 'apk']</t>
  </si>
  <si>
    <t>['gimna', 'buka', 'app', 'mohon', 'bantuan']</t>
  </si>
  <si>
    <t>['sippp', 'pokok']</t>
  </si>
  <si>
    <t>['sinyal', 'minnn', 'sinyal', 'perbaiki', 'kuota', 'cuman', 'kb', 'sinyal', 'udh', 'gitu', 'hilang', 'mulu', 'sinyalnya', 'download', 'mb', 'jam', '']</t>
  </si>
  <si>
    <t>['aplikasi', 'dibuka', 'mimin', 'menyelesaikan', 'disuruh', 'mampir', 'ohhh', 'telkomsel', 'parahhh', '']</t>
  </si>
  <si>
    <t>['susah', 'aksesnya']</t>
  </si>
  <si>
    <t>['bagus', 'sukses', 'jaya']</t>
  </si>
  <si>
    <t>['poseng', 'kuota', 'aktif', 'makan', 'pulsa', 'anyink', 'beli', 'paket', 'lanjutan', '']</t>
  </si>
  <si>
    <t>['blm', 'dibuka', 'aplikasinya', 'udah', 'diapain', 'hub', 'mimin', 'dimasenger', 'nyambung', 'jawabannya', 'ayo', 'donk', 'telkomsel', 'perbaiki', 'layanannya']</t>
  </si>
  <si>
    <t>['karen', 'memuaskan']</t>
  </si>
  <si>
    <t>['telkomsel', 'bagus', 'sinyal', 'suka', 'ilang', 'main', 'game', 'aplikasinya', 'dibuka', 'pulak']</t>
  </si>
  <si>
    <t>['kualitas', 'aman', 'mudah', 'nyaman']</t>
  </si>
  <si>
    <t>['suka', 'bangat', 'apk']</t>
  </si>
  <si>
    <t>['kasih', 'bintang']</t>
  </si>
  <si>
    <t>['moga', 'telkomsel', 'mantap', 'jaringannya', 'make', 'dimana', '']</t>
  </si>
  <si>
    <t>['paket', 'murah']</t>
  </si>
  <si>
    <t>['berguna', 'banget', 'apknya', 'mantap']</t>
  </si>
  <si>
    <t>['tolong', 'knp', 'abis', 'update', 'gabisa', 'login', 'tolong']</t>
  </si>
  <si>
    <t>['mantap', 'apk', 'trus', 'tingkat', 'bosku']</t>
  </si>
  <si>
    <t>['telkomsel', 'dibuka', 'seminggu', 'kerusakan', 'sistem', 'perbaikan', '']</t>
  </si>
  <si>
    <t>['tukar', 'poin', 'ajh', 'alasannya', 'server', 'sibuk', 'rugi', 'banget', 'telkomsel']</t>
  </si>
  <si>
    <t>['suka', 'promosi', 'kouta', 'ceria']</t>
  </si>
  <si>
    <t>['game', 'error', 'dimainkan', '']</t>
  </si>
  <si>
    <t>['', 'ponsel', 'samsung', 'aplikasi', 'buka', '']</t>
  </si>
  <si>
    <t>['jelek', 'mahal', 'belanja', 'paket', 'poin', 'suruh', 'bayar']</t>
  </si>
  <si>
    <t>['telkomsel', 'sinyalnya', 'jelekkkkkk']</t>
  </si>
  <si>
    <t>['apk', 'buka', 'mlh', 'warna', 'putih', 'kyk', 'tpi', 'mohon', 'perbaiki', 'bpk', 'pln']</t>
  </si>
  <si>
    <t>['sisa', 'kuota', 'lambat', 'jaringannya', 'daftar', 'paket', 'paket', 'nlpon', 'pulsa', 'tersisa', 'dihabiskan', 'sombong', 'pelanggan', 'komplen', 'tgl', 'desember', 'hapus', 'aplikasi', 'telkomsel', 'provider', 'membenahi', 'jaringannya', 'pelayanannya']</t>
  </si>
  <si>
    <t>['masuk', 'aplikasi', 'telkomsel', 'susah', '']</t>
  </si>
  <si>
    <t>['kasih', 'bintan', 'memuaskan', 'kasih', 'full']</t>
  </si>
  <si>
    <t>['loading']</t>
  </si>
  <si>
    <t>['gabisa', 'dibuka', 'applikasinya']</t>
  </si>
  <si>
    <t>['apknya', 'rusak', 'masak', 'masuk', 'layar', 'putih', 'udah', 'nunggu']</t>
  </si>
  <si>
    <t>['sinyal', 'telkomsel', 'stabil', 'dimanapun']</t>
  </si>
  <si>
    <t>['hoax', 'ajng', 'bbi', 'abisin', 'pulsa']</t>
  </si>
  <si>
    <t>['diakses', 'chat', 'lwt', 'telegram', 'tolong', 'perbaiki']</t>
  </si>
  <si>
    <t>['coba', 'mantap']</t>
  </si>
  <si>
    <t>['jaringan', 'telkomsel', 'ngk', 'cocok', 'game', 'lelet']</t>
  </si>
  <si>
    <t>['paket', 'internet', 'mahal', 'sinyal', 'pepek', 'benerin', 'sinyal', 'apk', 'penyedot', 'pulsa', 'awas', 'guys', 'pulsa', 'dipake', 'pulsa', 'tersedot']</t>
  </si>
  <si>
    <t>['telkomsel', 'joss']</t>
  </si>
  <si>
    <t>['provider', 'maling', 'pulsa']</t>
  </si>
  <si>
    <t>['telkom', 'daerah', 'jakbar', 'ngelag', 'bangt', 'beli', 'mahal', 'memuaskan', 'sinyal', 'telkom', 'daerah', 'jakbar', '']</t>
  </si>
  <si>
    <t>['', 'banget', 'pulsa', 'beli', 'paket', 'harga']</t>
  </si>
  <si>
    <t>['layanan', 'telkomsel']</t>
  </si>
  <si>
    <t>['jaringn', 'telkomsel', 'jelek', 'banget', 'apalgi', 'game', 'pdahl', 'bagus', 'jdi', 'pengen', 'pindah', 'smartfren', 'akhirnyaa']</t>
  </si>
  <si>
    <t>['sumpah', 'kecewa', 'pelayanan', 'plat', 'merah', 'aplikasi', 'dibuka', 'beli', 'paket', 'mengecewakan', 'kualitasnya']</t>
  </si>
  <si>
    <t>['aplikasi', 'burukkkk', 'tuker', 'point', 'beli', 'voucer', 'diamond', 'mobile', 'legend', 'voucer', 'salah', 'kode', 'point', 'terpotong', 'dibuka', 'aplikasinya', 'layar', 'putih', 'asemmmm', 'aplikasi']</t>
  </si>
  <si>
    <t>['knp', 'kebukaaa', 'samsung', '']</t>
  </si>
  <si>
    <t>['pas', 'buka', 'aplikasinya', 'lambat', 'muncul', 'tampilan', 'kadang', 'kebuka', 'tolong', 'diperbaiki']</t>
  </si>
  <si>
    <t>['keluhan', 'jelek', 'system', 'pelayanan', 'pulsa', 'lenyap', 'error', 'diakses', 'kezel', 'pindah', 'pulsa', 'habis', 'perlahan', 'kah', 'operator', 'indonesia', 'berbisnis', 'jujur', 'orang', 'dirugikan', 'berbisnis']</t>
  </si>
  <si>
    <t>['aplikasinya', 'udah', 'kebuka', 'udh', 'ngabisin', 'kuota', 'instal', 'ulang', 'kebuka', 'tolong', 'perbaiki', 'kak']</t>
  </si>
  <si>
    <t>['telkomsel', 'sbnar', 'kartu', 'suda', 'pakai', 'prtama', 'trus', 'paket', 'intrnet', 'skrang', 'suda', 'prna', 'combo', 'sakti', 'skrng', 'lebi', 'mahal', 'gangu', 'nelpon', 'telkom', 'sel', 'pembri', 'tahuan', 'mintak', 'aktifkn', 'nsp', 'ribet', 'bgat', 'lyanan', 'telkomsel', 'payah', 'pangilan', 'paket', 'aktif', 'telpon', 'pket', 'internet', 'mengangu', 'isi', 'plsa', 'paket', 'darurat', 'pda', 'pket', 'bulanan', 'msi', 'bnyk']</t>
  </si>
  <si>
    <t>['penampilan', 'aplikasi', 'jelek', 'interface', 'simpel', 'pakai', 'aplikasi', 'penggila', 'koding', 'tampilan', 'ramah', 'mayoritas', 'orang', 'indo', 'buka', 'aplikasi', 'peduli', 'lindungi', 'ngaco', '']</t>
  </si>
  <si>
    <t>['diupdate', 'nga', 'buka', '']</t>
  </si>
  <si>
    <t>['min', 'app', 'dibuka']</t>
  </si>
  <si>
    <t>['woi', 'kenp', 'apk', 'telkomsel', 'buka', 'pas', 'udah', 'update', 'nipu', 'gimana', 'admin', 'tolong', 'benerin', 'apk', 'kesel', 'liat', 'dasar', 'bertanggung', 'tolong', 'benerin', 'ngapa', 'udah', 'seminggu', 'buka', 'apk']</t>
  </si>
  <si>
    <t>['telkomsel', 'bsa', 'dibuka', 'hapus', 'download', 'ttp', 'nda', 'bsa', 'terbuka']</t>
  </si>
  <si>
    <t>['halo', 'apk', 'telkomselnya', 'sebatas', 'layar', 'putih', 'diupdate', 'parah', 'jempol', 'terbalik', 'udah', 'kasih', 'jempol', 'terbalik', '']</t>
  </si>
  <si>
    <t>['beli', 'pulsa', 'telkomsel', 'mudah', 'promonya']</t>
  </si>
  <si>
    <t>['hang', 'aplikasi', 'dibuka', 'layar', 'putih']</t>
  </si>
  <si>
    <t>['mendingan', 'telkomsel', 'tutup', 'deh', 'jaringan', 'kalimantan', 'buruk', 'pakai', 'telkomsel']</t>
  </si>
  <si>
    <t>['beli', 'mahal', 'mahal', 'paketan', 'sinyal', 'kaya', 'ilang', 'ilangan']</t>
  </si>
  <si>
    <t>['promo', 'menarik', '']</t>
  </si>
  <si>
    <t>['makasih', 'kemudahan', 'layanan', 'aplikasihnya']</t>
  </si>
  <si>
    <t>['jalan', 'besoknya', 'masuk', 'why']</t>
  </si>
  <si>
    <t>['susah', 'login']</t>
  </si>
  <si>
    <t>['nga', 'login', 'dibuka']</t>
  </si>
  <si>
    <t>['ngak', 'donlowd']</t>
  </si>
  <si>
    <t>['murah']</t>
  </si>
  <si>
    <t>['halo', 'provider', 'telkomsel', 'kendala', 'masukan', 'penukaran', 'poin', 'undian', 'poin', 'voucher', 'undian', 'langsung', 'tukar', 'sesuai', 'menukarkan', 'poin', 'persatu', 'memakan', 'pesan', 'masuk', 'menukar', 'poin', 'semoga', 'pertimbangan', 'terima', 'kasih']</t>
  </si>
  <si>
    <t>['babi', 'sinyal', 'kontl', 'bngsat', 'tempik', 'itil', 'gmana', 'tlkomsel', 'sinyal', 'ksini', 'jelek', 'jembut', 'anjing', 'kampang', 'bawok', 'turuk']</t>
  </si>
  <si>
    <t>['aplikasi', 'kebuka', 'udh', 'berulang', 'uninst', 'install', 'tetep', 'beli', 'paket', 'cek', 'kuota', 'cek', 'pulsa', 'ribet', 'banget', 'karna', '']</t>
  </si>
  <si>
    <t>['pulsa', 'jngan', 'kau', 'potong', 'telkomsel', 'papma']</t>
  </si>
  <si>
    <t>['jaringannya']</t>
  </si>
  <si>
    <t>['knp', 'egk', 'dibuka']</t>
  </si>
  <si>
    <t>['cepat', 'sinyalnya']</t>
  </si>
  <si>
    <t>['takut', 'penipuan', 'login', 'sulit']</t>
  </si>
  <si>
    <t>['mantap', 'alpiksi', 'telkomsel']</t>
  </si>
  <si>
    <t>['paket', 'murah', 'terjangkau', 'harganya', 'aman']</t>
  </si>
  <si>
    <t>['sinyal', 'turun']</t>
  </si>
  <si>
    <t>['telkomsel', 'makinsini', 'jaringan', 'udah', 'kaya', 'dikasih', 'mendung', 'sdikit', 'udah', 'jaringan', 'gajelas', 'jaringan', 'terkuat', 'indonesia', 'dikasih', 'mendung', 'lemotnya', 'maen', 'njir', 'smua', 'oleng', 'gabisa', 'trutama', 'daerah', 'perkampungan', 'udh', 'mati', 'jaringan', 'nyesek', 'pelanggan', 'telkomsel', 'udh', 'thn', 'njir', 'gini', 'bnting', 'stir', 'ganti', 'kartu']</t>
  </si>
  <si>
    <t>['aplikasi', 'ngk', 'buka', '']</t>
  </si>
  <si>
    <t>['tolong', 'perbaiki', 'jaringan', 'internet', 'buruk']</t>
  </si>
  <si>
    <t>['jaringan', 'tersedia', 'kuat', 'cepat']</t>
  </si>
  <si>
    <t>['sinyal', 'gede', 'jaringannya', 'buttut', 'paket', 'mahal', 'lol', 'emosi', 'mulu', 'telkomsel', 'woy', 'download', 'apk']</t>
  </si>
  <si>
    <t>['daily', 'check', 'pulsa', 'kah', 'emang', 'hadiah', 'hadiah', 'syarat', 'pusing', 'sinyal', 'lelet', 'didaerah', 'kabupaten', 'garut', 'harap', 'telkomsel', 'bangkrut', 'stress', 'stress', 'stress', 'strees', 'strees', 'strees', 'sinyal', 'axis', 'bagusan', 'axis', 'sinyal', 'ketimbang', 'telkomsel']</t>
  </si>
  <si>
    <t>['jaringan', 'gajelas', 'habis', 'beli', 'sinyal', 'merah', 'harga', 'mahal', 'banget']</t>
  </si>
  <si>
    <t>['jaringan', 'telkomsel', 'lag', 'main', 'game', 'tolong', 'diperbaiki']</t>
  </si>
  <si>
    <t>['sinyal', 'buruk', 'buruk', 'smua', 'kartu', 'main', 'game', 'online', 'lag']</t>
  </si>
  <si>
    <t>['pket', 'mahal']</t>
  </si>
  <si>
    <t>['knapa', 'susah', 'dibuka', 'aplikasinyaa', 'bolak', 'uninstal', 'dibuka', 'aplikasi', 'inii', 'jelek', 'bangettt', '']</t>
  </si>
  <si>
    <t>['woy', 'jaringan', 'sesuai', 'harga', 'bangkee', 'harga', 'mahal', 'jaringan', 'kyk', 'dajjal', 'jaringan', 'kuat', 'kasih', 'truss', 'data', 'gua', 'udh', 'beli', 'paket', 'mahal', 'berguna', 'pecah', 'udh', 'gua', 'gara', 'jaringan', 'kyk', 'taik']</t>
  </si>
  <si>
    <t>['aplikasi', 'telkomsel', 'white', 'screen', 'samsung', 'mohon', 'diperbaiki', 'gimana', 'bantuan', 'aplikasi', 'telkomsel', 'aplikasinya', 'dibuka', 'tolonglah', '']</t>
  </si>
  <si>
    <t>['bos', 'main', 'telfon', 'sibuk', 'presentasi', 'main', 'telfon']</t>
  </si>
  <si>
    <t>['aplikasi', 'jelek', 'bagus', 'axis', 'net', 'fitur', 'kunci', 'pulsa', 'paket', 'data', 'habis', 'ngak', 'lansung', 'sedot', 'pulsa', 'pulsa', 'ratusan', 'ribu', 'sedot']</t>
  </si>
  <si>
    <t>['knp', 'tdak', 'dibuka']</t>
  </si>
  <si>
    <t>['emang', 'aman', 'rapi', 'kasih', '']</t>
  </si>
  <si>
    <t>['tgl', 'paket', 'voice', 'habis', 'beli', 'paket', 'menu', 'telkomsel', 'telp', 'ikuti', 'arahan', 'msh', 'menu']</t>
  </si>
  <si>
    <t>['telkomsel', 'mantap', 'jaringan', 'bagus', '']</t>
  </si>
  <si>
    <t>['', 'gbsa', 'buka', '']</t>
  </si>
  <si>
    <t>['dibuka', 'white', 'screen', 'blank', 'alias', 'rusak', 'aplikasinya']</t>
  </si>
  <si>
    <t>['tukar', 'poin', 'game', 'game', 'kasih', 'free', 'fire']</t>
  </si>
  <si>
    <t>['paket', 'mahal', 'gangguan', 'tross']</t>
  </si>
  <si>
    <t>['bayar', 'paket', 'mahal', 'gangguan', '']</t>
  </si>
  <si>
    <t>['jaringannya', 'bejad', 'banget', 'parah', 'mgerti', 'telkomsel', 'kasar', '']</t>
  </si>
  <si>
    <t>['pas', 'buka', 'updet', 'udah', 'updet', 'ttep', 'dibuka', 'ttep', 'updet', 'pyeng']</t>
  </si>
  <si>
    <t>['bumn', 'kasih', 'untung', 'negera', 'gimana', 'untungnya', 'orang', 'konsumennya', 'ditipu', 'udah', 'pakai', 'kartu', 'halo', 'dipakai', 'jaringan', 'internetnya', 'garuda', 'garuda', 'pelayanannya', 'bintang', 'telkomsel', 'bintang', 'nipu']</t>
  </si>
  <si>
    <t>['kasih', 'bintang', 'bonus', 'karna', 'pintar', 'didunia', 'hargai', 'apl', 'karna', 'manusia', 'bonus', 'sukur', 'gamasalah', 'santai', 'cakap', 'tutup', 'iya', '']</t>
  </si>
  <si>
    <t>['maju']</t>
  </si>
  <si>
    <t>['', 'tampilkan', '']</t>
  </si>
  <si>
    <t>['telkomsel', 'kayak', 'masak', 'isi', 'pulsa', 'beli', 'kuota', 'harganya', 'pulsa', 'kepotong', 'trus', 'kuota', 'beres', 'udah', 'mahal', 'beres']</t>
  </si>
  <si>
    <t>['sinyal', 'hilang']</t>
  </si>
  <si>
    <t>['menghubungi', 'error', 'bot', 'kebanyakan', 'membantu', 'terhubung', 'reply', 'menit', 'pesan', '']</t>
  </si>
  <si>
    <t>['min', 'buka', 'telkomsel', 'uda', 'upgrade']</t>
  </si>
  <si>
    <t>['telkomsel', 'buka', 'udah', 'ulang', 'download', 'terbuka', 'mengecewakan', 'aplikasi', 'telkomsel', '']</t>
  </si>
  <si>
    <t>['bagus', 'tamba', 'gampang', 'memilih', 'paket', 'apps', 'telkomsel', '']</t>
  </si>
  <si>
    <t>['intinya', 'telkomsel', 'buruk', 'jaringan', 'lelet', 'lemot', 'pulsa', 'kepotong']</t>
  </si>
  <si>
    <t>['bonus', 'paket', 'ceria', 'bener', 'transaksinya']</t>
  </si>
  <si>
    <t>['apk', 'bagus', 'cuman', 'harga', 'ribu']</t>
  </si>
  <si>
    <t>['', 'tolong', 'pagi', 'televon', 'telkomsel', 'agkat', 'televon', 'paket', 'data', 'habis', 'tolong', 'salah', 'malam', 'isi', 'paket', 'data', '']</t>
  </si>
  <si>
    <t>['ucapkan', 'terimakasih', 'membantu', 'komunikasi']</t>
  </si>
  <si>
    <t>['idealnya', 'namanya', 'paketan', 'jam', 'daftar', 'jam', 'mestinya', 'jam', 'esok', 'jam', 'jam', 'jam', '']</t>
  </si>
  <si>
    <t>['perangkat', 'membuka', 'aplikasi', 'tolong', 'diperbaiki', 'realme', '']</t>
  </si>
  <si>
    <t>['proses', 'beli', 'paket', 'promo', 'banget', 'keburu', 'pulsanya', 'kesedot', 'notif', 'masuk', 'paket', 'dibeli', 'tagihan', 'tolong', 'tambahkan', 'fitur', 'history', 'pembelian', 'tolong', 'prosesnya', 'menit', 'sekian', 'terimakasih']</t>
  </si>
  <si>
    <t>['susah', 'membeli', 'paket', 'data', 'gangguan', 'sistem', 'cek', 'koneksi', 'pusat', 'bantuan', 'membantu']</t>
  </si>
  <si>
    <t>['kah', 'aplikasi', 'fitur', 'pembatasan', 'kuota', 'paket', 'kuota', 'habis', 'internet', 'mati', 'langsung', 'makan', 'pulsa', 'reguler', 'sebal', 'pulsa', 'reguler', 'jaga', 'jaga', 'lenyap', 'gara', 'gara', 'renewal', 'paket', 'kuota', 'habis', 'pengguna', 'standby', 'pegang', 'sim', 'card', 'terpasang', 'terpasang', 'modem', 'thetering', '']</t>
  </si>
  <si>
    <t>['operator', 'jaringan', 'lemot', '']</t>
  </si>
  <si>
    <t>['bagus', 'cek', 'soldo']</t>
  </si>
  <si>
    <t>['sinyal', 'lemot', 'bagus']</t>
  </si>
  <si>
    <t>['kartu', 'palng', 'mahal', 'jelek', 'didaerah', 'smnjak', 'jrgn', 'dbuat', 'jlek', 'jargnnya', 'laku', 'kartu', 'kya', 'dlu', 'sblom', 'stlah', 'jdi', 'jlek', 'nnti', 'kdpannya', 'kluar', 'dijlkin', 'jrgnnya', 'telkmsl', 'skrg', 'mnurun', 'mmakinnya', 'mahal', 'jlek', 'lgi', 'jrgnnya', 'kontool']</t>
  </si>
  <si>
    <t>['parah', 'dimana', 'telkomsel', 'lelet', 'mulu', 'ngak', '']</t>
  </si>
  <si>
    <t>['maaf', 'knp', 'yak', 'plikasi', 'buka', 'update', 'buka', 'aplikasinya', 'layarnya', 'putih', 'trus', 'nge', 'hang', 'tolong', 'perbaiki', 'udah', 'kasih', 'bintang', '']</t>
  </si>
  <si>
    <t>['sinyal', 'full', 'bales', 'chatt', 'semoga', 'tutup', 'telkomsel', 'pakai', 'telkomsel', '']</t>
  </si>
  <si>
    <t>['undian', 'pulsa', '']</t>
  </si>
  <si>
    <t>['kecewa', 'banget', 'udah', 'paketnya', 'mahal', 'pulsa', 'pelanggan', 'kuras', 'habis', 'telkomsel', 'mengecewakan', 'gimana', 'langganan', 'pelanggan', 'kecewakan', 'pulsa', 'tarik', 'datanya', 'mati', 'pulsa', 'berkurang', 'pelanggan', 'telkomsel', 'mengalami', 'tukang', 'korupsi', 'namanya', 'kaya', 'sebelah', 'udah', 'gratisnya', 'pulsa', 'kunci', 'aplikasi', 'ngasih', 'bintang', 'buruk', 'kasih', 'kecewa']</t>
  </si>
  <si>
    <t>['membantuh']</t>
  </si>
  <si>
    <t>['tingkatkan', 'kecepatan', 'koneksinya', 'telkomsel', 'maju', 'jaya', 'sukses', 'terbaik', '']</t>
  </si>
  <si>
    <t>['banget', 'keluhan', 'konsumen', 'perbaikan', 'kualitas', 'bla', 'bla', 'bla', '']</t>
  </si>
  <si>
    <t>['telkomsel', 'diakses', 'layar', 'putih', 'tolong', 'perbaiki', 'mempermudah', 'pembelian', 'paket', 'dll', 'terimakasih']</t>
  </si>
  <si>
    <t>['kasih', 'paket', 'murah', 'jaringan', 'terluas']</t>
  </si>
  <si>
    <t>['data', 'telkomsel', 'emang', 'lancar', 'pas', 'main', 'kayak', 'tiktok', 'lag', 'telkomsel', 'bos', 'senggol', 'mohon', 'perbaiki', 'jaringan']</t>
  </si>
  <si>
    <t>['halo', 'kak', 'update', 'versi', 'buka', 'layar', 'putih', 'gimana', 'tolong', 'update', 'terbaru', 'kebuka', 'gini', 'udah', 'minggu', 'buka', 'udah', 'coba', 'hubungi', 'respon', 'gimana', 'tolong', '']</t>
  </si>
  <si>
    <t>['apk', 'berat']</t>
  </si>
  <si>
    <t>['jaringan', 'cacat']</t>
  </si>
  <si>
    <t>['jaringan', 'stabil', 'buruk', 'pelayannya', 'buruk', 'promo', 'dibanyakin', 'jaringan', 'bagusin', 'promo', 'telkomsel', 'anjinh']</t>
  </si>
  <si>
    <t>['tingkatkan', 'pelayanannya']</t>
  </si>
  <si>
    <t>['knp', 'pas', 'akun', 'telkomsel', 'tautan', 'sms', 'dtg', 'yaa', 'aduwwhh']</t>
  </si>
  <si>
    <t>['telkomsel', 'gabisa', 'buka', 'udah', 'tolong', 'perbaiki']</t>
  </si>
  <si>
    <t>['telkomsel', 'buka', 'aplikasi', 'mohon', 'perbaikan']</t>
  </si>
  <si>
    <t>['beli', 'paket', 'data', 'mahal', 'koneksinya', 'tepuk', 'jidat', 'telkomsel', '']</t>
  </si>
  <si>
    <t>['kuota', 'mahal', 'sinyal', 'lancar', 'kuota', 'mahal', 'sinyal', 'lelet', 'sinyal', 'lelet']</t>
  </si>
  <si>
    <t>['jaringan', 'cepat']</t>
  </si>
  <si>
    <t>['internet', 'lokal', 'dipakai', 'diwilayah', 'aktifisi', 'paket']</t>
  </si>
  <si>
    <t>['aplikasih', 'aneh', 'ngelag', 'banget', 'patah', 'patah']</t>
  </si>
  <si>
    <t>['pulsa', 'kesedot', 'mulu', 'diaktifkan', 'sim', 'paketannya', 'pulsa', 'sim', 'kesedot', 'kuota', 'kemendikbud', 'buka', 'apk', 'kuota', 'kemendikbud', 'kesedot', 'pulsa', 'klaim', 'daily', 'check', 'sistem', 'sibuk', 'pas', 'dicoba', 'udah', 'tulisan', 'klaim', 'poin', 'pulsa', 'udah', 'kepotong', 'kuota', 'masuk', '']</t>
  </si>
  <si>
    <t>['app', 'mytelkomsel', 'dibuka', 'udah', 'hapus', 'download', 'ulang', 'kali', 'dibuka', 'udah', 'pakai', 'app', 'lancar', 'udah', 'coba', 'buka', 'reloading', 'hasil', 'udah', 'kecewa', 'app', '']</t>
  </si>
  <si>
    <t>['telkomsel', 'terdepan', 'jaringan', 'cpt', 'siyal', 'kiat', 'dpt', 'bekomunikasi', 'sempurna', 'trmakasih', 'telkom', 'smoga']</t>
  </si>
  <si>
    <t>['aplikasinya', 'udah', 'eror', 'udah', 'pakek', 'telkomsel', 'aplikasinya', 'buka', 'kalok', 'buka', 'warnanya', 'putih', 'doang', '']</t>
  </si>
  <si>
    <t>['', 'kartu', 'telkomsel', 'jaringan', 'jelek', 'padahl', 'bagus', 'temen', 'pemakai', 'telkomsel', 'sinyal', 'aman', 'beli', 'pulsa', 'kepotong', 'tagihan', 'masukin', 'vocer', 'internet', 'masukin', 'sampe', 'kali', 'tercatat', 'sistem', 'sibuk', 'sampe', 'vocer', 'internet', 'kerugian']</t>
  </si>
  <si>
    <t>['make', 'udah', 'dibuka']</t>
  </si>
  <si>
    <t>['tuker', 'poin', 'gagal']</t>
  </si>
  <si>
    <t>['enga', 'masuk', 'aplikasinya']</t>
  </si>
  <si>
    <t>['membuka', 'aplikasi', 'tolong', 'penjelasannya']</t>
  </si>
  <si>
    <t>['aplkasi', 'kebuka', 'tlong', 'perbaiki', '']</t>
  </si>
  <si>
    <t>['terkomsel', 'hentikan', 'penelusuran', 'data', 'habis', 'lanjutkan', 'pulsa', 'sadari', 'pengguna', 'membeli', 'data', 'pulsa', 'membeli', 'bayar', 'tlpo', 'sms', '']</t>
  </si>
  <si>
    <t>['woi', 'telkomsel', 'benerin', 'sinyal', 'bali', 'karangasem', 'rendang', 'ngelag', 'parah', 'woi', 'ganti', 'kartu', 'perbaiki', 'secepatnya']</t>
  </si>
  <si>
    <t>['update', 'buka', 'aplikasi', 'layar', 'putih', 'cari', 'cari', 'diakses', 'android', 'keatas', 'handphone', 'memiliki', 'performa', 'rendah', 'alias', 'dibawah', 'android', 'update', 'dipaksa', 'muncul', 'pop', 'update', 'telkomsel', 'update', 'gini', 'mohon', 'bantuaan', 'keterangannya']</t>
  </si>
  <si>
    <t>['utuk', 'bintang', 'karna', 'evaluasi', 'produk', 'dikeluarkan', 'hendakya', 'mengacu', 'konsumen', 'kalangan', 'konsumen', 'lari', 'jaringan', 'karna', 'produk', 'jarigan', 'menawarkan', 'harga', 'renda', 'telkomsel', 'mahal', 'andaikan', 'kejaringan', 'konsumen', 'lari', 'terimah', 'kasih']</t>
  </si>
  <si>
    <t>['keren', 'terbaik']</t>
  </si>
  <si>
    <t>['update', 'sukses', 'apk', 'dibuka']</t>
  </si>
  <si>
    <t>['aplikasi', 'lemot', 'hakiki', 'update', 'respon', 'jaringan', 'app', 'lancar', '']</t>
  </si>
  <si>
    <t>['', 'android', 'buka', 'parah', 'aplikasi', 'bangke']</t>
  </si>
  <si>
    <t>['bangga', 'simpati']</t>
  </si>
  <si>
    <t>['sinyal', 'parahhhhhhhhhhhh', 'parahhhh', 'kebanyakan', 'notifikasi', 'sms', 'mohon', 'hilangkan', 'notifikasi', 'sms', 'telkomsel', 'viu', 'redi', 'berisi', 'iklan', 'dsg', '']</t>
  </si>
  <si>
    <t>['mantaap', 'aplikasi', 'telkomsel', 'mudah', 'pilihan']</t>
  </si>
  <si>
    <t>['ngabisin', 'duit', 'doang', 'sesuai', 'ama', 'jaringan', 'lelet', 'mahal', 'good', 'game', 'telkomsel']</t>
  </si>
  <si>
    <t>['mudah', 'cept', 'bgus']</t>
  </si>
  <si>
    <t>['aplikasi', 'bagus', 'bangeeet']</t>
  </si>
  <si>
    <t>['boros', 'kuota', 'bandingkan', 'kartu', 'lumayan', 'awet']</t>
  </si>
  <si>
    <t>['apknya', 'dibuka']</t>
  </si>
  <si>
    <t>['min', 'aplikasi', 'telkomsel', 'kebuka', 'lancar', 'skrng', 'tampilan', 'layar', 'putih', 'udah', 'coba', 'uninstal', 'trus', 'download', 'buka', 'restart', 'update', 'mohon', 'pencerahannya', 'min', 'thanks']</t>
  </si>
  <si>
    <t>['mengunakan', 'aplikasi', 'telkomsel', 'sangant', 'membantu']</t>
  </si>
  <si>
    <t>['saran', 'telkomsel', 'paket', 'data', 'teraktivasi', 'menambah', 'fitur', 'off', 'paket', 'data', 'efisien', 'pemakaian', 'pakte', 'datanya', 'sepengalaman', 'mengaktifkan', 'paket', 'data', 'paket', 'data', 'terpakai', 'paket', 'data', 'peket', 'data', 'paket', 'data', 'gb', 'paket', 'data', 'youtube', 'unlimited', 'yutube', 'terpakai', 'paket', 'data']</t>
  </si>
  <si>
    <t>['mengalami', 'keleletan', 'bagusnya', 'pelosok', 'sinyalnya', 'nyari', 'posisi', 'aman', 'sinyal', '']</t>
  </si>
  <si>
    <t>['', 'pas', 'maketin', 'ngak', 'buka']</t>
  </si>
  <si>
    <t>['jaringan', 'ancur', 'harga', 'mahal', 'parah', 'tolong', 'cek', 'area', 'tanah', 'sareal', 'perbatasan', 'bogor', 'barat', 'cilendek', 'timur', 'menteng', 'kenanga', 'permai', 'sinyal', '']</t>
  </si>
  <si>
    <t>['banget', 'aplikasi', 'buka', '']</t>
  </si>
  <si>
    <t>['tolonglah', 'telkomsel', 'fitur', 'pengaman', 'pulsa', 'mudah', 'terpotong', 'pulsa', 'internet', '']</t>
  </si>
  <si>
    <t>['app', 'dibuka']</t>
  </si>
  <si>
    <t>['gua', 'isi', 'pulsa', 'dapet', 'point', '']</t>
  </si>
  <si>
    <t>['install', 'terbuka', 'ter', 'update', '']</t>
  </si>
  <si>
    <t>['parah', 'update', 'nggak', 'buka', 'paketnya', 'mahal', 'udh', 'bertahun', 'berlangganan', 'bukanya', 'kemudahan', 'kemurahan', 'harga', 'buka', 'apknya', 'nggak', 'paketnya', 'mahal', 'bonus', 'kuata', 'nggak', 'sekian', 'keluhan', 'pengguna', 'nggak', 'perbaikannya', '']</t>
  </si>
  <si>
    <t>['', 'telkomselku', 'bsa', 'buka']</t>
  </si>
  <si>
    <t>['bukak', 'aplikasi', 'telkomsel', '']</t>
  </si>
  <si>
    <t>['aaah', 'parah', 'app', 'beli', 'kuota', 'supr', 'deal', 'gb', 'fup', 'dikasih', 'paket', 'nlpon', 'seharian', 'nggak', 'nyambung', 'tolong', 'telkomsel', 'gitu', 'lho', '']</t>
  </si>
  <si>
    <t>['disuruh', 'update', 'koq', 'ngk', 'dibuka', 'gmna', 'telkomsel', 'bkn', 'jaringan', 'suka', 'lelet', 'gmna', 'ngk', 'dibuka', 'sontoloyo', '']</t>
  </si>
  <si>
    <t>['siang', 'telkomsel', 'aplikasinya', 'buka', 'android', 'tampilan', 'putih', 'doank', 'update', 'parah', 'aplikasi', 'mohon', 'perbaiki', 'kecewa', 'playanan', '']</t>
  </si>
  <si>
    <t>['install', 'seminggu', 'kali', 'appsnya', 'kebuka', 'kebuka', 'layarnya', 'blank', 'putih', 'coba', 'uninstall', 'berulang', 'kali', '']</t>
  </si>
  <si>
    <t>['udah', 'paket', 'mahal', 'sinyal', 'jelek', 'susah', '']</t>
  </si>
  <si>
    <t>['kadang', 'kadang', 'pelayane', 'parah', 'menggangu', 'banget', 'kadang', 'blank', 'harga', 'dratis', 'pakai', 'telkomsel', 'thn', 'satupun', 'bonusan', 'apalah', 'gitu', '']</t>
  </si>
  <si>
    <t>['aplikasinya', 'dibuka', 'mohon', 'dibantu', 'aplikasi', 'normal', 'stuck', 'tampilan', 'layar', 'warna', 'putih', '']</t>
  </si>
  <si>
    <t>['mantap', 'mantul', 'promonya', 'enakk', 'deh', 'mantap', 'abissssss']</t>
  </si>
  <si>
    <t>['knapa', 'aplikasi', 'telkomsel', 'buka', 'kartu', 'telkomsel']</t>
  </si>
  <si>
    <t>['bagus', 'dahhhh']</t>
  </si>
  <si>
    <t>['tingkat']</t>
  </si>
  <si>
    <t>['update', '']</t>
  </si>
  <si>
    <t>['dibuka', 'telkomsel', 'wilayah', 'ternate', 'hapus', 'download', 'lgi', 'ajah', 'dibuka', 'mohon', 'bantuan', '']</t>
  </si>
  <si>
    <t>['kota', 'gratis']</t>
  </si>
  <si>
    <t>['masuk', 'diaplikasi', 'batu', 'install', 'tolong', 'diperbaiki', 'udah', 'bolak', 'install']</t>
  </si>
  <si>
    <t>['harga', 'minngguan', 'gb', 'ribu', 'ribu']</t>
  </si>
  <si>
    <t>['masuk', 'aplikasi', 'mytelkomsel', 'cepat', 'promonya']</t>
  </si>
  <si>
    <t>['isi', 'quota', 'mudah']</t>
  </si>
  <si>
    <t>['knapa', 'buka', '']</t>
  </si>
  <si>
    <t>['keluhan', 'ulasan', 'ulasan', 'pelanggan', 'telkomsel', '']</t>
  </si>
  <si>
    <t>['sinyal', 'bagus', 'selebihnya', 'mantap']</t>
  </si>
  <si>
    <t>['berak', 'taik', 'keras', 'gmn', '']</t>
  </si>
  <si>
    <t>['mantep', 'memudahkan']</t>
  </si>
  <si>
    <t>['kecewa', 'jaringan', 'maen', 'game', 'jelek', 'banget', 'posisi', 'jakarta', 'mohon', 'telkomsel', 'maen', 'game', 'kecewa', 'telkomsel', 'udah', 'harga', 'kuota', 'mahal', 'jaringan', 'jelek', 'mending', 'ganti', 'korban', 'karna', 'banting', 'pas', 'maen', 'game', 'jaringan', 'ngilang']</t>
  </si>
  <si>
    <t>['harga', 'kuota', 'pelanggan', 'setia', 'sendangkan', 'teman', 'make', 'telkomsel', 'cuman', 'nelpon', 'harga', 'kuota', 'murah', 'telkomsel', 'loyal', 'pelangan', 'belasan', 'make', 'telkomsel', 'nomor', 'terbilang', 'gara', 'ganti', 'teman', 'bln', 'make', 'telkomsel']</t>
  </si>
  <si>
    <t>['telkom', 'lag', 'anying', 'udah', 'harga', 'kuotanya', 'lag', 'lancar', 'lag', 'keseringan', 'lag', 'harganya', 'turunin', 'babi', '']</t>
  </si>
  <si>
    <t>['membantu', 'berkualitas']</t>
  </si>
  <si>
    <t>['pikir', 'apknya', 'ddiemin', 'ntar', 'bgus', 'dibuka', 'lgi', 'tpi', 'udh', 'berminggu', 'apknya', 'dibuka', 'telkomsel', 'kenappppaaaaa', 'haahhh', '']</t>
  </si>
  <si>
    <t>['permurah', 'pakrtan']</t>
  </si>
  <si>
    <t>['bayak', 'promo', 'menggoda']</t>
  </si>
  <si>
    <t>['', 'instal', 'blank', 'putih', 'telkomsel', 'buruk', 'banget', 'jaringan', 'lemot', 'internet', 'lihat', 'video', 'status', 'lambat', 'mah', 'telkomsel']</t>
  </si>
  <si>
    <t>['butut', 'sampe', 'zaman', 'android', 'pakai', 'telkomsel', 'bgi', 'telkomsel', 'gendala', 'signal', 'isi', 'ulang', 'dipermudah', 'sample', 'silahkah', 'aploutlah', 'telkomsel', 'udh', 'merasakan', 'manfaatnya']</t>
  </si>
  <si>
    <t>['kak', 'kartu', 'masuk', 'tenggang', 'gimana', 'memperpanjang', 'kartu', 'kak']</t>
  </si>
  <si>
    <t>['kualitas', 'internet', 'jelek', 'bnget', 'mahal', 'pulak']</t>
  </si>
  <si>
    <t>['responnya', 'cepat', 'bamget', '']</t>
  </si>
  <si>
    <t>['kasih', 'bintang', 'karna', 'kecewa', 'banget', 'update', 'mala', 'buka', 'applikasinya']</t>
  </si>
  <si>
    <t>['gurih', 'ajib', 'euy']</t>
  </si>
  <si>
    <t>['woi', 'aplikasi', 'tolol', 'internet', 'orang', 'dibatasin', 'orang', 'belinya', 'uang', 'mahal', 'pulak', 'sok', 'sok', 'lambat', 'dibatasi', 'akses', 'internet', 'tolol', 'emang', 'aplikasi', '']</t>
  </si>
  <si>
    <t>['tuker', 'poin', 'kupon', 'penukaran', 'poin', 'sms', 'kali', 'tukar', 'kupon', 'poin', 'sms', 'poin', 'ditukarkan', 'kemana', 'please', 'membodohi', 'masyarakat', 'mengambil', 'poin', 'alih', 'hangus']</t>
  </si>
  <si>
    <t>['cepat', 'apl', 'buka']</t>
  </si>
  <si>
    <t>['aplikasi', 'dibuka', 'gangguan', 'tolong', 'responnya']</t>
  </si>
  <si>
    <t>['migrasi', 'kartu', 'halo', 'lemod', 'bayarnya', 'mahal', 'migrasi', 'ulang', 'kartu', 'suruh', 'grapari', 'dlu', 'migrasi', 'halo', 'cuman', 'call', 'center', 'bedanya', '']</t>
  </si>
  <si>
    <t>['sya', 'masuk', 'yaa']</t>
  </si>
  <si>
    <t>['gimata', 'buka', 'aplikasinya', 'layar', 'putih', 'doang']</t>
  </si>
  <si>
    <t>['sayah', 'senang', 'telkomsel', 'membantu', 'sssssssssssssssssssss']</t>
  </si>
  <si>
    <t>['perbaiki', 'kasih', 'bintang', 'aplikasi', 'updte', 'jaringan', 'lemot', 'harga', 'trus', 'hilang', 'tower', 'menjulang', 'ditengah', 'desa', '']</t>
  </si>
  <si>
    <t>['anjg', 'knp', 'isi', 'pulsa', 'trus', 'disedot', 'cuman', 'disisain', 'maksutnya', 'gimana', '']</t>
  </si>
  <si>
    <t>['penguna', 'setia', 'telkom', 'perbaikin', 'aplikasinya', 'ngeblank', 'nga', 'kerja', 'bayar', 'mahal', '']</t>
  </si>
  <si>
    <t>['aplikasi', 'bagus', 'informasi', 'penawaran', 'menarik']</t>
  </si>
  <si>
    <t>['knapa', 'telkomsel', 'dibuka', 'layarnya', 'putih', 'doang', 'muncul', 'menunya']</t>
  </si>
  <si>
    <t>['aplikasi', 'cari', 'orang', 'ahli', 'memperbaiki', 'masak', 'sekelas', 'telkomsel', 'memperbaiki']</t>
  </si>
  <si>
    <t>['penukaran', 'poin', 'telkomsel', 'diamond', 'mlbb', '']</t>
  </si>
  <si>
    <t>['knp', 'buka', 'apk', '']</t>
  </si>
  <si>
    <t>['knpa', 'pulsa', 'habis', 'pdhal', 'malem', 'beli', 'pulsa', 'pas', 'cek', 'tinggal', 'pdhal', 'off', 'dta', 'telkomsel', 'alesan', 'knpa', 'pulsa', 'malem', 'kode', 'dial', 'telkomsel', 'bermasalah', 'eror', 'coba', 'berkali', 'tpi', 'hasilnya', 'maunya', 'udah', 'isi', 'pulsa', 'kode', 'dial', 'eror', 'nunggu', 'ampe', 'pagi', 'ilang', 'pulsa', 'tolong', 'cari', 'duit', 'gampang', 'seenak', 'hati', 'ambil', 'pulsa', 'orang', 'nominalnya', 'dikit', 'rugi', 'cari', 'duit', 'mudah', '']</t>
  </si>
  <si>
    <t>['harga', 'kuota', 'mahal', 'dibanding', 'kawanku', 'unlimited', 'harga', 'kawan', 'rebu', 'rebu', 'contok', 'dimana', 'apk', 'mahal', 'dibnding', 'kawan', '']</t>
  </si>
  <si>
    <t>['aplikasi', 'nipu', 'menurud', '']</t>
  </si>
  <si>
    <t>['', 'telkomsel', 'membantu', 'pengguna', 'kartu', 'telkomsel', 'pencarian', 'informasi']</t>
  </si>
  <si>
    <t>['dear', 'telkomsel', 'penyebabnya', 'aplikasi', 'telkomsel', 'dibuka', 'reinstall', 'blank', 'mohon', 'langsung', 'forum', 'pengguna', 'aplikasi', 'mengerti', 'kendalanya', 'bermasalah', 'aplikasi', 'mbak', 'veronika', 'nyambung', 'ribet', '']</t>
  </si>
  <si>
    <t>['aplikasi', 'bagus', 'memudahkan', 'membeli', 'paket', 'internet']</t>
  </si>
  <si>
    <t>['aplikasi', 'samangat', 'membantu', 'keperluan']</t>
  </si>
  <si>
    <t>['komenan', 'ilang', 'komentar', 'paket', 'seluler', 'disediakan', 'lengkap', 'membantu', 'konsumen', 'buka', 'aplikasi', 'bagus', 'membeli', 'paket', '']</t>
  </si>
  <si>
    <t>['pokoke', 'josss', 'suuu']</t>
  </si>
  <si>
    <t>['bida', 'dibuka', 'njirrr']</t>
  </si>
  <si>
    <t>['dipembaharui', 'kebuka', 'bapuk', 'dibuka', 'pembaruan', 'lancar', 'cek', '']</t>
  </si>
  <si>
    <t>['tolong', 'apk', 'sampe', 'telkomsel', 'ribet', 'gini']</t>
  </si>
  <si>
    <t>['gua', 'tukar', 'poin', 'trus', 'gua', 'kumpulin', 'poin', 'langsung', 'dapet', 'hadiah', 'pengundiannya', 'gimna', 'bayak', 'tukarnya']</t>
  </si>
  <si>
    <t>['aplikasinya', 'buka', 'layar', 'putih', 'aplikasi', 'bermasalah', 'tipe', 'mohon', 'penjelasan', 'ato', 'aplikasi', 'hrs', 'update', '']</t>
  </si>
  <si>
    <t>['system', 'auto', 'mati', 'internet', 'paket', 'data', 'habis', 'mengambil', 'pulsa', 'reguler', 'operator', 'sebelah', 'system', 'pelanggan', 'dirugikan', '']</t>
  </si>
  <si>
    <t>['beli', 'paket', 'money', 'dichat', 'disuruh', 'nunggu', 'respon']</t>
  </si>
  <si>
    <t>['knp', 'buka', 'telkomsel', '']</t>
  </si>
  <si>
    <t>['memudah', 'pembelian', 'paket', 'internet', 'pengecekan', '']</t>
  </si>
  <si>
    <t>['jujur', 'blm', 'sebulan', 'udh', 'gila', 'beli', 'pulsa', 'posisi', 'data', 'matiin', 'blm', 'pke', 'ehk', 'pulsa', 'udh', 'beli', 'non', 'paket', 'sisa', 'pulsa', 'ehk', 'potong', 'jdi', 'suka', 'potong', 'nnya', '']</t>
  </si>
  <si>
    <t>['bintang', 'paket', 'unlimited']</t>
  </si>
  <si>
    <t>['paket', 'dri', 'kuras', 'apk', 'salah', 'hutang', 'telkom', '']</t>
  </si>
  <si>
    <t>['diupdate', 'bsa', 'dibuka', 'blank', 'warna', 'putih']</t>
  </si>
  <si>
    <t>['rekomendasi', 'paket', 'combo', 'sakti', 'murah', 'terjangkau', 'paket', 'turunkan', 'harganya', 'harga', 'ribuan', '']</t>
  </si>
  <si>
    <t>['applikasi', 'berguna']</t>
  </si>
  <si>
    <t>['kuota', 'belajar', 'pulsa', 'rp', 'pulsa', 'sedot', 'pulsa', 'kuota', 'belajar', 'kepake', 'aktifin', 'datanya']</t>
  </si>
  <si>
    <t>['tolong', 'murahin', 'paket', 'internet', 'mahal', 'banget', 'paket', 'internet']</t>
  </si>
  <si>
    <t>['harga', 'mahal', 'poin', 'susah', 'dapetnya', 'harga', 'paket', 'menarik', 'sinyal', 'kartu', 'telkomsel', 'bagus', 'pulsa', 'kepotong', 'pitur', 'safe', 'kuota', 'pulsa', 'aman']</t>
  </si>
  <si>
    <t>['buruk', 'isi', 'pulsa', 'didalam', 'paket', 'pulsa', 'kesedot', 'heran', 'namanya', 'pencurian', 'paket', 'gb', 'rb', 'gb', 'rb', 'beli', 'pulsany', 'nanggung', 'woiii', 'udah', 'mahal', 'kebijakan', '']</t>
  </si>
  <si>
    <t>['kali', 'membeli', 'paket', 'murah', 'gagal', 'aktif', 'otomatis', 'menghubungi', 'telkomsel', 'messenger', 'aktif', 'paketx', '']</t>
  </si>
  <si>
    <t>['provider', 'data', 'off', 'sms', 'masuk', 'pulsa', 'maling', 'mulu', 'promo', 'masuk', 'giliran', 'klik', 'promo', 'tersedia', 'dasar', 'provider', 'penipu', 'orang', 'pakai', 'provider', 'tingkah', '']</t>
  </si>
  <si>
    <t>['aplikasi', 'pulsa', 'dana']</t>
  </si>
  <si>
    <t>['njirrrr', 'aplikasi', 'bagus', 'buka', 'gas', 'masuk', 'hadehhh']</t>
  </si>
  <si>
    <t>['pulsa', 'beli', 'paket', 'ditunggu', 'menit', 'udah', 'habis', 'pulsa', '']</t>
  </si>
  <si>
    <t>['jaringan', 'card', 'lbih', 'bgus', '']</t>
  </si>
  <si>
    <t>['update', 'buka', 'aplikasi', 'kecewa', '']</t>
  </si>
  <si>
    <t>['paket', 'unlimited', 'ngaco', 'tetep', 'pulsa', 'sikat', 'dasar', 'serakah', '']</t>
  </si>
  <si>
    <t>['parah', 'udah', 'ngomong', 'deh', 'versi', 'gimana', '']</t>
  </si>
  <si>
    <t>['jaringan', 'perubahan']</t>
  </si>
  <si>
    <t>['bagus', 'bagus', 'bagus', 'bagus', 'bagus', 'bagus']</t>
  </si>
  <si>
    <t>['semoga', 'even', 'saldo', 'bonusnya', 'hilang', 'top', 'diamond', '']</t>
  </si>
  <si>
    <t>['kasih', 'bintang', 'tukerin', 'poin', 'telkomsel', 'pas', 'tukerin', 'poinya', 'game', 'favorit', 'gada', 'frre', 'frie', 'iven', 'poin', 'khusus', 'game', 'online', 'iven', 'tuker', 'poin', 'diamond', 'cover', 'game', 'keren', 'bagus', 'adain', 'ivenya', 'semoga', 'bermanfaat', 'developer', 'telkomsel', 'amin']</t>
  </si>
  <si>
    <t>['dibaca', 'min', 'kartu', 'mahal', 'jaringan', 'parah', 'banget', 'tolong', 'perbaiki', 'pelanggan', 'puas', 'terimakasih', '']</t>
  </si>
  <si>
    <t>['mksih', 'aplikasi', 'byk', 'promo', 'murah', 'smoga', 'tetep', 'sperti', '']</t>
  </si>
  <si>
    <t>['nggak', 'buka']</t>
  </si>
  <si>
    <t>['daerah', 'bekasi', 'setu', 'mati', 'lampu', 'mati', 'data', 'telkomsel', 'ngikutin', 'listrik', 'satelit', 'telkomsel', '']</t>
  </si>
  <si>
    <t>['penawaran', 'bagus']</t>
  </si>
  <si>
    <t>['beli', 'pulsa', 'gada', 'semenit', 'langsung', 'hangus', 'gimana', 'ceritanya', 'min', '']</t>
  </si>
  <si>
    <t>['pulsa', 'kemaling', 'saldo', 'diisi', 'berkurang', 'beli', 'paket', 'pakai', 'pembayaran', 'kyk', 'gopay', 'linkaja', 'shoopepay', 'error', 'aplikasinya', '']</t>
  </si>
  <si>
    <t>['update', 'terbaru', 'menyebabkan', 'aplikasi', 'dibuka', 'samsung', 'android', 'atasi', 'bug', '']</t>
  </si>
  <si>
    <t>['kasih', 'bonus', '']</t>
  </si>
  <si>
    <t>['dibuka', 'layar', 'blank', 'uninstal', 'instal']</t>
  </si>
  <si>
    <t>['mahal', 'paketan', 'kuotanya', 'udah', 'gitu', 'nomor', 'telkomsel', 'kesebar', 'byk', 'sms', 'iklan', 'masuk', 'parah', '']</t>
  </si>
  <si>
    <t>['', 'kasih', 'bintang', 'internet', 'kadang', 'kadang', 'ngelek']</t>
  </si>
  <si>
    <t>['terimakasih', 'telkomsel', 'pelanggan', 'setia', 'kartu', 'telkomsel', 'semoga', 'promo', 'pelanggan', 'murah', 'heheheee']</t>
  </si>
  <si>
    <t>['mudah', 'simpel', 'membantu']</t>
  </si>
  <si>
    <t>['ancur', 'aplikasi', 'telkomsel']</t>
  </si>
  <si>
    <t>['quota', 'sejenis']</t>
  </si>
  <si>
    <t>['kesulitan', 'penambahan', 'kuota', 'butuh', 'halo', 'ndk', 'diapa', 'apakan', 'telp', 'call', 'senter', 'disuruh', 'tunggu', 'jam', 'perbaikan', 'maintenance', 'menangislah', 'ayo', 'ditingkatkan', 'mutunya']</t>
  </si>
  <si>
    <t>['jaringan', 'tingkatkan', 'lelet']</t>
  </si>
  <si>
    <t>['', 'lemot', 'pas', 'buka', 'apk', 'knpa', '']</t>
  </si>
  <si>
    <t>['diperbarui', 'habis', 'dibuka']</t>
  </si>
  <si>
    <t>['ndak', 'dibuka', 'error']</t>
  </si>
  <si>
    <t>['', 'tellkomsel', 'praktis', 'hemat', '']</t>
  </si>
  <si>
    <t>['mudah', 'cek', 'kuota', 'pulsa', '']</t>
  </si>
  <si>
    <t>['mantap', 'semoga', 'lancar', 'transaksi']</t>
  </si>
  <si>
    <t>['goooood', 'jaringan', 'kuat', '']</t>
  </si>
  <si>
    <t>['pulsa', 'kesedot', 'ribuan', 'hadeh', 'coba', 'fitur', 'aman', 'pulsa', 'tenang', 'pakai', 'simpatinya', 'was', 'pulsa', 'habis', 'kezedot', '']</t>
  </si>
  <si>
    <t>['aplikasi', 'bangsaat', 'masuk', 'susah', 'sperti', 'operator', 'bangsaatt', 'mending', 'sim', 'card', 'buang', 'kkenal', 'telkomsel', 'buang', 'buang', 'kuota', '']</t>
  </si>
  <si>
    <t>['login', 'min', 'kali', 'uninstal', 'masuk', 'tolong', 'bantu', 'min', '']</t>
  </si>
  <si>
    <t>['telkomsel', 'bumn', 'kuat', 'sinyal', 'pedalaman', 'jasa', 'seluler', 'bagus', 'telkomsel', 'bagus', 'kartu', 'utama']</t>
  </si>
  <si>
    <t>['aplikasi', 'telkomsel', 'kog', 'sulit', 'loging', 'donwloand', 'hapus', 'berulang', 'kali', 'akses', 'pdhal', 'pakai', 'data', 'pakai', 'wifi', 'akses', '']</t>
  </si>
  <si>
    <t>['jelek', 'ngeblank', 'putih', 'mulu', 'cek', 'kuota', 'ribet', 'mesti', 'kecewa', 'pdahal', 'android', 'terbaru', '']</t>
  </si>
  <si>
    <t>['aplikasi', 'giliran', 'buka', 'buka', 'normal', 'bolak', 'download', 'buka', 'kerjaan', 'telkomsel', 'tolong', 'salah', 'dimana', '']</t>
  </si>
  <si>
    <t>['kualitas', 'terbaik', '']</t>
  </si>
  <si>
    <t>['kecewa', 'telkomsel', 'apps', 'dibuka', 'warna', 'putih', 'doang', 'disayangkan', 'kecewa', 'berat']</t>
  </si>
  <si>
    <t>['aplikasinya', 'bagus', 'paketnya', 'kecewa', 'telkomsel', 'halo', 'konfirmasi', 'main', 'lock', 'kartu', 'ikhlas']</t>
  </si>
  <si>
    <t>['jaringan', 'parah', 'harganya', 'mahal', 'mahal', 'klu', 'jaringannya', 'bgs', 'gpp', '']</t>
  </si>
  <si>
    <t>['game', 'bagus', 'kasih', 'bintang', '']</t>
  </si>
  <si>
    <t>['bagus', 'mudah', 'dioperasikan']</t>
  </si>
  <si>
    <t>['mohon', 'jaringan', 'paketan', 'gamemax', 'diperbaiki', 'main', 'sampek', 'hilang', 'jaringan', 'niat', 'paket', 'customer', 'maksimal', 'terbaik', 'customer', 'malu', 'nama', 'udah', 'provider', 'terbesar', 'indonesia', 'jaringan', 'ngilang', 'paket', 'combo', 'sakti', 'paket', 'khusus', 'sosmed', 'ngelag', 'jaringan', 'terima', 'kasih', 'semoga', 'cepat', 'diperbaiki']</t>
  </si>
  <si>
    <t>['telkomsel', 'sinyal', 'stabil']</t>
  </si>
  <si>
    <t>['aplikasi', 'menyulitkan', 'pelanggan']</t>
  </si>
  <si>
    <t>['udah', 'install', 'uninstall', 'berkali', 'kali', 'ngga', 'dibuka', 'pas', 'dibuka', 'layar', 'putih', 'udh', 'ditunggu', 'masuk', 'masuk', 'gimanasih']</t>
  </si>
  <si>
    <t>['harga', 'paket', 'mahal', 'kuota', 'nonton', 'harap', 'pisahkan', 'kuota', 'utama', '']</t>
  </si>
  <si>
    <t>['cek', 'kuota', 'susah', 'emang', 'sengaja', 'download', 'app', 'abis', 'cek', 'kuota', 'uninstall', '']</t>
  </si>
  <si>
    <t>['telkomsel', 'murah', 'banget']</t>
  </si>
  <si>
    <t>['otp', 'dibilang', 'valid', 'begoooo']</t>
  </si>
  <si>
    <t>['pulsa', 'kesedot', '']</t>
  </si>
  <si>
    <t>['udah', 'update', 'gabisa', 'buka', 'gajelas', 'provider', 'pelanggan', 'platinum', 'gaada', 'benefit', 'ngapain', 'point', 'ujung', 'tukar', 'poin', 'pulsa', 'tolol']</t>
  </si>
  <si>
    <t>['aplikasi', 'bukaa']</t>
  </si>
  <si>
    <t>['telkomsel', 'murah', 'paket', 'kuota', '']</t>
  </si>
  <si>
    <t>['', 'banget', 'telkomsel', 'semoga', 'telkomsel', 'jaya', 'terusss', 'melayani', 'pelanggan', 'fitur', 'fitur', 'menarik', '']</t>
  </si>
  <si>
    <t>['pengalaman', 'sinyalanya', 'jelek']</t>
  </si>
  <si>
    <t>['aplikasi', 'telkomsel', 'buka', 'beli', 'paket', 'cek', 'kuota', 'daily', 'cek', 'telkomsel', 'kecewa', 'berpikir', 'tuk', 'operator']</t>
  </si>
  <si>
    <t>['tgl', 'paket', 'data', 'peringatan', 'data', 'paket', 'internet', 'jangka', 'semalam', 'langsung', 'hilang', 'pulsa', '']</t>
  </si>
  <si>
    <t>['telkomsel', 'knpa', 'yaa', 'sya', 'buka', 'aplikasi', 'ngeblank', 'putih', 'kebuka', 'hadeeeeeeuuhhh', '']</t>
  </si>
  <si>
    <t>['dibuka', 'aplikasinya', 'sihhh']</t>
  </si>
  <si>
    <t>['paket', 'lengkap', 'pilihan']</t>
  </si>
  <si>
    <t>['', 'date', 'buka', 'taik', '']</t>
  </si>
  <si>
    <t>['uptude', 'eror', 'gimana', 'jaringan', 'hilang', 'hilang', 'apasih', 'telkomsel', '']</t>
  </si>
  <si>
    <t>['aplikasinya', 'dibuka', 'udah', 'diuninstal', 'diinstal', 'tetep', 'dibuka']</t>
  </si>
  <si>
    <t>['tolong', 'solusinya', 'knpa', 'tukar', 'point', 'gagal', 'trus', '']</t>
  </si>
  <si>
    <t>['aplikasinya', 'telkomsel', 'payah', 'komplain', 'via', 'twet', 'gunannya', 'solusi', 'smpe', 'balas', 'komplain', '']</t>
  </si>
  <si>
    <t>['sagat', 'bermanpa']</t>
  </si>
  <si>
    <t>['blm', 'mengerti', 'knp', 'ngep', 'ngep']</t>
  </si>
  <si>
    <t>['kuota', 'multimedia', 'lelet', 'mending', 'skalian', 'dikasih', 'kuota', 'multimedia', 'pda', 'diphp', 'kuota']</t>
  </si>
  <si>
    <t>['point', 'tukerin', 'call', 'duty', 'tolong', 'dibenarkan']</t>
  </si>
  <si>
    <t>['idih', 'koment', 'bintang', 'aplikasi', 'parah', 'curang', 'fak', 'telosel', '']</t>
  </si>
  <si>
    <t>['aplikasi', 'dibuka', 'putih', 'update', 'dibuka', 'update', 'sampah', '']</t>
  </si>
  <si>
    <t>['mempermudah', 'komunikasi']</t>
  </si>
  <si>
    <t>['enak', 'harga', 'paketan', 'turunin', 'masak', 'bulangnya', 'harganya', 'ayolah', 'merakyat', 'mesultan', '']</t>
  </si>
  <si>
    <t>['amplikasi', 'bagus', 'membantu']</t>
  </si>
  <si>
    <t>['knp', 'aplikasi', 'dibuka', 'knpnpaket', 'data', 'bntu', 'org', 'rugi', 'ampun', 'deh', '']</t>
  </si>
  <si>
    <t>['tolong', 'metode', 'pembayarannya', 'perbaiki', 'pembayaran', 'tolong', 'notifikasi', 'persetujuan', 'uji', 'coba', 'youtube', 'premium', 'gratis', 'pesan', 'masuk', 'membeli', 'youtube', 'premium', 'pulsa', 'terpotong', 'persetujuan', 'tolong', 'perbaiki', 'terimakasih', '']</t>
  </si>
  <si>
    <t>['tampilan', 'mudah', 'akses']</t>
  </si>
  <si>
    <t>['terimakasih', 'mytelkomsel', 'puas', 'program', 'layanannya', 'ditingkatkan', '']</t>
  </si>
  <si>
    <t>['meningkatkan', 'pengalaman', 'tantangan', 'dlm', 'berinovasi', 'era', 'digital', 'membantu']</t>
  </si>
  <si>
    <t>['tolong', 'harga', 'paketnya', 'dinaikkan', 'harganya', 'malu', 'maluin', 'negara', 'sebelah']</t>
  </si>
  <si>
    <t>['komen', 'baca', 'malu', 'udah', 'ketauan', 'nipunya', 'telkomsel', 'emang', 'tukang', 'nipu', '']</t>
  </si>
  <si>
    <t>['tolong', 'tingkatkan', 'jaringannya', 'lelet']</t>
  </si>
  <si>
    <t>['kuota', 'byk', 'jaringan', 'jelek', 'udah', 'mahal', 'jaringan', 'jelek', 'tolong', 'perbaiki', 'mahalnya', 'pindah', 'sebelah', 'nnti']</t>
  </si>
  <si>
    <t>['sya', 'puas', 'pelayanan', 'mytelkomsel']</t>
  </si>
  <si>
    <t>['kesini', 'signalnya', 'buruk', 'kuota', 'kepake', 'karrna', 'sinyalnya', 'gabisa', 'ajak', 'kompromi', 'udah', 'provider', 'srkarang', 'tolong', 'perbaiki', 'mengecewakan']</t>
  </si>
  <si>
    <t>['menginstal', 'perangkat', 'reset', 'pabrik']</t>
  </si>
  <si>
    <t>['pulsa', 'termakan', 'tolong', 'kasih', 'lock', 'jaringan', '']</t>
  </si>
  <si>
    <t>['', 'telkosel', 'buka']</t>
  </si>
  <si>
    <t>['puas', 'pelayanan', 'telkomsel']</t>
  </si>
  <si>
    <t>['pas', 'buka', 'aplikasi', 'lyr', 'putihh', 'mulu', 'trus', 'tulisan', 'aplikasi', 'merespon']</t>
  </si>
  <si>
    <t>['mudah', 'cepat']</t>
  </si>
  <si>
    <t>['udah', 'pasang', 'copot', 'aplikasi', 'dikarnakan', 'kebuka', 'udh', 'nunggu', 'menit', 'ttp', 'layar', 'putih', 'blank', 'taiklah', '']</t>
  </si>
  <si>
    <t>['layanan', 'cepat']</t>
  </si>
  <si>
    <t>['', 'telkomsel', 'buka', 'min', 'hapus', 'chache', 'restar', 'ulang', 'tetep', 'buka', 'mohon', 'infonya', '']</t>
  </si>
  <si>
    <t>['susah', 'login', 'sel', 'gadget', 'kirim', 'link', 'via', 'sms', 'password', 'otp', '']</t>
  </si>
  <si>
    <t>['serasa', 'simple', '']</t>
  </si>
  <si>
    <t>['kecewa', 'aplikasi', 'jaringan', 'lelet', 'pulsa', 'ditarik', 'menelpon', 'nomor', 'dikenal', 'menelpon', 'nomor', 'negeri', 'arab', 'saudi', 'afganistan', 'sungguh', 'aneh', 'ganti', 'kartu', '']</t>
  </si>
  <si>
    <t>['membantu', 'bagus', 'aplikasinya']</t>
  </si>
  <si>
    <t>['telkomsel', 'mantaf', 'hati', 'rugi']</t>
  </si>
  <si>
    <t>['waaaw', 'harga', 'paketnya', 'murah', 'banget', 'suka', '']</t>
  </si>
  <si>
    <t>['kesulitan', 'cari', 'fitur', 'paker', 'nelpon']</t>
  </si>
  <si>
    <t>['menarik', 'usefull', 'beli', 'paket', 'mudah', 'banget']</t>
  </si>
  <si>
    <t>['membantu', 'mempermudah', 'bertransaksi', 'hadiah', 'bonusnya', 'lohh', 'trimakasi', 'telkomsel']</t>
  </si>
  <si>
    <t>['apknya', 'rusak', 'dibuka']</t>
  </si>
  <si>
    <t>['kenaikan', 'harga', 'paket', 'internet', 'cepat', 'kesal', '']</t>
  </si>
  <si>
    <t>['internet', 'lancar', 'harga', 'oke', 'super', 'deal', '']</t>
  </si>
  <si>
    <t>['seminggu', 'masuk', 'aplikasi', 'disuguhkan', 'layar', 'putih', 'blank', 'dicoba', 'uninstall', 'install', 'sampe', 'tetep', 'layar', 'blank', 'putih']</t>
  </si>
  <si>
    <t>['', 'kasih', 'bintang', 'karna', '']</t>
  </si>
  <si>
    <t>['update', 'bsa', 'dbuka', 'pulsa', 'hilang', 'trus']</t>
  </si>
  <si>
    <t>['pembelian', 'paket', 'telkomsel', 'harganya', 'miring', 'fitur', 'daily', 'check', 'bermanfaat']</t>
  </si>
  <si>
    <t>['telkomsel', 'benakku', '']</t>
  </si>
  <si>
    <t>['diperbarui', 'aplikasi', 'dibuka', 'lgi', 'buka', 'cuman', 'layar', 'putih', 'udh', 'dicoba', 'unistall', 'tpi']</t>
  </si>
  <si>
    <t>['sukse']</t>
  </si>
  <si>
    <t>['tolong', 'perbaiki', 'sinyalnya', 'bagus']</t>
  </si>
  <si>
    <t>['kasih', 'bintang', 'coba', 'kwalitas', 'penawaran', 'superdealnya', '']</t>
  </si>
  <si>
    <t>['mohon', 'tingkatkan', 'kualitas', 'jaringan']</t>
  </si>
  <si>
    <t>['beli', 'kuota', 'maxtream', 'deskripsi', 'tertera', 'aplikadi', 'streaming', 'ketiga', 'motong', 'kuota', 'utama', 'kali', 'nonton', 'heran', 'kuota', 'beli', 'haduhhh']</t>
  </si>
  <si>
    <t>['aplikasinya', 'ngga', 'buka', 'jelekkkkkk', 'bangetttttttttttttt', 'buka', 'ngga', 'muncul', 'gambarnya', 'warna', 'putih', 'muluuuuu']</t>
  </si>
  <si>
    <t>['terimakasih', 'apk', 'bagus', 'mudah', 'mendaftar', 'internet', 'bonus', 'diskon', 'aki', 'kasih', 'rating']</t>
  </si>
  <si>
    <t>['bermanfaat', 'ngetik', 'kode', 'angka']</t>
  </si>
  <si>
    <t>['', 'telkomsel', 'the', 'best', 'pelanggan', 'puluhan', '']</t>
  </si>
  <si>
    <t>['bagus', 'hadiah']</t>
  </si>
  <si>
    <t>['kmren', 'smpe', 'kamis', 'desember', 'knpa', 'nukerin', 'kouta', 'gratis', 'lancar', '']</t>
  </si>
  <si>
    <t>['aplikasi', 'buka', 'tolong', 'bantu', 'kak', '']</t>
  </si>
  <si>
    <t>['maksimal', 'pelayanan']</t>
  </si>
  <si>
    <t>['mohon', 'bantuannya']</t>
  </si>
  <si>
    <t>['', 'ajib', '']</t>
  </si>
  <si>
    <t>['semoga', 'ditingkatkan', '']</t>
  </si>
  <si>
    <t>['mntap', 'brkualitaslah', 'pokoknyaaaaaaaa']</t>
  </si>
  <si>
    <t>['mohon', 'maap', 'kak', 'sinyalnya', 'jelek', 'bnget', 'kyk', 'hutan', 'gini']</t>
  </si>
  <si>
    <t>['memudahkan', 'pelanggan']</t>
  </si>
  <si>
    <t>['emnk', 'babi', 'masi', 'bnyak', 'kuota', 'game', 'tpi', 'leg']</t>
  </si>
  <si>
    <t>['aplikasi', 'kebanyakan', 'bohongnya', 'poin', 'ditukar', 'kouta', 'internet', 'berkali', 'kali', 'coba', 'menukar', 'poin', 'gimana', '']</t>
  </si>
  <si>
    <t>['semoga', 'dapet', 'hadiah', 'amin', 'allah']</t>
  </si>
  <si>
    <t>['promo', 'paket', 'lgi']</t>
  </si>
  <si>
    <t>['mahal', 'doang', 'kulitas', 'sinyal', 'jelek', 'emoai', 'maem', 'game']</t>
  </si>
  <si>
    <t>['pembayaran', 'pembelian', 'paket', 'data', 'internet', 'gangguan', 'tolong', 'benahi']</t>
  </si>
  <si>
    <t>['berulang', 'kali', 'uninstall', 'install', 'muncul', 'layar', 'putih', 'hapus', 'data', 'cache', 'uninstall', 'zonk', 'bosq', 'ajalah', '']</t>
  </si>
  <si>
    <t>['paketan', 'pulsa', 'terpotong', 'kemana', 'pulsa', '']</t>
  </si>
  <si>
    <t>['min', 'jaringan', 'telkom', 'lelet', 'harga', 'paket', 'mahal', 'perbaiki', 'jaringan', 'min', '']</t>
  </si>
  <si>
    <t>['sinyal', 'udah', 'jelek', 'perubahan']</t>
  </si>
  <si>
    <t>['android', 'layar', 'putih', 'istri', 'android', 'jelek', 'telkomsel']</t>
  </si>
  <si>
    <t>['tolong', 'sinyal', 'perbaikin', 'sinyal', 'ngelag', '']</t>
  </si>
  <si>
    <t>['afk', 'berguna']</t>
  </si>
  <si>
    <t>['sangatt', 'mantapppp', 'lebihhhh', 'okeyyy', 'terbantu', 'genting']</t>
  </si>
  <si>
    <t>['knapah', 'buka', 'aplikasi', 'nyah', 'mohon', 'info', 'nyah']</t>
  </si>
  <si>
    <t>['telcomsel', 'segi', 'pelayanan']</t>
  </si>
  <si>
    <t>['isi', 'pulsa', 'ribu', 'kepotong', 'ribu', 'padalah', 'pakai', 'paket', 'darurat', 'ambil', 'seenak', 'maksud', 'telkomsel', '']</t>
  </si>
  <si>
    <t>['min', 'unlimited', 'batas', 'namanya', 'unlimited', 'hamdehh', 'mahal', 'nge', 'lag', 'pulak', 'bintang', '']</t>
  </si>
  <si>
    <t>['mantap', 'pokok', 'tukar', 'koin', 'infak', 'koin', 'pengaturan', 'nominal', 'mudah']</t>
  </si>
  <si>
    <t>['woiii', 'komenan', 'ilang', 'aneh', 'isi', 'ulasan', 'keluhan', 'pasang', 'bintang', 'renting', 'beli', 'renting', 'telkomsel', 'benarin', 'jaringan', 'vangke', 'awas', 'sampe', 'ilang', 'komenan', '']</t>
  </si>
  <si>
    <t>['mohon', 'maap', 'sayah', 'peguna', 'telkomsel', 'mohon', 'perbaiki', 'jaringan', 'sayah', 'udah', 'beli', 'paket', 'mahal', 'jaringan', 'tida', 'setabil', 'maau', 'cek', 'paket', 'jga', 'susah', 'masuk']</t>
  </si>
  <si>
    <t>['jaringan', 'telkomsel', '']</t>
  </si>
  <si>
    <t>['jaringan', 'stabil', 'ping', 'enak', 'bagus', 'game', 'mahal', 'dikit', 'gpp', 'pnting', 'kyk', 'kluarga', 'engsel', 'aziz', 'gaptek', 'udah', 'mahal', 'ngelag', 'gangguan', 'malem', 'hdehhh']</t>
  </si>
  <si>
    <t>['warga', 'aceh', 'aceh', 'timur', 'khusus', 'bagok', 'kecewe', 'layanan', 'telkomsel', 'sabar', 'layanan', 'buruk', 'kunjung', 'buruk', 'pindah', 'kartu', 'prabayar', 'kecewa', 'layanan', 'telkomsel', '']</t>
  </si>
  <si>
    <t>['gimana', 'sms', 'muncul', 'muncul']</t>
  </si>
  <si>
    <t>['sinyal', 'simpati', 'skrng', 'lelet', 'tolong', 'perbaiki', 'udah', 'enak', 'sinyalnya', 'nnti', 'bintan', '']</t>
  </si>
  <si>
    <t>['', 'baguslah', '']</t>
  </si>
  <si>
    <t>['mendadak', 'akses', 'blank', 'bolak', 'uninstall', 'install', 'aplikasi', '']</t>
  </si>
  <si>
    <t>['', 'lamban', 'respon', 'tanggapan']</t>
  </si>
  <si>
    <t>['perbaharui', 'aplikasi', 'ngga', 'buka', 'kesini', 'telkomsel', 'bagus', 'jelek']</t>
  </si>
  <si>
    <t>['ngeblank', 'diupdate', 'dibuka', 'hbs', 'diupdate', 'dibuka']</t>
  </si>
  <si>
    <t>['telkomsel', 'ngeleg', 'mulu', 'main', 'game', 'kaga', 'lancar', 'banget', 'leg']</t>
  </si>
  <si>
    <t>['dibuka', 'udah', 'unistal', 'donwload', 'gambar', 'cuman', 'putih', 'doang', 'jaringan', 'full', 'buka', 'app', 'lancar']</t>
  </si>
  <si>
    <t>['tolong', 'perbaiki', 'sinyalnya', 'lelet', 'lemot', 'terimakasih']</t>
  </si>
  <si>
    <t>['waaww', 'keren']</t>
  </si>
  <si>
    <t>['memudahkan', 'beli', 'kuota', 'transfer', 'pulsa']</t>
  </si>
  <si>
    <t>['cek', 'pulsa', 'belanja', 'kuota', 'branda', 'bleng', 'mohon', 'penjelasannya', 'terimaksih']</t>
  </si>
  <si>
    <t>['gimana', 'telkomsel', 'jaringannya', 'parah', 'banget', 'pakai', 'sim', 'kartu', 'hallo', 'tinggal', 'kepake', 'unlimetednya', 'udah', 'unlimitednya', 'kepake', 'trus', 'sim', 'leletnya', 'parah', 'banget', 'kuotanya', 'padhal', 'sim', 'kmren', 'gini', 'skrng', 'lelet', 'parah', 'perbaiki', 'jaringanya', 'paaarrraaaaaaaaaaah']</t>
  </si>
  <si>
    <t>['poin', 'udh', 'pas', 'tukar', 'sistem', 'sibuk', 'jdi', 'bintang', 'stu', 'nga', 'jujur']</t>
  </si>
  <si>
    <t>['', 'tlkomsel', 'mbntu', 'drurat', 'khota', 'pinjm', '']</t>
  </si>
  <si>
    <t>['mahal', 'doang', 'sinyalnya', 'jelek']</t>
  </si>
  <si>
    <t>['coba', 'undian']</t>
  </si>
  <si>
    <t>['', 'jaringannya', 'mantap', 'kali', 'adakan', 'promo', 'paketan', 'murah']</t>
  </si>
  <si>
    <t>['aplikasi', 'dibuka', 'versi', 'memaksimalkan', 'ndasmu', 'pecah', '']</t>
  </si>
  <si>
    <t>['login', 'cepet', 'kasih', 'bintang', 'fulll', 'sukses', '']</t>
  </si>
  <si>
    <t>['jaringan', 'perbaiki', 'harga', 'jaringan', 'stabil', 'jakarta', 'jaringan', 'stabil']</t>
  </si>
  <si>
    <t>['mantap', 'bermanfaat']</t>
  </si>
  <si>
    <t>['beli', 'paket', 'masuk', 'lemot', 'proses', 'pembelian', 'paket', 'datanya', '']</t>
  </si>
  <si>
    <t>['naek', 'versi', 'koq', 'nge', 'bug', 'dibuka']</t>
  </si>
  <si>
    <t>['kecewa', 'berat', 'telkomsel', 'beli', 'kuota', 'apk', 'proses', 'masuknya', 'jam', 'pulsanya', 'ngurang', 'niat', 'jualan', 'kuota']</t>
  </si>
  <si>
    <t>['paket', 'gratis', 'murah', '']</t>
  </si>
  <si>
    <t>['bagus', 'hadiah', 'undian', 'berhadiah']</t>
  </si>
  <si>
    <t>['dibuka', 'aplikasinya', 'mggan', '']</t>
  </si>
  <si>
    <t>['telkomsel', 'parah', 'bonus', 'sms', 'pulsanya', 'sedot', 'gimana', '']</t>
  </si>
  <si>
    <t>['jelek', 'jaringan', 'hilang', 'kecewa']</t>
  </si>
  <si>
    <t>['tolol', 'pulsa', 'konter', 'berhasil', 'masok', 'udah', 'kek', 'gini', 'makan', 'pajak', 'pulsa', 'isi', 'masok', 'pas', 'tanyak', 'veronica', 'pap']</t>
  </si>
  <si>
    <t>['parah', 'udah', 'harga', 'paketan', 'mahal', 'sinyal', 'lemot', 'rugi', 'banget', 'telkomsel', 'terlanjur', 'nomer', 'kantornya', 'solusi', 'mohon', 'perbaiki']</t>
  </si>
  <si>
    <t>['jaringan', 'tertolol', 'didunia', 'harga', 'doang', 'sultan', 'jaringan', 'kayak', 'sampah', 'cuihhhh', 'nyesel', 'telkomsel', 'jaringan', 'kena', 'hujan', 'ilang', 'jaringan', 'sampah', 'cuih', 'untung', 'kasih', 'bintang', 'cuihh', 'jaringan', 'nyesel', 'beli', 'kartu', 'luuu']</t>
  </si>
  <si>
    <t>['pelayanan', 'pilihan', 'product', '']</t>
  </si>
  <si>
    <t>['min', 'telkomsel', 'pas', 'buka', 'ngeblank', 'putih', 'masuk', 'masuk', 'udah', 'uninstal', 'berkali', 'kali', 'sinyal', 'bagus', 'taoi', 'ngeblank', 'putih', 'gitu', 'masuk', 'masuk', 'aplikasi', 'gimana', '']</t>
  </si>
  <si>
    <t>['petugas', 'operator', 'betugas', 'aplikasi', 'veronica', 'slow', 'respon', 'banget', 'skalinya', 'uda', 'ajukan', 'profesional']</t>
  </si>
  <si>
    <t>['', 'telkomsel', 'apk', 'terbaru', 'terupdet', 'payah', 'banget']</t>
  </si>
  <si>
    <t>['kecewa', 'jaringan', 'suka', 'down']</t>
  </si>
  <si>
    <t>['ndk', 'tempet', 'minjem', 'pulsa', 'kuota']</t>
  </si>
  <si>
    <t>['mudah', 'beli', 'fisini']</t>
  </si>
  <si>
    <t>['harga', 'paket', 'mahal', 'kualitas', 'jaringan', 'burukk', 'parah', 'mending', 'pindah', 'kartu']</t>
  </si>
  <si>
    <t>['ngebleng', 'putih', 'pas', 'buka']</t>
  </si>
  <si>
    <t>['apliaksi', 'jelass']</t>
  </si>
  <si>
    <t>['mahal', 'oke', '']</t>
  </si>
  <si>
    <t>['cocok', 'telkomsel']</t>
  </si>
  <si>
    <t>['nyesel', 'update', 'blank', 'putih', 'udah', 'hapus', 'cache', 'data', 'udah', 'reinstall', 'ulang', 'tetep', 'buka']</t>
  </si>
  <si>
    <t>['seneng', 'banget', 'telkoksel', 'bagus', 'jaringan', 'cuman', 'kunci', 'pulsa', 'bawa', 'data', 'soluler', 'next', 'update', 'kasih', 'fitur', 'kunci', 'pulsa']</t>
  </si>
  <si>
    <t>['aneh', 'yaa', 'oppo', 'ram', 'dowload', 'aplikasi', 'pdhal', 'kemaren', 'uda', 'pas', 'upgrade', 'gerak', 'aplikasi']</t>
  </si>
  <si>
    <t>['sekaranv', 'terbaik']</t>
  </si>
  <si>
    <t>['harga', 'paket', 'udah', 'jaringannya', 'stabil', 'parah', 'bangeett', '']</t>
  </si>
  <si>
    <t>['aduh', 'ber', 'kali', 'kali', 'download', 'terbuka', 'aplikasinya']</t>
  </si>
  <si>
    <t>['makasih', 'semoga', 'dapet', 'diamond']</t>
  </si>
  <si>
    <t>['jaringan', 'parah', 'kaya', 'lancar', 'jaya']</t>
  </si>
  <si>
    <t>['telkomsel', 'pembodohan', 'publik', 'bayar', 'mahal', 'jaringan', 'lelet', '']</t>
  </si>
  <si>
    <t>['aplikasi', 'buka', 'sinyal', 'bagus']</t>
  </si>
  <si>
    <t>['', 'masuk', 'aplikasi', 'aneh', 'banget', 'stak', 'putih']</t>
  </si>
  <si>
    <t>['min', 'tlng', 'perbaiki', 'versi', 'terbaru', 'login', '']</t>
  </si>
  <si>
    <t>['kuota', 'abis', 'tolong', 'info', 'pulsa', 'kepotong', 'tolong', 'perbaiki', 'kuota', 'abis', 'internet', 'dioff', 'sajaa', 'potong', 'pulsa', 'rbb', 'tolong', 'diperbaiki', 'kecewa']</t>
  </si>
  <si>
    <t>['aneh', 'banget', 'isi', 'pulsa', 'beli', 'paket', 'money', 'gaada', 'udah', 'gitu', 'harga', 'paket', 'suka', 'berubah', 'ubah']</t>
  </si>
  <si>
    <t>['aplikasi', 'dibuka', 'install', 'pajangan', 'kah', 'menuhin', 'penyimpanan', 'doang', '']</t>
  </si>
  <si>
    <t>['harga', 'paket', 'mahal', 'bet', 'babi', 'provider', 'pelit', 'ngntt']</t>
  </si>
  <si>
    <t>['', 'kota', 'kecewa', 'jaringan', 'jaringan', 'lambat', 'lag', '']</t>
  </si>
  <si>
    <t>['aplikasi', 'bagus', 'sinyal', 'kek', 'badut']</t>
  </si>
  <si>
    <t>['eror', 'buka']</t>
  </si>
  <si>
    <t>['aplikasi', 'ssngat', 'membantu', 'ribet']</t>
  </si>
  <si>
    <t>['aplikasi', 'telkomsel', 'akses', 'eror', 'gegara', 'jebak', 'beli', 'paket', 'tulisan', 'atasnya', 'bulanan', 'sms', 'beli', 'paket', 'mingguan', 'disisipkan', 'tagline', 'paket', 'bulanan', 'apes', 'deh', '']</t>
  </si>
  <si>
    <t>['sinyal', 'desa', 'sadai', 'jelek']</t>
  </si>
  <si>
    <t>['app', 'mantap', 'mantap', 'hadiah', '']</t>
  </si>
  <si>
    <t>['harga', 'bersaing', 'operator']</t>
  </si>
  <si>
    <t>['tolong', 'perbaiki', 'buka', 'aplikasi', 'telkomsel', 'cumang', 'putih', 'doang', 'layarnya', 'device', 'samsung', '']</t>
  </si>
  <si>
    <t>['beli', 'kuota', 'promo', 'gb', 'rb', 'doang', 'tpi', 'sehari', 'sinyal', 'udh', 'lelet', 'boong', 'habis', 'penipuuuuuuu']</t>
  </si>
  <si>
    <t>['coba', 'kasih', 'bagus', 'kasih', 'bintang']</t>
  </si>
  <si>
    <t>['enak', 'cek', 'saldo', 'kuota', 'bxk', 'penawaran', 'menarik', '']</t>
  </si>
  <si>
    <t>['aplikasi', 'blang', 'buka', 'buka', 'aplikasi', 'mytelkomsel', 'langsung', 'blang', 'putih', 'layar', 'menu', 'pilih', 'paket', 'paket']</t>
  </si>
  <si>
    <t>['', 'buka', 'app', 'hadeeh', '']</t>
  </si>
  <si>
    <t>['app', 'telkomsel', 'buka', 'screen', 'putih', 'mulu', 'minggu']</t>
  </si>
  <si>
    <t>['aplikasi', 'berguna', 'donwload', 'apk', 'nyesek', 'buka', 'pelangganyg', 'lainya', 'berpida', 'operator', 'tolng', 'cepet', 'peraiki', 'pelanggan', 'telkomsel', 'kabur']</t>
  </si>
  <si>
    <t>['kartu', 'tolol', 'kaya', 'babi']</t>
  </si>
  <si>
    <t>['ngasih', 'bonus', 'pemotongan', 'kuota', 'murah', 'terimakasih', 'telkomsel', 'semoga', 'sukses', 'jaya', 'undian', 'hepi', 'telkomsel', 'hadiah', 'penukaran', 'poin']</t>
  </si>
  <si>
    <t>['pokoknya']</t>
  </si>
  <si>
    <t>['telkomsel', 'jelek', 'sinyalnya', 'full', 'kualitasnya', 'gaada']</t>
  </si>
  <si>
    <t>['pulsa', 'darurat', 'pulsa', 'darurat', 'diadain', 'nnti', 'kasih', 'bintang', 'pulsa', 'darurat', 'mhon', 'maaf', 'tetep', 'bintang', 'terima', 'kasih', '']</t>
  </si>
  <si>
    <t>['lelet', 'maaf', 'kurangi', 'bintang']</t>
  </si>
  <si>
    <t>['buka', 'aplikasi', 'telkomsel']</t>
  </si>
  <si>
    <t>['versi', 'terbaru', 'dibuka', 'samsung', 'galaxi', '']</t>
  </si>
  <si>
    <t>['apalkasi', 'berguna', 'banget']</t>
  </si>
  <si>
    <t>['', 'bukak', 'parah', 'kecewa']</t>
  </si>
  <si>
    <t>['tolong', 'jaringan', 'daerah', 'bahodopi', 'morowali', 'perbaiki', 'min', 'gangguan', 'bnyak', 'pengguna', 'mohon', 'tinjak', 'lanjuti']</t>
  </si>
  <si>
    <t>['suka', 'aplikasi', '']</t>
  </si>
  <si>
    <t>['kartu', 'cepat', 'jaringan', 'boong', 'kya', 'siput']</t>
  </si>
  <si>
    <t>['', 'murah', 'mahal', 'cepet']</t>
  </si>
  <si>
    <t>['alhamdulillah', 'gara', 'update', 'palah', 'buka', 'untung', 'teman', 'versi', 'semoga', 'telkomsel', '']</t>
  </si>
  <si>
    <t>['tolong', 'sinyal', 'perbaiki', 'dikota', 'sinyalnya', 'lelet']</t>
  </si>
  <si>
    <t>['mytelkomsel', 'hemat', 'mura']</t>
  </si>
  <si>
    <t>['telkomsel', 'licik', 'paketan', 'harga', 'pulsa', 'pulsa', 'lebihnya', 'potong', 'paket', 'rb', 'hrs', 'beli', 'pulsa', 'rb', 'rb', 'kepotong', 'jls', 'paketan', 'lainny', 'rb', 'nominal', 'pulsa', '']</t>
  </si>
  <si>
    <t>['banyakin', 'promo', 'kuota', 'pelanggan', 'terpuaskan']</t>
  </si>
  <si>
    <t>['kecewa', 'isi', 'pulsa', 'beli', 'paket', 'koin', 'telkomsel', 'bertambah', 'mengecewakan']</t>
  </si>
  <si>
    <t>['knp', 'tsel', 'skrg', 'sinyalnya', 'suka', 'jelek', '']</t>
  </si>
  <si>
    <t>['diupdate', 'blank', 'putih', 'muncul', 'niat', 'memperbaiki', 'merusak', 'aplikasi', '']</t>
  </si>
  <si>
    <t>['peningkatan', 'jaringan']</t>
  </si>
  <si>
    <t>['telkomsel', 'sinyal', 'kaya', 'anjink']</t>
  </si>
  <si>
    <t>['habis', 'update', 'kaga', 'masuk', 'lgi', 'cuman', 'layar', 'putih']</t>
  </si>
  <si>
    <t>['mendukung', 'telkomsel', 'dlm', 'memperluas', 'komunikasi']</t>
  </si>
  <si>
    <t>['aplikasi', 'buka', 'muncul', 'warna', 'putih', 'doank', 'udh', 'hapus', 'download', 'ajj', 'warna', 'putih', 'muncul', 'auto', 'uninstall']</t>
  </si>
  <si>
    <t>['buruk', 'jaringan', 'cek', 'perbaikii', 'daerah', 'sidoarjoo', 'kecptan', 'down', 'mbps', 'beneran', 'huuhhhh']</t>
  </si>
  <si>
    <t>['jdlek', 'macet', 'trs', '']</t>
  </si>
  <si>
    <t>['kasih', 'bintang', 'tolong', 'tambahkan', 'fitur', 'kunci', 'pulsa', 'aplikasi', 'telkomsel', 'biyar', 'pas', 'kuota', 'habis', 'kepotong', 'contoh', 'kaya', 'aplikasi', 'axis', 'udah', 'fitur', 'kunci', 'pulsa', '']</t>
  </si>
  <si>
    <t>['kelar', 'tolong', 'aplikasi', 'bener', 'mempermudah', 'bayak', 'kendala', 'akses', 'blank', 'page']</t>
  </si>
  <si>
    <t>['knp', 'jdi', 'jlek', 'buka', 'update', 'bkn', 'nmbh', 'bgus', 'prah']</t>
  </si>
  <si>
    <t>['membantu', 'harga', 'murahkan', '']</t>
  </si>
  <si>
    <t>['aplikasi', 'telkomsel', 'buka', 'telkomsel', 'kesini', 'parah', 'harga', 'paket', 'mahal', 'kualitas', 'buruk', 'lelet', '']</t>
  </si>
  <si>
    <t>['masuk', 'aplikasi', 'telkomsel', 'susah', 'banget', 'kak', 'beli', 'kuota', 'telkomsel', 'murah', 'pisan']</t>
  </si>
  <si>
    <t>['aplikasinya', 'dibuka', 'jaringan', 'eror', 'jaringannya', 'hilang', 'hilang', 'kek']</t>
  </si>
  <si>
    <t>['pulsa', 'gua', 'kepotong', 'pepek', 'telkomsel', 'pepek', 'muka', 'kaya', 'pepek', 'asw', 'anjeng', '']</t>
  </si>
  <si>
    <t>['puas', 'membantu']</t>
  </si>
  <si>
    <t>['knp', 'jaringannya', 'lemot', 'skali', 'rela', 'bayar', 'mahal', 'jaringan', 'bgus', 'gini', 'boong', 'mending', 'beralih', 'operator', 'bagus', 'jaringan']</t>
  </si>
  <si>
    <t>['pas', 'dicek', 'harga', 'paket', 'ribu', 'pas', 'isi', 'pulsa', 'harga', 'internet', 'ribett']</t>
  </si>
  <si>
    <t>['jaringan', 'telkomsel', 'samakin', 'parah']</t>
  </si>
  <si>
    <t>['telkomsel', 'kacau', 'parah', 'pulsa', 'kesedot', 'log', 'app', 'gagal', 'mengecewakan', 'telkomsel']</t>
  </si>
  <si>
    <t>['telkomsel', 'beli', 'paket', 'data', 'nge', 'lag', 'trus', 'yachhhh', 'kadang', 'sampek', 'kesel', 'lng', 'teluknaga', 'jaringan', 'bagus', 'lgi', 'enggk', 'sya', 'bli', 'telkomsel', 'lagiiiiiiii', 'awas', 'yachhh', '']</t>
  </si>
  <si>
    <t>['instal', 'buka', '']</t>
  </si>
  <si>
    <t>['sinyal', 'internet', 'telkomsel', 'smakin', 'ksini', 'smakin', 'berguna', 'kualitas', 'buruk']</t>
  </si>
  <si>
    <t>['telkomsel', 'dibuka', 'gamau', 'dibenerin', 'gausah', 'diadakan', 'apknya', 'knp', 'diapus', 'ajah', 'berguna', 'banget', 'ngecewain', 'pelanggan']</t>
  </si>
  <si>
    <t>['mendung', 'signalnya', 'hilang', 'promo', 'udh', 'oke', '']</t>
  </si>
  <si>
    <t>['sinyal', 'telkomsel', 'bener', 'turun', 'ilang', 'problem', 'jaringan', 'pelanggan', 'diberitahulah', '']</t>
  </si>
  <si>
    <t>['alhamdulillah', 'kasih', 'bintang', 'mudah', 'hapus', 'playstore', 'payah', 'pelayanan', 'paket', 'internet', 'mahal', 'udah', 'gitu', 'pulsa', 'hilang', 'sampe', 'nol', 'rupiah', 'dasar', 'maling', 'mending', 'pindah', 'provider', 'deh', 'semoga', 'pindah', 'bangrut', 'telkomnyet', 'aamiin', '']</t>
  </si>
  <si>
    <t>['pulsa', 'hilang', 'gimana', 'miggu', 'kehilangan', 'pulsa', 'mohon', 'maaf', 'doang', 'perbaiki', '']</t>
  </si>
  <si>
    <t>['paketan', 'kuotamu', 'mahal', 'lelet', 'rumah', 'pelosok', 'gunung', 'bangunan', 'pohon', 'sekitaran', 'kota', 'deket', 'tower', 'ngapa', 'lelet', 'kesini', 'malag', 'lelet', 'user', 'speed', 'wajar', 'stream', 'lelet', 'sosmed', 'lelet', 'game', 'ping', 'turun', '']</t>
  </si>
  <si>
    <t>['pekerjaan', 'bagus', 'mengirim', 'thankyou', 'kpd', 'telkomsel', 'salam', 'kpd', 'terimakasih']</t>
  </si>
  <si>
    <t>['waduuuh', 'parah', 'telkomsel', 'paketanakin', 'mahal', 'praaaahhhh', 'beralalih', 'kartu']</t>
  </si>
  <si>
    <t>['bagus', 'bermanfaat']</t>
  </si>
  <si>
    <t>['permisi', 'aplikasi', 'habis', 'download', 'buka', 'mohon', 'bimbingan', '']</t>
  </si>
  <si>
    <t>['jaringannya', 'memburuk']</t>
  </si>
  <si>
    <t>['paket', 'darurat', 'rb', 'dipotong', 'pulsanya', 'sampe', 'rb', 'beli', 'pulsa', 'rb', 'udah', 'potong', 'rb', 'habis', 'ajah', 'truss', 'beli', 'lagii', 'pulsa', 'rb', 'habis', 'lagii', 'langsung', 'dipotong', 'dipotong', 'rb', 'sisa', 'tagihan', 'beli', 'pulsa', 'kalinya', 'bru', 'dipotong', 'rb', 'jdii', 'total', 'bayar', 'paket', 'darurat', 'ganti', 'kartu', '']</t>
  </si>
  <si>
    <t>['binggung', 'aplikasi', 'dibuka', 'perbaruhi']</t>
  </si>
  <si>
    <t>['harga', 'bintang', 'kaki', 'limaa', 'lemooooddd', 'daaaaaaarrrr']</t>
  </si>
  <si>
    <t>['isi', 'pulsa', 'tpi', 'knpa', 'diaplikasi', 'cek', '']</t>
  </si>
  <si>
    <t>['aplikasiny', 'bagus', 'bangeeeeeeet']</t>
  </si>
  <si>
    <t>['bgus', 'mudah', 'simple', 'aksesnya']</t>
  </si>
  <si>
    <t>['paket', 'doang', 'mahal', 'main', 'game', 'ngelag', 'mending', 'tri', 'ngelag', 'murah', 'kaya', 'mahal', 'ngelag']</t>
  </si>
  <si>
    <t>['halo', 'min', 'poin', 'tukar', 'voucher', 'free', 'fire', 'nggak', 'tolong', 'min', 'gua', 'tukar']</t>
  </si>
  <si>
    <t>['tolong', 'adakan', 'perberhentian', 'paket', 'otomatis', 'aplikasinya', 'repot', 'telepon', 'dll', 'paket', 'lola', 'nonaktifkan', 'berahlih', 'kepaket', 'telkomsel']</t>
  </si>
  <si>
    <t>['kuota', 'mahal']</t>
  </si>
  <si>
    <t>['harga', 'paket', 'data', 'turunin']</t>
  </si>
  <si>
    <t>['pulsa', 'lelet', '']</t>
  </si>
  <si>
    <t>['gimana', 'masuk', 'aplikasi', 'update', 'aplikasi', 'tolong', 'perbaiki', 'apk', 'telkomsel', '']</t>
  </si>
  <si>
    <t>['', 'dibuka', 'aplikasi']</t>
  </si>
  <si>
    <t>['plikasinya', 'bagus', '']</t>
  </si>
  <si>
    <t>['kuota', 'cepet', 'abis', 'telkomselnya', 'buka', '']</t>
  </si>
  <si>
    <t>['paketanya', 'mahal', 'mahall']</t>
  </si>
  <si>
    <t>['plis', 'gua', 'stres', 'gua', 'main', 'game', 'dikit', 'dikit', 'jaringannya', 'error', 'pas', 'war', 'pas', 'gua', 'isi', 'pulsa', 'kesedot', 'alasannya', 'tertulis', 'penggunaan', 'internet', 'non', 'paket', 'pdhal', 'disitu', 'gue', 'buka', 'gua', 'lupa', 'matiin', 'data', 'emg', 'pengaruh', 'gua', 'rugi', 'bnr', 'rugi', 'rugi', 'rugi', 'gua', 'mohon', 'banget', 'jaringannya', 'perbaikin', 'error', 'mulu', 'gua', 'kesal', 'banget', 'gua', 'telkom', 'kartu', 'sebelah', 'gda', 'skian', 'terima', 'emosi', '']</t>
  </si>
  <si>
    <t>['app', 'bukak', 'sinyal', 'simpati', 'parah', '']</t>
  </si>
  <si>
    <t>['jaringan', 'tapanuli', 'selatan', 'mengecewakan', 'jaringan', 'sebelah', 'bermain', 'game', 'parah', 'pengguna', 'kecewa', 'perbaiki', 'jaringan', 'hargavmahal', 'jaringan', 'lemot']</t>
  </si>
  <si>
    <t>['protes', 'pulsa', 'beli', 'paket', 'sisa', 'pas', 'cek', 'sisa', '']</t>
  </si>
  <si>
    <t>['menarik', 'manfaat', 'semoga', 'beruntung']</t>
  </si>
  <si>
    <t>['harga', 'paket', 'data', 'mytelkomsel', 'berbeda', 'mytelkomsel', 'teman', 'telkomsel', 'beralih', 'provider', 'buntung', 'pakai', 'telkomsel', 'jaringan', 'bagus', '']</t>
  </si>
  <si>
    <t>['teruntuk', 'telkomsel', 'sinyal', 'ilang', 'trus', 'kouta', 'bnyk', 'minggu', 'pembelian', 'paket', 'data', 'harganya', 'ultiminted', 'push', 'rank', 'sinyal', 'eror', 'eror', 'tross', 'pdhal', 'kota', 'tangerang', 'paket', 'cpt', 'habis', 'sampe', 'bln', 'minggu', 'cpt', 'hbisssss']</t>
  </si>
  <si>
    <t>['bagus', 'paket', 'murah']</t>
  </si>
  <si>
    <t>['faham', 'isi', 'pulsa', 'isi', 'beli', 'kuota', 'langsung', 'makan', 'kuota', 'doang', 'mahal', 'jaringan', 'lelet', 'kaya', 'bekicot', 'dikota', 'hutan', '']</t>
  </si>
  <si>
    <t>['telkomsel', 'jaringan', 'tiada', 'batas']</t>
  </si>
  <si>
    <t>['spesifikasi', 'sesuai', 'apkikasi', 'yaaa', '']</t>
  </si>
  <si>
    <t>['aplikasi', 'dibuka', 'udah', 'instal', 'uninstal', 'masi', 'stak', 'layar', 'putih']</t>
  </si>
  <si>
    <t>['jaringan', 'ampas']</t>
  </si>
  <si>
    <t>['tolong', 'perbaiki', 'amu', 'rendem', 'skrng', 'apk', 'ajing']</t>
  </si>
  <si>
    <t>['pulsa', 'kepotong', 'pulsa', 'darurat', 'tinggal', 'kerja', 'pulang', 'kerja', 'tinggal', 'gini', 'cari', 'duit', 'cokk', 'emang', 'perak', 'akun', 'bayangin', 'akun', 'gini', '']</t>
  </si>
  <si>
    <t>['gaya', 'doang', 'kayak', 'bagus', 'asli', 'beh', 'ngotak', 'telkom', 'gaada', 'sinyal', 'burik']</t>
  </si>
  <si>
    <t>['keren', 'abis', 'lancaaarrrr']</t>
  </si>
  <si>
    <t>['woiiii', 'pulsa', 'maling', 'balikin', 'napa', 'min', 'main', 'ambil', 'gajelas', 'minnn']</t>
  </si>
  <si>
    <t>['binggung', 'download', 'appnya', 'timbul', 'layar', 'telkomsel', 'appnya', 'parah', 'banya', 'pencurian', 'pulsa', 'pakai', 'tahunya', 'hilang', 'dikit', 'sungguh', 'parah', 'malu', 'maluin', 'pelanggannya']</t>
  </si>
  <si>
    <t>['anjig', 'yatim', 'telkomsel', 'anjig', 'ngelag', 'banget', 'hapus', 'ajh', 'kartu']</t>
  </si>
  <si>
    <t>['percaya', 'telkom', 'kecewa', 'buburkan', 'telkomsel', '']</t>
  </si>
  <si>
    <t>['jaringan', 'telkomsel', 'lelet']</t>
  </si>
  <si>
    <t>['jaringan', 'ngtod']</t>
  </si>
  <si>
    <t>['telkomsel', 'appnya', 'buka', 'seminggu', 'butuh', 'appnya', '']</t>
  </si>
  <si>
    <t>['semoga', 'gieveaw']</t>
  </si>
  <si>
    <t>['alhamdulillah', 'bang', 'bagus']</t>
  </si>
  <si>
    <t>['malem', 'suka', 'leg', 'tolong', 'perbaiki', 'kasih', 'bintang', '']</t>
  </si>
  <si>
    <t>['paket', 'beli', 'beli']</t>
  </si>
  <si>
    <t>['mantap', 'lbih', 'tambahin', 'promo']</t>
  </si>
  <si>
    <t>['ksih', 'bintang', 'ajh', 'emang', 'telkomsel', 'sinyal', 'lelet', 'trus', 'ngambilin', 'pulsa']</t>
  </si>
  <si>
    <t>['telkomsel', 'drop', '']</t>
  </si>
  <si>
    <t>['bagus', 'app']</t>
  </si>
  <si>
    <t>['aplikasinya', 'buka', 'pas', 'uninstall', 'pas', 'install', 'oke', 'hmmm']</t>
  </si>
  <si>
    <t>['', 'sia', 'apk', 'main', 'game', 'seneng', 'hadiah', 'apk', '']</t>
  </si>
  <si>
    <t>['aplikasi', 'knp', 'skrng', 'jdi', 'jlek', 'buka', 'blengg', 'trus', 'tolong', 'prbaiki', 'brulang', 'instal', 'mssih', 'ttp', 'blengg', '']</t>
  </si>
  <si>
    <t>['mari', 'baikot', 'telkomsel', 'penipu', 'maling', 'pulsa', 'kecewa', 'menunggu', 'telkomsel', 'beli', 'pulsa', 'rb', 'cek', 'tinggal', 'rb', 'kecewa', '']</t>
  </si>
  <si>
    <t>['jelek', 'banget', 'sinyalnya', 'skrg', 'buka', 'isi', 'kuota', 'ambil', 'pinjaman', 'gb', 'parah']</t>
  </si>
  <si>
    <t>['dinperbarui', 'applikadi', 'buka', 'udah', 'coba', 'hapus', 'download', 'ulang', 'tetep', 'udah', 'coba', 'pakai', 'wifi', 'buka', 'layar', 'putih', 'bening', 'gimana', 'min', 'tolong', 'sesuai', 'pakai', 'template', 'udah', 'mending', 'kasih', 'bintang', '']</t>
  </si>
  <si>
    <t>['paket', 'internet', 'mahal', 'lemot', 'telkom', 'telekkkkkkkk', '']</t>
  </si>
  <si>
    <t>['telkomsel', 'payah', 'sinyal', 'lemot']</t>
  </si>
  <si>
    <t>['bagus', 'good']</t>
  </si>
  <si>
    <t>['semoga', 'pliss']</t>
  </si>
  <si>
    <t>['lemot', 'aplikasi', 'berat']</t>
  </si>
  <si>
    <t>['buka', 'aplikasi', 'telkomsel', 'android', 'samsung', 'knp', '']</t>
  </si>
  <si>
    <t>['semoga', 'diskon', 'min', 'plis', 'banyakin', 'diskonnya', '']</t>
  </si>
  <si>
    <t>['kuota', 'isi', 'pulsa', 'reguler', 'pulsanya', 'habis', 'duluan', 'ngak']</t>
  </si>
  <si>
    <t>['permisi', 'nanya', 'kmren', 'telkomasel', 'sya', 'dibuka', 'skrng', 'kog', 'pas', 'dibuka', 'putih', 'udh', 'sya', 'instal', 'ulang', 'download', 'lgi', 'ttp', 'mohon', 'pencerahannya']</t>
  </si>
  <si>
    <t>['', 'buka', 'buka', 'layar', 'putih', 'jaringan', 'lancar', 'penyimpanan', '']</t>
  </si>
  <si>
    <t>['mantep', 'dpt', 'bonus', 'kuota']</t>
  </si>
  <si>
    <t>['cek', 'pulsa', 'berkurang', '']</t>
  </si>
  <si>
    <t>['aplikasi', 'berat', 'buka', 'provider', 'aplikasi']</t>
  </si>
  <si>
    <t>['semoga', 'menang', 'festival', 'amin']</t>
  </si>
  <si>
    <t>['telkomsel', 'promo', 'harga', 'dikartu', 'harga', 'selangit', 'sebanding', 'pemasukan', 'kurangi', 'bintang', 'bintang', 'mohon', 'perbaikan', '']</t>
  </si>
  <si>
    <t>['askm', 'apps', 'nyedot', 'pulsa', 'salah', 'daftar', 'mengajukan', 'telkomsel', 'pemotongan', 'perminggu', 'wajarlah', 'ngetik', 'sembarang', 'klau', 'apps', 'telkomsel', 'bagus', 'memudah', 'diskon', 'murah', 'pembelian', 'paket', 'internet', 'paket', 'nelpon', 'udah', 'makai', 'apps', 'telkomsel', 'tpi', 'potong', 'pulsa', 'pokonya', 'apps', 'telkomsel', 'terbaik', 'sya', 'terima', 'kasih', 'telkomsel', '']</t>
  </si>
  <si>
    <t>['berjalan', 'samsung']</t>
  </si>
  <si>
    <t>['tolong', 'kasih', 'promo', '']</t>
  </si>
  <si>
    <t>['download', 'dibuka', 'keseeeeeellll', 'banget']</t>
  </si>
  <si>
    <t>['aplikasiga', 'buka', 'parah']</t>
  </si>
  <si>
    <t>['perbaiki', 'sinyal', 'jaringn', 'patumbak', 'sumatra', 'utara']</t>
  </si>
  <si>
    <t>['', 'telkomsel', 'dibuka', 'cek', 'kouta']</t>
  </si>
  <si>
    <t>['gini', 'profesi', 'pelaut', 'isi', 'rebu', 'roaming', 'continent', 'point', 'berlimpah', 'donk', 'puluhan', 'ribu', 'point', 'nuker', 'pulsa', 'sejuta', 'berbulan', 'dapet', 'pegel', 'nuker', 'point', 'undi', 'telkomsel', 'point', 'palsu', 'peminatnya', 'mending', 'apus', 'phpin', 'orang', '']</t>
  </si>
  <si>
    <t>['knp', 'yaa', 'sinyal', 'kuota', 'kecewa', 'karna', 'sayang', 'nomer', 'ngga', 'dipake']</t>
  </si>
  <si>
    <t>['apk', 'ngk', 'terbuka', 'udah', 'kali', 'kuupdate']</t>
  </si>
  <si>
    <t>['down', 'kecewa']</t>
  </si>
  <si>
    <t>['puas', 'telkomsel', 'halo', 'jaringan', 'bagus', 'malam', 'buka', 'facebook', 'susah']</t>
  </si>
  <si>
    <t>['mantep', 'bngt', 'puas', 'teleponan']</t>
  </si>
  <si>
    <t>['pulau', 'terpencil', 'harga', 'paket', 'mahal', 'klian', 'pikir', 'orng', 'pedesaan', 'kaya', 'raya', '']</t>
  </si>
  <si>
    <t>['banget', 'kegunaannya', 'wajib', 'download', 'oke', '']</t>
  </si>
  <si>
    <t>['maaf', 'uninstal', 'apknya', 'lgi', 'kebuka', 'udah', 'clear', 'datalah', 'tetep', 'beli', 'paket', 'data', 'mahal', 'mending', 'naiknya', 'rb', 'rb', 'tekor', 'sayanya', 'cape', 'ama', 'kartu']</t>
  </si>
  <si>
    <t>['pengguna', 'hallo', 'dikmpungku', 'sinyalnya', 'busuk', 'coba', 'diperbaiki', 'pelayanannya', 'massa', 'kalah', 'sma', 'provider', 'sebelah', 'swasta']</t>
  </si>
  <si>
    <t>['unlimited', 'nonton', 'youtube', 'jaringan', 'terputar', 'putar', 'msh', '']</t>
  </si>
  <si>
    <t>['perbaiki', 'aplikasi']</t>
  </si>
  <si>
    <t>['parah', 'jaringan', 'telkomsel', 'hufft', 'lemot', 'nauju', 'billah', '']</t>
  </si>
  <si>
    <t>['paten', 'bah']</t>
  </si>
  <si>
    <t>['gggg', 'udah', 'uninstall', 'install', 'ulang', 'ttp', 'bank', 'putih', '']</t>
  </si>
  <si>
    <t>['beli', 'paket', 'unlimited', 'facebook', 'terpakai', 'pulsa', 'paket', 'dibeli']</t>
  </si>
  <si>
    <t>['kalah', 'provider', 'parah', 'sinyal', 'paket', 'mahal', 'stop', 'ganti', 'provider', '']</t>
  </si>
  <si>
    <t>['sinyal', 'recomendet', 'sinyal', 'bobrok', 'layak', 'bintan', 'bosok', 'sinyal', '']</t>
  </si>
  <si>
    <t>['rusak', 'sinyal', 'tolong', 'perbaiki', 'sinyal', 'bagus', 'kek', 'dluu', '']</t>
  </si>
  <si>
    <t>['', 'maaf', 'gangguan', 'sistem', 'kali', 'isi', 'internet', 'gitu', 'sinyal', 'lancar', 'wifi', 'benerin', 'ngapa', 'ntar', 'kasih', 'bintang', 'limanya', 'sistemnya', 'diperbaiki']</t>
  </si>
  <si>
    <t>['appl', 'buangat']</t>
  </si>
  <si>
    <t>['app', 'login', 'blank', 'putih', 'udh', 'tolong', 'fix', 'app', 'mytelkomsel', 'login', 'app', 'login', 'salah', '']</t>
  </si>
  <si>
    <t>['yaa', 'beralih', 'akun', 'cape', '']</t>
  </si>
  <si>
    <t>['apk', 'telkomsel', 'mempermudah', 'dalm', 'membeli', 'paket', 'gua', 'seneng', 'bonus', 'diali', 'chek', '']</t>
  </si>
  <si>
    <t>['menu', 'penukaran', 'voucher', 'poin', 'game', 'mobile', 'legends', 'tidah', 'akses', 'why', '']</t>
  </si>
  <si>
    <t>['pulsa', 'ilang', 'rb', 'aneh', 'pdhal', 'kuotash', 'gb', 'buka', 'aplikasi', 'telkomsel', 'loading', 'mulu', 'telkomsel', 'kecewa', 'signal', 'buruk', '']</t>
  </si>
  <si>
    <t>['mohon', 'ditingkatkan', 'kecepatan', 'akses', 'aplikasi', 'mytelkomsel']</t>
  </si>
  <si>
    <t>['', 'update', 'nge', 'blank', 'dibuka']</t>
  </si>
  <si>
    <t>['rekor', 'seumur', 'hidup', 'beli', 'paketan', 'internet', 'telkomsel', 'gb', 'sebulan', 'habis', 'kemarin', 'beli', 'paketan', 'internet', 'telkomsel', 'gb', 'sisa', 'minimal', 'gb', 'gb', 'sebulan', 'telkomsel', 'cepat', 'sedot', 'paketan', 'internet', 'konsumen', 'pakai', 'logika', 'paketan', 'internet', 'gb', 'sebulan', 'kenyataannya', 'sebulan', 'gb', 'habis', 'duluan', 'mohon', 'penjelasannya', 'telkomsel', '']</t>
  </si>
  <si>
    <t>['pakai', 'telkomsel', 'karna', 'kartu', 'sehati', 'tenggang', 'dihidupkan', 'berpuluh', 'pakai', 'kecewa', '']</t>
  </si>
  <si>
    <t>['', 'beli', 'paket', 'data', 'aplikasi', 'mytelkomsel', 'pakai', 'dana', 'ovo', 'paket', 'combo', 'sakti', 'jam', 'sore', 'tgl', 'dana', 'ovo', 'kepotong', 'laporan', 'pembayaran', 'sukses', 'aplikasi', 'mytelkomsel', 'paket', 'beli', 'bukti', 'pembayaran', 'ovo', 'sesuai', 'tglnya', 'jam', 'pembayaran', 'udah', 'dilampirkan', 'telkomsel', 'rugi', 'paket', 'data', 'combo', 'sakti', 'udah', 'bayar', 'aktif']</t>
  </si>
  <si>
    <t>['aplikasi', 'dibuka', 'coba', 'instal', 'ulang']</t>
  </si>
  <si>
    <t>['mohon', 'maaf', 'kasih', 'bintang', 'barusan', 'membeli', 'kuota', 'combo', 'sakti', 'kuota', 'berlaku', 'disana', 'tertera', 'bacaan', 'rugi', 'mohon', 'penjelasan', 'telkomsel']</t>
  </si>
  <si>
    <t>['maaf', 'kecewa']</t>
  </si>
  <si>
    <t>['buka', 'aplikasi', 'sanggup', '']</t>
  </si>
  <si>
    <t>['buka', 'aplikasi', 'layar', 'cuman', 'putih', 'doang', 'banget', 'masuknyaaa']</t>
  </si>
  <si>
    <t>['masuk', 'apliksih', 'semenjak', 'kemren', 'kemaren', 'bukak', 'srceern', 'warna', 'lutih', '']</t>
  </si>
  <si>
    <t>['paket', 'doang', 'sultan', 'sinyal', 'kagak', 'sultan']</t>
  </si>
  <si>
    <t>['apl', 'telkomsel', 'donload', 'buka', 'bosssssss', '']</t>
  </si>
  <si>
    <t>['mohon', 'murah']</t>
  </si>
  <si>
    <t>['versi', 'mengecewakan', 'biaa', 'dibuka', 'nyangkut', 'layar', 'putih', '']</t>
  </si>
  <si>
    <t>['aplikasi', 'bangus', 'banget']</t>
  </si>
  <si>
    <t>['mengeluhkan', 'pulsa', 'kepotong', 'pdhl', 'langganan', 'data', 'seluler', 'hidupkan', 'poin', 'nol', 'isi', 'pulsa', 'beli', 'produk', 'telkomsel', 'aplikasinya', 'banget', 'terbuka', 'seakan', 'jaringan', 'jelek', 'pdhl', 'jaringan', 'normal', 'normal', 'mohon', 'ditingkatkan', 'kualitas']</t>
  </si>
  <si>
    <t>['app', 'memudahkan', 'bertransaksi', 'pulsa', 'paket', '']</t>
  </si>
  <si>
    <t>['apk', 'bagusss', 'bangat']</t>
  </si>
  <si>
    <t>['paket', 'murah', 'wee']</t>
  </si>
  <si>
    <t>['min', 'pas', 'cek', 'penukaran', 'point', 'game', 'online', 'mobile', 'legends', 'kemaren']</t>
  </si>
  <si>
    <t>['telkomsel', 'skrg', 'sinyal', 'bulux', 'gada', 'perbaikan', 'tolong', 'kalah', 'ama', 'provider', 'sebelah']</t>
  </si>
  <si>
    <t>['bagus', 'gitu']</t>
  </si>
  <si>
    <t>['bagus', 'mantul']</t>
  </si>
  <si>
    <t>['mytelkom', 'oke']</t>
  </si>
  <si>
    <t>['maaf', 'adm', 'dibuka', 'aplikasi', 'telkomsel', '']</t>
  </si>
  <si>
    <t>['parah', 'buka', 'mending', 'ganti', 'provider']</t>
  </si>
  <si>
    <t>['aplikasinya', 'masuk', 'ngestuck', 'layarnya', 'warna', 'putih']</t>
  </si>
  <si>
    <t>['aplikasi', 'stuck', 'white', 'screen', 'minggu', 'perbaikan', 'keluhan', 'respon', 'perbaikan', '']</t>
  </si>
  <si>
    <t>['maaf', 'jujur', 'paket', 'mahal', 'sinyal', 'internet', 'jelek', 'jujur']</t>
  </si>
  <si>
    <t>['saranin', 'development', 'app', 'coba', 'kaya', 'aplikasi', 'sebelah', 'dimana', 'fitur', 'pulsa', 'kesedot', 'paketan', 'habis', 'internetnya', 'jalan', 'mode', 'data', 'nyalain', 'pulsa', 'terkuras', 'sayang', 'banget', 'sisa', 'paketan', 'kaya', 'max', 'stream', 'paket', 'data', 'habis', 'buka', 'ambil', 'data', 'pulsanya', 'sayang', 'banget', 'pulsa', 'min', 'pkt', 'bln', 'dpn']</t>
  </si>
  <si>
    <t>['ngelag', 'sinya', 'poin', 'tukar', 'akses']</t>
  </si>
  <si>
    <t>['', 'isoh', 'dibuka', '']</t>
  </si>
  <si>
    <t>['apk', 'bermanfaat']</t>
  </si>
  <si>
    <t>['malam', 'berkendala', 'membuka', 'apk', 'telkomsel', 'berwarna', 'putih', 'dibuka']</t>
  </si>
  <si>
    <t>['aplikasinya', 'berguna', 'banget', '']</t>
  </si>
  <si>
    <t>['', 'buka', 'telkomsel']</t>
  </si>
  <si>
    <t>['tampilan', 'fungsional', 'info', 'kuota', 'mesti', 'veronica', 'udah', 'download', 'aplikasi', 'infonya', 'lengkap', 'kaya', 'bermanfaat', 'download', 'tolong', 'fitur', 'fungsinya', 'dilengkapi', '']</t>
  </si>
  <si>
    <t>['kadang', 'apk', 'bisaa', 'dibukaa']</t>
  </si>
  <si>
    <t>['memiliki', 'akses', 'halaman', 'point', 'kecewa']</t>
  </si>
  <si>
    <t>['sinyal', 'jaringan', 'internet', 'telkomsel']</t>
  </si>
  <si>
    <t>['apk', 'konntollllll', 'udah', 'pulsa', 'hilang', 'buka', 'anjenggg', 'bangkrut', 'perusahaan', 'njengg']</t>
  </si>
  <si>
    <t>['maaf', 'min', 'kesini', 'jaringan', 'telkomsel', 'daerah', 'jelek', 'kalah', 'sma', 'celuler', 'main', 'game', 'ping', 'pling', 'bagus', 'tlong', 'perbaiki', 'min', 'kecewa']</t>
  </si>
  <si>
    <t>['telkomsel', 'maaf', 'blum', 'bayar', 'tagihan', 'blum', 'uang', 'beli', 'pulsa', 'bayar', 'mohon', 'maaf', 'sekian', 'terima', 'kasih', 'gpp', 'ambil', 'pulsanya', 'tungu', 'aada', 'uang']</t>
  </si>
  <si>
    <t>['', 'telkomsel', 'belinya', '']</t>
  </si>
  <si>
    <t>['', 'telkomsel', 'yahuuuddd']</t>
  </si>
  <si>
    <t>['pas', 'bukak', 'tiktok', 'bagus', 'pas', 'main', 'game', 'kek', 'babi', '']</t>
  </si>
  <si>
    <t>['aplikasinya', 'ngeblank', 'minggu', 'cocok', 'android', 'gimana', '']</t>
  </si>
  <si>
    <t>['kuota', 'murah', 'banget']</t>
  </si>
  <si>
    <t>['sinyal', 'bagus', 'download', '']</t>
  </si>
  <si>
    <t>['habis', 'diperbarui', 'bsa', 'buka', 'pas', 'buka', 'blank', 'putih', 'gmn', 'sich', 'habis', 'diperbarui', 'lancar', 'kayak', 'gini', 'bsa', 'beli', 'paketan']</t>
  </si>
  <si>
    <t>['bintang', 'malas', 'suruh', 'update', 'update', 'kepake', 'putih', 'doang', 'coba', 'uninstall']</t>
  </si>
  <si>
    <t>['veronika', 'unlimited', 'jawabanya']</t>
  </si>
  <si>
    <t>['aplikasi', 'telkomsel', 'hapus', 'trus', 'pasang', 'nggak', 'pasang', 'nggak', 'buka', '']</t>
  </si>
  <si>
    <t>['bener', 'doang', 'telkomsel', 'gua', 'beli', 'proses', 'proses', 'banget', 'jarenga', 'leg', 'udah', 'mahal', 'niat', 'jual', 'paket', 'data', 'gua', 'padah', 'udah', 'pengguna', 'yamanan', 'pas', '']</t>
  </si>
  <si>
    <t>['tolong', 'diperbaiki', 'mengetik', 'nomor', 'mengetik', '']</t>
  </si>
  <si>
    <t>['pakai', 'telkomsel', 'udh', 'nomornya', 'dikasih', 'kesaya', 'pas', 'kali', 'pulsa', 'terpotong', 'jaringan', 'sms', 'akses', 'internet', 'tarif', 'non', 'paket', 'menyalakan', 'data', 'pulsa', 'kepotong', 'ribu', 'sms', 'ribu', 'rugi', 'pulsa', 'ribu', 'ribu', 'kali', 'pulsa', 'kepotong', 'tolong', 'perbaiki', '']</t>
  </si>
  <si>
    <t>['harga', 'mahal', 'kualitas', 'buruk', 'mohon', 'ditingkatkan', 'kualitas', 'jaringannya', 'makasih', 'min']</t>
  </si>
  <si>
    <t>['paket', 'data', 'pulsa', 'sedot', 'jaringan', 'internet', 'tolong', 'perbaiki', 'bug', 'merugikan', 'banget', 'pengguna', 'apk', 'mytelkomsel', 'paket', 'sedot', 'pulsa', 'kesedot', 'doble', 'pemakainan']</t>
  </si>
  <si>
    <t>['membantu', 'memudahkan', 'pembelian', 'paket', 'internet']</t>
  </si>
  <si>
    <t>['aplikasi', 'dibuka', 'cuman', 'udah', 'didownload', 'stuck', 'warna', 'putih', 'gitu', 'ajaaa']</t>
  </si>
  <si>
    <t>['lose', 'paket']</t>
  </si>
  <si>
    <t>['beli', 'pulsa', 'blm', 'mnt', 'terpotong', '']</t>
  </si>
  <si>
    <t>['knpa', 'kuota', 'gamemax', 'dlu', 'hapus', '']</t>
  </si>
  <si>
    <t>['sinyal', 'nyesel', 'beli', '']</t>
  </si>
  <si>
    <t>['mantaaaapp', 'hadiah', 'bonus', 'tingkat', 'promo', 'menarik', '']</t>
  </si>
  <si>
    <t>['tolong', 'update', 'ulang', 'beda', 'dipakai', 'update', 'white', 'screen', 'buang', 'kartunya']</t>
  </si>
  <si>
    <t>['telkomsel', 'pulsa', 'gue', 'tersedot', 'paket', 'habis', 'tolong', 'jaga', 'kualitas', 'logomu', 'ngatasin', 'gimana', '']</t>
  </si>
  <si>
    <t>['mahal', 'najis', 'dipake', 'gane', 'ringan', 'kayak', 'ngelagh', 'parah', 'udah', 'mendukung', 'bagus', 'emg', 'dasarjaringan', 'telkomnya', 'bloon']</t>
  </si>
  <si>
    <t>['min', 'knapa', 'telkomsel', 'abis', 'perbaharui', 'buka', 'lgi', 'min', 'stiap', 'sisa', 'pulsa', 'slalu', 'sedot', 'spai', 'rupiah', 'paket', 'internet', 'sisa', 'pulsa', 'habis', 'daftarin', 'paket', 'internet', 'stelah', 'cek', 'pulsa', 'min', 'udah', 'kali']</t>
  </si>
  <si>
    <t>['apknya', 'bagus', '']</t>
  </si>
  <si>
    <t>['heii', 'aplikasi', 'buka', 'blank', 'putih', 'coba', 'benerin', '']</t>
  </si>
  <si>
    <t>['maaf', 'ksh', 'bintg', 'bget', 'lelet', 'jaringan', 'telkomsel', 'bete', 'buka', 'aplikasi', 'gr', 'jringn', 'bagus', 'knp', 'skrg', 'lelet', 'gini', 'bagus', 'knp', 'skrg', 'bgus', 'tlg', 'diperbaiki', 'beli', 'paket', 'mahal', 'jringn', 'stabil', '']</t>
  </si>
  <si>
    <t>['isi', 'paket', 'ribu', 'gb', 'unlimited', 'sosmed', 'pernas', 'puas', 'layanan', 'jaringan', 'internetnya', 'leletnya', 'main', 'layanan', 'telpon', 'jaringannya', 'buruk', 'ilang', 'suara', 'telkomsel', 'kualitasnya', 'buruk', 'dibawah', 'standard']</t>
  </si>
  <si>
    <t>['semoga', 'dapet', 'koin', '']</t>
  </si>
  <si>
    <t>['buruk', 'unlimited', 'lelet', 'sinyal', 'bagus']</t>
  </si>
  <si>
    <t>['tutup', 'perusahaanmu', 'telkomsel', 'pelanggan', 'puas', 'beli', 'kuota', 'telkomsel', 'signal', 'hilang', 'nyaman', 'udah', 'penipu']</t>
  </si>
  <si>
    <t>['harga', 'mahal', 'jaringannya', 'idiot', 'bener']</t>
  </si>
  <si>
    <t>['telkomsel', 'bagus', 'banget', 'jaringan', 'full', 'saran', 'mengatasnamakan', 'unlimited', 'emg', 'dibatasi', 'paket', 'internet', 'unlimited', 'rp', 'tpi', 'dibatesin', 'sampe', 'gb', 'itumah', 'namanya', 'unlimited', 'tolong', 'nyantumin', 'unlimited', 'emg', 'dibatasi', '']</t>
  </si>
  <si>
    <t>['jaringan', 'susah', 'telkomsel', 'udh', 'ngeleg', 'coba', 'tolong', 'perbaiki', 'perhatian', 'makasih']</t>
  </si>
  <si>
    <t>['sangan', 'bagus']</t>
  </si>
  <si>
    <t>['paket', 'internet', 'bersahabat']</t>
  </si>
  <si>
    <t>['knp', 'orang', 'top', 'diamond', 'free', 'fire', 'poin', 'pulsa', 'seharga', 'poin', 'pulsa']</t>
  </si>
  <si>
    <t>['jelek', 'banget', 'jaringan', 'bagus', 'pakai', 'bagus', 'woi', 'mudah', 'kepotong', 'pulsa', 'mahal']</t>
  </si>
  <si>
    <t>['membuka', 'aplikasi', 'telkomsel', 'gagal']</t>
  </si>
  <si>
    <t>['pokoknya', 'puas', 'harga', 'paketnya', 'murah', 'terimakasih', 'telkomsel']</t>
  </si>
  <si>
    <t>['beda', 'super', 'cepat', 'sinyal', 'full', 'speed', 'down', 'nyesal', 'telkomsel', 'prioritaskan', 'nelpon', 'online', '']</t>
  </si>
  <si>
    <t>['auto', 'uninstal', 'sinyal', 'parah', 'ngak', 'tembus', 'kubu', 'raya', 'kalimantan', 'barat', '']</t>
  </si>
  <si>
    <t>['nie', 'gimana', 'game', 'online', 'lelet', 'hadeeeh', 'kecewa', '']</t>
  </si>
  <si>
    <t>['sich', 'bagus', 'lancar', 'kesini', 'pulsa', 'sellu', 'disedot', 'abis', 'dipake']</t>
  </si>
  <si>
    <t>['beli', 'pulsa', 'pakai', 'cash', 'sisa', 'kepotong', 'ambil', 'paket', '']</t>
  </si>
  <si>
    <t>['puas', 'aplikasi', 'membantu']</t>
  </si>
  <si>
    <t>['tukar', 'poin', 'voucher', '']</t>
  </si>
  <si>
    <t>['poin']</t>
  </si>
  <si>
    <t>['jaringan', 'buruk', 'obat', '']</t>
  </si>
  <si>
    <t>['simpati', 'mahal', 'pulsa', 'knapa', 'masuk', 'tenggang', 'pulsa', 'kepake', 'simpati', 'nelfo', 'kaga', 'paketin', 'kaga', 'tpi', 'tenggang', 'mulu', 'paketan', 'kemahalan', 'turunin', 'dikit']</t>
  </si>
  <si>
    <t>['payah', 'aplikasinya', 'dibuka', 'semenjak', 'update', 'clear', 'cache', 'reinstall', 'buang', 'appnya', 'aplikasinya']</t>
  </si>
  <si>
    <t>['balikin', 'harga', 'paket', 'udah', 'mantep', 'bro']</t>
  </si>
  <si>
    <t>['hallo', 'admin', 'telkomsel', 'buka', '']</t>
  </si>
  <si>
    <t>['buka', 'aplikasi', 'telkomsel', 'udah', 'pencerahan']</t>
  </si>
  <si>
    <t>['', 'log', 'coy', 'udh', 'uninstal', 'ulang', 'kecewa', '']</t>
  </si>
  <si>
    <t>['perbarui', 'kek']</t>
  </si>
  <si>
    <t>['isi', 'pulsa', 'data', 'internet', 'pembayaran', 'shopepay', 'bangat', 'loading', 'payah', 'bangat', 'udah', 'berutang', 'kali']</t>
  </si>
  <si>
    <t>['bagusss', 'butuh', 'poin']</t>
  </si>
  <si>
    <t>['jaringan', 'simpati', 'hilang', 'daerah', 'jln', 'taqwa', 'mata', 'merah', 'kelurahan', 'karya', 'mulya', 'kecamatan', 'semarang', 'borang', 'sungguh', 'mengecewakan', 'telkomsel', 'propider', 'jelek', 'hati', 'tgl', 'desember', 'wifi', 'tetangga', 'jaringan', '']</t>
  </si>
  <si>
    <t>['mytelkomsel', 'dibuka', 'aplikasi']</t>
  </si>
  <si>
    <t>['bug', 'telkomsel', 'buka']</t>
  </si>
  <si>
    <t>['cepet', 'harga', 'paketan', 'murah', 'pokonya', '']</t>
  </si>
  <si>
    <t>['aneh', 'banget', 'udh', 'insal', 'kagak', 'login']</t>
  </si>
  <si>
    <t>['sinyal', 'lemot', 'kayak', 'tekomsel', 'sekalarang', 'lelet', 'loading', 'mobile', 'legends', 'lemotnya', 'ampun', 'rekomend']</t>
  </si>
  <si>
    <t>['aplikasinya', 'putih', 'telkomsel', 'capek', 'instal', 'unistal', 'tetab', 'aplikasi', 'putih', 'doang', 'pulsa', 'tersedot', 'mencuri', 'pencurian', 'namanya', 'persetujuan', 'pemilik', '']</t>
  </si>
  <si>
    <t>['mantab', 'telkomsel', 'korupsi', 'koruptor', 'pulsa', 'rb', 'abis', 'aktif', 'perpanjangan', 'kartu', 'selebihnya', 'maaf', 'memakai', 'produk', 'telkomsel', 'data', 'dll', 'dirugikan', 'sinyal', 'dinonaktifkan', 'nomor', 'bagus', 'cepat', 'beralih', '']</t>
  </si>
  <si>
    <t>['jaringan', 'jelek', 'kek', 'provider', 'udah', 'gitu', 'mahal', 'mahal', 'mahal', 'wajar', 'iya', 'udah', 'beli', 'mahal', 'mahal', 'ngelag', '']</t>
  </si>
  <si>
    <t>['aplikasi', 'terusan', 'dibuka', 'download', 'saa', 'uninstal', 'mytelkomsel', 'aplikasi', 'dibuka', 'saran', 'telkomsel', 'perbaiki', 'ganti', 'provider', 'rugi']</t>
  </si>
  <si>
    <t>['kemudahan', 'aktifitas']</t>
  </si>
  <si>
    <t>['mohon', 'telkonsel', 'kurangi', 'fitur', 'berguna', 'pastikan', 'aplikasi', 'ringan', 'unfuk', 'pengguna']</t>
  </si>
  <si>
    <t>['apk', 'sungguh', 'top', 'diamond', 'sunggu', 'komen', 'gitu', 'gituan', 'sembarangan', 'skali', 'kali', '']</t>
  </si>
  <si>
    <t>['lemot', 'mulu', 'sumpah']</t>
  </si>
  <si>
    <t>['cepetan', 'perbaiki', 'udah', 'sabar', 'nunggu', 'looo', 'mending', 'ganti', '']</t>
  </si>
  <si>
    <t>['login', 'tulisan', 'ops', 'kesalahan', 'instal', 'uninstal', 'trs', 'instal']</t>
  </si>
  <si>
    <t>['bulannya', 'harganya', '']</t>
  </si>
  <si>
    <t>['memuaskkan', '']</t>
  </si>
  <si>
    <t>['loading', 'hpku', 'knp', '']</t>
  </si>
  <si>
    <t>['aplikasi', 'orang', 'mengeluh', 'gara', 'aplikasi', '']</t>
  </si>
  <si>
    <t>['buruk', 'aplikasi', 'blenk', 'putih', 'kecewa', 'kartu', 'semenjak', '']</t>
  </si>
  <si>
    <t>['pengen', 'gratisannya']</t>
  </si>
  <si>
    <t>['menampilkan', 'promo', 'menarik', 'lainya']</t>
  </si>
  <si>
    <t>['pokoknya', 'siip']</t>
  </si>
  <si>
    <t>['uninstal', 'malas', 'peke', 'apk', 'buka', 'blank', 'mulu', '']</t>
  </si>
  <si>
    <t>['aplikasi', 'terima', 'kasih', '']</t>
  </si>
  <si>
    <t>['ngapa', 'ngapain', 'min', 'loading', 'trs', 'sinyal', '']</t>
  </si>
  <si>
    <t>['aplikasi', 'dibuka', 'susah', '']</t>
  </si>
  <si>
    <t>['aplikasi', 'panas', '']</t>
  </si>
  <si>
    <t>['nggak', 'dibuka']</t>
  </si>
  <si>
    <t>['jaringan', 'mantap']</t>
  </si>
  <si>
    <t>['semoga', 'dapet', 'promo', 'karna', 'aplikassi', 'bagus', 'banget']</t>
  </si>
  <si>
    <t>['mending', 'ngak', 'nawarkan', 'promo', 'ujung', 'kesedot', 'pulsa', 'provider', 'jaringan', 'terparah', 'korupsinya']</t>
  </si>
  <si>
    <t>['buka', 'muncul', '']</t>
  </si>
  <si>
    <t>['aplikasi', 'mintanya', 'kali', 'buka', 'layar', 'putih', 'haduhhhhh', 'parahhhhhhhh']</t>
  </si>
  <si>
    <t>['keren', 'mudah', 'mudahan', 'menang', 'mobil', 'mercedes', 'benz', 'aamiin', 'allohumma', 'aamiin', '']</t>
  </si>
  <si>
    <t>['', 'buka', 'apps', 'gimana', 'gausah', 'perbaruan', 'belom', 'mateng']</t>
  </si>
  <si>
    <t>['spek', 'buka', 'app', '']</t>
  </si>
  <si>
    <t>['jaringan', 'stabil', 'turun', 'bermain', 'game', 'berat', 'moba', 'jelek', 'puas', 'rekomendasi']</t>
  </si>
  <si>
    <t>['emng', 'kaga', 'otomatis', 'pengisian', 'paketan', '']</t>
  </si>
  <si>
    <t>['login', 'susah', 'apk', 'gajeeeee']</t>
  </si>
  <si>
    <t>['paket', 'internet', 'suka', 'berubah']</t>
  </si>
  <si>
    <t>['jaringan', 'kek', 'lag', 'banget', 'buka', 'youtube', 'susah', 'dih', 'urus', 'dikit', 'jaringan', '']</t>
  </si>
  <si>
    <t>['kuota', 'doang', 'mahal', 'sinyalnya', 'jls']</t>
  </si>
  <si>
    <t>['tekomsel', 'nt', 'buka', 'dasar', 'pindah', 'kartu', 'perbaiki', '']</t>
  </si>
  <si>
    <t>['terimah', 'kasih', 'telas', 'setia', 'menemani', 'tolong', 'adakan', 'promo', '']</t>
  </si>
  <si>
    <t>['udah', 'app', 'slalu', 'nge', 'blank', 'putih', 'beli', 'kuota', 'jdi', 'susah', 'ambil', 'bonus', 'login', 'udh', 'keurus', 'app', 'dihapus', 'dri', 'playstore', 'tolong', 'diperbaiki', 'app', '']</t>
  </si>
  <si>
    <t>['parah', 'potong', 'pulsa', 'data', 'terpotong']</t>
  </si>
  <si>
    <t>['iphone', 'buka', 'aplikasi', 'telkomsel', '']</t>
  </si>
  <si>
    <t>['paket', 'omg', 'gb', 'tpi', 'kanapa', 'buka', 'youtube', 'paket', 'internet', 'berkurang', 'tolong', 'drespob']</t>
  </si>
  <si>
    <t>['iya']</t>
  </si>
  <si>
    <t>['terimakasih', 'mytelkomsel', 'pelayanan', 'mudah']</t>
  </si>
  <si>
    <t>['aplikasi', 'telkomsel', 'tidakbisa', 'buka']</t>
  </si>
  <si>
    <t>['udah', 'pelanggan', 'setia', 'murah', 'ehh', 'mahal', 'njir', 'harga', 'paket', 'internetan', 'rajin', 'isi', 'ulang', 'pulsa', 'paketan', 'kecewa', 'mending', 'ganti', 'operator', 'ajalah', 'gini', 'mah']</t>
  </si>
  <si>
    <t>['memuakkan', 'aplikasi', 'kebuka', '']</t>
  </si>
  <si>
    <t>['versi', 'terbaru', 'aplikasi', 'dpt', 'dibuka']</t>
  </si>
  <si>
    <t>['mdh', 'rezeki', 'dpt', 'telkomsel', 'aamiin']</t>
  </si>
  <si>
    <t>['dibuka', 'putih', 'doang', 'android', 'paketan', 'disitu', 'telkomsel', 'kyk', 'gajelas', 'aplikasinya']</t>
  </si>
  <si>
    <t>['dikit', 'dikit', 'update']</t>
  </si>
  <si>
    <t>['', 'update', 'buka', 'for', 'close', 'tolong', 'perbaiki']</t>
  </si>
  <si>
    <t>['sinyalnya', 'tandingannya']</t>
  </si>
  <si>
    <t>['donlot', 'ngak', 'masuk', 'aplikasinya']</t>
  </si>
  <si>
    <t>['sinyal', 'telkomsel', 'lemot', 'suka', 'hilang', 'kota', 'jakarta', 'parah', 'telkomsel', 'beralih', 'kekartu', 'kota', 'koneksi', 'hilang', '']</t>
  </si>
  <si>
    <t>['pertahankan', 'kwalitas']</t>
  </si>
  <si>
    <t>['telkomsel', 'ngajak', 'ribut', 'gimana', 'jaringan', 'nge', 'lag', 'ngak', 'parah', 'nyesel', 'beli', 'kartu']</t>
  </si>
  <si>
    <t>['telkomsel', 'masuk', 'ampun', 'mohon', 'pencerahannya']</t>
  </si>
  <si>
    <t>['bagus', 'banget', 'semoga', 'jngn', 'lemot', 'lgi']</t>
  </si>
  <si>
    <t>['kadang', 'susah', 'masuk', 'apps', 'hmm']</t>
  </si>
  <si>
    <t>['buka', 'aplikasinya', 'tolong', 'perbaiki']</t>
  </si>
  <si>
    <t>['log', 'apk', 'telkomsel']</t>
  </si>
  <si>
    <t>['rating', '']</t>
  </si>
  <si>
    <t>['tolong', 'telkomsel', 'perbaiki', 'sinyal', 'main', 'game', 'dikit', 'leg', 'parah', 'please', '']</t>
  </si>
  <si>
    <t>['apdetan']</t>
  </si>
  <si>
    <t>['aplikasinya', 'uninstall', 'baiknya', 'menuhin', 'memory', 'dibuka', '']</t>
  </si>
  <si>
    <t>['jaringan', 'sampah']</t>
  </si>
  <si>
    <t>['fakta', 'aplikasi', 'terburuk', 'mytelkomsel', 'telkomsel', '']</t>
  </si>
  <si>
    <t>['best', 'dev', 'mendengar', 'keluhan', 'aplikasi', 'kompatibel', 'android', '']</t>
  </si>
  <si>
    <t>['pulsa', 'hilang', 'kagak', 'rugi', 'rugi']</t>
  </si>
  <si>
    <t>['mboh', 'tekomsel', 'mahal']</t>
  </si>
  <si>
    <t>['mebcoba', 'keberuntungan']</t>
  </si>
  <si>
    <t>['mengecewakan', 'update', 'beli', 'paket', 'masuk', 'masuk', 'pulsa', 'sedot', 'udh', 'sampe', 'puluhan', 'pulsa', 'ambil', 'parah', 'telkomsel', 'malu', 'liat', 'smua', 'ulasan', 'kek', 'gini', 'aduh', 'aduh', 'aduh']</t>
  </si>
  <si>
    <t>['', 'telkomsel', 'buka', 'date', 'ill', 'feel', 'deh', '']</t>
  </si>
  <si>
    <t>['aneh', 'dapet', 'vocer', 'discoutn', 'ribu', 'dipake', 'vocer', 'pajangan', 'doang', 'nyesel', 'apk', 'diupdate', 'buka', 'mytelkomsek', 'buruk', 'pelayananya', 'diupdate', 'buka', 'apk', 'sumpah', 'nyesel', 'update', 'telkomsel', 'dibuka', 'pelayananya', 'buruk', 'kaya', 'sinyalnya', 'buruk', 'bales', 'operator', 'gara', 'update', 'cape', 'daily', 'cek']</t>
  </si>
  <si>
    <t>['penukaran', 'jaringan', 'sibuk', 'saldo', 'dikembalikan', 'giliran', 'poin', 'hangus', 'suksez', 'memanglah', 'penipu', 'bintang']</t>
  </si>
  <si>
    <t>['buka', 'orang', 'download', 'paket', 'udh', 'download', 'ntar', 'nyesek']</t>
  </si>
  <si>
    <t>['topup', 'knp', 'tulisan', 'akses', 'jangkau', 'silahkan', 'beranda', 'why', 'knpaa', 'asw']</t>
  </si>
  <si>
    <t>['kemudahan', 'membeli', 'paket', 'kuota', 'data', 'harga', 'murah', 'pertahankan', 'promo', 'murahnya']</t>
  </si>
  <si>
    <t>['mudah', 'mudahan', 'voucher', '']</t>
  </si>
  <si>
    <t>['mudah', 'cepat', 'thx', 'mytelkomsel']</t>
  </si>
  <si>
    <t>['halo', 'kak', 'telkomsel', 'desember', 'gangguan', '']</t>
  </si>
  <si>
    <t>['seng', 'isoh', 'buka', 'aplikasi', 'iki', 'seng', 'opo', 'seh', 'hadewhhhh']</t>
  </si>
  <si>
    <t>['berguna', 'kadang']</t>
  </si>
  <si>
    <t>['dimana', 'orang', 'aplikasi', 'aplikasi', 'kemudahan', 'penggunanya', 'aplikasi', '']</t>
  </si>
  <si>
    <t>['terima', 'kasih', 'dimigrasi', 'kartu', 'hallo', 'sayangnya', 'jaringan', 'lemot', 'tolong', 'diperbaiki', 'thx']</t>
  </si>
  <si>
    <t>['mohon', 'maaf', 'mengerti', 'tulis', 'silakan', 'tunggu', 'customer', 'service', 'sebentar', 'sellu', 'membatu', 'tolong', 'baca', 'komen', 'klw', 'pakai', 'apk', 'mengecewakan', 'mengecewakan']</t>
  </si>
  <si>
    <t>['nyesel', 'beli', 'paket', 'aplikasi', 'udah', 'bayar', 'kuota', 'paket', 'masuk', 'kasih', 'notifikasi', 'pembayaran', 'gagal', 'uang', 'udah', 'hilang', 'paket', 'data', 'masuk', 'taik']</t>
  </si>
  <si>
    <t>['knpa', 'telkomsel', 'nda', 'buka', 'layar', 'putih']</t>
  </si>
  <si>
    <t>['aplikasi', 'desember', 'ngeblank', 'putih']</t>
  </si>
  <si>
    <t>['aduh', 'gimana', 'putih', 'trus', 'kebuka', 'apl', 'nyh', 'mohon', 'perbaiki']</t>
  </si>
  <si>
    <t>['kuota', 'full', 'aktif', 'internetan', 'jaringan', 'lancar', 'mohon', 'konfirmasi', 'telkomsel']</t>
  </si>
  <si>
    <t>['sayang', 'telkomsel', 'nggak', 'kuota', 'gratisan']</t>
  </si>
  <si>
    <t>['tolong', 'perusahaan', 'telkomsel', 'benahi', 'aplikasi', 'mytelkomsel', 'aplikasi', 'ngk', 'akses']</t>
  </si>
  <si>
    <t>['minggu', 'aplikasi', 'buka', '']</t>
  </si>
  <si>
    <t>['mantap', 'tukar', 'poin', 'diamond', 'gua', 'suka']</t>
  </si>
  <si>
    <t>['ngebug', 'admin', 'ngeblank', 'putih', 'apk', 'konsolll', 'apk', 'mending', 'pindah', 'kartu', 'dusta', 'kek', 'dakjallll']</t>
  </si>
  <si>
    <t>['makasih', 'memakai', 'telkomsel', 'berfungsi']</t>
  </si>
  <si>
    <t>['kali', 'instal', 'unisntal', 'aplikasi', 'kemaren', 'sempet', 'hub', 'call', 'center', 'tetep', 'pas', 'baca', 'koment', 'kaya', 'gitu', 'sempet', 'mikir', 'karna', 'muatan', 'iya', 'udah', 'ngikutin', 'saran', 'call', 'center', 'clear', 'chace', 'force', 'stop', 'tetep']</t>
  </si>
  <si>
    <t>['gua', 'update', 'ngulang', 'gerangan', 'apasih', 'telkom', '']</t>
  </si>
  <si>
    <t>['aplikasi', 'bagus', 'banget', 'beli', 'pulsa', '']</t>
  </si>
  <si>
    <t>['aplikasi', 'dibuka', 'punyaku', 'tok']</t>
  </si>
  <si>
    <t>['maaf', 'maaf', 'aplikasinya', 'error', 'dibuka', 'tolong', 'fix', 'cepat', 'kayak', 'epep']</t>
  </si>
  <si>
    <t>['aplikasinya', 'berguna', 'bangett', 'bang', 'dev', '']</t>
  </si>
  <si>
    <t>['sya', 'udah', 'kali', 'donwload', 'apk', 'apk', 'buka', 'hnya', 'muncul', 'layar', 'putih']</t>
  </si>
  <si>
    <t>['sumpah', 'kecewa', 'banget', 'tsel', 'down', 'grade', 'kualitasnya', 'jaringan', 'skarang', 'pesan', 'telp', 'gabisa', 'terhubung', 'nomor', 'ngajuin', 'keluhan', 'bot', 'tele', 'suruh', 'kode', 'gmn', 'kode', 'smsnya', 'kagak', 'nyampe', 'lambat', 'asli', 'udah', 'sekian', 'kartu', 'jga', 'tsel', 'gini', 'login', 'susah', 'nunggu', 'verif', 'kode', 'nyampe', 'nyampe', 'capek', 'tsel', '']</t>
  </si>
  <si>
    <t>['harga', 'paket', 'mahal', 'donk', 'bos']</t>
  </si>
  <si>
    <t>['tolong', 'rincian', 'knp', 'pulsa', 'terpotong', 'sisa', 'rupiah', 'sisa', 'pulsa', 'hilang', 'rincian', 'pemakaian', 'salah', '']</t>
  </si>
  <si>
    <t>['apk', 'bagus', 'pengguna', 'telkomsel']</t>
  </si>
  <si>
    <t>['tolong', 'respon']</t>
  </si>
  <si>
    <t>['beli', 'paket', 'jaringanya', 'mlh', 'lag']</t>
  </si>
  <si>
    <t>['berhentikan', 'paket', '']</t>
  </si>
  <si>
    <t>['kuat', 'jaringan', 'kuota', '']</t>
  </si>
  <si>
    <t>['woy', 'jaringan', 'telkomsel', 'teramat', 'sulit', 'sinyal', 'hilang', 'mohon', 'lekas', 'perbaiki', 'pelanggan', 'setia', 'telkom', 'tetep']</t>
  </si>
  <si>
    <t>['sinyal', 'bagus']</t>
  </si>
  <si>
    <t>['tolong', 'telkomsel', 'jaringannya', 'perkuat', 'daerah', 'kota', 'pandaan', 'jatim', 'jaringan', 'telkomsel', 'buruk', 'masak', 'kalah', 'indosat']</t>
  </si>
  <si>
    <t>['aplikasi', 'bermanfaat', 'konsumen', 'mudah', 'pinjaman', 'layanan', 'pelanggan', 'layak', 'bintang', '']</t>
  </si>
  <si>
    <t>['aplikasi', 'suruh', 'login', 'ulang', 'jaringan', 'buruk']</t>
  </si>
  <si>
    <t>['jaringan', 'kesini', 'tolol', 'simpati', 'bentar', 'bangkrut', '']</t>
  </si>
  <si>
    <t>['', 'hapus', 'ulasan', 'sinyal', 'panas', 'telkomsel', 'heran', 'kota', 'sinyal', 'batang']</t>
  </si>
  <si>
    <t>['aplksi', 'mytelkomsel', 'ngk', 'buka', 'udh', 'bln', 'ngk', 'buka', 'poin', 'bayak', 'tukar', 'gimana', '']</t>
  </si>
  <si>
    <t>['detik', 'blank', 'putih', 'setuju', 'uninstall', 'tinggalin', 'merugikan', '']</t>
  </si>
  <si>
    <t>['kurangi', 'layanan', 'konten', 'artis', 'bermamfaat', 'info', 'unreg', 'konten', 'konten', 'pnghisap', 'pulsa', 'perbanyak', 'layanan', 'konten', 'pendidikan', 'anak', 'anak', 'sekolah', '']</t>
  </si>
  <si>
    <t>['orang', 'kasih', 'rating', 'bagus', 'provider', 'kaya', 'doang', 'emang', 'bagus', 'telkomsel', 'pulsa', 'paket', 'mahal', 'sinyal', 'buruk', 'contoh', 'coba', 'bermain', 'game', 'internetan', 'jam', 'malam', 'sinyal', 'ngadat', 'pikir', 'jam', 'segitu', 'jiwa', 'istirahat', 'memainkan', 'sinyal', 'kuat', 'nge', 'lag', 'pulsa', 'paket', 'mahal', 'boros', 'paket', 'sedot', 'telkomsel', 'dlm', 'internetan']</t>
  </si>
  <si>
    <t>['tolong', 'jaringannya', 'maksimalkan', 'serasa', 'buruk', 'kartu', 'telkomsel', '']</t>
  </si>
  <si>
    <t>['kecewa', 'main', 'game', 'sinyal', 'merah', 'mulu', 'jelek', 'tolong', 'perbaiki', 'sinyal', 'kuota', 'sinyal', 'jelek', 'parah', 'banget']</t>
  </si>
  <si>
    <t>['membantu', 'mahal', 'coba', 'kurangi', 'dikit', 'harganya', '']</t>
  </si>
  <si>
    <t>['terimah', 'kasih', 'pelayanannya']</t>
  </si>
  <si>
    <t>['isi', 'pulsa', 'ribu', 'isi', 'kuota', 'telkomsel', 'pulsa', 'terbuang', 'tolong', 'perbaiki', 'pulsa', 'diembat', 'sistem', 'diperbaiki', 'merugikan', 'konsumen']</t>
  </si>
  <si>
    <t>['boro', 'buka', 'aplikasinya', 'jaringan', 'kuotanya', 'buka', 'mytelkomsel', 'boro']</t>
  </si>
  <si>
    <t>['signal', 'mendung', 'buka', 'paketnya', 'susah', 'kasih', 'bintang', 'penuh']</t>
  </si>
  <si>
    <t>['knp', 'pulsa', 'tersisa', 'beli', 'paket', 'berkrng', 'cek', 'ambil', 'bkrg', 'pulsa', 'susah', 'menyimpan', 'pulsa', 'aplikasi', '']</t>
  </si>
  <si>
    <t>['minggu', 'minggu', 'jaringan', 'jelek', 'tlg', 'diperhatikan']</t>
  </si>
  <si>
    <t>['bagus', 'banget', 'jaringan', 'ngg', 'putus', 'makasih', 'telkomsel', 'bagus', 'banget']</t>
  </si>
  <si>
    <t>['cocok', 'aman']</t>
  </si>
  <si>
    <t>['aplikasi', 'update', 'langsung', 'ngeblank', '']</t>
  </si>
  <si>
    <t>['tingkatkan', 'bonus', 'kuotanya']</t>
  </si>
  <si>
    <t>['telkomsel', 'telkomsel', 'th', 'pembelian', 'combosakti', 'murah', '']</t>
  </si>
  <si>
    <t>['layar', 'putih', 'berkali', 'kali', 'instal', 'uninstal', '']</t>
  </si>
  <si>
    <t>['aplikasi', 'mytelkomsel', 'ngk', 'bukak', 'pencet']</t>
  </si>
  <si>
    <t>['harganya', 'turun', '']</t>
  </si>
  <si>
    <t>['aplikasinya', 'ngeblur', 'deh', 'pdhl', 'sinyalnya', 'udah', 'oke', 'knpa', 'tetep', 'gabisa', 'ngeblur', 'tolong', '']</t>
  </si>
  <si>
    <t>['', 'nggak', 'buka']</t>
  </si>
  <si>
    <t>['maaf', 'numpang', 'telkomsel', 'paket', 'perpanjang', 'aktif', 'kartu', 'aktif', 'quota', '']</t>
  </si>
  <si>
    <t>['menguntungkan']</t>
  </si>
  <si>
    <t>['kuota', 'mahal', 'jaringan', 'pas', 'pasan']</t>
  </si>
  <si>
    <t>['bagus', 'banget', 'bermanfaat']</t>
  </si>
  <si>
    <t>['kualitas', 'signalnya', 'ditingkatkan', 'terimakasih']</t>
  </si>
  <si>
    <t>['tingkatkan', 'kualitas']</t>
  </si>
  <si>
    <t>['telkomsel', 'jelek', 'jelek', 'jelek', 'banget', 'sinyalnya', 'rumah', 'banget', 'jalan', 'raya', 'internet', 'mahal', 'jaringan', 'udah', 'kayak', 'sinyal', 'ilang', 'mulu', 'udah', 'malam', 'putus', 'sinyal', 'ampun', 'jelek', 'pengen', 'ganti', 'ganti', 'operator', 'deh', 'hubungi', 'apalah']</t>
  </si>
  <si>
    <t>['udah', 'coba', 'berhasil', 'layar', 'putih', '']</t>
  </si>
  <si>
    <t>['blm', 'dibuka']</t>
  </si>
  <si>
    <t>['good', 'terima', 'kasih', 'kerjasama', 'telkomsel', 'mudah', 'ber', 'komunikasi', 'semoga', 'bermanfaat']</t>
  </si>
  <si>
    <t>['telkomsel', 'gimana', 'paket', 'udah', 'ganti', 'helo', 'bagus', 'gila', 'masak', 'masuk', 'rumah', 'jaringan', 'berubah', 'rumah', 'palling', 'parah', 'manteng', 'gila', 'gua', 'udah', 'pakai', 'kartu', 'simpati', 'helo', 'mahal', 'siknyalnya', 'buruk', 'paketnya', 'gb', 'kepakai', 'gb', 'sisanya', 'hangus', 'merugikan', 'bukanya', 'bagus', 'bobrok', 'rusak', 'ganti', 'kasusnya']</t>
  </si>
  <si>
    <t>['', 'bgets', 'tpi', 'tlng', 'tingkatkan', 'sinyal', 'jam', 'sibuk', 'pgi', 'siang', 'malam', 'hujan', 'melorot', 'bgts', 'alias', 'kendor', 'sinyalnya', 'kadang', 'strip', 'bro', 'okeh', 'salam', 'sukses', 'slalu', 'bro', 'okeh', 'amin']</t>
  </si>
  <si>
    <t>['terimakasih', 'informasinya', 'membantu', 'proses']</t>
  </si>
  <si>
    <t>['bsa', 'buka', 'pdhal', 'gua', 'mahal', 'dsar', 'apk', 'jls']</t>
  </si>
  <si>
    <t>['taun', 'memakai', 'telkomsel', 'kecewa', 'pelayanan', 'kendala', 'konsumen', 'iya', 'lupa', 'provider', 'swasta', 'pantes', 'kacau', 'kaya', 'pemerintahan', '']</t>
  </si>
  <si>
    <t>['mls', 'ajg', 'jaringan', 'kaya', 'merah', 'murah', 'paketnya', 'mahal', 'doang', 'stabil', 'kaga']</t>
  </si>
  <si>
    <t>['apk', 'kadang', 'gabisa', 'dibuka', 'membeli', 'paket', 'kuota', 'suka', 'pending', 'gabeli']</t>
  </si>
  <si>
    <t>['telkomsel', 'setau', 'poin', 'cuman', '']</t>
  </si>
  <si>
    <t>['jaringan', 'sinyal', 'internet', 'mengecewakan', 'telkomsel', 'keluhan', 'doank', 'sinyal', 'sampe', 'kualitas', 'buruk', 'mahal', 'damn']</t>
  </si>
  <si>
    <t>['perdana', 'murah', 'paket', 'data', 'mahal', '']</t>
  </si>
  <si>
    <t>['mksih', 'layanannya', 'berguna', 'bget', 'murah']</t>
  </si>
  <si>
    <t>['pas', 'isi', 'pulsa', 'beli', 'combo', 'sakti', 'pulasa', 'pas', 'beli', 'paket', 'pas', 'cek', 'pulsa', 'hilang', 'gimana', 'tolong', 'kembalikan', 'pulsa']</t>
  </si>
  <si>
    <t>['login', 'blank', 'putih', 'trus', 'sialan', 'suruh', 'lapor', 'komen', 'coba', 'habis', 'pikir', 'ngeluh', 'diem', 'bae', '']</t>
  </si>
  <si>
    <t>['blank', 'putih', 'doang', '']</t>
  </si>
  <si>
    <t>['kecewa', 'ama', 'telkomsel', 'jaringan', 'okey', 'mantep', 'pulsa', 'ambil', 'mulu', 'beli', 'pulsa', 'rb', 'diemin', 'mengunakan', 'data', 'kartunya', 'copot', 'dlu', 'ehk', 'pulsa', 'ambil', 'rb', 'gimana', 'tolong', 'ambil', 'pulsa', 'didiemin', 'ngelunjak', 'udah', 'cape', 'beli', 'pulsa', 'ehk', 'pas', 'cek', 'ngak']</t>
  </si>
  <si>
    <t>['aplikasinya', 'bagus', 'bermanfaat', '']</t>
  </si>
  <si>
    <t>['maaf', 'kpd', 'telkomsel', 'bintang', 'setia', 'ngalamin', 'permainin', 'kaya', 'gini', 'tower', 'telekomunikasi', 'matiin', 'jam', 'siang', 'sorenya', 'sore', 'perbaikan', 'tower', 'udah', 'jam', 'segitu', 'mati', 'sinyal', 'dimana', 'orang', 'lokasi', 'kab', 'bandung', 'kec', 'pacet', 'des', 'girimulya', 'mohon', 'tanggapan', 'keluhan', 'ttangga']</t>
  </si>
  <si>
    <t>['apk', 'telkomsel', 'susah', 'dibuka', 'tampil', 'warna', 'putih', 'gmna']</t>
  </si>
  <si>
    <t>['apk', 'menarik']</t>
  </si>
  <si>
    <t>['nambah', 'point', 'gimana', 'udah', 'top', 'pulsa']</t>
  </si>
  <si>
    <t>['coba', 'bnr', 'dpt', 'hadiah', 'nuker', 'poin', 'udah', 'lgsg', 'ksh', 'bintang', '']</t>
  </si>
  <si>
    <t>['beli', 'paket', 'pakai', 'pulsa', 'biaya', 'buka', 'aplikasi', 'setara', 'rupiah', '']</t>
  </si>
  <si>
    <t>['', 'bsa', 'masuk']</t>
  </si>
  <si>
    <t>['semoga', 'bagus']</t>
  </si>
  <si>
    <t>['suka', 'aplikasi', 'ngak', 'kebuka', 'aplikasi', 'udah', 'hapus', 'download', 'ulang', 'tpi', 'ngak', 'kebuka', 'tolong', 'donk', 'info', 'penyebab', '']</t>
  </si>
  <si>
    <t>['respon', 'aplikasi', 'buka', 'kendalanya']</t>
  </si>
  <si>
    <t>['telkomsel', 'mantap', 'jaringan', 'guoblok', 'jarak', 'meter', 'ama', 'tower', 'ples', 'blok', 'jaringan', 'jembotttt']</t>
  </si>
  <si>
    <t>['update', 'versi', 'terbaru', 'masuk', 'apk', '']</t>
  </si>
  <si>
    <t>['aplikasi', 'bagus', 'memudahkan', 'info', 'reward', 'telkomsel', 'tingkatkan', 'kualitas', 'hadianya']</t>
  </si>
  <si>
    <t>['kecewa', 'ama', 'telkomsel', 'tolong', 'perbaiki', 'udah', 'bolak', 'instal', 'ngeblank', 'kecewa', '']</t>
  </si>
  <si>
    <t>['sinyalnya', 'tydack', 'ramah', 'emot', 'batu', '']</t>
  </si>
  <si>
    <t>['membantu', 'sya', 'suka']</t>
  </si>
  <si>
    <t>['mantap', 'kasih', 'paket', 'maurah']</t>
  </si>
  <si>
    <t>['lemot', 'banget', 'jaringan', 'luwh', 'ngasu', 'berjam', 'jam', 'jaringan', 'mentok', 'udah', 'lemot', 'mentok', 'kb', '']</t>
  </si>
  <si>
    <t>['sangt', 'membntu']</t>
  </si>
  <si>
    <t>['udah', 'bolak', 'instal', 'uninstal', 'error', 'min', 'layar', 'putih', 'ngebreeze', 'logout', '']</t>
  </si>
  <si>
    <t>['tolong', 'hapus', 'konten', 'konten', 'merugikan', 'costumer', 'ringtone', 'berbayar', 'dll']</t>
  </si>
  <si>
    <t>['nicee', 'international']</t>
  </si>
  <si>
    <t>['', 'beli', 'paket', 'aplikasi', 'mulu', 'keterangan', 'proses', 'taunya', 'sampe', 'pulsa', 'nyusut', 'disedot', 'internet', 'reguler', 'nyeseg', 'aing']</t>
  </si>
  <si>
    <t>['uda', 'mahal', 'unggulin', 'kesini', 'memuaskan', 'menurun']</t>
  </si>
  <si>
    <t>['tgl', 'des', 'internet', 'telkomsel', 'mengecewakan', 'bagus', 'aman', 'aman', 'jelek', 'gini', 'internetnya', 'coba', 'you', 'tube', 'reso', 'macet', 'macet', 'fps', 'lancar', 'jaya', 'biarpun', 'penggunaan', 'data', 'tetep', 'lancar', 'gb', 'udah', 'macet', 'lag', 'pakek', 'main', 'game', 'nonton', 'you', 'tube', 'reso', 'mohon', 'perbaiki', '']</t>
  </si>
  <si>
    <t>['pakai', 'aplikasinya', 'blank', '']</t>
  </si>
  <si>
    <t>['dear', 'telkomsel', 'yak', 'nonton', 'tiktok', 'youtube', 'facebook', 'bersifat', 'video', 'ama', 'foto', 'lancar', 'main', 'game', 'online', 'lag', 'telkomsel']</t>
  </si>
  <si>
    <t>['isi', 'paketan', '']</t>
  </si>
  <si>
    <t>['isi', 'pulsa', 'rb', 'apk', 'dana', 'tanggal', 'des', 'pkl', 'pkl', 'tpi', 'rb', 'masuk', 'bertanggung', '']</t>
  </si>
  <si>
    <t>['aplikasi', 'brkualitas', 'sebanding', 'dngan', 'nama', 'telkomsel']</t>
  </si>
  <si>
    <t>['telkomsel', 'putih', 'gitu', 'layarnya', 'tolong', 'diperbaiki']</t>
  </si>
  <si>
    <t>['paketan', 'nomor', 'sya', 'mahal', 'banget', 'combo', 'sakti', 'beda', '']</t>
  </si>
  <si>
    <t>['dibuka', 'blank', 'putih']</t>
  </si>
  <si>
    <t>['beli', 'paket', 'aplikasi', 'telkomsel', 'white', 'screen', 'sudab', 'uninstal', 'apk', 'reset', 'data', 'tetep', 'buka', 'apk', 'tolong']</t>
  </si>
  <si>
    <t>['janji']</t>
  </si>
  <si>
    <t>['aplikasi', 'telkomsel', 'dibuka', 'udh', 'install', 'uninstall', 'kali', 'tetep', 'error', 'aplikasinya', '']</t>
  </si>
  <si>
    <t>['oke', 'banget']</t>
  </si>
  <si>
    <t>['layar', 'putih', 'buka', 'coba', 'lakukan', 'stop', 'force', 'hapus', 'data', 'berhasil', '']</t>
  </si>
  <si>
    <t>['udah', 'paket', 'mahal', 'sinyal', 'buruk']</t>
  </si>
  <si>
    <t>['susah', 'membuka', 'aplikasi', 'solusi', 'telkomsel']</t>
  </si>
  <si>
    <t>['operator', 'bangsad', 'kuota', 'tetep', 'pulsa', 'ilang', 'kesedot', 'ngapa', 'telkom', 'asw', 'dikomen', 'pulsa', 'ilang', 'bgsd']</t>
  </si>
  <si>
    <t>['gimana', 'apk', 'sebulan', 'gini', 'buka', 'layar', 'putih', 'update', 'versi', 'terbaru', 'bagus', 'jelek', 'buka']</t>
  </si>
  <si>
    <t>['eror', 'buka', 'android', '']</t>
  </si>
  <si>
    <t>['gampang', 'cek', 'pulsa', 'hadiahnya', '']</t>
  </si>
  <si>
    <t>['keluhan', 'palnggan', 'smua', 'aplikasi', 'buka', 'kluar', 'haya', 'layar', 'putih']</t>
  </si>
  <si>
    <t>['terpakai']</t>
  </si>
  <si>
    <t>['pulsa', 'habis', 'internet', 'membeli', 'paket', 'internet', 'bulanan', 'rating', 'full', 'perubahan']</t>
  </si>
  <si>
    <t>['telkomsel', 'nomor', 'download', 'buka', 'srh', 'isi', 'paket', 'isi', 'msh', 'buka', 'telkomsel', 'ber', 'ulng', 'solusi', 'selesai', 'cape', 'ngurusnya', 'juancuk', 'telkomsel']</t>
  </si>
  <si>
    <t>['serelah', 'perbarui', 'buka', 'tampilan', 'aplikasi', 'layar', 'berwarna', 'putih', '']</t>
  </si>
  <si>
    <t>['kali', 'pulsa', 'habis', 'tersedot', 'pasang', 'paket', 'data', 'bantuan', 'balas', 'dilayani', 'payah', 'telkomsel', '']</t>
  </si>
  <si>
    <t>['mytelkomsel', 'blank', 'aplikasi', 'dibuka', 'blank']</t>
  </si>
  <si>
    <t>['poin', 'tuker', 'paket', 'kuota', 'hoaaaaamm']</t>
  </si>
  <si>
    <t>['kecewa', 'jaringan', 'telkomsel', 'batam', 'paket', 'msih', 'gb', 'nge', 'game', 'sosmed', 'msih', 'ngeleg', 'loading', 'tolong', 'perbaiki', 'min']</t>
  </si>
  <si>
    <t>['woi', 'telkom', 'babi', 'jaringan', 'kau', 'jelek', 'kali', 'aj', 'bahusilah', 'dlu', 'babi', 'update', 'trs', 'bagus', 'jaringan', 'hbs', 'paket', 'babi', 'apk', 'naram', 'dama', 'aj', 'sakit', 'kali', 'hati', 'tos', 'gara', 'jaringan', '']</t>
  </si>
  <si>
    <t>['mudah', 'beli', 'paket', 'data']</t>
  </si>
  <si>
    <t>['punyaku', 'nggak', 'dibuka', 'aplikasi', 'udah', 'coba', 'berkali', 'tetep', 'nggak', 'udah', 'coba', 'unistal', 'instal', 'tetep', 'kayak', 'gitu', 'muncul', 'layar', 'putih', 'gitu']</t>
  </si>
  <si>
    <t>['gmna', 'buka', 'app', 'loading', 'putih']</t>
  </si>
  <si>
    <t>['baguss', 'semoga', 'meningkatkan', 'pelayanan', 'jaringan', 'promo', 'kuota']</t>
  </si>
  <si>
    <t>['buka', 'aplikasinya', 'coba', 'perbaikan']</t>
  </si>
  <si>
    <t>['sinyal', 'kesini', 'parah', 'not', 'worth', 'harga', 'paket', 'mahal', '']</t>
  </si>
  <si>
    <t>['', 'dibuka', 'blank', 'putih', 'doang']</t>
  </si>
  <si>
    <t>['knp', 'apk', 'ngak', 'buka', 'coba', 'jam', 'udah', 'copot', 'apk', 'pasang', 'masuk', 'knp', '']</t>
  </si>
  <si>
    <t>['simpati', 'tpi', 'akdr', 'kluhan', 'sdk', 'kali', 'turun', 'hujan', 'signal', 'erorr', 'hujn', 'berhnti', 'normal', 'stabil', 'knapa', 'mga', 'kdpnnya', 'mkn', 'jos', 'mkn', 'sukses', 'mkn', 'jaya', 'udara']</t>
  </si>
  <si>
    <t>['tolong', 'program', 'tukar', 'poin', 'bsa', 'tukar', 'pulsa', 'hadiah', 'uda', 'nuker', 'berkali', 'kali', 'tpi', 'dapet']</t>
  </si>
  <si>
    <t>['aktivasi', 'ngapain', 'kerjanya', 'udah', 'aktivitas', 'butuh', 'paketan', '']</t>
  </si>
  <si>
    <t>['berbagi', 'internet', 'semenjak', 'paket', 'combo', 'sakti', 'paket', 'multimedia', 'total', 'paket', 'flash', 'bermanfaat', 'kemana', 'dimanapun']</t>
  </si>
  <si>
    <t>['gimana', 'bantuan', 'app', 'telkomsel', 'buka', 'ngak', 'whatsapp', 'balas', 'veronika', 'veronika', 'sekelas', 'telkomsel', 'ancur', 'banget', 'ayokkk', 'bantuin', 'ngak', 'liat', 'pengguna', 'kasih', 'bintang']</t>
  </si>
  <si>
    <t>['stabil', 'cuman', 'kdng', 'lemot', 'ngga', 'akses', 'full', 'signal', '']</t>
  </si>
  <si>
    <t>['terimah', 'kasi', 'bisah', 'belih', 'datamligi', 'makasih', 'telkomsel', '']</t>
  </si>
  <si>
    <t>['ayo', 'aplikasi', 'fitur', 'kontrol', 'pulsa', 'pulsa', 'terpotong', 'layanan', 'telkomsel', 'kecewa', 'pulsa', 'terpotong', 'akibat', 'penggunaan', 'akses', 'internet', 'kuota', 'internet', 'wifi', 'terpotong', 'sms', 'banking', 'sms', 'langganan', '']</t>
  </si>
  <si>
    <t>['habis', 'update', 'tampilan', 'putih', 'doang', 'tunggu', 'menit', 'tetep', 'ajah', 'kek', 'gini', 'gitu', 'kmaren', 'update', '']</t>
  </si>
  <si>
    <t>['ssngat']</t>
  </si>
  <si>
    <t>['bagus', 'bangat', 'gampang', 'penggunaanya', 'terkadang', 'lemot']</t>
  </si>
  <si>
    <t>['bgus', 'jringannya', 'hrus', 'tingkatkn', 'kdang', 'ilang', 'timbul']</t>
  </si>
  <si>
    <t>['aplikasinya', 'nggak', 'buka', 'udah']</t>
  </si>
  <si>
    <t>['aplikasi', 'mytelkomsel', 'rekonstruksi', 'terpenting', 'akses', 'internet']</t>
  </si>
  <si>
    <t>['kirain', 'ngalami', 'buka', 'app', 'taunya', 'spt', 'alami', 'anehnya', 'telkomsel', 'slow', 'respon', 'app', 'ngefek', 'lola', 'instal', 'normal', 'berbulan', 'app', 'telkomsel', 'bintang', '']</t>
  </si>
  <si>
    <t>['pulsa', 'hilang', 'pulsa', 'ngambil', 'hadiah', 'daily', 'checkin']</t>
  </si>
  <si>
    <t>['berharap', 'aplikasi', 'fitur', 'pelindung', 'pulsa', 'apalah', 'istilahnya', 'pokoknya', 'pdhal', 'kuota', 'pulsa', 'duluan', 'abis']</t>
  </si>
  <si>
    <t>['harga', 'mahal', 'kuotanya', 'dikit', 'lemot', 'kagak', 'ngotak', 'pulsa', 'kepotong', 'pas', 'beli', 'paket', 'suka', 'eror', 'untung', 'rugi']</t>
  </si>
  <si>
    <t>['gimana', 'telkomsel', 'instal', 'uninstal', 'tttp', 'blank', 'layarnya', 'putih', 'android', 'android', 'dibawah', 'aneh', '']</t>
  </si>
  <si>
    <t>['udah', 'instal', 'uninstal', 'aplikasinya', 'ttp', 'suruh', 'hubungan', 'konfirmasi', 'kelian', 'pengguna', 'aplikasi', 'suruh', 'bot', 'baca', 'woiiii', 'bacaaa']</t>
  </si>
  <si>
    <t>['najis', 'simpati', 'bapuk', 'jaringan', 'udh', 'ngeluh', 'ksana', 'kemarin', 'suruh', 'seting', 'udh', 'seting', 'bapuk', 'ganti', 'kartu', 'jaringan', 'trus', 'najis', 'najis', 'kalah', 'povider', 'sblah']</t>
  </si>
  <si>
    <t>['telkomsel', 'bagus', 'sinyal', 'pengunanya', 'kemahalan', 'harganya', 'bermain', 'game', 'stabil', 'membuka', 'sosmed', 'stabil', 'cepat', 'main', 'game', 'lambat', 'mohon', 'perbaiki', 'terpenting', 'game', 'lancar', 'bermai']</t>
  </si>
  <si>
    <t>['aman', 'terkendali', '']</t>
  </si>
  <si>
    <t>['karna', 'internetan', 'skali']</t>
  </si>
  <si>
    <t>['aplikasinya', 'berfungsi', 'sesuai', 'kebutuhan']</t>
  </si>
  <si>
    <t>['gampang', 'mengisi', 'kuota']</t>
  </si>
  <si>
    <t>['hallo', 'apk', 'whiteacreen', 'trus']</t>
  </si>
  <si>
    <t>['mengecewakan', '']</t>
  </si>
  <si>
    <t>['', 'telkomsel', 'gini', 'mengecewakan', 'pelanggan', 'aplikasi', 'telkomsel', 'ngebleng', 'putih', 'tetus', 'kacau', 'gini', 'caranyama', '']</t>
  </si>
  <si>
    <t>['aplikasi', 'telkomsel', 'knp', 'min', 'upgrade', 'kmrn', 'byk', 'kagak', 'buka', 'pdhal', 'udh', 'diperbaharui', 'samsung', 'open', 'aplikasinya', 'tolong', 'telkonsel', 'pelayananya', 'tingkatkan', 'pelanggan', 'kartu', 'hallo', 'pindah', 'kelain', 'kartu', '']</t>
  </si>
  <si>
    <t>['buruk', 'upgrade', 'dibuka', 'layar', 'putih', 'doang', '']</t>
  </si>
  <si>
    <t>['ganti', 'pulsa', 'asw', 'pulsa', 'sisa', 'hilang', 'belom', 'dipake']</t>
  </si>
  <si>
    <t>['', 'bapa', 'eror', 'aplikasi', 'telkomselnya', 'error', 'berkali', 'coba', 'ttp', 'uninstal', 'instal', 'ttp', 'huhuuuu', 'kesel']</t>
  </si>
  <si>
    <t>['beli', 'paket', 'aplikasi', 'gojek', 'shopee', 'dll', 'kah', '']</t>
  </si>
  <si>
    <t>['mahal', 'harga', 'paketnya', 'pulsa', 'raib', 'kuota', 'internet', 'komplain', 'admin', 'jaringan', 'internetnya', 'jelek', 'kepakai', 'pulsa', 'utama', 'lho', 'emang', 'salah', 'sinyal', 'ilang', 'mah', 'urusan', 'provider', 'masaiya', 'konsumen', 'dirugikan', 'ngisi', 'pulsa', 'dibeli', 'pakai', 'duit', 'cuy', '']</t>
  </si>
  <si>
    <t>['semoga', 'pelayanannya', 'tamvah', 'memuaskan']</t>
  </si>
  <si>
    <t>['aduh', 'diupgrade', 'ketipu', 'dibuka', 'blank', 'putih', 'lemot', 'loading', '']</t>
  </si>
  <si>
    <t>['udah', 'merajalela', 'sungguh', 'menyakitkan', 'beli', 'paket', 'ulang', 'kali', 'transaksi', 'berhasil', 'pulsa', 'kemalingan', 'pulsa', 'perakkk', 'hitung', 'pulsa', 'pakek', 'hilang', 'kerjamu', 'telkomselll']</t>
  </si>
  <si>
    <t>['jual', 'kuota', 'internet', 'jualan', 'emas', '']</t>
  </si>
  <si>
    <t>['', 'desember', 'buka', 'apknya', 'blank', 'putih']</t>
  </si>
  <si>
    <t>['telkomsel', 'ajar', 'udah', 'ganti', 'berbeda', 'pakai', 'habis', 'install', 'blank', 'putih', 'doank', 'muncul', 'udah', 'biaya', 'mahal', 'pelayanan', 'nggak', 'akhlak', 'kecewaaaaaa', '']</t>
  </si>
  <si>
    <t>['blank', 'putih', 'doang', 'sebulan']</t>
  </si>
  <si>
    <t>['aplikasinya', 'pakai', 'bln', 'setelahnya', 'blank', 'uninstall', 'install', 'blank', '']</t>
  </si>
  <si>
    <t>['kuota', 'mahal', 'sinyal', 'jelek', '']</t>
  </si>
  <si>
    <t>['kog', 'update', 'menunya', 'ngga', 'muncul', 'tampilannya', 'layar', 'putih', 'udh', 'bolak', 'hapus', 'instal', 'gitu', '']</t>
  </si>
  <si>
    <t>['pilihan', 'internet']</t>
  </si>
  <si>
    <t>['kecewa', 'layanan', 'membantu', 'heran', 'daftar', 'telkomsel', 'pulsa', 'berkurang']</t>
  </si>
  <si>
    <t>['jaringan', 'tingkatkan', 'paket', 'murahkan']</t>
  </si>
  <si>
    <t>['update', 'versi', 'dibuka', 'aplikasinya', 'blank', 'putih', 'versi', '']</t>
  </si>
  <si>
    <t>['bkin', 'apliksi', 'yng', 'bner', 'buka', 'lemot', 'main']</t>
  </si>
  <si>
    <t>['update', 'knpa', 'buka']</t>
  </si>
  <si>
    <t>['udah', 'buka', 'aplikasi', 'layar', 'ngeblank', 'warna', 'putih', 'parah']</t>
  </si>
  <si>
    <t>['min', 'tolong', 'paket', 'murah', 'adain']</t>
  </si>
  <si>
    <t>['min', 'tolong', 'perbaiki', 'sinyal', 'beli', 'mahal', 'mahal', 'lag', 'mending', 'operator', 'sebelah']</t>
  </si>
  <si>
    <t>['maling', 'pulsa', 'emang', 'bonus', 'reward', 'daily', 'cek', 'pulsa', 'keambil', 'udah', 'kuotanya', 'kecewa', 'banget', 'suer', 'udah', 'berulang', 'ulang', 'mohon', 'diperbaiki', 'diperiksa', 'kembaliin', 'pulsaku']</t>
  </si>
  <si>
    <t>['download', 'telkomsel', 'berkali', 'dbuka', 'koq', 'ngg', 'ngeblank', 'dlayar', 'download', 'aplikasi']</t>
  </si>
  <si>
    <t>['suaranya', 'jernih']</t>
  </si>
  <si>
    <t>['telkomsel', 'knp', 'sinyal', 'jelek', 'terusss', 'main', 'gemes', 'lag', 'sinyal', 'tetep', 'jelek', 'betah', 'telkomsel', 'tolong', 'perbaiki', 'mahal', 'doang']</t>
  </si>
  <si>
    <t>['aplikasi', 'bagus', 'promo', 'pokoknya', 'bagus', 'bangeeeeeeeeeeet', '']</t>
  </si>
  <si>
    <t>['telkomsel', 'emang', 'jos', '']</t>
  </si>
  <si>
    <t>['tujuan', 'telkomsel', 'staf', 'staf', 'grapari', 'kesibukan', 'telkomsel', 'pemasukan', '']</t>
  </si>
  <si>
    <t>['telkomsel', 'buka', 'muncul', 'putih', 'uninstall', 'instal', 'hasilnya', 'mohon', 'diperbaiki']</t>
  </si>
  <si>
    <t>['maaf', 'may', 'telkomsel', 'signal', 'minggu', 'susah', 'mengakses', 'internet', 'telkomsel', 'kali', 'kendala', 'mohon', 'pemberitaunya', 'sekian', 'trimakasih', 'assalamualaikum', 'warahmatullahi', '']</t>
  </si>
  <si>
    <t>['memudahkan', 'beli', 'kuota', 'internet']</t>
  </si>
  <si>
    <t>['ngeblank', 'putih', 'masuk', 'udh', 'tunggguin', 'ngeblank']</t>
  </si>
  <si>
    <t>['mudah', 'dlm', 'cek', 'kuota']</t>
  </si>
  <si>
    <t>['telkomsel', 'jelek', 'kuota', 'yutube', 'gb', 'nonton', 'yutube', 'lemot', 'kuota', 'internet', 'bagus', 'sinyal', 'aneh', 'nga', 'demen', 'telkomsel']</t>
  </si>
  <si>
    <t>['buka', 'aplikasi', 'mohon', 'petunjuknya']</t>
  </si>
  <si>
    <t>['gimana', 'tenggang', 'telkomsel', 'paket', 'seminggu', 'udah', 'habis', 'tenggang', 'kuota', 'telkomsel', 'pelanggan', 'sombong', 'seminggu', 'hitungannya', 'telkomsel', 'sultan', 'simpati', 'kesini', 'mahal', 'kasih', 'reward', 'donk', 'pelanggannya', 'payah', '']</t>
  </si>
  <si>
    <t>['susah', 'masuk', '']</t>
  </si>
  <si>
    <t>['ruwetnya', 'aplikasi', 'pindah', 'im', '']</t>
  </si>
  <si>
    <t>['kesini', 'mahal', 'paketan', 'beli', 'paket', 'ribu', 'beli', 'paket', 'harga', '']</t>
  </si>
  <si>
    <t>['provider', 'terbaik', 'termahal', 'kualitas', 'pelayanan', 'minim', '']</t>
  </si>
  <si>
    <t>['bagus', 'memudahkan', 'beli', 'paket', 'tukar', 'poin', 'cek', 'pulsa', 'kuota']</t>
  </si>
  <si>
    <t>['kasi', 'bintang', 'sbb', 'pakai', 'tahunan']</t>
  </si>
  <si>
    <t>['liat', 'layar', 'putih']</t>
  </si>
  <si>
    <t>['akses', 'internet', 'mudah', 'kuwalitas', 'jaringan', 'jarang', 'lelet']</t>
  </si>
  <si>
    <t>['aplikasi', 'telkomsel', 'terbuka']</t>
  </si>
  <si>
    <t>['tambahin', 'menu', 'riwayat', 'isi', 'pulsa', 'kak', 'info', 'pulsa', 'masuk', 'apk']</t>
  </si>
  <si>
    <t>['promo', 'paket', 'murahnya', '']</t>
  </si>
  <si>
    <t>['knp', 'telkomsel', 'android', 'versi', '']</t>
  </si>
  <si>
    <t>['update', 'layarnya', 'putih', 'beli', 'paket', 'susah', '']</t>
  </si>
  <si>
    <t>['', 'masuk']</t>
  </si>
  <si>
    <t>['udah', 'sebulan', 'buka', 'app', 'blaklnk', 'udah', 'mention', 'twitter', 'respon', 'payah']</t>
  </si>
  <si>
    <t>['download', 'kali', 'dibuka', 'sebanding', 'harga', 'paket', 'internetnya', 'mohon', 'diperbaiki', 'tks']</t>
  </si>
  <si>
    <t>['oke', 'pokoknya', 'setia', 'pelanggan', 'telkomsel', '']</t>
  </si>
  <si>
    <t>['suka', 'telkomsel']</t>
  </si>
  <si>
    <t>['jaringan', 'jelek', 'harga', 'kouta', 'tukar', 'poin', 'paket', 'data', 'tetep', 'bayar', 'pakai', 'pulsa', 'poin', 'menyesal', 'pakai', 'telkomsel', 'pakai', 'kartu', 'kartu', 'poin', 'tukar', 'pakat', 'data', 'sinyalnya', 'setabil', 'jujur', 'sumpah', 'tuhan', 'pakai', 'telkomsel', 'suruh', 'orang', 'tua', 'enak', 'nelpon', 'telkomsel', 'jijik', 'endingnya', 'sprti', 'salam', 'bandar', 'lampung', 'tolong', 'dpermudah', '']</t>
  </si>
  <si>
    <t>['donloat', 'terhapus', 'skarang', 'coba', 'blm', 'bntg', '']</t>
  </si>
  <si>
    <t>['bagus', 'bangat', 'makasi', 'telkomsel']</t>
  </si>
  <si>
    <t>['error', 'aplikasinya', 'instal', 'unistal', 'ttp', 'kayagitu', 'tolong', 'perbaiki', 'secepatnya', 'ngga', 'warna', 'putih', 'doank', '']</t>
  </si>
  <si>
    <t>['mantap', 'jaringan', 'bagus']</t>
  </si>
  <si>
    <t>['', 'perkuat', 'sinyal', 'pelosok', 'gunung', 'ari', 'laut', 'gedung', 'kokoh', 'tembus', 'sinyal', 'bescam', 'tembus']</t>
  </si>
  <si>
    <t>['wih', 'murah', '']</t>
  </si>
  <si>
    <t>['lemot', 'harga', 'paketan', 'mahal', 'geblek']</t>
  </si>
  <si>
    <t>['menyenangkan', 'promo']</t>
  </si>
  <si>
    <t>['claim', 'daily']</t>
  </si>
  <si>
    <t>['pas', 'youtube', 'kuota', 'utama', 'mengurang', 'kuota', 'unlimited', 'youtube', '']</t>
  </si>
  <si>
    <t>['mantap', 'respon', 'cepat', 'andalkan']</t>
  </si>
  <si>
    <t>['bln', 'notif', 'sms', 'sisa', 'kuota', 'mb', 'pulsa', 'rb', 'habis', 'terbuang', 'sia', 'sia', 'parah', 'skrg', 'kumat', 'pulsa', 'berondong', 'data', 'bangkeeee', 'update', 'uda', 'dlm', 'bln', 'desember', 'pulsa', 'kepotong', 'data', 'paraaaahhhhhhhhh', 'laporan', 'telkomsel', 'trus', 'karna', 'udah', 'paketan', 'internet', 'tsel', 'hrga', 'paketan', 'ketengan', 'turun', 'allah', '']</t>
  </si>
  <si>
    <t>['kesinih', 'sinyal', 'lemot']</t>
  </si>
  <si>
    <t>['perbaiki', 'jaringan', 'aplikasinya', 'tarip', 'mahal', 'service', 'pelanggan', '']</t>
  </si>
  <si>
    <t>['mantap', 'sayang', 'apk', 'android', 'seri', 'kebawah']</t>
  </si>
  <si>
    <t>['kembalikan', 'fitur', 'beli', 'paket', 'history']</t>
  </si>
  <si>
    <t>['sinyalku', 'anjg']</t>
  </si>
  <si>
    <t>['pembayaran', 'rumit']</t>
  </si>
  <si>
    <t>['', 'butuh', 'bantuan', 'telkomsel', 'hr', 'dibikin', 'kecewa', 'knp', 'buka', 'aplikasi', 'tokomsel', 'muncul', 'hny', 'layar', 'putih', 'masuk', 'twiter', 'hsl', 'nihil', 'paket', 'data', 'hbs', 'hrs', 'bekrja', 'tlg', 'bantu', 'knp', 'aplikasi', 'telkomsel', 'buka']</t>
  </si>
  <si>
    <t>['', 'kurangi', 'rupiahnya']</t>
  </si>
  <si>
    <t>['', 'bagus', 'nyaman', 'apk', 'ringan']</t>
  </si>
  <si>
    <t>['', 'kebuka', 'ngebleng', 'putih', 'trus', 'layarnya', 'tolong', 'perbaiki']</t>
  </si>
  <si>
    <t>['mantap', 'suka', 'teruskan', 'karya', 'telkomsel']</t>
  </si>
  <si>
    <t>['tolong', 'telkomsel', 'harga', 'paket', 'data', 'turunin', 'harganya', 'dikit', 'indonesia', 'mudah', 'bangkrut']</t>
  </si>
  <si>
    <t>['pemaksaan', 'anjim', 'buka', 'lite', 'trs', 'klik', 'link', 'slalu', 'notif', 'pinjaman', 'paket', 'data', 'mb', 'sngja', 'klik', 'bayar', 'bner', 'kouta', 'gua', 'ngapain', 'ngutank', 'kouta', 'asem', '']</t>
  </si>
  <si>
    <t>['jaringan', 'bagus', 'mantapppp']</t>
  </si>
  <si>
    <t>['tingkatkan', 'promosi', 'tambahkan', 'opsi', 'metode', 'pembayaran', 'memudahkan', 'proses', 'pembelian', 'kuota', '']</t>
  </si>
  <si>
    <t>['berguna', '']</t>
  </si>
  <si>
    <t>['harga', 'bersaing', 'signalnya', 'kuat', 'cepat', '']</t>
  </si>
  <si>
    <t>['lumahan', 'penambahan', 'bulannya']</t>
  </si>
  <si>
    <t>['telkomsel', 'menjangkau', 'masyarakat', 'ntt']</t>
  </si>
  <si>
    <t>['sinyal', 'bagus', 'biaya', 'ringan']</t>
  </si>
  <si>
    <t>['informasi', 'expired', 'sim', 'card', 'berubah', 'isi', 'pulsa', 'expirednya', 'februari', 'tahunya', 'seminggu', 'berubah', 'expirednya', 'desember', 'sms', 'internet', 'non', 'paket', 'data', 'internet', 'istri', 'anak', 'server', 'telkomsel', 'kena', 'virus', 'istri', 'anak', 'hang', 'servernya', 'informasinya', 'akurat', '']</t>
  </si>
  <si>
    <t>['membantu', 'keren', 'telkomsel']</t>
  </si>
  <si>
    <t>['telkomel', 'gagah', 'sekarng', 'lemah', 'buka', 'apk', 'susah', 'tolong', 'perbaiki']</t>
  </si>
  <si>
    <t>['knp', 'skrg', 'pke', 'link', 'bayar', '']</t>
  </si>
  <si>
    <t>['aplikasi', 'dibuka', 'samsung', 'galaxy', 'mohon', 'perbaiki', 'aplikasi', 'kesulitan', 'beli', 'quota', 'cek', 'quota', 'dll', '']</t>
  </si>
  <si>
    <t>['lumayan', 'mahal', 'harga', 'paket']</t>
  </si>
  <si>
    <t>['internet', 'kenceng', 'menghabiskan', 'kuota', 'utama', 'kuota', 'sosmed', '']</t>
  </si>
  <si>
    <t>['sinyal', 'lemot', 'sampe', 'bner', 'bner', 'gada', 'sinyal', 'gimana', 'coba']</t>
  </si>
  <si>
    <t>['aplikasi', 'daily', 'login', 'harian', 'gratis', 'internet', 'tolong', 'diproritaskan', 'terimaksih', '']</t>
  </si>
  <si>
    <t>['pakai', 'telkomsel', 'pokonya', 'mantap']</t>
  </si>
  <si>
    <t>['praktis', 'cepat']</t>
  </si>
  <si>
    <t>['masuk', 'apknya', 'layar', 'putih', 'trus', 'branda']</t>
  </si>
  <si>
    <t>['terima', 'kasih', 'telkomsel', 'pelayananx', 'berharap', 'layanan', 'tingkatkan', 'dimasa', 'bravo', 'jaya', 'trs', 'telkomsel', '']</t>
  </si>
  <si>
    <t>['aplikasi', 'kelas', 'teri', 'susah', 'buka', 'emosi', 'maaf', 'silahkan', 'hubungi', 'contact', 'person', '']</t>
  </si>
  <si>
    <t>['apk', 'download', 'dibuka']</t>
  </si>
  <si>
    <t>['aplikasi', 'memudahkan', 'membeli', 'paket', 'data', 'sisa', 'kuota', 'dapetin', 'hadiah', '']</t>
  </si>
  <si>
    <t>['pulsa', 'kuotanya', 'mahal', 'jaringan', 'internet', 'buruk', 'banget', '']</t>
  </si>
  <si>
    <t>['mencoba', 'memahami', 'kodisi', 'cuaca', 'nentu', 'nentuin', 'sinyal', 'telkom', 'ujan', 'gaada', 'sinyal', 'oke', 'min']</t>
  </si>
  <si>
    <t>['aplikasi', 'pilihan', 'utama']</t>
  </si>
  <si>
    <t>['aplikasi', 'kayak', 'gini', 'lihat', 'komen', 'komen', 'ngeblank', 'putih', 'udah', 'clear', 'cache', 'udah', 'hpus', 'data', 'udah', 'paksa', 'berhenti', 'udah', 'masuk', 'tetep', '']</t>
  </si>
  <si>
    <t>['update', 'bonus', 'paketan']</t>
  </si>
  <si>
    <t>['jaringan', 'telkomsel', 'hilang', 'mendadak', 'mahal', 'berkualitas']</t>
  </si>
  <si>
    <t>['mantab', 'praktis']</t>
  </si>
  <si>
    <t>['adakah', 'niat', 'telkomsel', 'meng', 'update', 'memperbaiki', 'aplikasi', 'keluhan', 'pengguna', 'aplikasi', 'buka', 'solusinya', 'konfirmasi', 'akun', 'twitter', 'telkomsel', 'dll', '']</t>
  </si>
  <si>
    <t>['kirain', 'akses', 'telkomsel', 'pengguna', 'keluhan', 'lho', 'min', 'berkas', 'sampah', 'chace', 'bersih', 'tetep', 'blank', 'putih', 'gitu', 'buka', 'aplikasinya', 'tolong', 'tindaklanjuti', '']</t>
  </si>
  <si>
    <t>['tampilannya', 'menarik', 'tolong', 'informasi', 'terupdate', '']</t>
  </si>
  <si>
    <t>['', 'dibuka', 'blank', 'putib', 'doank', 'suami', 'jadul', 'mdh', 'mlh', 'punyaku', 'blank', 'bkn', 'aplikasi', 'diakses', 'telkomsel', 'profesional', 'hrsny', 'pelayanan', 'sebanding', 'tarifny', 'mehong', 'poolll', '']</t>
  </si>
  <si>
    <t>['tingkatkan', 'promo', 'promo', 'des', 'yaa']</t>
  </si>
  <si>
    <t>['internet', 'telkomsel', 'bagus', 'memuaskan', 'signal', 'bagus']</t>
  </si>
  <si>
    <t>['turun', 'bintang', 'update', 'lemot', 'daily', 'chek', 'doang', 'all', 'network', 'kasian', 'didaerah', 'pulsa', 'kena', 'gures', 'jaringan', 'jelek', 'pulsa', 'hilang', 'internet', 'aktif', 'telkomsel', 'propider', 'kuota', 'habis', 'makan', 'pulsa', 'telkomsel', 'memakan', 'pulsa', 'trik', 'penjualan', 'telkomsel', 'maaf', 'maling', 'namanya', 'tolong', 'diperbaiki', 'kasih', 'bintang', 'terimakasih', '']</t>
  </si>
  <si>
    <t>['uninstal', 'ramai', 'dipake', 'aplikasi']</t>
  </si>
  <si>
    <t>['', 'buka', 'aplikasinya', 'kacaauuuuuu']</t>
  </si>
  <si>
    <t>['langaung', 'masuk', 'pembelian', 'pulsa']</t>
  </si>
  <si>
    <t>['', 'berguna', 'buka', 'aplimkasi', 'putih', '']</t>
  </si>
  <si>
    <t>['dbuka', 'telkomselnya']</t>
  </si>
  <si>
    <t>['slalu', 'terbaik']</t>
  </si>
  <si>
    <t>['', 'bntang', 'dlu', '']</t>
  </si>
  <si>
    <t>['parah', 'android', 'kebuka', 'nyesel', 'downlod']</t>
  </si>
  <si>
    <t>['moga', 'kedepannya', 'good', 'lack', 'telkomsel']</t>
  </si>
  <si>
    <t>['aplikasinya', 'bagus', 'infonya', 'lengkap', 'akurat', 'tingkatkan']</t>
  </si>
  <si>
    <t>['parah', 'abiz', 'telkomsel', 'beda', 'promonya', 'murah', 'buangett', 'menguragi', 'kwalitasnya', 'oky', 'jaya', '']</t>
  </si>
  <si>
    <t>['aplikasi', 'bener', 'in', 'udah', 'buka', 'ngblank', 'layar', 'putih', 'doang', 'kemarin', 'komen', 'aplikasi', 'benerin', 'komenan', 'hapusin', '']</t>
  </si>
  <si>
    <t>['memuaskan', 'pelayanan']</t>
  </si>
  <si>
    <t>['kecewa', 'update', 'cek', 'pulsa', 'kuota', 'belanja', 'paket', 'internet', 'telkomsel', 'buka', 'putih', 'pakai', 'bagus', 'jenis', 'samsung', 'buka', 'aplikasi', 'telkomsel', 'aplikasi', 'telkomsel', 'orang', 'kaya', 'murah', 'android', '']</t>
  </si>
  <si>
    <t>['bagus', 'berkualitas']</t>
  </si>
  <si>
    <t>['memudahkannpbelian', 'pulsa', 'paket', 'data']</t>
  </si>
  <si>
    <t>['', 'turunin', 'harga', '']</t>
  </si>
  <si>
    <t>['jelek', 'kebuka', '']</t>
  </si>
  <si>
    <t>['mantap', 'bagus', 'promo', 'hadiah', 'sayang', 'blm', 'dapet', 'hadiah', '']</t>
  </si>
  <si>
    <t>['menarik', 'bagus', 'menikmati']</t>
  </si>
  <si>
    <t>['jaringan', 'bagus', 'malem', 'cih', 'suka', 'kadang', 'kadang', 'ilang', 'jaringan']</t>
  </si>
  <si>
    <t>['mudah', 'buwat', 'transaksi']</t>
  </si>
  <si>
    <t>['udah', 'berkali', 'kali', 'instal', 'dapetny', 'layar', 'putih', 'doang', 'koinku', 'udah', 'masuk', 'kukasih', 'bintang', 'semoga', 'kecewa', 'jadikan', 'iyakn', 'kawannya', '']</t>
  </si>
  <si>
    <t>['aplikasi', 'bln', 'aplikasinya', 'kaga', 'buka', 'telkomsel', 'sumpah', '']</t>
  </si>
  <si>
    <t>['aplikasi', 'gajelas', 'provider', 'gajelas', 'tagihan', 'gede', 'diluar', 'buka', 'aplikasi', 'blank', 'putih', '']</t>
  </si>
  <si>
    <t>['kecewa', 'aplikasi', 'kesini', 'membantu', 'mempermudah', 'mbulet', 'karna', 'robot', 'harga', 'paket', 'ikutan', 'menentu', 'pusing', 'pilihan', 'sesuai', 'kebutuhan', 'kantong', 'konsumen', '']</t>
  </si>
  <si>
    <t>['jaringan', 'jelek', 'paket', 'mahal', 'ampas', 'recommend', 'sel']</t>
  </si>
  <si>
    <t>['udah', 'pilih', 'paket', 'malam', 'pulsa', 'habis', '']</t>
  </si>
  <si>
    <t>['tingkatkan', 'jaringannya']</t>
  </si>
  <si>
    <t>['knp', 'pulsa', 'beli', 'dri', 'kmrin', 'blm', 'masuk', 'pdhl', 'dri', 'conter', 'udh', 'sukses', 'mengirim']</t>
  </si>
  <si>
    <t>['semoga', 'beruntung', 'honda', 'adv', 'selamat', 'natal', 'telkomsel', 'sukses']</t>
  </si>
  <si>
    <t>['gabisa', 'buka', 'layar', 'putih', 'doang', 'udah', 'force', 'stop', 'clear', 'chace', 'apain', 'tetep', 'parah', 'update', 'kayak', 'gini']</t>
  </si>
  <si>
    <t>['malam', 'download', 'aplikasi', 'hmm', 'baca', 'ulasan', 'owh', 'bngt', 'aplikasi', 'buka', 'nge', 'blank', 'deh', 'tutup']</t>
  </si>
  <si>
    <t>['kasih', 'bintang', 'kena', 'rendam', 'poin', 'kasih', 'pemberitahua', 'mng', 'takut', 'ktipu']</t>
  </si>
  <si>
    <t>['kasi', 'bintang', 'mudah', 'mudahan']</t>
  </si>
  <si>
    <t>['parah', 'daily', 'login', 'biasany', 'dapetin', 'kouta', 'butuh', 'login', 'skarang', 'dapet', 'kouta', 'gb', 'gb', 'gratis', 'ampe', 'disayankan', '']</t>
  </si>
  <si>
    <t>['bintang', 'bintang', 'jaringan', 'simpati', 'gabener', 'didaerah', 'mnapun', 'udah', 'beli', 'kuota', 'mahal', 'main', 'game', 'internetnya', 'rto', 'putus', 'stabil', 'alhasil', 'reconnect', 'tolong', 'diperbaiki', 'udah', 'ngeluh', 'sosmed', 'gada', 'tanggapan']</t>
  </si>
  <si>
    <t>['paketnya', 'mahal', 'nunggu', 'promo']</t>
  </si>
  <si>
    <t>['kuota', 'nonton', 'makan', 'kuota', 'utama', 'kuota', 'lokal', 'faedah', '']</t>
  </si>
  <si>
    <t>['buruk', 'kecewa', 'layanan', 'skrng']</t>
  </si>
  <si>
    <t>['upgrade', 'dibuka']</t>
  </si>
  <si>
    <t>['vocer', 'diskon', 'pakek']</t>
  </si>
  <si>
    <t>['sinyal', 'aneh', 'telkomsel', 'maen', 'game', 'harga', 'mahal', 'kualitas', 'kalah', 'kartu', 'kartu', 'murah']</t>
  </si>
  <si>
    <t>['tolong', 'pembelian', 'paket', 'internet', 'telkomsel', 'murah', 'thank', '']</t>
  </si>
  <si>
    <t>['jebakan', 'betmen']</t>
  </si>
  <si>
    <t>['oii', 'ngelag', 'banget', 'sinyal', 'game', 'gimana', '']</t>
  </si>
  <si>
    <t>['', 'dapet', 'promo', 'murah', '']</t>
  </si>
  <si>
    <t>['turunin', 'bintang', 'beli', 'paket', 'gb', 'tersedia', 'belom', 'turunin', 'bintang', 'apk', 'hapus']</t>
  </si>
  <si>
    <t>['sinyal', 'telkomsel', 'jelek', 'paket', 'mahal']</t>
  </si>
  <si>
    <t>['komenan', 'dihapus']</t>
  </si>
  <si>
    <t>['mudah', 'praktis']</t>
  </si>
  <si>
    <t>['pribadi', 'dirugikan', 'beli', 'mahal', 'paket', 'kuota', 'simpatek', 'diandalkan', 'beli', 'bagus', 'bagusnya', 'nawarin', 'pindah', 'hallo', 'allah', 'perbaiki', 'sistemnya', 'bangke', '']</t>
  </si>
  <si>
    <t>['jaringan', 'internet', 'parahhhhh', 'kalah', 'provider', 'bertambah', 'usia', 'telkomsel', 'merosot', 'pelayanan', 'pindah', 'provider', '']</t>
  </si>
  <si>
    <t>['', 'respon', 'hurup', 'still', 'believe', 'data', 'keneksi', 'beli', '']</t>
  </si>
  <si>
    <t>['cpt', 'proses']</t>
  </si>
  <si>
    <t>['pemilik', 'petugas', 'telkomsel', 'udah', 'kaya', 'maling', 'sumpah', 'pulsa', 'kesedot', 'mulu', 'pdhl', 'data', 'mati', 'gda', 'udah', 'abis', 'sadari', 'makan', 'uang', 'haram', 'dri', 'pulsa', 'potong']</t>
  </si>
  <si>
    <t>['tingkatkan', 'kualitas', 'perbaiki', 'layanan', 'mudah', 'praktis']</t>
  </si>
  <si>
    <t>['update', 'versi', 'emg', 'dibuka', 'blank', 'putih', 'menunggu', 'pulih', 'uninstall', 'dlu', 'apk', 'donlod', 'versi', 'telkomsel', 'google', 'chrome', 'apk', 'sekedar', 'berbagi', 'info', 'selamat', 'mencobaa', 'oke']</t>
  </si>
  <si>
    <t>['banyakin', 'promo', 'paket', 'internet', '']</t>
  </si>
  <si>
    <t>['pas', 'buka', 'mytelkomsel', 'ngalamin', 'white', 'screen', 'berkepanjangan', 'menerus', '']</t>
  </si>
  <si>
    <t>['update', 'dibuka', 'layar', 'putih', 'mohon', 'pencerahannya', '']</t>
  </si>
  <si>
    <t>['kasih', 'bintang', 'karna', 'paketan', 'brubah', 'trus', 'contoh', 'knapa', 'paketan', 'nelpon', 'mahal', 'tolong', 'perjelas', 'sejelas']</t>
  </si>
  <si>
    <t>['kualitas', 'sinyal', 'paraahhh', '']</t>
  </si>
  <si>
    <t>['akses', 'tingkatkan']</t>
  </si>
  <si>
    <t>['membantu', 'makasih', 'telkomsel', '']</t>
  </si>
  <si>
    <t>['apk', 'buka', 'mending', 'tutup', 'apk', 'kek', 'gini']</t>
  </si>
  <si>
    <t>['', 'update', 'nggak', 'buka', 'apps', 'klw', 'update', 'sistem', 'bagus', 'hancoorrrr', '']</t>
  </si>
  <si>
    <t>['setia', 'menemaniku', 'love', 'telkomsel', 'teyap', 'jaya', 'telkomselku']</t>
  </si>
  <si>
    <t>['jaringan', 'telkomsel', 'buruk', 'pelanggan', 'kecewa', 'sinyal', 'internet', 'ping', 'slalu', 'diatas', 'mohon', 'perbaikan', 'trimksh', '']</t>
  </si>
  <si>
    <t>['update', 'buruk', 'banget', 'lemot', 'main', 'harga', 'kuota', 'kebutuhan', 'bos', 'tukang', 'parkir', 'pasar', 'kasih', 'udah', 'hujan', 'sinyal', 'hilang', 'telkomsel', 'telkomsel', '']</t>
  </si>
  <si>
    <t>['gangguan', 'signal', 'hilang', 'signal', 'seharian', 'full']</t>
  </si>
  <si>
    <t>['sinyalnya', 'tolong', 'bantu', 'gan']</t>
  </si>
  <si>
    <t>['jaringan', 'area', 'gunung', 'gangsir', 'beji', 'pasuruan', 'perkuat']</t>
  </si>
  <si>
    <t>['sinyal', 'paketan', 'gb', 'jaringan', 'kek', 'kartu', 'murahan', 'kadang', 'suka', 'nyesel', 'beli', 'paketan', 'mahal', 'gb', 'kualitas', 'kb', 'boro', 'mbps', 'parah', '']</t>
  </si>
  <si>
    <t>['lemot', 'emosi', '']</t>
  </si>
  <si>
    <t>['simpati', 'banget', 'potongin', 'pulsa', 'serasa', 'rampok', 'tarif', 'non', 'paketlah', 'blabla', 'padhl', 'beli', 'paket', 'aktif', 'kuotanya', 'banyang', 'ttp', 'ajah', 'pulsa', 'potong', 'rmh', 'jga', 'pdhl', 'wifi', 'paket', 'data', 'non', 'aktifkan', 'ttp', 'ajah', 'motongin', 'pulsa', 'heran', 'gereget', 'banget', 'kyaknya', 'motongin', 'plsa', 'orang', 'emosi', '']</t>
  </si>
  <si>
    <t>['update', 'layar', 'putih', 'masuk', 'aplikasi', 'telkomsel', 'jaringan', 'lelet', 'muncul', 'update', 'tolong', 'perbaikin', 'telkomsel', '']</t>
  </si>
  <si>
    <t>['sinyal', 'low', 'stabil', 'udh', 'langganan', 'thn', 'lbh', 'pdhl', 'dlu', 'gitu', 'kuota', 'unlimited', 'paket', 'utama', 'habis', 'susahnya', 'berasa', 'paket', 'ditambah', 'donk', 'min', 'kecepatannya', 'cuman', 'kbps', 'chat', 'doang', 'kya', 'sms', 'you', 'tube', 'dll', 'pdhl', 'sdkt', 'mahal', 'dri', 'laen', 'ditunggu', 'kedepannya', 'semoga', 'perubahan', 'ganti', 'laen', 'telkomsel', 'thanks']</t>
  </si>
  <si>
    <t>['bagus', 'aplikasinya', 'pakainya', 'ribetx']</t>
  </si>
  <si>
    <t>['koneksi', 'bagus', 'sinyal', 'stabil']</t>
  </si>
  <si>
    <t>['', 'aplikasi', 'knp', 'masuk', 'kesini', 'updateannya', 'engga', '']</t>
  </si>
  <si>
    <t>['kasih', 'bintang', 'blum', 'kuota', 'pas', 'tolong', 'ksih', 'kuota', 'mura', 'pas', 'kantong', 'terimakasih', 'entar', 'klau', 'udah', 'paket', 'cocok', 'bintangnya', 'lagiya', '']</t>
  </si>
  <si>
    <t>['kebelakang', 'sinyal', 'telkomsel', 'suka', 'stabil', 'malem', 'lancar', 'lancar']</t>
  </si>
  <si>
    <t>['', 'merespon', 'kali', 'dibuka', 'lyar', 'putih']</t>
  </si>
  <si>
    <t>['aplikasinya', 'ngbug', 'buka', 'udah', 'hapus', 'datanya', 'buka', '']</t>
  </si>
  <si>
    <t>['operator', 'telkom', 'mohon', 'diperbaiki', 'jaringan', 'stabil', 'makan', 'uang', 'rakyat']</t>
  </si>
  <si>
    <t>['', 'turunin', 'skr', 'tukaran', 'poin', 'make', 'pulsa', 'hedew', 'perubahan', 'udah', 'isi', 'pulsa', 'poin', 'make', 'poin', 'ditagih', 'pulsa', 'huffff', '']</t>
  </si>
  <si>
    <t>['tolong', 'telkomsel', 'pilih', 'kasih', 'paket', 'game', 'max', 'ngegame', 'beberpa', 'type', 'kuota', 'bonus', 'habis', 'login', 'gb', 'mending', 'ditinjau', 'ulang']</t>
  </si>
  <si>
    <t>['postingan', 'dihapus', 'developer']</t>
  </si>
  <si>
    <t>['buruk', 'udah', 'belinya', 'mahal', 'sinyal', 'jelek', 'beli', 'kuota', 'yutub', 'ultimate', 'tetep', 'kuota', 'reguler', 'kesedot', 'very', 'badddddddddddd']</t>
  </si>
  <si>
    <t>['beli', 'kuota', 'berlakunya', '']</t>
  </si>
  <si>
    <t>['jaringan', 'telkomsel', 'beres', 'bayak', 'erorya', 'pengguna', 'telkomsel', 'kecewa', 'perbaiki', 'jaringanya', '']</t>
  </si>
  <si>
    <t>['sinyalny', 'diperbaikin', 'kntl']</t>
  </si>
  <si>
    <t>['aduh', 'kak', 'min', 'tolong', 'jaringan', 'telkom', 'udah', 'lanjar', 'lemott']</t>
  </si>
  <si>
    <t>['download', 'dlu', '']</t>
  </si>
  <si>
    <t>['tolong', 'perbaiki', 'knapa', 'cuman', 'layar', 'putih', 'doang']</t>
  </si>
  <si>
    <t>['telkomsel', 'membodohi', 'rakyat', 'jaringan', 'signal', 'taik']</t>
  </si>
  <si>
    <t>['kekuatan', 'sinyal', 'wilayah', 'ib', 'kota', 'palembang', 'down', 'peningkatan', 'kemarin']</t>
  </si>
  <si>
    <t>['knp', 'hri', 'neh', 'mytelkomsel', 'app', 'buka', 'blenk', 'putih', '']</t>
  </si>
  <si>
    <t>['ahir', 'kurng', 'stabil']</t>
  </si>
  <si>
    <t>['kuota', 'internet', 'konec', 'internet', 'kaya', 'kartu', 'pulsa', 'kepotong', 'aktifin', 'sebentar', 'pulsa', 'langsung', 'kepotong', '']</t>
  </si>
  <si>
    <t>['semangat', 'sinyal', 'telkomsel', 'sabang', 'meroke']</t>
  </si>
  <si>
    <t>['aplikasiny', 'ngga', 'buka', 'salam', 'binjay', '']</t>
  </si>
  <si>
    <t>['menang', 'hadiah']</t>
  </si>
  <si>
    <t>['', 'blm', 'buka', 'downgrade', 'versi', 'notifikasi', 'update', 'update', 'matikan', 'non', 'aktifkan', 'pengaturan', 'otomatis', 'update', 'aplikasi', 'insyaallah', '']</t>
  </si>
  <si>
    <t>['aplikasi', 'ngga', 'buka', '']</t>
  </si>
  <si>
    <t>['paket', 'doank', 'mahal', 'game', 'donk', 'siyal', 'ilang', 'ilangan', 'samsung', 'ram', 'gb', 'pebgaruh', 'siyal', 'jelek']</t>
  </si>
  <si>
    <t>['payah', 'mytelkomsel', 'habis', 'update', 'dibuka', 'ancur', 'abiiis']</t>
  </si>
  <si>
    <t>['aplikasi', 'eror', 'blank', 'putih', 'dibuka', 'android', 'tolong', 'diperbaiki', 'yaa', 'cek', 'kuota', 'beli', 'kuota', 'bos', '']</t>
  </si>
  <si>
    <t>['sinyal', 'stabil', 'main', 'game', 'suka', 'lag', 'tolong', 'perbaiki', 'jaringannya', 'gini', 'ganti', 'kartu', '']</t>
  </si>
  <si>
    <t>['', 'telkomsel', 'mudah', '']</t>
  </si>
  <si>
    <t>['minggu', 'applikasinya', 'cek', 'kouta', 'instan', 'ngecek', 'manual', 'warna', 'putih', 'muncul', 'trus', 'trusan', 'kesel', 'tolong', 'perbaiki', '']</t>
  </si>
  <si>
    <t>['kkenapa', 'kek', 'gini', 'minnn', 'blankk', 'layarr', 'putih', 'tolongg', 'perbaikii', 'cepatt']</t>
  </si>
  <si>
    <t>['paketan', 'mahal', 'jaringan', 'kek', '']</t>
  </si>
  <si>
    <t>['gimana', 'aplikasi', 'dibuka', 'lancar', 'solusinya']</t>
  </si>
  <si>
    <t>['skrng', 'buka', 'telkomsel', 'kendala', 'blank', 'putih', 'sudak', 'coba', 'hapus', 'instal', 'ulang', 'ttp', 'coba', 'hapus', 'memori', 'chache', 'ttp']</t>
  </si>
  <si>
    <t>['jaringan', 'tsel', 'lag', 'susah', 'menggunakanya', 'tolong', 'reaponnya']</t>
  </si>
  <si>
    <t>['aplikasi', 'bermutu', 'membantu', 'apapun', 'penlanggan', 'telkomsel', 'menyangkan', 'kuwalitas', 'aplikasi', 'jaringan', 'tekokomsel', 'didaerah', 'buruk', 'telkomsel', 'kendala', '']</t>
  </si>
  <si>
    <t>['buka', 'kemarin', 'hapus', 'instal', 'sampe', 'kali']</t>
  </si>
  <si>
    <t>['sanga', 'anjurkan', 'memakai', 'kartu', 'berlangganan', 'sampe', 'deh', 'nyesel', 'rugi', 'karna', 'pelayanan', 'kualitas', 'sinyal', 'buruk', 'perubahan', '']</t>
  </si>
  <si>
    <t>['menyesal', 'mengalihkan', 'pascabayar', 'marketing', 'mencari', 'terjebak', 'endingnya', 'ribet', 'ngurus', 'non', 'aktifkan', 'kartu', 'mbak', 'nelpon', 'kmrin', 'menawarkan', 'pascabayar', 'sehat', 'mbak', 'menerima', 'tuaian', 'prihal', 'tabur', 'pekerjaan', 'trimakasih']</t>
  </si>
  <si>
    <t>['bolak', 'instal', 'unistal', 'apk', 'buka', 'cuman', 'warna', 'putih', 'doang', 'udh', 'hapus', 'saran', 'pronica', 'pusing', 'enakan', 'pakai', 'sebelah', 'udh', 'mrh', 'apk', 'jga', 'lancar']</t>
  </si>
  <si>
    <t>['harga', 'paket', 'internet', 'mohon', 'ulasannya']</t>
  </si>
  <si>
    <t>['ikutan', 'orang', 'bintang', 'parah', 'banget', 'ahh', 'jaringan', 'sinyal', 'sekelas', 'telkomsel', 'buka', 'loding', 'ampun', 'maen', 'game', 'merah', 'kuning', 'hijaunya', 'bentar', 'pas', 'mati', 'parah', 'banget', 'dahh', 'mah', 'simpati', 'sampi', 'operator', 'mah', 'terima', 'kasih']</t>
  </si>
  <si>
    <t>['terima', 'kasih', 'bro']</t>
  </si>
  <si>
    <t>['aplikasi', 'eror', 'kali', 'uninstal', 'dowload', 'layar', 'putih', 'muncul']</t>
  </si>
  <si>
    <t>['tolong', 'perbaiki', 'aplikasinya', 'msa', 'udah', 'bln', 'aplikasinya', 'masi', 'ngebleng', 'layar', 'putih', 'doang', 'muncul', 'tolong', 'kerja', 'samanya', 'kta', 'udah', 'planggan', 'setia', 'aplikasi', 'msa', 'responnya', 'sms', 'skali', 'untk', 'perbaiki']</t>
  </si>
  <si>
    <t>['butuh', 'apk', 'apk', 'beli', 'kouta', 'combo', 'sakti', 'gb', 'rb', 'kartu', 'sakti', 'like']</t>
  </si>
  <si>
    <t>['hapus', 'jaringan', 'telkomselnya', 'harga', 'penjabat', 'jaringan', 'merakyat', 'asli', 'cacad', 'jaringannya', 'asli', 'kecewa', 'pakai', 'telkomsel', 'jaringannya']</t>
  </si>
  <si>
    <t>['kuota', 'murah', 'murah']</t>
  </si>
  <si>
    <t>['combo', 'murah', '']</t>
  </si>
  <si>
    <t>['eror', 'jaringan', 'telkomsel', 'jaringan', 'mahal', 'gini', 'kek', 'provider', 'murahan']</t>
  </si>
  <si>
    <t>['berkali', 'kali', 'komplen', 'alasanya', 'gangguan', 'normal', 'provider', 'koneksi', 'rumah', 'busuk', 'jaringan', 'ngasih', 'harapan', 'palsu', 'aje', 'kesel', 'saran', 'beli', 'pulsa', 'kouta', 'mahal', 'perhatiin', 'kalah', 'laen', 'kocak', 'ndro']</t>
  </si>
  <si>
    <t>['sinyal', 'lelet', 'harga', '']</t>
  </si>
  <si>
    <t>['coba', 'kali', 'masuk', 'masuk', 'verifikasi', 'sms', 'link', 'kaduarsa', 'min']</t>
  </si>
  <si>
    <t>['tinggal', 'daerah', 'perkotaan', 'sinyal', 'lag', 'paket', 'beli', 'mahal', 'tetep', 'kayak', 'bangke', 'telkomsel', 'membosan', '']</t>
  </si>
  <si>
    <t>['koneksi', 'internet', 'jelek', 'parepare', 'turun', 'putus', 'nyambung', 'kek', 'sinetron', 'premium', 'reguler', 'lambat', 'kecepatan', 'internetnya', 'orang', 'indonesia', 'suka', 'santai', 'internetnya', 'santai', 'slow', 'bro', '']</t>
  </si>
  <si>
    <t>['tolong', 'fitur', 'aktfkan', 'pulsa', 'safe', 'telkomsel', 'saldo', 'utama', 'terpotong', '']</t>
  </si>
  <si>
    <t>['tolong', 'diperbaiki', 'secepatnya', 'dibuka', 'android', 'udah', 'komen', 'dibuka', 'dibalas', 'disuruh', 'ngecek', 'ngecek', 'diperbaiki', 'seblum', 'update', 'update', 'parah', 'ngapa', 'ngapain', '']</t>
  </si>
  <si>
    <t>['', 'telelkomsel', 'buka', 'apk', 'burik', 'apk']</t>
  </si>
  <si>
    <t>['masak', 'ngblank', 'putih', 'perbaikannya', 'kecewa', 'telkomsel', 'sya']</t>
  </si>
  <si>
    <t>['mahal', 'unlimited', 'jaringan', 'suka', 'error', 'solusinya', 'woi', 'admin', '']</t>
  </si>
  <si>
    <t>['versi', 'tlng', 'direvisi', 'pemakai', 'android', 'dibawah', 'login', '']</t>
  </si>
  <si>
    <t>['aplikasi', 'buka', 'android', 'tolong', 'baiki', 'apk', 'buka', 'android', 'tolong', 'jaringan', 'daerah', 'jelek', 'mohon', 'perbaiki', 'udah', 'maaf', 'kasih', 'bintang', 'aplikasi', 'udah', 'buka', 'android', 'jaringannya', 'udah', 'stabil', 'kasih', 'bintang', 'terima', 'kasih', '']</t>
  </si>
  <si>
    <t>['top', 'pulsa', 'paket', 'mahal', 'paket', 'internetnya']</t>
  </si>
  <si>
    <t>['mohon', 'maaf', 'nihh', 'gue', 'salah', 'ngelaporin', 'sinyal', 'gue', 'jelek', 'banget', 'parah', 'kartu', 'tri', 'bener', 'bener', 'masuk', 'akal', 'lokasi', 'gue', 'kota', 'jambi', 'bener', 'bener', 'kota', 'ntah', 'sinyal', 'ilang', 'siang', 'malam', 'tolong', 'banget', 'yaa']</t>
  </si>
  <si>
    <t>['', 'ngerti', 'provider', 'telkomsel', 'aplikasi', 'stuck', 'blank', 'putih', 'tarif', 'dibilang', 'murah', 'kadang', 'ngalamin', 'internet', 'lemot', 'pindah', 'provider', '']</t>
  </si>
  <si>
    <t>['minggu', 'huka', 'app', 'layar', 'putih', 'gmna', 'inii', 'solusinyaaa', 'nyebelin', 'banget']</t>
  </si>
  <si>
    <t>['aplikasinya', 'terbuka', 'hapus', 'trus', 'diinstal', 'lgi', 'terbuka', 'cuman', 'putih', 'doang', 'emang', 'aplikasinya', 'eror', 'gmn', '']</t>
  </si>
  <si>
    <t>['blank', 'putih', 'doang', 'bulak', 'uninstal', 'instal', 'tetep', 'error', 'duhh', '']</t>
  </si>
  <si>
    <t>['', 'niat', 'jarigan', 'ajing', 'lag', 'babi', 'mending', 'bubar', 'tri', 'bagus', 'mahal']</t>
  </si>
  <si>
    <t>['aktif', 'kuotanya', 'pelit', 'banget', 'pliss']</t>
  </si>
  <si>
    <t>['', 'babi', 'jaringan', 'kaya', 'ajink', 'paket', 'mahal', 'mahal', 'kepake', 'ajink']</t>
  </si>
  <si>
    <t>['berwenang', 'aplikasi', 'memperhatikan', 'kendala', 'dialami', 'orang', 'perihal', 'dibukanya', 'aplikasi', 'telkomsel', 'tercinta', '']</t>
  </si>
  <si>
    <t>['mantap', 'bonusnya', 'min']</t>
  </si>
  <si>
    <t>['kali', 'telkom', 'akunku', 'otomatis', 'hadoh', 'heran', 'buknyak', 'penikmat', 'apk', 'kacau', 'sangkutkat', 'nomer', 'melanjutkan', 'heren', 'deh']</t>
  </si>
  <si>
    <t>['lag']</t>
  </si>
  <si>
    <t>['mantap', 'kadang', 'lelet', 'jaringan', 'bagus']</t>
  </si>
  <si>
    <t>['sinyalnya', 'lemot', 'bnget', 'anjirrrr']</t>
  </si>
  <si>
    <t>['keluhan', 'internet', 'masukkan', 'tipe', 'smartphone', 'miliki', 'pas', 'uda', 'klik', 'trus', 'pertanyaannya', 'ulang', 'gmana', 'nanggapi', 'keluhan', 'konsumennya', 'perbaharui', 'aplikasinya', 'sma', 'nyaman']</t>
  </si>
  <si>
    <t>['knapa', 'apl', 'buka', 'apl', 'white', 'screen', 'doang', 'ngeselin', 'emosi', 'doang', 'coba', 'email', 'telkomsel', 'sesuai', 'anjuran', 'operator', 'php', 'respon', 'paketan', 'mahal', 'jaringan', 'error', 'call', 'via', 'terbaru', 'cek', 'kuota', 'cek', 'kuota', 'apl', 'telkomsel', 'menyakitkan', 'coba', 'komplain', 'telkomsel', 'cuekin', 'alias', 'respon', 'perusahaan', 'segedhe', 'pelayanan', 'profesional', 'banget', '']</t>
  </si>
  <si>
    <t>['kemarin', 'ap', 'apk', 'kebuka', 'hafueh', 'gimana', 'udah', 'gue', 'hapus', 'data', 'kebuka', 'udah', 'gue', 'unistal', 'trs', 'gue', 'istal', 'saran', 'tolong', 'bantu', 'depelover', 'yyyy']</t>
  </si>
  <si>
    <t>['aplikasi', 'mahal', 'doang', 'jelek']</t>
  </si>
  <si>
    <t>['dihp', 'ngga', 'mbuka', 'aplikasi', '']</t>
  </si>
  <si>
    <t>['pertm', 'instal', 'bgs', 'knp', 'jdi', 'lyr', 'putih', 'doang', 'bolak', 'ttp', 'layar', 'putih', 'perbaiki', 'sistemny']</t>
  </si>
  <si>
    <t>['berjalan', 'lancar', '']</t>
  </si>
  <si>
    <t>['telkomsel', 'jaringan', 'dimana', 'jaringan', 'internet', 'lambat', 'mohon', 'perbaiki', 'terimakasih']</t>
  </si>
  <si>
    <t>['transaksi', 'gangguan', 'emang', 'gangguan', '']</t>
  </si>
  <si>
    <t>['tolong', 'buka', 'tolong', 'perbaiki', '']</t>
  </si>
  <si>
    <t>['', 'telkomsel', 'telkomsel', 'hapus', 'trus', 'instal', 'ttp', 'dibuka', 'layarnya', 'putih', '']</t>
  </si>
  <si>
    <t>['murahin', 'paketan']</t>
  </si>
  <si>
    <t>['semoga', 'bermanfaat', 'orang', 'mengutamakan', 'kualitas', 'pelayanan', '']</t>
  </si>
  <si>
    <t>['tolong', 'penjelasannya', 'knpa', 'kog', 'aplikasinya', 'dibuka', 'capek', 'uninstall', 'download', 'trus', '']</t>
  </si>
  <si>
    <t>['aplikasi', 'banget', 'udh', 'install', 'cuman', 'muncul', 'layar', 'putih', 'udh', 'hapus', 'chace', '']</t>
  </si>
  <si>
    <t>['aplikasi', 'payah', 'dibuka', '']</t>
  </si>
  <si>
    <t>['', 'telkomsel', 'memuaskan']</t>
  </si>
  <si>
    <t>['ikutin', 'arahan', 'operator', 'suruh', 'tunggu', 'jam', 'jum', 'blank', 'putih', 'gimana', 'kinerjamu', 'telkomsel', 'menunggu', 'kerjaan', 'menjenuhkan', 'lhoooooo']</t>
  </si>
  <si>
    <t>['kuota', 'gojek', 'lelet', 'kuota', 'msh']</t>
  </si>
  <si>
    <t>['aplikasinya', 'lambat']</t>
  </si>
  <si>
    <t>['telkomsel', 'jaringan', 'udah', 'minggu', 'ping', 'mulu', 'suka', 'turun', 'pas', 'main', 'game', 'mohon', 'perbaiki', 'operator', '']</t>
  </si>
  <si>
    <t>['alpkasi', 'telkosel', 'ngk', 'bjsa', 'buka']</t>
  </si>
  <si>
    <t>['infonya', 'bagus', 'cuman', 'kadang', 'lambat', 'loading']</t>
  </si>
  <si>
    <t>['tolong', 'sinyalnya', 'perkuat', 'main', 'game', 'sinyal', 'lemah', '']</t>
  </si>
  <si>
    <t>['dimurahin', 'dikit', 'min', 'hehehe', '']</t>
  </si>
  <si>
    <t>['', 'bos', 'ngga', 'kendala', 'coba', 'dowload']</t>
  </si>
  <si>
    <t>['buka', 'aplikasi', 'muncul', 'layar', 'putih', 'udah', 'hapus', 'sampah', 'putih', 'melulu', 'udah', 'seminggu', 'kayak', 'gini', '']</t>
  </si>
  <si>
    <t>['bagus', 'membantu', 'tingkatkan', '']</t>
  </si>
  <si>
    <t>['bagus', 'telkomsel', 'pakai', 'aplikasi', 'pokoke', 'jooos', 'mantap']</t>
  </si>
  <si>
    <t>['terima', 'kasih', 'telkomsel', 'aplikasi', 'terbntu', 'pilihan', 'kuota', 'brbgai', 'pilihan', 'bgtu', 'menarik', 'brsifat', 'untung', 'smoga', 'rezeki', 'dipilihan', 'undian', 'tukar', 'poin', 'mmbahgiakn']</t>
  </si>
  <si>
    <t>['sya', 'berharap', 'sinyal', 'kuat', 'oke', 'semoga', 'telkomsel', 'sukses', '']</t>
  </si>
  <si>
    <t>['aplikasinya', 'lumayan', 'bagus', 'sayang', 'singnalnya', 'mendukung', '']</t>
  </si>
  <si>
    <t>['kasi', 'diskon', 'murah', 'min']</t>
  </si>
  <si>
    <t>['blm', 'ketemu', 'paket', 'internet', 'pas', 'kantong', '']</t>
  </si>
  <si>
    <t>['woy', 'kenpah', 'gua', 'main', 'games', 'sinyal', 'buruk', 'sial']</t>
  </si>
  <si>
    <t>['kirain', 'doang', 'bermasalah', 'bolak', 'instal', 'tetep', 'ngebleng', 'layar', 'putih', 'repot']</t>
  </si>
  <si>
    <t>['', 'samsung', 'buka', 'blak', 'putih', 'mohon', 'perbaiki']</t>
  </si>
  <si>
    <t>['konten', 'fitur', 'sesuai', 'kebutuhan', '']</t>
  </si>
  <si>
    <t>['aplikasi', 'mytelkomsel', 'buka']</t>
  </si>
  <si>
    <t>['diupdate', 'apk', 'telkomsrlku', 'nge', 'blank', 'putih', 'masuk', 'login']</t>
  </si>
  <si>
    <t>['telkomsel', 'jaringan', 'busuk', 'banget', 'pokok', 'telkomsel']</t>
  </si>
  <si>
    <t>['promo', 'paket', 'combo', 'harga', 'murah', 'klik', 'notifikasi', 'masuk', 'telkomsel', 'paket', 'nomor', 'telkomsel', 'istri', 'paket', 'nomor', 'regional', 'jenis', 'menghubungi', 'penggunaan', 'paket', 'mahal', 'org', 'kebutuhan', '']</t>
  </si>
  <si>
    <t>['sinyal', 'hilang', 'mati', 'lampu']</t>
  </si>
  <si>
    <t>['dipake', 'layar', 'putih', 'tampil', 'maksudnya', 'bersihkan', 'cache', 'restart', 'siapakan', '']</t>
  </si>
  <si>
    <t>['belli', 'paket', 'internet', 'aplikasi', 'something', 'wrong', 'trussssss', 'paraahhh']</t>
  </si>
  <si>
    <t>['jaringan', 'diperbaiki', 'telkomsel', 'aneh', 'kuota', 'mahal', 'jaringan', 'minus']</t>
  </si>
  <si>
    <t>['parah', 'layarnya', 'putih', 'doangan']</t>
  </si>
  <si>
    <t>['aplikasi', 'dibuka', 'blank', 'putih', 'jdi', 'ribet', 'anjirrr', 'kaga', 'dibuka']</t>
  </si>
  <si>
    <t>['gimana', 'puhak', 'telkomsel', 'yth', 'thn', 'jaringan', 'eror', 'mulu', 'tlpn', 'customer', 'servis', 'perbaikan', 'jaringan', 'sampek', 'perbaikanya', 'selesai', 'akui', 'telkomsel', 'tandingannya', 'mohon', 'telkomsel', 'cepet', 'kelarin', 'telkomsel', '']</t>
  </si>
  <si>
    <t>['memakai', 'data', 'khusus', 'game', 'main', 'mobile', 'legends', 'pas', 'masuk', 'mobile', 'legends', 'kecewa', 'terima', 'kasih']</t>
  </si>
  <si>
    <t>['bagus', 'harga', 'kuotanya', 'dikurangin', 'kasian', 'jiwa', 'miskin', 'gue']</t>
  </si>
  <si>
    <t>['sinyalnaya', 'maksimal', 'cuman', '']</t>
  </si>
  <si>
    <t>['aneh', 'pdahal', 'pke', 'internet', 'telkomsel', 'dipotong', 'pls', 'ktnya', 'potong', 'internen', 'non', 'pket', 'larinya', 'kmna', 'hdehhh', 'aneh', 'deh', 'merugikan']</t>
  </si>
  <si>
    <t>['update', 'aplikasi', 'buka']</t>
  </si>
  <si>
    <t>['buka', 'layar', 'putihnya', 'doang', 'nampak']</t>
  </si>
  <si>
    <t>['telkomsel', 'poin']</t>
  </si>
  <si>
    <t>['bagus', 'banget', 'tukar', 'poinnya', 'semoga', 'beruntung']</t>
  </si>
  <si>
    <t>['paket', 'murah', 'beli', 'aplikasi', 'lngsung']</t>
  </si>
  <si>
    <t>['aplikasinya', 'dibuka', 'susah', 'ato']</t>
  </si>
  <si>
    <t>['sinyal', 'telkomsel', 'dirumahku', 'lancar', '']</t>
  </si>
  <si>
    <t>['', 'tolong', 'pencerahan', 'udah', 'blan', 'telkomsel', 'ngeblank', 'putih', 'gimana', 'udah', 'download', 'udah', 'unistale', 'kaya', 'gtuuu', 'tolong', 'dibantu', '']</t>
  </si>
  <si>
    <t>['telkomsel', 'lag', 'mulu', 'jaringann', 'turunn', 'truss', 'mending', 'axis', 'kayak', 'gni', '']</t>
  </si>
  <si>
    <t>['buka', 'telkomsel', 'trimakasih']</t>
  </si>
  <si>
    <t>['dipakai', 'aplikasinya', 'udah', 'ignya', 'mnta', 'bantuan', 'ikutin', 'tetep', 'layar', 'putih', 'aplikasi', 'mnta', 'update', 'swtelah', 'diupdate', 'bsa', 'dbuka']</t>
  </si>
  <si>
    <t>['', 'kasih', 'bintang']</t>
  </si>
  <si>
    <t>['provider', 'pencuri', 'pulsa', 'utama', 'berkurang', 'pdhal', 'dipake', '']</t>
  </si>
  <si>
    <t>['jual', 'kuota', 'game', 'nggk', 'diapakai', 'wkwwkkw']</t>
  </si>
  <si>
    <t>['', 'buka', 'telkomsel', 'hapus', 'download', 'buka']</t>
  </si>
  <si>
    <t>['mahal', 'paket', 'combo', 'sakit', 'telkomsel', 'skrg']</t>
  </si>
  <si>
    <t>['aplikasi', 'mytelkomsel', 'versi', 'udah', 'asik', '']</t>
  </si>
  <si>
    <t>['paket', 'kuotanya', 'sesuai', 'deskripsi', 'paketnya', 'unli', 'nonton', 'video', 'buang', 'buang', 'uang', 'konsisten']</t>
  </si>
  <si>
    <t>['kuota', 'mytelkomsel', 'mahal', 'warga', 'indonesia', 'penghasilannya', 'pas', 'tolong', 'naikin', 'harga', 'lihat', 'pasaran', 'tolong', 'turunkan', 'harga', 'paketnya', 'mengeluarkan', 'uang', 'sekian', 'terimakasih']</t>
  </si>
  <si>
    <t>['', 'telkomsel', 'hatih']</t>
  </si>
  <si>
    <t>['tolong', 'perbaiki', 'percepat', 'sinyalnya', 'ngak', 'mengecewakan']</t>
  </si>
  <si>
    <t>['kasih', 'promo', 'menggiurkan', 'wkwkwkw']</t>
  </si>
  <si>
    <t>['bagus', 'banget', '']</t>
  </si>
  <si>
    <t>['telkomsel', 'lemot', 'ginih', 'malu', 'atuh', 'tolong', 'perbaiki', 'serba', 'mahal', 'jaringan', 'lemot', 'lelet', 'gini', 'tolong', 'perbaiki']</t>
  </si>
  <si>
    <t>['woii', 'layar', 'putih', 'gimana', 'belih', 'paket', 'data', 'pulsa', 'kemakan', 'perbaiki', '']</t>
  </si>
  <si>
    <t>['apk', 'tololl', 'buka']</t>
  </si>
  <si>
    <t>['kecwa', 'ama', 'apl', 'beli', 'paket', 'data', 'slalu', 'server', 'sibuk', 'tunggu', 'menit', 'gua', 'tunggu', 'ampe', 'hapus', 'apl', '']</t>
  </si>
  <si>
    <t>['udh', 'download', 'ulang', 'berkali', 'kali', 'tetep', 'pas', 'dibuka', 'putih']</t>
  </si>
  <si>
    <t>['malas', 'instal', 'uninstal', 'bolak', 'hasil', 'layar', 'putih', 'bagus', 'ganti', 'kartu', 'internet']</t>
  </si>
  <si>
    <t>['pulsa', 'gampang', 'sedot', 'pulsa', 'trus', 'pas', 'paketin', 'pulsa', 'trus', 'gitu', 'sampe', 'pulsa', '']</t>
  </si>
  <si>
    <t>['semoga', 'hadiah']</t>
  </si>
  <si>
    <t>['slalu', 'menginfokan', 'klu', 'promo', 'telkomsel', 'trims']</t>
  </si>
  <si>
    <t>['aplikasi', 'parah', 'banget', 'yaa', 'kirain', 'hpnya', 'pakai', 'barupun', 'dibuka', 'paketnya', 'mahal', 'parah', 'tulisannya', 'dibagi', 'paketnya', 'kenyataannya', 'disedot', 'kuota', 'utama']</t>
  </si>
  <si>
    <t>['', 'buka', 'ngeblank', 'putih', 'gimana']</t>
  </si>
  <si>
    <t>['harga', 'mahal', 'kualitas', 'murahan', 'malu', '']</t>
  </si>
  <si>
    <t>['operator', 'gimana', 'jaringan', 'lemot', 'kali', 'seringkali', 'mati', 'mati', 'nyesel', 'pakai', 'telkom']</t>
  </si>
  <si>
    <t>['aplikasi', 'kaga', 'buka', 'pes', 'malu', 'ajah', 'telkomsel', '']</t>
  </si>
  <si>
    <t>['pokoknya', 'mantap']</t>
  </si>
  <si>
    <t>['mudah', 'sel', 'konsisten']</t>
  </si>
  <si>
    <t>['terima', 'kasih', 'puas', 'telkomsel']</t>
  </si>
  <si>
    <t>['sekelas', 'telkomsel', 'app', 'down', 'teros', 'tanggal', 'desember', 'desember', 'niat', 'perbaikan', 'app', '']</t>
  </si>
  <si>
    <t>['update', 'nggak', 'dibuka', 'diuninstal', 'instal', 'nyesal', 'mengupdate', 'gimana', '']</t>
  </si>
  <si>
    <t>['puas', 'lemot']</t>
  </si>
  <si>
    <t>['perasaan', 'tinggal', 'daerah', 'pelosok', 'tinggal', 'kota', 'terminal', 'gemolong', 'sinyal', 'telkomsel', 'buruk', 'sinyalnya', 'korupsi', 'pejabat', 'telkomsel', 'sinyal', 'pusing', 'telkomsel', 'sinyal', 'terburuk', 'muak', 'tekomsel']</t>
  </si>
  <si>
    <t>['mengerilan', 'ngekeg']</t>
  </si>
  <si>
    <t>['buka', 'croooott']</t>
  </si>
  <si>
    <t>['apl', 'membantu', 'makasih', 'mytelkomsel', '']</t>
  </si>
  <si>
    <t>['blank', 'putih', 'jdi', 'jlk']</t>
  </si>
  <si>
    <t>['telkomsel', 'rumah', 'sulit', 'jaringannya', 'suka', 'ilang', 'pakai', 'setia', 'telkomsel', 'menyedihkan']</t>
  </si>
  <si>
    <t>['makasih', 'jagan', 'bosan', 'kasih', 'promo', 'murah']</t>
  </si>
  <si>
    <t>['capek', 'nelpon', 'operator', 'telkomsel', 'jaringannya', 'jelek', '']</t>
  </si>
  <si>
    <t>['aplikasi', 'dibuka', 'vivo', 'kali', 'diinstal']</t>
  </si>
  <si>
    <t>['menghambat', 'jaringan']</t>
  </si>
  <si>
    <t>['akun', 'kecuali', 'klik', 'tautan', 'via', 'sms', 'pilihan', 'via', 'email', 'buruk', 'mengecewakan', 'mohon', 'diperbaiki']</t>
  </si>
  <si>
    <t>['telkomsel', 'promosi', 'gb', 'rp', 'berbohong']</t>
  </si>
  <si>
    <t>['aplikasi', 'konyol']</t>
  </si>
  <si>
    <t>['jaringan', 'sultang', 'jaringannya', 'darah', 'ajaa', 'telkomsel', 'sebagus', 'kayak', '']</t>
  </si>
  <si>
    <t>['tolong', 'sinyal', 'diperbaiki', 'prov', 'jambi', 'kab', 'tanjung', 'jabung', 'timur', 'kec', 'mendahara', 'kel', 'mendahara', 'ilir', 'kali', 'mengadu', 'customer', 'care', 'tindakan', '']</t>
  </si>
  <si>
    <t>['parah', 'bngt', 'tinggal', 'udh', 'paketin', 'kagii', 'makan', 'pls', 'doang', 'maruk', 'bngt', 'asli', 'sinyal', 'parah', 'kaya', 'gunung']</t>
  </si>
  <si>
    <t>['tolong', 'admin', 'perbaiki', 'aplikasinya', 'bsa', 'dipake', 'kek', 'blank']</t>
  </si>
  <si>
    <t>['hubungin', 'customer', 'service', 'susah', 'aplikasi', 'telkomsel', 'topik', 'disediakan', 'via', 'whatsapp', 'pokok', 'susah', 'urgent', 'engga', 'dihubungi', 'tunggu', '']</t>
  </si>
  <si>
    <t>['bangun', 'jaringan', 'papua', 'bagus', 'pemai', '']</t>
  </si>
  <si>
    <t>['bagus', 'skali', 'diupdate', 'susah', 'konek', 'layar', 'putih', 'udah', 'mengeluh', 'tpi', 'dijawabx', 'hubungi', 'mimin', 'knapa', 'publik', 'baca', 'jugakan', '']</t>
  </si>
  <si>
    <t>['kuwalitas', 'sinyal', 'samkin', 'buruk', 'tolong', 'telkomsel', 'tariff', 'dimahalin', 'kualitas', 'sinyalnya', 'perbaiki', 'pelanggan', 'setia', 'kecew']</t>
  </si>
  <si>
    <t>['recomended', 'pkai', 'mudah', 'pda', 'counter', 'hujan', '']</t>
  </si>
  <si>
    <t>['simple', 'dlm', 'bertransaksi', 'pulsa', 'kuota', 'internet']</t>
  </si>
  <si>
    <t>['harga', 'kuota', 'doang', 'mahal', 'aplikasi', 'bug', 'hadehhh', 'kalah', 'aplikasi', 'ungu', 'wkwkw']</t>
  </si>
  <si>
    <t>['harga', 'quota', 'mengecil', 'pelanggan', 'telkomsel', 'lari', 'operator', 'kualitasnya', 'telkomsel', 'pengguna', 'pelanggan', 'telkomsel', 'kabur', 'diikuti', 'kaburnya', 'operator', 'peringatan', 'pemberitahuan', 'terima', 'kasih', '']</t>
  </si>
  <si>
    <t>['julian', 'aza', 'dipermudah', 'tkb']</t>
  </si>
  <si>
    <t>['aplikasi', 'hebat', 'layar', 'putih', 'top', '']</t>
  </si>
  <si>
    <t>['jaringan', 'bagus', 'mudah', 'penggunaannya']</t>
  </si>
  <si>
    <t>['aplikasi', 'isinya', 'white', 'screen', '']</t>
  </si>
  <si>
    <t>['gara', 'instal', 'apk', 'sinyal', 'gua', 'ilang', 'aman', 'gada', 'sinyal', 'sinyal', 'hilang', 'tgl', 'des', '']</t>
  </si>
  <si>
    <t>['halo', 'kak', 'apliksinya', 'gag', 'buka']</t>
  </si>
  <si>
    <t>['mahall', 'jelek', 'kualitas', 'jaringannya', 'harga', 'sesuai', 'kualitas', 'nyaa', '']</t>
  </si>
  <si>
    <t>['gimana', 'sich', 'isi', 'kuota', 'apk', 'telkomsel', 'layar', 'putih', '']</t>
  </si>
  <si>
    <t>['lemot', 'gedung']</t>
  </si>
  <si>
    <t>['', 'allah', 'parah', 'aplikasinya', 'bolak', 'hapus', 'instal', 'hapus', 'instal', 'layar', 'putih', 'doang', 'gmn', 'telkomsel', 'beli', 'paketan', 'tolong', 'perbaiki', 'kecewa', 'paketin', 'pulsa', 'susah', 'nyesel', 'kasih', 'bintang', '']</t>
  </si>
  <si>
    <t>['paketnya', 'mahal', 'telkomsel', 'keluarga', 'murah', 'murah', 'paketnya', 'hmmmmm']</t>
  </si>
  <si>
    <t>['bintang', 'jaringan', 'hancur', 'terima', 'kasih', 'telkomsel', '']</t>
  </si>
  <si>
    <t>['kek', 'taik', 'kebanyakan', 'update', 'apk', 'buka', 'telkomsel', 'keisni', 'bego', 'pantes', 'kalah', 'saing', 'ama', 'laen']</t>
  </si>
  <si>
    <t>['buruk']</t>
  </si>
  <si>
    <t>['sinyal', 'terkuat', 'pelosok', 'negeri']</t>
  </si>
  <si>
    <t>['telkomsel', 'bampak', 'signalnya', 'aplikasi', 'telkomsel', 'dibuka', 'gangguan', 'atwpun', 'diperbaiki', 'pemberitahuan', 'pakai', 'kartu', 'hallo', 'blokir', 'pemberitahuan', 'bayar', 'jatuh', 'tempo', 'tgl', 'jdi', 'males', 'telkomsel']</t>
  </si>
  <si>
    <t>['aplikasi', 'dibuka', 'blank', 'putih', 'pas', 'klaim', 'hadiah', 'kepake', 'pulsanya', 'terklaim', 'hadiahnya']</t>
  </si>
  <si>
    <t>['jelek', 'banget', 'jaringannya', 'masak', 'maen', 'lag', 'parah', 'ping', 'ampe', '']</t>
  </si>
  <si>
    <t>['dibuka', 'blank', 'wall', 'web', 'paket', 'internetnya', 'lengkap', '']</t>
  </si>
  <si>
    <t>['evo', 'samsung', 'android', 'buka', 'aplikasi', 'telkomsel', 'gimana', '']</t>
  </si>
  <si>
    <t>['jdi', 'jelek', 'app', 'blank', 'putih', 'full', 'layar', '']</t>
  </si>
  <si>
    <t>['tolong', 'segara', 'perbaiki', 'ngerepotin', 'dibutuhin', 'jaringan', 'jelek', 'turun', 'stabil', 'terima', 'kasih', '']</t>
  </si>
  <si>
    <t>['beli', 'kuota', 'kampreeeeet', 'minjam', 'ngaab']</t>
  </si>
  <si>
    <t>['gegara', 'smlem', 'update', 'pas', 'dbuka', 'cuman', 'layar', 'putih', 'smpe', 'uninstall', 'trus', 'instal', 'ulang', 'dirimu', 'telkomsel', 'pdhl', 'syng', 'bnget', 'poin', 'shrian', 'loading', 'parah', 'nti', 'normal', 'deh', 'bintang', '']</t>
  </si>
  <si>
    <t>['pulsa', 'kepotong', 'pakai', 'wifi', 'wifi', 'aktif', 'komplain', 'dikasih', 'solusi', 'kasih', 'survei', 'servisnya', 'alasan', 'udh', 'isi', 'survey', 'pdhl', 'isi', 'takut', 'ketauan', 'jeleknya']</t>
  </si>
  <si>
    <t>['lumayan', 'bln']</t>
  </si>
  <si>
    <t>['knapa', 'telkomsel', 'unlimited', 'batasin']</t>
  </si>
  <si>
    <t>['aplikasi', 'membantu', 'mudah', 'repot', 'repot']</t>
  </si>
  <si>
    <t>['lag', 'mulu', 'magrib', 'main', 'game', 'jaringan', 'turun', 'turun', 'tolong', 'perbaiki', 'beli', 'kouta', 'telkomsel', 'mahal', 'lagg']</t>
  </si>
  <si>
    <t>['pokok', 'mantap']</t>
  </si>
  <si>
    <t>['telkomsel', 'dibuka', 'pemberitahuan', 'link', 'kedaluarsa', 'masuk', '']</t>
  </si>
  <si>
    <t>['kenakan', 'paket', 'non', 'tarif', 'sisa', 'kuota', 'beli', 'paket', 'rb', 'sisa', 'pulsa', 'aplikasi', 'habis', 'kecewa', 'sisa', 'pulsa', 'aplikasi', 'habiss', 'aneh', '']</t>
  </si>
  <si>
    <t>['cepat', 'tanggap', 'tingkatkan', 'kualitas']</t>
  </si>
  <si>
    <t>['aplikasinya', 'terbuka', 'sudh', 'terdouwnload']</t>
  </si>
  <si>
    <t>['kacau', 'telkomsel', 'susah', 'dapet', 'sinyal', 'pindah', 'kartu']</t>
  </si>
  <si>
    <t>['sarann', 'hapuss', 'paket', 'game', 'main', 'game', 'leletnya', 'ampun', 'tolong', 'hapus', 'percumaa', 'paket', 'bgtuan', 'telkom', 'jaringan', 'stabill', 'annjjjinngg', 'brengsseekk', '']</t>
  </si>
  <si>
    <t>['bener', 'orang', 'eror', 'apk', 'gini', 'udh', 'instal', 'kali', 'ttep', 'blank', 'putih', '']</t>
  </si>
  <si>
    <t>['dibuka', 'apliksinya', '']</t>
  </si>
  <si>
    <t>['sinyal', 'telkomsel', 'jelek', 'dipakai', 'main', 'game', 'online', 'suka', 'loncat', 'ping', 'nnton', 'selancar', '']</t>
  </si>
  <si>
    <t>['telkomsel', 'mohon', 'otak', 'pakek', 'simpan', 'kulkas', 'niat', 'memperbaiki', 'jaringan', 'kartu', 'bersifat', 'jaringan', 'mending', 'kartu', 'vaksin', 'udah', 'beli', 'paket', 'mahal', 'jaringan', 'memuaskan', 'pelanggan', 'pelanggan', 'layani', 'pelanggan', 'merasakan', 'kepuasan', 'kecewa', 'mohon', 'ibuk', 'otak', 'ipakek', 'sekian', 'terima', 'kasih', '']</t>
  </si>
  <si>
    <t>['membantu', 'aplikasinya']</t>
  </si>
  <si>
    <t>['jaringannya', 'jelek', 'pakai', 'ngebid', 'jek', 'ilang', 'sinyal', 'kacau', 'nyusahin', 'driver']</t>
  </si>
  <si>
    <t>['pulsa', 'rb', 'beli', 'paket', 'rb', 'telkomsel', 'tolong', 'diperbaiki', 'ganti', 'kartu']</t>
  </si>
  <si>
    <t>['wooww', 'layat', 'putihh', 'habis', 'dinupdetee', 'kacaoo', 'sekaliii', 'telkomsell', 'iniii']</t>
  </si>
  <si>
    <t>['knp', 'daerah', 'jelek', 'sinyalnya', 'sesuai', 'biaya', 'keluarkan', 'kecewa', 'banget']</t>
  </si>
  <si>
    <t>['error', 'buka', 'pas', 'hujan']</t>
  </si>
  <si>
    <t>['jaringan', 'pagi', 'eror', '']</t>
  </si>
  <si>
    <t>['unistal', 'instal', 'clear', 'chace', 'hubungi', 'telkomsel', 'layar', 'putih', 'penampakan', 'ngabisin', 'data', '']</t>
  </si>
  <si>
    <t>['jaringan', 'luas', 'sinyal', 'kuat', 'promonya', 'paket', 'daruratnya', 'harapanya', 'dapet', 'hadia', 'lucky', 'draw', 'telkomsel', '']</t>
  </si>
  <si>
    <t>['gua', 'ambil', 'apk', 'gua', 'isi', 'ambil', 'gua', 'pinjam', 'perbaikin', 'apk', 'komen', 'jelek']</t>
  </si>
  <si>
    <t>['bagus', 'banget', 'sumpah', '']</t>
  </si>
  <si>
    <t>['terbaik', 'beli', 'paket', 'telkomsel']</t>
  </si>
  <si>
    <t>['telkomsel', 'emng', 'jaringan', 'buruk', 'ngapa', '']</t>
  </si>
  <si>
    <t>['aplikasi', 'telkomsel', 'nggak', 'buka', 'udh', 'seminggu', 'nggak', 'nggak', 'buka', 'nampak', 'cuman', 'layar', 'putih', 'coba', 'perbaiki', 'pengguna', 'telkomsel', 'senang', 'puas', 'telkomsel', '']</t>
  </si>
  <si>
    <t>['semenjak', 'perbarui', 'mengecewakan', 'bolak', 'clear', 'data', 'change', 'uninstall', 'kuota', 'habis', 'tetep', 'layar', 'putih', 'tolong', 'telkomsel', 'gimana', '']</t>
  </si>
  <si>
    <t>['kualitas', 'jaringan', 'berkurang', 'musim', 'hujan', 'pas', 'listrik', 'mati']</t>
  </si>
  <si>
    <t>['aplikasi', 'lumayanlah', 'memuaskan', '']</t>
  </si>
  <si>
    <t>['mntap', 'semoga', 'jaga', 'kualitas']</t>
  </si>
  <si>
    <t>['membantu', 'fitur', 'lengkap', 'promo', 'kuota', 'menarik']</t>
  </si>
  <si>
    <t>['banyakan', 'promo', 'kouta', 'murah']</t>
  </si>
  <si>
    <t>['sukses', 'sellu', 'telkomsel', 'telkomsel', 'sakti', 'yes']</t>
  </si>
  <si>
    <t>['apk', 'bagus', 'meledak', 'pokonamah']</t>
  </si>
  <si>
    <t>['tolong', 'kestabilan', 'jaringan', 'diperhatikan', 'kecepatannya', 'jaringan', 'dikit', 'dikit', 'hilang', 'gitu', 'ngga', 'stabil', 'kaya', 'jaringan', 'telkomsel', '']</t>
  </si>
  <si>
    <t>['mengecewakan', 'langganan', 'kartu', 'hallo', 'bayar', 'tangihan', 'sampe', 'buka', 'app', 'telkomsel', 'bangke', 'susah', 'non', 'aktif', 'hallo', 'ribet', 'lengkap', 'pindah', 'telkomsel']</t>
  </si>
  <si>
    <t>['uninstal', 'instal', 'clear', 'chace', 'clear', 'data', 'force', 'stop', 'aplikasi', 'dibuka', 'aplikasinya']</t>
  </si>
  <si>
    <t>['ngecek', 'kuota', 'habis']</t>
  </si>
  <si>
    <t>['log', 'mudah', 'pilihan', 'pelanggannya']</t>
  </si>
  <si>
    <t>['silakan', 'bukak', 'aplikasinya', 'download', 'versi', 'versi', 'website', 'uptodown']</t>
  </si>
  <si>
    <t>['apk', 'dibuka', 'pas', 'dibuka', 'blank', 'putih', '']</t>
  </si>
  <si>
    <t>['sinyal', 'mwkin', 'lemot', 'gmana', 'lancar', 'udh', 'seminggu', 'sinyal', 'ilang', '']</t>
  </si>
  <si>
    <t>['diperbaharui', 'buka', 'layar', 'putih', '']</t>
  </si>
  <si>
    <t>['bonus', 'harga', 'mahal', 'klota', 'cepet', 'habis']</t>
  </si>
  <si>
    <t>['beli', 'kuota', 'unlimited', 'youtube', 'kepakai', 'kuota', 'utama', 'penipuan', '']</t>
  </si>
  <si>
    <t>['aplikasi', 'putih', 'mulu', 'buka']</t>
  </si>
  <si>
    <t>['jaringan', 'buruk']</t>
  </si>
  <si>
    <t>['tolong', 'perbaiki', 'jaringan', 'harga', 'mahal', 'telkomsel', 'jaringan', 'burik']</t>
  </si>
  <si>
    <t>['parah', 'blank']</t>
  </si>
  <si>
    <t>['telkomsel', 'blank', 'layar', 'putih']</t>
  </si>
  <si>
    <t>['sngt', 'bagus', 'bnyk', 'promo']</t>
  </si>
  <si>
    <t>['fitur', 'kekurangannya']</t>
  </si>
  <si>
    <t>['', 'uninstall', 'beberap', 'kali', '']</t>
  </si>
  <si>
    <t>['telkomsel', 'kek', 'paket', 'mahal', 'jamin', 'sinyal', 'kuat', 'gila', 'ampe', 'kali', 'sinyal', 'telkomsel', 'jelek', 'bet', 'beli', 'gb', 'area', 'kota']</t>
  </si>
  <si>
    <t>['', 'upgred', 'dibuka', 'bangke']</t>
  </si>
  <si>
    <t>['hasilx']</t>
  </si>
  <si>
    <t>['paketnya', 'mahal', 'doang', 'sinyal', 'jelek', 'kek', 'babi']</t>
  </si>
  <si>
    <t>['terima', 'kasih', 'mytelkomsel', 'transaksi', 'mudah', 'praktis', 'tambahan', 'metode', 'pembayaran', 'link', 'gopay', 'ovo', 'shopee', 'pay', '']</t>
  </si>
  <si>
    <t>['apdet', 'tpi', 'buka', 'apk']</t>
  </si>
  <si>
    <t>['wadaww', 'abis', 'diupdate', 'dibuka', 'piye', 'iki', '']</t>
  </si>
  <si>
    <t>['aplikasi', 'ngak', 'buka', 'bleng', 'parah']</t>
  </si>
  <si>
    <t>['tolong', 'perbaiki', 'jaringannya', 'lancar', 'tpi', 'lelet', 'banget', 'kartu', 'bagus', 'jaringan', 'terurus', 'mahal', 'lgi']</t>
  </si>
  <si>
    <t>['menunya', 'ngak', 'dibuka']</t>
  </si>
  <si>
    <t>['harga', 'paket', 'kualitas', 'jaringannya', 'berubah']</t>
  </si>
  <si>
    <t>['', 'sinyal', 'telkomsel', 'dosa', 'harga', 'mahal', 'sinyalll', 'down', 'emang', 'ngak', 'bertanggung', 'lemot', '']</t>
  </si>
  <si>
    <t>['apk', 'bguss', 'beli', 'pulsa', 'apk', 'nominal', 'bebas']</t>
  </si>
  <si>
    <t>['jaringan', 'bagus', 'telkomsel', 'mati', 'lampu', 'kosong', 'jaringan', 'hujan', 'hilang', 'jaringan', 'mangkin', 'telkomsel', 'babi', 'jaringan', 'orang', 'kecewa']</t>
  </si>
  <si>
    <t>['cok', 'layarku', 'putih', 'doang', 'gabisa', 'masuk', '']</t>
  </si>
  <si>
    <t>['gua', 'kecewa', 'jaringan', 'telkomsel', 'gua', 'beli', 'paket', 'kuota', 'mahal', 'kirain', 'gua', 'mahal', 'kuotanya', 'bagus', 'sinyal', 'ehh', 'tetep', 'sinyal', 'kayak', 'kntol', '']</t>
  </si>
  <si>
    <t>['woi', 'sempak', 'bagusin', 'jaringanu', 'wilayah', 'sumbagut', 'jaringan', 'kayak', 'siput', 'jalan', 'lelet', 'kali', 'bujang', 'inam']</t>
  </si>
  <si>
    <t>['telkomsel', 'tekomsel', 'parah', 'jaringannya', 'lemot', 'buka', 'apknya', 'paketanya', 'mahal', 'tolong', 'diperbaikin', 'klw', 'sepi', 'pengguna', 'telkomsel', 'terimakasih']</t>
  </si>
  <si>
    <t>['pelayanan', 'mantap']</t>
  </si>
  <si>
    <t>['pembaharuan', 'akses', 'telkomsel', 'gmn', 'sich', 'hapus', 'donwload', 'hapus', 'donwload', 'habisnya', 'kuota', 'doang', 'pelayanan', 'tolong', 'chek', '']</t>
  </si>
  <si>
    <t>['skrang', 'telkomsel', 'buka', 'layar', 'putih', 'udh', 'lgi', 'aplikasi', 'telkomsel']</t>
  </si>
  <si>
    <t>['bintang', 'dlu', 'kadang', 'kebuka']</t>
  </si>
  <si>
    <t>['lemot', 'banget', 'redeem', 'vocher', 'diamond', 'game', 'gua', 'lemot', 'emang', 'apk', 'rusak', 'gosh', 'kasih', 'saran', 'hapus', 'data', 'udh', 'hapus', 'kemaren']</t>
  </si>
  <si>
    <t>['repot', 'counter', 'pulsa', 'paket', 'combo', 'oke', 'cakep', 'gan', 'okay', 'deh', '']</t>
  </si>
  <si>
    <t>['', 'samsung', 'blank', 'putih', 'dibuka']</t>
  </si>
  <si>
    <t>['aplikasi', 'bagus', 'bangett', 'buruan', 'download']</t>
  </si>
  <si>
    <t>['gada', 'bintang', 'bintang', 'kayaknya', 'blom', 'pantes', 'harga', 'mahal', 'bet', 'orang', 'kaya', 'coba', 'pikirin', 'orang', 'desa', 'orang', 'berkecukupan', 'mahal', 'bet', 'sinyal', 'sesuai', 'harga', 'udh', 'mahal', 'bet', 'sinyalnya', 'main', 'main', 'kadang', 'bagus', 'kadang', 'cuman', 'dapet', 'dapet', 'gabisa', 'dipake', 'kuota', 'unlimited', 'cuman', 'dateng', 'itupun', 'mahal', 'bet', 'kuota', 'bulanan', 'unlimited', 'harga', 'pass', 'didaftar', 'pemilihan', 'cuman', 'itupun', 'mahal', 'bet']</t>
  </si>
  <si>
    <t>['mempermudah', 'memilih', 'paket', 'internet', 'mudah', '']</t>
  </si>
  <si>
    <t>['', 'buka', 'blank', 'putih', '']</t>
  </si>
  <si>
    <t>['membantu', 'mudah', 'dipahami', '']</t>
  </si>
  <si>
    <t>['combonya', 'beda', 'beda', 'harganya', 'kartu', '']</t>
  </si>
  <si>
    <t>['diupdate', 'bsa', 'dibuka', 'dri', 'pagi', 'gmn', 'bukanya', 'bagus', 'nyusahin', '']</t>
  </si>
  <si>
    <t>['kasih', 'harga', 'tanggung', 'tanggung', 'kalah', 'im', '']</t>
  </si>
  <si>
    <t>['telkomsel', 'sinyalnya', 'menyedihkan', 'bagus', 'sinyal', 'emosi', '']</t>
  </si>
  <si>
    <t>['jaringan', 'buruk', 'pulsa', 'habis', 'kuota', 'knp', 'pulsa', 'sedot']</t>
  </si>
  <si>
    <t>['', 'tlkom', 'tolong', 'paketan', 'mahal', 'sinyal', 'hancur', 'banget', 'jawq', 'timuran']</t>
  </si>
  <si>
    <t>['aplikasi', 'ios', 'android', 'udah', 'bertahun', 'aplikasi', 'isi', 'kuota']</t>
  </si>
  <si>
    <t>['semenjak', 'update', 'kuota', 'silver', 'gamesmax', 'berkurang', 'kuota', 'tolong', 'telkomsel', 'kuota', 'gamesmax', 'plssss', 'banget', '']</t>
  </si>
  <si>
    <t>['benerin', 'aplikasi', 'pakai', '']</t>
  </si>
  <si>
    <t>['udahh', 'buka', 'aplikasinyah', 'layar', 'putihh', 'ajah', 'parah', 'banget', '']</t>
  </si>
  <si>
    <t>['download', 'sampah', 'sms', 'iklan', 'masuk', 'sms', 'iklan', 'bank', 'nasabah', 'bank', 'tsb', 'mengecewakan', '']</t>
  </si>
  <si>
    <t>['nyesal', 'gue', 'pakai', 'aplikasi', 'dibuka', '']</t>
  </si>
  <si>
    <t>['parah', 'aplikasi', 'telkomsel', 'pakai', 'tindakan', 'admin', 'telkomsel', 'hapus', 'aplikasix', 'play', 'store', 'dowload', 'aplikasix', 'rugi', 'jengkel', 'jadix', '']</t>
  </si>
  <si>
    <t>['update', 'error', 'dibuka']</t>
  </si>
  <si>
    <t>['jaringan', 'game', 'mobile', 'legend', 'parah', 'nyesal', 'isi', 'kuota']</t>
  </si>
  <si>
    <t>['udah', 'sinyal', 'jelek', 'harga', 'paket', 'mahal', 'sinyal', 'putus', 'putus', 'banggain', 'dasar', 'noob']</t>
  </si>
  <si>
    <t>['kendala', 'jaringan', 'pas', 'buka', 'aplikasi', 'eror', 'layar', 'blank', 'transaksi', 'susah', 'hapus', 'chance', 'berpengaruh', 'telkomsel', 'terkenal', 'mahal', 'tolonglah', 'perbaiki', 'mslah', 'jaringan', 'transaksi', 'pemakai', 'nyaman', 'kecewa', '']</t>
  </si>
  <si>
    <t>['mudah', 'penggunaan', 'membantu', 'urusan', 'pekerjaan', 'wilayah', 'kerja', 'luas', 'sulit', 'jangkau', 'sulit', 'telkomsel', 'pekerjaan', 'ringan', 'pergi', 'kewilayah', 'wilayah', 'telpon', 'pekerjaan', 'mudah', 'pekerjaan', 'sulit', 'menempuh', 'perjalanan', 'berat', 'turun', 'bukit', 'bukit', 'menerobos', 'rapatnya', 'hutan', 'kalimantan', 'resiko', 'ancamang']</t>
  </si>
  <si>
    <t>['kadang', 'susah', 'sinyal', 'stabil', 'harga', 'paket', 'pelanggan', 'setia', 'telkomsel']</t>
  </si>
  <si>
    <t>['buka', 'stuck', 'blank', 'putih', 'udah', 'uninstall', 'install', 'kali', 'menghubungi', 'telegram', 'gaada', 'pilihan', 'keluhan', '']</t>
  </si>
  <si>
    <t>['nda', 'dibuka', 'puhh', 'hpus', 'bru', 'download', 'ulangggg']</t>
  </si>
  <si>
    <t>['aplikasinya', 'buka', 'kecewa']</t>
  </si>
  <si>
    <t>['', 'infinix', 'smart', 'nggak', 'bukak', 'mohon', 'bantu']</t>
  </si>
  <si>
    <t>['susah', 'pengguna', 'kartu', 'halo', 'aktifasi', 'mobile', 'banking', 'kode', 'otw', 'blok', 'sms', 'permintaan', 'kirim', 'ribet', 'providernya', 'bank']</t>
  </si>
  <si>
    <t>['knp', 'aplikasi', 'mytelkomsel', 'dibuka', 'ribet', 'pelanggan', 'mengecewakan', 'pelangan', '']</t>
  </si>
  <si>
    <t>['mantap', 'lancar', 'sinyalnya']</t>
  </si>
  <si>
    <t>['ahir', 'ahir', 'jaringan', 'stabil']</t>
  </si>
  <si>
    <t>['telkomsel', 'sinyalnya', 'udah', 'bagut', 'uda', 'mati', 'tolong', 'tingkatkan']</t>
  </si>
  <si>
    <t>['aplikasi', 'terbuka', 'cuman', 'blank', 'putih', 'doang', 'kecewa', 'parah']</t>
  </si>
  <si>
    <t>['tolong', 'tingkat', '']</t>
  </si>
  <si>
    <t>['assalamuallaikum', 'coba', 'informasikan', 'update', 'tan', 'aplikasinya', 'ngebug', '']</t>
  </si>
  <si>
    <t>['parah', 'nich', 'aplikasi', 'udah', 'kali', 'download', 'kali', 'hapus', 'jga', 'tetep', 'bza', 'buka', 'slalu', 'blank', 'layar', 'putih']</t>
  </si>
  <si>
    <t>['aplikasinya', 'susah', 'dibuka', 'butuh', 'kebuka', 'jaringannya', 'lelet', 'banget', 'sebanding', 'harga', 'kuotanya', 'terbilang', 'mahal']</t>
  </si>
  <si>
    <t>['penilaian']</t>
  </si>
  <si>
    <t>['murah', 'meriah', 'mudah']</t>
  </si>
  <si>
    <t>['tingkatkan', 'semoga', 'sukses']</t>
  </si>
  <si>
    <t>['raisoh', 'bukak', 'njirr']</t>
  </si>
  <si>
    <t>['bayar', 'mahal', 'mahal', 'dptny', 'dikit', 'sinyalnya', 'jelek', 'trs', 'besokny', 'dipake', 'kuota', 'namany', 'nipu', 'org', 'untung', 'duit', 'sia', 'sia', 'beli', 'kuota', 'nipu', 'org', 'trs', 'enak', 'banget', 'emang']</t>
  </si>
  <si>
    <t>['telkomsel', 'kadang', 'rada', 'paket', 'dibeli']</t>
  </si>
  <si>
    <t>['maaf', 'aplikasi', 'telkomsel', 'buka', 'kecewa', 'aplikasi', '']</t>
  </si>
  <si>
    <t>['', 'bmget', 'sya', 'suka']</t>
  </si>
  <si>
    <t>['kartu', 'sim', 'nda', 'sim', 'aman', 'aman', 'pusat', 'bantuan', 'bingung', 'hadaahh']</t>
  </si>
  <si>
    <t>['erorrrr', 'trussss', 'mohon', 'bersangkutan', 'perbaiki', 'sya', 'udah', 'kli', 'instal', 'ulang', 'tpi', 'ttp', 'hasilnya', '']</t>
  </si>
  <si>
    <t>['mohon', 'maaf', 'apk', 'buka', 'mentok', 'layar', 'putih', 'doang', '']</t>
  </si>
  <si>
    <t>['coba', 'kasih', 'diskon', 'pembelian', 'kuota', 'pulsa', 'kek']</t>
  </si>
  <si>
    <t>['masuk', 'telkomsel']</t>
  </si>
  <si>
    <t>['aplikasi', 'beli', 'paket', 'data', 'pulsa', 'dikirim', 'seminggu', 'notif']</t>
  </si>
  <si>
    <t>['semoga', 'hasil', 'memuaskan', '']</t>
  </si>
  <si>
    <t>['beli', 'kuota', 'skrng', 'mngkn', 'internet', 'eror', '']</t>
  </si>
  <si>
    <t>['jelek', 'pooooool', 'buka', 'blank', 'trus', 'menu', 'cat', 'tekomsel', 'bls', 'respon', 'donwload']</t>
  </si>
  <si>
    <t>['bertahun', 'pakai', 'telkomsel', 'kali', 'kecewa', 'banget', 'sekelas', 'telkomsel', 'aplikasinya', 'pakai', '']</t>
  </si>
  <si>
    <t>['apk', 'telkomsel', 'membantu', 'banget', '']</t>
  </si>
  <si>
    <t>['kasih', 'diskon', '']</t>
  </si>
  <si>
    <t>['', 'telkomsel', 'udha', 'beli', 'paket', 'unlimted', 'youtube', 'plz', 'ambil', 'sumpah', 'ngeselin']</t>
  </si>
  <si>
    <t>['pelayanan', 'terbaik']</t>
  </si>
  <si>
    <t>['paket', 'mahal', 'signal', 'murahan', 'lemodnya', 'ampun', 'telkomselelet', 'telkomselemot', 'bintang', 'minus', 'kasih', 'bintang', 'minus', '']</t>
  </si>
  <si>
    <t>['update', 'versi', 'terbaru', 'error', 'dibuka', 'blank', 'putih', 'close', '']</t>
  </si>
  <si>
    <t>['bintang', 'memuaskan', '']</t>
  </si>
  <si>
    <t>['proses', 'pembayarannya', 'smple', 'memudahkan', 'pelanggan', '']</t>
  </si>
  <si>
    <t>['appnya', 'jdi', 'buka']</t>
  </si>
  <si>
    <t>['sinyal', 'kek', 'koontol', 'beli', 'paketan', 'mahal', 'mahal', 'sinyal', 'kaya', 'hiduploo', 'kecewa', 'beli', 'paketan', 'mahal', 'balikin', 'pulsa', 'komtollll', '']</t>
  </si>
  <si>
    <t>['buka', 'aplikasi', 'telkomsel', 'kunjungi', 'grapari', 'solusi', '']</t>
  </si>
  <si>
    <t>['aplikasih', 'bukak', 'semejak', 'uprage', 'versi', 'mengecewakan', '']</t>
  </si>
  <si>
    <t>['parah', 'nggk', 'dibukak', 'madih', 'enak', 'versi']</t>
  </si>
  <si>
    <t>['kaya']</t>
  </si>
  <si>
    <t>['pelayanan', 'bagus', 'lokasi', 'signal', 'lemot', 'paket', 'data', 'program', 'mahal', 'mahal']</t>
  </si>
  <si>
    <t>['kebutuhan', 'plus', 'fitur', 'design', 'mantap']</t>
  </si>
  <si>
    <t>['harga', 'paket', 'mahal', 'diimbangi', 'sinyal', 'bagus', 'pindah', 'provider']</t>
  </si>
  <si>
    <t>['pengambilan', 'hadiah', 'hadiah']</t>
  </si>
  <si>
    <t>['telkomsel', 'cobak', 'jaringan', 'rusak', 'jaringan', 'jaringan', 'ngeleg', 'trus', '']</t>
  </si>
  <si>
    <t>['kasih', 'bintang', 'karna', 'aplikasi', 'buka']</t>
  </si>
  <si>
    <t>['paket', 'klen', 'mahal', 'jaringan', 'klen', 'macem', 'taik']</t>
  </si>
  <si>
    <t>['aplikasinya', 'bagus', 'sinyalnya', 'jelek', '']</t>
  </si>
  <si>
    <t>['iven', 'menarik', 'poin', 'penukaranya', 'bagus']</t>
  </si>
  <si>
    <t>['sinyal', 'anjnggg', 'main', '']</t>
  </si>
  <si>
    <t>['jaringan', 'telkomsel', 'bogor', 'barat', 'kaya', 'siput', 'kalah', 'operator', 'gua', 'kasih', 'bintang', 'admin']</t>
  </si>
  <si>
    <t>['bersih', 'jaringan', '']</t>
  </si>
  <si>
    <t>['memudahkan', 'penggunaanya', 'dilengkapi', 'fitur', 'fitur', 'mudah', 'dipahami', '']</t>
  </si>
  <si>
    <t>['brand', 'kartu', 'telpon', 'genggam', 'indonesia']</t>
  </si>
  <si>
    <t>['mahal', 'mahal', 'beli', 'counter']</t>
  </si>
  <si>
    <t>['aplikasi', 'udah', 'diperbaharui', 'dipakai', '']</t>
  </si>
  <si>
    <t>['applikasinya', 'buka', 'mytelkomsel']</t>
  </si>
  <si>
    <t>['dibuka', 'blank', 'putih', 'ribet', '']</t>
  </si>
  <si>
    <t>['bangga', 'telkomsel', 'beli', 'pulsanya', 'aplikasi', 'kepotong', 'biaya', 'admin', 'eee', 'diterimanya', 'potong', 'dobel', 'dobel', 'potonganya', 'parah', 'parah']</t>
  </si>
  <si>
    <t>['jelek', 'kinerjanya', 'orang', 'orang', 'kasih', 'bintang', 'sadar', '']</t>
  </si>
  <si>
    <t>['ksringn', 'update', 'aplikasi', 'tpi', 'gapernah', 'update', 'pntingnya', 'kyak', 'fitur', 'safe', 'pulsa', 'kek', 'jdi', 'paket', 'habis', 'otomatis', 'kepake', 'pulsanya', 'iya', 'sekelas', 'tim', 'kreatif', 'telkomsel', 'gaada', 'kepikiran', 'bgituan', 'udh', 'brapa', 'kali', 'kek', 'gini', 'tpi', 'kli', 'kesel', 'ssii', 'krna', 'udh', 'kseringan', 'emng', 'sngajakah', 'jdi', 'pulsa', 'orang', 'lngsung', 'abis', 'sekelas', 'im', 'udah', 'pke', 'safe', 'pulsa', 'seblum', 'safe', 'pulsa', 'bar', 'kyak', 'telkomsel', 'gini', 'nyedot', 'pulsa', 'internetnya', 'pdhl', 'telkomsel', 'provider', 'teratas']</t>
  </si>
  <si>
    <t>['susah', 'hub', 'telkomsel', 'jaringannya', 'lelet', 'mahal', 'lambat', 'keluh', 'kpd', 'kemana', 'alur', 'ceritanya']</t>
  </si>
  <si>
    <t>['hai', 'mimin', 'kecewa', 'bnget', 'telkom', 'utang', 'paket', 'darurat', 'rb', 'trs', 'beli', 'pulsa', 'pulsa', 'kepotong', 'cok', 'beli', 'pas', 'hujan', 'lebat', '']</t>
  </si>
  <si>
    <t>['paketannya', 'tolong', 'dirubah', 'bervariasi', 'rate', 'harga', 'paket', 'rb', 'rb', 'ditampilkan', 'rb', 'keatas']</t>
  </si>
  <si>
    <t>['semoga', 'menang', 'undian', 'mobil', 'telkomsel']</t>
  </si>
  <si>
    <t>['jaringan', 'telkomsel', 'kek', 'sumpa', 'mahal', 'mahal', 'blik', 'mlh', 'jaringan']</t>
  </si>
  <si>
    <t>['nyobain', 'kasih', 'bintang', 'segitu']</t>
  </si>
  <si>
    <t>['blank', 'putih', 'white', 'screen', 'kurangi', 'bintang', 'gaada', 'perubahan', '']</t>
  </si>
  <si>
    <t>['promosinya']</t>
  </si>
  <si>
    <t>['jaringan', 'telkomsel', 'bermasalah']</t>
  </si>
  <si>
    <t>['aplikasi', 'terbuka', 'layar', 'putih', 'koneksi', 'aman', '']</t>
  </si>
  <si>
    <t>['telkomsel', 'jaringannya', 'sebagus', '']</t>
  </si>
  <si>
    <t>['maaf', 'kasih', 'bintang', 'beli', 'kuota', 'apk', 'telkomsel', 'pulsa', 'sedot', 'kaya', 'cpt', 'ngisi', 'kuota', 'langsung', 'sedotnya', 'rugi', 'jdi', 'maaf', 'kasih', 'bintang', '']</t>
  </si>
  <si>
    <t>['aplikasi', 'membantu', 'menghilangkan', 'pulsa', 'potong', 'pulsa', 'tnp', 'persetujuan', 'pemilik', 'mengecewakan', '']</t>
  </si>
  <si>
    <t>['telkomsel', 'mengecewakaaaaaaaaaan']</t>
  </si>
  <si>
    <t>['download', 'kalinya', 'aplikasi', 'jelek', 'karna', 'buka']</t>
  </si>
  <si>
    <t>['bintang', 'soalnta', 'telkomselnya', 'kebuka', 'bleng', 'putih', '']</t>
  </si>
  <si>
    <t>['bermanfaat', 'apk', 'easy', 'cek', 'data', 'pulsa', 'pembelian', 'paket', 'data', 'murah', 'murah', 'paket', 'darurat', 'tingkatkan']</t>
  </si>
  <si>
    <t>['ngak', 'masuk', 'akun', 'telkomsel', 'bang']</t>
  </si>
  <si>
    <t>['buka', 'kecewa', 'aplikasi', 'kuota', 'abis', 'instal', 'delete', 'instal']</t>
  </si>
  <si>
    <t>['jaringan', 'buruk', 'harga', 'paket', 'data', 'mahal', '']</t>
  </si>
  <si>
    <t>['smoga', 'mengecewakan', '']</t>
  </si>
  <si>
    <t>['sinyal', 'error', 'kota', 'karawang', 'ngk', 'kuota', 'full']</t>
  </si>
  <si>
    <t>['aplikasi', 'update', 'pas', 'dibuka', 'layar', 'putih', 'gimana']</t>
  </si>
  <si>
    <t>['update', 'buka', 'app', 'tsel', 'mohon', 'sekelas', 'anak', 'perusahaan', 'plat', 'merah', 'swasta', 'keliatan', 'pura', 'budek', 'denger', 'keluhan', 'pelanggan', 'udah', 'seminggu', 'app', 'diakses']</t>
  </si>
  <si>
    <t>['tolong', 'pas', 'buka', 'aplikasi', 'hpku', '']</t>
  </si>
  <si>
    <t>['kali', 'download', 'buka']</t>
  </si>
  <si>
    <t>['jaringan', 'lelet', 'semoga', 'kedepannya', '']</t>
  </si>
  <si>
    <t>['membantu', 'app', 'mytelkomsel']</t>
  </si>
  <si>
    <t>['seringan', 'eror', 'lancarnya', 'disaat', 'dibutuhkan', 'kasih', 'bintang']</t>
  </si>
  <si>
    <t>['maf', 'bintang', 'susah', 'buka', 'layar', 'putih', 'trussss', 'lancar', 'aneh', 'aplikasi', 'gini', 'benerin', 'lach', 'lancar']</t>
  </si>
  <si>
    <t>['memotong', 'pulsa', 'utama', 'izin', 'kuota', 'internet', 'habis']</t>
  </si>
  <si>
    <t>['signal', 'cacat', 'admin', 'copas', 'doang', 'veronika', 'telkomsel', 'lelet', 'intinya', 'solusi', 'apapun', 'telkomsel', 'keluhan', '']</t>
  </si>
  <si>
    <t>['nape', 'harga', 'kouta', 'beruba', 'berubah', 'trus', 'udah', 'jdi', 'kebutuhan', 'pokok', 'bisni', 'setan', 'end', 'harga', 'kouta', 'ruba', 'dlil', 'promosi', 'hadian', 'masayarakat', 'end', 'butuh', 'contoh', 'kouta', 'brp', 'naikan', 'sesusuai', 'bbm', 'masyarakat', 'bodoh', 'bodoh', 'kejar', 'untung', 'karwawan', 'becus', 'karna', 'sistim', 'keluarga', 'teman', 'sejawa', 'ujungx', 'jdi', 'linta', '']</t>
  </si>
  <si>
    <t>['sinyal', 'babi']</t>
  </si>
  <si>
    <t>['parah', 'diupdate', 'gabisa', 'dibuka', 'cuman', 'ngeblank', 'putih', 'udah', 'copot', 'pasang', 'kali', 'gaada', 'bedanya', 'kartu', 'prabayar', 'pasca', 'bayar', 'pelayanannya']</t>
  </si>
  <si>
    <t>['assalamualaikum', 'bagus', 'aplikasi']</t>
  </si>
  <si>
    <t>['setlah', 'update', 'blank', 'putih', 'android', '']</t>
  </si>
  <si>
    <t>['jaringannya', 'putus', 'putus', 'alias', 'error', 'telkomsel', 'knp', 'jaringannya', 'bagus', 'error', 'mulu', 'kloq', 'gini', 'trus', 'mending', 'beralih', '']</t>
  </si>
  <si>
    <t>['minggu', 'buka', 'aplikasi', 'telkomsel', 'aplikasi', 'normal', 'mohon', 'respon', 'telkomsel', 'tks', '']</t>
  </si>
  <si>
    <t>['bener', 'aplikasinya', 'seminggu', 'kaya', 'gitu', '']</t>
  </si>
  <si>
    <t>['jaringannya', 'data', 'perbaiki', 'yaa']</t>
  </si>
  <si>
    <t>['tolong', 'dicek', 'pindahkan', 'kartu', 'telkomsel', 'perangkat', 'samsung', 'galaxy', 'aplikasinya', 'dibuka', 'loading', 'layar', 'putih', 'abis', 'force', 'close']</t>
  </si>
  <si>
    <t>['telkom', 'bqbi', 'dajjal', 'hendry', 'babi']</t>
  </si>
  <si>
    <t>['lemot', 'jaringan', 'buka', 'aplikasi']</t>
  </si>
  <si>
    <t>['beli', 'pulsa', 'ilang', 'memakai', 'pulsa', 'rp', 'internet', 'non', 'paket', 'telkomsel', 'pulsa', 'hilang', '']</t>
  </si>
  <si>
    <t>['skarang', 'buka', 'telkomsel', 'susah', 'bener', '']</t>
  </si>
  <si>
    <t>['aplikasi', 'menarik']</t>
  </si>
  <si>
    <t>['harga', 'mahal', 'sinyal', 'jelek', 'banget', 'pas', 'hujan', 'kecewa', 'pengguna', 'kartu', 'simpati']</t>
  </si>
  <si>
    <t>['akurat', 'cepat', 'murah']</t>
  </si>
  <si>
    <t>['lemot', 'sinyal', 'bayar', 'telat', 'pakai', 'pasca', 'bayar', 'kategori', 'bagus', 'gimana', 'menurun', 'kwalitasnya', 'tolong', 'pelayanannya', 'ditingkatkan']</t>
  </si>
  <si>
    <t>['cek', 'riview', 'mengalami', 'aplikasi', 'blank', 'putih', 'dibuka', '']</t>
  </si>
  <si>
    <t>['telkomsel', 'harga', 'paket', 'tepi', 'pelayanan', 'kayak', 'ek', 'seharus', 'pakek', 'mahal', 'pelayanan', 'bagus', 'indah', 'mahal', 'bukak', 'google', 'niat', 'kadi', 'kartu', 'indo', 'mendingan', 'pensi', 'telkomsel']</t>
  </si>
  <si>
    <t>['masuk', 'telkomsel', 'uninstal', 'install', 'ulang', 'tetep', 'menampilkan', 'blank', 'scren', 'warna', 'putih', '']</t>
  </si>
  <si>
    <t>['jaringan', 'luas', 'dimana']</t>
  </si>
  <si>
    <t>['aplikasinya', 'diakses', 'gimana', 'solusinya', '']</t>
  </si>
  <si>
    <t>['siang', 'kak', 'tolong', 'perbaiki', 'aplikasi', 'telkosmel', 'nyaaaa', 'sumpaahhh', 'kecewa', 'bgttt', 'kak', 'tolong', 'knp', 'aplikasi', 'telkomsel', 'dibuka', 'dbuka', 'gambar', 'putih', 'udah', 'uninstal', 'app', 'hub', 'call', 'center', 'hasil', 'nihil', 'mohon', 'respon', 'perbaikan', '']</t>
  </si>
  <si>
    <t>['sinyalnya', 'buruk']</t>
  </si>
  <si>
    <t>['mahal', 'doang', 'jaringan', 'jump']</t>
  </si>
  <si>
    <t>['mahal', 'banget', 'harga', 'paket', 'internetnya', '']</t>
  </si>
  <si>
    <t>['mahaaalll', 'rekomen']</t>
  </si>
  <si>
    <t>['kasi', 'rating', 'kuota', 'bonus', 'minimal', 'min', 'kaya', 'kuota', 'tri']</t>
  </si>
  <si>
    <t>['bermanfaat', 'kasih', 'bintang', '']</t>
  </si>
  <si>
    <t>['aplikasi', 'ndak', 'dibuka', '']</t>
  </si>
  <si>
    <t>['avv', 'suka', '']</t>
  </si>
  <si>
    <t>['', 'harapkan', 'mati', 'lampu', 'jaringan', 'hilang']</t>
  </si>
  <si>
    <t>['pulsa', 'kesedot', 'isi', 'pulsa', 'pas', 'masuk', 'kedalam', 'aplikasi', 'tekomsel', 'pulsa', 'kesedotnya', 'kali', 'kesedot', 'pulsa', '']</t>
  </si>
  <si>
    <t>['tolong', 'perbaiki', 'telkomsel', 'terkait', 'applikasi', 'bermasalah', 'update', 'layar', 'blank', 'putih', 'menu', 'utama', '']</t>
  </si>
  <si>
    <t>['dibuka', 'parah', '']</t>
  </si>
  <si>
    <t>['harga', 'mahal', 'promo', 'operator', 'dmana', 'promo', 'harga', 'miring', 'tolong', 'perbanyak', 'promo', 'miringkan', 'harga', 'puas']</t>
  </si>
  <si>
    <t>['beli', 'pulsa', 'nggak', 'menit', 'udah', 'kepotong', 'kemarin', 'beli', 'pulsa', 'gaada', 'menit', 'udah', 'kepotong', 'padaha', 'kondisi', 'data', 'mati', 'riwayat', 'berlangganan', 'tagihan', 'telkomsel', 'mengecewakan', 'merugikan', 'pelanggan', 'ganti', 'kartu', 'malas', 'kecewakan']</t>
  </si>
  <si>
    <t>['sengat', 'senang', 'makai', 'kartu', 'telkomsel', 'irit']</t>
  </si>
  <si>
    <t>['bagus', 'banget', 'membantu', 'pengguna', 'provider', 'telkomsel']</t>
  </si>
  <si>
    <t>['asyik', 'telkomsel', 'kuota', 'telpon', 'internet', 'dansms', 'pulsa', 'tersimpan', 'hilang', 'kemana', 'paket', 'langganan', 'kecewa']</t>
  </si>
  <si>
    <t>['harga', 'paket', 'combo', 'cepe', 'salah', 'harga', 'naek', 'udh', 'sinyal', 'kagak', 'ilang', 'org', 'taun', 'iya', 'dikasih', 'diskon', 'pelangganya', 'ntar', 'ganti', 'operator', 'kaya', 'gini', 'udh', 'gitu', 'buka', 'situs', 'bnyak', 'diblokir', 'nyari', 'file', 'suka', 'susah', 'ketemu', '']</t>
  </si>
  <si>
    <t>['jaringan', 'lelet', 'banget', 'bermain', 'game', 'ngga', 'gerak', 'lag', 'banget', 'mohon', 'diperbaiki', '']</t>
  </si>
  <si>
    <t>['bintang', 'top', 'deh', 'poko']</t>
  </si>
  <si>
    <t>['jelek', 'sinyal', 'cocok', 'game', 'sinyal', 'stabil']</t>
  </si>
  <si>
    <t>['mending', 'murah', 'internet', 'jelek', 'mahal', 'lelet', 'astaga', 'knapa', 'telkomsel', 'nii']</t>
  </si>
  <si>
    <t>['sediakan', 'promo', 'internet', 'murah', 'terimakasih', 'telkomsel']</t>
  </si>
  <si>
    <t>['mohon', 'harga', 'paket', 'merakyat']</t>
  </si>
  <si>
    <t>['aplikasi', 'telkomsel', 'buka', 'blank', 'layar', 'putih', 'doank', 'kaya', 'mempermudah', 'custamer', 'isi', 'paket', 'buka', 'aplikasi']</t>
  </si>
  <si>
    <t>['bintang', 'mengeluh', 'saran', 'telkomsel', 'peduli', 'mohon', 'maaf', 'ketidaknyamanannya', 'usahakan', 'secepatnya', 'boro', 'alasan', 'doang']</t>
  </si>
  <si>
    <t>['kesini', 'mengecewakan', 'secepatnya', 'perbaiki', 'promo', 'mulu']</t>
  </si>
  <si>
    <t>['susah', 'msuk', 'bolak', 'hapus', 'download', 'tetep', 'bsa']</t>
  </si>
  <si>
    <t>['slogannya', 'jaringan', 'anti', 'lemot', 'paket', 'datanya', 'mahal', 'dibanding', 'provider', 'jaringan', 'lemot', 'emang', 'udah', 'lemot', 'konfirmasi', 'ganti', 'paket', 'data', 'mahal', 'kecepatan', 'kek', 'keong']</t>
  </si>
  <si>
    <t>['semoga', 'menang']</t>
  </si>
  <si>
    <t>['poin', 'telkomsel', 'nga', 'gunanya', 'hadiah', 'blm', 'dpt', 'ikutin', 'undian', 'mengharap', 'dpt', 'motor', 'samsung', 'mimpi', 'doang', 'motor', 'beat', 'membutuhkan', 'narik', 'ojol', 'nafkahin', 'keluarga', 'kecewa', 'harapan', 'motor', 'mimpi', 'nga', 'nyata', '']</t>
  </si>
  <si>
    <t>['mencoba', 'kartu', 'telkomsel', 'mudah']</t>
  </si>
  <si>
    <t>['telkomsel', 'jaringan', 'stabil', 'kadang', 'lemot', 'lbh', 'bagus', 'paket', 'paket', 'kuota', 'nelpon', 'mahal', 'kuota', 'boros', 'banget', 'penawaranya', 'parah', 'takuti', 'pulsa', 'kesedot', 'otomatis', 'klw', 'tkuota', 'habis', 'beli', 'nelpon', 'kampung', 'sya', 'jarang', 'telkomsel', 'mahal', 'karang', 'jaringan', 'ilang', 'kalah', 'tertinggal', 'operator']</t>
  </si>
  <si>
    <t>['selamat', 'pagi', 'terkena', 'kebohongan', 'sistem', 'provider', 'telkomsel', 'isi', 'pulsa', 'rb', 'membeli', 'paket', 'rb', 'kuota', 'gb', 'lgsg', 'terpotong', 'sbg', 'konsumen', 'pulsa', 'potong', 'habis', 'pulsa', 'memaketkan', 'kuota', 'internet', 'mohon', 'telkomsel', 'alasan', 'telkomsel', 'kesalahan', 'sistem', 'terkena', 'imbas', 'konsumen', '']</t>
  </si>
  <si>
    <t>['kartu', 'sultan', 'miskin', 'sinyal', 'kuota', 'darurat', 'giliran', 'isi', 'plsa', 'ilang', 'emng', 'bunga', 'knp', 'kasih', 'pemberitahuan']</t>
  </si>
  <si>
    <t>['', 'mohammad', 'yasin', 'telkomsel', 'tingkatkan', 'layanan', 'kompak', 'salam', 'sukses', 'anak', 'cucu']</t>
  </si>
  <si>
    <t>['dibuka', 'aplikasi', 'beli', 'data', 'internet', 'pulsa', 'blur', 'putih', 'bete', 'tolong', 'ditingkatkan', 'kwalitasnya', 'pelanggan', 'setia', 'kecewa', '']</t>
  </si>
  <si>
    <t>['sorry', 'jngn', 'bnyk', 'telkomsel', 'jaringan', 'parah', 'klh', 'operator', '']</t>
  </si>
  <si>
    <t>['tolong', 'bersangkutan', 'sinyal', 'stabilkan', 'supya', 'make', 'telkomsel', 'nyaman']</t>
  </si>
  <si>
    <t>['telkomsel', 'tolong', 'jua', 'ktng', 'maluku', 'masohi', 'knp', 'jaringan', 'trusss', 'tolong', 'kasi', 'bintang', 'udh', 'muak', 'emang', 'telkomsel', 'becus', 'sia', 'beli', 'paket', 'jaringan', 'bagus', 'truss', 'kecewa', '']</t>
  </si>
  <si>
    <t>['tolong', 'perbaiki', 'sinyal', 'haraga', 'kotanya', 'sinyal', 'lemod', 'tolong', 'perbaiki']</t>
  </si>
  <si>
    <t>['mohon', 'maaf', 'tri', 'sinyalnya', 'jelek', 'pindah', 'telkom', 'jelek', 'min', 'dlu', 'bagus', 'banget', 'skrg', 'sinya', 'telkom', 'sebanding', 'kaya', 'harganya', 'maaf', 'min', 'kecewa']</t>
  </si>
  <si>
    <t>['beli', 'kouta', 'sistem', 'sibuk', 'tunggu', 'menit', 'udah', 'make', 'telkomsel', 'kecewa']</t>
  </si>
  <si>
    <t>['kepuasan', 'konsumen']</t>
  </si>
  <si>
    <t>['sebulan', 'buka', 'putih']</t>
  </si>
  <si>
    <t>['jelek', 'ngk', 'buka', 'habis', 'perbaharui', 'nhk', 'buka', '']</t>
  </si>
  <si>
    <t>['aduhhh', 'jaringan', 'lemot', 'bener', 'mohon', 'jaringan', 'lemot', '']</t>
  </si>
  <si>
    <t>['terbaik', 'cellular', 'idaman', 'trima', 'kasih', 'telkomsel']</t>
  </si>
  <si>
    <t>['meng', 'dwonlod', 'apk', 'tekomsel', 'apk', 'tekomsel', 'lite', 'telkomsel', 'sukak', 'hadianya']</t>
  </si>
  <si>
    <t>['harga', 'plat', 'merah', 'mahal', 'mahal', 'paketannya', 'sayang', 'sinyalnya', 'jelek', 'banget', 'ujan', 'balok', 'sinyal', 'ilang', 'lucu', 'udah', 'gitu', 'lapornya', 'suruh', 'sosmed', 'sistem', 'bot', 'wkwkwk', 'jawabannya', 'membantu', 'perbaikan', 'jaringannya', 'mahal', 'doang', 'suruh', 'ngebut', 'wkwkwk']</t>
  </si>
  <si>
    <t>['', 'buka', 'app', 'telkomsel', 'ribet', 'urusan', 'gitu', 'tolong', 'penjelasannya', 'dongggg', 'operator', 'terima', 'kasih']</t>
  </si>
  <si>
    <t>['maaf', 'kak', 'udh', 'aplikasinya', 'bsa', 'buka', 'mohon', 'bantuan', 'kak']</t>
  </si>
  <si>
    <t>['manfaat', 'segudang', 'keuntungan']</t>
  </si>
  <si>
    <t>['makjn', 'dibuka', 'layarnya', 'putih']</t>
  </si>
  <si>
    <t>['sinyal', 'parah', 'banget', 'daerah', 'malang', 'hujan', 'kecewa', 'pelanggan']</t>
  </si>
  <si>
    <t>['cepetan', 'fixs', 'min', 'bug', 'kaya', 'gini', 'betah', '']</t>
  </si>
  <si>
    <t>['app', 'jelasss', 'sumpahh', 'buka', 'nge', 'stuck', 'layar', 'putih', 'trus', 'layar', '']</t>
  </si>
  <si>
    <t>['payah', 'dibuka', 'stuck', 'blank', 'putih', 'gini', 'usaj', 'diupdate', 'ribet']</t>
  </si>
  <si>
    <t>['mantap', 'maju', 'telkomsel', '']</t>
  </si>
  <si>
    <t>['buka', 'aplikasi', 'handphone', 'samsung']</t>
  </si>
  <si>
    <t>['susah', 'masuk', 'aplikasinya', '']</t>
  </si>
  <si>
    <t>['mengecewakn', 'telkomsel', 'aplikasinya', 'berhenti', 'instal', 'ulang', 'beda', 'aplikasi', 'segi', 'penawaran', 'kuotapun', 'mahal', 'bersaing', 'segi', 'keistimewaan', 'kecepatan', 'tidam', 'istimewa']</t>
  </si>
  <si>
    <t>['sinyal', 'hilang', 'skrang', 'hilang', 'menitan', 'pdhal', 'jakarta', '']</t>
  </si>
  <si>
    <t>['skrng', 'telkomsel', 'ngga', 'buka']</t>
  </si>
  <si>
    <t>['udah', 'uninstal', 'trs', 'instal', 'kebuka', '']</t>
  </si>
  <si>
    <t>['mengecewakan', 'harga', 'paket', 'lumayan', 'stabil', 'mohon', 'jaringan', 'stabil', 'malam', '']</t>
  </si>
  <si>
    <t>['katany', 'provider', 'bumn', 'mahalny', 'sangt', 'unt', 'kelas', 'menengh', 'paket', 'murah', 'rb', 'gb', 'lelet', 'ampun', 'brengsek', 'bngt', 'udh', 'gtu', 'sisa', 'pulsa', 'habis', 'dengn', 'knp', 'kayak', 'tikusss', 'mengerogoti', 'padi', 'sepert', 'provider', 'tri', 'rakus', 'kuota', 'hbs', 'pulsa', 'mrka', 'ambil', 'inikan', 'sngt', 'profesional', 'kesan', 'rakus', 'provider', 'telkomsel', 'ngaca', 'jngn', 'tikus', 'bumn', 'mlk', 'rakyat', '']</t>
  </si>
  <si>
    <t>['menghubungi', 'telkomsel', 'gimana', 'min', '']</t>
  </si>
  <si>
    <t>['jujur', 'suka', 'banget', 'telkomsel', 'semenjak', 'fitur', 'paket', 'internet', 'yangmurah', 'dihilangkan', 'kecewa', 'banget', 'dikembalikan', 'paket', 'internet', '']</t>
  </si>
  <si>
    <t>['semoga', 'kedepannya']</t>
  </si>
  <si>
    <t>['maaf', 'telkom', 'barusan', 'beli', 'ngegame', 'sinyalnya', 'mohon', 'perbaiki', 'ngomong', 'mohon', 'maaf', 'min', 'udah', 'resah', 'mohon', 'kerja', 'samanya']</t>
  </si>
  <si>
    <t>['apk', 'error', 'buka']</t>
  </si>
  <si>
    <t>['kali', 'kecewa', 'buka', 'aplikasi', 'liat', 'layarnya', 'putih', 'gitu', 'udh', 'uninstal', 'download', '']</t>
  </si>
  <si>
    <t>['dahlah', 'seminggu', 'bener', 'udah', 'kacau', 'enak', 'enak', 'main', 'game', 'sinyal', 'hadeh', 'kplak']</t>
  </si>
  <si>
    <t>['niatan', 'perbaiki', 'aplikasinya', 'udh', 'seminggu', 'akses', 'parah', 'pelayanan', 'kagak', 'manusia', 'kerja', 'operator', 'komplain', 'dsini', 'blas', 'bot', 'sosmed', 'balas', 'bot', 'karna', 'operator', 'trs', 'pelayanan', 'sesuka', '']</t>
  </si>
  <si>
    <t>['skrg', 'telkomsel', 'lelet', 'buka', 'telkomsel', 'ngelag']</t>
  </si>
  <si>
    <t>['membantu', 'trim', 'tekomsel', 'tingkatkan', 'layanan', 'setia']</t>
  </si>
  <si>
    <t>['mahal', 'kuota', 'pulsa', 'kesedot']</t>
  </si>
  <si>
    <t>['ngak', 'buka', 'nampak', 'layar', 'warna', 'putih']</t>
  </si>
  <si>
    <t>['baguuussss', 'pwdalaman']</t>
  </si>
  <si>
    <t>['bagusss', 'knpa', 'harga', 'naiiik', 'udah', 'enak', 'paketan', 'harga', 'naek', 'hadeeh']</t>
  </si>
  <si>
    <t>['apk', 'bgus', 'mkasih', 'telkomswl']</t>
  </si>
  <si>
    <t>['apk', 'dibuka', 'bener', '']</t>
  </si>
  <si>
    <t>['aplikasi', 'optimal', 'mengkomsumsi', 'baterai', 'dilatar']</t>
  </si>
  <si>
    <t>['josss', 'langganan', 'mohon', 'kedepanya', 'dikasih', 'diskon', 'cashback']</t>
  </si>
  <si>
    <t>['telkomsel', 'kemrn', 'dibuka', 'buka', 'heran', 'knp', 'gerai', 'kmrn', 'sma', 'eror', 'diapa', 'apain', 'tolong', 'telkom']</t>
  </si>
  <si>
    <t>['hbis', 'updete', 'buka']</t>
  </si>
  <si>
    <t>['', 'telkomsel', 'buka', 'aplikasi', 'tampilan', 'layar', 'putih', '']</t>
  </si>
  <si>
    <t>['mytelkomsel', 'ditingkatkan', 'penjelasan', 'fungsi', 'internet', 'multifungsi']</t>
  </si>
  <si>
    <t>['mohon', 'fix', 'secepatnya', 'knpa', 'buka', 'aplikasi', '']</t>
  </si>
  <si>
    <t>['membuka', 'aplikasinya', 'pengen', 'ngecek', 'kouta', 'semoga', 'cepat', 'benarkan', '']</t>
  </si>
  <si>
    <t>['kemarin', 'promo', 'kuota', 'gb', 'berlaku', 'stela', 'beli', 'ter', 'nyata', 'dak', 'pakek', 'internetan', 'ter', 'tipu', 'telkomsel']</t>
  </si>
  <si>
    <t>['mantap', 'blom', 'pasca', 'bayar']</t>
  </si>
  <si>
    <t>['busuk', 'sinyal', 'telkomsel', 'parah', '']</t>
  </si>
  <si>
    <t>['membantu', 'terkadang', 'membuka', 'aplikasinya', 'susah', 'dicoba', 'berkali', 'kali']</t>
  </si>
  <si>
    <t>['puas', 'pelayananya']</t>
  </si>
  <si>
    <t>['terima', 'kasih', 'pelayanan', 'servis']</t>
  </si>
  <si>
    <t>['parah', 'banget', 'sinyal', 'telkomsel', 'terkusus', 'main', 'game', 'parah', 'bin', 'amit', 'amit', 'ngelag', 'parah', 'aplikasi', 'telkomsel', 'habis', 'update', 'buka', 'susah', 'biaya', 'mahal', 'kualitas', 'kaya', 'gini', '']</t>
  </si>
  <si>
    <t>['berguna', 'bnyk', 'promo', 'saldo', 'pulsa', 'mencukupi', 'dibur', 'banking']</t>
  </si>
  <si>
    <t>['tolong', 'aplikasi', 'diperbaiki', 'cust', 'aplikasi', 'mempersulit', '']</t>
  </si>
  <si>
    <t>['maff', 'update', 'ngk', 'dibuka', 'prangkat', 'sams', 'terima', 'kasih', '']</t>
  </si>
  <si>
    <t>['jangkauan', 'luas']</t>
  </si>
  <si>
    <t>['susah', 'buka', 'aplikasi', 'lemot', '']</t>
  </si>
  <si>
    <t>['jaringan', 'telkomsel', 'parah', 'banget', 'gabisa', 'main', 'game', 'afk', 'gara', 'gara', 'jaringaan', 'stabil', 'merugikan', 'padahalkatanya', 'jangkauwan', 'jaringan', 'terluas', 'stabil', 'parah', 'banget', 'kesini', 'gila', 'jaringan', 'emang', 'pas', 'ingame', 'jaringan', 'patah', 'kecewa', 'banget', 'telkomsel']</t>
  </si>
  <si>
    <t>['jujur', 'pengguna', 'telkomsel', 'kecewa', 'sumpah', 'aplikasi', 'manfaat', 'buka', 'aplikasi', 'layar', 'langsung', 'putih', 'instal', 'masi', 'putih', 'telkomsel', 'tolong', 'tindak', 'lanjuti', 'kecewa', 'sumpah', '']</t>
  </si>
  <si>
    <t>['pilihan', 'paket', 'ilang', 'tampilan', 'rumit', 'info', 'paket', 'detil', 'chat', 'veronika', 'pajangan', 'mah', 'buruk', '']</t>
  </si>
  <si>
    <t>['aplikasi', 'mudah', 'bngttt', 'beli', 'paket', 'intrenet', 'tpi', 'bukak', 'lgii', 'help', 'pas', 'bukak', 'putih', 'kosong', 'plis', '']</t>
  </si>
  <si>
    <t>['gimana', 'ranting', 'aplikasinya', 'putih', 'doang', 'cek', '']</t>
  </si>
  <si>
    <t>['pelayanan', 'berkualitas']</t>
  </si>
  <si>
    <t>['ahhh', 'mantap', 'bonus', 'natal', '']</t>
  </si>
  <si>
    <t>['mahal', 'kali', 'beli', 'paket', 'mirah']</t>
  </si>
  <si>
    <t>['sistem', 'telkomsel', 'data', 'habis', 'pulsa', 'diambil', 'internet', 'jalan', 'orang', 'lupa', 'beli', 'paket', 'habis', 'pulsa', 'data', 'hidup', 'telkomsel', 'merobah', 'sistem', 'nyaman', 'konsumen', 'telkomsel']</t>
  </si>
  <si>
    <t>['harga', 'mahal', 'doang', 'jaringan', 'kacau', '']</t>
  </si>
  <si>
    <t>['burik', 'buka', 'apkny']</t>
  </si>
  <si>
    <t>['desember', 'keseringan', 'lag', 'jaringan', 'error', 'main', 'game', 'error', 'sinyalnya', 'ngaco', 'gue', 'udah', 'kuota', 'paketan', 'bergiga', 'giga', 'lag', 'kacauu', 'telkom', '']</t>
  </si>
  <si>
    <t>['beli', 'praktis', 'katax', 'mahal', 'banding', 'net']</t>
  </si>
  <si>
    <t>['kemarin', 'tgl', 'desember', 'jam', 'cek', 'kuota', 'telkomsel', 'sisa', 'gb', 'pagi', 'cek', 'jam', 'sisa', 'gb', 'youtube', 'check', 'play', 'store', 'update', 'otomatis', 'berkurangnya', 'lumayan', 'jam', 'pagi', 'cek', 'sisa', 'gb', 'skr', 'telkomsel', 'yaah', 'pengurangan', 'kuota', 'pemakaian', 'nomkr', '']</t>
  </si>
  <si>
    <t>['telkomsel', 'maksimal']</t>
  </si>
  <si>
    <t>['jaringan', 'nggak', 'stabil', 'eman', 'eman', 'tenan']</t>
  </si>
  <si>
    <t>['terhubunh', 'digital', 'permintaan', 'direspon']</t>
  </si>
  <si>
    <t>['white', 'screen', 'tanggapan', 'disarankan', 'teman', 'teman', 'download', 'via', 'google', 'web', 'aplikasi', 'versi', 'samsung', 'berfungsi', '']</t>
  </si>
  <si>
    <t>['bintang', 'mewakili', 'berpaling', 'kelain', 'hati', 'telkomsel', '']</t>
  </si>
  <si>
    <t>['jaringan', 'jelek', 'banget', 'unlimited', 'sosmed', 'games', 'chatting', 'lemotnya', 'ampun', 'nyesel', 'pengen', 'ganti', 'kartu', 'make', 'telkomsel', 'mending', 'ganti', 'kartu', 'jelek', 'banget', 'telkomsel', 'udhamah', 'mahal']</t>
  </si>
  <si>
    <t>['tingkatkan', 'pelayanan', 'mutunya', 'seru', 'exit', 'jaya', 'sukses', 'sll']</t>
  </si>
  <si>
    <t>['kartu', 'tolong', 'update']</t>
  </si>
  <si>
    <t>['mahallllllllllllll', 'kesini', 'harga', 'paketnya', 'rb', 'perbulan', 'nyampe', 'ribu', 'orang', 'berlomba', 'murah', 'mah', 'parahhhhhhhhhhh', 'gila', '']</t>
  </si>
  <si>
    <t>['kuora', 'games', 'tersisa', 'login', 'mobile', 'legends', 'login', 'sialan', 'beli', 'kuota', 'mahal', 'mahal', 'isinya', 'php', 'doang', 'kombo', 'sakti', 'najis']</t>
  </si>
  <si>
    <t>['', 'komsel', 'ampas', 'yak', 'gitu']</t>
  </si>
  <si>
    <t>['membantu', 'terima', 'kasih', 'app', 'telkomsel']</t>
  </si>
  <si>
    <t>['recomended', 'app', 'pengguna', 'telkomsel']</t>
  </si>
  <si>
    <t>['aktif', 'pendek']</t>
  </si>
  <si>
    <t>['harga', 'mahal', 'sinyal', 'memuaskan']</t>
  </si>
  <si>
    <t>['bertransaksi', 'mudah', 'telkomsel']</t>
  </si>
  <si>
    <t>['telkomsel', 'kebuka']</t>
  </si>
  <si>
    <t>['eror', 'bukanya']</t>
  </si>
  <si>
    <t>['abis', 'update', 'dibuka', 'parah', 'paketan', 'wktnya', 'beli', 'tergantung', 'wifi', 'warkop', 'mulu', '']</t>
  </si>
  <si>
    <t>['aplikasi', 'memudahkan', 'pengguna', 'ponsel', 'mengecek', 'pulsa', 'data', 'pembelian', 'pulsa', 'paket']</t>
  </si>
  <si>
    <t>['tolong', 'tingkatkan', 'promo', 'dibawah', 'ribu', 'gitu', 'terimakasih', '']</t>
  </si>
  <si>
    <t>['sinyal', 'jelek', 'malam', 'muter', 'doang', '']</t>
  </si>
  <si>
    <t>['masuk', 'aplikasi', 'anjirrr', 'aplikasinya', 'bug', 'gimana', 'siih']</t>
  </si>
  <si>
    <t>['diupdate', 'versi', 'mlah', 'nggak', 'dibuka', 'layar', 'putih', 'maksud', '']</t>
  </si>
  <si>
    <t>['arrghh', 'skrg', 'tgl', 'agt', 'telkomsel', 'lelet', 'tmp', 'juni', 'komentar', 'blm', 'berubah', 'payah', 'desember', 'payah', 'veronika', 'kocak', 'csnya', 'manusia', 'layanan', 'jam', 'skrg', 'csnya', 'mesin', 'jam', 'segini', 'udah', 'molor', 'mesinnya', 'untung', 'smartfren', 'sbg', 'kartu', 'kartu', 'utama', 'nehh', 'kendala', 'lambat', 'kejadian', 'tgl', 'agt', 'kendalanya', 'kuota', 'multimedia']</t>
  </si>
  <si>
    <t>['sesuai', 'janji', 'judul', '']</t>
  </si>
  <si>
    <t>['keluhan', 'versi', 'terbaru', 'disarankan', 'telkomselnya', 'versi', 'google', 'chrome', '']</t>
  </si>
  <si>
    <t>['potong', 'pulsa']</t>
  </si>
  <si>
    <t>['signal', 'bapuk', 'wilayah', 'jakarta', 'barat', 'tangerang', 'selatan', 'diaksesnya', 'parah', 'jelek', 'banget', 'signal', 'signal', 'telkomsel', 'lemah', 'kesulitan', 'akses', 'apapun', 'banget', 'loadingnya', '']</t>
  </si>
  <si>
    <t>['mempermudah', 'promo', 'bonus', 'kuota', 'pulak', 'sayang', 'klaim', 'kuota', 'gratisannya', 'poin', 'check', 'pulsa', 'terkesan', 'rela', 'ngasi', 'bonus', '']</t>
  </si>
  <si>
    <t>['jaringan', 'lelet', 'harga', 'paket']</t>
  </si>
  <si>
    <t>['parahh', 'paket', 'mahal', 'doang', 'jaringan', 'down', 'parah', 'akses', 'serba', 'lemot', 'asli', 'nyesel', 'bener', 'iya', 'perbaiki', 'kendala', 'kaya', 'gini', '']</t>
  </si>
  <si>
    <t>['semoga', 'motor', 'amin']</t>
  </si>
  <si>
    <t>['selamat', 'pagi', 'telkom', 'sukses', 'telkomsel']</t>
  </si>
  <si>
    <t>['update', 'dibuka', 'stuck', 'splash', 'screen', 'blank', 'putih', 'perangkat', 'samsung', '']</t>
  </si>
  <si>
    <t>['sinyal', 'stabil', 'suka', 'hilang', 'sinyal', 'kaya', 'nonton', 'youtube', 'buffering', 'detik']</t>
  </si>
  <si>
    <t>['parah', 'sel', 'udah', 'tarif', 'mahal', 'sinyal', 'jelek', 'bagus', 'download', 'sel', 'ngebleng', 'putih', 'dibuka', 'hadeeehhh', 'tolong', 'ditingkatkan', 'kualitas']</t>
  </si>
  <si>
    <t>['isi', 'kuota', 'buka', 'aplikasi', 'blank', 'putih', 'gini', 'update', 'kacau', 'isi', 'kuota']</t>
  </si>
  <si>
    <t>['tolong', 'nomor', 'pasang', 'paket', 'internet', 'murah', 'terima', 'kasih', 'max', 'telkomsel']</t>
  </si>
  <si>
    <t>['akses', 'samsung', 'galaxy', '']</t>
  </si>
  <si>
    <t>['min', 'bukak', 'stuck', 'layar', 'putih', 'bantuanya', '']</t>
  </si>
  <si>
    <t>['trus', 'promo', 'kakak']</t>
  </si>
  <si>
    <t>['mmbantu', 'trimakasih', 'telkomsel']</t>
  </si>
  <si>
    <t>['hmmm', 'aplikasinya', 'dibuka', '']</t>
  </si>
  <si>
    <t>['harga', 'paketan', 'turunkan']</t>
  </si>
  <si>
    <t>['aplikasi', 'ngak', 'buka', '']</t>
  </si>
  <si>
    <t>['tolong', 'diperbaiki', 'udah', 'berulanf', 'kali', 'download', 'msh', 'susah', 'dibuka', 'merugikan', 'pelanggan']</t>
  </si>
  <si>
    <t>['mohon', 'telkomsel', 'diubahlah', 'sistemnya', 'operator', 'kuota', 'habis', 'pulsa', 'langsung', 'terpakai', 'otomatis', 'kekurangannya', 'oke']</t>
  </si>
  <si>
    <t>['aplikasi', 'telkomsel', 'tdak', 'terbuka', 'mohon', 'bantuannya']</t>
  </si>
  <si>
    <t>['gimana', 'buka', 'layar', 'putih', 'tolong', 'perbaiki']</t>
  </si>
  <si>
    <t>['membaik']</t>
  </si>
  <si>
    <t>['gimana', 'telkomsel', 'diperaturan', 'ditulis', 'fup', 'beli', 'paket', 'kouta', 'dipakek', 'langsung', 'muncul', 'fup', 'berkurang', 'kocak', 'kouta', 'unlimited', 'fupnya', 'udah', 'kouta', 'mahal', 'eee', 'fup', 'perasaan', 'telkomsel', 'gini', 'gini']</t>
  </si>
  <si>
    <t>['update', 'aplikasi', 'nggak', 'buka', 'stuck', 'layar', 'putih']</t>
  </si>
  <si>
    <t>['paket', 'malam', 'telkomsel', 'kartu', 'telkomsel', 'beli', 'paket', 'malam', 'malam', 'jaringan', 'susah', 'mohon', 'perluas', 'jaringan', 'telkomsel', 'lampung', 'kabupaten', 'pesawaran', 'kecamatan', 'negrikaton', 'desa', 'karang', 'rejo', 'mohon', 'perluas', 'jaringan', 'perkuat', 'pengguna', 'susah', 'jaringan', 'kartu']</t>
  </si>
  <si>
    <t>['maaf', 'telkomsel', 'kasih', 'bintang', 'check', 'daily', 'kuota', 'pas', 'klaim', 'pulsanya', 'kepotong', 'rupiah', 'akses', 'sosmed', 'kepotong', 'pulsa', 'kecewa', '']</t>
  </si>
  <si>
    <t>['', 'layak', 'bintang', '']</t>
  </si>
  <si>
    <t>['mantap', 'membantu', 'banget']</t>
  </si>
  <si>
    <t>['program', 'berbeda', 'aplikasi']</t>
  </si>
  <si>
    <t>['gemana', 'knapa', 'layar', 'telkomsel', 'putih', 'kebuka', 'mohon', 'bantuannya']</t>
  </si>
  <si>
    <t>['paketan', 'mahall', 'bro']</t>
  </si>
  <si>
    <t>['', 'update', 'versi', 'mlah', 'blank', 'wrna', 'putih', 'downgrade', 'versi', '']</t>
  </si>
  <si>
    <t>['udah', 'minggu', 'beli', 'paket', 'telkomsel', 'tulisan', 'maaf', 'gangguan', 'sistem', 'pulsa', 'kesedot', 'sms', 'telkomsel', 'bner', 'menjengkelkan']</t>
  </si>
  <si>
    <t>['beli', 'paket', 'internet', 'gagal', 'aktifkan', 'pulsa', 'terpotong', 'tanggung', 'komfirmasi']</t>
  </si>
  <si>
    <t>['heran', 'bin', 'ajaib', 'telepon', 'beli', 'data', 'pembelian', 'hilang', 'sungguh', 'tragis', 'perusaan', 'pemerintah', 'bersikap', 'diatas', '']</t>
  </si>
  <si>
    <t>['telkom', 'auto', 'potong', 'pulsa', 'mmg', 'rencananya', 'blm', 'beli', 'paketan', 'pemberitahuan', 'kek', 'ehh', 'main', 'potong', 'ttg', 'nominalnya', 'hak', 'akses', 'pulsa', 'beli', '']</t>
  </si>
  <si>
    <t>['tukar', 'poin', 'wilayah', 'jawa', 'barat', 'semarang', 'nggak', 'pakai', 'wilayah', 'semarang', '']</t>
  </si>
  <si>
    <t>['kebuka', 'ngeblank', 'smoga', 'stabil', 'bgini', '']</t>
  </si>
  <si>
    <t>['bagus', 'praktis']</t>
  </si>
  <si>
    <t>['susah', 'bangettt', 'login', '']</t>
  </si>
  <si>
    <t>['beli', 'paket', 'data', 'pulsa', 'gagal']</t>
  </si>
  <si>
    <t>['membantu', 'banget', 'dlm', 'pembelian', 'kouta']</t>
  </si>
  <si>
    <t>['tolong', 'perbaiki', 'jaringan', 'internet', 'aceh', 'perumahan', 'gajahayye', 'terkadang', 'layanan']</t>
  </si>
  <si>
    <t>['semoga', 'rejekiku', 'dpt', 'undian', 'telkomsel']</t>
  </si>
  <si>
    <t>['aplikasinya', 'hamsyong', 'buka', 'aplikasi', 'stack', 'layar', 'putih', 'instal', 'uninstal', 'tetep', 'ngefek', '']</t>
  </si>
  <si>
    <t>['apk', 'bagus', 'bangattttttttttttttt', '']</t>
  </si>
  <si>
    <t>['kak', 'mahal', 'temen', 'murah', 'dapet', '']</t>
  </si>
  <si>
    <t>['parah', 'udah', 'mingu', 'aplikasi', 'buka', 'kaya', 'biaya', 'berbaiki', 'aplikasi', 'merugikan', 'penguna', 'telkomsel', '']</t>
  </si>
  <si>
    <t>['sayaa', 'aaaaaaaaaaaaaaaaaa', 'bintang', 'satuuuuuuuuuu', 'karna', 'aplikasi', 'dibukaaaaaaaaaaaaaaaaaaaaaaaaaaaaaaaaaaaaaaaaaaaaaaaaaaaaaaaaaaaaaaaaaaaaaaaaaaaaaaaaaaaaaaaaaaaaaaaaaaaaa', 'tolong', 'balikin', 'kouta', '']</t>
  </si>
  <si>
    <t>['bubar', 'telkomsel', 'bersaing', 'menang', 'mahal', 'doang', 'jaringan', 'lemot', 'kaya', 'nenek', '']</t>
  </si>
  <si>
    <t>['', 'bertahun', 'aflikasi', 'telkomsel', 'buka', 'kecewaaaaa', 'download', 'berkali', 'kali', 'msh', 'buka']</t>
  </si>
  <si>
    <t>['yth', 'telkomsel', 'beli', 'paketan', 'pulsa', 'tetep', 'ambil', 'bayar', 'keitung', 'mahal', 'sebulan', 'rb', 'blm', 'ambil', 'pulsa', 'jaringan', 'down', 'stabil', 'main', 'game', 'online', 'keganggu', 'banget', 'plis', 'perbaiki', 'telkomsel', 'bkn', 'setahun', '']</t>
  </si>
  <si>
    <t>['aplikasinya', 'bukai', 'padaha', 'sinyal', 'bagus', 'udh', 'coba', 'instal', 'ulang', 'tetep', 'bukak']</t>
  </si>
  <si>
    <t>['parah', 'aplikasi', 'plat', 'merah', 'download', 'buka', 'parah']</t>
  </si>
  <si>
    <t>['enak', 'apk', 'telkomsel', 'semoga', 'combo', 'sakti', 'murah', 'aaamin']</t>
  </si>
  <si>
    <t>['baguuuuus', 'daerah', 'kadang', 'xox', 'lelet', 'mohon', 'diperbaiki', 'sistem', 'jaringannya']</t>
  </si>
  <si>
    <t>['stabil', 'jaringan', '']</t>
  </si>
  <si>
    <t>['stuck', 'blank', 'putih', 'hapus', 'chace', 'hapus', 'trus', 'instal', 'sampek', 'kali', 'tetep', 'udah', 'bsa']</t>
  </si>
  <si>
    <t>['buruk', 'sekaloh', 'sinyal', 'kaya', 'pikir', 'beli', 'kuota', 'duit', 'donggo', 'server', 'kontol', 'gara', 'sinyal', 'donggo', 'susah']</t>
  </si>
  <si>
    <t>['sinyal', 'kesini', 'suraaaaam', 'stabil', 'panasssss', 'harga', 'paketan', 'naek', 'truss', 'kualitas', 'sinyalnya', 'turuun', 'trusss']</t>
  </si>
  <si>
    <t>['', 'dibuka', 'aplikasinya', 'blank', 'putih', '']</t>
  </si>
  <si>
    <t>['sesuai', 'expetasi', 'fitur', 'doang', 'kebanyakan', 'harga', 'jaringan', 'internet', 'mending', 'sebelah', '']</t>
  </si>
  <si>
    <t>['bagus', 'banget', 'apk', 'promo', 'lho', '']</t>
  </si>
  <si>
    <t>['alhamdulillah', 'layanannya', 'menarik', 'paketnya', 'murah', 'banget', 'semoga', 'kedepannya', 'layanan', 'aplikasi', 'mytelkomsel', 'maju', 'sukses', 'minati', 'pelanggal', 'khusus', 'telkomsel', 'maju', 'telkomsel', '']</t>
  </si>
  <si>
    <t>['assalamualaikum', 'yes', 'bermanfaat', 'terima', 'kasih', 'kka', 'salam', 'anak', 'putra', 'dayak', 'barito', 'kalimantan', '']</t>
  </si>
  <si>
    <t>['harga', 'paket', 'kuota', 'internet', 'ganjil', 'nambah', 'seribu', 'beli', 'pulsa', 'genap', 'ujung', 'beli', 'pulsa', 'nambah', 'minimal', 'rb', 'paket', 'kuras', 'sasar', 'langganan', 'sms', 'prabayar', 'muncul', 'otomatis', 'sahabat', 'stop', 'lagih']</t>
  </si>
  <si>
    <t>['udeh', 'mahal', 'jaringan', 'kuning', 'mulu', '']</t>
  </si>
  <si>
    <t>['suka', 'terimaksi', 'telcomsel']</t>
  </si>
  <si>
    <t>['kasih', 'gratisan', 'mimin', 'cakep']</t>
  </si>
  <si>
    <t>['tingkat', 'jaringan', 'internet']</t>
  </si>
  <si>
    <t>['', 'banget', 'pokoknya']</t>
  </si>
  <si>
    <t>['buruk', 'jaringannya', 'wilayah', 'menang', 'nama', 'doang', 'sampah']</t>
  </si>
  <si>
    <t>['memuaskan', 'jaringan', 'lancar', 'kendala', 'game', 'tugas', 'tugas']</t>
  </si>
  <si>
    <t>['aplikasi', 'error', 'layar', 'putih', 'ngak', 'masuk', 'pemberitahuan', 'teman', 'layar', 'putih', '']</t>
  </si>
  <si>
    <t>['seminggu', 'diakses', '']</t>
  </si>
  <si>
    <t>['tolong', 'tingkatkan', 'jaringan', 'internetnya', 'gratis', 'buka', 'aplikasinya', 'mudah', 'pembelian', 'paket', 'trims']</t>
  </si>
  <si>
    <t>['maen', 'game', 'sinyal', 'ilang', 'kayak', 'bangkrut', 'kah', 'iya', 'semoga', 'cepet', 'bangkrut', 'sono', 'mahal', 'doang', 'sinyal', 'busuk']</t>
  </si>
  <si>
    <t>['maaf', 'aplikasi', 'telkomsel', 'buka', 'perbarui', '']</t>
  </si>
  <si>
    <t>['buka', 'aplikasi', 'telkomsel', 'hapus', 'instal', 'buka', 'layar', 'putih', 'doang', '']</t>
  </si>
  <si>
    <t>['pungsi', 'layanan', 'bagus']</t>
  </si>
  <si>
    <t>['berguna', 'banget', 'bingung', 'undiannya', 'gimana', 'udh', 'tukarkan', '']</t>
  </si>
  <si>
    <t>['telkomsel', 'aplikasi', 'lemot', 'buka', 'aplikasi', 'tolong', 'diperhatikan', 'aplikasi', 'telkomsel']</t>
  </si>
  <si>
    <t>['dul', 'gampang', 'skrg', 'susah', 'knpa', 'kya', 'ngblaeng', 'putih', 'doang', 'bgus', 'turunin', 'noh', 'bintangnya', '']</t>
  </si>
  <si>
    <t>['puas', 'layananan', 'jaringan', 'lancar', 'simpati', 'lainya', 'abal', 'abal', 'murce', 'udh', 'kaga', 'dipake', 'makasih', 'simpati', '']</t>
  </si>
  <si>
    <t>['ayo', 'semngat', 'telkomsel', 'brkmbang', 'dlu']</t>
  </si>
  <si>
    <t>['jaringan', 'cacad', 'sampah', 'nyesel', 'banget', 'telkomsel', '']</t>
  </si>
  <si>
    <t>['telkomsel', 'cepatt', 'hahhh', 'cuman', 'mahal', 'doang', 'harga', 'sesuai', 'pelayanan', 'kasih', 'jaringan', 'lelet', 'stabil', 'kesini', 'jelek', 'telkomsel', 'suka', 'telkomsel', 'jaringannya', 'lancar', 'stabil', 'lelet', 'harga', 'mahal', 'jual', 'hubungi', 'admin', 'hubungi', 'admin', 'makek', 'telkomsel', 'cuman', 'perbaiki', 'jaringan', 'orang', 'cuman', 'orang', 'komplain', 'sajaa', 'pelayanan', 'memuaskan']</t>
  </si>
  <si>
    <t>['aplikasi', 'telkomsel', 'kagak', 'kebuka', '']</t>
  </si>
  <si>
    <t>['bertahun', 'pkai', 'telkomsen', 'aplnya', 'canggih', 'tpi', 'sayang', 'koneksinya', 'buruk', 'jam', 'kartu', 'hilang', 'sinyal', 'tpl', 'tsel', 'bilangnya', 'penjelasanya', 'menggantung', 'memuaskan', 'kendala', 'hambatan', 'tolong', 'koneksinya', 'perbaiki']</t>
  </si>
  <si>
    <t>['jual', 'paket', 'murah', 'signal', 'beres', 'ngebuang', 'duit', 'maen', 'game', 'paket', 'msh', 'iya', 'ngeleq', 'bener', 'ngapa', 'marug', 'bener', 'telkom', 'ngeruk', 'duit', 'doang', 'apk', 'benerin', '']</t>
  </si>
  <si>
    <t>['jaringan', 'mantap', '']</t>
  </si>
  <si>
    <t>['paketan', 'doank', 'mahal', 'sinyal', 'ampas', 'masak', 'sinyal', '']</t>
  </si>
  <si>
    <t>['kasih', 'bintang', 'ganti', 'bintang', 'berbarui', 'layar', 'putih', 'telkomsel', 'mengecewakan']</t>
  </si>
  <si>
    <t>['amplikasi', 'nggak', 'buka', 'dpt', 'bonus', 'gb', 'curang', 'sel', '']</t>
  </si>
  <si>
    <t>['ribet', 'isi', 'ulang', 'pulsa', 'beli', 'kuota', 'susah', 'bener', 'aplikasi', 'saldo', 'udah', 'potong', 'ovo', 'telkomsel', 'update', 'pembelian', 'kuotanya', '']</t>
  </si>
  <si>
    <t>['mantap', 'murah', 'cepat']</t>
  </si>
  <si>
    <t>['parah', 'sinyal', 'telkomsel', 'ngecewain', 'siang', 'malem', 'malam', 'sinyal', 'payah', '']</t>
  </si>
  <si>
    <t>['jaringan', 'setabil', 'kuota', 'hadeh', 'tolong', 'merugikan', 'pelanggan']</t>
  </si>
  <si>
    <t>['taun', 'pakai', 'telkomsel', 'kali', 'ngalamin', 'jaringan', 'jelek']</t>
  </si>
  <si>
    <t>['trus', 'tingkatkan', 'kemudahan', 'aplikasi', 'pas', 'perbaharui', 'update', 'poin', 'hilang', 'aneh', 'tuker', 'telkomsel', 'poin', 'masukan', 'kode', 'otp', 'udah', 'kasih', 'kode', 'otp', 'telkomsel']</t>
  </si>
  <si>
    <t>['sudi', 'ngasih', 'bintang', 'muak', 'sebenernya', 'provider', 'paketan', 'kesini', 'mahal', 'kualitas', 'internet', 'membaik', 'kesini', 'busuk', 'kek', 'mahal', 'sesuai', 'kualitas', 'mah', 'komplain', 'bales', 'cuman', 'bot', '']</t>
  </si>
  <si>
    <t>['internet', 'gembel', 'mati', 'gajelas']</t>
  </si>
  <si>
    <t>['beli', 'voucer', 'maaf', 'sibuk', 'cobalah', 'gtu', 'gtu', 'bete', 'telkomsel', 'kacau']</t>
  </si>
  <si>
    <t>['tolong', 'sinyalnya', 'masihh', 'sekaliii', 'ngerti', 'bayar', 'mahal', 'mahal', 'telkomsel', 'sinyalnya', 'buruk']</t>
  </si>
  <si>
    <t>['jaringannya', 'lambat', 'banget', 'hilang', 'sinyalnya', 'laporan', 'tindak', '']</t>
  </si>
  <si>
    <t>['beli', 'paket', 'susahnya', 'maen', 'anjinggg', 'boro', 'boro', 'kasih', 'gratisss', 'asuuuu']</t>
  </si>
  <si>
    <t>['udah', 'download', 'dapet', 'gambar', 'putih', 'bersih', 'bagus', 'aplikasi', 'sekelas', 'telkomsel', 'menyedihkan', '']</t>
  </si>
  <si>
    <t>['jaringan', 'buruk', 'loyal', 'harga', 'paket', 'mahal']</t>
  </si>
  <si>
    <t>['sinyal', 'terkuat', '']</t>
  </si>
  <si>
    <t>['harga', 'rb', 'rb', 'rb', 'hmm']</t>
  </si>
  <si>
    <t>['bagus', 'kuat', 'signalnya', 'dimanapun', '']</t>
  </si>
  <si>
    <t>['dibuka', 'update', 'solusinya', '']</t>
  </si>
  <si>
    <t>['mudah', 'cepat', 'pilihan', 'akses', 'mytelkomselnya', 'offline']</t>
  </si>
  <si>
    <t>['kecewa', 'telkomsel', 'paket', 'aktif', 'pulsa', 'habis', 'terserdot', 'tolong', '']</t>
  </si>
  <si>
    <t>['telkomsel', 'terbaik', 'pelayanan', 'jaringan', 'maju', 'telkomsel', '']</t>
  </si>
  <si>
    <t>['susah', 'dibuka', 'aplikasi', 'lambat', '']</t>
  </si>
  <si>
    <t>['tolong', 'perbaiki', 'jaringan', 'asik', 'ngegame', 'jaringan', 'drop', 'hilang', 'koneski', 'kali', 'karna', 'kasih', 'review', '']</t>
  </si>
  <si>
    <t>['saran', 'yaaa', 'sebage', 'pengguna', 'telkomsel', 'udah', 'paketan', 'setabilin', 'gb', 'turunin', 'ganti', 'kartu', 'poin', 'rubah', 'lgi', 'kaya', 'tuker', 'games', 'mobilegend', 'tolong', 'benerin', 'bintang', 'karna', 'kecewa', 'harga', 'paket', 'jls', 'berubah', 'rubah']</t>
  </si>
  <si>
    <t>['ngelag']</t>
  </si>
  <si>
    <t>['jaringannya', 'lelet']</t>
  </si>
  <si>
    <t>['dibuka', 'aplikasi', 'telkomsel', 'kadang', 'sinyal', 'suka', 'mati', 'lemot', 'mahal', 'memuaskan']</t>
  </si>
  <si>
    <t>['aplikasi', 'berguna', 'kecewa', 'update', 'habis', 'instal', 'dibuka', '']</t>
  </si>
  <si>
    <t>['udh', 'sebulan', 'ngeblank', 'layar', 'putih', 'trik', 'dipakai', 'donlot', 'diplaystore', 'bolak', 'benefit', 'google', 'install', 'kebuka', 'unistal', 'instal', 'fix', 'problem']</t>
  </si>
  <si>
    <t>['cepat', 'transaksi']</t>
  </si>
  <si>
    <t>['aplikasi', 'telkomsel', 'dibuka', 'layarnya', 'putih']</t>
  </si>
  <si>
    <t>['taiiii', 'dibukak', 'udah', 'suntuk']</t>
  </si>
  <si>
    <t>['tolongg', 'yaa', 'telkomsel', 'hati', 'sinyal', 'kembalikan', 'lancarr', 'jayaa', 'sinyal', 'susah', 'banget', 'khantall', 'kek', 'cari', 'kerjaan', 'ayoklah', 'telkomsel', 'yaa', 'tolongg', 'tolongg', 'khantall', 'yaa', 'kali', 'salam', 'binjay', 'waterparkk', 'men', 'coeggg', 'ajg', 'lahh']</t>
  </si>
  <si>
    <t>['mohon', 'maaf', 'kenpa', 'telkomsel', 'sinyalnya', 'stabil', 'susah', 'bgi', 'kerja', 'membuka', 'apk', 'lainny', 'term', 'kasih']</t>
  </si>
  <si>
    <t>['harga', 'terjangkau', 'mamtap']</t>
  </si>
  <si>
    <t>['sorry', 'unlimited', 'bundling', 'kuota', 'utama', 'habis', 'unlimited', 'kepake', 'gatau', 'ndak', 'kali', 'tingkatan', 'pelayanannya', 'ulasan', 'twitt', 'telegram', 'line', 'telkom']</t>
  </si>
  <si>
    <t>['dibuka', 'aplikasinya', 'mending', 'hapus', 'playstore']</t>
  </si>
  <si>
    <t>['', 'puas']</t>
  </si>
  <si>
    <t>['pembayaran', 'top', 'game', 'clash', 'royale', 'google', 'play', '']</t>
  </si>
  <si>
    <t>['harga', 'paket', 'jaringannya', 'susah', 'tinggal', 'batam', 'paket', 'internet', 'naiknya', 'ganjil', 'bambank', 'gara', 'gara', 'sawit', 'mahal', 'emang', 'indonesia', 'maju', '']</t>
  </si>
  <si>
    <t>['hallo', 'telkomsel', 'tercinta', 'akhirakhir', 'susah', 'super', 'lelet', 'pangkalpinang', 'bangka']</t>
  </si>
  <si>
    <t>['jaringan', 'bagus', 'cuaca', 'musim', 'hujan']</t>
  </si>
  <si>
    <t>['mahal', 'paket', 'internetnya', 'gb', 'paket', 'dpt', 'gb', 'kliatan', 'murah', 'gb', 'harga', 'trnyata', 'lol', 'masuk', 'pinggiran', 'kota', 'sinyal', 'wasalam', '']</t>
  </si>
  <si>
    <t>['babi', 'makan', 'pulsa']</t>
  </si>
  <si>
    <t>['lemot', 'susah', 'buka', 'kecewa', 'bingtang', '']</t>
  </si>
  <si>
    <t>['jujur', 'beli', 'kuota', 'gamesmax', 'silver', 'main', 'mobile', 'legend', 'doang', 'main', 'game', 'aov', 'dll', 'buka', 'kuota', 'gamesmax', 'silver', 'permasalahan', 'kali', 'bermain', 'mobile', 'legend', 'sinyalnya', 'lag', 'hilang', 'mohon', 'perbaikannya', 'mohon', 'maaf', 'kesalahan', 'maap', 'kasih', 'bintang', 'perbaiki', 'kasih', 'bintang', '']</t>
  </si>
  <si>
    <t>['tolong', 'kualitas', 'jaringan', 'normalkan', 'sedia', 'manang', 'nama', 'harga', 'paket', 'mahal', 'kualitas', 'jaringan', 'kayak', 'tempekk', 'bosokk', '']</t>
  </si>
  <si>
    <t>['memudahkan', 'beli', 'paket', 'pokoknya', 'suka', 'banget', 'apk', 'mytelkomsel', '']</t>
  </si>
  <si>
    <t>['gua', 'kasih', 'bintang', 'jujur', 'ribet', 'telkomsel', 'harganya', 'mahal', 'mahal', 'jaringan', 'nglag', 'main', 'jaringannya', 'pink', 'mulu', 'kecewa', 'banget', 'sumpah', 'udh', 'kaya', 'simple', 'daftar', 'paketnya', 'murah', 'stabil', '']</t>
  </si>
  <si>
    <t>['mohon', 'maaf', 'aplikasi', 'telkomsel', 'lemot', 'kali', 'klik', 'bngt', 'ngebukanya', 'kartu', 'telkomsel', 'kartunya', 'blm', 'memakai', 'aplikasi', 'telkomsel', 'kesininya', 'bagus', 'mohon', 'maaf', 'tolong', 'perbaiki', '']</t>
  </si>
  <si>
    <t>['memudahkan', 'pengguna']</t>
  </si>
  <si>
    <t>['terimakasih', 'ribet', 'buka']</t>
  </si>
  <si>
    <t>['tolong', 'kartuku', 'dihidupkan']</t>
  </si>
  <si>
    <t>['memudahkan', 'isi']</t>
  </si>
  <si>
    <t>['bintang', 'susah', 'akses', 'telkomsel', 'knp', 'lemot', 'gitu', '']</t>
  </si>
  <si>
    <t>['bagus', 'mudah', 'cepat', 'ribet']</t>
  </si>
  <si>
    <t>['pembaharuan', 'menyusahkan']</t>
  </si>
  <si>
    <t>['memuaskan', 'promo', 'promo']</t>
  </si>
  <si>
    <t>['butuh', 'paket', 'data', 'terbagi']</t>
  </si>
  <si>
    <t>['plajari']</t>
  </si>
  <si>
    <t>['tolonglah', 'masak', 'kartu', 'jaringan', 'poll', 'bagus', 'game', 'sinyal', 'down', 'heran', 'kali', 'kali']</t>
  </si>
  <si>
    <t>['skrng', 'sinyal', 'telkomsel', 'ngga', 'stabil', 'beda', 'langganan', 'skrng', 'beda', 'maaf', 'kasih', 'bintang', '']</t>
  </si>
  <si>
    <t>['aplikasinya', 'susah', 'buka', 'blank']</t>
  </si>
  <si>
    <t>['parah', 'dibuka', 'nge', 'blank', 'layar', 'putih', 'udah', 'instal', 'ulang', 'dll', 'ttp', 'hadeuh', 'parah']</t>
  </si>
  <si>
    <t>['mohon', 'admin', 'telkomsel', 'sinyal', 'telkomsel', 'sestabil', 'kartu', 'telkomsel', 'kota', '']</t>
  </si>
  <si>
    <t>['tolong', 'diperbaiki', 'aplikasinya', 'update', 'peningkatan', 'turun', 'performa', 'eror', 'memuat', 'paket', 'terkadang', 'notifikasi', 'terlambat', 'mengganggu', 'harapan', 'mohon', 'diperbaiki', '']</t>
  </si>
  <si>
    <t>['', 'ksih', 'full', 'bintang', 'tolong', 'batu', 'konici', 'intrnt', 'lancr', 'tingi', 'untk', 'pemkaian', 'kuata', 'prntng', 'internit', 'lancar', 'lbih', 'mahl', 'boss', '']</t>
  </si>
  <si>
    <t>['', 'instal', 'baca', 'ulasan', 'beres', 'kayaknya', 'pindah', 'operator', '']</t>
  </si>
  <si>
    <t>['maju', 'telkomsel']</t>
  </si>
  <si>
    <t>['pelanggan', 'setia', 'telkomsel', 'jaman', 'coba', 'download', 'telkomsel', 'cuman', 'layar', 'putih', 'doang', 'please', 'telkomsel', 'tolong', 'review', 'komen', 'baca', 'keluhannya']</t>
  </si>
  <si>
    <t>['', 'promo', 'paketan', 'internet', 'pengguna']</t>
  </si>
  <si>
    <t>['app', 'buka', 'aman', 'instal', 'ulang', 'tetep', 'buka']</t>
  </si>
  <si>
    <t>['suka', 'ngelag']</t>
  </si>
  <si>
    <t>['haloooooo', 'knp', 'login', 'otp', 'via', 'email', 'halooooooo']</t>
  </si>
  <si>
    <t>['tolong', 'sinyal', 'ujan', 'jja', 'jelek', 'bngt', 'paket', 'mahal', 'mahal', 'sinyalnya', 'jelek', 'main', 'game', 'jja', 'susah', 'bngt', 'koneksi', 'buruk', 'mulu']</t>
  </si>
  <si>
    <t>['aplikasi', 'bagus', 'sayang', 'telkomsel', 'hallo', 'internet', 'suka', 'sinyal', 'full', 'kuota']</t>
  </si>
  <si>
    <t>['setahun', 'telkomsel', 'kekuatan', 'sinyalnya', 'menurun', 'tolong', 'perbaiki', 'kenyamanan', 'konsumen', '']</t>
  </si>
  <si>
    <t>['berguna', 'irit', 'pembeliannya', '']</t>
  </si>
  <si>
    <t>['buka', 'aplikasi', 'blank', 'warna', 'putih', 'layar', 'tunggu', 'hmm', '']</t>
  </si>
  <si>
    <t>['apk', 'beli', 'kuota', 'apk', 'sinyal', 'ngelg', 'sumpah', 'banget', 'akp', 'cuman', 'ngabisin', 'duit', 'ajg']</t>
  </si>
  <si>
    <t>['bertahun', 'telkomsel', 'jaringannya', 'bagus', 'jaringannya', 'buruk']</t>
  </si>
  <si>
    <t>['telkomsel', 'dibuka', 'gini', 'custamer', 'kecewa', 'perbaiki', 'donk', 'tolong']</t>
  </si>
  <si>
    <t>['aplikasi', 'simpel', 'bagus', 'bagnget']</t>
  </si>
  <si>
    <t>['ngeri', 'harga', 'paket', 'udah', 'gtu', 'kuota', 'kirain', 'logo', 'manajemen', 'perubahan', '']</t>
  </si>
  <si>
    <t>['alang', 'kah', 'bahagia', 'masyarakat', 'motor', 'max']</t>
  </si>
  <si>
    <t>['', 'knapa', 'telkomsel', 'diupgrade', 'giliran', 'diupgrade', 'masuk', 'smua', 'layar', 'putih', 'uninstal', 'instal', 'ulang', 'bgtu', 'tolong', 'diperbaikin', 'donk', 'cek', 'kuota', 'pulsa', 'seh', 'terima', 'kasih', '']</t>
  </si>
  <si>
    <t>['membuka', 'aplikasinya']</t>
  </si>
  <si>
    <t>['bagus', 'mudah', 'transaksinya']</t>
  </si>
  <si>
    <t>['harga', 'mahal', 'kualitas', 'rendah']</t>
  </si>
  <si>
    <t>['update', 'dbuka']</t>
  </si>
  <si>
    <t>['kereeeen', 'aplikasi', 'telkomsel', '']</t>
  </si>
  <si>
    <t>['membantu', 'membeli', 'paket', 'kouta']</t>
  </si>
  <si>
    <t>['app', 'layar', 'putih', 'berhari', 'isi', 'kuota', 'susah']</t>
  </si>
  <si>
    <t>['apk', 'mantap', 'kouta', 'gua', 'hospot']</t>
  </si>
  <si>
    <t>['sinyal', 'lelet', 'woyy', 'mahal', 'doang', 'sebentar', 'sebentar', 'ganguan', 'kirim', 'data', 'doang', 'lelet', 'lemot', 'orang', 'kerja', '']</t>
  </si>
  <si>
    <t>['voucher', 'telkomsel', 'koinworks', 'dipakai', 'min', 'telkomsel', 'promo', 'sepengetahuan', 'koinworks', 'koinwork', 'rugi', 'promo', 'telkomsel', 'pajangan', 'telkomsel', 'merespon', 'keluhan', 'promo', 'formalitas', 'koin', 'tipuan', 'hiburan', 'the', 'database', 'will', 'guarantee', 'telkomsel', 'does', 'not', 'respond', '']</t>
  </si>
  <si>
    <t>['ganti', 'bintang', 'aplikasi', 'blank', 'putih', 'komplein', 'diperbaiki', 'klu', 'bermasalah', 'knp', 'diperbaiki', 'ush', 'suruh', 'hubungi', 'via', 'twiter', 'apalah', 'langsung', 'kasih', 'ush', 'nyusahin', 'orang', 'udh', 'disusahin', 'gara', 'aplikasi', '']</t>
  </si>
  <si>
    <t>['harga', 'mahal', 'kualitas', 'mengecewakan']</t>
  </si>
  <si>
    <t>['parah', 'ngak', 'buka', 'layar', 'putih', 'doang', 'beli', 'isi', 'kuota', 'ribet', 'solusi', '']</t>
  </si>
  <si>
    <t>['aplikasi', 'buka', 'buka', 'mohon', 'perbaiki']</t>
  </si>
  <si>
    <t>['telkomsel', 'produk', 'harga', 'mahal', 'kompetitor', 'jaringan', 'busukkk', '']</t>
  </si>
  <si>
    <t>['berubah', 'bintang', 'aplikasinya', 'aplikasi', 'bumn', 'kualitasnya', 'malu', 'in', '']</t>
  </si>
  <si>
    <t>['parah', 'sekrg', 'app', 'telkomsel', 'dibuka', 'app', 'telkomsel', 'skrg', 'ginih', 'amatt', 'ribet', 'kecewa', '']</t>
  </si>
  <si>
    <t>['promo', 'pembelian', 'kuota', 'udah', 'pakai']</t>
  </si>
  <si>
    <t>['bagus', 'koneksi', 'cepat', 'lancar', 'membuka', 'aplikasinya', 'telkomsel', '']</t>
  </si>
  <si>
    <t>['maaf', 'simpati', 'tol', 'mengecewakan', 'banget', 'tolong', 'diperbaiki', 'ngelaaaag', 'tol', '']</t>
  </si>
  <si>
    <t>['mendukung', 'kegiatan']</t>
  </si>
  <si>
    <t>['telkomsel', 'boros', 'mahal', 'cari', 'untung', 'plus', 'sinyal', 'jelek']</t>
  </si>
  <si>
    <t>['semenjak', 'update', 'gbsa', 'buka', 'blank', 'warna', 'putih', 'uda', 'uninstall', 'install', 'ualang', 'ttp', 'gbsa', 'mohon', 'diperbaiki', 'sekelas', 'telkomsel', 'apknya', 'kaya', 'gini', '']</t>
  </si>
  <si>
    <t>['udah', 'males', 'telkomsel', 'slalu', 'mengecewakan', 'sinyalnya']</t>
  </si>
  <si>
    <t>['woi', 'development', 'ngen', 'benerin', 'sinyal', 'lag', 'trz', 'blm', 'pas', 'hujan', 'ampun', 'hadehh', '']</t>
  </si>
  <si>
    <t>['kak', 'gimana', 'apk', 'mytelkomsel', 'dibuka', 'tgl', 'desember', 'white', 'blank', 'uninstal', 'bolak', 'memori', 'apk', 'udh', 'diupdate', 'udh', 'clear', 'canche', 'udh', 'twt', 'respon', 'mohon', 'bantuannya', '']</t>
  </si>
  <si>
    <t>['min', 'telkomsel', 'buka', 'blang', 'putih', 'muncul', 'parah', 'bah', 'uda', 'jaringan', 'mengecewakan', 'tolong', 'perbaiki', 'indonesia', 'tunjukkan', 'kualitas', 'pelanggan', 'setia']</t>
  </si>
  <si>
    <t>['playstore', 'tolong', 'hapus', 'aplikasi', 'laknat', 'aplikasi', 'babi', 'sperti', 'pemilik', 'aplikasi']</t>
  </si>
  <si>
    <t>['maaf', 'aplikasi', 'dihp', 'putih', 'mulu', 'pdhal', 'udh', 'tungguin', 'berjam', 'jam', 'tpi', 'tetep', 'putih']</t>
  </si>
  <si>
    <t>['aplikasi', 'bermanfaat', 'mudah']</t>
  </si>
  <si>
    <t>['telkomsel', 'buka', 'uda', '']</t>
  </si>
  <si>
    <t>['sinyal', 'bagus', 'main', 'game', 'buruk', '']</t>
  </si>
  <si>
    <t>['diawal', 'bintang', 'atu', 'udh', 'minggu', 'aplikasi', 'dibuka']</t>
  </si>
  <si>
    <t>['layar', 'putih', '']</t>
  </si>
  <si>
    <t>['', 'anjg', 'tolong', 'yaaa', 'jaringan', 'diperbaiki', 'super', 'lelet', 'mahal', 'jaringan', 'lemot', 'kalah', 'provider', 'tri', 'indosat', 'diplosok', 'udah', 'terjangkau', 'jaringanya', 'payah', 'banget', 'nyesel', 'beli', 'promo', 'rb', 'gb', 'lemot', 'gini', 'diplosok', 'bisanya', 'dipake', 'dikota', 'doang', 'najis', 'gabakal', 'tertarik', 'lgi', 'dikasi', 'promo', 'sma', 'kelen', 'gaguna', 'jaringan', 'kelen', 'emosi', '']</t>
  </si>
  <si>
    <t>['udh', 'instal', 'aplikasinya', 'mempermudah', 'transaksi', 'dibuka', 'upaya', 'krm', 'email', 'dibalas', 'krm', 'twitter', 'balasan', 'gmn', 'solusinya']</t>
  </si>
  <si>
    <t>['paket', 'mahal', 'jaringan', 'kek', 'siput', 'hadeh', 'kecewa', 'banget', 'telkomsel', 'aplikasinya', 'bug', 'kadang', 'paket', 'dibeli', 'hadehhhhhhhhh', '']</t>
  </si>
  <si>
    <t>['muncul', 'apk', 'layar']</t>
  </si>
  <si>
    <t>['kesini', 'mahal', 'quota', 'signal', 'udah', 'ngak', 'bagus', 'paketin', 'konten', 'berbayar', 'sepengetahuan', 'pengguna', 'pelayanan', 'buruk', 'sumpah', 'pakai', 'nomor', 'kecewa', 'banget', 'telkomsel', 'undian', 'ngak', 'pilih', 'kasih', 'mendingan', 'ganti', 'provider', 'ngak', 'bermutu', 'pakai', 'ttelkomsel', 'guys', 'harga', 'mencekek', 'signal', 'buruk', 'pelayanan', 'ngak', 'bagus', 'unsur', 'penipuan', 'telkomsel', '']</t>
  </si>
  <si>
    <t>['blenk', 'putih', 'ngga', 'dibuka', '']</t>
  </si>
  <si>
    <t>['thanks', 'membantu']</t>
  </si>
  <si>
    <t>['membantu', 'bagu']</t>
  </si>
  <si>
    <t>['transaksi', 'cepat']</t>
  </si>
  <si>
    <t>['mantap', 'telkomsel', 'kadang', 'ngelag', 'didaerah', 'kaltara']</t>
  </si>
  <si>
    <t>['aplikasinya', 'memuaskan']</t>
  </si>
  <si>
    <t>['semoga', 'jaya', 'trus', 'telkomsell', 'jaringan', 'lemott', 'jaringan', 'super', 'ngebut', 'mencoba', 'keberuntungan', 'memenangkan', 'hadiah', 'menarik']</t>
  </si>
  <si>
    <t>['komplain', 'jaringan', 'kemana', 'ribet', 'bermutu', 'bumn', 'kayak', 'gini', '']</t>
  </si>
  <si>
    <t>['kasihh', 'promo', 'yng', 'lebihurah', '']</t>
  </si>
  <si>
    <t>['bagus', 'hemat', 'mengunakan', 'telkomsel', '']</t>
  </si>
  <si>
    <t>['buka', 'layar', 'bewarna', 'putih', 'jelaska', '']</t>
  </si>
  <si>
    <t>['tolong', 'atmin', 'aplikasinya', 'bukak', '']</t>
  </si>
  <si>
    <t>['informasinya', 'bermanfaat']</t>
  </si>
  <si>
    <t>['membeli', 'paket', 'unlimited', 'max', 'gb', 'pulsa', 'berkurang', 'tulisan', 'sisa', 'fup', 'beli', 'lelet', 'koneksi']</t>
  </si>
  <si>
    <t>['berulang', 'kondisi', 'koq', 'dibuka', 'warna', 'putih', 'polos', 'sepolos', 'dirimu', 'silahkan', 'hubungi', 'bla', 'bla', 'langsung', 'dilayani', 'ditanggapi', 'yaqin', 'clientnya', 'mengadu', 'hubungi', 'langsung', 'diselesaikan', 'sbg', 'bentuk', 'servis', 'terbaik', 'ditunggu', 'solusinya', '']</t>
  </si>
  <si>
    <t>['kasih', 'bintang', 'aplikasi', 'telkomsel', 'error', 'blank', 'putih', 'udah', 'minggu']</t>
  </si>
  <si>
    <t>['gabisa', 'login', 'udah', 'masukin', 'nomet', 'tombol', 'masuk', 'klik', 'payah']</t>
  </si>
  <si>
    <t>['ngak', 'tampil', '']</t>
  </si>
  <si>
    <t>['yehh', 'gampang', 'dehh', 'beli', 'pulsa', 'langsung', 'paket', 'telkomsel', 'terimakasih', 'aplikasi', 'nyaa', 'smoga', 'telkomsel', 'maju', 'trus']</t>
  </si>
  <si>
    <t>['sinyalny', 'suka', 'ngilang', 'mbuh']</t>
  </si>
  <si>
    <t>['gimana', 'bayar', 'tagihan', 'kartu', 'halo', 'gabisa', 'buka', 'apk', 'sekalinya', 'klik', 'stuck', 'layar', 'putih', 'mohon', 'kerja', 'samanya', 'telkomsel']</t>
  </si>
  <si>
    <t>['telkomsel', 'beres', 'berkali', 'pasang', 'paket', 'nelp', 'malam', 'masuk', 'saldo', 'potong', 'kalinya', 'sialan', '']</t>
  </si>
  <si>
    <t>['parahh', 'nihh', 'kebuka', 'part', 'menghubungi', 'whatsapp', 'telkomsel', 'respon', 'dimnta', 'menunggu', 'kali', 'chat', 'isi', 'terima', 'kasih', 'menunggu', 'veronika', 'mencari', 'teman', 'customer', 'service', 'membantu', 'tunggu', '']</t>
  </si>
  <si>
    <t>['snng', 'telkomsel', 'membantu', 'kemudahan', 'akses', 'internet', 'semoga', 'truzzz', 'jaya', 'telkomsel', 'pokoknya', 'muuuuaaaaaantep', 'puoooool', 'deachhhh', '']</t>
  </si>
  <si>
    <t>['jaringannya', 'jelek', 'banget', 'ngangkat', 'mode', 'pesawat', 'lancar', 'seret', '']</t>
  </si>
  <si>
    <t>['diupgrade', 'bukanya', 'bagus', 'jelek', 'dibuka', 'layar', 'putih', 'habis']</t>
  </si>
  <si>
    <t>['', 'masuk', 'layar', 'muncul', 'putih', 'polos']</t>
  </si>
  <si>
    <t>['telkomsel', 'bagus', 'membantu', 'penguna', 'telkomsel', 'lokasi', 'lelet']</t>
  </si>
  <si>
    <t>['jga', 'dowload', 'buka']</t>
  </si>
  <si>
    <t>['mahal', 'sajah', 'paket', 'kuota', 'tolong', 'sultan', 'paket', 'kuota', 'mahal', 'gini', 'pindah', 'langganan', 'jaringan', 'stabil', '']</t>
  </si>
  <si>
    <t>['telkomsel', 'kualitasnya', 'jelek', 'harga', 'paketan', 'mahal', 'kualitas', 'jaringan', 'jelek', 'paket', 'gratis', 'youtube', 'unlimited', 'jaringannya', 'jelek', 'tolong', 'harga', 'doang', 'mahalain', 'kualitas', 'jelek', '']</t>
  </si>
  <si>
    <t>['aps', 'dibuka', 'erorr']</t>
  </si>
  <si>
    <t>['error', 'apknya', 'selulernya', '']</t>
  </si>
  <si>
    <t>['sya', 'kemaren', 'bayar', 'kartu', 'hallo', 'shopeepay', 'shopee', 'pembayaran', 'berhasil', 'aplikasi', 'telkomsel', 'msh', 'ttp', 'ditagih', 'smpe', 'sya', 'komplain', 'dana', 'sya', 'dikembalian', 'sma', 'shopee', 'utuh', 'oke', 'smpe', 'sya', 'ditagih', 'sya', 'otomatis', 'nunggu', 'ditagih', 'gabisa', 'bayar', 'bill', 'tagihan', 'blm', 'sya', 'bru', 'ditagih', 'mepet', 'pas', 'tgl', 'jatuh', 'temponya', 'malam', 'jam', 'wib', 'sya', 'liat', 'smsnya', 'otomatis', 'kartu', 'sya', 'akn', 'trblokir', 'esok', 'harinya', 'kecewa', 'sbg', 'customer']</t>
  </si>
  <si>
    <t>['membantu', 'tpi', 'mohon', 'telkosel', 'pembelian', 'paket', 'murah', '']</t>
  </si>
  <si>
    <t>['maen', 'game', 'emel', 'telkomsel', 'lancar', 'memasuki', 'oktober', 'desember', 'sinyal', 'stabil', 'maen', 'kesel', 'beli', 'internet', 'telkomsel', 'maen', 'game', 'sinyal', 'kecewa', '']</t>
  </si>
  <si>
    <t>['signal', 'jelek']</t>
  </si>
  <si>
    <t>['telkomsel', 'best']</t>
  </si>
  <si>
    <t>['min', 'aplikasi', 'buka', 'android', 'terbaru', 'pas', 'buka', 'blank', 'putih', 'doang', 'sampe', 'uninstal', 'download', 'mohon', 'penjelasannya', 'penyelesaiannya', '']</t>
  </si>
  <si>
    <t>['', 'bintamg', 'bru', 'nyoba']</t>
  </si>
  <si>
    <t>['update', 'buka', 'hpku', 'layar', 'putih', 'hadeh', 'download', 'auto', 'unistal', 'ulang']</t>
  </si>
  <si>
    <t>['telkomsel', 'membayar', 'kartu', 'hallo', '']</t>
  </si>
  <si>
    <t>['aneh', 'iya', 'buka', 'layar', 'blank', 'putih', 'internetnya', 'oke']</t>
  </si>
  <si>
    <t>['membeli', 'paket', 'apapun', 'pulsa', 'hilang']</t>
  </si>
  <si>
    <t>['murah', 'promonya']</t>
  </si>
  <si>
    <t>['semoga', 'koutanya', 'murah', '']</t>
  </si>
  <si>
    <t>['kalu', 'bener', 'bener', 'hadiah', 'telkomsel', 'sayang', 'masukan', 'kode', 'otp', 'gagal', '']</t>
  </si>
  <si>
    <t>['jaringan', 'mengalami', 'gangguan', 'perbaikan', 'telkomsel', 'lokasi', 'desa', 'gunung', 'raja', 'kecamatan', 'lubai', 'kabupaten', 'muara', 'enim', '']</t>
  </si>
  <si>
    <t>['error', 'gmn', 'minggu', 'buka', 'aplikasinya']</t>
  </si>
  <si>
    <t>['update', 'mulu', 'jaringan', 'kek', 'bangke']</t>
  </si>
  <si>
    <t>['nge', 'blank', 'putih', 'telkomsel', 'parah']</t>
  </si>
  <si>
    <t>['update', 'dibuka', 'pencet', 'aplikasinya', 'warna', 'putih', 'bngt', '']</t>
  </si>
  <si>
    <t>['jaringannya', 'lemot', 'udah', 'uda', 'kalah', 'ama', 'provider', 'sebelah', 'dkit', 'kendala', 'cuaca', 'uda', 'lemot', 'udah', 'ganti', 'provider']</t>
  </si>
  <si>
    <t>['telkomsel', 'harga', 'pulsanya', 'kasih', 'turung', 'lgi', 'sikit', 'dlu', 'cma', 'skrn', 'cma', 'beli', 'pulsa', 'doang', 'unlimited', 'ngk', 'seenak', 'dlu', 'unlimited', 'ngk', 'terbatas', 'skrn', 'pakai', 'dta', 'kesel', 'kali', 'bagussan', 'dlu', 'pda', 'skrn', 'moga', 'dibaca', 'komenku', '']</t>
  </si>
  <si>
    <t>['operator', 'goblokk', 'data', 'matikan', 'isi', 'pulsa', 'rb', 'rb', 'pas', 'masuk', 'cek', 'beli', 'kuota', 'harga', 'rb', 'goblokkk', '']</t>
  </si>
  <si>
    <t>['udh', 'berlangganan', 'telkomsel', 'bertahun', 'sgt', 'kecewa', 'sinyal', 'telkomsel', 'stabil', 'jaringannya', 'suka', 'lemot', 'sumpah', 'lemot', '']</t>
  </si>
  <si>
    <t>['blank', 'ngak', 'buka']</t>
  </si>
  <si>
    <t>['layanan', 'terbaik', 'telekomunikasi']</t>
  </si>
  <si>
    <t>['aplikasi', 'telkomsel', 'buaka']</t>
  </si>
  <si>
    <t>['bingung', 'buka', 'aplikasinya', 'samsung', 'smntara', 'reinstall', 'min', 'diinstal', 'bintangnya']</t>
  </si>
  <si>
    <t>['pakek', 'aplikasi', 'enak', 'lemot', 'yaa', 'muncul', 'putih', 'layar', '']</t>
  </si>
  <si>
    <t>['bintang', 'aplikasinya', 'dibuka', 'nyaman', 'beli', 'kuota']</t>
  </si>
  <si>
    <t>['mudah', 'mengakses', 'telkomsel']</t>
  </si>
  <si>
    <t>['aplikasi', 'dibuka', 'stack', 'putih', 'hapus', 'instal', 'tetep', 'gabisa']</t>
  </si>
  <si>
    <t>['good', 'memudahkan']</t>
  </si>
  <si>
    <t>['tks', 'inpo', 'bermanfaat', 'produk', 'telkomsel']</t>
  </si>
  <si>
    <t>['sinyal', 'busuk', 'hujan', 'parah', 'sinyal', 'domisili', 'kota', 'gimana', 'pinggiran', 'kota', 'tolong', 'perbaiki', 'kualitas', 'jngn', 'harga', 'mahal', 'kualitas', 'busuk', '']</t>
  </si>
  <si>
    <t>['gua', 'gb', 'sbulan', 'mggu', 'amsioongg', '']</t>
  </si>
  <si>
    <t>['mohon', 'telkomsel', 'knpa', 'sinyal', 'buruk', 'pke', 'kartu', 'manteng', 'pke', 'telomsel', 'lemot', 'ampun', 'tolong', 'perbaiki']</t>
  </si>
  <si>
    <t>['sinyal', 'mengecewakan', 'tower', 'rumahhhhhhhh', '']</t>
  </si>
  <si>
    <t>['download', 'udah', 'buka', 'aplikasi', 'jelek', 'gua', 'liat', 'sisa', 'kuota', 'gua', 'parah', 'isi', 'ulang', 'kuota', 'huuhhhhhhh', 'meresahkan', 'tolong', 'perbaiki', 'ommm', '']</t>
  </si>
  <si>
    <t>['apapun', 'tolong', 'kerja', 'jaringan', 'telkomsel', 'udah', 'pengguna', 'ngak', 'lucu', 'cari', 'operator']</t>
  </si>
  <si>
    <t>['pengaduan', 'mahal', 'harga', 'kuota', 'maklumi', 'sinyalnya', 'stabil', 'game', 'nonton', 'vidio', 'diandalkan', 'tolong', 'developer', 'diperbaiki', 'cekewa', '']</t>
  </si>
  <si>
    <t>['aplikasi', 'blank', 'putih', 'tampilan']</t>
  </si>
  <si>
    <t>['buka', 'kali', 'downlod']</t>
  </si>
  <si>
    <t>['kepana', 'dbuka', '']</t>
  </si>
  <si>
    <t>['mantab', 'semangat', 'telkomsel']</t>
  </si>
  <si>
    <t>['buka', 'aplikasinya', 'hapus', 'apknya', 'dwonload', 'dibuka', 'tolong', 'perbaiki', 'secepatnya']</t>
  </si>
  <si>
    <t>['nggk', 'kuota', 'gratis', 'hhh']</t>
  </si>
  <si>
    <t>['telkomtot', 'bagusin', 'jaringanlah', 'mati', 'idup', 'jaringan', 'jenis', 'kuota', 'dibanyakin']</t>
  </si>
  <si>
    <t>['kuota', 'keluarga']</t>
  </si>
  <si>
    <t>['aplikasinyaa', 'buka', 'beli', 'paket', 'manual', 'ribet', 'mohon', 'perbaiki', 'yaa']</t>
  </si>
  <si>
    <t>['parah', 'banget', 'telkomsel', 'tower', 'meter', 'telkomsel', 'sinyalnya', 'stabil', 'udah', 'beli', 'mahal', 'mahal']</t>
  </si>
  <si>
    <t>['telkomsel', 'sinyal', 'luas', 'plosok', 'desa', 'paket', 'murah', 'sinyal', 'merata', '']</t>
  </si>
  <si>
    <t>['', 'dibuka', '']</t>
  </si>
  <si>
    <t>['gara', 'pulsa', 'curi', 'cocok', 'bintang', 'kasih', 'bintang', 'mending', 'mgasih', 'bintang']</t>
  </si>
  <si>
    <t>['suka', 'banget', 'belanja', 'telkomsel', 'diperbarui', 'dibuka', 'sistemnya', 'gimana', 'udah', 'nyaman', 'telkomsel', 'tolong', 'kembalikan', 'kayak', 'kayak', 'gini', 'terimakasih']</t>
  </si>
  <si>
    <t>['telcom', 'ngerii', 'the', 'best', 'moga', 'sukses', 'telcom', 'terimakasih', 'kuotanya', '']</t>
  </si>
  <si>
    <t>['telkomsel', 'ngak', 'dibuka', '']</t>
  </si>
  <si>
    <t>['cek', 'transaksi', 'pulsa', 'mudah', 'saran', 'kemudahan', 'gratis', 'paket', 'buka', 'telkomsel']</t>
  </si>
  <si>
    <t>['kecewa', 'internet', 'lemot', 'harga', 'mahal', '']</t>
  </si>
  <si>
    <t>['mudah', 'jalankan']</t>
  </si>
  <si>
    <t>['aplikasinya', 'bagus', 'min']</t>
  </si>
  <si>
    <t>['harga', 'kouta', 'kali', 'berlangganan', 'harga', 'mahal', 'harga', 'paket', 'kouta', 'internet', 'laen', 'jaringannya', 'stabil', '']</t>
  </si>
  <si>
    <t>['', 'telkomsel', 'good', 'membantu', 'beli', 'pulsa', 'paket', 'data']</t>
  </si>
  <si>
    <t>['susah', 'masuk', 'skrng', 'cpet', 'seneng', 'bngt', 'skrng', 'duakali', 'download', 'sulit', 'gimna', 'beli', 'kuota', 'donk']</t>
  </si>
  <si>
    <t>['memuaskn', 'pokonya', '']</t>
  </si>
  <si>
    <t>['puas', 'mntap']</t>
  </si>
  <si>
    <t>['sanjung', 'pertahankan', 'aplikasi', 'kyak', 'setan', 'perbaiki', 'komplinan', 'konsumen', 'aplikasi']</t>
  </si>
  <si>
    <t>['update', 'cuman', 'dipake', 'android', 'payah', 'telkomsel']</t>
  </si>
  <si>
    <t>['layar', 'putih', 'udah', 'install', 'tetep']</t>
  </si>
  <si>
    <t>['ngebug', 'mulu', 'aplikasinya']</t>
  </si>
  <si>
    <t>['lumayan', 'paket', 'murahin', 'dunk']</t>
  </si>
  <si>
    <t>['membantu', 'terjangkau']</t>
  </si>
  <si>
    <t>['gangguan', 'nukar', 'poin', 'sebentar', 'lagikan', 'hangus', 'ngumpulin', 'poin', 'setahun', '']</t>
  </si>
  <si>
    <t>['meraih', 'hadiah', 'undi', 'undi', 'telkomsel']</t>
  </si>
  <si>
    <t>['jaringan', 'bagus', 'auto', 'pindah', 'provdr']</t>
  </si>
  <si>
    <t>['sangattt', 'membantu']</t>
  </si>
  <si>
    <t>['membatu', 'bagus', 'aplikasi', 'kasih', 'bintang']</t>
  </si>
  <si>
    <t>['ajg', 'knp', 'telkomsel', 'jaringannya', 'kek', 'babi', 'cog', 'enak', 'banget', 'loch', 'perbaiki', 'ajg', '']</t>
  </si>
  <si>
    <t>['kualitas', 'sinyal', 'jelek', 'harga', 'paket', 'internet', 'mahal', 'dibandingkan', 'provider', 'sinyal', 'mengecewakan', '']</t>
  </si>
  <si>
    <t>['knp', 'log', 'kuota', 'masuk', 'harap', 'perbaiki', 'udah', 'coba', 'kali', 'masuk']</t>
  </si>
  <si>
    <t>['berkali', 'kali', 'masuk', 'gagal', 'apk', 'aneh']</t>
  </si>
  <si>
    <t>['bagus', 'nominal', 'pulsa', 'ovo', '']</t>
  </si>
  <si>
    <t>['sya', 'menang', 'jga']</t>
  </si>
  <si>
    <t>['aplikasinya', 'dibuka', '']</t>
  </si>
  <si>
    <t>['aduhhh', 'beli', 'paketan', 'cuka', 'gmana', 'aplikasi']</t>
  </si>
  <si>
    <t>['kenaikan', 'tarif', '']</t>
  </si>
  <si>
    <t>['telkomsel', 'memudahkan', 'pelanggan', 'telkomsel', '']</t>
  </si>
  <si>
    <t>['parah', 'jaringan', 'telkomsel', 'jelek', 'banget']</t>
  </si>
  <si>
    <t>['oke', 'kuota', 'internet', 'khusus', 'tersedia', 'gb', 'tunggu', 'aktif', 'terimakasih', 'terbaik', '']</t>
  </si>
  <si>
    <t>['pengguna', 'setia', 'telkomsel', 'paket', 'kouta', 'telkomsel', 'mahal', 'pengguna', 'utamakan', 'dikasih', 'promo', 'pengguna', 'beli', 'semenjak', 'jaringan', 'tri', 'masuk', 'beralih', 'tri', 'kouta', 'murah', 'jaringan', 'stabil', 'good', 'bye', 'telkomsel']</t>
  </si>
  <si>
    <t>['terbantu', 'promo', 'paketannya']</t>
  </si>
  <si>
    <t>['maaf', 'berhenti', 'berlangganan', 'telkomsel', 'hallo', 'kartu', 'nomor', 'belokir', 'data', 'kaitkan', 'nomor', 'mebuka', 'data', 'lupa', 'password', 'data', 'nomor']</t>
  </si>
  <si>
    <t>['mantap', 'appl', '']</t>
  </si>
  <si>
    <t>['dikit', 'dikit', 'update', 'bug', 'gabisa', 'cek', 'sisa', 'kuota', 'update']</t>
  </si>
  <si>
    <t>['aplikasi', 'lambatt', 'mengecewakan', 'udah', 'masuk', 'link', 'suruh', 'verifikasi']</t>
  </si>
  <si>
    <t>['signal', 'susah', 'trouble', 'paketan', 'mahal', 'hadeeehh', '']</t>
  </si>
  <si>
    <t>['kuota', 'internet', 'sakti', 'combo', 'sakti', 'kiasan', 'membeli', 'kuota', 'mencoba', 'berkali', 'berulang', 'ulang', 'berhari', 'beli', 'kuota', 'mahal', 'lainya', '']</t>
  </si>
  <si>
    <t>['telkomsel', 'kebuka', 'blank', 'putih', 'mohon', 'solusinya', 'admin', 'thanks']</t>
  </si>
  <si>
    <t>['nomor', 'simpati', 'telkomsel', 'masak', 'daftar', 'telkomsel', 'masuk', 'tulisan', 'harap', 'masukan', 'telkomsel', 'masukin', 'simpati', 'simpati', 'telkomsel', '']</t>
  </si>
  <si>
    <t>['', 'twlkomsel', 'blank', 'putih', 'tumben', 'twlkomsel', 'skr', 'jelek']</t>
  </si>
  <si>
    <t>['gdk', 'bgus', 'ajg', 'sinyl', 'macem', 'taik', 'lelet', 'delay', 'smpk', 'gua', 'bermasalah', 'dosen', 'doseny', 'percaya', 'taik', 'gila', 'keluhan', 'sinyal', 'down', 'stabil', 'malam', 'sinyal', 'error', 'koneksi', 'internet', 'jaringannya', 'gdk', 'tolong', 'perbaiki', 'gini', 'ceritanya', 'gua', 'gakan', 'pakek', 'telkomsel', 'mending', 'pindah', 'murah', 'sinyal', 'stabil', 'mahal', 'sinyal', 'stabil', 'pulak', 'worktid']</t>
  </si>
  <si>
    <t>['bru', 'update', 'buka']</t>
  </si>
  <si>
    <t>['sumpah', 'kaga', 'sinyal', 'lemot', 'banget', 'parah', 'kaga', 'internet', 'telkomsel', '']</t>
  </si>
  <si>
    <t>['iya', 'susah', 'buka', 'aplikasi', 'mytelkomsek', '']</t>
  </si>
  <si>
    <t>['telkomsel', 'buka', 'ngblank', 'putih', '']</t>
  </si>
  <si>
    <t>['emang', 'parah', 'bukak', '']</t>
  </si>
  <si>
    <t>['masuk', 'berulang', 'kali', 'login', '']</t>
  </si>
  <si>
    <t>['kadang', 'buka', 'aplikasi', 'telkomsel', 'nge', 'blenk', 'putih', 'kali', 'buka', 'muncul', 'memudahkan', 'beli', 'paket']</t>
  </si>
  <si>
    <t>['kasi', 'bru', 'main', 'apk']</t>
  </si>
  <si>
    <t>['telkomsel', 'dibuka', 'hiks']</t>
  </si>
  <si>
    <t>['buruk', 'sinyal', 'kacau', 'abis', 'upgrade', 'bsaa', 'buka', 'knp', 'memudahkan', 'skrng', 'menyusahkan', 'knp', 'telkomsel', 'jadii', 'bgni']</t>
  </si>
  <si>
    <t>['sya', 'sbagai', 'planggan', 'tlkomsl', 'sngat', 'sngat', 'kecewa', 'skli', 'krna', 'aplikasi', 'mytelkomsel', 'sya', 'eror', 'alias', 'ngeblank', 'gmbrnya', 'brpa', 'kli', 'sya', 'coba', 'instal', 'ulang', 'sja', 'eror', 'sya', 'coba', 'hubungi', 'castumer', 'care', 'officer', 'lwt', 'email', 'bilangnya', 'hrs', 'ngunjungi', 'grafari', 'membawa', 'dokumen', 'surat', 'ketrngn', 'dri', 'dinas', 'kpndudukn', 'ctatan', 'sipil', 'hadeeuhhhh', 'ampuunn', 'dahh', 'ribetttttt', 'bett', 'bett', 'beeeeetttttt', '']</t>
  </si>
  <si>
    <t>['membatu', 'beli', 'paket', 'internetan', 'terimah', 'kasih', 'telkomse']</t>
  </si>
  <si>
    <t>['yth', 'admin', 'telkomsel', 'mohon', 'maintenance', 'beritahu', 'customer', 'karna', 'butuh', 'kejelasan', 'minggu', 'mengakses', 'apk', 'kekecewaan', 'telkomsel', 'berpaling', 'provider', 'tolong', 'perbaiki', 'terimakasih', '']</t>
  </si>
  <si>
    <t>['tolong', 'banget', 'telkomsel', 'nonaktifkan', 'fitur', 'namanya', 'mvicall', 'pas', 'isi', 'pulsa', 'aktif', 'ngambil', 'pulsa', 'merugikan', 'telkomsel', '']</t>
  </si>
  <si>
    <t>['nanya', 'aplikasi', 'buka']</t>
  </si>
  <si>
    <t>['', 'telkomsel', 'buka', 'blank']</t>
  </si>
  <si>
    <t>['event', 'banyakin', '']</t>
  </si>
  <si>
    <t>['mantap', 'adain', 'event']</t>
  </si>
  <si>
    <t>['', 'updet', 'kirain', 'lancar', 'bsa', 'hapus', 'instal', 'ulang', 'mnit', 'kebuka', 'layar', 'putih', 'aplikasi', 'terburuk']</t>
  </si>
  <si>
    <t>['sinyalnya', 'bagus', 'jelek', 'kek', 'sinyal', 'kampungan', 'cuman', 'whatsapp', 'doang', 'akses', 'aplikasi', 'perusahaan', 'sukses', 'kerjanya', 'update', 'mulu', 'mending', 'collab', 'ama', 'perusahaan', 'whatsapp', 'sono', 'bangkrut', 'perusahaan', 'internet']</t>
  </si>
  <si>
    <t>['bintana', 'telkomsel', 'buka', 'gampang', 'gini', 'beli', 'paket', 'data', 'susah', 'tolong', 'telkomsel', 'perbaiki', 'pelanggan', 'kecewa', '']</t>
  </si>
  <si>
    <t>['aplikasinya', 'terbuka']</t>
  </si>
  <si>
    <t>['aplikasi', 'dibuka', 'blank', 'putih']</t>
  </si>
  <si>
    <t>['semoga', 'telkom', 'sukses', '']</t>
  </si>
  <si>
    <t>['download', 'ulang', 'masuk', 'blm', 'app', 'mohon', 'perbaiki', 'kasian', 'pelanggan', 'balas', 'buka', 'tweet', 'perbaiki']</t>
  </si>
  <si>
    <t>['telkomsel', 'tae', 'mati', 'lampu', 'mending', 'jngn', 'telkomsel', 'axis', 'ajjh', 'kuota', 'mahal', 'hujan', 'ajjh', 'kalah', '']</t>
  </si>
  <si>
    <t>['ngeblank', 'putih', 'dowload', 'versi', 'udh', 'menit', 'suruh', 'apdate', 'udh', 'apdate', 'blank', 'putih', 'heraan', 'deh', 'ama', 'apk']</t>
  </si>
  <si>
    <t>['kirain', 'punyaku', 'mengeluh', 'terbuka', 'apk', 'mohon', 'kejelasannya', 'ribet', 'beli', '']</t>
  </si>
  <si>
    <t>['minggu', 'aplikasinya', 'dibuka', 'jujur', 'kecewa', 'banget', 'karna', 'lanjutin', 'daily', 'check', 'beli', 'kuota', 'ribet', 'pulsa', 'tolong', 'perbaiki', 'bug', '']</t>
  </si>
  <si>
    <t>['telkomsel', 'cepat']</t>
  </si>
  <si>
    <t>['telkomsel', 'parah', 'milik', 'negara', 'mengecewakan', 'pelanggan', 'rakyatnya', 'segi', 'layanan', 'app', 'paket', 'mahal']</t>
  </si>
  <si>
    <t>['stabil', 'jaringanya', 'harga', 'mengecewakan']</t>
  </si>
  <si>
    <t>['buka', 'aplikasi', 'blank', 'putih', 'payah', '']</t>
  </si>
  <si>
    <t>['suka', 'banget', 'aplikasi', 'the', 'best']</t>
  </si>
  <si>
    <t>['hebat', 'aplikasi', 'jaringan', 'seluler', 'doang', 'ngalahin', 'aplikasi', 'game', 'online', 'penyimpanan', 'sampe', 'gb', 'lemotnya', '']</t>
  </si>
  <si>
    <t>['mantap', 'pakai', 'apk', 'telkomsel']</t>
  </si>
  <si>
    <t>['mudah', 'promo', 'menarik', '']</t>
  </si>
  <si>
    <t>['aplikasinya', 'gini', 'karna', 'gangguan', 'beli', 'paket', 'data', 'app']</t>
  </si>
  <si>
    <t>['coba', 'dlu', 'gmn', 'kekuatan', 'jaringan', 'telkomsel', 'kya']</t>
  </si>
  <si>
    <t>['', 'telkomsel', 'bener', 'deh', 'masuk', 'aplikasi', 'heran', 'deh', 'telkomsel', 'skrg', 'jaringan', 'jeleeeeek', 'bangeeeet']</t>
  </si>
  <si>
    <t>['parahh', 'aplikasi', 'dibuka', 'yaa', '']</t>
  </si>
  <si>
    <t>['semoga', 'undian', 'aminn']</t>
  </si>
  <si>
    <t>['buka', 'app', 'muncul', 'notif', 'oops', 'kesalahan', 'sistem', 'coba', 'install', 'ulang', 'msh', 'haloo', 'bknx', 'solusi', 'instant', 'dpt', 'diover', 'chat', 'emang', 'beli', 'kuota', 'ngutang', 'sampe', 'dpt', 'pelayanan', 'kek', 'negara', 'blm', 'merdeka', '']</t>
  </si>
  <si>
    <t>['sayang', 'aplikasi', 'dibuka', 'kemarin', 'update', 'sungguh', 'kecewa', '']</t>
  </si>
  <si>
    <t>['good', 'luck', 'aplikasi', 'membantu', 'banget', 'buruan', 'donloat', 'entar', 'nyesel', 'paketan', 'murahnya']</t>
  </si>
  <si>
    <t>['bagusin', 'sinyal', 'telkom', 'nggk', 'gini', 'paket', 'nyaa', 'murah', 'nggk', 'susah', 'sinyal', 'udh', 'mahal', 'susah', 'sinyal']</t>
  </si>
  <si>
    <t>['habis', 'nge', 'update', 'masuk', '']</t>
  </si>
  <si>
    <t>['fix', 'langganan', '']</t>
  </si>
  <si>
    <t>['', 'paket', 'murah', 'banget', 'terima', 'kasi', 'telkomsel']</t>
  </si>
  <si>
    <t>['parah', 'kebuka', 'putih', 'gitu']</t>
  </si>
  <si>
    <t>['menyukai', 'telkomsel', '']</t>
  </si>
  <si>
    <t>['kuota', 'internet', 'pulsa', 'ambil', 'trus', 'pke', 'normal', 'ambil', 'tpi', 'brusan', 'tb', 'potong', 'telkomsel']</t>
  </si>
  <si>
    <t>['jaringan', 'sampah', 'parah', 'geram', 'gitu', 'gitu', 'mulu', 'jringan', 'enak', 'enak', 'main', 'jaringan', 'ilang', 'telkom', 'sampah']</t>
  </si>
  <si>
    <t>['ditambah', 'metode', 'pembayaran', 'via', 'pulsa', 'suka', 'nyedot', 'pulsa', '']</t>
  </si>
  <si>
    <t>['semoga', 'telkomsel', 'labih']</t>
  </si>
  <si>
    <t>['internet', 'turun', 'banget', 'kambing']</t>
  </si>
  <si>
    <t>['telkom', 'skarang', 'kurag', 'stabil', 'area', 'pasuruan', 'jawa', 'timur', 'sungguh', 'mengecewakan', 'pengguna', 'jaringannya', 'mohon', 'pembenahannya', 'kak', 'mimin']</t>
  </si>
  <si>
    <t>['dibuka', 'sihhhhhhhhh', '']</t>
  </si>
  <si>
    <t>['bagus', 'jaringannya', 'harga', 'kuotanya', 'mahal', 'mahal']</t>
  </si>
  <si>
    <t>['bgus', 'skali', 'krna', 'mempermudah', 'pengecekan', 'tenteng', 'telkomsel']</t>
  </si>
  <si>
    <t>['gangguan', 'app', '']</t>
  </si>
  <si>
    <t>['telkomsel', 'ngeselin', 'gini', 'login', 'susah', 'liat', 'paketnya']</t>
  </si>
  <si>
    <t>['blank', 'putih', 'kebuka', 'update', '']</t>
  </si>
  <si>
    <t>['udah', 'kali', 'download', 'tetep', 'masuk', 'warna', 'putih', 'ajak', 'mohon', 'percepat', 'gangguan']</t>
  </si>
  <si>
    <t>['payah', 'payah', 'payah', '']</t>
  </si>
  <si>
    <t>['mempermuda', 'pelanggan', 'telkomsel', 'mantul', 'abis', '']</t>
  </si>
  <si>
    <t>['aplikasi', 'dapan', 'poin']</t>
  </si>
  <si>
    <t>['mudah', 'aplikasi', 'telkomsel']</t>
  </si>
  <si>
    <t>['buka', 'aplikasi', 'telkomsel', 'masuk', 'loading', 'putih', 'pakai', 'telkomsel', 'mohon', 'perbaki', 'kuota']</t>
  </si>
  <si>
    <t>['knpa', 'pas', 'update', 'layar', 'tampilannya', 'ngeblank', 'doang', 'apk', 'kebuka', 'knapa', '']</t>
  </si>
  <si>
    <t>['giliran', 'kupon', 'ditukar', 'sms', 'masuk', 'maaf', 'sistem', 'sibuk', '']</t>
  </si>
  <si>
    <t>['karna', 'donwload', 'aplikasi', 'memakainya', 'gratis', 'tolong', 'mimin', 'kasih', 'informasinya', '']</t>
  </si>
  <si>
    <t>['masuk', 'aplikasinya', 'leletnya', 'ampun', 'tolong', 'operatornya', 'diperbaiki', 'donk', 'ngecek', 'pulsa', 'paket', 'cepat', 'ketik', 'manual', '']</t>
  </si>
  <si>
    <t>['seminggu', 'buka', 'aplikasi', 'gabisa', 'blank', 'kecewa', 'banget', '']</t>
  </si>
  <si>
    <t>['wahh', 'internetnya', 'kenceng', 'bangettt', 'pala', 'bapakmu', 'cokk', 'stabil', 'bet', 'operator', 'kntl', 'kntl', 'please', 'anjg', 'udh', 'lancar', 'skrng', 'anjlok', 'disconnect', 'pas', 'main', 'game', 'hah', '']</t>
  </si>
  <si>
    <t>['telkomsel', 'jelek', 'banget', 'sinyal', 'banget', 'ngilang', 'sinyal', 'telkomsel', 'banget', 'internet', 'mahal', 'banget', 'sinyal', 'bagus', 'jarang', 'ngilang', 'itungan', 'murah', 'jelek', 'banget', 'sinyal', 'habis', 'hujan', 'sinyal', 'ngilang', 'alias', 'tulisan', 'koneksi', 'terputus', 'mohon', 'diperbaiki', 'kualitas', 'jaringan', 'terima', 'kasih']</t>
  </si>
  <si>
    <t>['jaringan', 'suka', 'ngelek', 'trus', 'mahal', 'harga', 'paketanya', 'hadeeeh', 'kaya']</t>
  </si>
  <si>
    <t>['paket', 'gacha', 'harganya', 'mahal', 'banget', 'paket', 'sebulan', 'diatas', 'ribu', 'kartu', 'orang', 'dibawah', 'harga', 'ribu', 'dapet', 'kuota', 'sebulan', '']</t>
  </si>
  <si>
    <t>['kuota', 'mahal', 'boros', 'jaringan', 'ancurrrrrrrr', 'bos', 'majalaya', 'jaringan', 'jelek', 'bangt', 'sumpah', 'daerah', 'rancaekek', 'bandung', 'ancurrrrrr', 'kaya', 'bangke', 'gmna', 'bumn', 'gini', 'kecewa', 'bangt']</t>
  </si>
  <si>
    <t>['bagus', 'suka', 'semoga', 'jaya', 'telkomsel']</t>
  </si>
  <si>
    <t>['', 'telkomsel', 'mambantu', 'harapan', 'semoga', 'undian', 'poin', 'aplikasi', 'betapa', 'bahagianya', 'undian', 'natal', 'amin']</t>
  </si>
  <si>
    <t>['aplikasi', 'blank', 'putih', 'kecewa', 'uhhhu']</t>
  </si>
  <si>
    <t>['mantap', 'markotop', 'kuota', 'login', 'lgi']</t>
  </si>
  <si>
    <t>['maaf', 'telkomsel', 'buka', 'coba', 'upgread', 'tpi', 'tetep', 'buka', '']</t>
  </si>
  <si>
    <t>['kebanyakan', 'gimick', 'paket', 'data', 'murah', 'ujung', 'ujungnya', 'pas', 'dibeli', 'gabisa', 'ilang', 'paket', 'data', 'msih', 'bnyak', 'nyedotnya', 'pulsa', 'beli', 'paket', 'data', 'msih', 'nyedot', 'pulsa', 'gemes']</t>
  </si>
  <si>
    <t>['udah', 'telkomsel', 'masuk', 'aplikasinya', 'udah', 'uinstal', 'instal', 'tetep', 'layar', 'putih', 'doang', 'hape', 'eror', 'aplikasinya', 'bintang', 'deh', 'ngapain', 'bintang', '']</t>
  </si>
  <si>
    <t>['parah', 'aplikasi', 'buka', 'nieh', 'aplikasi']</t>
  </si>
  <si>
    <t>['tingkat', 'pelayan', 'kualitas', 'sinyal', 'kadang', 'susah', 'daerah', 'bogor']</t>
  </si>
  <si>
    <t>['', 'telkomsel', 'jaringan', 'terluas']</t>
  </si>
  <si>
    <t>['pakai', 'telkomsel', 'murah', '']</t>
  </si>
  <si>
    <t>['mudah', 'telkomsel']</t>
  </si>
  <si>
    <t>['jaringannya', 'bagus']</t>
  </si>
  <si>
    <t>['udah', 'minggu', 'nggak', 'akses', 'telkomsel', 'udah', 'hapus', 'instalasi', 'instal', 'berkali', 'tetep', 'nggak']</t>
  </si>
  <si>
    <t>['pusing', 'clear', 'cache', 'paksa', 'berhenti', 'clear', 'data', 'kali', 'hapus', 'instalan', 'instal', 'hasilnya', 'layar', 'putih', 'doang']</t>
  </si>
  <si>
    <t>['android', 'stuck', 'blank', 'layar']</t>
  </si>
  <si>
    <t>['dibuka', 'muncup', 'baghround', 'putih', '']</t>
  </si>
  <si>
    <t>['aplikasi', 'ngak', 'buka']</t>
  </si>
  <si>
    <t>['maaf', 'kasih', 'bintang', 'jaringannya', 'stabil', 'bermain', 'game', 'berubah', 'kadang', 'jujur', 'mengganggu', 'kenyamanan', 'bermain', 'tolong', 'perbaiki', 'kembalikan', 'jaringan', 'telkomsel']</t>
  </si>
  <si>
    <t>['mending', 'provider', 'sebelah', 'mahal', 'kuota', 'telkomsel', 'skrg']</t>
  </si>
  <si>
    <t>['terima', 'gajih', 'telkomsel', 'kasih', 'kuota', 'gratis', 'gb', '']</t>
  </si>
  <si>
    <t>['parah', 'dibuka']</t>
  </si>
  <si>
    <t>['aplikasinya', 'diupdate', 'dibuka', '']</t>
  </si>
  <si>
    <t>['repot', 'klau', 'pulsa', 'reguler', 'paket', 'data', 'habis', 'rumah', 'telkomsel', 'udah']</t>
  </si>
  <si>
    <t>['minggu', 'aplikasi', 'buka', 'cuman', 'tampilan', 'blank', 'putih', 'kalinya', 'uninstall', 'dann', 'install', 'aplikasi', 'hasilnya', '']</t>
  </si>
  <si>
    <t>['mantap', 'ukuran', 'volume', 'isinya']</t>
  </si>
  <si>
    <t>['versi', 'telkomsel', 'android', 'engk', 'buka', 'blank', 'putih', 'jja', 'udh', 'coba', 'uninstall', 'trus', 'instal', 'minggu', 'perbaikannya', '']</t>
  </si>
  <si>
    <t>['membantu', 'bermanfaat']</t>
  </si>
  <si>
    <t>['apk', 'akses', 'mao', 'beli', 'paket', 'internet']</t>
  </si>
  <si>
    <t>['mengecewakan', 'harga', 'mahal', 'jaringan', 'gangguan', '']</t>
  </si>
  <si>
    <t>['diinstal', 'ulang', 'bolak', 'buka', 'beli', 'paket', 'data', 'ganti', 'operator', '']</t>
  </si>
  <si>
    <t>['jujur', 'kesel', 'banget', 'ama', 'jaringan', 'telkom', 'beli', 'mahal', 'pas', 'gunain', 'ngelagnya', 'ampun', '']</t>
  </si>
  <si>
    <t>['kuota', 'unlimited', 'pakai', 'udah', 'coba', 'chat', 'veronika', 'telkomsel', 'telegram', 'direspon', 'udah', 'nunggu', 'jam', 'direspon']</t>
  </si>
  <si>
    <t>['kasih', 'telkomsel', 'blum', 'buka', 'layar', 'putih', '']</t>
  </si>
  <si>
    <t>['tecno', 'spark', 'nfc', 'android', 'support', 'layar', 'blank', 'putih', 'merespon', 'mohon', 'perbaiki', 'kak', 'versi', 'support']</t>
  </si>
  <si>
    <t>['cape', 'update', 'update', 'fitur', 'kaga', 'sosial', 'media', 'deh', 'perasaan', 'sosial', 'media', 'nggak', 'kayak', 'gini', 'update', 'who', 'hurt', 'you', 'dude', '']</t>
  </si>
  <si>
    <t>['aplikasinya', 'buka', 'update', 'buka', 'stak', 'layar', 'blank', 'putih', 'doang', 'tolong', 'perbaiki', 'trima', 'kasih', '']</t>
  </si>
  <si>
    <t>['aplikasi', 'dbuka', 'buang', 'kuota', 'instal', 'aplikasi', 'dbuka', 'muncul', 'layar', 'putih', '']</t>
  </si>
  <si>
    <t>['terusan', 'update', 'aplikasi', 'sampe', 'capek', 'minggu', 'update', 'update', 'ngga', 'perbedaannya', 'kuota', 'mahal']</t>
  </si>
  <si>
    <t>['jangka', 'daerah', 'maluku', 'telkomsel', 'naikan', 'tarif', 'internet', 'mencekik', 'masyarakat', 'jang', 'mentang', 'penguasa', 'pasar', 'telekomunikasi', 'indonesia', 'timur', 'naikan', 'tarif', 'berat', 'masyarakat']</t>
  </si>
  <si>
    <t>['udah', 'klaim', 'daily', 'check', 'hadiahnya', 'ngga', 'masuk']</t>
  </si>
  <si>
    <t>['mendung', 'dikit', 'udah', 'lemot', 'dapet', 'orderan']</t>
  </si>
  <si>
    <t>['dibuka', 'instal', 'ulang', 'kali', 'kasih', 'bintang', 'nol', 'yaudh', 'kasih', 'nol']</t>
  </si>
  <si>
    <t>['semenjak', 'kebakaran', 'kantor', 'telkomsel', 'lelet', 'super', 'parah', 'jaringan', 'enak']</t>
  </si>
  <si>
    <t>['aplikasi', 'mempermudah', 'membeli', 'kuota', 'murah']</t>
  </si>
  <si>
    <t>['aplikasinya', 'lemot', 'jaringannya', 'tolong', 'diperbaiki', 'jelek', '']</t>
  </si>
  <si>
    <t>['bagus', 'pokok', 'banget', '']</t>
  </si>
  <si>
    <t>['mohon', 'maaf', 'kasih', 'bintang', 'paket', 'internetmax', 'rb', 'tolong', 'blkn', '']</t>
  </si>
  <si>
    <t>['simpati', 'parah', 'lemot', 'payah', 'mahal', '']</t>
  </si>
  <si>
    <t>['sinyal', 'sampah', 'hilang', 'provider', 'sampah', 'kayak', 'kartu', 'murahan']</t>
  </si>
  <si>
    <t>['telkomsel', 'lemot', 'dimana', 'susah', 'jaringannya']</t>
  </si>
  <si>
    <t>['aplikasi', 'eror', 'min', 'engga', 'buka', '']</t>
  </si>
  <si>
    <t>['blank', 'putih', 'melulu']</t>
  </si>
  <si>
    <t>['mahal', 'lelet', 'jaringan']</t>
  </si>
  <si>
    <t>['nymn', 'ribet', 'pke', 'telkomsel', 'skrng', 'knp', 'stiap', 'buk', 'aplikasi', 'udh', 'putih', 'gmbr', 'mohon', 'perbaiki', 'aplikasi', 'sangt', 'membantu', 'terima', 'kasih']</t>
  </si>
  <si>
    <t>['betahun', 'apk', 'buka', 'tolong', 'perbaiki']</t>
  </si>
  <si>
    <t>['beli', 'pulsa', 'murah', 'banget']</t>
  </si>
  <si>
    <t>['telkomsel', 'tolong', 'kembalikan', 'pulsa', 'say', 'cuman', 'pinjam', 'isi', 'pulsa', 'pulsa', 'diambil', 'heran', 'banget', 'sumpah', 'benci', 'telkomsel', 'intinya', 'kembaliin', 'pulsa', '']</t>
  </si>
  <si>
    <t>['perbaiki', 'sistem', 'login', 'telkomsel', 'perusahaan', 'segede', 'gini', 'perbaiki', 'bug', 'segitu', 'doang']</t>
  </si>
  <si>
    <t>['terbaik', 'kemudahan', 'pelanggan', 'hallo']</t>
  </si>
  <si>
    <t>['aplikasi', 'butut', 'blang', 'putih']</t>
  </si>
  <si>
    <t>['bnyk', 'update']</t>
  </si>
  <si>
    <t>['bagus', 'mlh', 'buruk', 'jaringannya', 'udh', 'minggu', 'diwilayah', 'wonosari', 'klaten', 'lemotnya', 'ampun', 'mlh', 'kadang', 'sinyal', 'mending', 'ganti', 'provider', 'udh', 'beli', 'kuota', 'lemot', 'buang', 'duit']</t>
  </si>
  <si>
    <t>['layar', 'putih', 'buka', 'trimakasih', 'layanan', 'telkomsel', '']</t>
  </si>
  <si>
    <t>['membantu', 'pengecekan', 'saldo', 'pembelian', 'paket', 'quota']</t>
  </si>
  <si>
    <t>['promonya', 'paketnya', 'mahal', 'banding']</t>
  </si>
  <si>
    <t>['telkomsel', 'taik', 'jaringan', 'beli', 'paket', 'mahal', 'jaringan', 'murarahan', 'parah', 'kayak', 'tukang', 'obat', 'pinggir', 'jalan', 'kualitas', 'sakit', '']</t>
  </si>
  <si>
    <t>['pengguna', 'telkomsel', 'jujur', 'kecewa', 'harga', 'dipasaran', 'mahal', 'paket', 'nelpon', 'kuota', 'internet', 'telkomsel', 'dlu', 'maklum', 'krna', 'emang', 'jaringanya', 'bagus', 'mencewakan', 'kualitas', 'jringan', 'dngn', 'brand', 'brand', 'dibawahnya', 'jdi', 'bedanya', 'dngan', 'harga', 'skrg', 'kualiat', 'sebanding', 'kecewa', '']</t>
  </si>
  <si>
    <t>['aplikasi', 'buka', 'tolong', 'usahain', 'udh', 'dowonlod', 'kali', 'coba', 'trs', 'tpi', 'buka', 'layar', 'warna', 'putih', 'suruh', 'ngasih', 'bintang', 'bintang', 'udh', 'pantes', 'aplikasi']</t>
  </si>
  <si>
    <t>['sinyal', 'telkomsel', 'parah', 'skrg', 'bogor', 'mah', 'belom', 'pedalaman', 'sinyalnya', 'hadehh', 'kaga', 'stabil', 'pamor', 'telkomsel', 'sinyal', 'terkuat', 'udah', 'perjiangkan', 'kayaknya']</t>
  </si>
  <si>
    <t>['kualitas', 'internet', 'menurun']</t>
  </si>
  <si>
    <t>['nyaman', 'terkadang', 'kota', 'sinyal', '']</t>
  </si>
  <si>
    <t>['', 'kasih', 'bintang', 'bagus', 'app', 'update', 'ngebleng', 'putih', 'tanggapan', 'fari', 'admin', 'suruh', 'ngubungi', 'mimin', 'facebook', 'twiter', 'dsb', 'menyelesaikan', 'perbaiki', 'sistemnya', 'lakukan', 'telkomsel', '']</t>
  </si>
  <si>
    <t>['kecewa', 'app', 'milik', 'bumn', 'dibuka', 'white', 'blank', 'didiamin', 'telkomsel', 'perbaikan', 'pernyataan', '']</t>
  </si>
  <si>
    <t>['apk', 'chat', 'customer', 'servicenya', 'disuruh', 'nunggu', 'nunggunya', 'banget', 'terhubung', '']</t>
  </si>
  <si>
    <t>['', 'update', 'dibuka']</t>
  </si>
  <si>
    <t>['', 'paket', 'data', 'main', 'facebook', 'reloq', 'mode', 'gratis', 'memunculkan', 'link', 'beli', 'paket', 'data', 'facebook', 'klik', 'rugi', 'pancingan', 'pulsa', 'terpotong']</t>
  </si>
  <si>
    <t>['', 'buka', 'habis', 'update', 'terbaru', 'hapus', 'install', 'ulang', 'tetep']</t>
  </si>
  <si>
    <t>['', 'dibuka', 'blank', 'putih', 'hapus', 'instal', 'hapus', 'instal', 'tetep', 'ganti', 'operator', 'kali', '']</t>
  </si>
  <si>
    <t>['bagus', 'mantap', 'telkomsel']</t>
  </si>
  <si>
    <t>['semenjak', 'diupdate', 'harga', 'paket', 'mahal', 'bnget', 'paket', 'giganet', 'dkarang', 'ilang', 'hdeh', '']</t>
  </si>
  <si>
    <t>['aplikasi', 'parah', 'ngk', 'buka', 'buka', 'layar', 'putih', 'trus', 'tertutup', 'udah', 'unistal', 'instal', '']</t>
  </si>
  <si>
    <t>['apk', 'eror', 'buka']</t>
  </si>
  <si>
    <t>['cepat', 'cek', 'internet', 'mudah']</t>
  </si>
  <si>
    <t>['knp', 'ngisi', 'pulsa', 'sedot', 'mulu', 'pas', 'paketin', 'pulsa', 'mencukupi', 'coba', 'beritahu', 'udh', 'ngisi', 'brpa', 'kali', 'paketin']</t>
  </si>
  <si>
    <t>['harga', 'kuota', 'telkomsel', 'dlu', 'standar', 'lipat', 'harga', 'ditambah', 'kualitas', 'jaringan', 'parah', 'hancur', 'maju', 'harga', 'dipermainkan', 'pindah', 'jaringan', 'jaringan', 'nggak', 'nggak', 'berkualitas', 'keluh', 'telkomsel', 'penyelesaian', 'robot', 'bermutu', 'mohon', 'ditanggapi', 'saran', 'terimakasih', '']</t>
  </si>
  <si>
    <t>['meningkatkan', 'pelayanan', 'paket', 'data', 'murah', 'telkomsel', 'kemudahan', 'membuka', 'aplikasi', 'telkomsel']</t>
  </si>
  <si>
    <t>['burut', 'aplikasi', 'bukaaa']</t>
  </si>
  <si>
    <t>['trima', 'ksih', 'bnyklak', 'apliksi', 'membantu']</t>
  </si>
  <si>
    <t>['telkomsel', 'sukses']</t>
  </si>
  <si>
    <t>['', 'ganti', 'aplikasi', 'mytelkomsel', 'dibuka', 'mentok', 'blank', 'putih', 'dibuka', '']</t>
  </si>
  <si>
    <t>['kesini', 'bagus', 'app', 'buruk', 'unistall', '']</t>
  </si>
  <si>
    <t>['jelek', 'terbuka', '']</t>
  </si>
  <si>
    <t>['', 'telkomsel', 'dibuka']</t>
  </si>
  <si>
    <t>['akses', 'mengunakan', 'telkomsel', 'asli', 'ngawur', 'parah', 'genting', 'membeli', 'paket', 'apk', 'pulsa', 'isi', 'beli', 'paket', 'apk', 'telkomsel', 'gagal', 'pulsa', 'mencukupi', 'padahalal', 'pulsa', 'beli', 'paket', 'harga', 'rb', 'ttp', 'notif', 'pulsa', 'mencukupi', 'geblek', 'coba', 'turunin', 'beli', 'paket', 'rb', 'ttp', 'gitu', 'provider', 'berbenah', 'bkan', 'ngaco']</t>
  </si>
  <si>
    <t>['beli', 'paket', 'aplikas', '']</t>
  </si>
  <si>
    <t>['update', 'terbaru', 'nggak', 'buka']</t>
  </si>
  <si>
    <t>['kecewa', 'jaringan', 'telkomsel']</t>
  </si>
  <si>
    <t>['mengkeren', 'recomended', 'sinyal', 'bagus', 'adain', 'promo', 'murah', 'bnyk', 'admin', 'telkomsel', 'sukses', '']</t>
  </si>
  <si>
    <t>['', 'udah', 'sesuai', 'banget', 'kuota', 'giga', 'knp', 'naikin', '']</t>
  </si>
  <si>
    <t>['ribet', 'uninstall', '']</t>
  </si>
  <si>
    <t>['aplikasi', 'dibuka', 'blank', 'putih', 'mohon', 'perbaiki']</t>
  </si>
  <si>
    <t>['semoga', 'app', 'bersaing', 'app', 'digital', 'bersaing', 'level', 'tertinggi', 'dunia']</t>
  </si>
  <si>
    <t>['perbaiki', 'jaringanya', 'bagus', 'jari', 'malam', 'lokasi', 'ranca', 'panggung', 'cililin', 'bandung', 'parah', 'bangeeeeeeetttttttttttt']</t>
  </si>
  <si>
    <t>['bug', 'ngak', 'kebuka', 'stlah', 'update', '']</t>
  </si>
  <si>
    <t>['puas', 'apl', 'merugikan']</t>
  </si>
  <si>
    <t>['pengguna', 'setia', 'telkomsel', 'emang', 'internetx', 'lambat', 'ttpi', 'bersyukur', 'masi', 'berhubungan', 'keluarga', 'belanda', 'lwt', 'jaringan', 'telkomsel', 'terima', 'kasih', 'telkomsel']</t>
  </si>
  <si>
    <t>['mengecewakan', 'layar', 'putih', 'zonk', 'banget', 'download', 'apk', '']</t>
  </si>
  <si>
    <t>['update', 'november', 'kemarin', 'update', 'deh', 'servernya', 'sebulan', 'buka', 'app', '']</t>
  </si>
  <si>
    <t>['bagus', 'tpi', 'knpa', 'skarng', 'aplikasinya', 'susah', 'bner', 'bukanya', 'bolak', 'instal', 'bsa', '']</t>
  </si>
  <si>
    <t>['blank', 'putih', 'buka', '']</t>
  </si>
  <si>
    <t>['harga', 'gb', 'tpi', 'skrng', 'nambah', 'seribu', 'beli', 'pulsa', 'beli', 'tolong', 'jadikan', 'normal', 'orang', 'diluar', 'kesusahan', 'ekonomi']</t>
  </si>
  <si>
    <t>['telkomsel', 'layanannya', 'kian', 'kian', 'buruk', 'sms', 'menawarankan', 'paket', 'mengganggu', 'privacy', 'berisik', 'pasang', 'indihome', 'wifi', 'layanan', 'murah', 'mahal', 'gigit', 'jari', 'kalah', 'bersaing', '']</t>
  </si>
  <si>
    <t>['sinyal', 'buruk']</t>
  </si>
  <si>
    <t>['apk', 'upgrade', 'buka', 'gimana', 'beli', 'paketan', 'susah']</t>
  </si>
  <si>
    <t>['boros', 'transparan', 'perhitungan', 'menunya', 'kebanyakan', 'simple', 'beli', 'paket', 'klw', 'nyari', 'jarum', 'jerami']</t>
  </si>
  <si>
    <t>['knp', 'telkomsel', 'penjajah', 'kelas', 'wahid', 'negeri', 'buln', 'hrg', 'paket', 'berlipat', 'lipat', 'gitu', 'monopili', 'abis', 'abis', 'tuhan', 'smpai', 'negeri', 'memudahkan', 'rakyat', 'kecik', 'penindasan', 'telkomsel', 'rajanya', 'penindas', 'paketnya', 'sanagat', 'membwratkan', 'smntr', 'kuakitas', 'layanan', 'jaringan', 'rusak', 'mati', 'berdiri', 'rakyat', 'indonesia']</t>
  </si>
  <si>
    <t>['buka', 'hrs', 'uninstal', 'kali', 'instal', 'lgi']</t>
  </si>
  <si>
    <t>['', 'buka', 'blank', 'putih']</t>
  </si>
  <si>
    <t>['bagus', 'banget', 'liat', 'gua', 'apk', 'bagus']</t>
  </si>
  <si>
    <t>['udh', 'cek', 'kouta', 'prnh', 'haduhhhhh', 'gmn', 'telkomsel']</t>
  </si>
  <si>
    <t>['terang', 'terbebani', 'harga', 'telkomsel', 'combo', 'sakti', 'unlimited', 'harga', 'uda', 'berlangganan', 'bertahun', '']</t>
  </si>
  <si>
    <t>['aplikasinya', 'mantap', 'cuman', 'oppo', 'reno', 'macet', 'buka', 'aplikasinya', 'ngk', 'karna', 'jaringan', 'karna', 'aplikasinya', '']</t>
  </si>
  <si>
    <t>['', 'upgrade', 'nggak', 'connect', 'cepat', 'nge', 'check', 'kuota', '']</t>
  </si>
  <si>
    <t>['update', 'malahn', 'buka', '']</t>
  </si>
  <si>
    <t>['diakses', 'blank', 'putih', 'fitur', 'bantuan', 'telkomsel', 'ngerti', 'blank', 'putih']</t>
  </si>
  <si>
    <t>['tgl', 'app', 'telkomsel', 'versi', 'terbaru', 'diakses']</t>
  </si>
  <si>
    <t>['terimakasih', 'membantu', 'aplikasi']</t>
  </si>
  <si>
    <t>['mantap', 'jaringanya', 'murah', 'harganya']</t>
  </si>
  <si>
    <t>['alhamdulillah', 'dapet', 'kuota', 'aplikasi', 'lumayan']</t>
  </si>
  <si>
    <t>['penukara', 'kuota', 'game', 'cuman', 'kali', '']</t>
  </si>
  <si>
    <t>['jaringannya', 'jelek', 'lambat']</t>
  </si>
  <si>
    <t>['kejutan', 'event']</t>
  </si>
  <si>
    <t>['paket', 'internet', 'kesedot', 'pulsa', 'paket', 'internet', 'pulsa', 'ribu', 'sampe', 'tinggal', 'ribu', 'sampe', 'menit', 'lenyap', 'gitu']</t>
  </si>
  <si>
    <t>['kasih', 'bintang', 'loginnya', 'update', 'ribet', 'masuknya']</t>
  </si>
  <si>
    <t>['apah', 'aplikasi', 'telkomsel', 'buka', 'lebi', 'minggu', 'aplikasinya', 'buka', '']</t>
  </si>
  <si>
    <t>['marketingnya', 'pengen', 'nimpuk', 'beda', 'bedakan', 'harga', 'paket', 'orang', 'orang', 'isi', 'pulsa', 'kasih', 'promo', 'murah', 'rajin', 'beli', 'pulsa', 'mahal', 'banget', 'asumsinya', 'gini', 'sitemnya', 'tobat', 'telkomsel']</t>
  </si>
  <si>
    <t>['', 'telkomsel', 'memuaskan', '']</t>
  </si>
  <si>
    <t>['kemanapun', 'telkomsel']</t>
  </si>
  <si>
    <t>['okey', 'sngat', 'bermanfaat']</t>
  </si>
  <si>
    <t>['trimakasih', 'tekoksel', 'membantu', '']</t>
  </si>
  <si>
    <t>['aplikasi', 'bsh', 'dibuka', 'hnya', 'bsh', 'layar', 'putih']</t>
  </si>
  <si>
    <t>['', 'instal', 'masuk', 'knpa', 'kualitasnya', 'buruk', 'membantu', 'banget', 'hloo', '']</t>
  </si>
  <si>
    <t>['krng', 'daerah', 'gunung', 'sindur', 'mslh', 'apl', 'buka', 'daerah', 'gunung', 'sindur', 'mati', 'listrik', 'sinyal', 'telkomselpun', 'mati', 'knpa', 'padahl', 'skrng', 'leguna', 'telkom', 'setia', 'seinget', 'pnya', 'skrng', 'selallu', 'setia', 'tolong', 'telkomsel', 'kebanggan', 'dikecewakan', 'trmksh', 'wslm']</t>
  </si>
  <si>
    <t>['update', 'masuk', '']</t>
  </si>
  <si>
    <t>['aplikasi', 'buka', 'aplikasi', 'down', 'koneksi', 'internet', 'sayanya', 'aplikasi', '']</t>
  </si>
  <si>
    <t>['joss', 'pokonya']</t>
  </si>
  <si>
    <t>['aplikasi', 'telkomsel', 'bbrp', 'minggu', 'dibuk', 'tampilan', 'putih', 'coba', 'hapus', 'cache', 'unisntall', 'trs', 'install', 'aplikasi', 'dibantu', 'kah', 'gmn', 'yaa', '']</t>
  </si>
  <si>
    <t>['paket', 'internet', 'mahal', 'skrg']</t>
  </si>
  <si>
    <t>['mantap', 'jiwa', 'telkomsel']</t>
  </si>
  <si>
    <t>['eror', 'bukak']</t>
  </si>
  <si>
    <t>['keren', 'membaik']</t>
  </si>
  <si>
    <t>['update', 'gabisa', 'dipakai', '']</t>
  </si>
  <si>
    <t>['pulsa', 'utama', 'habis', 'komplain', 'solusi', 'gini', 'perubahan', '']</t>
  </si>
  <si>
    <t>['tanggal', 'desember', 'udah', 'lapor', 'customer', 'service', 'tunggu', 'jam', 'aplikasi', 'telkomsel', 'buka', 'laporan', 'desember', 'suruh', 'tunggu', 'jam']</t>
  </si>
  <si>
    <t>['aplikasi', 'eror', 'juancok', 'beli', 'kuota', 'harga', 'rb', 'pulsa', 'rb', 'menuckupi']</t>
  </si>
  <si>
    <t>['telkomsel', 'ngga', 'jaringan', 'lemot', 'kuota', 'mahal', 'kartunya', 'bakar']</t>
  </si>
  <si>
    <t>['keren', 'kuota']</t>
  </si>
  <si>
    <t>['provider', 'kntl', 'harga', 'paket', 'data', 'doang', 'mahal', 'tpi', 'koneksi', 'setara', 'provider', 'murahan', 'kntl']</t>
  </si>
  <si>
    <t>['tsel', 'udh', 'jelek', 'skrg', 'jaringan', 'srg', 'lelet', 'sampe', 'aplikasi', 'tsel', 'blm', 'kecewa']</t>
  </si>
  <si>
    <t>['loading', 'lambat']</t>
  </si>
  <si>
    <t>['praktis', 'mudah']</t>
  </si>
  <si>
    <t>['woy', 'telkomsel', 'biso', 'dak', 'kau', 'sinyal', 'kau', 'dak', 'ngeleg', 'klok', 'main', 'kapang']</t>
  </si>
  <si>
    <t>['jaringan', 'sebulan', 'mulu', 'jaringannya', 'tolong', 'dongsss']</t>
  </si>
  <si>
    <t>['mohon', 'perbaiki', 'jaringan', 'leled', 'mohon', 'perhatikan']</t>
  </si>
  <si>
    <t>['memuas', 'unt', 'tarif', 'paket', 'internet', 'mahar', 'operator']</t>
  </si>
  <si>
    <t>['', 'bri', 'dlu']</t>
  </si>
  <si>
    <t>['udah', 'mending', 'pindah', 'jaringan', 'udah', 'jelek', 'telkomsel', 'ngikutin', 'acara', 'mati', 'lampu', 'signal', 'ilang', 'kocak', 'miskin']</t>
  </si>
  <si>
    <t>['aplk', 'gabisa', 'buka']</t>
  </si>
  <si>
    <t>['suka', 'karna', 'mengisi', 'pulsa', 'harga', 'paket', 'imfo', 'telkomsel']</t>
  </si>
  <si>
    <t>['paket', 'data', 'habis', 'motong', 'pulsa', 'sistemnya', 'harap', 'diperbaiki', 'memotong', 'pulsa', 'reguler', 'pelanggan']</t>
  </si>
  <si>
    <t>['pulsa', 'terpotong', 'hilang', 'pemberitahuan', 'apapun', 'program', 'memaksa', 'berfaedah', 'unreg', 'alhasil', 'berhenti', 'pelanggan', 'simpati', 'rugi', '']</t>
  </si>
  <si>
    <t>['apk', 'lemot', 'terbuka']</t>
  </si>
  <si>
    <t>['beli', 'paket', 'internet', 'sakti', 'tgl', 'des', 'sampe', 'skrg', 'kepake', 'jaringannya', 'jelek', 'skrg', 'gabisa', 'sekelas', 'telkomsel', 'bagus', 'jaringannya', 'udah', 'hubungin', 'via', 'sosmed', 'jawabannya', 'dikasih', 'arahan', 'suru', 'tetep', 'memperbaiki', 'sinyal', 'tetep', 'sinyal', 'bar', 'dapetnya', 'kadang', 'langsung', 'skrg', 'download', 'aplikasinya', 'ngeblank', 'putih', 'doang', '']</t>
  </si>
  <si>
    <t>['parah', 'mytelkomsel', 'buka', 'apps']</t>
  </si>
  <si>
    <t>['tingkatkan', 'pelayanan', 'dlm']</t>
  </si>
  <si>
    <t>['memuaskan', 'perincian', 'pemakaian', 'dana']</t>
  </si>
  <si>
    <t>['bermanfaat', 'pulsanya', 'ilang', 'paket', 'data', 'mohon', '']</t>
  </si>
  <si>
    <t>['apalikasi', 'dibuka', 'tolong', 'pelayananya', 'maksimal', '']</t>
  </si>
  <si>
    <t>['nyesel', 'gue', 'instal']</t>
  </si>
  <si>
    <t>['diupdate', 'aplikasinya', 'dibuka', 'diupdate', 'lancar', 'memuaskan', 'sedihh', 'deh']</t>
  </si>
  <si>
    <t>['anjay', 'mahal', 'banget', 'kuota', 'cuk', 'tekomsel', 'payah', 'internetannya', 'anjink', 'banget', 'fauck', '']</t>
  </si>
  <si>
    <t>['dibuka', 'aplikasi', 'mytelkomselnya', 'ganti', 'habis', 'geray', 'telkomsel', 'perdana', 'ganti', 'perdananya', 'nmr', 'bagusnya', 'biaya', 'alias', 'gratis', 'tis', 'tis', 'tis', 'mantap']</t>
  </si>
  <si>
    <t>['sinyal', 'kuota', 'sinyal', 'wifi', 'indihome', 'jaringan', 'telkom', 'parah', 'kabel', 'udah', 'gigit', 'hiu', 'towernya', 'caplok', 'tirex', 'ampun', 'download', 'bener', '']</t>
  </si>
  <si>
    <t>['tanggal', 'desember', 'apk', 'telkomsel', 'buka', 'uninstal', 'isntal', 'tebuka', 'mohon', 'serius', 'provider', 'telkomsel', 'ngasi', 'pelayanan', 'beli', 'paket', 'ngutang', 'terima', 'kasih']</t>
  </si>
  <si>
    <t>['helleh', 'signal', 'ehhh', 'mahal', 'kuota', 'jaringan', 'susah', 'banget', 'siiihh', 'perbaikin', 'sistem', 'jaringan', 'mahalin', 'doang', 'jaringan', 'kemajuan', 'super', 'lemott', 'rumah', 'pakai', 'siiih', 'telkomsel', 'masak', 'kalah', 'operator', 'sebelah', 'tolong', 'perbaiki', 'sistem', 'jaringan', 'mahalin', 'doang', 'signal', 'susah', 'apk', 'blank', '']</t>
  </si>
  <si>
    <t>['suka', 'promo', 'min', 'oke']</t>
  </si>
  <si>
    <t>['ngisi', 'ribu', 'giliran', 'cek', 'ribu', 'doang', 'masuk', 'pdhl', 'sms', 'udh', 'masuk', 'cek', 'masuk', 'ribu']</t>
  </si>
  <si>
    <t>['paketnya', 'seru', '']</t>
  </si>
  <si>
    <t>['kwalitas', 'jaringan', 'telkomsel', 'rendah']</t>
  </si>
  <si>
    <t>['telkomsel', 'aplikasi', 'buka', 'jaringan', 'jelek', 'kecewa']</t>
  </si>
  <si>
    <t>['minggu', 'kemaren', 'telkomsel', 'dibuka', '']</t>
  </si>
  <si>
    <t>['harga', 'paket', 'pas', 'kantong', 'ekonomi', 'menengah', 'kebawah', 'sinyal', 'kali', 'buruk', 'sesuai', 'dgan', 'harga', 'mahalnya', 'pengguna', 'telkomsel', 'beralih', 'operator', 'tolong', 'pertimbangkan', 'harganya', 'menikmati', 'layanan', 'telkomsel', '']</t>
  </si>
  <si>
    <t>['lbh', 'seminggu', 'ngk', 'buka', 'layar', 'putih', 'instal', 'ulang', 'bbrp', 'kali']</t>
  </si>
  <si>
    <t>['niat', 'telkomklop', 'ngasih', 'pinjaman', 'niat', 'ngasih', 'pinjaman', 'mendingan', 'hapus']</t>
  </si>
  <si>
    <t>['kecewa', 'kali', 'grapari', 'penukaran', 'poin', 'grapari', 'menolak', 'alasan', 'program', 'penukaran', 'poin', 'tersedia', 'penukaran', 'desember', 'anehhhh']</t>
  </si>
  <si>
    <t>['membatu', 'kasih', 'oeromo', 'murah', 'atuh', '']</t>
  </si>
  <si>
    <t>['sinyal', 'telkomsel', 'tanggal', 'senin', 'desember', 'sinyal', 'telkomsel', 'buruk', 'mohon', 'perbaiki']</t>
  </si>
  <si>
    <t>['sinyal', 'babi', 'kartu', 'bangsat', 'pepek', 'kartu', 'mahal', 'sinyal', 'kek', 'pantek', 'anjeng']</t>
  </si>
  <si>
    <t>['cacat', 'digunain', 'udh', 'dihapus', 'didownload', 'ulang', 'tetep', 'harga', 'kuota', 'mahal', 'pelayanan', 'sesuai', 'harga', 'tolong', 'banget', 'kuota', 'abis', 'sedot', 'pulsa', 'orang', 'oii', 'ngapa', 'pulsa', 'disedot', 'sampe', 'nol', 'telkomsel', 'ngecewain', 'pelanggan', '']</t>
  </si>
  <si>
    <t>['mudah', 'informasi', 'layanan']</t>
  </si>
  <si>
    <t>['promo', 'bagus']</t>
  </si>
  <si>
    <t>['promo', 'perbanyak']</t>
  </si>
  <si>
    <t>['konsumen']</t>
  </si>
  <si>
    <t>['telkomsel', 'dibuka', 'knpa', 'udah', 'kali', 'download', 'unistall', 'download', 'tetep']</t>
  </si>
  <si>
    <t>['', 'telkomsel', 'nggak', 'beres', 'download', 'mending', 'im']</t>
  </si>
  <si>
    <t>['proses', 'pembelian', 'paket', 'sangatcepat', 'jaringan', 'telkomsel', 'zona', 'pesisir', 'barat', 'lampung', 'lelet', 'cepat', 'mohon', 'tingkatkan', 'kecepatan', 'makasih', '']</t>
  </si>
  <si>
    <t>['akses', 'telkomsel', 'buruk', 'telkomsel']</t>
  </si>
  <si>
    <t>['kali', 'out']</t>
  </si>
  <si>
    <t>['tanggal', 'desember', 'psikotes', 'online', 'kerja', 'ehh', 'kambuh', 'jaringan', 'hilang', 'sgala', 'parah', 'banget', 'auto', 'ganti', 'kartu', 'jaringan', 'trus', 'hilang', 'main', 'game', 'trus', 'hilang', 'hilang', 'tinggal', 'kota', '']</t>
  </si>
  <si>
    <t>['mytelkomsel', 'sii', 'ngga', 'buka', 'aplikasi', 'ribet', 'cek', 'kuota', 'beli', 'kuota', 'udh', 'instal', 'berkali', 'kali', 'tetep', 'ngga', 'buka', 'aplikasinyaa', 'putih', 'ajah', 'knp', 'mytelkomsel', 'ayoo', 'doong', 'permudah', 'lagiii', 'tengkiyu']</t>
  </si>
  <si>
    <t>['pakek']</t>
  </si>
  <si>
    <t>['', 'buka', 'nyebelin']</t>
  </si>
  <si>
    <t>['tolong', 'aktifkn', 'nomer', '']</t>
  </si>
  <si>
    <t>['terpaksa', 'cuman', 'menyumbangkan', 'bintang', 'telkomsel', 'mengecewaka', 'buka', 'muncul', 'gambar', 'putih', 'geranganx', 'telkomsel', '']</t>
  </si>
  <si>
    <t>['apk', 'bgus', 'sangt', 'membantu']</t>
  </si>
  <si>
    <t>['nyesel', 'update', 'habis', 'update', 'aplikasi', 'buka', 'layar', 'putih', 'kirain', 'bentar', 'doang', 'bangat', '']</t>
  </si>
  <si>
    <t>['ngeleg', 'bener', 'kerja']</t>
  </si>
  <si>
    <t>['tetep', 'buka', 'aplikasi', 'udah', 'download', 'berulang', 'ulang', 'tetep']</t>
  </si>
  <si>
    <t>['jaringan', 'lemot', 'bagus', 'kayak', 'masak', 'kalah', 'provider']</t>
  </si>
  <si>
    <t>['mahal', 'paket', 'tlkomsel']</t>
  </si>
  <si>
    <t>['lemot', 'masuk', 'aplikasinya', 'cape', 'nunggunya']</t>
  </si>
  <si>
    <t>['aplikasi', 'tolol', 'buka', 'login', 'aplikasi', 'buatan', 'pemerintah', 'kayak', 'buatan', 'anak', 'smk', 'akibat', 'perekrutan', 'pejabatnya', 'jalur', 'korup', 'hasilnya', 'berkwalitas', 'ngakunya', 'negara', 'berkembang', 'kwalitas', 'internet', 'fhilipina', '']</t>
  </si>
  <si>
    <t>['udah', 'buka', 'telkomsel', 'tanggal', 'buka', 'buka', 'cuman', 'layar', 'putih', 'doang', 'udh', 'tungguin', 'masi', 'layar', 'putih', 'udh', 'unistal', 'berkali', '']</t>
  </si>
  <si>
    <t>['knpa', 'skrng', 'mytelkomsel', 'gabisa', 'dibuka', 'slalu', 'putih', 'mulu', 'udah', 'hapus', 'trus', 'download', 'berkali', 'ttep', 'kaya', 'gitu', 'tolong', 'berbaiki']</t>
  </si>
  <si>
    <t>['', 'akses', 'uninstal', 'instal', 'ulang', 'ttep', 'akses', 'kecewa', 'banget']</t>
  </si>
  <si>
    <t>['aplikasi', 'maaih', 'blank', 'oiii', 'kaga', 'perbaikin']</t>
  </si>
  <si>
    <t>['telkomsel', 'hati', '']</t>
  </si>
  <si>
    <t>['maap', 'kasih', 'bintang', 'kasih', 'bintang', 'kuota', 'unlimited', 'youtube', 'kepakai', 'kuota', 'utamaaa', 'nggak', 'berguna', 'kuota', 'unlimited', 'youtube', 'kepake', 'kuota', 'utama', 'pokonya', 'ganti', 'rugi', 'pulsa', 'nggak', 'kecewa', 'berat', 'sumpah', 'telkomsel', '']</t>
  </si>
  <si>
    <t>['mantap', 'telkomsel', 'paketnya', 'harga', 'trimakasih', '']</t>
  </si>
  <si>
    <t>['kecewa', 'kacau', 'buruk', 'jaringan', 'promo', 'jls', 'masuk', 'notif', 'telkomsel', 'zonk', '']</t>
  </si>
  <si>
    <t>['gambar', 'putih', 'parah', 'aplikasi']</t>
  </si>
  <si>
    <t>['app', 'ngestuck', 'yerus', 'pdhl', 'uppdate', 'tolong', 'perbaiki', 'app']</t>
  </si>
  <si>
    <t>['', 'telkomsel', 'pekerjaan', 'lancar', '']</t>
  </si>
  <si>
    <t>['maaf', 'kasih', 'bintang', 'aplikasi', 'buka', 'terima', 'kasih']</t>
  </si>
  <si>
    <t>['aplikasi', 'telkomsel', 'dibuka', 'layar', 'putih', 'tolong', 'info', 'dev']</t>
  </si>
  <si>
    <t>['', 'uda', 'mantap', '']</t>
  </si>
  <si>
    <t>['', 'beli', 'kuota', 'keterangan', 'koneksi', 'hubungi', 'menit']</t>
  </si>
  <si>
    <t>['operator', 'bideg', 'kali', 'tolong', 'fitur', 'ngunci', 'pulsa', 'kesedot', '']</t>
  </si>
  <si>
    <t>['sjmple', 'murah']</t>
  </si>
  <si>
    <t>['pulsa', 'regulernya', 'sedot', 'paket', 'datanya', 'heran', 'rugi', 'daftar', 'paket', 'pulsa', 'regulernya', 'tarik', 'anehh', 'telkomsel', 'kaya', 'gitu', 'merugikan', 'bos', '']</t>
  </si>
  <si>
    <t>['', 'telkomsel', 'sinyal', 'lancar', 'kuota', 'pendidikan', 'parah', 'hmm', '']</t>
  </si>
  <si>
    <t>['kasih', 'bintang', 'proses', 'lancar', 'murah', 'harga', 'internet', '']</t>
  </si>
  <si>
    <t>['pakai', 'aplikasi', 'koq', 'knpa', 'skarang', 'appnya', 'dibuka', 'mohon', 'bantuannya']</t>
  </si>
  <si>
    <t>['bagus', 'jaringan', 'luas']</t>
  </si>
  <si>
    <t>['terima', 'kasih', '']</t>
  </si>
  <si>
    <t>['sekeluarga', 'puas', 'layanan', 'telkomsel', 'semoga', 'manfaat', 'orang', '']</t>
  </si>
  <si>
    <t>['senin', 'desember', 'aplikasi', 'dibuka']</t>
  </si>
  <si>
    <t>['aplikasi', 'hang', 'pdhl', 'grapari', 'berkali', 'kali', 'bgni', 'payah', 'kecewa', 'grapari', 'telkomsel']</t>
  </si>
  <si>
    <t>['tanggal', 'jaringan', 'telkomsel', 'lemot', 'ampun', 'udah', 'beli', 'paket', 'gmna', 'percumaa', 'gini', 'gimna', 'kerja']</t>
  </si>
  <si>
    <t>['telkomsel', 'jaringan', 'kaya', 'lemot', 'bnged', 'tolong', 'diperbaiki', 'bintang', '']</t>
  </si>
  <si>
    <t>['sinyal', 'kuat', 'mudah', 'penggunaan', '']</t>
  </si>
  <si>
    <t>['whatsapp']</t>
  </si>
  <si>
    <t>['', 'telkomsel', 'dibuka', 'penyebabnya', 'layar', 'putih', 'udah', 'uninstal', 'instal', 'gabisa', 'tolong', 'telkomsel']</t>
  </si>
  <si>
    <t>['beli', 'paket', 'internet', 'swadaya', 'gojek', 'pakai', 'paketan', 'knp', 'berkurang', 'separonya', 'ntu', 'paketan', 'beli', 'paket', 'knp', 'muncul', 'telkomsel', 'cmn', 'sisanya', 'kmn', 'sgt', 'kcwa']</t>
  </si>
  <si>
    <t>['halah', 'lambat', 'bngt', 'internet']</t>
  </si>
  <si>
    <t>['mudah', 'belik', 'faket']</t>
  </si>
  <si>
    <t>['harga', 'paket', 'combo', 'sakti', 'nyaa', 'mahal', '']</t>
  </si>
  <si>
    <t>['gmn', 'udah', 'bolak', 'komplain', 'perusaan', 'telkomsel', 'aplikasi', 'eror', 'kelar', 'fix', 'mah', 'kuota', 'abis', 'mending', 'ganti', 'provider', 'harga', 'beli', 'manual', 'aplikasi', 'bedanya', 'apk', 'cma', 'manual', 'sumpah', 'kecewaaaa']</t>
  </si>
  <si>
    <t>['applikasi', 'telkomsel', 'buruk', 'layanan', 'tingkatkan', 'bosku', 'ngirimi', 'sms', 'promo', 'aplikasimu', 'ngebug', 'update', 'udh', 'buka', '']</t>
  </si>
  <si>
    <t>['sinyal', 'susah', 'harga', 'mahal', 'kaga', 'enak', 'besok', 'ganti', 'kartu', 'memuaskan']</t>
  </si>
  <si>
    <t>['udh', 'minggu', 'blank', 'tampilkan', 'telkomselnya', 'parah', 'abis', '']</t>
  </si>
  <si>
    <t>['perbarui', 'buka', 'layar', 'putih', 'samsung', '']</t>
  </si>
  <si>
    <t>['kecewa', 'knpa', 'skarang', 'telkomsel', 'buka', 'akses']</t>
  </si>
  <si>
    <t>['min', 'tolong', 'memperbaiki', 'telkomsel', 'karna', 'pas', 'buka', 'aplikasinya', 'blank', 'putih', 'susah', 'mohon', 'developer', 'perbaiki', 'blank', 'putihnya', 'mudah', 'sisa', 'kuota', '']</t>
  </si>
  <si>
    <t>['kyapa', 'tape', 'telkomsel', 'layar', 'putih', 'kod', 'bagus', 'kwa', 'suru', 'update', 'mar', 'layar', 'putih', 'luji', 'coba', 'kase', 'bagus', 'bayar', 'mahal', 'ngoni', 'data', 'kong', 'eror', 'skali']</t>
  </si>
  <si>
    <t>['harga', 'paketnya', 'mahal', 'unlimited', 'pembagian', 'kuota', 'utama', 'multimedia', 'kuota', 'utama', 'habis', 'tersedot', 'pulsa', 'kuota', 'multimedia', 'media', 'sosial', 'beli', 'paket', 'kuota', 'multimedia', 'otomatis', 'tertumpuk', 'mohon', 'diperbaiki', 'langganan', 'telkomsel', 'tolong', 'kecewakan', 'pelayanan', 'terima', 'kasih']</t>
  </si>
  <si>
    <t>['lumayan', 'pembelian', 'paket', 'telkomsel', 'mahal', 'bisabanyakin', 'peomo', 'menarik', 'pemakai', 'kartu', 'telkomsell']</t>
  </si>
  <si>
    <t>['trx', 'super', 'kilat', 'good', 'job']</t>
  </si>
  <si>
    <t>['iya', 'telkomsel', 'nyesel', 'perbarui', 'apk', 'dpt', 'white', 'screen', 'dibuka', 'pdhl', 'sblm', 'diperbarui', 'aman', 'lancar', 'karna', 'keganggu', 'buka', 'notif', 'pembaruan', 'yaudah', 'dipikir', 'bagus', 'kali', 'amsyong', 'nyesel', 'cek', 'pulsa', 'kuota', 'manual', 'sms', 'masuknya', 'udah', 'kali', 'instal', 'uninstal', 'white', 'screen', 'capek', 'tolong', 'diperbaiki', 'versi', 'udah', 'bagus', '']</t>
  </si>
  <si>
    <t>['kuota', 'mahal', 'jaringan', 'ampas', 'stuck', 'blank', 'white', 'mlu', 'bnerin', 'coba', 'gaje']</t>
  </si>
  <si>
    <t>['kasih', 'bintang', 'bermasala', 'trus']</t>
  </si>
  <si>
    <t>['smarfren', 'gb', 'telkomsel', 'menyaingi', 'harga', 'terbesar', 'indonesia', '']</t>
  </si>
  <si>
    <t>['jaringan', 'stabil', 'daerah', 'perkotaan', 'harga', 'paketnya', 'turun', 'pelayanan', 'gitu', 'gitu', 'peningkatan']</t>
  </si>
  <si>
    <t>['woy', 'kontol', 'benerin', 'sinya', 'gara', 'gara', 'gua', 'lose', 'treak', 'larang', 'tok', 'regane', 'elek', 'sinyale']</t>
  </si>
  <si>
    <t>['sma', 'aplikasi', 'telkomsel', 'dibuka']</t>
  </si>
  <si>
    <t>['', 'telkomsel', 'maslah', 'dibuka', 'beli', 'pket', 'susahhhhhhhhhhhhhhh']</t>
  </si>
  <si>
    <t>['aplikasi', 'telkomsel', 'buka', 'dngn', 'android', 'yng', 'android', 'buka', 'layar', 'putih', 'yng', 'nongol', '']</t>
  </si>
  <si>
    <t>['paketan', 'harian']</t>
  </si>
  <si>
    <t>['update', 'aplikasinya', 'masuk', 'error', 'telkomselnya']</t>
  </si>
  <si>
    <t>['apknya', 'buka', 'udah', 'tanggl', 'buka', 'desember']</t>
  </si>
  <si>
    <t>['maju', 'trus', 'telkomsel']</t>
  </si>
  <si>
    <t>['tolong', 'tingkat', 'udh', 'sush', 'banget', 'ngeknya', 'mytelkomsel', 'gmna', 'nich', 'sampe', 'kapn', 'sush', 'bnget', 'bukanya', '']</t>
  </si>
  <si>
    <t>['masuk', 'aplikasi', 'susah', 'gmana', 'transaksi', '']</t>
  </si>
  <si>
    <t>['hubungin', 'via', 'email', 'jawabannya', 'susah', 'via', 'telepon']</t>
  </si>
  <si>
    <t>['kluar', 'telkomsel', 'donlut', 'mohon', 'buka', 'kmbali', '']</t>
  </si>
  <si>
    <t>['memuaskan', 'pelanggan']</t>
  </si>
  <si>
    <t>['telkomsel', 'terbuka', 'kemarin', 'kecewa']</t>
  </si>
  <si>
    <t>['aplikasi', 'mantap', 'serbaguna', 'praktis', 'login', 'nomor', 'redmi', 'coba', 'merk', 'login', 'nomor', 'efisien']</t>
  </si>
  <si>
    <t>['parah', 'dibuka', 'pas', 'dibuka', 'layarnya', 'warna', 'putih', 'mulu']</t>
  </si>
  <si>
    <t>['kecewa', 'sma', 'mytekomsel', 'brpa', 'layar', 'putih', 'uninstal', 'brpa', 'kali', 'bgtu']</t>
  </si>
  <si>
    <t>['beli', 'kuota', 'nomor', 'mahal', 'harga', 'kuota', 'murahlah', 'jarang', 'diisi', 'kuota', 'sibuk', 'promo', 'kasi', 'promo', 'kuota', 'beraninya', 'kasi', 'kasi', 'napa', 'rugi', 'payah', '']</t>
  </si>
  <si>
    <t>['main', 'gim', 'disemetfrem', 'asik', 'hadiahnya']</t>
  </si>
  <si>
    <t>['', 'menjangkau', 'ditempat', 'dimn', 'jaringan', 'menjangkau']</t>
  </si>
  <si>
    <t>['dibuka', 'apknya', 'layar', 'putih', 'doang', 'mati', 'udah', 'install', 'berkali', 'kali', 'kek', 'gitu', 'tolong', 'beli', 'kuota']</t>
  </si>
  <si>
    <t>['masuk', 'muncul', 'sesi', 'habis', '']</t>
  </si>
  <si>
    <t>['knp', 'paket', 'mahal', 'sinyal', 'sinyal', 'bar', 'full', '']</t>
  </si>
  <si>
    <t>['', 'susah', 'buka', 'instal', 'ulang', 'ngga', '']</t>
  </si>
  <si>
    <t>['parah', 'abis', 'update', 'kebuka', 'sampah', 'sumpah', '']</t>
  </si>
  <si>
    <t>['pengalaman', 'bagus', 'lemah']</t>
  </si>
  <si>
    <t>['jelek', 'dibuka']</t>
  </si>
  <si>
    <t>['nyari', 'provider', 'ganti', 'telkomsel', 'mengecewakan', 'pelayannannya', '']</t>
  </si>
  <si>
    <t>['pengguna', 'setia', 'telkomsel', 'semenjak', 'mnggunakan', 'telepon', 'seluler', 'jaringan', 'telkomsel', 'mengecewakan', 'aplikasi', 'telkomsel', 'mengecewakan', 'akses', 'terhitung', 'kali', 'uninstal', '']</t>
  </si>
  <si>
    <t>['masuk', 'stuck', 'diawal', 'layar', 'putih', 'toll']</t>
  </si>
  <si>
    <t>['harganya', '']</t>
  </si>
  <si>
    <t>['perbaharui', 'bosook', 'buka', '']</t>
  </si>
  <si>
    <t>['telkomsel', 'bertmbah', 'mngecewakan']</t>
  </si>
  <si>
    <t>['benerin', 'aplikasinya', 'maaf', 'doang', 'gada', 'perubahan']</t>
  </si>
  <si>
    <t>['kokk', 'ngelaggg', 'buka', 'aplikasi', 'telkomsel']</t>
  </si>
  <si>
    <t>['habis', 'diupdate', 'apps', 'mogok', 'dibuka']</t>
  </si>
  <si>
    <t>['woi', 'anjg', 'sinyal', 'benerin']</t>
  </si>
  <si>
    <t>['', 'hapus', 'apk', 'gunanya', 'sampah', 'udah', 'diprbarui', 'dibuka', '']</t>
  </si>
  <si>
    <t>['isi', 'pulsa', 'potong']</t>
  </si>
  <si>
    <t>['poin', 'tukar']</t>
  </si>
  <si>
    <t>['lambat', 'banget', 'paket', 'masuk', 'udah', 'nunggu', 'masuk']</t>
  </si>
  <si>
    <t>['', 'membuka', 'telkom', 'sampe']</t>
  </si>
  <si>
    <t>['', 'suru', 'ubdate', 'mlh', 'bsa', 'unistal', 'bru', 'dwnload', 'ulg', 'udah', 'jaringan', 'nge', 'lag', 'hancur']</t>
  </si>
  <si>
    <t>['membeli', 'pulsa']</t>
  </si>
  <si>
    <t>['bolak', 'jawa', 'kalimantan', 'kalimantan', 'daerah', 'pinggiran', 'telkomsel', 'terbukti', 'coverage', 'emang', 'bagus', 'the', 'best', 'telkomsel', 'operator', 'telekomunikasi', 'jarang', 'bermasalah', 'pakai', 'telkomsel', 'paket', 'internet', 'keperluan', 'telekomunikasi', 'alhamdulillah', 'fine', 'fine', 'terbantu', 'puas', 'telkomsel', 'mantap']</t>
  </si>
  <si>
    <t>['login', 'klok', 'kak', '']</t>
  </si>
  <si>
    <t>['knp', 'buka']</t>
  </si>
  <si>
    <t>['ndak', 'buka', 'vivo', 'buka', 'kasih', 'bintang', 'semoga', 'cepat', 'diperbaiki']</t>
  </si>
  <si>
    <t>['diupdate', 'aplikasinya', 'eror', 'dibuka', '']</t>
  </si>
  <si>
    <t>['puas', 'fitur', 'aplikasi', 'knp', 'diupdate', 'mytelkomsel', 'dibuka', 'muncul', 'layar', 'putih', 'mohon', 'diperbaiki']</t>
  </si>
  <si>
    <t>['kali', 'beli', 'oke']</t>
  </si>
  <si>
    <t>['halo', 'tolong', 'donk', 'telkomsel', 'kasih', 'pengguna', 'potongan', 'harga', 'diskon']</t>
  </si>
  <si>
    <t>['mantap', 'cashback', 'shoppe']</t>
  </si>
  <si>
    <t>['', 'telkomsel', 'mantap', 'suka']</t>
  </si>
  <si>
    <t>['aplikasi', 'android', '']</t>
  </si>
  <si>
    <t>['update', 'pakai', 'aplikasinya', '']</t>
  </si>
  <si>
    <t>['hai', 'telkomsel', 'fitur', 'berhenti', 'langganan', 'apk', 'pulsa', 'habis', 'tersedot', '']</t>
  </si>
  <si>
    <t>['tingkatkan', 'sukses']</t>
  </si>
  <si>
    <t>['dibuka', 'sungguh', 'mengecewakan']</t>
  </si>
  <si>
    <t>['membantu', 'cocok', 'sya']</t>
  </si>
  <si>
    <t>['aplikasi', 'plg', 'buruk']</t>
  </si>
  <si>
    <t>['', 'bntang', 'bcara']</t>
  </si>
  <si>
    <t>['kemarin', 'bintang', 'bintang', 'alasannya', 'tanggapan', 'telkomsel', 'terkait', 'pengurangan', 'pulsaku', 'arahkan', 'sangkut', 'pautnya', '']</t>
  </si>
  <si>
    <t>['skrg', 'tgl', 'des', 'buka', 'aplikasinya', 'parah', '']</t>
  </si>
  <si>
    <t>['paketanya', '']</t>
  </si>
  <si>
    <t>['hallow', 'tukar', 'poin', 'paket', 'dana', 'klw', 'emang', 'gimana', 'maaf', 'sya', 'telkomsle']</t>
  </si>
  <si>
    <t>['aplikasi', 'kemarin', 'desember', 'buka', 'nanya', 'paket', 'multimedia', 'berfungsi', '']</t>
  </si>
  <si>
    <t>['aplikasi', 'buruk', 'jaringan', 'buruk', 'stabil', 'kalah', 'kompetitornya', 'dimasa', 'pandemi', 'mencekik', 'pelanggan', 'blank', 'putih', 'dibuka', 'salam', 'hancur', 'telkomsel']</t>
  </si>
  <si>
    <t>['update', 'langsung', 'layar', 'blank', 'putih', 'buta', 'ndak', 'penggunaan', 'pulsa', 'data', 'ujung', 'ujungnya', 'tagihan', 'bengkak']</t>
  </si>
  <si>
    <t>['cuman', 'lihat', 'kuota', 'tinggal', 'brp', 'suruh', 'update', 'udah', 'update', 'suruh', 'update', 'lag', 'kayak', 'gini', 'kuota', 'habis', 'mikir', '']</t>
  </si>
  <si>
    <t>['harga', 'paket', 'jaringan', 'perbaiki']</t>
  </si>
  <si>
    <t>['aplikasi', 'telkomsel', 'warna', 'putih', 'layar', 'pikiir', 'memory', 'penuh', 'coba', 'hapus', 'aplikasi', 'tpi', 'coba', 'uninstal', 'download', 'coba', 'hubungan', 'contact', 'person', 'respon', '']</t>
  </si>
  <si>
    <t>['selamat', 'pagi', 'masak', 'isi', 'pulsa', 'langsug', 'potong', 'paket', 'perna', 'beli', 'pakek', 'kqn', 'rugi', 'pulsa', 'langsg', 'habis', 'berguna', 'tolong', 'min', 'solusi', 'pulsa']</t>
  </si>
  <si>
    <t>['update', 'dibuka', 'udah', 'uninstal', 'trs', 'download', 'tetep', 'gimana', '']</t>
  </si>
  <si>
    <t>['kagak', 'dibuka', 'ngeblank', 'paraahhh', '']</t>
  </si>
  <si>
    <t>['diupdate', 'diakses', '']</t>
  </si>
  <si>
    <t>['harga', 'paket', 'mahal', 'mahal']</t>
  </si>
  <si>
    <t>['', 'allah', 'bolak', 'uninstal', 'instal', 'aplikasi', 'kirain', 'error', 'baca', 'komen', 'komen', 'orang', 'kendala', 'hufft', 'gimana', 'sich', 'udah', 'blank', 'putih', 'doang', '']</t>
  </si>
  <si>
    <t>['mohon', 'maaf', 'telkomsel', 'aplikasi', 'telkomsel', 'bintang', 'turunin', 'bintang', 'pelayanannya', 'merosot', 'jaringan', 'tempatku', 'bagus', 'timbul', 'tenggelam', '']</t>
  </si>
  <si>
    <t>['woee', 'buka', 'aplikasi', 'layar', 'putih', 'doang', 'nongol', 'aplikasi', 'sampah', '']</t>
  </si>
  <si>
    <t>['mudah', 'diakses', 'cepat', 'ter', 'eksekusi']</t>
  </si>
  <si>
    <t>['sinyal', 'tetep', 'lancar', 'pedalaman', 'desa', 'lor']</t>
  </si>
  <si>
    <t>['aplikasihnya', 'dibuka', '']</t>
  </si>
  <si>
    <t>['dihapus', 'downlod', 'tetep', 'blank', 'putih']</t>
  </si>
  <si>
    <t>['knpa', 'ngc', 'terbuka', 'aplikasi']</t>
  </si>
  <si>
    <t>['habis', 'update']</t>
  </si>
  <si>
    <t>['nge', 'bug', 'gabisa', 'buka', 'app', 'stuck', 'loading', 'screen']</t>
  </si>
  <si>
    <t>['semoga', 'hadiah', '']</t>
  </si>
  <si>
    <t>['benahi', 'jaringan']</t>
  </si>
  <si>
    <t>['mempermudah', 'penggunaan', 'praktis']</t>
  </si>
  <si>
    <t>['udah', 'ditangani', 'makasih', 'jaringan', 'daerahku', 'ilang', 'udah', 'komplain', 'abis', 'ditangani', 'udah', 'jam', 'lagii']</t>
  </si>
  <si>
    <t>['mahal', 'doang', 'sinyal', 'bapuk']</t>
  </si>
  <si>
    <t>['aplikasi', 'telkomsel', 'msh', 'blm', 'dibuka', 'knpa', 'minggu', 'gaimana', 'aplikasinya', 'dibuka']</t>
  </si>
  <si>
    <t>['kasih', 'bintang', 'kasih', 'bintang', '']</t>
  </si>
  <si>
    <t>['sinyale', 'kadang', 'kadang', 'bossss', 'yak', 'opo', 'ikuu', 'pelayanane']</t>
  </si>
  <si>
    <t>['kenpa', 'bugnya', 'perbaiki', 'sekelas', 'bumn', 'serius', 'swasta', 'serius', '']</t>
  </si>
  <si>
    <t>['maaf', 'sya', 'turunin', 'bintangnya', 'parah', 'sinyalnya', 'maaf', '']</t>
  </si>
  <si>
    <t>['bagus', 'user', 'interface', 'mudah', 'diakses', 'muda', 'tua']</t>
  </si>
  <si>
    <t>['tolong', 'paket', 'ekstra', 'unlimited', 'pengguna', 'telkomsel']</t>
  </si>
  <si>
    <t>['', 'telkom', 'laku']</t>
  </si>
  <si>
    <t>['kesini', 'sinyal', 'karuan', 'jelek', 'terang', 'pelanggan', 'setia', 'telkomsel', 'kuota', 'khusus', 'nge', 'game', 'mlbb', 'jaringan', 'jelek', '']</t>
  </si>
  <si>
    <t>['aplikasi', 'butut', 'login', 'engg', 'masuk', 'pengguna', 'telkomsel', 'thn', 'perbaiki', 'kinerja', '']</t>
  </si>
  <si>
    <t>['blom']</t>
  </si>
  <si>
    <t>['semogaberkah']</t>
  </si>
  <si>
    <t>['terimakasih', 'kasih', 'telkomsel', 'aplikasinya', 'baguss', 'ribet', 'the', 'best', 'pokok', '']</t>
  </si>
  <si>
    <t>['wooyyyy', 'bos', 'minggu', 'aplikasi', 'telkomselku', 'ngk', 'bukak', 'ntah', 'bukak', 'aplikasi', 'berwarna', 'putih', 'mohon', 'penjalasan', 'bos', 'bos', 'telkom']</t>
  </si>
  <si>
    <t>['mantap', 'mudah', 'terimakasih', 'telkomsel']</t>
  </si>
  <si>
    <t>['berlangganan', 'kecewain', 'knp', 'buka', 'aplikasinya', '']</t>
  </si>
  <si>
    <t>['telkomsel', 'skr', 'bnr', 'ngecewakan', 'stiap', 'klik', 'bleng', 'putih', 'trs', 'hapus', 'download', 'buka', 'bsky', 'buka', 'bleng', 'putih', 'gmn', 'min', '']</t>
  </si>
  <si>
    <t>['update', 'susah', 'masuk', 'udah', 'menit', 'masuk', 'masuk', 'update', 'berguna', 'hancur', 'niinstal', 'bego', 'apl']</t>
  </si>
  <si>
    <t>['buruk', 'jaringan', 'udah', 'harga']</t>
  </si>
  <si>
    <t>['kouta', 'internet', 'habis', 'pulsa', 'sedot', 'penghianatan', 'aplikasi', 'langsung', 'lihat', 'sisa', 'kuota', 'internet', 'buruk', 'layanan']</t>
  </si>
  <si>
    <t>['jaringannya', 'stabil', 'yaa']</t>
  </si>
  <si>
    <t>['tolong', 'adakan', 'paketan', 'aktifnya', 'adakan', 'paket', 'internet', 'aktifnya', 'mengikuti', 'aktif', 'kartu', 'tolong', 'diproses', '']</t>
  </si>
  <si>
    <t>['mantap', 'promo', 'guys']</t>
  </si>
  <si>
    <t>['mohon', 'maaf', 'rubah', 'bintang', 'aplikasi', 'membantu', 'beban', 'memori', 'ajh', 'aplikasi', 'buruk', 'giliran', 'keritik', 'cuman', 'maaf', 'nggak', 'tindakan', 'ngatasi']</t>
  </si>
  <si>
    <t>['paket', 'internetnya', 'mahal', 'sinyal', 'jekek', 'jujur', 'tri']</t>
  </si>
  <si>
    <t>['paket', 'mahal', 'jaringan', 'lelet', '']</t>
  </si>
  <si>
    <t>['info', 'jaringan', 'provider', 'lag', 'malam', '']</t>
  </si>
  <si>
    <t>['jaringan', 'kacau', 'telkomsel', 'parah', 'betol', '']</t>
  </si>
  <si>
    <t>['puas', 'kartu', 'telkomsel', 'unlimited', 'buka', 'telkomsel', 'kartu', 'pembohong']</t>
  </si>
  <si>
    <t>['berat', 'membuka', 'aplikasinya']</t>
  </si>
  <si>
    <t>['', 'samsung', 'buka', 'nie', 'aplksi', 'aneh', '']</t>
  </si>
  <si>
    <t>['enak', 'banget', 'telkomsel', 'rumah', 'sinyal', 'full', 'rugi', 'beli', 'unlimited']</t>
  </si>
  <si>
    <t>['', 'telkomsel', 'buka', 'kaka']</t>
  </si>
  <si>
    <t>['bijak', 'mngendara', 'cepat']</t>
  </si>
  <si>
    <t>['aplikasinya', 'rusak', 'hpnya', 'rusak', 'dibuka', 'aplikasinya', 'udah', 'sebulan']</t>
  </si>
  <si>
    <t>['kecewa', 'karna', 'paket', 'unlimitid', 'gb', 'ilang', 'paket', 'paket', 'suka']</t>
  </si>
  <si>
    <t>['buruk', 'update', 'versi', 'android', 'berfungsi', 'layar', 'blank', 'putih', '']</t>
  </si>
  <si>
    <t>['kuis', 'poin', 'eror', 'sms', 'nomer', 'otp', 'valid', 'menit', 'berkali', 'ulang', 'sms', 'otp', 'kirim', 'alias', 'valid']</t>
  </si>
  <si>
    <t>['jlek', 'app', 'kebuka', 'lelet']</t>
  </si>
  <si>
    <t>['telkomsel', 'buruk', 'skrng', 'telkomsel', 'terbuka', 'layar', 'putih', 'pembelian', 'kuota', 'sudh', 'terpotong', 'internet', 'bsa', 'pke', 'tlong', 'min', 'gmn', '']</t>
  </si>
  <si>
    <t>['good', 'mudah', 'penggunaanya', 'cepat', 'isi', 'pulsa', 'data', 'tagihan', 'good', 'job', '']</t>
  </si>
  <si>
    <t>['jaringan', 'terluas', 'indonesia', 'mimpi', 'daerah', 'minus']</t>
  </si>
  <si>
    <t>['bagus', 'dipakai']</t>
  </si>
  <si>
    <t>['habis', 'diup', 'versi', 'dibuka', 'maksud', 'gimana']</t>
  </si>
  <si>
    <t>['aplikasi', 'amsyoongg', 'udah', 'beli', 'paket', 'telkomsel', 'sakti', 'notif', 'internet', 'non', 'paket', 'trus', 'paketan', 'telkomsel', 'tolong', 'dng', 'spesifik', '']</t>
  </si>
  <si>
    <t>['', 'nonton', 'you', 'tube', 'lancar', 'lagik', 'main', 'game', 'tolong', 'telkomsel', 'perbaiki', '']</t>
  </si>
  <si>
    <t>['', 'sel', 'terkenal', 'mahal', 'tlg', 'perbaiki', 'pakek', 'sel', 'menikmati', 'kepuasan', 'memakai', 'paketan', 'browsing', 'dll', 'buka', 'aplikasi', 'online', 'lemot', 'ampun', 'bagus', 'mengecewakan']</t>
  </si>
  <si>
    <t>['knp', 'jaringan', 'telkomsel', 'ngadat', 'mengecewakan']</t>
  </si>
  <si>
    <t>['date', 'aplikasi', 'telkomsel', 'buka', 'install', 'pasang', 'sampe', 'berkali', 'kali', 'buka', 'tolong']</t>
  </si>
  <si>
    <t>['bagus', 'lengkap', 'fitur', 'lanyanan', '']</t>
  </si>
  <si>
    <t>['pilihan', 'paket', 'internetnya', 'merugikan', 'memaksakan', 'memilih', 'paket', 'internet', 'terpakai', 'berguna', 'menang', 'disinyalnya', '']</t>
  </si>
  <si>
    <t>['please', 'harga', 'paket', 'paketnya', 'naikin', 'harganya']</t>
  </si>
  <si>
    <t>['gua', 'jam', 'push', 'rank', 'lagg', 'mulu', 'kontolll', 'telkom', 'bangsaddd']</t>
  </si>
  <si>
    <t>['paket', 'cuman', 'cek', '']</t>
  </si>
  <si>
    <t>['bagus', 'penawaran', 'paket', 'murah']</t>
  </si>
  <si>
    <t>['mahal', 'doang', 'sinyal', 'busuk']</t>
  </si>
  <si>
    <t>['mantap', 'paketan', 'murah']</t>
  </si>
  <si>
    <t>['apk', 'rusak', 'unlimited', 'penipuan']</t>
  </si>
  <si>
    <t>['ayo', 'perbanyak', 'paket', 'hemat', '']</t>
  </si>
  <si>
    <t>['jelek', 'banget', 'apknya', 'blank', 'putih', 'kebuka', 'hadehhhhjjhj', 'payah', '']</t>
  </si>
  <si>
    <t>['tolong', 'apk', 'telkomsel', 'gratis', 'kaya', 'apk', 'kartu', 'tambahin', 'fitur', 'kunci', 'data', 'pulsa', 'kepotong', '']</t>
  </si>
  <si>
    <t>['udah', 'minggu', 'buka', 'napa', 'aplikasi', '']</t>
  </si>
  <si>
    <t>['aplikasi', 'bagus', 'banget', 'membantu', '']</t>
  </si>
  <si>
    <t>['telkomsel', 'main', 'mobile', 'lagen', 'paketan', 'giga', 'sinyal', 'main', 'bngkrut', 'seeetaan', 'kau', 'telkomsel']</t>
  </si>
  <si>
    <t>['mendownload', 'aplikasi', 'telkomsel', 'mohon', 'jawabannya', '']</t>
  </si>
  <si>
    <t>['', 'login', 'cuman', 'layar', 'putih', 'update', 'bos', 'biat', 'diliat']</t>
  </si>
  <si>
    <t>['aplikasi', 'telkomsel', 'buka', 'min', 'harap', 'himbauan']</t>
  </si>
  <si>
    <t>['app', 'ngk', 'buka', 'minggu', 'app', 'ngk', 'buka']</t>
  </si>
  <si>
    <t>['tolong', 'dimurahkan', 'harga', 'kuotanya', '']</t>
  </si>
  <si>
    <t>['dbuka', 'dhp', '']</t>
  </si>
  <si>
    <t>['aplikasi', 'terburuk', 'terlemot', 'manfaatnya', 'layar', 'putih', 'doang']</t>
  </si>
  <si>
    <t>['sinyal', 'telkomsel', 'buruk', 'kuota', 'internet', 'cepat', 'habis', 'mengecewakan', 'telkomsel', 'buruk']</t>
  </si>
  <si>
    <t>['telkomsel', 'bagus', 'banget']</t>
  </si>
  <si>
    <t>['buka', 'buka', 'muncul', 'warna', 'putih', 'full', 'layar']</t>
  </si>
  <si>
    <t>['woooooooooooowwww', 'bagusssssss']</t>
  </si>
  <si>
    <t>['rampok', 'pulsa', 'telkomsel', 'udah', 'berkali', 'kali', 'kejadian', 'kaya', 'gini', 'kuota', 'pulsa', 'terpakai', 'alasan', 'pemakaian', 'internet', 'diluar', 'paket', 'gimana', 'cerita', 'kuota', 'internetan', 'pulsa', 'tetep', 'kepake', 'nomor', 'udah', 'terlanjur', 'nyebar', 'dipakai', 'kerjaan', 'udah', 'ganti', 'provider', 'ogah', 'telkomsel', 'merugikan', 'kacaulah', '']</t>
  </si>
  <si>
    <t>['jelek', 'menyesal', 'mendonwload', 'tel', 'buruk', 'layanan', 'pelanggan']</t>
  </si>
  <si>
    <t>['isi', 'ulang', 'pulsa', 'berkurang', 'utang', 'paket', 'darurat', 'bayarnya', 'udah', 'kali', 'pemerasan', 'telkom', 'udah', 'sinyal', 'stabil', '']</t>
  </si>
  <si>
    <t>['jaringan', 'benerin']</t>
  </si>
  <si>
    <t>['app', 'jelek', 'buka', 'applikasix']</t>
  </si>
  <si>
    <t>['siknyal', 'jelek', 'setabil', 'mohon', 'perbaiki', 'emosi', 'paket', 'mahal', 'siknyal', 'sebanding', 'main', 'game', 'ngelag']</t>
  </si>
  <si>
    <t>['', 'aplikasinya', 'dibuka', 'instal', '']</t>
  </si>
  <si>
    <t>['terbaiilk', 'lemot']</t>
  </si>
  <si>
    <t>['iklan', 'doang', 'bagus', 'kualitas', 'jelek', 'sinyal', 'gangguan', 'provider', 'jelek', 'indonesia', '']</t>
  </si>
  <si>
    <t>['emang', 'jaringan', 'jelekk', 'kartu', 'halo', 'game', 'lemot', 'banget', 'telkomsel', 'rating', 'bintang', 'minus', 'mah', 'gua', 'kasih', 'bintang']</t>
  </si>
  <si>
    <t>['dibuka', 'aplikasinya', 'mending', 'ditutup', 'aplikasinya', 'dibuka']</t>
  </si>
  <si>
    <t>['', 'signal', 'telkomsel', 'stabil', 'putus', 'koneksi', 'internet', 'note', 'posisi', 'jakarta', 'pusat', 'kamar', 'signal', 'bagus', 'signal', 'susah', 'ampun', 'aplikasi', 'telkomsel', 'bermasalah', 'perbaikan', 'versi', 'android', 'note', 'pakai', 'samsung', 'android', 'buka', 'aplikasi', 'telkomsel', 'blank', 'putih', '']</t>
  </si>
  <si>
    <t>['tambahkann', 'promo']</t>
  </si>
  <si>
    <t>['terimah', 'kasih', 'telkomsel', 'telkomsel', 'terkemuka', 'terkomsel', 'penawaran', 'fantastik', 'telkomsel', 'menelusuri', 'pelosok', 'indonesia', 'sabang', 'merauke', 'telkomsel', 'salah', 'jaringan', 'komunikasi', 'terkuat', 'telkomsel', 'hati', 'telkomsel', 'the', 'best', 'manapun', 'telkomsel', 'salah', 'perusahaan', 'terbesar', 'terpacaya', 'indonesia', 'tercinta', 'telkomsel', 'meningkatkan', 'kualitas', 'membagikan', 'hadiah', 'undian', 'undian', 'menarik', '']</t>
  </si>
  <si>
    <t>['hapus', 'download', 'hapus', 'download', 'blank', 'putih', 'sepanjangan', 'pengembang', 'baca', 'baca', 'liat', 'kebawah', 'koment', 'negatif', 'tolong', 'dibenerin', 'dibenerin', 'mendingan', 'hapus', 'apk', 'playstore']</t>
  </si>
  <si>
    <t>['gimana', 'siii', 'udah', 'perbarui', 'ngga', 'bukaaa', '']</t>
  </si>
  <si>
    <t>['bintang', 'cocok', 'telkomsel', 'mengecewakan', 'pelanggan', 'banget', 'gaak', 'dibuka', 'apl', 'telkomselnya', 'buruk', 'telkomsel', '']</t>
  </si>
  <si>
    <t>['jelek', 'sinyal', 'telkomsel', 'gada', 'berkembangnya', 'udah', 'paket', 'nambah', 'mahal', 'jaringan', 'buruk', 'telkomsel']</t>
  </si>
  <si>
    <t>['', 'apdet', 'muncul', 'layar', 'menunya', 'putih', 'gmn', 'beli', 'paketan', 'udh', 'minggu', 'payah', 'banget']</t>
  </si>
  <si>
    <t>['mantap', 'semoga', 'promo']</t>
  </si>
  <si>
    <t>['tolong', 'perbaiki', 'update', 'buka', 'aplikasi', '']</t>
  </si>
  <si>
    <t>['', 'daerah', 'kartu', 'nggak', 'mending', 'exsis', 'mati', 'lampu', 'hilang', 'sinyal', 'sumpah', 'nggak', 'kartu']</t>
  </si>
  <si>
    <t>['kecewa', 'pulsa', 'udah', 'kepotong', 'paket', 'internet', 'masuk']</t>
  </si>
  <si>
    <t>['jaringan', 'telkomsel', 'kaya', 'internetan', 'lancar', 'abis', 'ujan', 'tolong', 'perbaiki', 'usahanya', 'bergantung', 'internet', 'lancar', '']</t>
  </si>
  <si>
    <t>['aplikasi', 'konyooolllllllllllllllllll', 'ngak', 'dibuka', '']</t>
  </si>
  <si>
    <t>['telkomsel', 'leg', '']</t>
  </si>
  <si>
    <t>['udah', 'berhasil', 'diinstall', 'giliran', 'buka', 'suruh', 'instal', 'app', 'untung', 'doang', '']</t>
  </si>
  <si>
    <t>['paket', 'data', 'combo', 'sakti', 'unlimited', 'paket', 'support', 'unlimited', 'game', 'pubg', 'mobile']</t>
  </si>
  <si>
    <t>['jaringan', 'telkomsel', 'terjangkau', 'daerah', 'pelosok', '']</t>
  </si>
  <si>
    <t>['emang', 'bner', 'dibuka', 'udh', 'diperbahrui', 'sruh', 'diperbaharui', 'lgi', 'hrus', 'download', 'payh', 'kecewa', 'pelanggan', 'aplikasi', 'buruuukkk']</t>
  </si>
  <si>
    <t>['tolong', 'telkomsel', 'reward', 'daily', 'check', 'dinaikin', 'repot', 'repot', 'buka', 'telkomsel', 'check', 'pas', 'udah', 'dapetnya', 'gb', 'doang']</t>
  </si>
  <si>
    <t>['udeh', 'apk', 'telkomsel', 'buka', '']</t>
  </si>
  <si>
    <t>['update', 'versi', 'dibuka', 'merek', 'samsung', 'download', 'versi']</t>
  </si>
  <si>
    <t>['tolong', 'bedain', 'kuota', 'ama', 'pulsa', 'mentang', 'mentang', 'kuota', 'habis', 'trus', 'nyedot', 'pulsa', 'pengguna', 'sampe', 'habis', 'tiru', 'provider', 'kuota', 'habis', 'pulsa', 'sedot', '']</t>
  </si>
  <si>
    <t>['sanngat', 'memuaskan']</t>
  </si>
  <si>
    <t>['', 'buka', 'anjwing', '']</t>
  </si>
  <si>
    <t>['mahal', 'epribadehh', 'tulisanya', 'promo', 'harganya', 'mahall', 'sesuai', 'harga', 'pelajar']</t>
  </si>
  <si>
    <t>['ngeselin', 'lma', 'lma', 'pke', 'telkom', 'main', 'game', 'jdi', 'ngeleg', 'mulu', 'paket', 'doang', 'mahal']</t>
  </si>
  <si>
    <t>['lemot', 'didaerah', 'kota']</t>
  </si>
  <si>
    <t>['suka', 'desain', 'keren', 'abis', 'tingkatkan', 'user', 'friendly', 'good', 'job']</t>
  </si>
  <si>
    <t>['smpi', 'kpn', 'aplksinya', 'blnk', 'putih', 'trs', 'tlg', 'donk', 'solusinya', 'msa', 'iya', 'hrs', 'pke', 'android', 'ats', 'like', 'tlkmsl', 'bgni', 'cranya', 'bsa', 'pndh', 'tko', 'sblh', 'kmplain', 'sma', 'cstmr', 'mlh', 'cma', 'ksh', 'srn', 'sruh', 'hps', 'chache', 'aplh', 'ttp', 'blnk', '']</t>
  </si>
  <si>
    <t>['mahal', 'emang', 'nggak', 'tanding', 'kecepatan']</t>
  </si>
  <si>
    <t>['promo', 'menarik', 'deh', 'min']</t>
  </si>
  <si>
    <t>['pilihan', 'paket', 'kouta', 'perbanyak']</t>
  </si>
  <si>
    <t>['ancur', 'sinyal', 'telkomsel', 'skrg', '']</t>
  </si>
  <si>
    <t>['', 'samsung', 'dibuka', 'paket', 'aktif', 'aneh', 'android', 'versi', '']</t>
  </si>
  <si>
    <t>['telkomsel', 'lelet', 'pemakai', 'setia', 'telkomsel', 'kecewa', 'berat', 'kuota', 'terkuras', 'kemana', 'perginya']</t>
  </si>
  <si>
    <t>['semoga', 'paket', 'internet', 'murah', 'lainya', 'pembagian', 'klasifikasi']</t>
  </si>
  <si>
    <t>['internetnya', 'lemot']</t>
  </si>
  <si>
    <t>['minn', 'cepet', 'perbaiki', 'jaringannya', 'lemot', 'banget', 'beraktivitas', 'nonton', 'dikit', 'dikit', 'ngelag', 'trus', 'jaringannya', 'ilang', 'sinyal', 'susah', 'beraktivitas', 'cepet', 'perbaiki', 'minn', 'mohon', 'bantuannya', 'bales', 'ulasan', 'oke', '']</t>
  </si>
  <si>
    <t>['oke', 'mantap', 'rekomendasi']</t>
  </si>
  <si>
    <t>['aplikasi', 'sihhhh', 'habis', 'update', 'fungsinya']</t>
  </si>
  <si>
    <t>['kontol', 'ngeleg', 'anjg', 'telkom', 'ank', 'haram']</t>
  </si>
  <si>
    <t>['kasih', 'tower', 'rumah', 'tower', 'rusak', 'berfungsi', 'sinyal', 'kadang', 'kadang', 'hilang']</t>
  </si>
  <si>
    <t>['aplikasi', 'membantu', 'cek', 'pulsa']</t>
  </si>
  <si>
    <t>['kartu', 'doang', 'mahal', 'jaringan', 'jelek']</t>
  </si>
  <si>
    <t>['bonus', 'kouta', 'telkomsel', 'poin', 'daily', 'check', 'iming', 'iming', 'alasan', 'jaringan', 'sibuk', 'klaim', 'jam', 'pagi', 'bingung', 'komplain', 'kemana', 'serba', 'robot']</t>
  </si>
  <si>
    <t>['puas', 'aplikasi', 'telkomsel']</t>
  </si>
  <si>
    <t>['jaringan', 'udah', 'ngeleg', 'main', 'game', 'susah', 'gerak', 'tolong', 'diperbaiki']</t>
  </si>
  <si>
    <t>['bagus', 'suka', 'harga', 'paket', 'datanya', 'jdi', 'mahal', 'tolong']</t>
  </si>
  <si>
    <t>['jaringan', 'telkomsel', 'ilang', 'main', 'game', '']</t>
  </si>
  <si>
    <t>['bermanfaat', '']</t>
  </si>
  <si>
    <t>['knp', 'sata', 'update', 'harganya', 'mahal', 'murah']</t>
  </si>
  <si>
    <t>['lancar', 'komplain', 'kasih', 'bintang']</t>
  </si>
  <si>
    <t>['kuota', 'mahal', 'mahal', 'jaringan', 'stabil', 'pulsa', 'kuras', 'rekomendasi']</t>
  </si>
  <si>
    <t>['bintang', 'ngomong']</t>
  </si>
  <si>
    <t>['jaringan', 'seputaran', 'perairan', 'priok', 'buruk', 'tolong', 'perbaiki', '']</t>
  </si>
  <si>
    <t>['mendukung', '']</t>
  </si>
  <si>
    <t>['admin', 'paket', 'combo', 'unlimited', 'ladahal', 'pengguna', 'setia', 'telkom', 'mohon', 'pengertiannya', 'admin']</t>
  </si>
  <si>
    <t>['udah', 'coba', 'buka', 'berkali', 'kali', 'masuk', '']</t>
  </si>
  <si>
    <t>['praktis', 'membantu', 'pitur', 'pitur']</t>
  </si>
  <si>
    <t>['kurangi', 'harga', '']</t>
  </si>
  <si>
    <t>['membantu', 'aplikasi', 'pilihan']</t>
  </si>
  <si>
    <t>['bnyak', 'ngebab', 'update', 'terusan', 'apk', 'telkomsel', '']</t>
  </si>
  <si>
    <t>['paket', 'hemat', 'anti', 'lemot', 'laen', 'bintang', 'ngomong']</t>
  </si>
  <si>
    <t>['aplikasi', 'buruk', 'merugikan', '']</t>
  </si>
  <si>
    <t>['halo', 'keluhan', 'pulsa', 'selau', 'terpotong', 'hilang']</t>
  </si>
  <si>
    <t>['stuck', 'dilayar', 'warna', 'putih']</t>
  </si>
  <si>
    <t>['apk', 'dibuka']</t>
  </si>
  <si>
    <t>['', 'upgrade', 'ngeblur', 'gbisa', 'buka', 'tolong', 'kembalikan', 'persi', 'kemarin', '']</t>
  </si>
  <si>
    <t>['yaaplikasi', 'telkomsel', 'dibuka']</t>
  </si>
  <si>
    <t>['moga', 'mantap']</t>
  </si>
  <si>
    <t>['aplikasi', 'bagus', 'membantu', 'terimakasih']</t>
  </si>
  <si>
    <t>['mudah', 'menang', 'undiaan']</t>
  </si>
  <si>
    <t>['telkomsel', 'skrg', 'lemot']</t>
  </si>
  <si>
    <t>['betulin', 'dlu', 'sinyal']</t>
  </si>
  <si>
    <t>['promonya', '']</t>
  </si>
  <si>
    <t>['praktis']</t>
  </si>
  <si>
    <t>['mantap', 'cepat', 'proses']</t>
  </si>
  <si>
    <t>['putih', '']</t>
  </si>
  <si>
    <t>['aplikasi', 'kebuka', 'layar', 'putih', 'repot', 'banget', '']</t>
  </si>
  <si>
    <t>['mytsel', 'sya', 'dibuka', 'loading', 'muncul', 'blank', 'putih', 'gtu', 'tampilannya', 'sya', 'uninstall', 'install', 'dibuka', 'mohon', 'bantuannya', 'admin', 'telkomsel', '']</t>
  </si>
  <si>
    <t>['poin', 'telkomsel', 'belikan', 'paket', 'data', 'gb', 'seharga', 'poin', 'poin', 'tetep', '']</t>
  </si>
  <si>
    <t>['telkomasel', 'udah', 'mahal', 'jaringan', 'lemout', 'polll', 'aduhh', 'tlng', 'perbaiki', 'jaringan', 'telkomsel', '']</t>
  </si>
  <si>
    <t>['menghubungi', 'costumer', 'service', 'bener', 'via', 'chat', 'veronica', 'niat', 'kerja', '']</t>
  </si>
  <si>
    <t>['alhamdulillah', 'membantu']</t>
  </si>
  <si>
    <t>['telkomsel', 'full', 'batang', 'kek', 'berasa', 'sia', 'sia', 'beli', 'kuota', '']</t>
  </si>
  <si>
    <t>['jaringan', 'nggk', 'game', 'lemot', 'percumah', 'mahal', 'lemot']</t>
  </si>
  <si>
    <t>['kasih', 'bintang', 'propeder', 'tipu', 'tipu', '']</t>
  </si>
  <si>
    <t>['update', 'mytelkomsel', 'aplikasi', 'blank', 'putih', 'coba', 'kali', 'blank', 'jaringan', 'bagus', 'lancar', 'mohon', 'solusi', '']</t>
  </si>
  <si>
    <t>['kecewa', 'kuota', 'unlimited', 'lemot', 'kecepatannya', 'kbps']</t>
  </si>
  <si>
    <t>['keren', 'aplikasi']</t>
  </si>
  <si>
    <t>['bertahun', 'pakai', 'telkomsel', 'jaringannya', 'buruk', 'sekaliii', 'lemoott', 'harga', 'paket', 'telkomsel', 'mahal', 'dibanding', 'tolong', 'dperbaiki', 'kualitas', 'jaringannya']</t>
  </si>
  <si>
    <t>['apk', 'telkomsel', 'gabisa', 'dibuka', 'udah', 'coba', 'berkali', 'kali', 'back', 'muncul', 'tampilan', 'apk', 'coba', 'uninstall', 'trus', 'install', 'ulang', 'tetep', 'gabisa']</t>
  </si>
  <si>
    <t>['solusi', 'layarblank', 'dibuka', 'ganti', 'kartu', 'iya', 'templatenya', 'diganti', 'mengerti', 'bahasa', 'indonesia', 'menghubungi', 'fitur', 'bantuan', 'aplikasinya', 'dibuka', 'sulap', 'fikir', 'orang', 'hape', '']</t>
  </si>
  <si>
    <t>['enak', 'mytelkomsel', 'enak', 'lancar']</t>
  </si>
  <si>
    <t>['udah', 'update', 'kebuka', 'mnyebalkan']</t>
  </si>
  <si>
    <t>['jaringan', 'lemot', 'anjg', 'kaya', 'mahal']</t>
  </si>
  <si>
    <t>['sinyal', 'jelek', 'udah', 'seminggu', 'gada', 'perbaikan', 'kampung', 'kota']</t>
  </si>
  <si>
    <t>['parah', 'anjirr', 'telkomsel', 'lelet', 'ampun', 'udh', 'sebulan', 'pertahanin', 'telkomsel', 'lemot', 'ampun', 'main', 'engga', 'ngangkat', 'paraaahhhh', 'beralih', 'sebelah', 'daah']</t>
  </si>
  <si>
    <t>['paket', 'combo', 'naek', 'terussssssssssssss', 'asikkk']</t>
  </si>
  <si>
    <t>['aplikasi', 'eror', 'udah', 'minggu', 'buka', 'layar', 'putih', 'doang', 'saran', 'download', 'aplikasi', '']</t>
  </si>
  <si>
    <t>['perampok', 'pulsa', 'utama', 'paket', 'internet', 'bergiga', 'giga', 'pemberitahuan', 'sms', 'internet', 'non', 'paket', 'pulsa', 'hilang', 'dimakan', 'grandong', '']</t>
  </si>
  <si>
    <t>['', 'download', 'tpi', 'nggk', 'dibuka', 'knp', '']</t>
  </si>
  <si>
    <t>['beli', 'paket', 'harga', 'selangit', 'kwalitas', 'internet', 'busuk']</t>
  </si>
  <si>
    <t>['teklomsel', 'tercinta', 'bermain', 'game', 'sinyal', 'hilang', 'teman', 'beda', 'kartu', 'sinyal', 'kenceng', 'trus', 'tinggal', 'dikota', 'knp', 'dlu', 'telkomsel', 'dimana', 'sinyalnya', 'bagus', 'merosot', 'pengguna', 'telkom', 'terang', 'kesal', 'akibat', 'layanan', 'memusakan', 'kartu', 'telkomsel', 'mahal', 'paket', 'kerjanya', 'buruk', 'semoga', 'telkomsel', 'memperbaik', '']</t>
  </si>
  <si>
    <t>['apelikasinya', 'bagus', 'sanggata', 'mudah', 'megecek', 'data']</t>
  </si>
  <si>
    <t>['telkomsel', 'buka', 'udah', 'coba', 'uninstall', 'instalasi', 'buka', 'gerangan']</t>
  </si>
  <si>
    <t>['ngga', 'login', 'kesini', 'gampang', 'ngga', 'dipake']</t>
  </si>
  <si>
    <t>['mati', 'lampu', 'telkomsel', 'suka', 'lemot', 'why', '']</t>
  </si>
  <si>
    <t>['dibuka', 'respon']</t>
  </si>
  <si>
    <t>['ternyta', 'tukar', 'point', 'potong', 'pulsa', 'aplikasi', 'biada', '']</t>
  </si>
  <si>
    <t>['paket', 'internet', 'lokal', 'susah', 'berpergian', 'kota', 'terima', 'kasih']</t>
  </si>
  <si>
    <t>['jaringan', 'sesuai', 'mahal', 'udah', 'maha', 'jaringan', 'jelek', 'tolong', 'bantuannya']</t>
  </si>
  <si>
    <t>['apk', 'telkomsel', 'terbuka', 'update', '']</t>
  </si>
  <si>
    <t>['maaf', 'hapus', 'buruk']</t>
  </si>
  <si>
    <t>['awas', 'hati', 'pulsa', 'abis', 'dipake', 'sms', 'pemakain', 'internet', 'sekian', 'harap', 'perhatikan', 'merugikan', 'konsumen', 'keuntungan', '']</t>
  </si>
  <si>
    <t>['dak', 'ndak', 'connect', 'konek']</t>
  </si>
  <si>
    <t>['susah', 'daonlot']</t>
  </si>
  <si>
    <t>['kali', 'percaya', 'telkomsel', 'jaya', 'telkomsel', '']</t>
  </si>
  <si>
    <t>['ngk', 'tukar']</t>
  </si>
  <si>
    <t>['kali', 'mengisi', 'ulang', 'pulsa', 'masuk', '']</t>
  </si>
  <si>
    <t>['beli', 'pulsa', 'dipake', 'posisi', 'data', 'mati', 'pulsa', 'kesedot', 'sehat', 'pdhl', 'nsp', 'apalah']</t>
  </si>
  <si>
    <t>['pengguna', 'kartu', 'telkomsel', 'puas', 'pelayanan', 'kestabilan', 'penggunaan', 'jaringan', 'tekomsel', 'tekomsel', 'salah', 'jaringan', 'operator', 'seluler', 'terbesar', 'indonesian', 'kualitas', 'pelayanan', 'data', 'kestabilan', 'jaringan', 'buruk', 'tinggal', 'tower', 'jaringan', 'tekomsel', 'jaringan', 'bagus', '']</t>
  </si>
  <si>
    <t>['tolong', 'telkomsel', 'wilayah', 'depok', 'jawa', 'barat', 'sinyal', 'jelek', 'parah', 'tolong', 'diperbaiki', 'sinyalnya', 'kalah', 'gsm']</t>
  </si>
  <si>
    <t>['update', 'gambar', 'putih', 'terud', 'beli', 'paketan']</t>
  </si>
  <si>
    <t>['pulsa', 'potong', 'quota', 'gmn', 'tolong', 'balikin', 'pulsa', 'perak', 'perakk']</t>
  </si>
  <si>
    <t>['fungsi', 'membatasi', 'penggunaan', 'pulsa', 'telepon', 'sms', 'non', 'paket', 'menyebabkan', 'pulsa', 'langsung', 'dipotong', 'kuota', 'internet', 'mencakup', 'penggunaan', 'aplikasi', 'axianet', 'perusahaan', 'telkom', 'memikirkan', 'detail', 'pengalaman', 'pulsa', 'ludes', 'sengaja', 'menyalakan', 'instagram']</t>
  </si>
  <si>
    <t>['bagus', 'bagus', 'jaringan', '']</t>
  </si>
  <si>
    <t>['kuota', 'omg', 'nggk', 'pakai', 'utuh', 'kuota', 'internet', 'udah', 'habis', 'duluan']</t>
  </si>
  <si>
    <t>['aplikasi', 'dibuka', 'tolong', 'info', 'muncul', 'blank', 'white']</t>
  </si>
  <si>
    <t>['', 'tod', 'jaringan', 'paket', 'knp', 'ngeleg', 'todd', 'gua', 'sampe', 'rusak', 'gra', 'gra', 'sinyal', 'kaga', 'tod']</t>
  </si>
  <si>
    <t>['bagus', 'ngecek', 'pulsa', 'aje', '']</t>
  </si>
  <si>
    <t>['tingkatkan', 'pelayanan', 'bonus']</t>
  </si>
  <si>
    <t>['keamanan', 'kemudahan', '']</t>
  </si>
  <si>
    <t>['aplikasi', 'berjalan', 'blank', 'putih', 'muter']</t>
  </si>
  <si>
    <t>['mantap', 'aplikasinya', '']</t>
  </si>
  <si>
    <t>['sinyal', 'simpati', 'down', 'asik', 'main', 'game', 'terputus', 'buka', 'commerce', 'lambat', 'tampilannya', 'terbuka', 'dipakai', 'belajar', 'online', 'susah', 'buka', 'sosmed', 'buffuring', 'simpati', 'kayanya', 'sinyal', 'indonesia', 'terkenal', 'mahal', 'sinyalnya', 'ambruk', '']</t>
  </si>
  <si>
    <t>['puas', 'paket', 'internet', 'tawarkan', 'mahal', 'promo', 'beli', 'akses', 'daftar', 'paket', '']</t>
  </si>
  <si>
    <t>['samsung', '']</t>
  </si>
  <si>
    <t>['', 'comment', 'commentan', 'ilang', 'males', 'ngetiknya', 'intinya', 'jaring', 'daerah', 'pelosok', 'perhatikan', '']</t>
  </si>
  <si>
    <t>['', 'buka', 'susah', 'binggit']</t>
  </si>
  <si>
    <t>['sinyal', 'buruk', 'perfoma', 'buruk', 'buruk', 'menang', 'mahal', 'doang', 'untung', 'udh', 'ganti', 'krtu', 'kuota', 'rip', 'telkomsel']</t>
  </si>
  <si>
    <t>['bagus', 'lola']</t>
  </si>
  <si>
    <t>['pakai', 'aplikasi', 'telkomsel', 'tdak', 'buka', 'cma', 'muncul', 'warna', 'puti']</t>
  </si>
  <si>
    <t>['min', 'isi', 'pulsa', 'kena', 'tarif', 'paket', 'tolong', 'aturin', 'min', 'rugi', '']</t>
  </si>
  <si>
    <t>['josss', 'alias', 'mantap']</t>
  </si>
  <si>
    <t>['', 'telkomsel', 'buka', 'install', 'ulang', 'admin', 'bantu', '']</t>
  </si>
  <si>
    <t>['telkomsel', 'paket', 'mahal', 'jaringan', 'internet', 'murahan', 'rugi', '']</t>
  </si>
  <si>
    <t>['harga', 'paket', 'data', 'mahal']</t>
  </si>
  <si>
    <t>['tolong', 'perbaiki', 'jaringan', 'telkomsel', 'kendari', 'kuotamu', 'mahal', 'sebanding', 'jaringan', 'sediakan', 'parah', 'tolong', 'perbaiki', 'jaringannya', 'uang', 'haram', 'kasihan', 'komorang', 'makan', 'klw', 'modelnya', 'jaringanmu', '']</t>
  </si>
  <si>
    <t>['bacoooooooot', 'maitelkomsael', 'maunya', 'apli', 'kasi', 'separti', 'engka', 'internet', 'membukanya', 'akhi', 'mauabis', 'jaringannya', 'jelek']</t>
  </si>
  <si>
    <t>['membantu', 'transaksi', 'beli', 'paket', 'data', 'isi', 'pulsa', 'semoga', 'promonya', 'pakai', 'aplikasi', '']</t>
  </si>
  <si>
    <t>['telkomsel', 'oke']</t>
  </si>
  <si>
    <t>['dibuka', 'hapus', 'instal', 'ulang', 'tetep']</t>
  </si>
  <si>
    <t>['jaringan', 'terluas']</t>
  </si>
  <si>
    <t>['pakai', 'sinyal', 'kon', 'turun', 'kartu', '']</t>
  </si>
  <si>
    <t>['mohon', 'maaf', 'mytelkomsel', 'buka', 'aplikasinya']</t>
  </si>
  <si>
    <t>['diupdate', 'dibuka', 'udah', 'coba', 'uninstall', 'tolong', 'diperbaiki', 'yaa', 'ngehang', 'coba', 'buka', 'aplikasi', '']</t>
  </si>
  <si>
    <t>['apk', 'bagus', 'memiliki', 'uuntuk', 'membeli', 'paket', 'data', 'pulsa']</t>
  </si>
  <si>
    <t>['telkom', 'hmpir', 'hri', 'jaringan', 'buruk', 'mulu', 'aj', 'pket', 'jdi', 'bnyk', 'sisa', '']</t>
  </si>
  <si>
    <t>['asallamualikum', 'bos', 'tolong', 'kuota', 'habis', 'ambil', 'pulsa', 'lumayan', 'paketin', 'lgi', 'tolong', 'pengertianya', 'udh', 'pelanggan', 'setia', 'telkomsel']</t>
  </si>
  <si>
    <t>['aplikasi', 'sangt', 'membatu', 'dlm', 'kedaan', 'darurat']</t>
  </si>
  <si>
    <t>['semenjak', 'ganti', 'simpati', 'halo', 'sinyal', 'speed', 'internetnya', 'berkurang', 'alhasil', 'lemoooot', '']</t>
  </si>
  <si>
    <t>['telkomsel', 'sinyalnya', 'suka', 'ngelek', 'pektan', 'mencukupi', 'tolong', 'perbaikki']</t>
  </si>
  <si>
    <t>['udah', 'lemot', 'mahal']</t>
  </si>
  <si>
    <t>['handbody', 'racikan', 'download', 'lupa', 'menilai', 'game', 'anak', 'anak', 'allah', 'tuhanku', 'dijadikan', 'buku', 'paket', 'mahasiswa', 'informasinya', 'dpt', 'rumah', 'bang', 'beli', 'pasar', 'tugas', 'allah', 'rasul', 'dukung', 'mengobati', 'masuk', 'angin', 'tubuh', 'manusia', 'digunam']</t>
  </si>
  <si>
    <t>['aplikasi', 'bagus', 'habis', 'update', 'tampil', 'layar', 'putih']</t>
  </si>
  <si>
    <t>['unistal', 'unduh', 'masuk', 'gambar', 'putih', 'gimana', 'telkomsel', 'langganan', 'skrng', 'jelek', 'beli', 'kuota', 'susah', 'bis', 'ganti', 'kartu']</t>
  </si>
  <si>
    <t>['tolong', 'jaringqny', 'dtingkatkan']</t>
  </si>
  <si>
    <t>['eror', 'apknya']</t>
  </si>
  <si>
    <t>['aplikasinya', 'habis', 'update', 'dibuka']</t>
  </si>
  <si>
    <t>['aplikasi', 'warna', 'putih', 'buka', 'tolong', 'bantuannya', 'terimakasih', '']</t>
  </si>
  <si>
    <t>['update', 'aplikasi', 'mytelkomsel', 'log', 'aplikasi', 'mytelkomsel']</t>
  </si>
  <si>
    <t>['ngecek', 'pulsa', 'kuota', 'gampang']</t>
  </si>
  <si>
    <t>['mahal', 'pketan']</t>
  </si>
  <si>
    <t>['signal', 'simpati', 'bapet', 'tolong', 'tingkatkan']</t>
  </si>
  <si>
    <t>['harga', 'kuota', 'mahal', 'sinyal', 'kadang', 'bagus', 'kadang', 'jelek', 'didaerah', 'jabodetabek']</t>
  </si>
  <si>
    <t>['app', 'manten']</t>
  </si>
  <si>
    <t>['operator', 'apanya', 'jaringan', 'turun', 'nggak', 'panas', 'kuota', 'tersedot', 'dipakai', 'ngegame', 'lagg', 'naudzubillah', 'parahh', '']</t>
  </si>
  <si>
    <t>['enak', 'banget']</t>
  </si>
  <si>
    <t>['adil', 'bangke', 'kaka', 'gua', 'promo', 'gua', 'kasi', 'curang', 'sumpah', 'telkomsel', '']</t>
  </si>
  <si>
    <t>['susah', 'masuknya', '']</t>
  </si>
  <si>
    <t>['beli', 'paket', 'unlimited', 'youtube', 'kepotong', 'kouta', 'utama', 'beli', 'mahal', 'mahal', '']</t>
  </si>
  <si>
    <t>['mantap', 'apelikasi']</t>
  </si>
  <si>
    <t>['aplikasinya', 'bagus', 'bangettttt', '']</t>
  </si>
  <si>
    <t>['susah', 'log', 'updet']</t>
  </si>
  <si>
    <t>['aplikasi', 'gagal', 'dibuka', 'samsung', 'mohon', 'perbaikannya']</t>
  </si>
  <si>
    <t>['cepat', 'keluarkan', 'sakti', 'data', 'terjangkau', 'tunggu', 'terimakasih']</t>
  </si>
  <si>
    <t>['layar', 'putih']</t>
  </si>
  <si>
    <t>['bertahun', 'mengguna', 'aplikasi', 'bagus', 'minggu', 'minggu', 'tolong', 'perbaiki']</t>
  </si>
  <si>
    <t>['mohon', 'maaf', 'nich', 'admin', 'developer', 'buka', 'aplikasi', 'telkomselnya', 'putih', 'trs', 'tolong', 'perbaiki']</t>
  </si>
  <si>
    <t>['sumpah', 'tsel', 'lelet', 'bgeettt', 'kesel', 'deh', 'diperbaiki', 'koneksinya', 'yaa', 'sumpah', 'lelet', 'bget', '']</t>
  </si>
  <si>
    <t>['dasar', 'taik', 'tukerin', 'point', 'pulsa', 'kemakan', 'konthol', 'poin', 'pulsa', 'makan', 'babi', '']</t>
  </si>
  <si>
    <t>['telkomsel', 'salah', 'jaringan', 'ter', 'najis', 'indo', 'karenakan', 'sinyal', 'telkomsel', 'cacad', 'stabil', 'pengunanya', 'stres', 'melapor', 'ganguan', 'sinyal', 'tapai', 'gubris', 'intinya', 'tingal', 'telkomsel', 'worit', 'sinyal', 'laq', 'rerus', 'orang', 'emosi', 'telkom', 'cacad', 'babi']</t>
  </si>
  <si>
    <t>['tolong', 'dibenahi', 'aplikasinya', 'masak', 'ngestuck', 'blank', 'putih', 'mulu', 'udah', 'dibersihkan', 'chace', 'telegramnya', 'dihubungi']</t>
  </si>
  <si>
    <t>['buka', 'apk', 'telkomsel', 'msuk', 'layar', 'putih']</t>
  </si>
  <si>
    <t>['semoga', 'mantap']</t>
  </si>
  <si>
    <t>['payah', 'telkomsel', 'bka', 'aplikasi', 'putih', 'doank', '']</t>
  </si>
  <si>
    <t>['skrg', 'dibuka', 'app', 'blankkkk']</t>
  </si>
  <si>
    <t>['update', 'telkomsel', 'pas', 'buka', 'langsung', 'tampilannya', 'putih']</t>
  </si>
  <si>
    <t>['gimana', 'min', 'menu', 'dial', 'tipu', 'ane', 'jdi', 'ngga', 'bsa', 'daftar', 'paket', '']</t>
  </si>
  <si>
    <t>['jaringannya', 'buruk', '']</t>
  </si>
  <si>
    <t>['its', 'setuju']</t>
  </si>
  <si>
    <t>['mahal', 'sinyal', 'turun', 'sip', 'gua', 'mah', 'tingkatkan', 'kecepatan', 'internet', 'jawa', '']</t>
  </si>
  <si>
    <t>['apk', 'mendukung', 'bngt', 'cumn', 'harganya', 'miring', 'kah', 'bosss', '']</t>
  </si>
  <si>
    <t>['versi', 'terabal', 'abal', 'dibuka', 'cuman', 'blank', 'putih']</t>
  </si>
  <si>
    <t>['membantu', 'membeli', 'pulsa', 'mengisi', 'kuota', 'internet', 'murah']</t>
  </si>
  <si>
    <t>['jaringan', 'oke', 'klw', 'turunin', 'harga', '']</t>
  </si>
  <si>
    <t>['perbaikin', 'jaringan', 'busuk']</t>
  </si>
  <si>
    <t>['min', 'masuk', 'telkomsel', 'blank', 'putih', 'muat', 'ulang', 'blank', 'putih']</t>
  </si>
  <si>
    <t>['isi', 'pulsa', 'lgsung', 'kptong', 'rb', 'biaya', 'admin', 'isi', 'pulsa', '']</t>
  </si>
  <si>
    <t>['suka', 'aplikasih', 'mytelkomsel']</t>
  </si>
  <si>
    <t>['minggu', 'dibuka', 'aplikasinya', 'pdhl', 'instal', 'ulang']</t>
  </si>
  <si>
    <t>['kecewa', 'apk', 'skarang', 'udh', 'make', 'apk', 'paa', 'buka', 'tampil', 'layar', 'putih', 'kek', 'gini', 'mending', 'hapus', 'apk', '']</t>
  </si>
  <si>
    <t>['sinyal', 'jelek', 'berlangganan', 'rb', 'perbulan', 'bangsatttt']</t>
  </si>
  <si>
    <t>['kasih', 'bonus', 'kak', 'paket', 'datanya', '']</t>
  </si>
  <si>
    <t>['kecewa', 'banget', 'telkomsel', 'beli', 'pulsa', 'kesedot', 'beli', 'kesedot', 'korupsi', 'nyusahin', 'orang', 'beli', 'duit', '']</t>
  </si>
  <si>
    <t>['min', 'hubungi', 'twitter', 'bantuan', 'keluhan', 'trnyata', 'tanggapan', 'update', 'aplikasinya', 'buka', 'layar', 'putih', 'byk', 'pengguna', 'keluhan', 'mohon', 'selesaikan', 'ketidak', 'nyamanan', '']</t>
  </si>
  <si>
    <t>['kemarin', 'paket', 'combo', 'sakti', 'ribu', 'ribu', 'gb', 'turunin', 'harganya', 'kecewa']</t>
  </si>
  <si>
    <t>['gangguan', 'berlaku', 'kuota', 'suka', 'berubah', 'mengurangi', '']</t>
  </si>
  <si>
    <t>['kecewa', 'pakai', 'telkomsel', 'mengerti', 'orang', 'pindah', 'developer']</t>
  </si>
  <si>
    <t>['membantu', 'cek', 'beli', 'paket', 'pulsa', 'liat', 'info', 'nomor', 'telkom']</t>
  </si>
  <si>
    <t>['apik', 'pokoke']</t>
  </si>
  <si>
    <t>['aplikasinya', 'dibuka', 'udah', 'hmpir', 'mingguan', 'hapus', 'download', 'masihg', 'dibuka']</t>
  </si>
  <si>
    <t>['pakai', 'android', 'buka', 'aplikasi', 'blank', 'putih', 'pakai', 'android', 'aneh', 'buka', 'app', 'telkomsel', 'uda', 'versi', 'app', 'dimana', 'android', 'buka', 'wajar', 'kebalikannya', 'tolong', 'benahi', '']</t>
  </si>
  <si>
    <t>['muantab', 'harga', 'paket', 'mahal', 'bumn']</t>
  </si>
  <si>
    <t>['bonusnya', 'banyakin', 'paket', 'murahin']</t>
  </si>
  <si>
    <t>['', 'dibuka', 'mentok', 'layar', 'putih', 'doang', '']</t>
  </si>
  <si>
    <t>['telkomsel', 'aktip', 'seminggu', 'susah', 'buka', 'layar', 'putih', '']</t>
  </si>
  <si>
    <t>['menggali', 'informasi']</t>
  </si>
  <si>
    <t>['blank', 'putih', 'dibuka']</t>
  </si>
  <si>
    <t>['bagus', 'pilihan', 'sesuai', 'kebutuhan']</t>
  </si>
  <si>
    <t>['bagus', 'cek', 'kuota', 'pulsa']</t>
  </si>
  <si>
    <t>['aplikasi', 'bagus', 'membeli', 'kuota', 'harganya', 'murah', '']</t>
  </si>
  <si>
    <t>['nge', 'lag', 'perkembangan']</t>
  </si>
  <si>
    <t>['udah', 'dibuka', 'min', '']</t>
  </si>
  <si>
    <t>['buruk', 'skema', 'tarif', 'pulsa', 'disedot', '']</t>
  </si>
  <si>
    <t>['harga', 'paket', 'internet', 'mahal', 'jaringan', 'internetnya', 'memburuk', 'kecewa', 'parah', 'telkomsel', 'pindah', '']</t>
  </si>
  <si>
    <t>['maaf', 'min', 'tpi', 'jaringan', 'suka', 'ilang', 'enak', 'ngegame', 'jaringan', 'ilang', 'kadang', 'turun', 'udh', 'enak', 'pdhl', 'dlu', 'telkomsel', 'enak', 'tpi', 'menurun']</t>
  </si>
  <si>
    <t>['sinyal', 'ampas', 'harga', 'mahal']</t>
  </si>
  <si>
    <t>['', 'app', 'kebuka', 'app', 'bagus', 'banget', 'tolong', 'perbaiki', 'app', '']</t>
  </si>
  <si>
    <t>['setabil', 'jaringan', 'buruk', 'jaringan', 'bagusnya']</t>
  </si>
  <si>
    <t>['aplikasi', 'ampas', 'dibuka', 'nge', 'blank', 'putih', 'berlaku', 'android', '']</t>
  </si>
  <si>
    <t>['wey', 'gblok', 'knp', 'masuk', 'beli', 'pket', 'gblok', 'tolol']</t>
  </si>
  <si>
    <t>['aplikasi', 'dibuka', 'payah', 'usang']</t>
  </si>
  <si>
    <t>['telkomsel', 'biadap', 'selau', 'nge', 'game', 'ngelg', 'mulu', 'kesel', 'telkomsel', 'hijrah', 'kartu']</t>
  </si>
  <si>
    <t>['aplikasi', 'baguss', 'memudah', 'pengguna', 'telkomsel']</t>
  </si>
  <si>
    <t>['telkom', 'jaringan', 'sinyalnya', 'kuat', 'dikota', 'dipedesaan', 'mantap']</t>
  </si>
  <si>
    <t>['jaringan', 'telkom', 'lemot', 'bangat', 'lancar', 'lancar', 'lemot', 'sampe', 'sinyal', '']</t>
  </si>
  <si>
    <t>['mempermudah', 'operasi']</t>
  </si>
  <si>
    <t>['kecewa', 'aplikasinya', 'buka', 'mohon', 'bantuhan']</t>
  </si>
  <si>
    <t>['nggak', 'buka', '']</t>
  </si>
  <si>
    <t>['buruk', 'kartu']</t>
  </si>
  <si>
    <t>['pakai', 'aplikasinya', 'bagus']</t>
  </si>
  <si>
    <t>['serba', 'gampang']</t>
  </si>
  <si>
    <t>['sinyall', 'ampunnn', 'pascabayar', 'nonton', 'youtube', 'buffering', 'ampun', 'payah']</t>
  </si>
  <si>
    <t>['sinyal', 'simpati', 'sekrang', 'payah', 'sinyal', 'penuh', 'buka', 'apk', 'kaga', 'sanggup', 'ane', '']</t>
  </si>
  <si>
    <t>['buka', 'telkomsel', '']</t>
  </si>
  <si>
    <t>['aplikasi', 'bgus', 'memuaskan']</t>
  </si>
  <si>
    <t>['najis', 'kartu', 'apan', 'kayak', 'gini', 'orng', 'gdk', 'angin', 'gdk', 'hujan', 'ngelek', 'jiji', 'mahal', 'doang', 'najis']</t>
  </si>
  <si>
    <t>['cari', 'untung', 'kuota', 'mahal', 'jaringan', 'murahan', 'jaringannya', 'perkuat', 'njing', 'beli', 'kuota', 'mahal', 'gunanya', 'bangsattt']</t>
  </si>
  <si>
    <t>['pulsa', 'giliran', 'beli', 'paket', 'pulsa', 'mencukupi', 'telfon', 'ribetnya', 'ampun', 'udah', 'sabarin', 'bikinin', 'laporan', 'dlu', 'nunggu', 'jam', 'mantap', '']</t>
  </si>
  <si>
    <t>['lumayan', 'mempermudah', 'tpik', 'harganya', '']</t>
  </si>
  <si>
    <t>['sinyal', 'telkomsel', 'lma', 'kaya', 'taikkkkkk', 'kesel', 'kali', 'kek', 'pepek', 'turun', 'rank', 'anjeng']</t>
  </si>
  <si>
    <t>['telkomsel', 'bangkrut', 'guys', 'koneksinya', 'terburuk']</t>
  </si>
  <si>
    <t>['isi', 'pulsa', 'nggk', 'masuk', '']</t>
  </si>
  <si>
    <t>['membantu', 'kemudahan', 'berteransaksi', 'pulsa', 'kuota', 'laina', '']</t>
  </si>
  <si>
    <t>['app', 'telkomsel', 'buka', '']</t>
  </si>
  <si>
    <t>['sinyal', 'stabil', 'player', 'game', 'rugih', 'sinyal', 'merah', 'mulu', 'kadang', 'sinyal', 'beli', 'paketan']</t>
  </si>
  <si>
    <t>['cepat', 'mudah', '']</t>
  </si>
  <si>
    <t>['tambahin', 'mode', 'kunci', 'pulsa', 'salah', 'paket', 'habis', 'nyedot', 'pulsa', '']</t>
  </si>
  <si>
    <t>['pengen']</t>
  </si>
  <si>
    <t>['', 'telkomsel', 'pilihan', 'terutma', 'beli', 'paket', 'telkom', 'bnyk', 'pilihan', 'oklh', '']</t>
  </si>
  <si>
    <t>['sebel', 'banget', 'habis', 'update', 'apps', 'dibuka', 'cuman', 'muncul', 'layar', 'putih', 'jaringan', 'bagus', 'udah', 'clear', 'cache', 'clear', 'data', 'sampe', 'restart', 'ttep', 'dibuka', 'mohon', 'telkomsel', 'diperbaiki', 'capek', 'nungguinnya', 'beli', 'paket', 'data', '']</t>
  </si>
  <si>
    <t>['singa', 'bagus']</t>
  </si>
  <si>
    <t>['aplikasinya', 'blank', 'putih', 'doank', 'uninstal', 'downlaod', 'lgi', 'susah', 'dech', 'beli', 'kuota', 'aplikasi', 'barkali', 'kali', 'dicoba', 'ulang', 'ttp', 'sma']</t>
  </si>
  <si>
    <t>['aplikasi', 'telkomsel', 'buka', 'udah', 'seminggu', 'kendala', 'mohon', 'infonnya']</t>
  </si>
  <si>
    <t>['pulsaku', 'kepotong', 'muncul', 'notif', 'akses', 'internet', 'non', 'paket', 'paket', 'jangka', 'waktnya', 'telkom', 'utang', 'motong', 'pulsa', 'pelanggan', 'bayar', '']</t>
  </si>
  <si>
    <t>['apk', 'updet', 'dak', 'buka', 'apk', 'warnanya', 'putih', 'gaje']</t>
  </si>
  <si>
    <t>['aplikasi', 'memuaskan']</t>
  </si>
  <si>
    <t>['voucher', 'top', 'game', 'free', 'fire', 'min', 'laku', '']</t>
  </si>
  <si>
    <t>['paket', 'game', 'knp', 'owey']</t>
  </si>
  <si>
    <t>['jaringan', 'hancur']</t>
  </si>
  <si>
    <t>['mudah', 'lho', '']</t>
  </si>
  <si>
    <t>['eror', 'tolll']</t>
  </si>
  <si>
    <t>['buruk', 'berlangganan', 'kuota', 'unlimited', 'youtube', 'day', 'dipotong', 'paket', 'datanya', 'udah', 'unlimited', 'youtube', 'mikirlah', 'pelanggan', 'betah', 'gini', '']</t>
  </si>
  <si>
    <t>['ngecek', 'kuota', 'apk', 'nge', 'blank', 'putih', 'doang', 'reset', 'apk', 'download', 'ttp', 'nge', 'blank', 'tolong', 'diperbaiki', 'kasih', 'dlu', '']</t>
  </si>
  <si>
    <t>['sinyal', 'lumayan', 'oke', 'semoga', 'bagus', 'lgi', 'jaringan', 'daerah']</t>
  </si>
  <si>
    <t>['layarnya', 'putih', 'buka', 'kemana', 'mengadu', '']</t>
  </si>
  <si>
    <t>['sumpah', 'sampah', 'kesini', 'bukanya', 'bagus', 'ingus', 'udah', 'harga', 'mahal', 'gpp', 'seimbang', 'dapet', 'busuk', 'signal', 'stabil', 'edge', 'trs', 'gini', 'banget', 'gila', 'ancur', 'telkomnyet', 'jaringanya', 'parah', 'males', 'pelanggan', 'setia', '']</t>
  </si>
  <si>
    <t>['applikasi', 'error', 'udh', 'buka', 'kebuka']</t>
  </si>
  <si>
    <t>['kasih', 'bintang', 'karna', 'menukarkan', 'poin', 'voucher', 'internet']</t>
  </si>
  <si>
    <t>['ngk', 'aplikasi', 'udh', 'ngk', 'dibuka', 'adminy', 'data', 'doang', 'ngk', 'info', 'msh', 'blm', 'pesany', 'dibaca', 'doank', 'ngk', 'respon', '']</t>
  </si>
  <si>
    <t>['saran', 'semoga', 'telkomsel', 'kunci', 'pulsa', 'kayak', 'provider', 'kouta', 'habis', 'pulsa', 'berkurang', '']</t>
  </si>
  <si>
    <t>['pindah', 'provider', 'deh', 'axis', 'indosat', 'telkomsel', 'mencekik', 'terjangkau']</t>
  </si>
  <si>
    <t>['provider', 'ngentod', 'jaringannya', 'kayak', 'ampas', 'dipake', '']</t>
  </si>
  <si>
    <t>['buka', 'white', 'screen', '']</t>
  </si>
  <si>
    <t>['berbulan', 'aplikasi', 'buka', 'sms', 'notis', 'slalu', 'muncul', 'promo', 'pas', 'buka', 'aplikasinya', 'mlah', 'ngelek', 'ndak', 'buka']</t>
  </si>
  <si>
    <t>['jaringan', 'jelek', 'ilang', '']</t>
  </si>
  <si>
    <t>['respon', 'cepat']</t>
  </si>
  <si>
    <t>['murah', 'paket', 'mahal', 'mahal', 'unlimited']</t>
  </si>
  <si>
    <t>['putih', 'layarnya', 'dibuka', 'apk', 'asudah', 'sebulan', '']</t>
  </si>
  <si>
    <t>['jaringan', 'telkomsel', 'lelet', 'udah', 'serasa', 'jaringan', 'edge', 'nyesel', 'pakai', 'kartu', 'telkomsel']</t>
  </si>
  <si>
    <t>['jaringanlemot', 'parah']</t>
  </si>
  <si>
    <t>['jaringan', 'oke']</t>
  </si>
  <si>
    <t>['udah', 'perbaharui', 'pas', 'dibuka', 'perbaharui', 'buka', 'play', 'store', 'bacaan', 'uninstall', 'bener', 'bambang']</t>
  </si>
  <si>
    <t>['data', 'pas', 'isi', 'pulsa', 'ngambil', 'pulsa', 'trus', 'nyalain', 'wifi', 'knp', 'ambil', 'pulsa', 'utama', 'merugikan', 'tolong', 'perbaiki', 'jangn', 'gitu']</t>
  </si>
  <si>
    <t>['aplikasinya', 'gunain', 'gmn', 'putih', 'trus', 'gunain', '']</t>
  </si>
  <si>
    <t>['sangangat', 'membantu']</t>
  </si>
  <si>
    <t>['paket', 'harga', '']</t>
  </si>
  <si>
    <t>['komentar', 'apk', 'jaringan', 'kaitannya', 'tolong', 'perbiki', 'jaringannya', 'kualitas', 'sesuai', 'harganya', 'donk', 'harga', 'paket', 'mahal', 'jaringan', 'jadul']</t>
  </si>
  <si>
    <t>['membantu', 'cek', 'kuota', 'cek', 'saldo', 'dll']</t>
  </si>
  <si>
    <t>['download', 'susah', 'banget', 'beli', 'paket', 'data', 'gimana', 'tolong', 'bantuannya', '']</t>
  </si>
  <si>
    <t>['aplikasi', 'bsa', 'dibuka', 'telp', 'call', 'center', 'terima', 'arahan', 'tetep', 'websitenya', 'bsa', '']</t>
  </si>
  <si>
    <t>['login', 'loading', 'banget', '']</t>
  </si>
  <si>
    <t>['upgrade', 'buka', 'tolong', 'perbaiki', 'tinggalkan', 'pelanggan', '']</t>
  </si>
  <si>
    <t>['telkomsel', 'kesini', 'parah', 'sinyal', 'pocox', 'pro', 'ram', 'serasa', 'kentang', 'jaringan', 'parah', 'banget']</t>
  </si>
  <si>
    <t>['sinyalnya', 'parah']</t>
  </si>
  <si>
    <t>['waw', 'keren', 'gaes', 'btw', 'combo', 'saktinya', 'dinaikin', 'harganya', '']</t>
  </si>
  <si>
    <t>['mimin', 'aplikasinya', 'update', 'aplikasinya', 'dibuka', 'loding', 'super', 'cek', 'beli', 'paket', 'data', 'mohon', 'perbaiiki', 'utamakan', 'kepuasan', 'pelanggan', 'sepele', 'gini', 'pelanggan', 'kecewa']</t>
  </si>
  <si>
    <t>['aplikasi', 'jelek', 'banget', 'saldo', 'berkali', 'berkali', 'kesedot', 'habis', 'biiiiiiiiiiiis', 'udah', 'beli', 'paketan']</t>
  </si>
  <si>
    <t>['murah', 'harga', 'paket']</t>
  </si>
  <si>
    <t>['lemot', 'sinyal', 'telkom', 'khusus', 'rumah', 'perbukitan', '']</t>
  </si>
  <si>
    <t>['ayolah', 'kasih', 'jaringan', 'bagus', 'didaerahku', '']</t>
  </si>
  <si>
    <t>['mantap', 'dahhh', 'joss']</t>
  </si>
  <si>
    <t>['sinyalnya']</t>
  </si>
  <si>
    <t>['aplikasi', 'jelek', 'buka', 'muncul', 'layar', 'putih', '']</t>
  </si>
  <si>
    <t>['hai', 'min', 'keluhan', 'membuka', 'aplikasi', 'telkomsel', 'dibuka', 'muncul', 'layar', 'putih', 'hapus', 'instal', 'ulang', 'dibuka', 'menunggu', 'minggu', 'dibuka', 'tolong', 'penjelasan', 'min', 'aplikasi', '']</t>
  </si>
  <si>
    <t>['cakep', 'dipermudah']</t>
  </si>
  <si>
    <t>['udah', 'bertahun', 'pakek', 'telkomsel', 'knp', 'bru', 'update', 'dibukakkkkk', '']</t>
  </si>
  <si>
    <t>['udh', 'download', 'bolak', 'buka', 'kesal', 'jdinya', 'huuh']</t>
  </si>
  <si>
    <t>['', 'buka', 'sihh']</t>
  </si>
  <si>
    <t>['aplikasi', 'jelek', 'bsa', 'buka', 'putih', 'smua', 'sekelas', 'telkomsel', 'aplikasi', 'ginian', 'jempol', 'bwah']</t>
  </si>
  <si>
    <t>['', 'krtu', 'org', 'kaya', 'ehh', 'jringn', 'ancor']</t>
  </si>
  <si>
    <t>['benerin', 'paket', 'gamemax', 'gua', 'main', 'lag', 'blok']</t>
  </si>
  <si>
    <t>['aplikasi', 'membantu', 'banget', 'liat', 'kuota', 'beli', 'kuota', 'dll']</t>
  </si>
  <si>
    <t>['aplikasi', 'kesel', 'udh', 'instal', 'dibuka', 'aplikasi', 'telkomsel', 'ribeeeeeeeeet', 'jeleeeeeek']</t>
  </si>
  <si>
    <t>['tolong', 'kasih', 'bonus', 'data', 'gamemax', 'sgalak', 'gara', 'gara', 'paket', 'jaringan', 'bagus', 'main', 'game', 'mengakses', 'youtube', 'tolong', 'hapus', 'bonus']</t>
  </si>
  <si>
    <t>['buka', 'aplikasinya', 'layarnya', 'putih', 'dipikir', 'error', 'uninstal', 'pas', 'instal', 'bgtu', 'ttapi', 'putih', 'layarnya', '']</t>
  </si>
  <si>
    <t>['telkom', 'tolong', 'diperbaiki', 'sinyal', 'hilang', '']</t>
  </si>
  <si>
    <t>['udah', 'berlangganan', 'ama', 'telkomsel', 'kecewa', 'aplikasi', 'buka', '']</t>
  </si>
  <si>
    <t>['paket', 'doang', 'mahal', 'mahal', 'jaringannya', 'lemot']</t>
  </si>
  <si>
    <t>['sel', 'ngga', 'buka', 'sinyal', 'oke', 'maw', 'cek', 'kuota', 'aplikasi', 'aga', 'susah']</t>
  </si>
  <si>
    <t>['undian', 'beneran', 'iklan']</t>
  </si>
  <si>
    <t>['pembaruan', 'aplikasi', 'trlkomsel', 'buka', 'mengecewakan', 'belanja', 'paket', 'telkomsel', 'buka']</t>
  </si>
  <si>
    <t>['efissien', 'terakurat']</t>
  </si>
  <si>
    <t>['', 'jaringan', 'jelek', 'susah', 'main', 'game']</t>
  </si>
  <si>
    <t>['harga', 'paket', 'promo', 'promo', '']</t>
  </si>
  <si>
    <t>['mudhbeli', 'pulsa', 'paketan']</t>
  </si>
  <si>
    <t>['apk', 'buruk', 'tuker', 'poin', 'kwota']</t>
  </si>
  <si>
    <t>['parah', 'ngelag', 'sinyal']</t>
  </si>
  <si>
    <t>['oke', 'suka', 'aplikasi', 'beli', 'pulsa', 'murah', 'tarif', 'ttp', 'harganya', 'trus', 'pembayaran', 'spay', 'jga', 'admin', 'wow', 'pembayaran', 'via', 'via', 'suka', 'admin', 'trus', 'pokonya', 'luvv', 'jaringannya', 'diaku', 'oke', 'lumayan', 'pelosok']</t>
  </si>
  <si>
    <t>['maaf', 'bintang', 'aplikasi', 'kecewa', 'layanan', 'telkomsel']</t>
  </si>
  <si>
    <t>['maaf', 'knapa', 'aplikasinya', 'buka', 'udah', 'dowload', 'kali', 'buka', 'tolong', 'perbaiki']</t>
  </si>
  <si>
    <t>['bnyk', 'discount', 'bonus', 'paket', '']</t>
  </si>
  <si>
    <t>['pokoknya', 'terbaik']</t>
  </si>
  <si>
    <t>['admin', 'knp', 'sekrng', 'tel', 'susah', 'dibuka', 'lyr', 'putih', 'hapus', 'trus', 'donlot', 'buka']</t>
  </si>
  <si>
    <t>['faktor', 'perusak', 'handpon', 'ios', 'adnroid', 'karna', 'jaringan', 'rating', '']</t>
  </si>
  <si>
    <t>['cukupbaik', 'tolong', 'tingkatkan', 'kualitas', 'pelayanannya']</t>
  </si>
  <si>
    <t>['mahal', 'harganya']</t>
  </si>
  <si>
    <t>['koq', 'dibuka', 'app', '']</t>
  </si>
  <si>
    <t>['gabisa', 'dibuka', 'gimanaa', 'putih', 'semuaaa']</t>
  </si>
  <si>
    <t>['kartu', 'korupsi', 'pulsa', 'gimana', 'gua', 'isi', 'pulsa', 'goceng', 'menit', 'abis', 'pulsa', 'gua', 'gatau', 'kemana', '']</t>
  </si>
  <si>
    <t>['aplikasi', 'dibuka', 'poin', 'udh', 'tolong', 'perbaiki', 'beli', 'paket', '']</t>
  </si>
  <si>
    <t>['', 'buruk', 'pelayan', 'buruk', 'signal', 'buruk', 'respon', 'sayangkan']</t>
  </si>
  <si>
    <t>['membantu', 'memenuhi', 'kebutuhan', 'sehari', 'transaksaksi', 'dll', '']</t>
  </si>
  <si>
    <t>['aplikasi', 'telkomsel', 'bsa', 'buka', 'knp', 'yaaa', '']</t>
  </si>
  <si>
    <t>['buka', 'aplikasi', 'update', 'login', 'mulu', 'mohon', 'perbaiki', 'min']</t>
  </si>
  <si>
    <t>['buka', 'astaga']</t>
  </si>
  <si>
    <t>['aplikasi', 'buka', 'updaet']</t>
  </si>
  <si>
    <t>['handphone', 'realme', 'tampilan', 'telkomsel', 'blank', 'putih', 'coba', 'hapus', 'cache', 'uninstall', 'install', '']</t>
  </si>
  <si>
    <t>['tolong', 'diperbaiki', 'dibuka', 'beli', 'paketan', 'susah']</t>
  </si>
  <si>
    <t>['kecewa', 'banget', 'download', 'dibuka', '']</t>
  </si>
  <si>
    <t>['gabisa', 'buka', 'heuh', 'doang', 'orng', 'tolong', 'aplikasinya', 'diperhatikan']</t>
  </si>
  <si>
    <t>['dasar', 'apk', 'penipu']</t>
  </si>
  <si>
    <t>['aplikasinya', 'lumayan', 'bagus', 'tolang', 'telkomsel', 'paket', 'habis', 'main', 'ambil', 'pulsa', 'pemberitahuan', 'dululah', 'minimal', 'plus', 'suka', 'ngeprank']</t>
  </si>
  <si>
    <t>['sebulan', 'bug', 'splashscreen', 'stuck', 'putih', 'update', 'bermasalah', 'samsung', 'update', 'versi', 'terbaru', 'factory', 'reset', 'tolong', 'diperbaiki', '']</t>
  </si>
  <si>
    <t>['membantu', 'merdeka']</t>
  </si>
  <si>
    <t>['aps', 'bagus', 'banget', 'mantap', 'pokoknya']</t>
  </si>
  <si>
    <t>['update', 'susah', 'masuk', 'aplikasi', 'simple', 'app', 'berat']</t>
  </si>
  <si>
    <t>['paket', 'mahal', 'sinyal', 'lemot', 'bngt']</t>
  </si>
  <si>
    <t>['mempermudah', 'beli', 'paket']</t>
  </si>
  <si>
    <t>['abis', 'updet', 'buka', 'udah', 'gitu', 'paket', 'combo', 'sakti', 'naek', 'jaring', 'ngadat', 'suka', 'ngedrop', 'hadeh', 'telkom', 'telkom', 'ganti', 'sayang', 'telpon', '']</t>
  </si>
  <si>
    <t>['', 'download', 'kebuka', 'blank', 'putih']</t>
  </si>
  <si>
    <t>['kuota', 'internet', 'lumayan', 'murah', 'sinyal', 'jelek', 'mohon', 'ditingkatkan', 'trimakasih']</t>
  </si>
  <si>
    <t>['kecewa', 'talkomsel', 'main', 'game', 'ngeleg', 'kadang', 'jaringan', 'hilang', 'merugikan', 'gamers', 'tolong', 'perbaiki', 'jaringan']</t>
  </si>
  <si>
    <t>['selamat', 'siang', 'min', 'update', 'telkomsel', 'sya', 'buka', 'mohon', 'penjelasannya', 'donk', 'min', '']</t>
  </si>
  <si>
    <t>['min', 'tolong', 'perbaiki', 'apk', 'karna', 'buka', 'apk', 'saring', 'apk', 'terhenti', 'mohon', 'perbaiki']</t>
  </si>
  <si>
    <t>['aplikasi', 'erorr', 'pulsa', 'hilang', 'beli', 'bayar', 'pakai', 'ovo', 'terpotong', 'ovo', 'poin', 'masuk', 'internet', 'masuk', 'mengadu', 'veronika', 'nyambung']</t>
  </si>
  <si>
    <t>['kuota', 'nasional', 'tolong', 'perbanyak']</t>
  </si>
  <si>
    <t>['aplikasinya', 'dibuka', 'layar', 'blank', 'putih', 'doang', 'iiihh']</t>
  </si>
  <si>
    <t>['sangaaattt', 'kecewaaa', 'sinyal', 'telkomsel', 'harga', 'mahaaaaaalll', 'jaringan', 'susah', 'desa', 'kota', 'tower', 'susah', 'sangaaattt', 'sinyal', '']</t>
  </si>
  <si>
    <t>['', 'suka', 'degan', 'apk', 'baguss']</t>
  </si>
  <si>
    <t>['sinyal', 'rusak', 'sinyalnya', 'harga', 'kuota', 'mahal', 'benerin', 'sinyal', 'kasih', 'harga', 'mahal']</t>
  </si>
  <si>
    <t>['aplikasi', 'mudah', 'membantu', 'pengguna']</t>
  </si>
  <si>
    <t>['aplikasi', 'tdak', 'terbuka', 'mohon', 'infonya', 'donk', '']</t>
  </si>
  <si>
    <t>['sumpah', 'pulsa', 'sorot', 'pas', 'abis', 'kuota', 'kartu', 'ngga', 'telat', 'pemberitahuan', 'kuota', 'mb', 'pas', 'udh', 'habis', 'kecewa', '']</t>
  </si>
  <si>
    <t>['kali', 'ulasan', 'tpi', 'hapus', 'hapus', 'pelanggan', 'aplikasi', 'jelak', 'aplikasi', 'combo', 'sakti', 'tpi', 'beli', 'ngk', 'klu', 'ngk', 'combi', 'sakti', 'ngk', 'cantumkan', '']</t>
  </si>
  <si>
    <t>['beli', 'paket', 'mahal', 'paket', 'habis', 'sisa', 'paket', 'game', 'nge', 'game', 'lemooot', 'sampah', 'emang']</t>
  </si>
  <si>
    <t>['udah', 'thn', 'pakai', 'aplikasi', 'murah', 'paketny', 'mahal']</t>
  </si>
  <si>
    <t>['jaringan', 'apk', 'telkomsel', 'buruk', 'gaada', 'perbaikan', 'signifikan', 'bodo', 'contohnya', 'telkomsel', 'blank', 'putih', 'masuk', 'laporan', 'jwbannya', 'gada', 'vareasi']</t>
  </si>
  <si>
    <t>['buka', 'apknya']</t>
  </si>
  <si>
    <t>['sinyal', 'kuat', 'daerahku', 'towernya', 'kasih', 'bintang', '']</t>
  </si>
  <si>
    <t>['dasar', 'vendor', 'maling', 'pulsa', 'pelanggan', 'kuota', 'byk', 'aktif', 'berlangganan', 'layanan', 'apapun', 'nelpon', 'sms', 'pulsa', 'utama', 'dicuri', 'habis', 'telkom', 'tod', 'udh', 'berkali', 'kali', 'lapor', 'telkomsel', 'dpt', 'jalan', 'penyelesaian', 'penjelasan', 'berputar', 'minus', 'solusi', 'telkomsel', 'nyolong', 'pulsa', 'pelanggan', 'makan', 'gaji', 'karyawannya', 'maybe', '']</t>
  </si>
  <si>
    <t>['puasa', 'bagus']</t>
  </si>
  <si>
    <t>['aplikasinya', 'download', 'pakai', 'data', 'dibuka', 'full', 'putih', 'blank', 'pengganti', 'aplikasi', 'lancar', 'bagus', 'undian', 'poinnya', 'hadiah', 'mobil', 'motor', 'smartphone', 'tipu', 'pelaris', 'silam', 'mei', 'pelanggan', 'setia', 'simpati', 'telkomsel', 'tukar', 'poin', 'menang', '']</t>
  </si>
  <si>
    <t>['kuota', 'telkomsel', 'lemotttt', 'banget', 'sihhhh', 'jdi', 'kesel']</t>
  </si>
  <si>
    <t>['apl', 'jelek', 'dibuka', '']</t>
  </si>
  <si>
    <t>['sinyal', 'jelek', 'main', 'game', 'nyesel', 'beli', 'paketan', 'gabisa', 'main', 'game']</t>
  </si>
  <si>
    <t>['mohon', 'tingkatkan', 'pelayanan', 'jaringan', 'internet', 'terkadang', 'kalah', 'provider', 'jaringan', 'lemoooooot']</t>
  </si>
  <si>
    <t>['jaringan', 'lemah', 'disumut', 'sms', 'masuknya', 'update', 'berat', 'telkomsel']</t>
  </si>
  <si>
    <t>['aplikasi', 'susah', 'dibuka', 'paketkan', 'kuota']</t>
  </si>
  <si>
    <t>['wooooiiiiiiii', 'benerin', 'aplikasi', 'nampak', 'layar', 'putih', 'doank', '']</t>
  </si>
  <si>
    <t>['gajelas', 'banget', 'isi', 'pulsa', 'bayar', 'utang', 'paketin', 'gb', 'udh', 'kesedot', 'sisa', 'telkomsel', 'update', 'gampang', 'kesedot', 'rugi', 'mah']</t>
  </si>
  <si>
    <t>['diperbaiki', 'minggu', 'buka', 'aplikasi', 'telkomsel', 'update', 'meresahkan', 'berikanlah', 'kepuasan', 'pelangganmu', '']</t>
  </si>
  <si>
    <t>['kadang', 'dibuka']</t>
  </si>
  <si>
    <t>['dibuka', 'hapus', 'ulang', 'download', 'krim', 'lwet', 'sherit', 'jga']</t>
  </si>
  <si>
    <t>['jaringan', 'mengerikan', 'lemot', 'mah', 'jalan', 'pakai', 'loading', 'ampun', 'kota', 'tower', 'jaringan']</t>
  </si>
  <si>
    <t>['aplikasi', 'bagus', 'mudah', 'promo', 'menarik']</t>
  </si>
  <si>
    <t>['tolong', 'beli', 'kuota', 'telkomsel', 'emang', 'gamau', 'rugi', 'gausah', 'kasih', 'diskon', 'rugi', 'beli', 'kuota', 'situ', 'masuk', 'pulsa', 'kesedot']</t>
  </si>
  <si>
    <t>['gabisa', 'buka', 'aplikasinya', '']</t>
  </si>
  <si>
    <t>['knp', 'masuk', 'apk', 'instal', 'uninstal', 'sekian', 'kali', 'masuk']</t>
  </si>
  <si>
    <t>['telkom', 'jaringan', 'kek', 'babi']</t>
  </si>
  <si>
    <t>['aplikasi', 'knpa', 'bsa', 'buka', 'layar', 'putih', 'trus', 'sya', 'beli', 'paket', 'jga']</t>
  </si>
  <si>
    <t>['suka', 'lelet', 'daily', 'check', 'data', 'kesedot']</t>
  </si>
  <si>
    <t>['pengguna', 'kartu', 'thn', 'semoga', 'undian', 'hadiah', 'poin', 'amin']</t>
  </si>
  <si>
    <t>['bacot']</t>
  </si>
  <si>
    <t>['telkomsel', 'mengecewakan', 'sinyal', 'dll', 'mengecewakan', 'mohon', 'memperbaiki', 'sinyal', 'lemah', 'daerah', 'rawa', 'sentul', 'cikarang', 'utara', 'terima', 'kasih']</t>
  </si>
  <si>
    <t>['diperbarui', 'ngak', 'tolong', 'penjelasan']</t>
  </si>
  <si>
    <t>['apasih', 'dikit', 'verifikasi', 'ganti', 'nomor', 'ribet']</t>
  </si>
  <si>
    <t>['uuuh', 'dasar', 'udah', 'donload', 'iiih', 'kebuka', 'buang', 'buang', 'kuota']</t>
  </si>
  <si>
    <t>['aplikasi', 'susah', 'buka', 'handphone', 'oppo', 'series', 'tolong', 'perbaiki']</t>
  </si>
  <si>
    <t>['aplikasi', 'telkomsel', 'buka', 'tolong', 'perbaiki', 'aplikasi', 'berguna']</t>
  </si>
  <si>
    <t>['halo', 'unlimited', 'penipuan', 'habis', 'paket', 'utama', 'nggak', 'buka', 'lazada', 'kuota', 'fup', 'gb', 'buka', 'apk', 'video', 'nampilin', 'icon', 'play', 'kesalahan', 'jaringan', 'telepon', 'nggak', 'perubahan', 'nyalahkan', 'koneksi', 'jaringan', 'gitu', 'isi', 'paket', 'harian', 'lancar', 'habis', 'paket', 'harian', 'nggk', 'buka', 'apk', 'terdaftar', 'unlimited', 'kecuali', 'whatsapp', 'lancar', 'jaya', '']</t>
  </si>
  <si>
    <t>['jaringan', 'sinyal', 'telkomsel', 'sandal', 'jepit', 'dibawah', 'maaf', 'kasih', 'bintang', 'sgt', 'bagus']</t>
  </si>
  <si>
    <t>['aplikasi', 'gangguan']</t>
  </si>
  <si>
    <t>['knp', 'udh', 'paketan', 'youtube', 'ama', 'games', 'pas', 'kuota', 'utamnya', 'habis', 'tetep', 'kesedot', 'pulsanya', 'padahah', 'youtubenya', 'unlimited', 'pas', 'nonton', 'pulsa', 'kesedot', 'sampe', 'udh', 'paketan', 'kesedot', 'donk', 'kesel', 'banget', 'beli', 'kuota', 'belajar', 'senen', '']</t>
  </si>
  <si>
    <t>['', 'digunkn']</t>
  </si>
  <si>
    <t>['apk', 'telkomsel', 'buka', 'tolong', 'tindak', 'lanjuti', '']</t>
  </si>
  <si>
    <t>['menyenangkan', 'telkomsel', 'jaringan', 'terbaik', 'plosok', 'daerah']</t>
  </si>
  <si>
    <t>['halo', 'telkomsel', 'pas', 'buka', 'putih', 'dibuka', 'pls', 'tolong', 'kasih']</t>
  </si>
  <si>
    <t>['device', 'terbuka', 'coba', 'install', 'ulang', 'tetep', 'suport', 'aplikasinya', 'bermasalah', '']</t>
  </si>
  <si>
    <t>['mempuaskan']</t>
  </si>
  <si>
    <t>['manatap', 'deh', 'suka', '']</t>
  </si>
  <si>
    <t>['aplikasi', 'mytelkomsel', 'diponsel', 'dibuka', 'instal', 'uninstal', 'layar', 'putih', 'kunjung', 'terbuka', '']</t>
  </si>
  <si>
    <t>['aplikasi', 'gimana', 'udah', 'kali', 'dowlod', 'kaga', 'buka', 'tolong', 'perbaikan', 'penjelasan']</t>
  </si>
  <si>
    <t>['terkadang', 'cheatingan', 'tehadap', 'petugas', 'apk', 'emosi', 'jawapan', 'lari', 'pikir', 'tolong', 'donk', 'apk', 'online', 'setidak', 'aktif', 'menawar', 'knp', 'karna', 'blum', 'detail', 'apk', 'tinjau']</t>
  </si>
  <si>
    <t>['telkomsel', 'semakiln', 'buruk', 'jaringannya', 'telkomsel', 'cari', 'untung', 'mikirin', 'kwalitas', 'kayak', 'blek', 'singa', 'respon', 'perkembangan', 'ksh', 'bintang', 'sdg', 'untung', 'perkembangan', 'tark', 'bintangnya']</t>
  </si>
  <si>
    <t>['gimana', 'nulis', 'nomornya', 'nulis', 'salah', 'mulu']</t>
  </si>
  <si>
    <t>['loading', 'aplikasi', 'lambaaaaaattt', 'trus', 'beli', 'paketan', 'kuota', 'knp', 'pulsa', 'berkurang', 'dipakai', 'telpon', 'sms', 'bener', 'bener', 'transparan', 'nich', 'telkomsel', '']</t>
  </si>
  <si>
    <t>['gatau', 'jam', 'lemot']</t>
  </si>
  <si>
    <t>['maaf', 'kasih', 'bintan', 'udah', 'puluhan', 'berdiri', 'beres', 'aplikasinya', 'skrng', 'pergantian', 'perubahan', 'skrng', 'aplikasinya', 'buka']</t>
  </si>
  <si>
    <t>['sengat', 'puas']</t>
  </si>
  <si>
    <t>['praktis', 'isi', 'kuota']</t>
  </si>
  <si>
    <t>['harga', 'pas', 'cepat', '']</t>
  </si>
  <si>
    <t>['', 'pulsa', 'hilang', 'gajelas', 'tolong', 'tanggung', '']</t>
  </si>
  <si>
    <t>['coba', 'kartu', 'telkomsel', 'bagus', 'naikin', 'bintang']</t>
  </si>
  <si>
    <t>['bangke', 'slalu', 'gangguan', 'quota', 'pulsa', 'terpotong', 'quota', 'udh', 'mahal', 'pulsa', 'gue', 'diporotin', 'mulu', 'kek', 'maling']</t>
  </si>
  <si>
    <t>['aplikasi', 'sialan', 'habis', 'update', 'buka', 'payah', 'bner', 'update', 'mlh', 'update', 'download', 'sobat', 'mlh', 'aplikasinya', 'buka', 'pusing', '']</t>
  </si>
  <si>
    <t>['knp', 'buka', '']</t>
  </si>
  <si>
    <t>['aplikasi', 'terjelek', 'donwload', 'buka', '']</t>
  </si>
  <si>
    <t>['aplikasi', 'buka', 'tolong', 'min', 'perbaiki']</t>
  </si>
  <si>
    <t>['memusingkan', 'muncul', 'blank', 'white', 'aplikasi', 'jelek', 'udah', 'terbuka']</t>
  </si>
  <si>
    <t>['menyebalkan', 'tekomsel', 'dibuka', 'donlow', 'berrkali', 'tetep', 'layar', 'putih', 'direstr', 'ttp', 'tlpon', 'tetep', 'nyalahin', 'hpnya', 'maksudnya', '']</t>
  </si>
  <si>
    <t>['woy', 'telkomsel', 'buka', 'pdhl', 'udh', 'keknya']</t>
  </si>
  <si>
    <t>['paket', 'promo', 'pelanggan', 'telkomsel']</t>
  </si>
  <si>
    <t>['aktif']</t>
  </si>
  <si>
    <t>['memudahkan', 'ber', 'transaksi', 'applikasi']</t>
  </si>
  <si>
    <t>['aplikadi', 'dibuka', 'cek', 'kuota', 'pulsa', 'susah']</t>
  </si>
  <si>
    <t>['aplikasi', 'membantu', 'membeli', 'kuota']</t>
  </si>
  <si>
    <t>['semoga', 'harganya', 'turun', '']</t>
  </si>
  <si>
    <t>['dev', 'tolong', 'paket', 'promo', 'perbaiki', 'beli', 'peket', 'loading', 'masuk', 'masuk', 'beli', 'tolong', 'tanggapi']</t>
  </si>
  <si>
    <t>['udh', 'app', 'telkomsel', 'dulubuka', 'ahkir', 'buka', 'muncul', 'layar', 'putih', 'kirain', 'louding', 'nunggu', 'menitan', 'gitu', 'hpus', 'app', 'download', 'gitu', 'lihat', 'beli', 'paket', 'aplikasi', 'lsng', 'kecewa', 'tumben', 'tumbenan', 'telkomsel', 'kayak', 'gini', 'tolong', 'bantu', '']</t>
  </si>
  <si>
    <t>['udah', 'hapus', 'downlod', 'applikasinya', 'buka', 'layar', 'putih', 'kayak', 'applikasi', 'usang', 'payah', '']</t>
  </si>
  <si>
    <t>['kereen', 'mahalnya']</t>
  </si>
  <si>
    <t>['telkomsel', 'kesini', 'harga', 'paket', 'mahal', 'kualitas', 'jaringan', 'buruk', '']</t>
  </si>
  <si>
    <t>['kak', 'min', 'aplikasi', 'buka', '']</t>
  </si>
  <si>
    <t>['upgrade', 'dibuka', 'apk', '']</t>
  </si>
  <si>
    <t>['gitu']</t>
  </si>
  <si>
    <t>['kecewa', 'pelayanan', 'telkomsel', 'sinyal', 'konsisten', 'menang', 'harga', 'doank', 'pengguna', 'telkomsel', 'tolong', 'perbaiki', 'maintenance', 'jaringan', 'kasih', 'pemberitahuan']</t>
  </si>
  <si>
    <t>['bnyk', 'promo', 'mnrik']</t>
  </si>
  <si>
    <t>['jos', '']</t>
  </si>
  <si>
    <t>['gara', 'gara', 'delay', 'pas', 'beli', 'kuota', 'pulsa', 'pencet', 'kali', 'mengalami', 'kerugian', 'mending', 'pindah', 'operator', 'sebelah']</t>
  </si>
  <si>
    <t>['halah', 'dibuka', 'blas', 'udah', 'uninstal', 'stal', 'ulamg', 'tetep', 'dibuka', '']</t>
  </si>
  <si>
    <t>['aplikasi', 'dibuka', 'blank', 'putih', '']</t>
  </si>
  <si>
    <t>['gimana', 'koneksi', 'telkomsel', 'coba', 'jaringan', 'lemot', 'hilang', 'mcm', 'cuaca', 'cuaca', 'bagus', 'jaringan', 'hilang', 'kadang', 'ngeleg', 'truss', 'bagus', 'banget', 'ngeleg', 'tolong', 'donk', 'mkin', 'perbagus', 'sia', 'pemakai', 'telkomsel', '']</t>
  </si>
  <si>
    <t>['aplikasi', 'buka', 'donlwnload', 'berapq', 'kali', 'hapus', 'bukq', 'tetep', '']</t>
  </si>
  <si>
    <t>['knp', 'dibukak', 'trus', 'alihh', 'berlangganan', 'gini', 'trus']</t>
  </si>
  <si>
    <t>['pokoknya', 'singadalawan', 'nomor', 'wahid', 'jaringan', '']</t>
  </si>
  <si>
    <t>['bangke', 'ngisi', 'pulsa', 'sisa', 'kuota', 'langsung', 'disedot', 'pulsanya']</t>
  </si>
  <si>
    <t>['ngk', 'tukar', 'pulsa', 'poin', '']</t>
  </si>
  <si>
    <t>['dibuka', 'mytelkomsel', 'layarnya', 'langsung', 'putih', 'diakses', '']</t>
  </si>
  <si>
    <t>['makan', 'telkomsel', 'jelek', 'suka', 'pakai', 'telkomsel', 'telkomselnya', 'buka', 'layarnya', 'langsung', 'putih', 'gitu', '']</t>
  </si>
  <si>
    <t>['download', 'versi', 'terbaru', 'stuck', '']</t>
  </si>
  <si>
    <t>['paket', 'data', 'perbulan', 'telkomsel', 'kesini', 'harganya', '']</t>
  </si>
  <si>
    <t>['kali', 'bongkar', 'pasang', 'perubahan', 'apk', 'buruk', 'buka']</t>
  </si>
  <si>
    <t>['beli', 'kuota', 'internet', 'aplikasi', 'bnr', 'ribet', 'bertahun', 'telkomsel', 'udah', 'keenakan', 'beli', 'kuota', 'gampang', 'tinggal', 'pilih', 'ribet', 'cept', 'suka', 'dapet', 'kuota', 'daily', 'check', 'update', 'aplikasi', 'terbaru', 'aplikasinya', 'dibuka', 'udah', 'donlod', 'kalinya', 'dlm', 'sebulan', 'kirain', 'udah', 'dihapus', 'trus', 'didownload', 'dibuka', 'tetep', 'heuuuh', 'kecewa', '']</t>
  </si>
  <si>
    <t>['paket', 'ketengan', 'youtube', 'debest', 'banget', 'telkomsel', 'thanks']</t>
  </si>
  <si>
    <t>['rebet', 'mahal']</t>
  </si>
  <si>
    <t>['gimana', 'giliran', 'abis', 'update', 'dibuka', 'aplikasi', '']</t>
  </si>
  <si>
    <t>['', 'menang', 'puas']</t>
  </si>
  <si>
    <t>['data', 'unlimited']</t>
  </si>
  <si>
    <t>['untung', 'pakai', 'nomor', 'simpati', 'loop', '']</t>
  </si>
  <si>
    <t>['harga', 'paket', 'internet', 'telkomsel', 'promo', 'terimakasih', '']</t>
  </si>
  <si>
    <t>['bagus', 'bngt', 'apk', 'cus', 'unduh']</t>
  </si>
  <si>
    <t>['thanks', 'bnyk', 'promonyaa']</t>
  </si>
  <si>
    <t>['pas', 'beli', 'paket', 'notif', 'sistem', 'gangguan', 'sistem', 'gangguan', 'kerjaan', 'admin', 'ngapain', 'emang', 'terpaksa', 'beli', 'paketan', 'kartu', 'konter', 'ponsel', '']</t>
  </si>
  <si>
    <t>['lemmot', 'aplikasinya']</t>
  </si>
  <si>
    <t>['paket', 'dijual', 'orang', 'berbeda', 'paketnya', 'mahal', 'nomer', 'pengguna', 'setia', 'orang', 'ngga', 'pakai', 'jelek']</t>
  </si>
  <si>
    <t>['kasih', 'diskon', 'min', 'xixixi', '']</t>
  </si>
  <si>
    <t>['telkomsel', 'babi', 'maen', 'game', 'sinyal', 'merah', 'pas', 'keluarin', 'game', 'stabil', 'kenceng', 'babi', 'perek', 'monyet', 'assu']</t>
  </si>
  <si>
    <t>['nggak', 'buka', 'kak']</t>
  </si>
  <si>
    <t>['aplikasi', 'berguna', 'download', 'masuk', 'ngeblank', 'putih', 'masuk', 'ngerjain', 'orang', 'ggerrrr']</t>
  </si>
  <si>
    <t>['dibuka', 'aplikasinya']</t>
  </si>
  <si>
    <t>['dasar', 'binatang', 'aplikasi', 'ngak', 'dibuka', 'trus', 'dihapus', 'diinstal', 'ulang', 'pulsa', 'diisi', 'disedot', 'paket', 'ngak', 'diperpanjang', 'loding', 'mulu', 'enakan', 'berhenti', 'aplikasih', 'membaik', 'merosot', 'ane']</t>
  </si>
  <si>
    <t>['jaringan', 'tabok', 'lemot', 'parahhh']</t>
  </si>
  <si>
    <t>['aplikasinya', 'bgus', 'bngt', 'sngt', 'mmbantu', '']</t>
  </si>
  <si>
    <t>['koneksi', 'cepat', 'harga', 'bersahabat']</t>
  </si>
  <si>
    <t>['aplikasi', 'mytelkomsel', 'dibuka', 'layar', 'putih', 'blank', 'force', 'close', 'sekelas', 'anak', 'perusahaan', 'bumn', 'koq', 'gini', 'memalukan', '']</t>
  </si>
  <si>
    <t>['gimana', 'download', 'buka', 'qda', 'layar', 'putih', 'masuk', 'telkomsel', 'bantuanx']</t>
  </si>
  <si>
    <t>['aplikasi', 'blank', 'putih', 'doang', 'udh', 'seminggu', 'tindak', 'hellow', '']</t>
  </si>
  <si>
    <t>['punyakku', 'telkomsel', 'udah', 'update', 'nggak', 'dibuka', 'gmana', 'min', '']</t>
  </si>
  <si>
    <t>['aplikasinya', 'bobrok', 'update', 'gue', 'skip', 'sekalinya', 'gue', 'update', 'ngga', 'kebuka', 'asli', 'telkomsel', 'ngga', 'paket', 'doang', 'mahal', 'sinyal', 'down', 'udah', 'gitu', 'aplikasinya', 'error', 'mulu', 'perbaiki', 'min', 'pindah', 'operator']</t>
  </si>
  <si>
    <t>['harga', 'paket', 'mahal', 'jaringan', 'lemot', 'banget', 'lelet', 'harga', 'mahal', 'bagusi', 'jaringan', 'lemot']</t>
  </si>
  <si>
    <t>['aplikasi', 'dibuka', 'download', 'aplikasi', 'layar', 'putih', 'doang', 'download', 'telkomsel', 'download', 'tampilan', 'layar', 'putih', 'perusahaan', 'telkomsel', 'aplikasinya', 'kayak', 'gini', 'malu', 'provider', 'sebelah', 'tarifnya', 'mahal', 'lengkap', '']</t>
  </si>
  <si>
    <t>['aplikasinya', 'unduh', 'ngak', 'buka', 'mohon', 'perbaiki', '']</t>
  </si>
  <si>
    <t>['udah', 'download', 'kali', 'putih', 'udah', 'grapari', 'telkomsel', 'balaraja', 'kendala', 'kabar', '']</t>
  </si>
  <si>
    <t>['jelek', 'app', 'telkomsel', 'buka', 'suka', 'perbaharui', 'buka', '']</t>
  </si>
  <si>
    <t>['apl', 'aneh', 'msa', 'update', 'bsa', 'dibka', 'lgi', '']</t>
  </si>
  <si>
    <t>['pas', 'membuka', 'aplikasi', 'nge', 'blank', 'klik', 'kayak', 'nge', 'hank']</t>
  </si>
  <si>
    <t>['buka', 'layar', 'putih']</t>
  </si>
  <si>
    <t>['akhirni', 'leler', 'jaringan', 'daerah', 'kuala', 'tanjung', 'batu', 'bara']</t>
  </si>
  <si>
    <t>['aplkasinya', 'jdi', 'jelek', 'update', 'giliran', 'buka', 'nggk', 'buka']</t>
  </si>
  <si>
    <t>['mantab', 'promo', 'paket', 'tlpon', 'murah', 'lahhh', 'yaaa']</t>
  </si>
  <si>
    <t>['payah', 'dibuka']</t>
  </si>
  <si>
    <t>['kali', 'download', 'ngak', 'dibuka', 'uninstall', '']</t>
  </si>
  <si>
    <t>['baiknya', 'dimasa', 'pandemi', 'kouta', 'ekonomis', 'gitu', 'aktif', 'harga', 'rendah', 'paket', 'telkomsel', 'keruk', 'keuntungan', 'doang', '']</t>
  </si>
  <si>
    <t>['bgus', 'bnget', 'aplikasi', 'bsa', 'dpat', 'pket', 'bnyak', 'promo', 'mnarik', 'tngkatkan', 'lgi', '']</t>
  </si>
  <si>
    <t>['internet', 'harga', 'hoax', 'klik', 'beli', 'slalu', 'menghilang', 'zonk', 'telomsel', 'bercanda', 'lucu', 'lucu', '']</t>
  </si>
  <si>
    <t>['knapa', 'sinyal', 'telkomsell', 'klw', 'cuaca', 'hujan', 'atw', 'cuaca', 'mndung', 'suka', 'sinyal', 'pdhll', 'kluarga', 'udah', 'telkomsel', 'ttp', 'sinyal', 'lemot', 'mohon', 'perbaiki', 'telkomsel', 'jaringan', 'trimakasih', '']</t>
  </si>
  <si>
    <t>['praktis', 'pakai', 'riber']</t>
  </si>
  <si>
    <t>['bagus', 'memudahkan']</t>
  </si>
  <si>
    <t>['membantu', 'sayang', 'kartu', 'promo', 'paket', 'murah', 'min', '']</t>
  </si>
  <si>
    <t>['telkomsel', 'pilihan', 'terbaik']</t>
  </si>
  <si>
    <t>['tolong', 'telkomsel', 'aplikasi', 'perbaiki', 'knp', 'skrng', 'telkomsel', 'buka', 'pelanggalan', 'setia', 'telkomsel', '']</t>
  </si>
  <si>
    <t>['kualitas', 'sinyal', 'internet', 'smakin', 'buruk', 'skrg', 'hrus', 'kluar', 'rmh', 'dlu', 'bru', 'dpt', 'sinyal', '']</t>
  </si>
  <si>
    <t>['', 'buka', 'kali', 'download', 'tetep', 'buka']</t>
  </si>
  <si>
    <t>['perbaharui', 'bukaaaaaaaaa', 'aaaaaaa', 'aplikasine', 'sngtttttttt', 'buruk']</t>
  </si>
  <si>
    <t>['kecewa', 'telkomsel', 'pulsa', 'darurat', 'sms', 'pulsa', 'darurat', 'berhasil', 'diambil', 'pulsa', 'potong', 'isi', 'pulsa', 'merekomendasikan', 'pakai', 'telkomsel', 'kejadian', 'dialami', 'pelanggan', 'telkomsel', '']</t>
  </si>
  <si>
    <t>['tolong', 'perbaiki', 'bug', 'kuota', 'omg', 'karna', 'merugikan', 'pengguna']</t>
  </si>
  <si>
    <t>['aplikasi', 'error', 'mulu', 'beli', 'paketan', 'susah', 'woyyy', 'benerin', 'ganti', 'provider']</t>
  </si>
  <si>
    <t>['', 'download', 'buka']</t>
  </si>
  <si>
    <t>['sayang', 'paketnya', 'harganya']</t>
  </si>
  <si>
    <t>['akses', '']</t>
  </si>
  <si>
    <t>['sungguh', 'senang', 'murah', 'paket', 'datax', 'telkomsel', 'the', 'best']</t>
  </si>
  <si>
    <t>['buka', 'bosss']</t>
  </si>
  <si>
    <t>['min', 'cobalah', 'fitur', 'lock', 'pulsa', 'paketan', 'habis', 'malam', 'pulsa', 'tersedot', 'setuju', 'like', 'post']</t>
  </si>
  <si>
    <t>['tolong', 'ditambah', 'fitur', 'lock', 'pulsa', 'kayak', 'provider', 'sebelah', 'nggak', 'nyedot', 'pulsa', 'heran', 'sekelas', 'telkomsel', 'ngga', 'fitur', 'lock', 'pulsa', '']</t>
  </si>
  <si>
    <t>['kak', 'aplikasi', 'telkomsel', 'buka', 'gimana']</t>
  </si>
  <si>
    <t>['aplikasinya', 'gabisa', 'dibuka', '']</t>
  </si>
  <si>
    <t>['bintang', 'aplikasiny', 'beli', 'paket']</t>
  </si>
  <si>
    <t>['harga', 'paket', 'data', 'diatas', 'seluler', 'sinyal', 'mengecewakan', '']</t>
  </si>
  <si>
    <t>['knpa', 'telkomsel', 'jaringan', 'kb', 'perlemot', 'bwat', 'buka', 'youtube', 'setngah', 'mati', 'kuota', 'bnyak', 'gini', 'mending', 'ganti', 'laen', 'sekedar', 'saran']</t>
  </si>
  <si>
    <t>['aplikasi', 'udah', 'update', 'pas', 'buka', 'putih', 'udah', 'gitu', 'pas', 'langsung', 'aplikasi', 'telkomsel', 'gimana', 'emang', 'bner', 'aplikasi', '']</t>
  </si>
  <si>
    <t>['klw']</t>
  </si>
  <si>
    <t>['pulsa', 'beli', 'kuota', 'sakti', 'harga', 'keterangan', 'pulsa', 'mencukupi', 'heran', 'telkomsel']</t>
  </si>
  <si>
    <t>['abis', 'download', 'buka', 'blank', 'uninstall', 'download', 'dibuka', 'blank', 'kali', 'berulang', 'aplikasi', '']</t>
  </si>
  <si>
    <t>['mudah', 'beli', 'mengaktifkan', 'paket', 'bebas', 'pilih', 'murah']</t>
  </si>
  <si>
    <t>['mendukung', 'kerja', '']</t>
  </si>
  <si>
    <t>['tolong', 'perbaiki', 'bugnya', 'internet', 'lemot', 'buka', 'app', 'berat', 'dibuka', 'app', 'gabisa', 'jelek', 'bgtlah']</t>
  </si>
  <si>
    <t>['kasar', 'masak', 'isi', 'pulsa', 'kemaren', 'besoknya', 'langsung', 'kasian', 'ibukku', 'lohhh', 'kemren', 'beliin', 'pulsa', 'pakek', 'uangnya', 'cari', 'duit', 'halal', 'dongg', 'dasar', 'telkomsel', 'korupsi', 'percaya', 'banget', 'telkomsel', 'semenjak', 'pulsa', 'habis', 'udah', 'percaya', 'telkomsel', 'korupsi', '']</t>
  </si>
  <si>
    <t>['aplikasi', 'aneh', 'pakai', 'aplikasi', 'mytelkomsel', 'lancar', 'lancar', 'kecewa', 'kali', 'hapus', 'downloud', 'hapus', 'downloud', 'tampilan', 'blank', 'putih', 'baca', 'komentar', 'balasan', 'solusi', 'penyelesaian', 'kecewa', 'sungguh', 'kecewa', 'telkomsel']</t>
  </si>
  <si>
    <t>['tingkatkan', 'kualitasnya', 'jelek']</t>
  </si>
  <si>
    <t>['layanan', 'telkomsel', 'memuaskan']</t>
  </si>
  <si>
    <t>['kecewa', 'aplikasi', 'telkomsel', 'mauelakuan', 'penukaran', 'poin', 'gagal', 'alasan', 'slalu', 'sibuk', 'pin', 'jutaan', 'tukarakan', '']</t>
  </si>
  <si>
    <t>['good', 'puas', '']</t>
  </si>
  <si>
    <t>['tolong', 'aplikasinya', 'login', 'ngurah', 'kuota', 'pulsa', 'beli', 'paket', 'internet', 'kepotong', 'pulsanya', 'ngasih', 'event', 'bonus', 'kuota', 'disuruh', 'bayar', 'plus', 'potong', 'poin', 'gimana', 'udh', 'dipotong', 'poin', 'diambil', 'duitnya', 'serakah']</t>
  </si>
  <si>
    <t>['', 'gkok', 'ngeleg', 'eror']</t>
  </si>
  <si>
    <t>['dibuka', 'aplikasinya', 'jngan', 'suruh', 'hub', 'via', 'tellkomsel', 'aplikasi', 'dibuka', 'payah', 'aah']</t>
  </si>
  <si>
    <t>['paket', 'data', 'internet', 'mohon', 'harganya', 'diturunkan', '']</t>
  </si>
  <si>
    <t>['stlh', 'update', 'app', 'dpt', 'dibuka', '']</t>
  </si>
  <si>
    <t>['min', 'apps', 'dibuka', 'hnya', 'muncul', 'white', 'screen', 'kali', 'download', 'hasilnya', 'white', 'screen', 'knpa', '']</t>
  </si>
  <si>
    <t>['mudah', 'cek', 'kuota', 'hadiahnya', 'terimakasi', 'telkomsel']</t>
  </si>
  <si>
    <t>['kecewa', 'paket', 'extra', 'unlimitd', 'ngaco', 'updte', 'lag', 'banget']</t>
  </si>
  <si>
    <t>['kemapa', 'minggh', 'dibuka']</t>
  </si>
  <si>
    <t>['aneh', 'isi', 'voucher', 'bisaaaa', 'sampe', 'nunggu', 'jam', 'coba', 'udh', 'jaringan', 'sibuk', 'suruh', 'coba', 'coba', 'suruh', 'munggu', 'jam', 'optimal', 'jual', 'voucher', 'dijual', 'kecewa', 'lahhhhhhhh', '']</t>
  </si>
  <si>
    <t>['kinerjanya', 'telkomsel', 'smart', 'profesional']</t>
  </si>
  <si>
    <t>['pokonya', 'sip']</t>
  </si>
  <si>
    <t>['paket', 'murah', 'gimana', 'bang']</t>
  </si>
  <si>
    <t>['bermanfaat', 'praktis', 'pkok', 'oke', 'banget']</t>
  </si>
  <si>
    <t>['sekian', 'thn', 'berlangganan', 'aplikasi', 'dibuka', 'dwnload', 'ulang', 'berkalikali', 'mohon', 'diperbaiki', 'ditingkatkan', 'pelayananya']</t>
  </si>
  <si>
    <t>['semoga', 'sinyal', 'kekuatan', 'jaringan', 'daerah', 'pedalam', 'merasakan', 'lag', 'dikota', 'terima', 'kasih']</t>
  </si>
  <si>
    <t>['dipake', 'maen', 'game', 'doang', 'langsung', 'down', 'wkwkwk', 'pas', 'hujan', 'langsung', 'goib', 'perasaan', 'telkomsel', 'gini']</t>
  </si>
  <si>
    <t>['harganya', 'mahal', 'pakai', 'kperluan', 'darurat']</t>
  </si>
  <si>
    <t>['kasi', 'bintang', 'memuaskan']</t>
  </si>
  <si>
    <t>['apk', 'telkomsel', 'sngat', 'terbantu', 'telkomsel', 'terbaik', 'penggunanya', 'terimakasih', 'telkomsel', '']</t>
  </si>
  <si>
    <t>['', 'perbaharui', 'trus', 'buka', 'lemah', '']</t>
  </si>
  <si>
    <t>['telkomsel', 'pelayanannya', 'merugikan', 'paket', 'internet', 'pulsa', 'ditarik', 'telkomsel', 'udah', 'kayak', 'maling', 'tolong', 'evaluasi']</t>
  </si>
  <si>
    <t>['ngentod', 'liat', 'internet', 'kuota', 'batasin', 'ajg']</t>
  </si>
  <si>
    <t>['kecewa', 'memutar', 'vidio', 'konfir', 'masi', 'telkmsl', 'putar', 'otomatis', 'tetep', 'konfirmasi', 'menjengkelkan']</t>
  </si>
  <si>
    <t>['slalu', 'bintang', 'karna', 'guts']</t>
  </si>
  <si>
    <t>['telkomsel', 'slalu', 'dihati']</t>
  </si>
  <si>
    <t>['buruk', 'aplikasi', 'buka', 'bodoh', 'telkomsel', 'payah', '']</t>
  </si>
  <si>
    <t>['semoga', 'jaringan', 'internet', 'membaik']</t>
  </si>
  <si>
    <t>['', 'komen', 'nge', 'jelek', 'jelekin', 'telkomsel', 'karna', 'kebodohan', 'ngerti', 'ngejalanin', 'prosedur', 'dngan', 'semestinya', 'bisanya', 'nyalahin', 'doang', 'gua', 'jaringan', 'perbaiki', 'sampay', 'plosok', 'disebar', 'luaskan', 'merata', 'tertata', 'terimakasih', '']</t>
  </si>
  <si>
    <t>['semoga', 'telkomsel', 'terdepan', 'beragam', 'hadiah', 'pelayanan', 'terbaik', 'pelanggan']</t>
  </si>
  <si>
    <t>['jaringan', 'burik', 'setannnn', '']</t>
  </si>
  <si>
    <t>['pixel', 'android', '']</t>
  </si>
  <si>
    <t>['', 'sekarag', 'buka', 'aplikasi', 'yelkomsel', 'pdahal', 'update', 'malh', 'ngebleng', 'buka', 'knp', 'parah', '']</t>
  </si>
  <si>
    <t>['kontolll', 'telkomsel', 'babi', 'telkomsel', 'nyuri', 'telkomsel', 'korupsi', 'cuman', 'hitungan', 'rupiah', 'berkah', 'haram', 'makan', 'pulsa', 'dikit', 'cicil', 'perhatiin', 'pulsa', 'makan', 'tagihan', 'ambil', 'pulsa', 'paket', 'data', 'stay', 'binatang', '']</t>
  </si>
  <si>
    <t>['mantap', 'telkomsel', 'versi', 'terbaru']</t>
  </si>
  <si>
    <t>['ringan']</t>
  </si>
  <si>
    <t>['dikeluhkan', 'dicka', 'alami', 'uninstal', 'instal', 'hasilnya', 'skrg', '']</t>
  </si>
  <si>
    <t>['parah', 'apk', 'buka']</t>
  </si>
  <si>
    <t>['apk', 'puluhan', 'thn', 'simpati', 'kendala', 'cmn', 'sayang', 'prnh', 'ngerasain', 'hadiah', 'undian', 'point', '']</t>
  </si>
  <si>
    <t>['telkomsel', 'sukses', '']</t>
  </si>
  <si>
    <t>['enak', 'banget', 'apk', 'telkomsel', 'mudah', 'ribet', 'pilih', 'pilih', 'paketan', 'date', 'harga', 'handphone', 'pokoknya', 'cap', 'cus', '']</t>
  </si>
  <si>
    <t>['mkin', 'bagus', 'tampilan', 'menarik']</t>
  </si>
  <si>
    <t>['knp', 'buka', 'apk', 'mlh', 'ngeblank', 'putih', 'doang', 'mmbantu', 'skrng', 'mlh', 'kaya', 'gini', 'turunin', 'bintang', 'klw', 'bagus', 'tambahin', 'ecewaaaaa']</t>
  </si>
  <si>
    <t>['aplikasi', 'payah', 'dibuka', 'jaringan', 'bobrok', '']</t>
  </si>
  <si>
    <t>['dowonload', '']</t>
  </si>
  <si>
    <t>['aplikasi', 'sangatttttttt', 'bagus']</t>
  </si>
  <si>
    <t>['kuota', 'mahal', 'sinyal', 'diandalkan', 'kuota', 'udah', 'mahal', 'sinyal', 'lemot', '']</t>
  </si>
  <si>
    <t>['sayang', 'oaket', 'mingguannya', 'hilang']</t>
  </si>
  <si>
    <t>['padek', 'download', 'aplikasi', 'neh', 'idak', 'wak', 'rugi', 'naq']</t>
  </si>
  <si>
    <t>['mengecewakan', 'bget', 'sinyal', 'hilang', 'hilang', 'app', 'dbuka', '']</t>
  </si>
  <si>
    <t>['harga', 'kuota', 'suw', 'udah', 'nyaman', 'taikin', 'harga', 'kuotanya', 'bonus']</t>
  </si>
  <si>
    <t>['kesini', 'aplikasinya', 'susah', 'diakses', 'yaa', 'buka', 'app', 'loadingnya', 'puol', 'kuota', 'ato', 'limit', 'kuota', '']</t>
  </si>
  <si>
    <t>['minggu', 'buka', 'apk', 'telkomsel', 'gabisa', 'hapus', 'donlod', 'tetep', 'gabisa', 'buka']</t>
  </si>
  <si>
    <t>['update', 'buruk', 'layar', 'blank', 'putih']</t>
  </si>
  <si>
    <t>['tolong', 'kartu', 'adain', 'paket', 'data', 'kombo', 'unlimited', 'rb', 'tmn', 'murah', 'paket', 'nyh', 'rb', 'mulu', 'duit', 'stiap', 'min', 'sgitu', 'abis', 'dibagi', 'zaman', 'skrng', 'mahal', 'trus', 'susah', 'level', 'gold', '']</t>
  </si>
  <si>
    <t>['aplikasi', 'tolol', 'kaya', 'gini', 'buka', 'cuman', 'jaringan', 'telkomsel', '']</t>
  </si>
  <si>
    <t>['knpa', 'sya', 'instal', 'apk', 'tolong', 'bantu', '']</t>
  </si>
  <si>
    <t>['jaringan', 'lelet', 'paket', 'mahal', 'jaringan', 'lelet', 'kayak', 'kura', 'kura', '']</t>
  </si>
  <si>
    <t>['mantap', 'internet', 'dahsyatttttttt']</t>
  </si>
  <si>
    <t>['aplikasi', 'error', 'bsa', 'dibuka']</t>
  </si>
  <si>
    <t>['suka', 'aplikasi', 'pokoknya', 'murah', '']</t>
  </si>
  <si>
    <t>['update', 'nggak', 'dibuka', 'hapus', 'cache', 'bagus', 'susah', 'diakses', 'tolong', 'diperbaiki', '']</t>
  </si>
  <si>
    <t>['mendowlod', 'telkomsel', 'ngga', 'buka', 'tolong', '']</t>
  </si>
  <si>
    <t>['', 'sinyal', 'jelek', 'susah', 'maen', 'game', 'online']</t>
  </si>
  <si>
    <t>['terimakasih', 'telkomsel', 'pelayanan', 'berbelit', 'belit']</t>
  </si>
  <si>
    <t>['diperbarui', 'apps']</t>
  </si>
  <si>
    <t>['sulusi', 'telkomsel', 'dibuka', 'tlong', 'diperjelas']</t>
  </si>
  <si>
    <t>['tanggal', 'desember', 'telkomsel', 'buka', 'cuman', 'blank', 'putih', 'layar', 'app', 'hapus', 'intal', 'berulang', 'ulang', 'restar', 'berulang', 'ulang', 'hasilnya', 'blank', 'putih', 'samsung', 'paket', 'data', 'membuka', 'app', 'lainya', 'lancar', 'jaya', 'mohon', 'solusinya', 'trima', 'kasih', 'pelanggan', 'telkom', 'sel', 'bertahun', '']</t>
  </si>
  <si>
    <t>['isi', 'paket', 'data', 'masuk', 'kuota', 'pdahal', 'pulsa', 'udah', 'kesedot']</t>
  </si>
  <si>
    <t>['paket', 'unlimted', 'enak', 'dibatasi', 'kuotanya', 'kecepatannya', 'batasi', 'ganti', 'kartu']</t>
  </si>
  <si>
    <t>['dimana', 'hubungi', 'admin', 'dapet', 'paket', 'tarif', 'rendah', 'terjangkau', 'netizen', 'pelosok']</t>
  </si>
  <si>
    <t>['mon', 'maap', 'nonton', 'jaringan', 'kunjung', 'sembuh', 'lebuh', '']</t>
  </si>
  <si>
    <t>['mantap', 'kouta', 'gratisan']</t>
  </si>
  <si>
    <t>['ehhh', 'kouta', 'pny', 'bli', 'gb', 'rb', 'skrg', 'rb', 'telkomsel', 'gtu', 'donkkkk', 'nnt', 'pindah', 'klain', 'hati']</t>
  </si>
  <si>
    <t>['pulsa', 'sisa', 'paket', 'hilang', 'gajelas']</t>
  </si>
  <si>
    <t>['', 'telkom', 'terbuka', 'mending', 'beralih', 'kartu', 'smartfreen']</t>
  </si>
  <si>
    <t>['top', 'lihat', 'kuota', 'beli', 'kuota']</t>
  </si>
  <si>
    <t>['', 'ngerti', 'ngak', 'lgi', 'transfer', 'via', 'banking', 'gara', 'signal', 'ilang', 'transfer', 'saldo', 'nyampe', 'penerima', 'saldo', 'kpotong', 'mode', 'pesawat', 'udh', 'mode', 'saranin', 'provider']</t>
  </si>
  <si>
    <t>['kecewa', 'aplikasi', 'buka', 'dowload', 'kali', 'tolong', 'donk', 'kak']</t>
  </si>
  <si>
    <t>['pulsa', 'gua', 'rb', 'sisa', 'rb', 'pas', 'cek', 'pembelian', 'paket', 'internet', 'beli', 'paket', 'paket', 'data', 'tolong', 'balikin', 'pulsa', 'maling', '']</t>
  </si>
  <si>
    <t>['update', 'layar', 'putih', 'dibuka', 'jaringan', 'hilang', 'hadeh', 'kuotanya', 'mehoonggg', 'koq', 'tmbh', 'jelek', 'sel', 'pindah', 'provider', 'gini', '']</t>
  </si>
  <si>
    <t>['harga', 'tmbah', 'mhal']</t>
  </si>
  <si>
    <t>['jujur', 'kecewa', 'telkomsel', 'asik', 'main', 'game', 'data', 'ilang', 'apk', 'mytelkomsel', 'udah', 'gitu', 'masuk', 'kadang', 'kadang', 'gagal', 'asli', 'sungguh', 'kecewa', 'thn', 'make', 'telkomsel', 'kali', 'main', 'game', 'nyaman', 'make', 'data', 'telkomsel']</t>
  </si>
  <si>
    <t>['telkomsel', 'jaringan', 'terburuk', 'rasain', 'banyakan', 'pelanggan', 'kecewa']</t>
  </si>
  <si>
    <t>['harga', 'kelas', 'kualitas', 'kelas', 'sinyal', 'stuck', 'bar', 'sinyal', 'bagus']</t>
  </si>
  <si>
    <t>['terima', 'kasih', 'team', 'telkomsel', 'senang', 'fitur', 'fitur', 'apk', 'telkomsel', 'disana', 'harga', 'harga', 'kuota', 'murah', 'cepat', 'terpercaya', 'sekian', 'terima', 'kasih', '']</t>
  </si>
  <si>
    <t>['sinyal', 'buruk', 'tepatnya', 'daerah', 'lubuk', 'seberuk', 'kec', 'lempuing', 'jaya', 'kab', 'oki', 'sumsel', 'tolong', 'benahi', 'sinyal', 'oenuk', 'tpi', 'lelet', 'meter', 'towernya']</t>
  </si>
  <si>
    <t>['paketan', 'doang', 'mahal', 'beli', 'sinyal', 'jelek', 'mulu', 'kecewa']</t>
  </si>
  <si>
    <t>['kacau', 'disuruh', 'update', 'update', 'kak', 'buka', 'disuruh', 'ikuti', 'komplain', 'medsos', 'twitel', 'dll', 'solusi', 'bohong', '']</t>
  </si>
  <si>
    <t>['apk', 'buka', 'mulu', 'ganggu', 'banget', 'down', 'normal', 'dahh', 'kesell', 'deh', 'telkomsel', '']</t>
  </si>
  <si>
    <t>['kecewa', 'banget', 'jaringan', 'parah', 'lemotnya', 'ngga', 'jaringanya', 'pelanggan', 'telkomsel', 'pindah', 'operator', '']</t>
  </si>
  <si>
    <t>['kali', 'kecewa', 'karna', 'mengalami', 'jaringan', 'buruk', 'jaringan', 'buruk', 'bayar', 'mahal', 'mahal']</t>
  </si>
  <si>
    <t>['top', 'deh', 'pokoknya', 'anti', 'lemot', 'telp', 'sms', 'jooosss']</t>
  </si>
  <si>
    <t>['belasan', 'telkomsel', 'kendalanya', 'sinyalnya', 'ilang', 'pelosok']</t>
  </si>
  <si>
    <t>['gabungkan', 'pembelian', 'poin']</t>
  </si>
  <si>
    <t>['mohon', 'telkomsel', 'peningkatan', 'kualitas', 'signal', 'desa', 'pelayang', 'kec', 'tebo', 'kab', 'tebo', 'prov', 'jambi', '']</t>
  </si>
  <si>
    <t>['jaringan', 'telkomsel', 'semangkin', 'memburuk', 'sanggat', 'terganggu', 'mohon', 'telkomsel', 'cek', 'kondisi', 'jaringan', 'riau']</t>
  </si>
  <si>
    <t>['kasih', 'nnty', 'masuk', 'maaf', 'kak', 'diawal', 'masukan', 'nomer', 'telpon', 'tpi', 'masuk']</t>
  </si>
  <si>
    <t>['nice', 'cepet', 'masuknya']</t>
  </si>
  <si>
    <t>['apk', 'bagus', 'bermanfaat', 'memudahkan', 'membeli', 'paket', 'sukses', 'telkomsel', '']</t>
  </si>
  <si>
    <t>['', 'aplikasi', 'ngomongnya', 'unlimited', 'game', 'sosmed', 'pas', 'buka', 'game', 'ngga']</t>
  </si>
  <si>
    <t>['kasih', 'bintang', 'ngapain', 'kasih', 'nintang', 'aplikasi', 'buka']</t>
  </si>
  <si>
    <t>['tgl', 'desember', 'perbarui', 'aplikasi', 'perbarui', 'nggak', 'dibuka', 'dihapus', 'download', 'ulang', 'beli', 'pulsa', 'kuota', 'aplikasi', 'samoai', 'habis', 'kuota', 'pulsa', 'dibuka', 'selamat', 'tinggal', 'telkomsel', 'pakai', 'telkomsel']</t>
  </si>
  <si>
    <t>['lemot', 'berat', 'susah', 'buka']</t>
  </si>
  <si>
    <t>['mhn', 'dimurahkan', 'biaya', 'internetnya']</t>
  </si>
  <si>
    <t>['appnya', 'buka', '']</t>
  </si>
  <si>
    <t>['telkomsel', 'mahal', 'beda', 'provider']</t>
  </si>
  <si>
    <t>['', 'kali', 'beli', 'kouta', 'telkomsel', 'pilih', 'kouta', 'gb', 'unlimited', 'metode', 'pembayaran', 'indomaret', 'total', 'harganya', 'rb', 'pemabayaran', 'gagal', 'kesalahan', 'sistem', 'silahkan', 'coba', 'komplain', 'indomaret', 'masuk', 'otomatis', 'tegaskan', 'keputusan', 'besok', 'pagi', 'semudah', 'pulsa', 'gagal', 'silahkan', 'coba', 'beli']</t>
  </si>
  <si>
    <t>['jaringan', 'udah', 'tmbh', 'stabil', 'skrng', 'enak', 'telkomsel', 'daerah', 'sumbar', 'sektarnya', '']</t>
  </si>
  <si>
    <t>['harga', 'paket', 'kuota', 'minggu', 'jdi', 'rugi', 'konsumen']</t>
  </si>
  <si>
    <t>['mempermudah', 'beli', 'kuota']</t>
  </si>
  <si>
    <t>['', 'cuman', 'sndri', 'ngalemin', 'buka', 'aplikasinya', 'layar', 'putih', 'doang']</t>
  </si>
  <si>
    <t>['peforma', 'telkomsel', 'kesini', 'parah', 'pengen', 'pindah', 'kartu', 'ker', 'tetangga']</t>
  </si>
  <si>
    <t>['apl', 'telkom', 'dibuka', 'perbaiki']</t>
  </si>
  <si>
    <t>['ngasih', 'bintang', 'karna', 'pulsa', 'datanya', 'murah', 'pokoknya', 'mantap']</t>
  </si>
  <si>
    <t>['tolong', 'telkomsel', 'bonus', 'data', 'beli', 'paket', 'unlimited', 'youtube', 'seharian', 'youtube', 'buka', 'paket', 'data', 'abis', 'sekejap', 'kepotong', 'pulsa', 'paket', 'unlimited', 'youtube', 'bener', 'percaya', 'belinya', '']</t>
  </si>
  <si>
    <t>['telkomsel', 'merugikan', 'pelanggan', 'udah', 'dibeli', 'pakt', 'combo', 'sinyal', 'lelet']</t>
  </si>
  <si>
    <t>['aplikasinya', 'dibuka', 'udah', 'uninstal', 'download', 'tetep', 'dibuka', '']</t>
  </si>
  <si>
    <t>['', 'terbaik', '']</t>
  </si>
  <si>
    <t>['woiiii', 'telkom', 'knpa', 'kouta', 'games', 'main', 'game', 'lol', 'kouta', 'mahal', '']</t>
  </si>
  <si>
    <t>['paket', 'entertainment', 'multimedia', 'dipake', 'kemana', 'buka', 'geogle', 'tiktok', 'dipake', 'giliran', 'buka', 'titoktok', 'disedot', 'paket', 'reguler', 'gimana', 'telkomsel', 'ngapain', 'coba', 'pakai', 'paket', 'langganan', 'kartu', 'hallo', 'gb', 'entertainment', 'reguler', 'gb', 'terpakai']</t>
  </si>
  <si>
    <t>['beli', 'paket', 'dikirim', 'indomaret']</t>
  </si>
  <si>
    <t>['suka', 'apl', 'membantu', 'tpi', 'dlm', 'minggu', 'smpai', 'skarang', 'apl', 'buka', 'mohon', 'bantuan', 'mytelkomsel', '']</t>
  </si>
  <si>
    <t>['knp', 'aplikasi', 'dibuka', '']</t>
  </si>
  <si>
    <t>['parah', 'udh', 'minggu', 'buka', 'apk']</t>
  </si>
  <si>
    <t>['hadeehhh', 'hadeehh', 'sinyal', 'lemot', 'bosok', 'gini', 'dijual', 'busett', 'tutup', 'tutup']</t>
  </si>
  <si>
    <t>['aplikasi', 'dibuka', 'yaa', 'menyusahkan']</t>
  </si>
  <si>
    <t>['bagus', 'promo', 'memuaskan']</t>
  </si>
  <si>
    <t>['telkomsel', 'parah', 'jaringan', 'bagus', 'kecewa', 'mending', 'ganti', 'operator', 'mahal', 'doang', 'jiir', 'mahal', 'doang', 'jadiii', 'bapuk', 'operatorr', 'malu', 'malu', 'anjinnnggg']</t>
  </si>
  <si>
    <t>['mahal', 'doang', 'sinyal', 'jelek', 'bsa', 'nyaman', 'konsumen', 'tolol']</t>
  </si>
  <si>
    <t>['aplikasi', 'membantu', 'pelosok']</t>
  </si>
  <si>
    <t>['semoga', 'hadiah', 'kado', 'natal', '']</t>
  </si>
  <si>
    <t>['app', 'daftar', 'kuota', 'murah', 'bangt']</t>
  </si>
  <si>
    <t>['dibuka', 'warna', 'putih']</t>
  </si>
  <si>
    <t>['puas', 'mgunkn', 'apl', 'ribet', 'bli', 'pketan', 'mksih', 'tlkmsel', '']</t>
  </si>
  <si>
    <t>['mantap', 'urusan']</t>
  </si>
  <si>
    <t>['jaringan', 'telkomsel', 'jelek', 'buruk', 'pdahal', 'kuota', 'msih', 'sinyal', 'penuh', 'lemottttt', 'bgtt', '']</t>
  </si>
  <si>
    <t>['minggu', 'apk', 'telkomsel', 'buka', '']</t>
  </si>
  <si>
    <t>['mencoba', 'menjelajahi', 'dapan', 'pengalaman', 'luas']</t>
  </si>
  <si>
    <t>['maaf', 'kasih', 'bintang', 'jujur', 'telkomsel', 'mengecewakan', 'jaringannya', 'sestabil', 'harga', 'kuotanya', 'langganan', 'parah', 'ngepaketin', 'unlimited', 'kuota', 'multimedia', 'alias', 'omg', 'kepake', 'kuota', 'utama', 'abis', 'otomatis', 'pulsa', 'kesedot', 'pulsanya', 'kesedot', 'cepet', 'diisi', 'mengecewakan', 'kayak', 'paket', 'unlimited', 'kuota', 'multimedianya', 'dipake', '']</t>
  </si>
  <si>
    <t>['cepat', 'informasi', 'pulsa', 'paket', 'data']</t>
  </si>
  <si>
    <t>['sinyal', 'hilang', 'timbul']</t>
  </si>
  <si>
    <t>['anjiing', 'error', 'mulu', 'harga', 'mahal', 'tpi', 'kualitas', 'jelek', 'gimana', 'gabisa', 'akses', 'telkomsel']</t>
  </si>
  <si>
    <t>['suka', 'banget', 'mytelkomsel', 'mempermudah', 'membeli', 'paketan', 'bnyak', 'promo', 'sukses', 'slalu', '']</t>
  </si>
  <si>
    <t>['buka', 'tolong', 'benerin', 'upgrade', 'barusan']</t>
  </si>
  <si>
    <t>['paketan', 'doang', 'mahal', 'sinyal', 'kualitas', 'internet', 'buruk', 'perataan', 'sinyal', 'daerah', 'mahal', 'kualitas', 'jelek', 'telkomsel', 'skrg', 'jelek', 'gulung', 'tikar', 'kalah', 'provider', 'perbaiki', 'tetep', 'lemot', 'desember', '']</t>
  </si>
  <si>
    <t>['kecewa', 'telkomsel', 'aaplikasi', 'bukanya', 'bagus', 'jelek', 'dialihkan', 'aplikasi', 'telkomsel', 'lite']</t>
  </si>
  <si>
    <t>['update', 'buka', 'muncul', 'layar', 'putih']</t>
  </si>
  <si>
    <t>['instal', 'copot', 'full', 'memory', 'jaringan', 'abal', 'abal', 'opratornya', 'kesal']</t>
  </si>
  <si>
    <t>['harga', 'sebanding', 'kualitas', 'jaringannya']</t>
  </si>
  <si>
    <t>['telkomsel', 'kuata', 'habis', 'memakan', 'pulsa', 'pulsanya', 'beli', 'paket']</t>
  </si>
  <si>
    <t>['keren', 'paketannya', 'murah', 'murah']</t>
  </si>
  <si>
    <t>['simpati', 'signal', 'amcur', 'kayak', '']</t>
  </si>
  <si>
    <t>['habis', 'diupdate', 'lemot', 'gambar', 'putih', 'trus', 'smpe', 'mnt']</t>
  </si>
  <si>
    <t>['', 'kecewa', 'telkomsel', 'ngapa', 'ngapain', 'pulsa', 'kesedot', 'mersasa', 'dikorupsi', 'terima', '']</t>
  </si>
  <si>
    <t>['sinyalnya', 'bagus', 'jelek', 'nonton', 'vidio', 'muter', 'mulu', 'maen', 'game', 'ngeleg', 'sinyalnya', 'stabil', 'turun', 'mulu', '']</t>
  </si>
  <si>
    <t>['banyakin', 'min', 'promosinya']</t>
  </si>
  <si>
    <t>['knp', 'ngga', 'buka', 'apk', 'apk', 'telkomsel', 'ngga', 'buka', 'udah', 'seminggu', 'ngga', 'buka', 'aplikasinya', 'gmn', 'telkomsel', 'parah', 'masuk', 'pitur', 'bantuan', 'gmn', 'aplikasinya', 'ngga', 'dibuka', 'gmn', 'mimin', 'kaya', 'oon', 'aplikasi', 'kacau', 'mimin', 'bloonnya']</t>
  </si>
  <si>
    <t>['kecewa', 'sinyal', 'telkomsel', 'udah', 'kayak', 'kartu', 'murahan', 'lag', 'buka', 'youtube', 'kadang', 'susah']</t>
  </si>
  <si>
    <t>['telkomsel', 'sinyal', 'lemooootttt']</t>
  </si>
  <si>
    <t>['mohon', 'tingkatkan', 'jariganya']</t>
  </si>
  <si>
    <t>['lodingnya', 'buka', 'payah', 'ngga', 'kemajuan', 'kalah', 'oprtr', '']</t>
  </si>
  <si>
    <t>['aplikasi', 'gini', 'buka', 'udah', 'hapus', 'dowload', 'udah', 'nyaman', 'eeehhhhh', 'gini', '']</t>
  </si>
  <si>
    <t>['bagus', 'dpt', 'kuota', 'gratis']</t>
  </si>
  <si>
    <t>['lemot', 'banget', 'telkomsel', 'kayak', 'streaming', 'detik', 'buffering', 'mulu', 'pengguna', 'telkomsel', 'kecewa', 'pindah', 'kelain', 'hati', 'kayak', 'gini', '']</t>
  </si>
  <si>
    <t>['pelanggan', 'telkomsel', 'jujur', 'kecewa', 'karna', 'main', 'ngelag', 'mulu', 'jaringan', 'telkom']</t>
  </si>
  <si>
    <t>['telkomsel', 'terhormat', 'tolong', 'jaringan', 'daerah', 'dibenarin', 'nga', 'bisanya', 'cuman', 'chat', 'doang', '']</t>
  </si>
  <si>
    <t>['aplikasi', 'bsa', 'buka', '']</t>
  </si>
  <si>
    <t>['kasih', 'bintang', 'bagus', 'bintang']</t>
  </si>
  <si>
    <t>['aplikasi', 'telkomsel', 'udah', 'trus', 'knp', 'kebuka', 'udah', 'hapus', 'download', 'buka', 'buka', 'dimaba', 'yaa', '']</t>
  </si>
  <si>
    <t>['semoga', 'cepet', 'bangkrut', 'yaa', 'ngeleg', 'mulu', 'makasi', 'jaringan', 'bagus', 'makasi', 'telkomtolllll']</t>
  </si>
  <si>
    <t>['mudah', 'langsung', 'regritasi']</t>
  </si>
  <si>
    <t>['kali', 'buka', 'aplikasi', 'mytelkomsel', 'penilaian', 'isi', 'penilaian', 'mengisi', 'kali', 'buka', 'aplikasinya', 'mengganggu', 'kali', 'isi', 'penilaian']</t>
  </si>
  <si>
    <t>['kak', 'mimin', 'diupdate', 'dibukak', 'aplikasinya', 'beli', 'paket', 'susah', '']</t>
  </si>
  <si>
    <t>['tolol', 'babi', 'anjg', 'sinyalnya', 'kek', 'kontl']</t>
  </si>
  <si>
    <t>['terpaksa', 'ane', 'kurangin', 'bintangnya', 'habis', 'diperbarui', 'kebuka', '']</t>
  </si>
  <si>
    <t>['semoga', 'paket', 'perbulan', 'murah']</t>
  </si>
  <si>
    <t>['nti', 'klu', 'undian', 'hadiahnya', 'kasih', 'bintang', '']</t>
  </si>
  <si>
    <t>['point', 'tukar']</t>
  </si>
  <si>
    <t>['jngan', 'mahal', 'bos', 'paketnya']</t>
  </si>
  <si>
    <t>['bagus', 'banget', 'aplikasi', 'nyaa']</t>
  </si>
  <si>
    <t>['intenet', 'sihh', 'kenceng', 'tpi', 'desember', 'sinyalnya', 'suka', 'woyy', 'dirut', 'bngst', 'ngapain', '']</t>
  </si>
  <si>
    <t>['jaringan', 'paket', 'internetnya', 'mengecewakan', 'tindak', 'pertanggungjawaban', 'provider']</t>
  </si>
  <si>
    <t>['kecewa', 'banget', 'suah', 'kali', 'download', 'ngblank', 'mulu', 'aplikasiny', '']</t>
  </si>
  <si>
    <t>['penguna', 'tel', 'sel', 'telkomsel', 'kemarin', 'buka', 'layar', 'putih', 'hapus', 'download', 'tetep', 'buka', 'ampun', 'turunkan', 'bintang', '']</t>
  </si>
  <si>
    <t>['beli', 'kuota', 'taik']</t>
  </si>
  <si>
    <t>['mahal', 'paketnya', 'gaesss']</t>
  </si>
  <si>
    <t>['terimakasih', 'membatu', 'pelanggan', 'kelas', 'menengah', 'kebawah', 'masanya', 'diperpanjang', 'minggu', '']</t>
  </si>
  <si>
    <t>['telkomsel', 'mahal', 'dipaket', 'doang', 'jaringan', 'eror', 'jaringan', 'stabil', 'buktinya', 'beli', 'paket', 'mahal', 'jaringannya', 'memuaskan', '']</t>
  </si>
  <si>
    <t>['', 'tingkatkan', 'jaringan', 'pelosok', 'indonesia', 'mantap']</t>
  </si>
  <si>
    <t>['parah', 'tsel', 'sinyal', 'full', 'internetan', 'buka', 'file', 'sampe', 'ampun', 'deh', 'tolong', 'tingkatkan', 'pelayanannya', 'tinggal', 'pelanggan', 'layanannya', 'tlg', 'cari', 'solusinya', '']</t>
  </si>
  <si>
    <t>['pembelian', 'paket', 'aplikasi', 'berhasil', '']</t>
  </si>
  <si>
    <t>['', 'mantap', 'kirim', 'kuota']</t>
  </si>
  <si>
    <t>['woe', 'kek', 'update', 'giliran', 'udh', 'update', 'buka', 'maksud', 'kauuuu']</t>
  </si>
  <si>
    <t>['', 'penawaran', 'rb', 'gb', 'unl', 'pas', 'klik', 'beli', 'pulsa', 'uda', 'isi', 'rb', 'pas', 'beli', 'beli', 'isi', 'pulsa', 'mending', 'buang', 'ganti', 'kartu']</t>
  </si>
  <si>
    <t>['banten', 'dihilangkan', 'paket', 'ekstra', 'unlimetednya', 'mohon', 'adakan', 'derah', 'banten']</t>
  </si>
  <si>
    <t>['harga', 'paket', 'kesini', 'mahal', 'udah', 'banget', 'tsel', 'kali', 'ngerasa', 'kecewa', 'berat', 'tsel', 'kualitas', 'sinyalnya', 'perbaiki', '']</t>
  </si>
  <si>
    <t>['sinyal', 'citayem', 'depok', 'jelek', 'skali', 'paket', 'data', 'mahal', 'pakai']</t>
  </si>
  <si>
    <t>['thn', 'pelanggan', 'tsel', 'sayangnya', 'jarang', 'promo', 'pelanggan']</t>
  </si>
  <si>
    <t>['semoga', 'sehat']</t>
  </si>
  <si>
    <t>['telkomsel', 'beli', 'paket', 'internet', 'nonton', 'youtube', 'dipake']</t>
  </si>
  <si>
    <t>['harga', 'mahal', 'sinyal', 'busuk', '']</t>
  </si>
  <si>
    <t>['sebulan', 'ngeblank', 'putih', 'smua', 'dibuka', 'aplikasinya']</t>
  </si>
  <si>
    <t>['jelek', 'fungsi', 'uninstall', 'install', 'ulang', 'tetep', 'jalankan', 'petunjuk', 'ikuti', 'petujuknya', 'tetep', 'ajak', '']</t>
  </si>
  <si>
    <t>['terbaik', 'tpi', 'diturunkan', 'harganya']</t>
  </si>
  <si>
    <t>['aplikasinya', 'jelek', 'fersi', 'bukanya', 'mudah', 'akses', 'susah', 'bermutu', 'pengguna', 'telkomsel', 'kaya', 'jaman', 'nonton', 'telkomsel', 'instal', 'ngga', 'pakai', 'menuhmenuhin', 'memori', 'doang', '']</t>
  </si>
  <si>
    <t>['orang', 'kismin', 'stelah', 'telkomsel', 'beruntung']</t>
  </si>
  <si>
    <t>['ber', 'alih', 'provider', 'tarif', 'internet', 'mahal', 'ditempat', 'jaringan', 'internetnya', 'lancar']</t>
  </si>
  <si>
    <t>['kecewa', 'penggunaan', 'combo', 'unlimited', 'terbatas', 'unlimited', 'batasi', 'mohon', 'penjelasannya', '']</t>
  </si>
  <si>
    <t>['aplikasi', 'terburuk', 'aplikasi', 'dibuka', 'blank', 'truuuuuuuuusssssssssssss', '']</t>
  </si>
  <si>
    <t>['aplikasi', 'taaaiiikkkk', 'download', 'ttp', 'dibuka']</t>
  </si>
  <si>
    <t>['paket', 'internetnya', 'ekonomis', 'dibuka', 'aplikasinya', 'dibuka', 'aplikasi', '']</t>
  </si>
  <si>
    <t>['sinyalnya', 'buruk', 'dngn', 'telekomsel']</t>
  </si>
  <si>
    <t>['bagus', 'tuker', 'poin', 'undian', 'perna', 'membantu']</t>
  </si>
  <si>
    <t>['ngasi', 'bonus', 'data', 'hrsnya', 'dipakai', 'jngan', 'nunggu', 'kuota', 'utama', 'hbs', 'bonusnya', 'kepakai', 'dengar', 'dikasi', 'kritikan', 'eneg', 'komen', 'ditanggapin', 'signalnya', 'diancok', 'ngelag', 'trs']</t>
  </si>
  <si>
    <t>['telkomsel', 'sinyalnya', 'jelek', 'jaringan', 'terluass', 'gemana', 'boss', 'tollong']</t>
  </si>
  <si>
    <t>['fitur', 'ditawarkan', 'mudah', 'penggunaannya']</t>
  </si>
  <si>
    <t>['udah', 'telkomsel', 'thn', 'kali', 'jaringan', 'kacau', 'kyak', 'gini']</t>
  </si>
  <si>
    <t>['paket', 'spesial', 'murah', 'alhamdulillah', 'lumayan', 'nonton', 'youtube', 'sayang', 'sinyal', 'kadang', 'ngedown', 'telkomsel', 'sinyal', 'dibenerin', 'paket', 'dimurahkan', 'semoga', 'maju', 'telkomsel', '']</t>
  </si>
  <si>
    <t>['apk', 'taekk', 'login', 'todd', 'jelekk', 'nyesel', 'instal', 'apk', '']</t>
  </si>
  <si>
    <t>['kasih', 'diskon']</t>
  </si>
  <si>
    <t>['mahal', 'apk', 'beres']</t>
  </si>
  <si>
    <t>['mempermudah', 'transaksi']</t>
  </si>
  <si>
    <t>['paket', 'mahal', 'sinyal', 'parah', 'sma', 'boong', 'ahh', 'jelek', '']</t>
  </si>
  <si>
    <t>['ngga', 'buka', 'telkomsel', 'hapus', 'trus', 'instal', 'ttp', 'ngga', 'bsa', 'kecewa', 'apk']</t>
  </si>
  <si>
    <t>['aplikasi', 'buka', 'asuuuuuuu']</t>
  </si>
  <si>
    <t>['depkoleptor', 'pulsa', 'paket', '']</t>
  </si>
  <si>
    <t>['telkomsel', 'payah', 'cuaca', 'mendung', 'sinyal', 'jelek', 'ketambah', 'ujan', 'tambahjelek', 'mati', 'lampu', 'sinyal', 'jelek', 'kadang', 'jengkel', 'kesel', 'iya', 'beli', 'paketan', 'mahal', 'baget', 'ribu', 'telkomsel', 'kaga', 'andelin', '']</t>
  </si>
  <si>
    <t>['bagus', 'gaes']</t>
  </si>
  <si>
    <t>['telkomsel', 'taik', 'jaringan', 'becus', 'paket', 'mahal', 'jaringan', 'busuk', 'mati', 'lampu', 'hilang', 'jaringan', 'gilak', 'mending', 'axis', 'mantap', 'jaringan', 'paket', 'bersahabat', 'murah', 'taik', 'telkomsel']</t>
  </si>
  <si>
    <t>['ngblank', 'putih', 'akses', 'sayang', '']</t>
  </si>
  <si>
    <t>['gimana', 'udah', 'minggu', 'aplikasi', 'telkomsel', 'buka', 'pas', 'buka', 'bleng', 'putih', 'doang', 'layar', 'tolong', 'perbaiki', '']</t>
  </si>
  <si>
    <t>['jaringan', 'hancir']</t>
  </si>
  <si>
    <t>['promonya', 'bagus']</t>
  </si>
  <si>
    <t>['jelek', 'banget', 'mohon', 'maaf', 'semenjak', 'update', 'layar', 'putih', 'doang', 'nunggu', 'perbaiki', 'banget', 'maaf', 'rate', '']</t>
  </si>
  <si>
    <t>['sinyal', 'suka', 'ilang', '']</t>
  </si>
  <si>
    <t>['aplikasi', 'blank', 'putih', 'buka']</t>
  </si>
  <si>
    <t>['harga', 'mahal', 'sinyal', 'lemot', 'sip', 'kapitalis', 'sinyal', 'tri', 'bagus', 'telkomsel', 'tri', 'kartu', 'murah', 'malu', 'woii', 'malu', 'harga', 'dinaikin', 'sinyalnya', 'diperbagus', 'kemaren', 'kemaren', 'sinyalnya', 'gitu', 'gitu', 'mulu', 'perubahan', 'hadeeeh', 'kayak', 'gini', 'deh', 'tsel', 'lemot', 'menang', 'harga', 'mahal', 'kartu', 'sinyalnya', 'ampas', '']</t>
  </si>
  <si>
    <t>['pengguna', 'telkomsel', 'menceritakan', 'keluh', 'kesah', 'tolong', 'sinyalnya', 'perbagus', 'jelek', 'parah', 'jaringannya', 'kayak', '']</t>
  </si>
  <si>
    <t>['telkomsel', 'susah', 'loginnya', 'cape', 'banget', 'beli', 'paket', 'data', 'mahal', 'bener', 'aplikasi', 'aplikasinya', 'susah', 'dibuka']</t>
  </si>
  <si>
    <t>['kemaren', 'bsa', 'akses', '']</t>
  </si>
  <si>
    <t>['aplikasi', 'buang', 'data', 'doang', 'keliatan', 'kikir', 'pelitnya', 'provider', 'aplikasinya', '']</t>
  </si>
  <si>
    <t>['keuntungan', 'telkomsel']</t>
  </si>
  <si>
    <t>['wilayah', 'cikokol', 'tangerang', 'kota', 'sinyal', '']</t>
  </si>
  <si>
    <t>['kecewa', 'jaringannya', 'susah', 'beli', 'paketnya', 'mahal', 'mahal', 'nyesel', 'pakai', 'telkomsel', 'rugikan']</t>
  </si>
  <si>
    <t>['mantap', 'jiwaaaaaaa']</t>
  </si>
  <si>
    <t>['mantappp', 'bingittt', 'diperbaharui', 'dibuka', 'top', 'bangettt', 'deh', 'pokonya', 'bohoooooong']</t>
  </si>
  <si>
    <t>['aplikasi', 'buka', 'tampilan', 'layar', 'berwarna', 'putih', '']</t>
  </si>
  <si>
    <t>['aplikasi', 'blank', 'putih', 'handphone', 'update', 'kecewa', 'sihh', 'orang', 'suruh', 'update', 'update', 'suruh', 'update', 'mang', 'orang', 'udah', 'nyaman', 'rudet', 'rudet', 'tungtung', 'jangar', 'sirah', '']</t>
  </si>
  <si>
    <t>['seminggu', 'telkomsel', 'buka', '']</t>
  </si>
  <si>
    <t>['bosss', 'banyakin', 'promo', '']</t>
  </si>
  <si>
    <t>['oke', 'aplikasi', 'telkomsel', 'bagus']</t>
  </si>
  <si>
    <t>['beli', 'paket', 'data', 'internet', 'telkomsel', '']</t>
  </si>
  <si>
    <t>['sngat', 'memuaskan']</t>
  </si>
  <si>
    <t>['beruntung', 'dpat', 'mobil']</t>
  </si>
  <si>
    <t>['lag', 'parah', 'gangguan']</t>
  </si>
  <si>
    <t>['knpa', 'paket', 'kuota', 'mahal', 'mahal', 'ajja', 'bener', 'malesin', 'mending', 'ganti', 'kartu', 'perdana', 'bgini']</t>
  </si>
  <si>
    <t>['suka', 'diskonnya', '']</t>
  </si>
  <si>
    <t>['', 'telkomsel', 'rusak', 'buka', 'layar', 'putih', 'doang', 'rekomended']</t>
  </si>
  <si>
    <t>['parah', 'udah', 'jaringan', 'susah', 'masuk', 'apk', 'susah', 'sms', 'masuk']</t>
  </si>
  <si>
    <t>['paket', 'combo', 'sakti', 'hilang', 'pakai', 'kecewa', 'banget']</t>
  </si>
  <si>
    <t>['pas', 'update', 'aplikasi', 'telkomsel', 'masuk', 'kebuka', 'android', 'telkomsel', 'update', 'android', 'tetep', 'kebuka', 'grapari', 'telkomsel', 'bantu', 'kecewa', 'telkomsel']</t>
  </si>
  <si>
    <t>['aplikasi', 'telkomsel', 'buka', 'hapus', 'trus', 'download', 'ulang', 'msh', 'dibuka', '']</t>
  </si>
  <si>
    <t>['amanah', 'seru']</t>
  </si>
  <si>
    <t>['bsa', 'dbuka', 'apk']</t>
  </si>
  <si>
    <t>['semoga', 'hadia', 'mobil', 'telkomsel']</t>
  </si>
  <si>
    <t>['error', 'buka', 'apk', 'bapuk']</t>
  </si>
  <si>
    <t>['kasih', 'bintang', 'krna', 'ngelek', '']</t>
  </si>
  <si>
    <t>['pas', 'update', 'terbarunya', 'telkomsel', 'dibuka', 'force', 'close', 'menunggu', 'masuk', 'apk', 'telkomselnya', 'tolong', 'solusinya', '']</t>
  </si>
  <si>
    <t>['beli', 'kuota', 'mahal', 'telkomsel', 'lombok', 'lelet', 'berlangganan', 'telkomsel', 'percaya']</t>
  </si>
  <si>
    <t>['bagus', 'aman']</t>
  </si>
  <si>
    <t>['menguntungkan', 'defelopernya', 'tpi', 'penguna', 'telkomsel']</t>
  </si>
  <si>
    <t>['bagus', 'cek', 'pulsa', 'nomor']</t>
  </si>
  <si>
    <t>['layar', 'putih', 'doang', 'kali', 'buka', '']</t>
  </si>
  <si>
    <t>['bad', 'internet', 'kadang', 'suka', 'hilang', 'jaringan', 'ganti', 'milik', 'kah', 'kecepatan', 'internet', 'kadang', 'kadang', 'hilang', 'jaringan', 'sumpah', 'telkomsel', 'kartu', 'impian', 'bad', 'card', 'sim']</t>
  </si>
  <si>
    <t>['redeem', 'point', 'menarik', 'point', '']</t>
  </si>
  <si>
    <t>['', 'kenpa', 'appsnya', 'buka', 'udh', 'ber', '']</t>
  </si>
  <si>
    <t>['jeleeeeeeeekkkkk', 'aplikasinya', 'gmn', 'ngecek', 'habis', 'paket', 'dll', 'woooiii', 'perbaiki', 'secepatnya']</t>
  </si>
  <si>
    <t>['top', 'membantu', '']</t>
  </si>
  <si>
    <t>['telkomsel', 'putih', 'beli', 'paket', 'ngisi', 'kuota', 'udah', 'beerapa', 'kali', 'instal', 'instal', 'ulang']</t>
  </si>
  <si>
    <t>['ribetttttttttt', 'perpanjang', 'susah', 'ganti', 'paska', 'bayar', 'susaaahh', 'bumn', 'becus']</t>
  </si>
  <si>
    <t>['pembelian', 'pulsa', 'paketan', 'mudas', 'gaeess']</t>
  </si>
  <si>
    <t>['kasi', 'bintang', 'dlu']</t>
  </si>
  <si>
    <t>['login', 'udah', 'kali', 'coba', 'login']</t>
  </si>
  <si>
    <t>['beli', 'unlimited', 'max', 'ngeleg', 'banget', 'beli', 'mahal', 'kepake', 'tolong', 'ngeleg', 'banget']</t>
  </si>
  <si>
    <t>['', 'kecewa', 'banget', 'tadinyau', 'rendem', 'kouta', 'pulsa', 'habis', 'tersedot', 'pdhl', 'cek', 'disitu', 'tertulis', 'gagal', 'isi', 'ulang', 'uangnya', 'min', 'kuturunkn', 'bintangnya', 'saran', 'administrasi', 'berduit', 'gpp', 'pas', 'pasan', 'dpt', 'drmana', 'tolong', 'diperhatikan', 'min', 'email', 'diblokir', 'telkomsel', 'hadiah', 'dikonfirmasi', 'telkomsel']</t>
  </si>
  <si>
    <t>['harga', 'paketnya', 'jaringannya', 'lelet', 'astaghfirullah', '']</t>
  </si>
  <si>
    <t>['dibuka', 'update', 'pengaturan', 'geogle', 'bite', 'maksudx', 'gmn', '']</t>
  </si>
  <si>
    <t>['paket', 'beli', 'mahal', 'mahal', 'suaah', 'jaringn', 'suka', 'jringn', 'hilang']</t>
  </si>
  <si>
    <t>['jaringan', 'internet', 'jelek', 'parah', 'beli', 'paket', 'gamemax', 'dipake', 'diambil', 'paket', 'kuota', 'utama', 'sisa', 'pulsa', 'disedot', 'sampe', 'habis', 'pindah', 'sebelah', 'im', 'jaringan', 'stabil', '']</t>
  </si>
  <si>
    <t>['paket', 'maha', 'promo', 'kusus', 'area', 'wonogiri', 'timur']</t>
  </si>
  <si>
    <t>['kasih', 'bintang', 'karna', 'meringankan', 'beban', 'paketnya', 'murahin', 'dikit', '']</t>
  </si>
  <si>
    <t>['lumayan', 'pemula', '']</t>
  </si>
  <si>
    <t>['bgmn', 'min', 'buka', 'pelangan', 'telkomsel', 'wil', 'papua', 'tia']</t>
  </si>
  <si>
    <t>['telkomsel', 'lancang', 'suka', 'ambil', 'pulsa', 'diam', 'diam', '']</t>
  </si>
  <si>
    <t>['habis', 'update', 'nggak', 'buka', 'sekelas', 'telkomsel', 'kecewa', '']</t>
  </si>
  <si>
    <t>['banget', 'buka', 'aplikasinya', 'kukira', 'doang', 'taunya', 'sekeluarga', 'buka', 'aplikasinya', 'sekeluarga', 'langganan', 'telkomsel', 'kecewa', 'parah', '']</t>
  </si>
  <si>
    <t>['udah', 'instal', 'berkali', 'ttp', 'buka']</t>
  </si>
  <si>
    <t>['standart', 'login', 'aplikasi', 'lambat', 'berat', 'dibuka', 'layar', 'blank', 'putih', 'pengguna', 'telkomsel', 'kecewa', '']</t>
  </si>
  <si>
    <t>['gimana', 'apk', 'dibuka', 'layar', 'putih', 'doang']</t>
  </si>
  <si>
    <t>['udh', 'mahal', 'pas', 'ujan', 'sinyal', 'udh', 'beli', 'paket', 'game', 'kgk', 'udh', 'penipuan', 'pas', 'game', 'bar', 'sinyal', 'full', 'leg', 'detik', 'udh', 'pas', 'game', 'bar', 'sinyal', 'full', 'telkomsel', 'dimana', 'bis', 'aleg', 'gini', 'coba', 'ngotak', 'indonesia', 'internet', 'cpt']</t>
  </si>
  <si>
    <t>['mantap', 'penggunaan', 'mudah', 'dimengerti']</t>
  </si>
  <si>
    <t>['aplikasinya', 'ngga', 'uda', 'download', 'kali', 'parah', 'banget', 'telkomsel', 'teknologi', 'canggih', 'apl', 'telkomselnya', 'burk', 'buruk', 'buruk']</t>
  </si>
  <si>
    <t>['aplikasi', 'bukaaa', '']</t>
  </si>
  <si>
    <t>['dimana', 'kartu', 'cellular', 'dinilai', 'sisi', 'jaringan', 'paket', 'kuota', 'nggak', 'jaringan', 'dilokasi', 'alhamdulillah', 'jaringan', 'telkomsel', 'satunya', 'stabil']</t>
  </si>
  <si>
    <t>['nanya', 'keluhan', 'solusiy', 'komputer', 'jwab', 'dbikin', 'pusing', 'bolak', 'lgi', '']</t>
  </si>
  <si>
    <t>['tetab', 'ulang', 'alik', 'telpon', 'admin', 'mitelkomsel', 'suruh', 'donlod', 'berkali', 'donlod', 'tpi', 'hasil', 'tetab', 'buka', 'perbaiki', 'mitelkomsel', 'mohon', 'karna', 'buka', 'telkomsel']</t>
  </si>
  <si>
    <t>['membuka', 'jaringan', 'internet', 'mobile', 'data', 'karna', 'dirumah', 'wifi', 'telkomsel', 'potong', 'pulsa', 'habis', 'isi', 'sedot', 'pelan', 'membuka', 'mobile', 'data', 'telponan', '']</t>
  </si>
  <si>
    <t>['puas', 'jaringan', 'telkomsel']</t>
  </si>
  <si>
    <t>['telkosel', 'aplikasinya', 'dibuka']</t>
  </si>
  <si>
    <t>['bagusnya']</t>
  </si>
  <si>
    <t>['super', 'jelek', 'mnta', 'update', 'after', 'update', 'dibuka', '']</t>
  </si>
  <si>
    <t>['aneh', 'sinyal', 'telkomsel', 'jelek', 'kota', 'kabupaten']</t>
  </si>
  <si>
    <t>['paket', 'internet', 'mahal', '']</t>
  </si>
  <si>
    <t>['tolong', 'sesuaikan', 'harga', 'koneksi', 'masak', 'telkomsel', 'terkenal', 'sinyalnya', 'kuat', 'lemot', 'gini', '']</t>
  </si>
  <si>
    <t>['mahal', 'doang', 'paket', 'eror', 'jaringan']</t>
  </si>
  <si>
    <t>['jelek', 'dibuka', 'dlu', 'beli', 'paket', 'apk', 'skrg', 'jelek', 'jelek', 'jelek', 'install', 'nyesel']</t>
  </si>
  <si>
    <t>['mahal', 'mahal', 'harga', 'paketnya', 'wkwkwk', '']</t>
  </si>
  <si>
    <t>['mkin', 'ancur', 'telkomsel', 'sinyal', 'jelek', 'gua', 'segai', 'player', 'game', 'kuat', 'telkomsel', 'gara', 'sinyal', 'kalah', 'gimana', 'kemajuan', 'sinyal', 'telkomsel', 'woooiiiiiiii', 'kesel', 'gua', 'ayolah', 'wooooiiiiiiii', 'sinyal', 'jngan', 'kek', 'taiii', 'gitu']</t>
  </si>
  <si>
    <t>['buka', 'aplikasinya', 'ngeblank', 'putih', 'udah', 'langganan', 'bertahun', 'pakai', 'telkomsel']</t>
  </si>
  <si>
    <t>['mksh', 'telkomsel', 'mempermudah', 'castamer']</t>
  </si>
  <si>
    <t>['membantu', 'sayang', 'sinyalnya', 'skrg', 'stabil', '']</t>
  </si>
  <si>
    <t>['telkomsel', 'kesal', 'senin', 'tgl', 'dsember', 'aplikasi', 'mytelkomsel', 'bsa', 'login', 'bsa', 'dibuka', 'blank', 'putih', 'laporan', 'keluhan', 'intruksi', 'diikutin', 'blm', 'terselesaikan', 'check', 'dpt', 'bonus', 'kuota', '']</t>
  </si>
  <si>
    <t>['lemot', 'masuk', 'fvk']</t>
  </si>
  <si>
    <t>['appnya', 'dihp', 'stuk', 'dilogo', 'seminggu', 'bgtu', 'tolong', 'appnya', 'diperbaiki']</t>
  </si>
  <si>
    <t>['masuk', 'updatenya', 'kasih', 'bintang', 'kecewa']</t>
  </si>
  <si>
    <t>['bagus', 'apknya']</t>
  </si>
  <si>
    <t>['apps', 'ngga', 'ngga', 'buka', 'provider', 'sekaliber', 'telkomsel', 'ndak', 'team', 'pengembang', 'apps', 'handal', 'memalukan', '']</t>
  </si>
  <si>
    <t>['telkomsel', 'ndak', 'dibuka']</t>
  </si>
  <si>
    <t>['semoga', 'bagus', 'layanannya']</t>
  </si>
  <si>
    <t>['gila', 'skrng', 'telkomsel', 'menit', 'abis', 'selesai', 'isi', 'pulsa', 'pas', 'kerja', 'bli', 'paket', 'sedot', 'pulsanya', 'gila', '']</t>
  </si>
  <si>
    <t>['lodingnya', 'lambat', 'sinyal', 'bagus']</t>
  </si>
  <si>
    <t>['mohon', 'maafnya', 'maaf', 'kak', 'yaa', 'jebakan', 'batman', 'perhatian', 'ntk', 'pelanggan', 'setia', '']</t>
  </si>
  <si>
    <t>['loading', '']</t>
  </si>
  <si>
    <t>['aplikasinya', 'udah', 'jelek', 'buka', 'tolong', 'aplikasinya', 'perbaiki']</t>
  </si>
  <si>
    <t>['', 'telkomsel', 'bagus', 'cuman', 'jaringan', 'stabil', 'klau', 'main', 'game', 'online', 'turun', 'jaringan', 'kuotanya', 'mahal', 'bandingkan', 'operator']</t>
  </si>
  <si>
    <t>['skrng', 'telkomsel', 'ngisi', 'pulsa', 'kesedot', 'pdhl', 'gaada', 'utang', 'pulsa', 'skali']</t>
  </si>
  <si>
    <t>['aplikasinya', 'ngebalank', 'putih', 'udah', 'restart', 'instal', 'ulang', 'aplikasinya', 'blank', 'putih', 'karna', 'hpnya', '']</t>
  </si>
  <si>
    <t>['mahal', 'mahal', 'paketnya', 'orbit', 'turun', 'kondiai', 'akrg']</t>
  </si>
  <si>
    <t>['kecewa', 'layanan', 'jaringan', 'telkomsel', 'lelet', 'beli', 'paket', 'mahal', 'mohon', 'tingkatkan', 'wilayah', 'kal', 'tim', 'terimakasih', '']</t>
  </si>
  <si>
    <t>['kasih', 'hadiah', 'bangsay']</t>
  </si>
  <si>
    <t>['', 'perbaruin', 'pilihan', 'kuota', '']</t>
  </si>
  <si>
    <t>['semoga', 'apk', 'mengecewakan']</t>
  </si>
  <si>
    <t>['kecewa', 'banget', 'pelanggan', 'telkomsel', 'kali', 'kecewa', 'banget', 'jaringan', 'banget', 'kirim', 'pesan', 'watsapp', 'susah', 'tolong', 'perbaiki', 'jaringan', 'telkomsel']</t>
  </si>
  <si>
    <t>['jaringan', 'ancur', 'benerin', 'sinyal', 'cuman', 'dapet', 'bar', 'bar', 'kesini', 'jelek', 'kalah', 'murah', '']</t>
  </si>
  <si>
    <t>['membantu', 'memudahkan', 'aktivitas', 'good']</t>
  </si>
  <si>
    <t>['ditempat', 'sinyal', 'telkomsel', 'buruk', 'telkomsel', 'niat', 'memperbaikinya', '']</t>
  </si>
  <si>
    <t>['buka', 'tolong', 'perhatikan', 'penjelasanya']</t>
  </si>
  <si>
    <t>['setia', 'pakai', 'telkomsel', 'berpindah', 'hati', 'telkomsel', 'pilihan', 'terakhirnya']</t>
  </si>
  <si>
    <t>['aplikasinya', 'jelek', 'parah', 'dibuka', 'udah', 'uninstal', 'instal', 'ulang', 'ttp', 'pas', 'dibuka', 'keluarnya', 'warna', 'putih', 'udah', 'ngaduin', 'perihal', 'twitter', 'dibuka', 'aplikasi', 'tolong', 'diperbaiki', '']</t>
  </si>
  <si>
    <t>['aplikasi', 'payah', 'pas', 'update', 'buka', 'tolong', 'perbaiki', 'klu', 'layani', 'mending', 'telkomsel', 'payah']</t>
  </si>
  <si>
    <t>['aplikasi', 'crash', 'tolong', 'diperbaiki', 'silahkan', 'tekan', 'aktifin', 'paket', 'manual']</t>
  </si>
  <si>
    <t>['kecewaaaaa', '']</t>
  </si>
  <si>
    <t>['kecewa', 'berat', 'pulsa', 'terpotong', 'telepon', 'kesesama', 'telkomsel', 'paket', 'telepon', 'kesesama', 'telkomsel', 'beli', 'paket', 'telepon', 'buka', 'aplikasi', 'lemotnya', 'ampun', 'cepat', 'aplikasi', 'provider', 'sebelah', 'kuota', 'internet', 'telkomsel', 'mengecewakan', '']</t>
  </si>
  <si>
    <t>['kak', 'jaringan', 'telkomsel', 'down', 'ujian', 'terganggu', 'gitu', 'karna', 'jaringan', 'perbaiki']</t>
  </si>
  <si>
    <t>['knpa', 'dibuka', 'woy', 'cuman', 'muncul', 'warna', 'putih', 'doang', 'pdhl', 'aplikasi', 'suka', 'skrng', 'udh', 'beruba', 'kek', '']</t>
  </si>
  <si>
    <t>['harga', 'paket', 'datanya', '']</t>
  </si>
  <si>
    <t>['telkomsel', 'jaringnya', 'mengalami', 'kemunduran', 'stabil', 'hilang', 'hilang', 'sinkron', 'iklan', 'jaringan', 'ngebut', 'jaringan', 'kura', 'kura', '']</t>
  </si>
  <si>
    <t>['upgrade', 'buka', 'apknya']</t>
  </si>
  <si>
    <t>['', 'telkomsel', 'kebuka', 'paket', 'masuk', 'pusing']</t>
  </si>
  <si>
    <t>['tolong', 'jaringannya', 'telkomsel', 'gangguan', 'tolong', 'perbaiki', 'sistemnya', 'lancar', 'dapati', 'orderan', 'salam', 'driver', 'gojek', '']</t>
  </si>
  <si>
    <t>['terima', 'kasih', 'layanannya', 'indonesia', 'telkomsel', 'mantap']</t>
  </si>
  <si>
    <t>['oke', 'puas']</t>
  </si>
  <si>
    <t>['sinyal', 'telkomsel', 'udah', 'memuaskan', 'tinggal', 'simpan', 'pulsa', 'kadang', 'kuota', 'berkurang', 'jls', 'simpan', 'pulsa', 'nyaman']</t>
  </si>
  <si>
    <t>['aplikasih']</t>
  </si>
  <si>
    <t>['kasih', 'kendalanya', 'telkomsel', 'dibuka', 'srh', 'hubunuin', 'mimin', 'payah']</t>
  </si>
  <si>
    <t>['saran', 'telkomsel', 'pelit', 'pelanggan', 'tingkatkan', 'kwalitas', 'signal', 'permudah', 'membuka', 'apl', 'mytelkomsel', 'memakai', 'pulsa', 'data']</t>
  </si>
  <si>
    <t>['apknya', 'dibuka', 'android', '']</t>
  </si>
  <si>
    <t>['ngeblank', 'putih', 'payaaaah']</t>
  </si>
  <si>
    <t>['beli', 'kuota', 'ngk', 'kesini', 'telkomsel', 'server', 'krng']</t>
  </si>
  <si>
    <t>['update', 'tampilan', 'kali', 'membuka', 'aplikasinya', 'white', 'screen', '']</t>
  </si>
  <si>
    <t>['knp', 'skrg', 'app', 'telkomsel', 'layar', 'putih', 'smua', '']</t>
  </si>
  <si>
    <t>['perbarui', 'tpi', 'bukak', 'telkomsel', 'smakin', 'jlass', 'stopp', 'telkomsel']</t>
  </si>
  <si>
    <t>['kennapaya', 'paket', 'nelpon', 'mahal', 'padal', 'kemarin', 'memuaskan', 'aga', 'kecewa', '']</t>
  </si>
  <si>
    <t>['buka', 'aplikasinya', 'udah', 'update', 'tolong', 'bagusin', 'aplikasinya', 'lelet', 'banget', '']</t>
  </si>
  <si>
    <t>['masuk', 'blank', 'warna', 'putih', 'gimana', 'blank', 'putih']</t>
  </si>
  <si>
    <t>['aplikasi', 'otaknya', 'kayak', 'albert', 'einstein', 'isaac', 'newton']</t>
  </si>
  <si>
    <t>['mahal', 'banget', 'paketnya', 'pengguna', 'telkomsel', 'puas', 'telkomsel', 'menang', 'jaringan', 'luas', 'kepuasan', 'pelanggannya', 'minus', 'untung', 'gua', 'pelanggan', 'tri', 'murah', 'jaringan', 'aman', 'top', 'terima', 'kasih', '']</t>
  </si>
  <si>
    <t>['sinyal', 'busuk', 'sesuai', 'harga', 'dibayarkan', 'bumn', 'rusak', 'pokoknya', 'bobrok', 'mending', 'perusahaan', 'semoga', 'cepet', 'bangkrut', '']</t>
  </si>
  <si>
    <t>['aplikasih', 'membantu']</t>
  </si>
  <si>
    <t>['buka', 'aplikasi', 'blank', 'kosong', 'uninstal', 'instal', 'maintance', 'kah', '']</t>
  </si>
  <si>
    <t>['hilang', 'signalnya', 'goyang', 'indonesia', 'konsumen', 'dilindungi', 'bertahan', 'indonesia', 'kualitas', 'internet', 'terburuk', '']</t>
  </si>
  <si>
    <t>['tolong', 'telkomsel', 'jelek', 'jaringan', 'kau', 'isi', 'paket', 'tpi', 'jaringan', 'slalu', 'ilang', 'perbaiki', 'napa', 'menderita', 'telkomsel', 'plisss', 'jaringan', 'ditingkat', 'plisssssssssssss']</t>
  </si>
  <si>
    <t>['knpa', 'sinyal', 'susah']</t>
  </si>
  <si>
    <t>['barusan', 'isi', 'pulsa', 'rb', 'beli', 'paket', 'ehh', 'taunya', 'kesedot', 'rb', 'kesedot', 'paket', 'rb', 'udh', 'aktif', 'jdi', 'gagal', 'aneh', 'eror', 'telkomsel']</t>
  </si>
  <si>
    <t>['knapa', 'skarang', 'telkomsel', 'buka', 'liding', 'buka', 'buka']</t>
  </si>
  <si>
    <t>['aplikasinya', 'dibuka', 'blank', 'putih', 'udah', 'diuninstal', 'trus', 'instal', '']</t>
  </si>
  <si>
    <t>['applikasi', 'telkomsel', 'dibuka', 'blank', 'putih', 'uninstal', 'instal', 'tetep', 'trouble', '']</t>
  </si>
  <si>
    <t>['app', 'tid', 'dugunakan', 'infinix']</t>
  </si>
  <si>
    <t>['tolong', 'paket', 'telkomsel', 'mahal', 'promo', 'pelanggan', 'puas', '']</t>
  </si>
  <si>
    <t>['telkomsel', 'kacau', 'aplikasi', 'baruin', 'hank', 'kacau', 'telkomsel']</t>
  </si>
  <si>
    <t>['beli', 'paket', 'data', 'murah']</t>
  </si>
  <si>
    <t>['bayar', 'susah']</t>
  </si>
  <si>
    <t>['oke', 'aga', 'mahal']</t>
  </si>
  <si>
    <t>['jaringan', 'internetnya', 'kayak', 'sampah', 'beli', 'kuota', 'mahal', 'jaringan', 'internetnya', 'wilayah', 'indonesia', 'ngaa', 'bagus', 'udah', 'berkali', 'kali', 'notice', 'nggak', 'respon', 'telkomsel', 'ganti', 'provider', 'jaringan', '']</t>
  </si>
  <si>
    <t>['kak', 'gimana', 'cobak', 'semingu', 'dapet', 'kouta', 'seikhlasnya', 'nyuri', 'uang', 'emak', 'gua', 'beli', 'kouta', 'tolong', 'perbaiki', 'semoga', 'baca', 'rent']</t>
  </si>
  <si>
    <t>['update', 'mengecewakan', '']</t>
  </si>
  <si>
    <t>['paket', 'mahal', 'kecepatan', 'mentok', 'kb', 'nonton', 'youtube', 'main', 'game', 'super', 'lag', 'kesel', 'samatelkomsel', 'burik']</t>
  </si>
  <si>
    <t>['maaf', 'kasih', 'bintang', 'udah', 'sebulan', 'jaringan', 'telkomsel', 'daerah', 'kampar', 'riau', 'stabil', 'main', 'game', 'lag', 'udh', 'byk', 'org', 'pindah', 'provider', 'komunitas', 'telkomsel', 'mohon', 'bantuannya', 'min', '']</t>
  </si>
  <si>
    <t>['menarik', 'kesempatan', 'hadiah']</t>
  </si>
  <si>
    <t>['bagus', 'mempermudah', 'beli', 'paket']</t>
  </si>
  <si>
    <t>['kuranggggggggggg', 'bagussssssssss', 'sekaliiiiiiiiiiiiiiiii']</t>
  </si>
  <si>
    <t>['kuota', 'youtubenya', 'nggk', 'jalan', 'jdi', 'rugi', 'tolongggggggggg']</t>
  </si>
  <si>
    <t>['mohon', 'maaf', 'seminggu', 'aplikasi', 'telkomsel', 'pas', 'buka', 'putih', 'menunggu', 'menit', 'layar', 'putih', '']</t>
  </si>
  <si>
    <t>['kuota', 'mahal', 'aplikasi', 'telkomsel', 'nge', 'blank', 'kebuka']</t>
  </si>
  <si>
    <t>['enak', 'telkomsel']</t>
  </si>
  <si>
    <t>['jaringan', 'buruk', 'buruk']</t>
  </si>
  <si>
    <t>['emang', 'mantap', 'aplikasi']</t>
  </si>
  <si>
    <t>['makasih', 'kuota', 'gratis', '']</t>
  </si>
  <si>
    <t>['blank', 'putih', 'doang', 'parah', 'kecewa', '']</t>
  </si>
  <si>
    <t>['pertahankan', 'bintang']</t>
  </si>
  <si>
    <t>['membeli', 'kuota', 'unlimited', 'youtube', 'kuota', 'ketengan', 'utama', 'menonton', 'youtube', 'kuota', 'utama', 'habis', 'pdahal', 'pastikan', 'app', 'berjalan', 'youtube', 'kuota', 'unlimited', 'berfungsi', '']</t>
  </si>
  <si>
    <t>['transaksi', 'udah', 'bingung', 'bingung']</t>
  </si>
  <si>
    <t>['kartu', 'terburuk', 'seindonesia', 'kartu', 'smartfren', 'indosat', 'bagus', 'kartu', 'telkomsel', 'telkomnyeseeelllllll', '']</t>
  </si>
  <si>
    <t>['aplikasi', 'bug', 'udah', 'bayar', 'transaksi', 'gagal']</t>
  </si>
  <si>
    <t>['payah', 'banget', 'deh', 'aplikasinya', 'update', 'giliran', 'uodate', 'males', 'udah', 'smah', 'jaringannya', 'lemot', 'mahalnya', 'doang', 'perbaiki', 'kualitas', 'jaringannya']</t>
  </si>
  <si>
    <t>['harga', 'paket', 'internet', 'telkomsel', 'mahal', 'sesuai', 'harga', 'beli', 'kemaren', '']</t>
  </si>
  <si>
    <t>['saran', 'telkomsel', 'mending', 'beralih', 'usaha', 'layangan', 'sinyal', 'kena', 'angin', 'dikit', 'langsung', 'down', 'kesini', 'bagus', 'parah', 'sampe', 'kaya', 'gini', 'next', 'time', 'mending', 'ganti', 'kartu', 'beralih', 'sosmed', 'fungsi', 'komentar', 'playstore', 'situ', 'waras', 'kah', '']</t>
  </si>
  <si>
    <t>['woy', 'tolong', 'jaringan', 'telkomsel', 'perbaiki', '']</t>
  </si>
  <si>
    <t>['dapet', 'mahalnya', 'jaringan', 'ttp', 'lemod', 'mash', 'kalah', 'sma', 'sebelh', 'smakin', 'fayah', 'gimna', 'hadeeuh', 'giti', 'plz', 'kesedot', 'paket', 'plz', 'kesedot', 'hadeu', 'hhh']</t>
  </si>
  <si>
    <t>['tanggal', 'desember', 'jaringan', 'telkomsel', 'indihome', 'lelet', 'wilayah', 'kab', 'magetan', 'terimakasih', '']</t>
  </si>
  <si>
    <t>['kuota', 'doang', 'mahal', 'jaringan', 'jelek']</t>
  </si>
  <si>
    <t>['memuaskan', 'hati']</t>
  </si>
  <si>
    <t>['pulsa', 'gua', 'kesedot', 'mulu', 'gua', 'sim']</t>
  </si>
  <si>
    <t>['woi', 'jaringan', 'minggu', 'lag', 'bet', 'anji', 'perubahan', 'perbaikan', 'harga', 'mahal', 'cuman', 'pas', 'kerusakan', 'ngebagusin', 'bertahun', 'lokasii', 'provinsi', 'sumut', 'kota', 'sibolga', 'kabupaten', 'tapanuli']</t>
  </si>
  <si>
    <t>['kirim', 'promo', '']</t>
  </si>
  <si>
    <t>['apk', 'tsel', 'ngeblank', 'putih', 'mulu', 'layar', 'buka', 'tolong', 'donk', 'mimin', '']</t>
  </si>
  <si>
    <t>['parah', 'update', 'kuota', 'internet', 'telpon', 'combo', 'blank', 'putih', 'udah', 'uninstal', 'instal', 'ulang', 'blak', 'putih', 'gimana', 'telkomsel', 'bumn', 'kog', 'parah', 'customer', 'pindah', 'provider', 'kian', 'kemari', 'kian', 'sulit', 'penggunaan', 'applikasinya', '']</t>
  </si>
  <si>
    <t>['parah', 'sinyalnya', '']</t>
  </si>
  <si>
    <t>['harga', 'paket', 'mahal', 'sinyal', 'jelek', 'pisan', 'najisss', 'paket', 'mahal', 'sinyal', 'unggul', 'mah', 'okey', 'laah', 'harga', 'paket', 'mahal', 'sinyal', 'jelek', 'pisan', 'kalah', 'nomor']</t>
  </si>
  <si>
    <t>['kecewa', 'kouta', 'panggilan', 'hilang', 'kemana', 'mohon', 'kembalikan', '']</t>
  </si>
  <si>
    <t>['jaringan', 'udah', 'gabisa', 'diandalin', 'kyk']</t>
  </si>
  <si>
    <t>['tingkatkan', 'telkomsel']</t>
  </si>
  <si>
    <t>['beli', 'paket', 'gangguan', 'system', '']</t>
  </si>
  <si>
    <t>['kecewa', 'telkomsel', 'pulsa', 'kesedot', 'pas', 'hdp', 'data', 'sms', 'sdg', 'akses', 'internet', 'non', 'paket', 'kuota', 'msh', 'knp', 'telkomsel', 'nyedot', 'pulsa', 'sebap', 'mohon', 'diperbaiki', 'yaa', 'mls', 'bgini', '']</t>
  </si>
  <si>
    <t>['sinyal', 'setabil']</t>
  </si>
  <si>
    <t>['telkomsel', 'buka', 'aplikasi', '']</t>
  </si>
  <si>
    <t>['mudah', 'dlam', 'pembelian', 'paket']</t>
  </si>
  <si>
    <t>['mohon', 'maaf', 'min', 'harga', 'telkomsel', 'banget', 'telkomsel', 'mohon', 'pencerahan', 'min', '']</t>
  </si>
  <si>
    <t>['mantaf', 'mudah']</t>
  </si>
  <si>
    <t>['apliaksi', 'buka', 'susha', 'hapus', 'download']</t>
  </si>
  <si>
    <t>['apk', 'dibuka', 'update', 'kayak', 'gini']</t>
  </si>
  <si>
    <t>['sinyal', 'jelek', 'mulu', 'dikota', 'auto', 'pindah', 'bye', 'bye', 'telkomsel', '']</t>
  </si>
  <si>
    <t>['pulsa', 'kesedot', 'mulu', 'ashu', 'kesedot', 'ampe', 'gimana', 'beli', 'paket', 'kontli', 'emang']</t>
  </si>
  <si>
    <t>['layanan', 'jaringan', 'serasa', 'telkomsel', '']</t>
  </si>
  <si>
    <t>['kesini', 'jaringan', 'telkomsel', 'burik', 'harga', 'paketan', 'mahal', '']</t>
  </si>
  <si>
    <t>['suka', 'notifikasi', 'promo', 'pas', 'klik', 'promo', 'not', 'found', 'penuh', 'in', 'notifikasi', '']</t>
  </si>
  <si>
    <t>['perbaharui', 'tks', 'telkomsel']</t>
  </si>
  <si>
    <t>['pakai', 'telkomsel', 'update', 'nggak', 'dibuka', 'kali', 'instal', 'ulang', 'tetep', 'nggak', 'dibuka', 'layarnya', 'saza', 'putih', 'ttidak', 'perubahan', 'mohon', 'diperbaiki', 'dibuka', 'ngeblank', 'uninstal', '']</t>
  </si>
  <si>
    <t>['kasih', 'bintang', 'kasih', 'bintang', 'combo', 'sakti', 'unlimited', 'batasan', 'internet', 'nasional', 'harga', 'paket', 'data', 'mahal', 'gb', 'mahal', 'pelanggan', 'berganti', 'provider', '']</t>
  </si>
  <si>
    <t>['sinyal', 'turun', 'konsisten', 'sinyal', 'kuat', 'hem', '']</t>
  </si>
  <si>
    <t>['gabisa', 'buka', 'apk']</t>
  </si>
  <si>
    <t>['update', 'mantap']</t>
  </si>
  <si>
    <t>['telkomsel', 'emang', 'bagus', 'ahir', 'ahir', 'jaringan', 'internetnya', 'minim', 'main', 'game', 'pubg', 'koneksinya', 'ngg', 'lancar', 'pdahal', 'beli', 'kuotanya', 'lumayan', 'mahal', 'tolong', 'telkomsel', 'pelit', '']</t>
  </si>
  <si>
    <t>['bermasalah']</t>
  </si>
  <si>
    <t>['parah', 'jaringan', 'jelek', 'buruk', 'jaringan', 'telkomsel', '']</t>
  </si>
  <si>
    <t>['mantul', 'mudah', 'mudahan', 'kedepan']</t>
  </si>
  <si>
    <t>['udah', 'paketan', 'harganya', 'cepet', 'busuk', 'koneksi', 'internet', 'males', 'pakek', 'telkomsel', '']</t>
  </si>
  <si>
    <t>['muncul', 'iklan', 'aplikasi', 'telkomsel', 'tolong', 'perbaiki', 'bugnya', 'menggangu', 'perbaiki', 'kasih', 'rating', '']</t>
  </si>
  <si>
    <t>['update', 'blank', 'putih', 'akses', 'sinyal', 'turun', 'hadehhhhhhhhhhh', 'mah', 'alamat', 'ketinggalan', 'check', 'poin', 'berhari', '']</t>
  </si>
  <si>
    <t>['kecewa', 'telkomsel', 'sekrang', 'jaringan', 'jelek', 'harga', 'pulsa', 'kuota', 'vocer', 'dll', 'mahal', 'tolong', 'diperbaiki', 'harga', 'mahal', 'pelayanan', 'memuaskan', 'mohon', 'ditindak', 'terimakasih', '']</t>
  </si>
  <si>
    <t>['hemat', 'teklomsel']</t>
  </si>
  <si>
    <t>['aplikasinya', 'buka', 'udah', 'unintall', '']</t>
  </si>
  <si>
    <t>['ngikut', 'doank']</t>
  </si>
  <si>
    <t>['sorry', 'banget', 'mahal', 'gitu', 'penawaran', 'harga', 'data', 'konsisten', 'tambahan', 'pulsa', 'gitu', 'kepotong', 'kuota', 'internet', 'nelfon', 'sms', 'kepotong', 'udh', 'cek', 'cuman', 'keliatan', 'tarif', 'kepotong', 'doang', 'gaada', 'transaksi', 'menghadehh', '']</t>
  </si>
  <si>
    <t>['gua', 'beli', 'paket', 'internet', 'harga', 'rb', 'bulannya', 'jaringannya', 'tmbh', 'lag', 'parah', 'udah', 'jaringannya', 'gini', 'telkomsel', 'udah', 'mahal', 'paketnya', 'jaringannya', 'lag', 'beli', 'paket', 'kuota', 'internet', 'telkomselku', 'msih', 'hbisnya', 'rugi', 'gua', 'klau', 'gini', 'payah', '']</t>
  </si>
  <si>
    <t>['telkomsel', 'jaringan', 'lemot', 'banget', 'butuh', 'pas', 'suruh', 'kirim', 'link', 'telkomsel', 'udh', 'ngk', 'sehat', 'mending', 'reporr', 'turun', 'ranting']</t>
  </si>
  <si>
    <t>['mantappp', '']</t>
  </si>
  <si>
    <t>['telkomsel', 'okey', 'mjd', 'pelangan', 'setia', 'jadul', 'sayangnya', 'blm', 'dpt', 'hadiah', 'tuker', 'poin', '']</t>
  </si>
  <si>
    <t>['muncul', 'putih', 'berati', 'akses', 'trus', 'poin', 'ilang', 'nyari', 'paket', 'murah', 'aplikasi', 'susah', '']</t>
  </si>
  <si>
    <t>['konyol', 'sinyal', 'turun']</t>
  </si>
  <si>
    <t>['', 'telkomsel', 'skrng', 'udah', 'aplikasi', 'udah', 'seminggu', 'buka', 'gaada', 'perbaikan', 'telkomsel', 'tolong', 'utamakankenyamanan', 'pelanggan']</t>
  </si>
  <si>
    <t>['mantap', 'mempermudah', 'penggunaan', '']</t>
  </si>
  <si>
    <t>['update', 'blm', 'terbaik']</t>
  </si>
  <si>
    <t>['kntl', 'jakarta', 'dibekasi', 'jaringan', 'telkomsel', 'macem', 'taik', 'paket', 'doang', 'mahal', 'jaringannya', 'bad', '']</t>
  </si>
  <si>
    <t>['help', 'min', 'donload', 'apk', 'terbuka', 'layar', 'putih', 'mohon', 'ditanggapin']</t>
  </si>
  <si>
    <t>['udah', 'pakai', 'katu', 'halo', 'keenapa', 'sinyal', 'jelek', 'banget', 'sumpah', 'telkomsel', 'kenal', 'jaringan', 'bagus', 'kocak', 'jaringan', 'buruk', 'banget', '']</t>
  </si>
  <si>
    <t>['telkomsel', 'terbaik', 'udah', 'halpir', 'thn', 'telkomsel', 'sinyal', 'lancar', 'kendala', 'nyah', 'nlpn', 'indormasi', 'promo']</t>
  </si>
  <si>
    <t>['ndk', 'bintang', 'ndk', 'ksi', 'bintang', 'lemot', 'harga', 'mahal', 'payah', 'pindah', 'tetangga']</t>
  </si>
  <si>
    <t>['udah', 'update', 'buka', 'min', 'loading']</t>
  </si>
  <si>
    <t>['tolong', 'perbaiki', 'deh', 'susah', 'banget', 'login', 'malu']</t>
  </si>
  <si>
    <t>['parah', 'dibuka', 'handphone', 'dibuka', 'stuck', 'layar', 'blank', 'putih', 'hapus', 'cache', 'intal', 'ulang', 'beli', 'kuota', 'paketnya', 'lengkap', 'aplikasi', 'kasih', 'bintang', 'pilih', 'kasih', 'bintang', 'nol', '']</t>
  </si>
  <si>
    <t>['apk', 'dibuka', 'layarnya', 'putih', 'semuaa', 'padahalg', 'ygsalah', '']</t>
  </si>
  <si>
    <t>['telkomsel', 'kecewa', 'telkomsel']</t>
  </si>
  <si>
    <t>['updete', 'terbaru', 'bermasalah']</t>
  </si>
  <si>
    <t>['alhamdulillah', 'telkomsel', 'harga', 'dapet', 'kuota', '']</t>
  </si>
  <si>
    <t>['tolong', 'perbaiki', 'kouta', 'games', 'mobil', 'legend', 'adventure', 'tolong', 'game']</t>
  </si>
  <si>
    <t>['telkomselnya', 'dibuka', 'coba', 'berulang', 'kali', 'coba', 'uninstall', 'install', 'file', 'file', 'berat']</t>
  </si>
  <si>
    <t>['', 'vitur', 'transfer', 'pulsa', 'layanan', 'wallet', 'update', '']</t>
  </si>
  <si>
    <t>['bagus', 'aplikasi', 'telkomsel', 'membantu', 'mempermudah', 'orang', 'terima', 'kasih', 'telkomsel', 'jasa', 'orang', '']</t>
  </si>
  <si>
    <t>['membantu', 'mempermudah', 'layanan', 'telkomsel', 'transaksi', 'data', 'pulsa', 'efektif', '']</t>
  </si>
  <si>
    <t>['paketan', 'beli', 'mahal', 'daerah', 'jkrta', 'tpi', 'internet', 'putus', 'bkin', 'emosi', '']</t>
  </si>
  <si>
    <t>['pembayaran', 'pembelian', 'paket', 'data', 'metode']</t>
  </si>
  <si>
    <t>['mengecawakan', 'telkomsel', 'dibuka', 'sinyalnya', 'error']</t>
  </si>
  <si>
    <t>['buka', 'apk']</t>
  </si>
  <si>
    <t>['aplikasi', 'beli', 'paket', 'maksa', 'banget', 'telkomsel', 'coba', 'request', 'sesuai']</t>
  </si>
  <si>
    <t>['', 'perbarui', 'eror', 'koq', 'sekelas', 'telkomsel', 'aplikasi', 'gatot', 'kaya', 'gini', 'aplikasi', 'pintar', 'saking', 'pintarnya', 'sampe', 'ngeblang', '']</t>
  </si>
  <si>
    <t>['jaringan', 'stabil', 'streaming', 'buffering', 'game', 'lag', 'drop', 'fps', 'paket', 'dimahalin', 'qualitas', 'jaringan', 'drop']</t>
  </si>
  <si>
    <t>['kali', 'karna', 'pelayanan', 'publik', 'telkomsel', 'bagus']</t>
  </si>
  <si>
    <t>['aplikasi', 'gabisa', 'dibuka', 'samsung', 'update', '']</t>
  </si>
  <si>
    <t>['payah', 'payah']</t>
  </si>
  <si>
    <t>['mggu', 'buka', 'apk', 'susah', 'bener', 'uninstal', 'pasang', 'bleng', 'apk', 'tolong', 'upadate', 'bener', '']</t>
  </si>
  <si>
    <t>['android', 'support', 'error', 'aplikasinya', 'buka']</t>
  </si>
  <si>
    <t>['dibuka', 'dhpku', 'diupdate']</t>
  </si>
  <si>
    <t>['claim', 'reward', 'kuota', 'internet', 'gb', 'berlaku', 'dipake', 'pulsa', 'regular', 'kepotong', 'mengsedih', '']</t>
  </si>
  <si>
    <t>['terpaksa', 'kasih', 'bintang', 'deh', 'update', 'buka', 'udah', 'nggak', 'dibuka', 'layar', 'putih', '']</t>
  </si>
  <si>
    <t>['aplikasinya', 'blank', 'dibuka', 'reinstal', 'tolong', 'diperbaiki']</t>
  </si>
  <si>
    <t>['aplikasi', 'dibuka', 'samsung', '']</t>
  </si>
  <si>
    <t>['min', 'telkon', 'gimanaa', 'sihhh', 'layarnya', 'putih', 'gajelas', 'banget', 'tolong', 'benerin', 'beli', 'kuota', 'tunda', 'ama', 'ginian', 'hrus', 'ngegubungin', 'mimin', 'mimin', 'hubungin', 'orng', 'pembeli', 'ndak', 'ahk']</t>
  </si>
  <si>
    <t>['kemudahan', 'akses']</t>
  </si>
  <si>
    <t>['paket', 'telkomsel', 'mahal', 'paket', 'unlimited', 'max', 'gb', 'ilang', 'kacewa', 'mahal', '']</t>
  </si>
  <si>
    <t>['sinyal', 'dimanapun']</t>
  </si>
  <si>
    <t>['jaringanya', 'lemottttttttttttttttttttttttt', 'banget', 'langganan', 'udah']</t>
  </si>
  <si>
    <t>['tolong', 'buka', 'udah', 'sepekan', 'blank', 'sampe', 'update', 'udah', 'reinstall', 'udah', '']</t>
  </si>
  <si>
    <t>['susah', 'dibuka', 'telkomsel', 'dibuka', 'layarnya', 'putih', 'tolong', 'diperbarui']</t>
  </si>
  <si>
    <t>['susah', 'mendownload', 'apk', 'udah', 'coba', 'gimana']</t>
  </si>
  <si>
    <t>['semoga', 'dapet', 'undian', 'berkah', 'aminn']</t>
  </si>
  <si>
    <t>['mahal', 'lelet', 'bisanya', 'maaf', 'maaf', 'maaf', 'perbaikannya', 'rame', 'kasih', 'bintang', '']</t>
  </si>
  <si>
    <t>['sinyal', 'cikampek', 'karawang', 'jelek', '']</t>
  </si>
  <si>
    <t>['aneh', 'buka', 'komen', 'install', 'ulang', 'berkali', 'buka']</t>
  </si>
  <si>
    <t>['kemari', 'jelek', 'jaringan', 'beli', 'telkomsel', 'harapan', 'harga', 'sesuai', 'jaringan', 'ekh', 'hancur', 'jaringannya', 'mesti', 'matiin', 'nyalain', 'mode', 'pesawat', 'kali', 'jaringan', 'rusak']</t>
  </si>
  <si>
    <t>['', 'ngerti', 'telkomsel', 'aneh', 'beli', 'paket', 'bayar', 'gopay', 'error', 'trus', 'tolong', 'perbaiki', '']</t>
  </si>
  <si>
    <t>['gampang', 'bat', 'naek', 'harga', 'paket', 'internet']</t>
  </si>
  <si>
    <t>['sinyal', 'jelek', 'banget', 'lost', 'sinyal', 'udah', 'laporan', 'operator', 'udah', 'jalanin', 'saran', 'paket', 'mahal', 'pelayanan', 'jelek']</t>
  </si>
  <si>
    <t>['telkomsel', 'kambing', 'telkomsel', 'setan', 'telkomsel', 'nda', 'hina', 'kasih', 'bagus', 'jaringanmu', 'babiiiii', 'anjinggg', 'binatang', '']</t>
  </si>
  <si>
    <t>['telkomsel', 'jaringan', 'putus', 'udh', 'bason', 'pakai', 'telkomsel']</t>
  </si>
  <si>
    <t>['maaf', 'kasih', 'bintang', 'minggu', 'beli', 'paket', 'internet', 'seharga', 'paketnya', 'ngak', 'masuk']</t>
  </si>
  <si>
    <t>['layarnya', 'putih', 'dibuka', 'kasih', 'bintang', 'cepat', 'diperbaiki']</t>
  </si>
  <si>
    <t>['', 'telkomsel', 'terbaik', 'terimakasih']</t>
  </si>
  <si>
    <t>['busuk', 'error', 'internetnya', 'sby', 'sore', 'jam', '']</t>
  </si>
  <si>
    <t>['aplikasi', 'dibuka', 'kali', 'download', 'tetep', 'dibuka', 'parah']</t>
  </si>
  <si>
    <t>['blom', 'cba', 'pertma', '']</t>
  </si>
  <si>
    <t>['mohon', 'maaf', 'kasi', 'bintang', 'krena', 'tlkomsel', 'skrang', 'aneh', 'vocher', 'unlimited', 'kuota', 'utama', 'habis', 'tetep', 'lancar', 'buka', 'youtube', 'skarang', 'susah', 'banget', 'orang', 'cepet', 'ganti', 'kartu', 'deh']</t>
  </si>
  <si>
    <t>['jaringan', 'busuk', 'ngeleg', 'mahal', 'kualitas', 'payah', 'nelpon', 'call', 'centre', 'perbaikan', '']</t>
  </si>
  <si>
    <t>['kecewa', 'minggi']</t>
  </si>
  <si>
    <t>['mahal', 'lemot', 'sinyal', 'penuh', 'lemot', 'kali', 'mengkritik', 'hapus', 'terima', 'keritikan', 'kah', 'terima', 'sinyal', 'lemot', 'kah', 'syaa', 'ganti', 'kartu']</t>
  </si>
  <si>
    <t>['telkomsel', 'gimana', 'ngisi', 'pulsa', 'hilang', 'hangus', 'beli', 'paket', 'internet', 'menit', 'pulsa', 'hilang', 'maikn', 'mahal', 'pulsa', 'hilang', 'rugi', 'gimanasih', 'aplikasi', 'becus', 'menipu', 'developer', 'kembalikan', 'pulsa', 'cepaaaat', '']</t>
  </si>
  <si>
    <t>['join', 'telkomsel', 'ehh', 'coba', 'kayaknya', 'kagak', 'nyambung', 'gitu', 'bosan', 'tuk', 'aplicasinya', '']</t>
  </si>
  <si>
    <t>['mohon', 'cek', 'aplikasi', 'telkomsel', 'buka', '']</t>
  </si>
  <si>
    <t>['aplikasi', 'susah', 'dibuka', 'brulang', 'ulang', 'download', 'aplikasi', 'dibuka', 'isntal', 'lgi', 'download', 'lgi', 'bgitu', 'trus', 'tpi', 'ttp', 'dibuka']</t>
  </si>
  <si>
    <t>['aplikasi', 'error', 'respon']</t>
  </si>
  <si>
    <t>['pengguna', 'app', 'telkomsel', 'minggu', 'dbuka', 'aplikasinya', 'uninstal', 'kali', 'akses', '']</t>
  </si>
  <si>
    <t>['telkomsel', 'jaringan', 'luas', 'membantu', 'dibidang', 'bosnis']</t>
  </si>
  <si>
    <t>['aplikasi', 'dibuka', 'update', 'pembaruan', 'buka', 'aplikasi', 'sampe', 'layar', 'putih', 'lapor', 'solusi', 'berhasil']</t>
  </si>
  <si>
    <t>['hati', 'pemakai', 'telkomsel', 'skrg', 'provider', 'perampok', 'pulsa', 'konsumen', 'pulsa', 'curi', 'smp', 'skrg', 'tinggal', 'gila', 'dlm', 'kondisi', 'data', 'gprs', 'telkomsel', 'saran', 'simpan', 'pulsa', 'telkomsel', 'rampok', 'habis', 'telkomsel', 'aplikasinya', 'abis', 'update', 'knp', 'dibuka', 'jelek', 'telkomsel', 'uda', 'respon', 'lemot', 'skrg', 'aplikasinya', 'error', '']</t>
  </si>
  <si>
    <t>['sinyal', 'perbaiki', 'kemarin', 'sinyal', 'ilang', 'udh', 'deket', 'tower', 'telkom', 'mahal', 'koneksi', 'cacad']</t>
  </si>
  <si>
    <t>['pulsa', 'kepotong', 'paket', 'data', 'dahal', 'kuota', 'gajelas']</t>
  </si>
  <si>
    <t>['telkomsel', 'gue', 'kecewaaaaaa', 'jaringan', '']</t>
  </si>
  <si>
    <t>['kasih', 'dlu', 'karna', 'agk', 'kerepotan', 'klau', 'buka', 'buka', 'link', 'itupun', 'terkadang', 'sulit', 'tdak', 'ckup', '']</t>
  </si>
  <si>
    <t>['bagus', 'gaess']</t>
  </si>
  <si>
    <t>['paket', 'dimurahin', '']</t>
  </si>
  <si>
    <t>['update', 'susah']</t>
  </si>
  <si>
    <t>['sya', 'turunin', 'bintang', 'sni', 'mkin', 'bgs', 'turun', 'sinyal', 'jelek', 'hrga', 'berlangganan', 'tpi', 'kualitas', 'turun', '']</t>
  </si>
  <si>
    <t>['jls', 'apl', 'tolong', 'diperbaiki', 'sinyal', 'klou', 'bsa', 'harga', 'kualitas', 'bukanya', 'harga', 'kualitas', 'menurun', 'masak', 'kalah', 'ama', 'kartu', 'sebelah']</t>
  </si>
  <si>
    <t>['apk', 'bejad', 'jaringan', 'bagus', 'apk', 'ngelag', 'benerin', 'apk', 'pantes', 'rating', 'bintang', 'awkwkekek', 'apk', 'bejad', 'cuih', '']</t>
  </si>
  <si>
    <t>['promo', 'murahnya', '']</t>
  </si>
  <si>
    <t>['pulsa', 'sisa', 'ilang', 'kmn', 'kecewa', 'banget']</t>
  </si>
  <si>
    <t>['layarnya', 'gada', 'gambarnya', 'polos', 'putih']</t>
  </si>
  <si>
    <t>['', 'bagus', '']</t>
  </si>
  <si>
    <t>['diakses', '']</t>
  </si>
  <si>
    <t>['aplikasi', 'buruk', 'susah', 'buka', 'tolong', 'perbaiki', 'terima', 'kasih']</t>
  </si>
  <si>
    <t>['mohon', 'maap', 'pengguna', 'setia', 'tlkomsel', 'mengalami', 'gagal', 'jariangan', 'tolong', 'min', 'tower', 'telkom', 'strategis', 'mohon', 'bantuanya', 'terimakasih', '']</t>
  </si>
  <si>
    <t>['aplikasnya', 'diakses', 'tampil', 'layar', 'putih', '']</t>
  </si>
  <si>
    <t>['mudah', 'banget', 'semenjak', 'perbarui', 'dibuka', 'buka', 'munculnya', 'layar', 'putih', 'tunggu', 'menit', 'layar', 'blank', 'uninstall', 'diinstal', 'tampilan', 'blank', 'kecewa', 'banget', 'tolong', 'diperbaiki']</t>
  </si>
  <si>
    <t>['joss', 'keren', 'mantaps']</t>
  </si>
  <si>
    <t>['udh', 'bonus', 'hadiah', 'kuota', 'pakai', 'alesan', 'jaringan', 'lemah', 'log', 'aplikasi', 'telkomsel', 'tukar', 'saldo', 'pulsa', 'poin', 'tukarkan', 'bonus', 'kuota', 'internet', 'pakai', 'kuota', 'internetnya', 'kepotong', 'pulsa', 'regularnya', 'udh', 'pikir', 'skali', 'atw', 'hmmm', 'nyebelin', 'telkomsel', 'males', 'perpanjang', 'kartu', 'telkomsel', '']</t>
  </si>
  <si>
    <t>['udah', 'keren', 'mahal', 'pakai', 'kerja', 'paruh', 'sepertiku']</t>
  </si>
  <si>
    <t>['beli', 'kuota', 'data', 'sms', 'akses', 'internet', 'tarif', 'non', 'paket', 'huhu', 'hilang', 'deh', 'sisa', 'pulsa', 'banget', 'gini', 'kapok', 'privider', 'semoga', 'kedepannya', '']</t>
  </si>
  <si>
    <t>['udah', 'semenjak', 'update', 'aplikasi', 'telkomsel', 'cuman', 'white', 'screen', 'muncul', 'sya', 'jdi', 'kesusahan', 'mebeli', 'paket', 'data', 'sya', 'tolong', 'perbaikilah', '']</t>
  </si>
  <si>
    <t>['maaf', 'pembaharuan', 'apk', 'susah', 'terbuka', 'pengguna', 'kartu', 'halo', 'kesulitan', 'mengecek', 'kuota']</t>
  </si>
  <si>
    <t>['paket', 'internet', 'terpakai', 'dibandingkan', 'paket', 'internet', 'cepat', 'kontrol', 'penggunaan', 'paket', 'internet', '']</t>
  </si>
  <si>
    <t>['penawaran', 'paket', 'nomor', 'berbeda', 'kecewa', '']</t>
  </si>
  <si>
    <t>['telkomsel', 'udah', 'bangkrut', 'harganya', 'jaringannya', 'lemot', 'murah', 'jaringan', 'meluas', '']</t>
  </si>
  <si>
    <t>['keluhan', 'aplikasi', 'telkomsel', 'dibuka', 'sehabis', 'diperbarui', 'loading', 'warna', 'putih', '']</t>
  </si>
  <si>
    <t>['poin', 'telkom', 'tukar', 'kuota', 'gagal', 'kecewa', 'udah', 'cape', 'ngumpulin']</t>
  </si>
  <si>
    <t>['yth', 'pemilik', 'pengurus', 'telkomsel', 'mohon', 'perbaiki', 'aplikasi', 'telkomselnya', 'kali', 'buka', 'uninstal', 'instal', 'login', 'perusahaan', 'cuman', 'kek', 'ngatasi', 'pelanggan', 'diseluruh', 'wilayah', 'indonesia', 'ayo', 'puasin', 'pelanggan', 'nyaman', 'fitur', 'terbaru', 'modern', 'salam', 'hormat']</t>
  </si>
  <si>
    <t>['nice', 'app', 'memudahkan', 'beli', 'paket']</t>
  </si>
  <si>
    <t>['sinyal', 'skr', 'jelek']</t>
  </si>
  <si>
    <t>['mohon', 'bantu', 'aplikasi', 'dibuka']</t>
  </si>
  <si>
    <t>['bgus', 'good', 'rancak']</t>
  </si>
  <si>
    <t>['harga', 'mahal', 'sinyal', 'jelek', 'banget', 'whatsapp', 'susah', 'ngirim', 'sumpah', 'nyesel', 'gue', 'pakai', 'telkomsel', 'ampasss', 'bye', 'bye', 'telkomsel', '']</t>
  </si>
  <si>
    <t>['knp', 'bsa', 'buka', 'aplikasinya']</t>
  </si>
  <si>
    <t>['membantu', 'banget', 'pengecekan', 'pembelian', 'data', 'internet', '']</t>
  </si>
  <si>
    <t>['mati', 'aplikasinya']</t>
  </si>
  <si>
    <t>['aplikasi', 'membantu', 'memudahkan', 'urusan', '']</t>
  </si>
  <si>
    <t>['paket', 'data', 'mahal', 'jaringan', 'lemot', 'beli', 'paket', 'combo', 'mahal', 'telp', 'telp', 'sms', 'telkom', 'gratis', 'msh', 'dikenakan', 'pulsa', 'telkomsel', 'komplain', 'virtual', 'asisten', 'call', 'center', 'jawabannya', 'memuaskan']</t>
  </si>
  <si>
    <t>['mantapp', 'promonya']</t>
  </si>
  <si>
    <t>['bismillah', 'tawakaltu', 'alaallah', '']</t>
  </si>
  <si>
    <t>['sinyal', 'telkomsel', 'lemot', 'cepat']</t>
  </si>
  <si>
    <t>['paket', 'internet', 'mahal']</t>
  </si>
  <si>
    <t>['buang', 'buang', 'doang', 'udah', 'susah', 'susah', 'check', 'check', 'ilang', 'malam', 'check', 'hadiahnya', 'terclaim', 'paket', 'masuk', 'kecewa', 'gua', '']</t>
  </si>
  <si>
    <t>['bintang', 'karna', 'bug', 'redem', 'daily', 'paket', 'masuk']</t>
  </si>
  <si>
    <t>['udah', 'pakai', 'telkomsel', 'ganti', 'nomor', 'tetep', 'pakai', 'telkomsel', 'husnudzon', 'provider', 'bagus', 'sinyalnya', 'modmod', 'harga', 'paketnya', 'mahal', 'ayo', 'doong', 'telkomsel', 'mahal', 'yapi', 'sinyalnya', 'jelek', 'mulu', 'harganya']</t>
  </si>
  <si>
    <t>['', 'vih', 'mudah', 'gampang', 'tinggal', 'klik', 'berjalan']</t>
  </si>
  <si>
    <t>['pokok', 'mantap', '']</t>
  </si>
  <si>
    <t>['bagus', 'mudah', 'cek', 'kiota']</t>
  </si>
  <si>
    <t>['coba', 'buka', 'aplikasi', 'telkomsel', 'berkali', 'kali', 'menghubungi', 'akun', 'disarankan', 'buka', 'aplikasi', 'telkomselnya', '']</t>
  </si>
  <si>
    <t>['aplikasi', 'respon', 'bsa', 'tukar', 'poin', 'zonk']</t>
  </si>
  <si>
    <t>['terbaik', 'fiturnya']</t>
  </si>
  <si>
    <t>['merespon']</t>
  </si>
  <si>
    <t>['aktifnya', 'cepat']</t>
  </si>
  <si>
    <t>['', 'telkomsel', 'membatu', '']</t>
  </si>
  <si>
    <t>['beli', 'paket', 'menit', 'nelpon', 'operator', 'pulsa', 'berkurang', '']</t>
  </si>
  <si>
    <t>['pulsa', 'paketnya', 'harganya', 'jaringan', 'suka', 'lelet', 'bkn', '']</t>
  </si>
  <si>
    <t>['hai', 'developer', 'app', 'telkomsel', 'dibuka']</t>
  </si>
  <si>
    <t>['knp', 'telkomsel', 'buka', 'sampe', 'kpn', 'kaya']</t>
  </si>
  <si>
    <t>['fiks', 'kesel', 'udh', 'ngisi', 'pulsa', 'kuota', 'niatnya', 'tbtb', 'abis', 'ilang', 'pemberitahuan', 'kuota', 'pulsa', 'paketan', 'mahal', 'fiks', 'udh', 'mending', 'pindah', '']</t>
  </si>
  <si>
    <t>['isi', 'pulsa', 'kesel', 'bet']</t>
  </si>
  <si>
    <t>['sukses', 'indonesia', 'merdeka', 'maju', 'jaringan', 'telkomsel', 'semoga', 'kedepan', 'indonesia', 'membaik', 'tingkatkan', 'kualitas', 'telkomselnya', 'kinerja', 'terbaik', 'indonseia']</t>
  </si>
  <si>
    <t>['mohon', 'memperbaiki', 'kualitas', 'jaringan', 'internet']</t>
  </si>
  <si>
    <t>['aplikasi', 'cacad', 'buka', 'aplikasi', 'eror', 'blank', '']</t>
  </si>
  <si>
    <t>['simpati', 'gangguan', 'yaa', 'gua', 'maen', 'mobile', 'legend', 'sinyal', 'ilang', 'patah', 'loststreak', 'tolong', 'dibantu', 'kembalikan', 'jaringan', 'normal', 'kecewa', 'langganan', 'telkomsel']</t>
  </si>
  <si>
    <t>['bermanfaat', 'suka']</t>
  </si>
  <si>
    <t>['bintang', 'ngeselin', 'penilaian', 'bintang', 'kesal', 'rubah', 'bintang', '']</t>
  </si>
  <si>
    <t>['pelayanan', 'terburuk', 'alami', 'layanan', 'beli', 'kuota', 'tambahan', 'dibeli', 'jam', 'lenyap', 'janjinya', 'diproses', 'kiamat', 'hasil', 'diam', 'provider', 'bertanggung', '']</t>
  </si>
  <si>
    <t>['', 'ribet', 'dibutuhkan', 'mohon', 'kualitas', 'jaringan', 'diperlancar', 'yach', 'pelayanan', '']</t>
  </si>
  <si>
    <t>['udah', 'berlangganan', 'telkomsel', 'jaman', 'kartu', 'simpati', 'pede', 'freedom', 'harga', 'telkomsel', 'mahal', 'karna', 'jaringan', 'bagus', 'maaf', 'kecewa', 'pindah', 'kartu', 'sebelah', 'kaya', 'jaringan', 'jelek', 'super', 'jelek', 'orang', 'tinggal', 'kampung', 'say', 'telkomsel', 'udah', 'mengecewakan', 'kesetiaan', 'telkomsel', 'disi', '']</t>
  </si>
  <si>
    <t>['gangguan', 'gmn', 'buka', 'aplikasinya', 'putih', 'udh', 'uninstal', 'instal']</t>
  </si>
  <si>
    <t>['pengalaman', 'memakai', 'telkomsel', 'memuaskan']</t>
  </si>
  <si>
    <t>['sulit', 'dibuka', 'belanja', 'gimana', 'perusahan', 'terbesar', 'pelayanan', 'jelek', 'banget', 'tolong', 'dimaksimalkan', 'yaa', 'aplikasi']</t>
  </si>
  <si>
    <t>['kali', 'redeem', 'kuota', 'gratis', 'gb', 'check', 'harian', 'berhasil', 'keterangan', 'kolom', 'terklaim', 'klik', 'chat', 'tanggapan', 'bot', 'veronica', 'solusi', 'penyelesaian', '']</t>
  </si>
  <si>
    <t>['kecewa', 'transaksi', 'gagal', 'berkurang', 'pulsa', 'internet', 'habis', 'tolong', 'digantikan', 'pulsa', '']</t>
  </si>
  <si>
    <t>['sya', 'mnyukai', 'aplikasi', 'telkosel', 'karna', 'bnyak', 'promo', 'tukar', 'poin', 'dngn', 'cek', 'stiap']</t>
  </si>
  <si>
    <t>['busuk', 'buka', 'lelet']</t>
  </si>
  <si>
    <t>['susah', 'buka', 'aplikasinya']</t>
  </si>
  <si>
    <t>['aplikasi', 'bagussss']</t>
  </si>
  <si>
    <t>['', 'telkomsel', 'mantap', 'pinjam']</t>
  </si>
  <si>
    <t>['koneksi', 'buruk', 'gajelas', 'telpon', 'menghubungkan', 'ulang']</t>
  </si>
  <si>
    <t>['jaringan', 'telkomsel', 'yaa', 'ngerti', 'th', 'rusak', 'parah', 'chat', 'veronika', 'jutaan', 'kali', 'keluhan', 'jalan', 'bln', 'besok', 'beralih', 'profider', 'kecewa', 'banget', '']</t>
  </si>
  <si>
    <t>['jelek', 'kuotanya', 'lemot', 'gimana', '']</t>
  </si>
  <si>
    <t>['aplikasinya', 'bagus', 'paketnya', 'lumayan', 'mahal', '']</t>
  </si>
  <si>
    <t>['', 'taun', 'pakai', 'telkemsol', 'kali', 'nyesel', 'telkomsel', 'bukanya', 'bagus', 'busuk', 'udah', 'sinyalnya', 'jelek', 'muncul', 'perbaiki', 'salahkan', 'pelanggan', 'telkomsel', 'hilang', '']</t>
  </si>
  <si>
    <t>['bagus', 'akses', 'bangking']</t>
  </si>
  <si>
    <t>['desember', 'telkomsel', 'gimana', 'berlangganan', 'telkomsel', 'susah', 'banget', 'kemarin', 'kuota', 'unlimited', 'giliran', 'beli', 'ilang']</t>
  </si>
  <si>
    <t>['pulsa', 'kepotong', 'harinya', 'kartu', 'berlangganan', 'paket', 'apapun', 'nsp', 'hidupin', 'internet', 'engga', 'coba', 'kepotong', 'pulsa']</t>
  </si>
  <si>
    <t>['udah', 'gitu', 'salam', 'binjai']</t>
  </si>
  <si>
    <t>['mantap', 'menyesal', 'membantu', '']</t>
  </si>
  <si>
    <t>['semoga', 'diperbaiki', 'kinerja']</t>
  </si>
  <si>
    <t>['pulsa', 'sedot']</t>
  </si>
  <si>
    <t>['berkedok', 'unlimited', 'kuota', 'internet', 'multimedia', 'habis', 'lemot', 'kecewa', '']</t>
  </si>
  <si>
    <t>['susah', 'install']</t>
  </si>
  <si>
    <t>['aplikasi', 'buka', 'tolo']</t>
  </si>
  <si>
    <t>['aplikasi', 'bermanfaat']</t>
  </si>
  <si>
    <t>['internet', 'sakti', 'pliiiis', '']</t>
  </si>
  <si>
    <t>['telkomsel', 'dipercaya', 'beli', 'paket', 'sakti', 'paket', 'nelpon', 'bulanan', 'terbeli', 'telkomsel', 'balikan', 'uangku', 'kau', 'pikir', 'cape', 'nyari', 'uang', 'kau', 'balas', 'email', 'kau', 'hapus', 'komentar', 'yaaa', '']</t>
  </si>
  <si>
    <t>['chat', 'bales', 'bet', 'asw', 'udah', 'sinyal', 'lag', 'banget', 'mending', 'jenis', 'operator']</t>
  </si>
  <si>
    <t>['sumpah', 'banget', 'beralih', 'akun', 'nomor', 'sesi', 'habis', 'gitu', 'trus', 'berulang', 'kali']</t>
  </si>
  <si>
    <t>['telkomsel', 'gaada', 'pilihan', 'paket', 'gitu', 'kadang', 'suka', 'rugi', 'kadang', 'paket', 'dri', 'sklh', 'paket', 'beli', 'banyk', 'paket', 'beli', 'batas', 'gitukan', 'paket', 'sklh', 'batas', 'bet', 'paket', 'sklh', 'dlu', 'kurasin', 'paket', 'batas', 'kepake', 'paket', 'beli', 'sumpah', 'kadang', 'nyesel', 'bet', 'beli', 'tolong', 'ubah', 'gitu', 'org', 'rugi', '']</t>
  </si>
  <si>
    <t>['', 'klu', 'bagus', 'naikin', 'bintangnya']</t>
  </si>
  <si>
    <t>['aplikasi', 'telkomsel', 'buka', 'yaa', 'kecewa', 'bangat', 'karna', 'perubahan', 'udah', 'hapus', 'trus', 'dowload', 'buka', 'aplikasi', 'brengsek', 'jujur', 'sayang', 'kecewa', 'karna', 'pakai', 'aplikasi', 'telkomsel', 'chatt', 'veronika', 'telkomsel', 'mesager', 'opsi', 'jalani', 'payah', 'hasilnya', 'ngabisin', 'kuota', 'tolong', 'kecewa', '']</t>
  </si>
  <si>
    <t>['buka', 'aplikasinya', 'dibuka', 'layar', 'warna', 'putih', 'apanya', 'maksud', 'apk', 'susah', 'orang', 'pakai', 'apk', 'apk', 'berguna', '']</t>
  </si>
  <si>
    <t>['mytelkomsel', 'bagus', 'beli', 'paket', 'nelfon', 'susah', 'ditawari', 'nelfon', 'negri', 'aneh']</t>
  </si>
  <si>
    <t>['desember', 'sekarsng', 'aplikasi', 'telkomsel', 'white', 'screen', 'telp', 'care', 'online', 'mengikuti', 'saran', 'dikasih', 'zonk', 'ngapain', 'telp', 'care', 'online', 'hasilnya', 'daj', 'mengeluhkan', 'tolong', 'penyelesaiannya']</t>
  </si>
  <si>
    <t>['samapai', 'buka', 'aplikasi', 'berkali', 'download', 'hapus', 'solusinya', 'donk', 'min', '']</t>
  </si>
  <si>
    <t>['kartu', 'lol', 'harga', 'kuota', 'mahal', 'murah', 'sinyal', 'lag', 'mulu', 'tolong', 'perbaiki', '']</t>
  </si>
  <si>
    <t>['harga', 'paket', 'data', 'mahal', 'pelanggan', 'setia', 'telkomsel']</t>
  </si>
  <si>
    <t>['aplikasi', 'buka', 'uninstall', 'log', 'buka', 'what', 'wrong', 'mytelkomsel', 'lsg', 'reply', 'deh', 'lbh', 'praktis', 'nyuruh', 'hub']</t>
  </si>
  <si>
    <t>['pembelian', 'paket', 'mudah', 'bnyak', 'event', 'ikuti', 'menangkan', 'hadiah', 'gratis']</t>
  </si>
  <si>
    <t>['jaringan', 'telkomsel', 'sumut', 'memburuk', 'penggun', 'telkomsel', 'sumut', 'bermasalah', 'tipu', 'katany', 'kuota', 'gb', 'menukar', 'poin', 'rp', 'pulsa', 'pas', 'ditukar', 'kagk', 'dpt', 'mendingan', 'ganti', 'kartu', 'trus']</t>
  </si>
  <si>
    <t>['aplikasinya', 'menarik', 'instal', 'instal', 'beli', 'paket', 'internet', 'cek', 'koneksi', 'ulangi', 'menit', 'mohon', 'penjelasany', 'uninstal']</t>
  </si>
  <si>
    <t>['thanks', 'telkomsel', 'semoga', 'allah', 'membalas', 'kebaikanmu']</t>
  </si>
  <si>
    <t>['eror', 'mulu', 'beli', 'paket', '']</t>
  </si>
  <si>
    <t>['login', 'telkomsel', 'layar', 'langsung', 'putih']</t>
  </si>
  <si>
    <t>['menyediakan', 'informasi', 'billing', 'poin', 'undian', 'fitur', 'pelayanan', 'disediakan', 'telkomsel', 'pelanggan', 'kartu', 'halo']</t>
  </si>
  <si>
    <t>['beli', 'cek', 'kuota', 'apk', 'simple', 'habis', 'update', 'dibuka', '']</t>
  </si>
  <si>
    <t>['puas', 'layanan', 'telkomsel', 'telkomsel', 'emang', 'mantap', 'jaringanya', 'luas', 'lancar', 'donload', '']</t>
  </si>
  <si>
    <t>['star', 'maaf', 'ilang', 'star', 'point', 'terkumpul', 'tukar', 'reward', 'data', 'data', 'gb', 'memberatkan', 'point', 'terkumpul', 'isi', 'pulsa', 'min', 'point', 'bos', 'telkomsel', 'ribet', 'paket', 'mahal']</t>
  </si>
  <si>
    <t>['paket', 'unlimited', 'hilang', 'min']</t>
  </si>
  <si>
    <t>['goodjobs', 'mudah', 'ribet']</t>
  </si>
  <si>
    <t>['parah', 'bayar', 'langganan', 'apk', 'ngga', 'mulu']</t>
  </si>
  <si>
    <t>['', 'rating', 'turunin', 'jdi', 'bintang', 'weh', 'coba', 'perbaiki', 'sinyalnya', 'bener', 'lgi', 'enak', 'enak', 'main', 'sinyal', 'ilang', 'tolong', 'benerin']</t>
  </si>
  <si>
    <t>['update', 'vocer', 'shopee', 'harga', 'paket', 'data', 'kesel']</t>
  </si>
  <si>
    <t>['mantap', 'mas', 'brooo']</t>
  </si>
  <si>
    <t>['mengecewakan', 'telkomsel', 'download', 'bukak', 'maksudnya', 'tolong', 'jelasi']</t>
  </si>
  <si>
    <t>['pesan', 'telkomsel', 'ngejual', 'paket', 'mahal', 'tpi', 'jaringan', 'sesuai', 'harga', 'paket', 'beli', 'tolonglah', 'dng', 'telkomsel', 'jaringan', 'ngotak', 'bener', 'jaman', 'modern', 'tpi', 'jaman', 'men', 'bitang', 'kasih', 'bintang', 'ngaterin', 'pesan', 'gua', 'mytelkomsel']</t>
  </si>
  <si>
    <t>['berat', 'aplikasi', 'buka', 'aplikasi', 'loading', 'mulu', 'telkomsel', 'orbit', 'adakah', 'telkomsel', 'jago', 'apps', 'nomer', 'indonesia', 'kalah', 'apps', 'vendor', 'sebelah', 'hadewwwww']</t>
  </si>
  <si>
    <t>['sinyal', 'lemot', 'main', 'game', 'ping', 'merah']</t>
  </si>
  <si>
    <t>['parah', 'sihhh', 'pulsa', 'sedot', 'notifikasi', 'kuota', 'abis', 'jaringan', 'gajelas', 'kadang', 'kadang', 'ilang', 'leg', 'paraaahhhh', 'parah', 'babget', 'sihhh', 'mahal', 'belinyaaa', '']</t>
  </si>
  <si>
    <t>['bagus', 'sinyalnya', 'udah', 'gitu', 'murah', '']</t>
  </si>
  <si>
    <t>['mohon', 'bantuan', 'kak', 'kouta', 'mohon', 'bantuannya', 'kouta']</t>
  </si>
  <si>
    <t>['xiaomi', 'redmi', 'ram', 'keluhan', 'apk', 'apk', 'berat', 'wifi', 'data', 'internet', 'lodingnya', 'gagal', 'pemuatan', 'gambar', 'besarnya', 'apk', 'dlm', 'ukuran', 'banding', 'apk', 'knpa', 'nguras', 'kesabaran', 'membuka', 'apk', 'mohon', 'klarifikasi', 'tindaklanjutnya', 'perbaiki', 'apk', 'tes', 'pelanggan', 'kecewa', '']</t>
  </si>
  <si>
    <t>['telkomsel', 'manteuppp']</t>
  </si>
  <si>
    <t>['telkomsel', 'ampas', 'harga', 'paket', 'sinyal', 'turun', 'stabil', 'turun', '']</t>
  </si>
  <si>
    <t>['memuaskan', 'aplikasi', 'log']</t>
  </si>
  <si>
    <t>['harga', 'paket', 'data', 'tolong', 'kualitas', 'sinyal', 'tingkatkan', 'pelangganggan', 'aktif', 'thn', 'jaringan', 'lemot', 'semoga', 'sadar', 'sadar', 'tolong', 'benah', 'jaringangan', 'harganya', 'benah', '']</t>
  </si>
  <si>
    <t>['ngawi', 'murah', 'banyuwangi', 'mahal']</t>
  </si>
  <si>
    <t>['baguus', 'aplikasinya', 'sinyal', 'telkomsel', 'jelek', 'kadang', 'kadang', 'bagus', 'trus', 'jelek', 'stabil', 'kayaknya', 'mending', 'paket', 'data', 'masuh', 'bnyak', 'kartu', 'udah', 'udah', 'daerah', 'kecamatan', 'patikraja', 'kab', 'banyumas', 'jawa']</t>
  </si>
  <si>
    <t>['pokoknya', 'mantap', 'deh', 'telkomsel']</t>
  </si>
  <si>
    <t>['koneksi', 'stabil', 'coba', 'komplain', 'telkomsel', 'respon', 'lambat', '']</t>
  </si>
  <si>
    <t>['pas', 'gua', 'buka', 'apk', 'blank', 'suh', 'layar', 'gua', 'coba', 'perbaiki']</t>
  </si>
  <si>
    <t>['aplikasi', 'bguas', 'banget']</t>
  </si>
  <si>
    <t>['ditingkatkan', 'lgi', 'segi', 'kwalitas', 'signl', 'tlpn', 'seluler', 'supya', 'mantap', '']</t>
  </si>
  <si>
    <t>['hai', 'telkomsel', 'pakai', 'aplikasi', 'pas', 'koq', 'pembelian', 'paket', 'internet', 'aplikasi', 'muncul', 'gangguan', 'sistem', 'dial', 'beli', 'paket', 'kebagian', 'promo']</t>
  </si>
  <si>
    <t>['kesel', 'paket', 'kualitas', 'jaringan', 'serasa', 'drop', 'main', 'reconnect', 'benerin', 'kalah', 'ama', 'provider']</t>
  </si>
  <si>
    <t>['busukkkkk', 'download', 'instal', 'dibuka', 'busuk', 'orang', 'butuhhhhh', 'perbaiki', 'atuh', 'bosss', 'busuk', 'kayak', 'gini', '']</t>
  </si>
  <si>
    <t>['mantap', 'mudah']</t>
  </si>
  <si>
    <t>['buka', 'aplikasinya', 'hubungi', 'kemana', 'mohon', 'bantu']</t>
  </si>
  <si>
    <t>['disayangkan', 'paketan', 'jangka', 'habis', 'sisa', 'kuota', 'paket', 'hilang']</t>
  </si>
  <si>
    <t>['harga', 'mahal', 'udah', 'make', 'kaga', 'kebijakan', 'masak', 'tetangga', 'paketan', 'harga', 'beda', 'mahalan', 'punyaku', 'anjay']</t>
  </si>
  <si>
    <t>['blank', 'putih', 'dibuka', 'udah', 'pakai', 'telkomsel', 'skrng', 'blank', 'putih', 'cek', 'pulsa', 'beli', 'paket', 'mytelkomsel', '']</t>
  </si>
  <si>
    <t>['', 'membuka', 'aplikasi', 'layar', 'putih', 'mulu', 'paraaaaaah']</t>
  </si>
  <si>
    <t>['mantapppp', 'pokonyaaaaa']</t>
  </si>
  <si>
    <t>['kengkap', 'promonya']</t>
  </si>
  <si>
    <t>['aman', 'aman', 'aman', 'berjalan', 'lancar', 'selamat', 'menikmati']</t>
  </si>
  <si>
    <t>['dibuka', 'aplikasi', 'instal', 'ulang', 'pdahal']</t>
  </si>
  <si>
    <t>['jaringan', 'lemot', '']</t>
  </si>
  <si>
    <t>['telkomsel', 'mudah']</t>
  </si>
  <si>
    <t>['', 'daerah', 'sinyal', 'full', 'pas', 'main', 'ngelag', 'parah', 'kadang', 'internet', 'langganan', 'paket', 'harganya', 'maunya', 'sinyal', 'udah', 'kadang', 'ilang', 'gini', 'makasih', 'tsel', 'pindah', 'im', '']</t>
  </si>
  <si>
    <t>['penguna', 'desember', 'bismillahirrahmanirrahim', 'semoga', 'bersahabat']</t>
  </si>
  <si>
    <t>['kecewa', 'telkomsel', 'kmarin', 'mendaftarkan', 'nomor', 'cek', 'paket', 'kendalanya', 'otomatis', 'kesal']</t>
  </si>
  <si>
    <t>['parah', 'testimoni', 'smua', 'tanggapannya', 'nyuruh', 'menghubungi', 'akun', 'telkomsel', 'bkn', 'solusi', 'perbaiki', 'lngsung', 'maaf', 'bintang', 'turun', 'kali', 'download', 'msh', 'dibuka']</t>
  </si>
  <si>
    <t>['terpotong', 'berlanjut', 'dipindahin', 'data', 'internet', 'sim', 'satunya', 'notif', 'memakai', 'pulsa', 'xxx', 'akses', 'internet', 'sedih', 'banget', 'plis', 'kaya', '']</t>
  </si>
  <si>
    <t>['trimakasih', 'telkomsel', 'sangattt', 'puas', 'apk', '']</t>
  </si>
  <si>
    <t>['cok', 'ngelek']</t>
  </si>
  <si>
    <t>['kirim', 'hadiah', 'kuota', 'teman', 'berhasil', 'kuotanya', 'masuk', 'teman', 'notif', 'kuota', 'masuk', 'sms', 'anehnya', 'pulsa', 'berkurang', 'mimin', 'diblokir', 'telkomsel', 'korupsi', '']</t>
  </si>
  <si>
    <t>['buka', 'apkikasi', 'susah', 'conecnya']</t>
  </si>
  <si>
    <t>['bagus', 'banget', 'telkomsel', 'buka', 'layar', 'putih', 'smua', 'langganan', 'terima', 'kasih', 'telkomsel', 'kecewa', 'kesal']</t>
  </si>
  <si>
    <t>['keluhan', 'nomor', 'tiket', 'dgjhia', 'terselesaikan', 'paket', 'internet', 'masuk', 'tagihan', 'paylater', 'kredivo', 'berjalan', 'tsel', 'sms', 'keluhan', 'terselesaikan', '']</t>
  </si>
  <si>
    <t>['telkomsel', 'sinyal', 'internet', 'susah', 'kalah', 'merk', 'jakarta', 'cuman', 'didalam', 'kamar', 'tertutup', 'sinyal', 'internet', 'udah', 'susah']</t>
  </si>
  <si>
    <t>['knpa', 'tda', 'download', 'aplikasi', 'telkomsel', '']</t>
  </si>
  <si>
    <t>['menyusahkan', 'download', 'berulangkali', 'instal', 'ulang', 'telkomsel', 'layar', 'putih', 'disuruh', 'hubungi', 'email', 'line', 'gajelas', 'kasih', 'solusi', 'langsung', 'perbaikin', 'sistem', 'menyusahkan', 'pelanggan', 'suruh', 'hubungin', 'mimin', 'mimin', 'pelanggan', 'butuh', 'solusi', 'lempar', 'miminnnn']</t>
  </si>
  <si>
    <t>['zaman', 'era', 'digital', 'metaverse', 'memburuk', 'signal', 'internet', 'era', 'terburuk', 'pakai', 'tsel', '']</t>
  </si>
  <si>
    <t>['udah', 'sebulan', 'sinyalnya', 'jelek', 'bertambah', 'parah', 'kecewa', 'harga', 'kuotanya', 'mahal', 'kwalitas', 'dijaga', '']</t>
  </si>
  <si>
    <t>['terima', 'kasih', 'telkomsel', 'berkat', 'telkomsel', 'beli', 'paket', 'internet', 'mudah']</t>
  </si>
  <si>
    <t>['mahal', 'doang', 'kualitas', 'sinyal', 'kaya', 'babi', 'najis']</t>
  </si>
  <si>
    <t>['telkomsel', 'sebagus', 'tenggang', 'beli', 'seandai', 'sebagus', 'tenggang', 'paket', 'murah', 'laku', 'telkomsel', 'segi', 'harga', 'kalah', 'operator', 'menawarkan', 'paket', 'data', 'gratis', 'nelpon', 'operator', 'unlimited', 'sosial', 'media', 'telkomsel', 'mahal', 'mahal']</t>
  </si>
  <si>
    <t>['telkomsel', 'cuman', 'urus', 'koneksi', 'kota', 'doang', 'kah', 'kampung', 'udah', 'neberapa', 'koneksi', 'internet', 'buruk']</t>
  </si>
  <si>
    <t>['mahal', '']</t>
  </si>
  <si>
    <t>['beli', 'paket', 'internet', 'daerah', 'signal', 'telkomsel', 'buruk', 'serasa', 'buka', 'youtube', 'buka', 'situs', 'ringan', 'sanggup', 'tinggal', 'ibukota', 'kabupaten', 'komplek', 'perkantoran', 'kabupaten', 'signal', 'mentok', 'bar', 'rumah', 'samsung', 'android', 'realme', 'android', 'oppo', 'android', 'vivo', 'andr', 'internetan', 'dng', 'layak', 'beli', 'paket', 'internet', 'dimanfaakan']</t>
  </si>
  <si>
    <t>['eror', 'pulsa', 'beli', 'gbisa', 'gajelas']</t>
  </si>
  <si>
    <t>['jaringan', 'jelek', 'bos', 'sadar', 'nama', 'suram', 'karna', 'pakai', 'nomor', 'sumpah', 'beli', 'simcardnya', 'brand', 'nokia', 'pelanggan', 'market', '']</t>
  </si>
  <si>
    <t>['harga', 'prom', 'kesini', 'kesini', 'males', 'beli', 'ajig']</t>
  </si>
  <si>
    <t>['hadeuu', 'parah', 'perbaikan', 'malas', 'perbaikin', 'sistem', 'updatean', 'kembalikan', 'patch', '']</t>
  </si>
  <si>
    <t>['', 'kendala', 'kuota', 'akses', 'komplain', 'gara', 'pengaruh', 'gempa', 'gitu', 'jaringannya', 'hilang', 'pas', 'proses', 'telkomsel', 'nunggunya', 'kaya', 'jam', 'langsung', 'jaringan', 'terimakasih', 'telkomsel', 'komplain', 'jaringan', 'mending', 'twitter', 'telkomsel', 'cepat', 'balasannya']</t>
  </si>
  <si>
    <t>['aplikasi', 'buka', 'parahhhh']</t>
  </si>
  <si>
    <t>['telkomsel', 'dibuka', 'uninstall', 'install', 'tetep', 'dibuka', 'jelek']</t>
  </si>
  <si>
    <t>['telkomsel', 'orang', 'susah', 'jaringannya']</t>
  </si>
  <si>
    <t>['gimana', 'habis', 'download', 'buka', 'muncul', 'layar', 'putih', '']</t>
  </si>
  <si>
    <t>['aga', 'mahal', 'harga', 'kuotanya']</t>
  </si>
  <si>
    <t>['seminggu', 'telkomsel', 'kebuka', 'app', 'mengecewakan']</t>
  </si>
  <si>
    <t>['', 'dlu', 'bagus', 'bagus', 'bintang']</t>
  </si>
  <si>
    <t>['udah', 'berlangganan', 'thn', 'thn', 'domisili', 'jaringannya', 'tiada', 'tanding', 'jaringan', 'parah', 'ganti', 'provider', 'krna', 'telkomsel', 'udh', 'kya', '']</t>
  </si>
  <si>
    <t>['iphone', 'mending', 'telkomsel', 'sinyal', 'lag']</t>
  </si>
  <si>
    <t>['murah', 'mahal']</t>
  </si>
  <si>
    <t>['paket', 'data', 'mencekik', 'kemahalan', 'mahal', 'dibandingkan', 'provider', '']</t>
  </si>
  <si>
    <t>['jaringan', 'burik', 'coba']</t>
  </si>
  <si>
    <t>['wilayah', 'serang', 'banten', 'sinyal', 'buruk', 'parah', 'tolong', 'diperbaiki', 'langganan', 'telkomsel', 'udah', 'tahunan', 'udah', 'kesini', 'jelek', 'telkomsel', 'nyesel', 'daftar', 'paket', 'ditas', 'paketnya', 'mahal', 'bagus', 'mbps', 'trnyata', 'ajaa', 'lemot', 'rugi', 'aink', '']</t>
  </si>
  <si>
    <t>['senang', 'mmakai', 'aplikasi', 'telkomsel']</t>
  </si>
  <si>
    <t>['jaringan', 'telkomsel', 'skrg', 'buruk', 'sesuai', 'mahal', 'kuota', 'pdhl', 'dri', 'thn', 'sllu', 'pakai', 'telkomsel', 'jengkelin', 'jaringan', 'internet', '']</t>
  </si>
  <si>
    <t>['', 'telkomsel', 'minggu', 'dibuka', 'blank', 'putih', '']</t>
  </si>
  <si>
    <t>['tingkatkan', 'pelayanan', 'konsumen', 'pelanggan', '']</t>
  </si>
  <si>
    <t>['jaringan', 'kualitas', 'kayak', 'taik']</t>
  </si>
  <si>
    <t>['tolong', 'jaringan', 'stabilkan', 'kayak', 'doelo']</t>
  </si>
  <si>
    <t>['apk', 'mantul', 'tukar', 'poin', 'sukseselalu', 'telkomsel']</t>
  </si>
  <si>
    <t>['paket', 'data', 'mahal', 'sesuai', 'kualitas', 'jaringan', 'parhhhhh']</t>
  </si>
  <si>
    <t>['sring', 'login', 'sinyal', 'jaringan', 'telkomsel', 'smakin', 'bagus', 'mohon', 'diperhatikan', 'mkasih']</t>
  </si>
  <si>
    <t>['mahal', 'paket', 'data', 'murah', 'download', '']</t>
  </si>
  <si>
    <t>['update', 'tanggal', 'desember', '']</t>
  </si>
  <si>
    <t>['oke', 'banget', 'tpi', 'sya', 'sistem', 'sinyal', 'diperbaiki', 'klau', 'diplosok', 'sinyal', 'kuat', 'maju', 'telkomsel']</t>
  </si>
  <si>
    <t>['telkomsel', 'payahhh', 'sangt', 'mengecewakan', 'jaringan', 'bagusss', 'harga', 'kuota', 'pling', 'mahalll', 'internet', 'lemott', 'ngadat', '']</t>
  </si>
  <si>
    <t>['aplikasi', 'telkomsel', 'dibuka', '']</t>
  </si>
  <si>
    <t>['aplikasinya', 'membantu']</t>
  </si>
  <si>
    <t>['perhari', 'suka', 'telkomsell', 'dibuka', '']</t>
  </si>
  <si>
    <t>['kecewa', 'app', 'telkomsel', 'versi', 'terbaru', 'buka', 'cuman', 'tampil', 'putih', 'doang', 'kecewa', 'pokok', 'huhh']</t>
  </si>
  <si>
    <t>['sinyal', 'telkomsel', 'lelet', 'parah', 'ilang', 'ilang', 'malas', 'isi', 'pulsa', 'masang', 'paketnya', 'bayar', 'mahal', 'lelet', 'gangguan']</t>
  </si>
  <si>
    <t>['semoga', 'sukses']</t>
  </si>
  <si>
    <t>['telkomsel', 'dibuka', 'smartphone', 'sistem', 'android', '']</t>
  </si>
  <si>
    <t>['kuota', 'mahal', 'harga', 'skrg', 'aplikasi', 'blank', 'gini', 'mending', 'beralih', 'provider', 'ajah']</t>
  </si>
  <si>
    <t>['telkom', 'ajng', 'bli', 'pket', 'mahal', 'mahal', 'nglag', 'ajng', 'ajng']</t>
  </si>
  <si>
    <t>['telkomsel', 'emang', 'joss', 'jaringan']</t>
  </si>
  <si>
    <t>['telkomsel', 'udah', 'langganan', 'harga', 'kaya', 'kartu', 'ime', 'xsis', 'dll', 'kadang', 'nyesel', 'telkomsel', 'tolong', 'perbaiki']</t>
  </si>
  <si>
    <t>['telkomsel', 'dimanapun', 'sinyal', 'kuat', 'jaringan', 'internet', 'bagus', '']</t>
  </si>
  <si>
    <t>['imi', 'tidsk', 'membuka', 'apk', 'udah', 'donlod', 'instal', 'sampe', 'pikir', 'eror', 'baca', 'ulasan', 'suruh', 'menghubungi', 'tele', 'hubungi', 'respon', 'twiter', 'tolong', 'penjelasannya', 'kuota', 'abis', 'beli']</t>
  </si>
  <si>
    <t>['sinyal', 'jelek', '']</t>
  </si>
  <si>
    <t>['mantap', 'harga', 'paket', 'internet', 'kualitas', 'turun', 'maen']</t>
  </si>
  <si>
    <t>['', 'login', 'via', 'sms', 'system', 'sibuk', 'jawabannya']</t>
  </si>
  <si>
    <t>['lumayan', 'membantu']</t>
  </si>
  <si>
    <t>['pengguna', 'telkomsel', 'mending', 'ganti', 'kartu', 'telkomsel', 'udh', 'rusak', 'ajg', 'malem', 'sinyal', 'ngasih', 'layanan', 'bagus', 'pengguna', 'udh', 'beli', 'kuota', 'mahal', 'tuhcmn', 'duit', 'doang', 'kek', 'ajg']</t>
  </si>
  <si>
    <t>['kecewa', 'jaringan', 'internet', 'terkomsel', 'lelet', 'tolong', 'diperbaiki', '']</t>
  </si>
  <si>
    <t>['', 'telkomsel', 'salah', 'aplikasi', 'buruk', 'lambat', 'aplikasi', 'usang', 'rating', 'bintang', 'orang', 'ngasi', 'bintang', 'komplin', 'baca', 'penilaian', 'jujur', 'cari', 'rating', 'mustahil', 'aplikasi', 'semoga', 'pengembang', 'telkomsel', 'sadar', 'operator', 'indonesia', 'develovment', 'aplikasi', 'becus', '']</t>
  </si>
  <si>
    <t>['mantul', 'pisan', 'pembelian', 'pkaet', 'internet', 'telkomsel']</t>
  </si>
  <si>
    <t>['paketmu', 'kau', 'mahalkan', 'jaringanmu', 'sngt', 'buruk', 'menyesal', 'pakai', 'telkomsel']</t>
  </si>
  <si>
    <t>['telkomsel', 'akses', 'tolong', 'perbaiki', 'aplikasi']</t>
  </si>
  <si>
    <t>['hrga', 'pket', 'uda', 'gitu', 'jaringan', 'gguan', 'melulu', '']</t>
  </si>
  <si>
    <t>['aplikasi', 'telkomsel', 'kebuka', '']</t>
  </si>
  <si>
    <t>['kecewa', 'telkomsel', 'jaringan', 'kaya', 'tolong', 'perbaiki', 'make', 'telkomsel']</t>
  </si>
  <si>
    <t>['dlm', 'mggu', 'aplikasi', 'telkomsel', 'terbuka', 'restart', 'dibuka', 'mohon', 'perhatian']</t>
  </si>
  <si>
    <t>['telkomsel', 'kuota', 'internet', 'internetan', 'pulsa', 'kepotong', 'padah', 'kuota', 'internet', 'udah', 'jaringan', 'jelek', 'pelayanan', 'jelek', '']</t>
  </si>
  <si>
    <t>['ngelek', 'telkom', 'patah', 'kek']</t>
  </si>
  <si>
    <t>['bingung', 'knp', 'kuota', 'telkomsel', 'byk', 'jarang', 'kuotanya', 'knp', 'beli', '']</t>
  </si>
  <si>
    <t>['membuka', 'telkomsel', 'mohon', 'bantuanya', '']</t>
  </si>
  <si>
    <t>['tsel', 'sinyal', 'jelek', 'tolong', 'diperbaiki']</t>
  </si>
  <si>
    <t>['', 'telkomsel', 'knp', 'masuk', 'sms', 'diteken', 'valid', 'bagiman', 'masuk']</t>
  </si>
  <si>
    <t>['sampaiy', 'peribadi', 'puas', 'pelayanan']</t>
  </si>
  <si>
    <t>['membantu', 'sekli']</t>
  </si>
  <si>
    <t>['blank', 'putih', 'perbaikan']</t>
  </si>
  <si>
    <t>['samsung', 'pdahal', 'app', 'lancar']</t>
  </si>
  <si>
    <t>['sinyal', 'jumping', 'terusss', 'nge', 'gamee']</t>
  </si>
  <si>
    <t>['penilaian', 'ganti', 'kemarin', 'kasih', 'bintang', 'keluhan', 'jaringannya', 'stabil', 'kecewa', 'isi', 'ulang', 'pulsa', 'menit', 'udah', 'kesedot', 'isi', 'ulang', 'masuk', 'udah', 'kesedot', 'data', 'udah', 'matiin', 'jaringan', 'udah', 'nyambung', 'wifi', 'tolong', 'budayakan', 'korupsi', 'gimana', 'indonesia', 'maju', 'gini', 'carannya']</t>
  </si>
  <si>
    <t>['kesini', 'lemot', 'jaringan']</t>
  </si>
  <si>
    <t>['app', 'whitescreen', '']</t>
  </si>
  <si>
    <t>['keren', 'pokokny', 'telkomsel', 'dihati', '']</t>
  </si>
  <si>
    <t>['mohon', 'bantuan', 'aplikasi', 'dibuka', 'sma']</t>
  </si>
  <si>
    <t>['gimana', 'dowload', 'trs', 'pas', 'dibuka', 'ehh', 'warna', 'putih', 'doang', 'emangnya', 'aplikasinya', 'tolong', 'diperbarui', 'aplikasinya', 'karna', 'pengguna', 'telkomsel', 'puas', 'aplikasi', 'cek', 'beli', 'warna', 'putih', 'doang', 'layarnya', 'udah', 'tinggu', 'banget', 'aplikasinya', 'error']</t>
  </si>
  <si>
    <t>['pengguna', 'telkomsel', 'jaringanya', 'laggg', 'padahala', 'udah', 'beli', 'unlimited', 'kecewa']</t>
  </si>
  <si>
    <t>['lemot', 'sinyal', 'tmpat', 'bagus']</t>
  </si>
  <si>
    <t>['sinyal', 'payah', 'susah', 'sinyal', 'kadang', 'kuat', 'sinyal', 'dimanapun']</t>
  </si>
  <si>
    <t>['update', 'telkomsel', 'buka', '']</t>
  </si>
  <si>
    <t>['internet', 'telkomsel', 'lelet', 'pink', 'karna', 'telalu', 'pengguna', 'kuota', 'jaringan', 'lag']</t>
  </si>
  <si>
    <t>['', 'browsing', 'baca', 'komik', 'pakai', 'multimedia', 'kb', 'buka', 'yotube', 'pakai', 'kuota', 'reguler', 'mb', 'keliatan', 'bar', 'cek', 'data', 'ngajak', 'gelud', 'kah', 'ngentid', '']</t>
  </si>
  <si>
    <t>['parah', 'udah', 'masuk', 'tetep', 'blenk', 'putih', 'udah', 'hapus', 'playstore', 'hapus', 'data', 'sampah', 'blank', 'putih', 'gimana', 'aplikasi', '']</t>
  </si>
  <si>
    <t>['bugus', 'bangettt', 'sinyalnya', 'membantu', 'bisnis', 'usaha', 'trimakasih', 'telkomse']</t>
  </si>
  <si>
    <t>['jaringan', 'hilang']</t>
  </si>
  <si>
    <t>['harga', 'mahal', 'jaringan', 'lelet', 'banget', 'worth', 'main', 'game']</t>
  </si>
  <si>
    <t>['tolong', 'tingkatkan', 'jaringan']</t>
  </si>
  <si>
    <t>['jaringan', 'lambat', 'emosi', 'mending', 'gua', 'pindah', 'kartu', 'jaringan', 'telkomsel', '']</t>
  </si>
  <si>
    <t>['cepat', 'prosesnya']</t>
  </si>
  <si>
    <t>['install', 'tawarin', 'instal', 'layanan', 'diinstall', 'karna', 'tabungan', 'keterlambatan', 'isi', 'pulsa', 'teruntuk', 'telkomsel', 'terimakasih', 'pelayanannya', 'terkecuali']</t>
  </si>
  <si>
    <t>['oke', 'banget', 'udah', 'seminggu', 'buka', '']</t>
  </si>
  <si>
    <t>['bagus', 'kali']</t>
  </si>
  <si>
    <t>['the', 'best', 'banget', 'telkomsel', '']</t>
  </si>
  <si>
    <t>['blank', 'putih', 'payaaah']</t>
  </si>
  <si>
    <t>['developer', 'tolong', 'sinyal', 'perbaiki', 'masak', 'harga', 'mahal', 'kualitas', 'jaringan', 'lemot']</t>
  </si>
  <si>
    <t>['aplikasi', 'taik', 'nukarkan', 'poin', 'pulsa', 'kuota', 'internet', 'nga', '']</t>
  </si>
  <si>
    <t>['dipakai', 'error', 'update']</t>
  </si>
  <si>
    <t>['apk', 'dibuka', 'putih', 'doang', 'udah', 'telkomsel', 'apk', 'ngecek', 'sisa', 'pulsa', 'kuota', 'data', '']</t>
  </si>
  <si>
    <t>['update', 'buka', 'tampilan', 'layar', 'putih', 'seharian', '']</t>
  </si>
  <si>
    <t>['pengunci', 'pulsa', 'terpakai', 'internet', 'beli', 'pulsa', 'langsung', 'hangus', 'zonk', 'kagak', 'dipake', '']</t>
  </si>
  <si>
    <t>['maaf', 'apk', 'telkomsel', 'bsa', 'dibuka', 'solusi', 'mohon', 'informasinya', '']</t>
  </si>
  <si>
    <t>['paket', 'unlimited', 'gimana', 'serasa', 'pakai', 'jaringan', 'edge', 'instagram', 'parah', 'leletnya', 'paket', 'unlimited']</t>
  </si>
  <si>
    <t>['koneksi', 'internet', 'bagus', 'dihp', 'telkomsel', 'gangguan', 'biaya', 'panggilan', 'telkomsel', 'mahal']</t>
  </si>
  <si>
    <t>['nsp', 'sampah', 'sya', 'berlanganan', 'nsp', 'slalu', 'notifikasi', 'nsp', 'perpanjang', 'merugikan']</t>
  </si>
  <si>
    <t>['tolong', 'tuker', 'poin', 'apk', 'mytelkomsel', 'kecewa', 'udh', 'udh', 'gmail', 'respons', 'sampe', 'sekrang']</t>
  </si>
  <si>
    <t>['maaf', 'kasi', 'bintang', 'aplikasi', 'buka', 'ribet', 'capture', 'dll', '']</t>
  </si>
  <si>
    <t>['coba', 'jaringan', 'perbaiki', 'kartu', 'mahal', 'sinyal', 'boborok']</t>
  </si>
  <si>
    <t>['payah', 'buka', '']</t>
  </si>
  <si>
    <t>['jaringan', 'pengguna', 'telkomsel', 'kadang', 'mengalami', 'gangguan', 'jaringan', 'online', 'mohon', 'kusus', 'jaringannya', 'tingkatkan', 'bagus', 'terima', 'kasih', '']</t>
  </si>
  <si>
    <t>['jaringan', 'lancar']</t>
  </si>
  <si>
    <t>['telkomsel', 'jaringannya', 'jelek', 'main', 'nge', 'game', 'ngelag', 'gini', 'pindah', 'provider', '']</t>
  </si>
  <si>
    <t>['knp', 'cek', 'data']</t>
  </si>
  <si>
    <t>['main', 'game', 'online', 'ping', 'stabil', 'main', 'game', 'mobile', 'legends', 'stabil']</t>
  </si>
  <si>
    <t>['telkomsel', 'masuk']</t>
  </si>
  <si>
    <t>['baggus', 'gampang', 'beli', 'paket']</t>
  </si>
  <si>
    <t>['bagus', 'apk', 'mimin', 'makasih']</t>
  </si>
  <si>
    <t>['sinyal', 'buruk', 'tarif', 'mahal']</t>
  </si>
  <si>
    <t>['bagus', 'bangat', 'kasih', 'renting', '']</t>
  </si>
  <si>
    <t>['tolong', 'paket', 'internet', 'murah', 'terjangkaw', 'promo', 'peromo', 'terimakasih']</t>
  </si>
  <si>
    <t>['senang', 'aplikasi', 'telkomsel', 'terima', 'maksih', 'telkomsel']</t>
  </si>
  <si>
    <t>['jelek', 'harga', 'mahal', 'beli', 'paket', 'shopeepay', 'error', 'mulu', 'tolong', 'perbaiki']</t>
  </si>
  <si>
    <t>['apk', 'buka', 'udah', 'uninstal', 'download', 'ulang', 'buka', 'tolong', 'perbarui', '']</t>
  </si>
  <si>
    <t>['jaringan', 'down', 'oktober', 'skrng', 'stabil', 'telfon', 'call', 'center', 'telkomsel', 'belom', 'selesai', 'pelaporan', 'xnya', 'customer', 'service', 'sopan', 'terimakasih', 'telkomsel', 'pelayanan']</t>
  </si>
  <si>
    <t>['sinyal', 'telkomsel', 'ditempat', 'rugi', 'pengguna', 'oprator', 'uda', 'dihubungi', 'kali', 'tpi', 'perubahan', 'pakek', 'otak', 'telkomsel', 'capek', 'blik', 'kuota', 'akses', 'ajha', 'coba', 'telfon', 'telkomsel', 'disuruh', 'ganti', 'kartu', 'uda', 'gila', 'oprator', 'telkomsel']</t>
  </si>
  <si>
    <t>['jaringan', 'telkomsel', 'jelek', 'banget']</t>
  </si>
  <si>
    <t>['murah', 'banget', 'beli', 'paket']</t>
  </si>
  <si>
    <t>['memuaskan', 'terpercaya', '']</t>
  </si>
  <si>
    <t>['sinih', 'jaringan', 'parah', 'liat', 'you', 'tube', 'donwload', 'lemot', 'beli', 'paket', 'internet', 'sakti', 'namba', 'seribu', 'terpaksa', 'beli', 'terpakai', 'gb', 'tolong', 'bantu', 'turun', 'harganya']</t>
  </si>
  <si>
    <t>['telkom', 'tolong', 'perbaiki', 'sinyalnya', 'asa', 'sinyal', 'banget']</t>
  </si>
  <si>
    <t>['paket', 'ceria', 'telkomsel', 'mantapppp']</t>
  </si>
  <si>
    <t>['kecewa', 'jaringan', 'telkomsel', 'kesini', 'ancur', 'gangguan', 'jaringan', 'stabil', '']</t>
  </si>
  <si>
    <t>['', 'app', 'buka', '']</t>
  </si>
  <si>
    <t>['', 'trakasih', 'telkomsel', '']</t>
  </si>
  <si>
    <t>['semenjak', 'desember', 'dowlod', 'telkomsel', 'knp', 'egk', 'kouta', 'geratis', 'org', 'kecuali', 'tololng', 'diperjelas']</t>
  </si>
  <si>
    <t>['kerja', '']</t>
  </si>
  <si>
    <t>['pokoknya', 'program', 'telkomsel', 'istimewa', 'sayang', 'mengikuti', 'salah', 'undiannya', '']</t>
  </si>
  <si>
    <t>['puas', 'apps', 'telkomsel', 'karna', 'gampang', 'beli', 'pulsa', 'paket']</t>
  </si>
  <si>
    <t>['nge', 'lag']</t>
  </si>
  <si>
    <t>['apknya', 'bagus', 'knpa', 'langsung', 'blang', 'pakai']</t>
  </si>
  <si>
    <t>['hai', 'telkomsel', 'telkomsel', 'bagus', 'diskon', '']</t>
  </si>
  <si>
    <t>['seminggu', 'aplikasi', 'telkomsel', 'dibuka', 'udah', 'uninstal', 'trus', 'didownload', 'dibuka', 'trimakasih']</t>
  </si>
  <si>
    <t>['kecewa', 'knp', 'bise', 'buka', 'klw', 'tutup', 'hub', 'kerja', 'aplikasi', 'bise', 'download']</t>
  </si>
  <si>
    <t>['apps', 'bermanpaat', 'kenspa', 'telkomsel', 'siznyalnya']</t>
  </si>
  <si>
    <t>['harganya', 'konsisten']</t>
  </si>
  <si>
    <t>['jaringan', 'telkomsel', 'kyk', 'kesal', 'ganti', 'operator', 'jaringan', 'darah']</t>
  </si>
  <si>
    <t>['kartu', 'telkomsel', 'gangguan', 'ujian', 'susah', 'kartu', 'telkomsel', 'gangguan']</t>
  </si>
  <si>
    <t>['sinyal', 'lemoootttt', 'kasih', 'bintang', '']</t>
  </si>
  <si>
    <t>['mengharapkan', 'telkomsel', 'menyediakan', 'paket', 'unlimited', 'batas', 'kuota', 'dijadikan', 'modem', 'hotspot', 'wifi', 'wifi', 'kabel', 'lelet', 'kondisi', 'cuaca', 'habis', 'hujan', 'telkomsel', 'memanfaatkan', 'sim', 'wifi', 'rumah', 'nonton', 'film', 'download', 'dll', 'sekencang', 'wifi', 'kabel', 'kecepatannya', 'konsisten', 'mb', 'perdetik', 'download', 'langganan', 'wifi', 'download', 'kondisi', 'buruk']</t>
  </si>
  <si>
    <t>['susah', 'buka', 'aplikasi', '']</t>
  </si>
  <si>
    <t>['puas', '']</t>
  </si>
  <si>
    <t>['terima', 'kasih', 'aplikasinya', 'bagus', 'maaf', 'cuman', 'kasih', 'bintang', 'pulsanya', 'mahal', '']</t>
  </si>
  <si>
    <t>['mntap', 'layanan', 'bervariasi', 'good', 'lahh']</t>
  </si>
  <si>
    <t>['udah', 'download', 'berkali', 'kali', 'tetep', 'kebuka']</t>
  </si>
  <si>
    <t>['provider', 'mengerti', 'kebutuhan', 'pengguna', 'layannya']</t>
  </si>
  <si>
    <t>['sory', 'beralih', 'sebelah', 'udah', 'kejangkau', 'lucu', 'lancar', 'udah', '']</t>
  </si>
  <si>
    <t>['senang', 'promo', '']</t>
  </si>
  <si>
    <t>['paket', 'kartu', 'hallo', 'mahal', 'kuota', 'internet', 'multimedia', 'youtube', 'keperluan', 'daring', 'dipandemi', '']</t>
  </si>
  <si>
    <t>['aplikasi', 'buka', 'udah', 'kirim', 'email', 'buka', 'udah', 'minggu']</t>
  </si>
  <si>
    <t>['hadianya']</t>
  </si>
  <si>
    <t>['telkom', 'kntool', 'paket', 'mahal', 'sinyal', 'kaya', 'mmek', 'jelek', 'anjg', 'serlok', 'dek', 'bewann']</t>
  </si>
  <si>
    <t>['aplikasinya', 'buka']</t>
  </si>
  <si>
    <t>['semoga', 'pelayannya', '']</t>
  </si>
  <si>
    <t>['sinyal', 'telkomsel', 'bagus']</t>
  </si>
  <si>
    <t>['paket', 'murah', 'pengguna', 'apliksi', 'combo', 'sakti', 'gb', 'seharga', 'rb', 'kualitas', 'jaringan', 'mumpuni', 'tinggal', 'program', 'paket', 'data', 'murah', 'jenis', 'kartu', 'telkomsel']</t>
  </si>
  <si>
    <t>['telkomsel', 'skrg', 'jaringan', 'stabil', 'pernag', 'full', 'sinyalnya', 'jaringan', 'trburuk']</t>
  </si>
  <si>
    <t>['jaringan', 'jelek', 'bermain', 'game', 'udah', 'pakai', 'telkom', 'mohon', 'perbaiki', 'jaringan', 'lancar', 'bermain', 'games']</t>
  </si>
  <si>
    <t>['aplikasi', 'dibuka', 'sengaja', 'beli', 'kuota', 'harganya', 'mahal', 'diskon', '']</t>
  </si>
  <si>
    <t>['mantab', 'telkomsel', 'lancar', 'internet', 'mahal', 'mohon', 'mahal', 'telkomsel', '']</t>
  </si>
  <si>
    <t>['udah', 'harganya', 'mahal', 'internet', 'lemot']</t>
  </si>
  <si>
    <t>['sinyal', 'sangt', 'jelek', 'kuota', 'mahal', 'cpet', 'abis', 'tpi', 'sinyal', 'memadai']</t>
  </si>
  <si>
    <t>['gabisa', 'bukaa', 'beli', 'paket', 'data']</t>
  </si>
  <si>
    <t>['kualita', 'infomasinya', 'akurat']</t>
  </si>
  <si>
    <t>['jaringan', 'telkomsel', 'lelet', 'parah', 'kapok', 'beli', 'paketnya']</t>
  </si>
  <si>
    <t>['harga', 'mahal', 'kualitas', '']</t>
  </si>
  <si>
    <t>['tolong', 'donk', 'unlimited', 'youtubenya']</t>
  </si>
  <si>
    <t>['aplikasinya', 'update', 'dibuka', '']</t>
  </si>
  <si>
    <t>['aplikasi', 'dibuka', 'white', 'screen', 'trus']</t>
  </si>
  <si>
    <t>['telkomsel', 'tanggal', 'jaringan', 'jelek', 'mulu', 'paginya', 'bagus', 'pas', 'masuk', 'jam', 'jaringan', 'langsung', 'jelek', 'tolong', 'min', 'main', 'game', 'ngilangin', 'stres', 'nambah', 'stres', 'tolong', 'telkomsel', 'turun', 'tangan']</t>
  </si>
  <si>
    <t>['bos', 'pengumuman', 'hadiah', 'telkomsel', 'poin', 'dpt', 'hadiah', 'tolong', 'kasih', 'kabar', 'pengundian', 'hadiah', 'telkomsel', 'poin', 'yaa', 'mengikuti', 'program', 'bos', '']</t>
  </si>
  <si>
    <t>['aplikasi', 'dibuka', 'pulsa', 'hilang']</t>
  </si>
  <si>
    <t>['telkomsel', 'fitur', 'kartu', 'telkomsel', 'data', 'kouta', 'akses', 'telkomsel', 'pengguna', 'beli', 'kuota', 'app', 'telkomsel', 'akses', 'data', 'terimah', 'kasih', 'semoga', 'telkomsel', 'merealisasikan', 'tanggapan', 'pengguna', 'setia', 'telkomsel']</t>
  </si>
  <si>
    <t>['telkomsel', 'jaringan', 'terbaik', 'iklan', 'nyata']</t>
  </si>
  <si>
    <t>['mudah', 'pakek']</t>
  </si>
  <si>
    <t>['dibuka', 'min', 'tolong', 'perbaiki', 'cepat']</t>
  </si>
  <si>
    <t>['rudeeeeeeeeeeeeeeeeeeeeuut', 'muka', 'aplikasi']</t>
  </si>
  <si>
    <t>['taik', 'telkomsel', 'bsa', 'bkan', 'perbaiki', 'apk', 'niat', 'hpus', 'apk', 'play', 'store']</t>
  </si>
  <si>
    <t>['aplikasi', 'dibuka', 'blank', 'putih', 'doang', 'tdi', 'pagi', '']</t>
  </si>
  <si>
    <t>['jaringan', 'telkomsel', 'lemot', '']</t>
  </si>
  <si>
    <t>['hai', 'kak', 'aplikasinya', 'buka', 'udate', 'tolong', 'perbaiki']</t>
  </si>
  <si>
    <t>['tukar', 'samsuns']</t>
  </si>
  <si>
    <t>['setia', 'telkomsel', 'mohon', 'tingkatkan', 'kwalitasnya']</t>
  </si>
  <si>
    <t>['jaringan', 'busuk', 'jelek', 'mahal', 'doang', 'beli', 'paket', 'pulsa', 'pas']</t>
  </si>
  <si>
    <t>['mantap', 'telkomsel', 'gitu', 'lho', 'jaya', 'pelosok', 'jaringannya', '']</t>
  </si>
  <si>
    <t>['telkomsel', 'laknat', 'ngapa', 'pulsa', 'dimakan', 'beli', 'paket', 'korupsi', 'pulsa', 'rb', 'beli', 'paket', 'rb', 'sisa', 'lupa', 'hitung', 'kalii']</t>
  </si>
  <si>
    <t>['suka', 'telkomsel', 'suka', 'hilang', 'pulsa', 'sadari', 'paket', 'kuota', 'aktif', 'ssdangkn', 'langganan', 'apapun', 'spt', 'nsp', 'dll', 'tolong', 'diperbaiki', 'sistemnya', 'aga', 'pulsa', 'pelanggan', 'aman', 'tersedot', 'sepengetahuan', '']</t>
  </si>
  <si>
    <t>['telkomsel', 'aneh', 'buka', 'facebook', 'suka', 'mode', 'geratis', 'udah', 'gitu', 'suka', 'iklan', 'paket', 'telkomsel', 'udah', 'dikeluarin', 'beli', 'paket', 'darurat', 'facebook', 'padah', 'kuota', 'gb', 'kenap', 'dipaksa', 'beli', 'sinyal', 'udh', 'sekencang', 'lemot']</t>
  </si>
  <si>
    <t>['assalamu', 'alaikum', 'mohon', 'maaf', 'kak', 'update', '']</t>
  </si>
  <si>
    <t>['tolong', 'apknya', 'dibuka', 'menunggu', 'perubahan', 'diuninstall', 'download', 'tolong', '']</t>
  </si>
  <si>
    <t>['aman', 'simple']</t>
  </si>
  <si>
    <t>['kecewa', 'langganan', 'data', 'harga', '']</t>
  </si>
  <si>
    <t>['lancar', 'bagus', 'updet', 'layar', 'putih', 'login', 'pakai', 'telkomsel', 'kecewa', '']</t>
  </si>
  <si>
    <t>['senang', 'memakai', 'kartu', 'telkomsel']</t>
  </si>
  <si>
    <t>['stlah', 'update', 'dibuka', 'trs', 'unistal', 'trs', 'instal', 'ttp', 'dibuka', 'layar', 'putih', 'doank', 'kacau', '']</t>
  </si>
  <si>
    <t>['aplikasi', 'blank', 'putih', 'tok', 'layar', 'tolong', 'penjelasannya', '']</t>
  </si>
  <si>
    <t>['pakai', 'telkomsel', 'buka', 'aplikasi', 'apapun', 'cepat', 'lancar']</t>
  </si>
  <si>
    <t>['jaringannya', 'parah', 'maen', 'game', 'leg', 'suka', 'banget', 'karna', 'jaringannya', 'lancar', 'parah']</t>
  </si>
  <si>
    <t>['aplikasinya', 'ngebug', 'tolong', 'perbaiki', 'membuka', 'apk', 'knapa', 'berwarna', 'putih', 'kali', 'hapus', 'instal', 'ngebug', 'perkecil', 'ukuran', '']</t>
  </si>
  <si>
    <t>['baca', 'komen', 'keluhan', 'ttg', 'apk', 'blank', 'stlah', 'diupdate', 'tlong', 'dibantu', 'diselesaikan']</t>
  </si>
  <si>
    <t>['aplikasi', 'buka', 'white', 'screen']</t>
  </si>
  <si>
    <t>['jaringan', 'signal', 'sesuai', 'harga']</t>
  </si>
  <si>
    <t>['bagus', 'bersaing']</t>
  </si>
  <si>
    <t>['krj', 'wajib', 'nyusahin', 'orang', 'bnyk', 'komplain', 'msh', 'ndak', 'ksh', 'solusi', 'ato', 'maaf']</t>
  </si>
  <si>
    <t>['telkomsel', 'dibuka', 'tgl', 'desember', 'sya', 'uninstal', 'trus', 'instal', 'ulang', 'buka', 'gimana', 'nie']</t>
  </si>
  <si>
    <t>['', 'terbaik', 'kompotitornya', 'telkomse']</t>
  </si>
  <si>
    <t>['baguss', 'tpi', 'koutanyah', 'kdang', 'mahal', 'mahal', '']</t>
  </si>
  <si>
    <t>['apk', 'nanggung', 'nga', 'berjalan', 'nga', 'orang', 'kesel', '']</t>
  </si>
  <si>
    <t>['aplikasi', 'normal']</t>
  </si>
  <si>
    <t>['semoga', 'penawaran', 'menarik']</t>
  </si>
  <si>
    <t>['pakai', 'aplikasinya', 'lancar', 'jaya', 'koq', 'buka', 'aplikasinya', '']</t>
  </si>
  <si>
    <t>['telkomsel', 'tetep', 'jaya', 'jaya', 'jaya']</t>
  </si>
  <si>
    <t>['bad', 'jdi', 'buka', 'update', 'bug', 'kah', '']</t>
  </si>
  <si>
    <t>['mantap', 'aplikasi']</t>
  </si>
  <si>
    <t>['apk', 'sial', 'knpa', 'hbis', 'update', 'layar', 'putih', 'trus', 'apk', 'sial', 'lahir', 'anjinggggggggggggggg']</t>
  </si>
  <si>
    <t>['paketan', 'dapet', 'akses', 'kasih', 'ngrusak', 'paketan', 'murni', 'kalok', 'niat', 'ngasih', 'repot', 'repot', 'ngasih']</t>
  </si>
  <si>
    <t>['rekomendasi', 'paket', 'data', 'telkomsel', 'sebulan', 'murah']</t>
  </si>
  <si>
    <t>['mantul', 'pisan', 'cepat', 'simpel', 'praktis', 'metode', 'pembayaran', 'pembelian', 'pulsa']</t>
  </si>
  <si>
    <t>['membantu', 'bonus', 'aplikasi', 'trmksh']</t>
  </si>
  <si>
    <t>['download', 'telkomsel', 'versi', 'google', 'uninstal', 'aplikasinya', 'mengalami', 'blank', 'putih', 'update', 'didownload', 'telkomsel', 'versi', 'instal', 'update', 'abaikan', 'smpai', 'normal', 'versi', 'semoga', 'bermanfaat', 'terima', 'kasih', '']</t>
  </si>
  <si>
    <t>['buruk', 'system', 'pelayanan', 'merugikan', 'pengguna']</t>
  </si>
  <si>
    <t>['puas', 'tpi', 'murah']</t>
  </si>
  <si>
    <t>['mantap', 'paketnya']</t>
  </si>
  <si>
    <t>['telkomsel', 'trouble', 'paketan', 'mahal', 'trouble', 'stabil', 'mendung', 'dikit', 'sinyal', 'susah', 'nyaman', 'telkomsel', 'operator', 'sinyal', 'bagus', 'mendung', 'heran', 'peningkatan', 'trouble', 'nyesel', 'telkomsel', 'mending', 'stabil', 'sinyalnya']</t>
  </si>
  <si>
    <t>['aplikasi', 'telkomsel', 'bukak', 'udah', 'instal', 'ulang', 'mohon', 'penjelasannya', '']</t>
  </si>
  <si>
    <t>['telkomsel', 'ngeselin', 'jaringan', 'lemot', 'paketnya', 'mahal', 'mahal', 'kasih', 'bintang', 'semoga', 'bersaing', 'pelanggan']</t>
  </si>
  <si>
    <t>['min', 'buka', 'aplikasinya', 'warna', 'putih', 'doang', 'trs', 'hbs', '']</t>
  </si>
  <si>
    <t>['telkomsel', 'buruk', 'make', 'unlimitid', 'ribu', 'main', 'game', 'kapok', 'telkomsel']</t>
  </si>
  <si>
    <t>['semoga', 'trus', 'mudah', 'dlm', 'transaksi', 'lbih', 'promo', 'menarik', 'murah']</t>
  </si>
  <si>
    <t>['telkomsel', 'knpaa', 'tolong', 'masuk', 'gabisa', 'bsaa', 'knpaa', 'apaa', 'karnaa', 'gimanaa', '']</t>
  </si>
  <si>
    <t>['', 'bagus', 'bnyak', 'kejutan', 'sukses', 'slallu', 'telkomsel']</t>
  </si>
  <si>
    <t>['dahlah', 'kuota', 'internet', 'pulsa', 'tersedot', 'jaringan', 'setabil', '']</t>
  </si>
  <si>
    <t>['buka', 'samsung', '']</t>
  </si>
  <si>
    <t>['bagus', 'sinyal', 'ngdrop', 'mulu', 'apes', 'beli', 'telkomsel']</t>
  </si>
  <si>
    <t>['membantu', 'cuman', 'kadang', 'eror', 'mengganggu']</t>
  </si>
  <si>
    <t>['tolong', 'pihat', 'telkomsel', 'munggunakan', 'aplikasi', 'tolong', 'secepatnya', 'perbaiki', 'hapus', 'menunggu', 'sampaiperbaikan']</t>
  </si>
  <si>
    <t>['kecewa', 'telkomsel', 'udah', 'pulsa', 'dihisap', 'ama', 'apk']</t>
  </si>
  <si>
    <t>['app', 'bagus', '']</t>
  </si>
  <si>
    <t>['lancar', 'banget', 'memuaskan', 'pelayanannya', 'tks', '']</t>
  </si>
  <si>
    <t>['dasar', 'kartu', 'bajinagn', 'mending', 'telkomsel', 'bubar', 'telkomsel', 'bisanya', 'lag', 'doang', 'gua', 'rugi', 'gara', 'gara', 'telkomsel', 'telkomsel', 'balas', 'telkomsel', 'mentingin', 'uang', 'peduli', 'pengguna', 'dasar', 'telkomsel', 'dajjal', 'rugi', 'doang']</t>
  </si>
  <si>
    <t>['gimna', 'min', 'beli', 'kouta', 'pakai', 'udh', 'habis', 'gunain', 'tolong', 'respon']</t>
  </si>
  <si>
    <t>['tingkatkan', 'kualitas', '']</t>
  </si>
  <si>
    <t>['buka', 'perbaikan', 'tolong', 'info', 'thks']</t>
  </si>
  <si>
    <t>['knp', 'pas', 'buka', 'aplikasi', 'telkomsel', 'dibuka', 'minggu']</t>
  </si>
  <si>
    <t>['tarif', 'paket', 'berubah', '']</t>
  </si>
  <si>
    <t>['dibuka', 'aplikasinya', 'udah', 'pakainya', 'eror', 'blank', 'layar', 'berwarna', 'putih', 'tolong', 'kak', 'hapus', 'instal', 'login', '']</t>
  </si>
  <si>
    <t>['tolong', 'maintance', 'app', 'loading', 'sgt', 'ngebug', 'isi', 'paket', 'pakai', 'wifi', 'suka', 'ngebug', 'loading', 'banget', '']</t>
  </si>
  <si>
    <t>['sayang', 'bonus', 'kuota']</t>
  </si>
  <si>
    <t>['konsep', 'youtube', 'unlimited', 'kouta', 'jalan', 'why', 'why', 'kapitalis']</t>
  </si>
  <si>
    <t>['pelanggan', 'telkomsel', 'sampe', 'skrg', 'kesini', 'mengecewakan']</t>
  </si>
  <si>
    <t>['jaringan', 'ditingkatkan']</t>
  </si>
  <si>
    <t>['aplikasih', 'hao', 'hao', 'nyesal', 'pakai', 'telkomsel', 'dicoba', 'udah', 'suka', 'sukanya', 'main', 'potong', 'pulsa', 'orang', 'uang', 'cari', 'halal', 'haram', 'babi']</t>
  </si>
  <si>
    <t>['telkomsel', 'membantu', 'dlm', 'pengisian', 'paket', '']</t>
  </si>
  <si>
    <t>['', 'masuk', 'mytelkomsel', 'mohon', 'solusinya', 'tmksh', '']</t>
  </si>
  <si>
    <t>['mantap', 'ditempat', 'tower', 'telkomsel', 'jaringannya', 'timbul', 'tenggelam']</t>
  </si>
  <si>
    <t>['membantu', 'mempermudah']</t>
  </si>
  <si>
    <t>['tenyata', 'akses', 'aplikasi', 'telkomsel', 'desember', 'telkomsel', 'pelanggan', 'setia', 'telkomsel', 'bertahan', 'hampit', 'thn', 'jdi', 'pelanggan', 'telkomsel', 'pengalaman', 'istimewa', 'layanan', 'oprator', 'murah', 'bonusnya', 'akses', 'cepat', 'sangaaat', 'kecewa', '']</t>
  </si>
  <si>
    <t>['aplikasi', 'blank', 'putih', 'layanan', 'bumn', 'acap', 'kali', 'buruk', 'swasta', '']</t>
  </si>
  <si>
    <t>['keperluan']</t>
  </si>
  <si>
    <t>['internet', 'kuat', 'main', 'game', 'jdi', 'nge', 'lack', 'trus']</t>
  </si>
  <si>
    <t>['pengguna', 'setia', 'telkomsel']</t>
  </si>
  <si>
    <t>['pulsa', 'tarik', 'paket', 'napa']</t>
  </si>
  <si>
    <t>['sinyal', 'telkomsel', 'lemot', 'kuota', 'diatas', 'gb', 'mohon', '']</t>
  </si>
  <si>
    <t>['dasar', 'telkomsial', 'harga', 'paket', 'naikin', 'pakai', 'batas', 'pemakaian', 'jaringan', 'ngelag', 'parah', 'kimak', 'kimak']</t>
  </si>
  <si>
    <t>['kecewa', 'telkomsel', 'tawarin', 'kartu', 'halo', 'marketing', 'telp', 'marketingnya', 'pascabayar', 'prabayar', 'ingjn', 'pindah', 'prabayar', 'hemat', 'boros', 'alias', 'permanet', 'ditutup', 'kartunya', 'mati', 'kartu', 'belasan', 'kecewa', 'namanya', 'penipuan', 'marketing', 'telkomsel', 'penipu', '']</t>
  </si>
  <si>
    <t>['koq', 'cepat', 'habis', 'kencang', 'habisnya', 'paket']</t>
  </si>
  <si>
    <t>['tolong', 'jaringan', 'loding', '']</t>
  </si>
  <si>
    <t>['aplikasinya', 'blank', 'putih', 'punyaku', 'ewww', 'telkomsel', '']</t>
  </si>
  <si>
    <t>['loading', 'bintag']</t>
  </si>
  <si>
    <t>['telkomsel', 'bangkrut', 'jaringan', 'susah', 'untung', 'utamakan', 'kepuasan', 'pelanggan', '']</t>
  </si>
  <si>
    <t>['gua', 'ksh', 'bintang', 'kebaca', 'snyal', 'kaya', 'beli', 'paket', 'mahal', 'tpi', 'lemott', 'abisin', 'duit', 'doang', 'main', 'game', 'merah', 'buka', 'smua', 'sosmed', 'lemot', 'kalah', 'kartu', 'murahan', '']</t>
  </si>
  <si>
    <t>['bagus', 'tpiiiiii', 'dibuka', 'toppp']</t>
  </si>
  <si>
    <t>['apk', 'sangan', 'bagus', 'penggunaan', 'mudah', 'promonya']</t>
  </si>
  <si>
    <t>['', 'aplikasi', 'ngapa', 'buka', '']</t>
  </si>
  <si>
    <t>['bayar', 'mahal', 'jaringan', 'kyk', '']</t>
  </si>
  <si>
    <t>['kartu', 'sampah', 'sehat', '']</t>
  </si>
  <si>
    <t>['sinyal', 'stabil', 'fup']</t>
  </si>
  <si>
    <t>['pertamakali', 'oke', 'oke']</t>
  </si>
  <si>
    <t>['mantap', 'bonusnya']</t>
  </si>
  <si>
    <t>['apak', 'baguss']</t>
  </si>
  <si>
    <t>['tolong', 'perbaiki', 'laagih', 'yaa', 'pulsa', 'gua', 'ehh', 'gua', 'coba', 'cek', 'ribu', 'pulsa', 'perbaiki', 'lagii', 'yaa', '']</t>
  </si>
  <si>
    <t>['semprul', 'banget', 'beli', 'paket', 'youtube', 'nonton', 'youtube', 'udah', 'chrome', 'mozilla', 'vivaldi', 'kgk', 'buka', 'youtube', 'niat', 'kgk', 'nyediain', 'paket']</t>
  </si>
  <si>
    <t>['nice', 'moga', 'jdi', 'pemenang']</t>
  </si>
  <si>
    <t>['mantap', 'banyakin', 'promonya', 'yaa', 'hehee']</t>
  </si>
  <si>
    <t>['memudahkan', 'bertransaksi', 'pembelian', 'paket', 'internet', 'harganyavlebih', 'murah', 'lahi']</t>
  </si>
  <si>
    <t>['telkomsel', 'terhormat', 'melaporkan', 'aplikasi', 'telkomsel', 'dibuka', 'update', 'buka', 'layar', 'aplikasi', 'berubah', 'putih', 'mohon', 'diperbaiki', 'aplikasinya', 'terima', 'kasih', 'telkomsel', '']</t>
  </si>
  <si>
    <t>['aplikasi', 'buka', 'males', 'gua', 'hapus', 'aplikasi', 'telkomsel', 'mood', '']</t>
  </si>
  <si>
    <t>['harga', 'mahal', '']</t>
  </si>
  <si>
    <t>['telkomsel', 'gimana', 'udah', 'minggu', 'beli', 'quota', 'balasannya', 'maaf', 'gangguan', 'sistem', 'minggu', 'bener', 'gangguan', 'mulu', 'udah', 'isi', 'pulsa', 'beli', 'quota', 'gangguan', 'beres', 'tawarin', 'beli']</t>
  </si>
  <si>
    <t>['update', 'beli', 'paket', 'telkomsel', 'saldo', 'utama', 'tetep', 'tersedot', 'pemberitahuan', 'paket', 'beli', 'expired', 'kecewa', 'telkomsel', 'merampok', 'diam', 'diam', 'beli', 'paket', 'tali', 'pulsa', 'utama', 'habis', 'dikuras', 'menawarkan', 'paket', 'paket', 'dibeli', 'jebakan', 'batman', 'disangka', 'pulsaku', 'habis', 'paket', 'data', 'internetnya', 'sedih', '']</t>
  </si>
  <si>
    <t>['aplikasi', 'bagus', 'karna', 'update', 'buka', 'masuk', '']</t>
  </si>
  <si>
    <t>['mohon', 'maaf', 'aplikasi', 'daya', 'dibuka', 'dibuka', 'tampilannya', 'layar', 'putih', 'tolong', 'diperbaiki', 'bintang']</t>
  </si>
  <si>
    <t>['aplikasi', 'sangatt', 'membantu']</t>
  </si>
  <si>
    <t>['muncul', 'layar', 'putih', 'doang']</t>
  </si>
  <si>
    <t>['', 'perbahrui', 'bsa', 'buka', 'payah', 'telkomsel', 'bukn', 'mkin', 'bgus', 'ngbleng', 'putih', 'bsa', 'buka', 'lgi', 'bntng', 'ajalah', 'kecewa', 'sya']</t>
  </si>
  <si>
    <t>['bagus', 'nnti', 'tambhin', 'bintangnya']</t>
  </si>
  <si>
    <t>['poin', 'knpa', 'tukar', '']</t>
  </si>
  <si>
    <t>['gangguan', 'pelosok', 'desa']</t>
  </si>
  <si>
    <t>['adil', 'mah', 'lainya', 'dpt', 'kuota', 'murah', 'pdhl', 'telkomsel', 'udh', 'thn']</t>
  </si>
  <si>
    <t>['kecewa', 'layanan', 'telkom', 'paketan', 'aktif', 'paket', 'darurat', 'filter', 'pin', 'isi', 'pulsa', 'kepotong', 'berulang', 'ulang', 'rampok', 'bayangkan', 'juta', 'penguna']</t>
  </si>
  <si>
    <t>['aplikasi', 'suka', 'promo', 'langka', 'donlot', 'promo', 'jauuuuuh', 'beli', 'paket', 'mahal', 'murah', 'aktif', 'minggu', 'tolong', 'telkomsel', 'pilih', 'kasih', 'promo']</t>
  </si>
  <si>
    <t>['woyyy', 'ayolah', 'nipu', 'nipu', 'udah', 'beli', 'pulsa', 'dipaketin', 'pulsa', 'mencukupi', 'pulsa', 'berkurang', 'perasaan', 'provider', 'kaya', 'gini', 'cepat', 'perbaiki', 'ganti', 'rugi', 'pulsa', 'berkurang', 'udah', 'mahal', 'nipu', 'hadehhhh']</t>
  </si>
  <si>
    <t>['telkomsel', 'udah', 'instal', 'sampe', 'buka', 'isi', 'paket', 'nelfon', 'masuk', 'pembelian', 'staus', 'sukses', 'tolong', 'gimana', 'telkomsel', '']</t>
  </si>
  <si>
    <t>['coba', 'laporkan', 'via', 'email', 'kendala', 'aplikasi', 'dibuka', 'dilayar', 'warna', 'putih', 'blm', 'solusinya', 'blm', 'teratasi', 'aplikasi', 'telkomsel', 'tolonglah', 'perbaiki', 'ketahui', 'telkomsel', 'perusahaan', 'penggunanya', 'jutaan', 'orang', 'berlarut', 'menjengkelkana', 'aplikasinya', 'kebuka', 'perbaikiiii', 'maaf', 'min']</t>
  </si>
  <si>
    <t>['buka', 'telkomsel', 'nggak', 'bintang']</t>
  </si>
  <si>
    <t>['menu', 'mudah']</t>
  </si>
  <si>
    <t>['gangguan', 'telkomselnya']</t>
  </si>
  <si>
    <t>['tolong', 'telkomsel', 'aplikasi', 'telkomsel', 'buka', 'update', 'update', 'update', 'ngabisa', 'layarnya', 'warna', 'putih', 'paket', 'internet', 'tolong', 'gimana', 'beli', 'paket', 'internet', '']</t>
  </si>
  <si>
    <t>['mudah', 'beli', 'paket', 'internet', 'telepon']</t>
  </si>
  <si>
    <t>['pas', 'beli', 'kuota', 'harga', 'kuota', 'pulsa', 'ngasih', 'harga', 'bener', 'kuota', 'dulunya', 'plis', 'kek', 'gitu', 'rugi', 'dikit', 'gamau', 'pelanggan', 'kecewa', 'gitu', '']</t>
  </si>
  <si>
    <t>['najis', 'sinyalnya', 'ganti', 'kartu', 'jirrrr']</t>
  </si>
  <si>
    <t>['good', 'mmbantu', 'mudah']</t>
  </si>
  <si>
    <t>['membantu', 'mengakses', 'informasi', 'nomorku']</t>
  </si>
  <si>
    <t>['mohon', 'penjelasannya', 'update', 'aplikasi', 'kendala', 'karna', 'dibuka', 'aplikasi', 'mytelkomsel', 'layar', 'jdi', 'blank', 'putih', 'aplikasinya', 'bermasalah', 'semoga', 'cepat', 'diperbaiki', 'pengguna', 'mytelkomsel', 'kecewa', 'kendala', '']</t>
  </si>
  <si>
    <t>['kasih', 'bintang', 'telkomsel', 'suka', 'sedot', 'pulsa']</t>
  </si>
  <si>
    <t>['apalikasi', 'lancar', 'jaya']</t>
  </si>
  <si>
    <t>['layar', 'putih', 'berbln', 'solusi', 'mgkn', 'telkomsel', 'balek', 'jaman', 'baheula']</t>
  </si>
  <si>
    <t>['semoga', 'lancar']</t>
  </si>
  <si>
    <t>['mudah', 'daftar', 'paket']</t>
  </si>
  <si>
    <t>['mytelkomsel', 'error', 'dibuka', 'berhari', 'blank', 'putih', 'versi', 'upgrade', 'error', 'susah', 'beli', 'cek', 'pulsa', 'kuota', '']</t>
  </si>
  <si>
    <t>['aplikasi', 'provider', 'terburuk']</t>
  </si>
  <si>
    <t>['apk', 'dibuka', 'menampilkan', 'layar', 'blank', 'putih', 'coba', 'saran', 'twitter', 'instagram', 'hasilnya', 'perubahan', 'harap', 'developer', 'memperbaiki', 'secepatnya', 'orang', 'mengalami', 'pengguna', 'mengeluhkannya', '']</t>
  </si>
  <si>
    <t>['ngotak', 'kuota', 'harga', 'kuota', 'nominal', 'harga', 'pengguna', 'kasih', 'spesial', 'cekik', 'asuhan', 'bumn', 'babi']</t>
  </si>
  <si>
    <t>['mudah', 'dbeli']</t>
  </si>
  <si>
    <t>['toppp', 'markotop', '']</t>
  </si>
  <si>
    <t>['bagus', 'pokonya']</t>
  </si>
  <si>
    <t>['min', 'masuk', 'apkny', 'ngestuck', 'layar', 'putih', 'gmn', 'min', 'tolong', 'perbaiki']</t>
  </si>
  <si>
    <t>['paketan', 'mahal', 'sinyal', 'jelek', '']</t>
  </si>
  <si>
    <t>['email', 'menunggu', 'dibantu', 'merefresh', 'jaringan', 'hasilnya', 'kesel', 'brooo', 'naek', 'genteng', 'kualitas', 'jelek', 'buruk', 'simpati', '']</t>
  </si>
  <si>
    <t>['unlimited', 'youtube', 'buka', 'youtube', 'gabisa', 'dibuka', '']</t>
  </si>
  <si>
    <t>['pelayanannya']</t>
  </si>
  <si>
    <t>['searching', 'google', 'saldo', 'pulsa', 'ilang', 'rb', 'kuota', 'kemendikbud', 'diisi', 'pulsa', 'akses', 'google', 'kuota', 'kemendikbud', 'nyedot', 'pulsa', 'deh', 'beli', 'paketan']</t>
  </si>
  <si>
    <t>['hadiahny', 'pemakai', 'setia', 'telkomsel']</t>
  </si>
  <si>
    <t>['sibuk', 'tros', 'kau', 'bangke']</t>
  </si>
  <si>
    <t>['', 'pulsa', 'terpotong', 'paket', 'internetnya', 'kemarin', 'dikembalikan', 'semoga', 'kedepannya', 'spt', 'sukses', '']</t>
  </si>
  <si>
    <t>['gabisa', 'buka', 'app']</t>
  </si>
  <si>
    <t>['sinyal', 'setabil', 'terkadang', 'hilang', 'sinyal', 'mengakibatkan', 'kegangguan', 'pembelajaran']</t>
  </si>
  <si>
    <t>['aplikasi', 'aneh', 'beli', 'paket', 'pulsa', 'mencukupi', 'pulsa', 'mencukupi', 'ditindak', 'lanjuti', '']</t>
  </si>
  <si>
    <t>['sinyal', 'didaerah', 'dihitung', 'perbaikan', '']</t>
  </si>
  <si>
    <t>['kecepatan', 'jaringan', 'bagus', 'ragukan', 'karna', 'pengguna', 'telkomsel']</t>
  </si>
  <si>
    <t>['apk', 'berguna', 'bangettt', '']</t>
  </si>
  <si>
    <t>['bagus', 'apknya', '']</t>
  </si>
  <si>
    <t>['pakai', 'telkomsel', 'telkomsel', 'yag', 'terbaik']</t>
  </si>
  <si>
    <t>['pulsa', 'salora', 'tiadakan', 'berguna']</t>
  </si>
  <si>
    <t>['parah', 'blank', 'putih']</t>
  </si>
  <si>
    <t>['pembelian', 'secepat', 'kilat']</t>
  </si>
  <si>
    <t>['smoga']</t>
  </si>
  <si>
    <t>['semoga', 'menang', 'mobil', 'amin']</t>
  </si>
  <si>
    <t>['aplikasi', 'bagus', 'ngeblank', 'lemot', 'banget', 'tolong', 'perbaiki', 'kasih', 'bintang', 'udh', 'bagus', 'kasih', '']</t>
  </si>
  <si>
    <t>['mengisi', 'ujung', 'rimbanya']</t>
  </si>
  <si>
    <t>['waww', 'promo', 'mantap']</t>
  </si>
  <si>
    <t>['update', 'app', 'dibuka']</t>
  </si>
  <si>
    <t>['perbaharui', 'dibuka', 'layar', 'putih']</t>
  </si>
  <si>
    <t>['aplikasi', 'juelek', 'donload', 'playstore', 'kokgak', 'buka', '']</t>
  </si>
  <si>
    <t>['instal', 'hapus', 'instal', 'hapus', 'instal', 'hapus', 'perubahan', 'kesegi', 'auto', 'hapus', 'aplikasinya', '']</t>
  </si>
  <si>
    <t>['bagus', 'tingkatkan', 'jaringanny']</t>
  </si>
  <si>
    <t>['woy', 'jaringan', 'hilang']</t>
  </si>
  <si>
    <t>['sinyal', 'telkomsel', 'bagus', 'sehari', 'harinya', 'lancar', 'kencang', 'geser', 'meter', 'langsung', 'sinyal']</t>
  </si>
  <si>
    <t>['asyik', 'banget', 'oke']</t>
  </si>
  <si>
    <t>['telkomsel', 'provider', 'harga', 'sultan', 'kualitas', 'miskin', 'uninstall', 'permanen', '']</t>
  </si>
  <si>
    <t>['mantaf', 'kali', 'mantaf']</t>
  </si>
  <si>
    <t>['poin', 'tidk', 'tukar']</t>
  </si>
  <si>
    <t>['lucu', 'ulasan', 'akun', 'google', 'sebelah', 'hapus', 'kasi', 'goodbye', 'telkomsel', '']</t>
  </si>
  <si>
    <t>['telkomsel', 'bagus', 'maju', 'indonesia', '']</t>
  </si>
  <si>
    <t>['habis', 'update', 'nge', 'blank', 'dibuka', 'aplikasi']</t>
  </si>
  <si>
    <t>['', 'knp', 'ngupdate', 'game', 'game', 'langsung', 'habis', 'kuota', 'bonus', 'kuota', 'kemendikbud', 'berkurang', 'buka', 'kuota', 'kemendikbud', 'kepake', 'udh', 'komplain', 'jawabannya', 'sreg', 'pertanggung', 'telkomsel']</t>
  </si>
  <si>
    <t>['suka', 'gila', 'ilang', 'signal', 'pakai', 'cuaca', 'cerah', 'mengecewakan', '']</t>
  </si>
  <si>
    <t>['sinyalnya', 'lag', 'bagusan', 'axis']</t>
  </si>
  <si>
    <t>['semoga', 'reziki', 'hadiah', 'amiin']</t>
  </si>
  <si>
    <t>['aplikasi', 'ngbeleng', 'bagu', 'aplikasi']</t>
  </si>
  <si>
    <t>['telkomsel', 'internet', 'putus', 'udah', 'bualan', 'tlvon', 'operator', 'hasil', 'lokasi', 'nusa', 'penida', 'bali', '']</t>
  </si>
  <si>
    <t>['kak', 'update', 'aplikasi', 'telkomsel', 'dibuka', 'blank', 'putih', 'loading', 'jaringan', 'internet', 'normal', 'aplikasi']</t>
  </si>
  <si>
    <t>['telkom', 'beli', 'kuota', 'games', 'silver', 'diamond', 'mobile', 'legends', 'diamond', 'puas', '']</t>
  </si>
  <si>
    <t>['benerin', 'sinyal', 'bang']</t>
  </si>
  <si>
    <t>['sinyal', 'telkomsel', 'kesini', 'maik', 'ngaco', 'liat', 'video', 'lag', 'kaga', 'jalan', 'tolong', 'perbaiki', 'jaringannya', 'daerah', 'plosok', 'masak', 'telkomsel', 'provider', 'kalah', 'provider', '']</t>
  </si>
  <si>
    <t>['aplikasi', 'cepat', 'tolong', 'inovasi', 'kreatif', 'feature', 'redeem', 'poin', 'poin', 'pelanggan', 'terkumpul', 'dimanfaatkan', '']</t>
  </si>
  <si>
    <t>['harga', 'murah', 'mantap', 'kasih', 'harga', 'terbaik', 'bos']</t>
  </si>
  <si>
    <t>['nanya', 'kak', 'kuota', 'viu', 'berjalan', 'kuota', 'maxstream', 'basic', 'mengakses', 'viu', 'habis', 'kuota', 'utama', 'habiskan', 'kuota', 'utama', 'kuota', 'maxstream', 'basic', '']</t>
  </si>
  <si>
    <t>['paket', 'telponnya', 'tolong', 'umurnya', 'pendek', 'masak', 'minggu', 'beli', 'paket', 'telp', 'mohon', 'perhatiannya', '']</t>
  </si>
  <si>
    <t>['aplikasi', 'jelek', 'muncul', 'opsi', 'beli', 'paket', 'data', 'internet', 'paket', 'mahal', 'operator', '']</t>
  </si>
  <si>
    <t>['perbaharui', 'versi', 'terbaru', 'masuk', 'aplikasi', 'layar', 'putih']</t>
  </si>
  <si>
    <t>['paket', 'data', 'murah', 'bnyak', 'promonya', '']</t>
  </si>
  <si>
    <t>['maunya', 'pembaruan', 'tpi', 'lupa', 'penggunanya', 'msih', 'mnggunakan', 'android', 'versi', 'ngeblank', 'stlah', 'update', 'silakan', 'dihapus', 'download', 'telkomsel', 'versi', 'downloadnya', 'via', 'google', 'chrome', 'sdah', 'mencoba', 'semoga', 'evaluasi', 'telkomsel', 'salah', 'pengguna', 'trmasuk', 'kecewa', 'pembaruan', '']</t>
  </si>
  <si>
    <t>['menyukai', 'apk']</t>
  </si>
  <si>
    <t>['mengalami', 'kesusahan', 'nukar', 'poin']</t>
  </si>
  <si>
    <t>['hadiah', 'donk']</t>
  </si>
  <si>
    <t>['maaf', 'knp', 'sinyalnya', 'nggak', 'pdhl', 'udah', 'dicoba', 'nggak', 'berubah']</t>
  </si>
  <si>
    <t>['pemerintah', 'harga', 'paket']</t>
  </si>
  <si>
    <t>['apk', 'heng', 'ngirim', 'paket', 'data', 'nomer', 'beli', 'paket', 'sms', 'mgkn', 'stlh', 'diperbaiki', 'dinaikkan', 'bintangnya', 'telpos', 'mengatasi', 'disuruh', 'instal', 'ulang', '']</t>
  </si>
  <si>
    <t>['jaringannya', 'ilang', 'mantan']</t>
  </si>
  <si>
    <t>['lucunya', 'kuota', 'sosmed', 'youtube', 'cuman', 'kbps', 'helow', 'jaman', 'skrg', 'jaman', 'kecepatan', 'segitu', 'lemot', 'woy', 'kuota']</t>
  </si>
  <si>
    <t>['telkomsel', 'orgil']</t>
  </si>
  <si>
    <t>['susah', 'cari', 'signal', 'kbb', 'telkomsel', 'hmpir', 'temen', 'ngeluh']</t>
  </si>
  <si>
    <t>['udah', 'nggk', 'dibuka', 'instal', 'uninstal', 'trus', 'nggk', 'perubahan', 'tolong', 'cepet', 'diperbaiki']</t>
  </si>
  <si>
    <t>['tanggal', 'aplikasi', 'konek', 'handphone', 'samsung', 'tanggal', 'coba', 'download', 'honor', 'konek', 'tolong']</t>
  </si>
  <si>
    <t>['min', 'jujur', 'knp', 'kartu', 'simpati', 'susah', 'jaringan', 'jaringannya', 'tinggal', 'jakarta', 'knp', 'susah', 'sinyal', 'kek', 'hutan', '']</t>
  </si>
  <si>
    <t>['layar', 'putih', 'buka']</t>
  </si>
  <si>
    <t>['apk', 'eror', 'urusan', 'kerjaan', 'pakai', 'kartu', 'telkomsel', '']</t>
  </si>
  <si>
    <t>['mantull', 'bnget', 'occccccc']</t>
  </si>
  <si>
    <t>['selamat', 'pagi', 'buka', 'telkomsel', 'min', '']</t>
  </si>
  <si>
    <t>['', 'telkomsel', 'terpercaya', 'maju', 'mencapai', 'cita']</t>
  </si>
  <si>
    <t>['pulsa', 'kesedot', 'kemaren', 'rb', 'rb', 'doang', 'anjayy', 'korupsi', 'allah', 'azabnya', 'hacur', 'sehancur', 'korban']</t>
  </si>
  <si>
    <t>['', 'telkomsel', 'dibuka', 'chat', 'twitter', 'official', 'respon', 'telegram', 'veronicanya']</t>
  </si>
  <si>
    <t>['udh', 'telkomsel', 'sampe', 'skrng', 'paket', 'slalu', 'harga', 'nyaa', 'udh', 'pelanggan', 'setia', 'dikit', 'dikit', 'emg', 'bukit', 'kecepatan', 'internet', 'ajaa']</t>
  </si>
  <si>
    <t>['seminggu', 'blank']</t>
  </si>
  <si>
    <t>['aplikasinya', 'simple', 'enak', 'jaringan', 'suka', 'ilang', 'suka', 'naek', 'jaringannya']</t>
  </si>
  <si>
    <t>['telkom', 'lgi', 'kenpa', 'kya', 'sinyal', 'trus']</t>
  </si>
  <si>
    <t>['maju', 'apk', 'nyaman', 'tampilannya', 'nggk', 'kayak', 'buka', 'pngen', 'uninstal', 'mulu', 'terimakasih', 'mytelkomsel', '']</t>
  </si>
  <si>
    <t>['aplikasi', 'telkomsel', 'diakses', 'layar', 'putih', 'coba', 'uninstall', 'install', 'mohon', 'diperbaiki', 'jaringannya', 'buruk', 'ditambah', 'aplikasi', 'telkomsel', 'buruk', '']</t>
  </si>
  <si>
    <t>['alhamdulilah', 'telkomsel', 'cocok']</t>
  </si>
  <si>
    <t>['min', 'knp', 'aplikasi', 'layar', 'putih', 'mulu']</t>
  </si>
  <si>
    <t>['jaringan', 'bagus', 'kga', 'masuk', 'masuk', '']</t>
  </si>
  <si>
    <t>['membantu', 'dibutuhkan', 'pengguna', 'telkomsel']</t>
  </si>
  <si>
    <t>['udah', 'uninstal', 'layar', 'tetep', 'putih', 'telkomsel', '']</t>
  </si>
  <si>
    <t>['mudah', 'murah', 'pokoknya', 'keren', 'telkomsel', 'semoga', 'layanan', 'terbaik', 'penggunanya', 'terimakasih']</t>
  </si>
  <si>
    <t>['update', 'ngga', 'kebuka', 'hubungi', 'admin', 'blm', 'kebuka', 'gimana']</t>
  </si>
  <si>
    <t>['keren', 'dpt', 'potongan']</t>
  </si>
  <si>
    <t>['lumayan', 'membantu', 'buka', '']</t>
  </si>
  <si>
    <t>['versi', 'hapus', 'data', 'uninstal', 'instal', 'ulang', 'tetep', 'masuk', 'pembaruan', 'aplikasi', 'merugikan', 'salah', '']</t>
  </si>
  <si>
    <t>['blank', 'putih', 'akses', 'eror', 'beli', 'paket', 'kuota', 'ribet', 'berminggu', 'eror', 'perbaiki']</t>
  </si>
  <si>
    <t>['woy', 'min', 'aplikasi', 'ngeblank', 'abis', 'update', 'tgl', 'des', '']</t>
  </si>
  <si>
    <t>['membantu', 'aplikasi', 'terima', 'kasih']</t>
  </si>
  <si>
    <t>['apknya', 'bagusss', 'bangettt', '']</t>
  </si>
  <si>
    <t>['kren', 'aplikasinya']</t>
  </si>
  <si>
    <t>['aplikasi', 'telkomse', 'aplud', 'buka', 'samsung', '']</t>
  </si>
  <si>
    <t>['telkomsel', 'keberadaannya', 'menyebar', 'diseluruh', 'pelosok', 'terpencil', 'mencerdaskan', 'melek', 'technologi', 'internet', '']</t>
  </si>
  <si>
    <t>['tolong', 'telkomsel', 'tololll', 'vitur', 'sedot', 'pulsa', 'hilangkan', 'gampang', 'nyari', 'duit', 'data', 'hidup', 'wajar', 'sedot', 'gue', 'udh', 'daftarin', 'paket', 'sedot', 'tolol', 'kartu', 'bener', 'ngapa', 'udah', 'komen', 'komen', 'kayak', 'gini', 'kalok', 'perbaiki', 'tolol']</t>
  </si>
  <si>
    <t>['layar', 'putih', 'aduh', 'gimana', 'apain', 'aduh', 'pusing', 'pala', 'gue', 'telkomsel', '']</t>
  </si>
  <si>
    <t>['cmn', 'putih', 'plus', 'kontrakan', 'gua', 'sinyalnya', 'kuat', 'cmn', 'untung', 'kartu', 'axis', 'gua', 'msh']</t>
  </si>
  <si>
    <t>['promo', 'murah']</t>
  </si>
  <si>
    <t>['memaksakan']</t>
  </si>
  <si>
    <t>['pke', 'telkomsel', 'sinyal', 'kuat', 'daerah', 'bandingkan', 'propaider', '']</t>
  </si>
  <si>
    <t>['aplikasi', 'bangkeee', 'mahal', 'playanan', 'buruk', '']</t>
  </si>
  <si>
    <t>['respon', 'keluhan', 'customer']</t>
  </si>
  <si>
    <t>['update', 'blank', 'layar', 'putih', '']</t>
  </si>
  <si>
    <t>['maaf', 'kak', 'udah', 'kisaran', 'aplikasi', 'telkomsel', 'nggak', 'dibuka', 'muncul', 'layar', 'putih']</t>
  </si>
  <si>
    <t>['parah', 'memuaskan', 'sulusi', 'tunggu', 'jawabannya', 'jam', 'menunggu', 'perusahaan', 'plat', 'merah', 'laba', 'bersih', 'triliun', 'luat', 'melayani', 'negeri', 'kometmennya', '']</t>
  </si>
  <si>
    <t>['aplikasi', 'error', 'dibuka', 'tlong', 'dibantu', 'aplikasi', 'mytelkomsel', 'buka', 'knp', 'iya', 'knp', 'dibuka', 'tgl', 'isi', 'puksa', 'kuota', 'susah', 'knp', 'tlong', 'dibantu', 'doonngg', '']</t>
  </si>
  <si>
    <t>['alhamdulillah', 'menyenangkan']</t>
  </si>
  <si>
    <t>['membantu', 'usha', 'repot', 'konter', 'ngisi', 'data', 'pokokmya', 'manteep', '']</t>
  </si>
  <si>
    <t>['terbaik', '']</t>
  </si>
  <si>
    <t>['apk', 'sangan', 'simpel']</t>
  </si>
  <si>
    <t>['beli', 'paket', 'internet', 'mudah', 'pilihan']</t>
  </si>
  <si>
    <t>['mudah', 'dimengerti', 'respon', 'cepat', 'app', 'terdepan', 'saran', 'beli', 'pulsa', 'paket', 'data', 'shopee', 'spaylater', 'metode', 'bayar', '']</t>
  </si>
  <si>
    <t>['aplikasi', 'telkomsel', 'tolong', 'fitur', 'batas', 'pemakaian', 'wajar', 'karna', 'kerja', 'via', 'zoom', 'call', 'karna', 'melebihi', 'pemakaian', 'wajar', 'fup', 'internet', 'lambat', 'zoom', 'call', 'putus', 'zoom', 'call']</t>
  </si>
  <si>
    <t>['jaringan', 'lemot', 'coyy', 'lokasi', 'aceh']</t>
  </si>
  <si>
    <t>['lancar', 'sobbbbbbb']</t>
  </si>
  <si>
    <t>['kuota', 'mahal', 'sinyal', 'jelek', 'kuota', 'jalannya', 'kereta', 'api', 'operator', 'bagus', 'mending', 'ganti']</t>
  </si>
  <si>
    <t>['sinyalnya', 'udah', 'stabil', 'kuota', 'pakek', 'sinyalnya', 'jarang', 'busuk', 'daerah', 'masak', 'bukafb', 'nunggu', 'malam', 'buang', 'perbaikan']</t>
  </si>
  <si>
    <t>['sngat', 'bgus', 'sngat', 'membantu']</t>
  </si>
  <si>
    <t>['mudah', 'ribet', 'kehabisan', 'kuota', 'bingung', 'aktif', 'abis', 'apk', 'buka', 'ngutang', 'kuota', 'the', 'best']</t>
  </si>
  <si>
    <t>['aplikasi', 'buka', 'perangkat', 'samsung', '']</t>
  </si>
  <si>
    <t>['terimah', 'kasih', 'kerja', 'samanya']</t>
  </si>
  <si>
    <t>['tinglatkan', 'layanan', 'tukar', 'poin', 'paket', 'nelpon', 'mudah', 'kehabisan', 'paket', 'nelpon', 'darurat']</t>
  </si>
  <si>
    <t>['ngga', 'pakai', 'paket', 'nelpon', 'sebentar', 'pulsa', 'kna', 'sikat']</t>
  </si>
  <si>
    <t>['suka', 'apliksinya', 'memudahkn', 'tuk', 'jaringan', 'kab', 'keerom', 'tolong', 'diperhatikan', 'jaringan', 'lambat', 'sekli', '']</t>
  </si>
  <si>
    <t>['ngk', 'kebuka']</t>
  </si>
  <si>
    <t>['aplikasi', 'nge', 'blank', 'layar', 'putih', 'doang', 'muncul', '']</t>
  </si>
  <si>
    <t>['pulsa', 'kebuang', 'sia', 'sia', 'paket', 'pulsa', 'kebuang', 'sia', 'sia', '']</t>
  </si>
  <si>
    <t>['afknya', 'membantu', 'sayang', 'tingkat', 'keamanan', 'pulsanya', 'kaya', 'afk', 'kartu', 'sebelah', 'dikunci', 'aman', 'tkut', 'kesedot', 'sia', '']</t>
  </si>
  <si>
    <t>['membantu', 'oke']</t>
  </si>
  <si>
    <t>['mantap', 'bos', '']</t>
  </si>
  <si>
    <t>['nyesel', 'update', 'liat', 'ulasan', 'liat', 'liat', 'kecewa', 'aplikasinya', 'update', 'engkau', 'telkomsel', 'paket', 'enak', 'aplikasi', 'telkomsel', 'cuman', 'layar', 'putih', 'tolong', 'perbaiki', 'tolong', 'udah', 'paket', 'mahal', 'mahal', 'buka', 'udah', 'coba', 'hapus', 'instal', 'ulang', 'berkali', 'kali', 'coba', 'kirim', 'shareit', 'telkomsel']</t>
  </si>
  <si>
    <t>['tolong', 'tingkatkan', 'kualitas', 'jaringannya', 'keramaian', 'perusaha', 'kerja', 'terimakasih', '']</t>
  </si>
  <si>
    <t>['lemot', 'jaringan', 'minus', 'mahal', 'kah', 'solusi', 'mngatasinya']</t>
  </si>
  <si>
    <t>['dapet', 'paket', 'gratis']</t>
  </si>
  <si>
    <t>['aplikasi', 'buruk', 'buka', 'sanhat', 'buruk', 'buka', 'kalah', 'aplikasi', 'bima', 'tri']</t>
  </si>
  <si>
    <t>['', 'namanya', 'hidup', 'dijalanin', 'dihentikan', '']</t>
  </si>
  <si>
    <t>['', 'telkomsel', 'ponsel', 'menampilkan', 'layar', 'putih', 'terbuka', 'mohon', 'solusinya', '']</t>
  </si>
  <si>
    <t>['assalamualaikum', 'aplikasi', 'bagus', 'emang', 'pas', 'masuk', 'aplikasi', 'kesalahan', 'udah', 'masuk']</t>
  </si>
  <si>
    <t>['kartu', 'terbaik', 'apk', 'kartu', 'terbaik', 'telkomsel', 'main', 'game', 'internetan', 'ngelag']</t>
  </si>
  <si>
    <t>['telkomsel', 'jaringan', 'kualitas', 'teknologi', 'mutu', 'kalah', 'aplikasi', 'menjamur', 'harga', 'sesuai', 'kualitas', 'pengguna', 'promonya', 'orang', 'beralih', 'aplikasi', 'memudahkan', 'berkomunikasi', 'negeri', 'dunia', 'terimakasih', 'telkomsel', 'kebanggaan', 'milik', 'bangsa', 'indonesia', 'jayalah', '']</t>
  </si>
  <si>
    <t>['aplikasi', 'buka', 'cuman', 'blank', 'putih', 'min', 'dri', 'tgl', 'kemarin', 'buka', 'kebuka', 'aplikasi', 'min', 'pemberitahuan', 'aplikasinya', 'gangguan', 'gimana', 'min', 'tolong', 'benarin', 'min', 'aplikasinya', '']</t>
  </si>
  <si>
    <t>['maaf', 'turun', 'bintang', 'cek', 'kuota', 'ndak', 'dibuka', 'layar', 'putih', 'doank', 'nyesel', 'kemaren', 'update', 'mahal', 'mahal', 'napa', 'paketannya', '']</t>
  </si>
  <si>
    <t>['pfb', 'zs', 'mudah', 'mencari', 'informasi', 'besifat', 'langsung', 'langsung', 'mepermudah', 'pengguna', 'akun', 'mendapatakan', 'menemukan', 'ide', 'insfirasi', 'dunia', 'karya', 'tulis', 'gambar', 'foto', 'video', 'sumber', 'daya', 'alam', 'sumber', 'daya', 'manusianya', 'negeri', 'negeri', 'karna', 'info', 'akun', 'perangakat', 'akun', 'sanggat', 'membantu', 'bidang', 'bidang', 'perlukan', 'butuhkan', '']</t>
  </si>
  <si>
    <t>['aplikasi', 'dibuka', 'warna', 'putih', '']</t>
  </si>
  <si>
    <t>['telkomsel', 'dibuka', '']</t>
  </si>
  <si>
    <t>['telkomsel', 'komunikasinya']</t>
  </si>
  <si>
    <t>['buka', 'akun']</t>
  </si>
  <si>
    <t>['aplikasinya', 'nge', 'blanks', 'putih', 'virtual', 'asisten', 'respon']</t>
  </si>
  <si>
    <t>['mudah', 'sinyalnya', 'bagus']</t>
  </si>
  <si>
    <t>['aduh', 'gimna', 'telkomsel', 'update', 'buka', 'blank', 'putih']</t>
  </si>
  <si>
    <t>['haloo', 'telkomsel', 'dibuka', 'udah', 'coba', 'instal', 'ulang', 'kali', 'dibuka']</t>
  </si>
  <si>
    <t>['dibuka', 'kaka']</t>
  </si>
  <si>
    <t>['membantu', 'bertransaksi', 'mudah', 'pakainya', 'gratisannya']</t>
  </si>
  <si>
    <t>['', 'telkomsel', 'perna', 'promo', 'temen', 'dapet', 'promo', 'paket', 'data', 'murah', 'terimakasih']</t>
  </si>
  <si>
    <t>['daftar', 'mudah', 'bagus']</t>
  </si>
  <si>
    <t>['telkomsel', 'sinyal', 'kuat', 'manapun']</t>
  </si>
  <si>
    <t>['tingkat', 'leluasa', 'blm', 'terjangkau', 'merasakan', 'mudahnya', 'berkomunikasi', 'telkomsel', 'salam', 'sehat']</t>
  </si>
  <si>
    <t>['gabisa', 'buka', 'ihh', 'parahhh', 'udah', 'seminggu']</t>
  </si>
  <si>
    <t>['habis', 'update', 'blank', 'putih', 'pinter']</t>
  </si>
  <si>
    <t>['mantap', 'bagus']</t>
  </si>
  <si>
    <t>['bagus', 'pelayanannya']</t>
  </si>
  <si>
    <t>['bnyak', 'dikeluhkan', 'karna', 'buka', 'aplikasi', 'dibuka', 'lgi', 'hapus', 'dri', 'playstore']</t>
  </si>
  <si>
    <t>['aplikasinya', 'error', 'kebuka']</t>
  </si>
  <si>
    <t>['sinyalnya', 'jel', 'ragunan']</t>
  </si>
  <si>
    <t>['mahal', 'serba', 'mahal']</t>
  </si>
  <si>
    <t>['tampilan', 'atraktif', 'berisi']</t>
  </si>
  <si>
    <t>['', 'kasih', 'binta', 'bonus', 'pulsa', 'ribu', 'berlaku', 'jam', 'bonus', 'masuk', 'akal', 'pakai', 'telpan', 'bagikan', 'tolong', 'bonus', 'rbu', '']</t>
  </si>
  <si>
    <t>['kartu', 'mahal', 'sinyal', 'murah', 'udh', 'bersaing', 'kartu']</t>
  </si>
  <si>
    <t>['bintang', 'turun', 'bintang', 'kecewa', 'bener', 'aplikasinya', 'upgrade', 'layar', 'utamanya', 'warna', 'putih', 'ngga', 'muncul', 'halaman', 'utama', 'bolak', 'uninstal', 'ulang', 'tetep', 'kayak', 'gitu', 'protes', 'ngga', 'tindakan', 'lanjutin', 'gini', 'cerita', 'pindah', 'provider', 'serba', 'mahal', 'paket', 'combo', 'sakti', 'mahal', 'aduh', 'kecewa', 'banget', 'telkomsel']</t>
  </si>
  <si>
    <t>['niat', 'dibetulkan', 'aplikasinya', 'dibuka', 'layar', 'putih', 'sinyalnya', 'susah', '']</t>
  </si>
  <si>
    <t>['perubahan']</t>
  </si>
  <si>
    <t>['mohon', 'maaf', 'gimana', 'masuk', 'aplikasi', 'udh', 'hapus', 'dowload', 'tetep', 'masuk', 'layar', 'putih', '']</t>
  </si>
  <si>
    <t>['terbuka']</t>
  </si>
  <si>
    <t>['', 'tgl', 'des', 'aplikasi', 'nggak', 'dibuka', 'blank', 'putih', 'udah', 'install', 'hapusin', 'cache', 'dll']</t>
  </si>
  <si>
    <t>['blank', 'berminggu', 'harga', 'bintang', 'kualitas', 'sampah', 'mending', 'pindah', 'provaider', 'terjangkau', 'harga', 'paketnya', '']</t>
  </si>
  <si>
    <t>['provider', 'kont', 'kau', 'bagusin', 'jaringan', 'ta', 'jngan', 'paket', 'mahal']</t>
  </si>
  <si>
    <t>['telkomsel', 'terbaik', 'tlg', 'kouta', 'trs', 'mahal', 'tlg', 'dipertimbangkan']</t>
  </si>
  <si>
    <t>['semoga', 'menang', 'undian']</t>
  </si>
  <si>
    <t>['aplikasi', 'dibuka', 'uda', 'dibuka']</t>
  </si>
  <si>
    <t>['penukaran', 'poin', 'telkomselnya', 'gagal']</t>
  </si>
  <si>
    <t>['pengalaman', 'menyenangkan', 'cuman', 'harga', 'paketx']</t>
  </si>
  <si>
    <t>['mantap', 'pemakaian', 'dikontrol']</t>
  </si>
  <si>
    <t>['kenaapa', 'login', 'tolong', 'yth', 'telkomsel']</t>
  </si>
  <si>
    <t>['knp', 'pas', 'update', 'aplikasinya', 'masuk', 'mohon', 'diperbaiki', 'apk', 'sgt', 'bagus', 'memudahkan', 'dlm', 'cek', 'data', 'pulsa', 'dll', 'mohon', 'diperbaiki']</t>
  </si>
  <si>
    <t>['okee', 'banget']</t>
  </si>
  <si>
    <t>['mendukung', 'aplikasi', 'menjaga', 'melayani', 'pelanggan', 'sepenuh', 'hati', 'semoga', 'mengalami', 'error', 'kendala', 'merugikan', 'penggunaan', 'aplikasi', '']</t>
  </si>
  <si>
    <t>['paket', 'datanya', 'mahal', '']</t>
  </si>
  <si>
    <t>['mudah', 'cepat', 'operasional', 'beli', 'paket', 'kehabisan', 'murah']</t>
  </si>
  <si>
    <t>['beli', 'kuota', 'ketengan', 'youtube', 'unlimited', 'kuota', 'utama', 'berkurang', 'beli', 'kuota', 'ketengan', 'telkomsel', 'merasakan', 'terimakasih', '']</t>
  </si>
  <si>
    <t>['pinggin', 'bagus', 'sinyal', 'cibiru', 'cipadati', '']</t>
  </si>
  <si>
    <t>['dri', 'siang', 'dibuka', 'aplikasinya']</t>
  </si>
  <si>
    <t>['mendownload', 'aplikasi', 'buka', 'muncul', 'layar', 'putih', 'menunggu', 'menu', 'muncul', '']</t>
  </si>
  <si>
    <t>['apknya', 'bagus', 'banget', 'pelanggannya', 'happy', 'bnyak', 'bnget', 'hadiahnya']</t>
  </si>
  <si>
    <t>['aplikasi', 'buka', 'tlp', 'call', 'center', 'perubahan', 'provider', 'sekelas', 'telkomsel', 'aplikasinya', 'down', '']</t>
  </si>
  <si>
    <t>['update', 'apk', 'blank', 'putih', 'dibuka', 'mengganggu', 'apk', '']</t>
  </si>
  <si>
    <t>['mantap', 'djiwa', 'jaringan', 'kal', 'bar']</t>
  </si>
  <si>
    <t>['jaringan', 'simpati', 'akhrir', 'super', 'buruk', 'gini', 'simpati', 'migrasi', '']</t>
  </si>
  <si>
    <t>['update', 'kog', 'nggak', 'buka', 'mengecewakan']</t>
  </si>
  <si>
    <t>['harga', 'paket', 'mahal', 'kuota', 'paket', '']</t>
  </si>
  <si>
    <t>['bagus', 'beli', 'paket', 'internet']</t>
  </si>
  <si>
    <t>['males', 'banget', 'jaringan', 'telkomsel', 'lag', 'pakek', 'bagus', 'bagus', 'jelek', 'jaringan', 'main', 'game', 'stabil', 'jaringan', 'pakek', 'telkomsel', 'mengecewakan', 'harga', 'paket', 'kuota', 'lumayan', 'diatas', 'kartu', 'sinyal', 'sesuai', 'harga', '']</t>
  </si>
  <si>
    <t>['telkomsel', 'rumah', 'medan', 'capek', 'pulang', 'langkat', 'medan', 'mencari', 'nafkah', 'taxi', 'online', 'uang', 'kerja', 'terkumpul', 'menikah', 'semoga', 'poin', 'lucky', 'draw', 'tukar', 'jatuh', 'allah', 'tercapai', 'menghalalkan', 'wanita', 'cinta', 'amin', '']</t>
  </si>
  <si>
    <t>['mengerti', 'pahami']</t>
  </si>
  <si>
    <t>['aneh', 'dibuka', 'udah', 'sebulan', 'call', 'center', 'telkomsel', 'turuti', 'dibuka']</t>
  </si>
  <si>
    <t>['udah', 'diupdate', 'versi', 'terbaru', 'palah', 'cuman', 'white', 'screen', 'paketan', 'pemerintah', 'kesedot', 'habis', 'pulsanya']</t>
  </si>
  <si>
    <t>['bintang', 'min', 'aplikasinya', 'instal', 'nggak', 'buka', 'bintang', 'entar', 'aplikasinya', 'udah', 'buka', '']</t>
  </si>
  <si>
    <t>['pelayanan', 'buruk', 'nggak', 'bagus', '']</t>
  </si>
  <si>
    <t>['aplikasi', 'bukanya', 'membantu', 'pusing', 'updateterus', 'mlh', 'jelex', '']</t>
  </si>
  <si>
    <t>['napa', 'masuk', 'tolong', 'perbaiki', 'telkom', '']</t>
  </si>
  <si>
    <t>['astaga', 'buka', 'telkomcrot']</t>
  </si>
  <si>
    <t>['', 'update', 'jdi', 'kaga', 'buka', 'trus', 'nyuruh', 'update', 'manfaat', 'tlng', 'prbaiki', '']</t>
  </si>
  <si>
    <t>['muantapppp', 'sayang', 'sinyal', 'suka', 'ilang', '']</t>
  </si>
  <si>
    <t>['ngk', 'buka', 'muncul', 'layar', 'putih', '']</t>
  </si>
  <si>
    <t>['', 'lahh', 'banyakin', 'promonya']</t>
  </si>
  <si>
    <t>['buka', 'mytelkomsel', 'udh', 'hapus', 'trus', 'downlod', 'buka', '']</t>
  </si>
  <si>
    <t>['paket', 'trlalu', 'mahal', 'naekin', 'laku', 'udh', 'bagus', 'rb', 'sgala', 'naek', 'org', 'skrg', 'hrus', 'bli', 'pulsa', 'brpa', 'nanggung', 'sgtu', 'plis', '']</t>
  </si>
  <si>
    <t>['jaringan', 'nggak']</t>
  </si>
  <si>
    <t>['aplikasi', 'error', 'gajelas', 'koneksi', 'lancar', 'lancar', 'maksudnya', 'coba', 'serius', 'benahi', 'aplikasi', 'kek', 'ampas', 'gini', '']</t>
  </si>
  <si>
    <t>['telkomsel', 'jelek', 'lampu', 'padam', 'langsung', 'mati', 'jaringan', 'kemaren', 'kecewa', 'telkomsel']</t>
  </si>
  <si>
    <t>['pulsa', 'masuk', 'langsung', 'ludes', 'paket', 'ngga', 'auto', 'beli', 'paket', 'langganan', 'kuota', 'gede', 'ngapain', 'beli', 'telkomsel', 'nyedot', 'pulsa', 'konfirmasi', 'kirim', 'paket', 'data']</t>
  </si>
  <si>
    <t>['kartu', 'aktif', 'tolong', 'dikasih', 'harga', 'kuota', 'special', 'sperti', 'kuota', 'internet', 'gb', 'rb', 'promo', 'dihilangkan', 'sembarangan', 'tunggu', 'responnya', 'bintang', '']</t>
  </si>
  <si>
    <t>['wow', 'keren', 'paketannya', 'murah', 'hot', 'promo', 'emng', 'murah', 'terima', 'kasih']</t>
  </si>
  <si>
    <t>['', 'poin', 'telkomsel', 'gb', 'bang', 'berhasil', 'habis', 'aktifnya', 'pas', 'daftar', 'memiliki', 'akses', 'membuka', 'halaman', 'doang', 'bang', '']</t>
  </si>
  <si>
    <t>['kartu', 'nggak', 'sinyal', 'hilang', 'pas', 'maen', 'game', 'trus', 'poin', 'nggak', 'tuker', 'apk', 'nggak', 'buka']</t>
  </si>
  <si>
    <t>['jaringan', 'merata', 'jempol', '']</t>
  </si>
  <si>
    <t>['mantap', 'membantu', '']</t>
  </si>
  <si>
    <t>['jaringan', 'hilang', 'lemot', 'pindah', 'krt', 'sebelah', 'kouta', 'mahal', 'jaringan', 'lemot']</t>
  </si>
  <si>
    <t>['aplikasi', 'resmi', 'aplikasinya', 'buka', 'udah', 'unistal', 'instal', 'kali', 'buka', 'aneh', 'telkomsel', 'kesini', '']</t>
  </si>
  <si>
    <t>['jaringan', 'lemot']</t>
  </si>
  <si>
    <t>['pelangga', 'setia', 'telkomse', 'kecewa', 'pelayanan', 'buruk', 'internet', 'kesini', 'lemot', 'pelayanan', 'custamer', 'bot', '']</t>
  </si>
  <si>
    <t>['kacau', 'banget', 'beranda', 'tertulis', 'paket', 'harga', 'pas', 'bayar', 'maling', 'uang', 'kepercayaan', 'hilang', 'sinyal', 'mending', 'ganti', 'smartfren', '']</t>
  </si>
  <si>
    <t>['daerah', 'batuaji', 'batu', 'sukawati', 'klw', 'hujan', 'jaringan', 'balok', 'stabil']</t>
  </si>
  <si>
    <t>['app', 'berat', 'sinyal', 'didaerah', 'lelet']</t>
  </si>
  <si>
    <t>['melayani', 'bai', 'banget']</t>
  </si>
  <si>
    <t>['berpuluh', 'pelanggan', 'hallo', 'blm', 'dpt', 'hadiah']</t>
  </si>
  <si>
    <t>['paketan', 'jaringan', 'masya', 'allah', 'tolong', 'perbaiki', 'tolong', 'adil']</t>
  </si>
  <si>
    <t>['beli', 'paket', 'transaksi', 'gagal', 'system', 'gangguan', 'dtggu', 'menit', 'ttp', 'bsa', 'tlonglah', 'perbaiki', 'kali', 'terlkomsel', 'pelanggan', 'kecewa', '']</t>
  </si>
  <si>
    <t>['', 'gabisa', 'dibuka', '']</t>
  </si>
  <si>
    <t>['dibagian', 'kota', 'sinyall', 'jeleknya', 'ampun', 'telkomsel', 'sinyal', 'bgus', 'dimana', 'tpi', 'buktinya', 'ngk', 'bngsat', 'mengecewakan']</t>
  </si>
  <si>
    <t>['dasar', 'kapitalis', 'sinyal', 'harga', 'paketannya', 'mahal', 'user', 'gini', 'wkwkwk']</t>
  </si>
  <si>
    <t>['mantap', 'mudah', 'telkomsel']</t>
  </si>
  <si>
    <t>['apps', 'tdak', 'dibuka', 'solusinya', 'emosi']</t>
  </si>
  <si>
    <t>['terimakasih', 'telkomsel', 'karyawam', 'telkomsel', 'upaya', 'mengembangkan', 'jaringan', 'kuat', 'mohon', 'maaf', 'jaringannya', 'eror', 'online', 'sosmed', 'game', 'online', '']</t>
  </si>
  <si>
    <t>['apk', 'koq', 'buka', '']</t>
  </si>
  <si>
    <t>['aplikasinya', 'ngga', 'buka']</t>
  </si>
  <si>
    <t>['kesini', 'susah', 'masuk', 'aplikasinya', 'skrg', 'jarang', 'gunain', 'mytelkomsel', 'karna', 'beli', 'paket', 'kyk', 'suka', 'ngeblank', 'gtu', 'dipaksain', 'menerus', 'beli', 'voucher', 'kuota']</t>
  </si>
  <si>
    <t>['mudah', 'cek', 'pulsa', 'kuota']</t>
  </si>
  <si>
    <t>['telkomsel', 'buruk', 'disayangkan', 'pulsa', 'berkurang', 'transaksi', 'membeli', 'paket', 'apapun']</t>
  </si>
  <si>
    <t>['', 'sistem', 'pembayaran', 'merchant', 'gagal', 'berkali', 'adminnya', 'slow', 'respon', 'bot', 'memproses', 'keluhan']</t>
  </si>
  <si>
    <t>['mohon', 'bantuan', 'minggu', 'buka', 'aplikasi', 'telkomsel', 'aplikasi', 'gangguan', 'memperbaiki', 'bug', 'tks']</t>
  </si>
  <si>
    <t>['lemot', 'naudzubillaaaaaaaahhhhhh', '']</t>
  </si>
  <si>
    <t>['aplikasi', 'murahan', 'udah', 'lelet', 'muncul', 'jual', 'aplikasi', 'telkomsel', 'pasar', '']</t>
  </si>
  <si>
    <t>['coba', 'telkomsel', 'bnr', 'bngsat', 'jaringan', 'babi']</t>
  </si>
  <si>
    <t>['ayo', 'telkomsel', 'internet', 'kenceng', 'gacor', 'memuaskan']</t>
  </si>
  <si>
    <t>['susah', 'login', '']</t>
  </si>
  <si>
    <t>['kualitas', 'jaringan', 'ancurrr', 'ampun', '']</t>
  </si>
  <si>
    <t>['jaringan', 'buruk', 'trus', '']</t>
  </si>
  <si>
    <t>['mohon', 'diperbaiki', 'aplikasinya']</t>
  </si>
  <si>
    <t>['jaringan', 'buruk', 'susah', 'sinyal', 'kota', 'kebayoran', 'jakarta', 'selatan', 'tolong', 'perbaiki']</t>
  </si>
  <si>
    <t>['please', 'jaringan', 'perbaiki', 'susah', 'sinyal', 'cok', 'dikota', 'anjink']</t>
  </si>
  <si>
    <t>['', 'prnah', 'dpt', 'poin', 'ntahlah', 'poin', 'chat', 'veronika', 'mulu', 'suruh', 'nunggu', 'smpe', 'berhari', 'respon', 'pkoknya', 'buruk', 'bener', 'pelayanannya', 'males', 'lahhhh']</t>
  </si>
  <si>
    <t>['udah', 'minggu', 'app', 'telkomsel', 'akses', 'cek', 'tmn', 'normal', '']</t>
  </si>
  <si>
    <t>['oke', 'paketnya', 'mahal', 'trus', 'dibilang', 'licik', 'paket', 'multimedia', 'ditimpuk', 'paket', 'buka', 'sosmed', 'makan', 'kuota', 'utama', 'curang', 'nggak', '']</t>
  </si>
  <si>
    <t>['instal', 'uninstal', 'udah', 'kali', 'buka', 'parah', 'aplikasi']</t>
  </si>
  <si>
    <t>['ngelag', 'bngt', 'bkn', 'orng', 'ksel', 'doang', 'emng', 'snyalnya', 'jlk', 'gush', 'jdiin', 'krtu', 'bkin', 'orng', 'mke', 'krtu', 'tlkom', 'ksel', 'doang']</t>
  </si>
  <si>
    <t>['mahal', 'mahal', 'harga', 'paketanya', 'bos']</t>
  </si>
  <si>
    <t>['lemot']</t>
  </si>
  <si>
    <t>['sampah', 'sistem', 'kuota', 'kalah', 'kartu', 'rakyat', 'tri', 'ntah', 'pulsa', 'melayang', 'kuota', 'sehari', 'prioritaskan', 'kuota', 'regular', 'ntah', 'ngotak', 'kagak', 'kartu', 'mentang', 'paket', 'promo', 'ngotak', 'binatang']</t>
  </si>
  <si>
    <t>['pengin', 'hadiah']</t>
  </si>
  <si>
    <t>['woyy', 'admin', 'aplikasi', 'telkomsel', 'layar', 'putih', 'gimana', 'beli', 'paket', 'internet', 'pakai', 'ewallet', 'pembayaran', 'tolong', 'perbaikin', 'aplikasi', '']</t>
  </si>
  <si>
    <t>['log', 'aplikasi', 'kali', 'instal', 'ulang', '']</t>
  </si>
  <si>
    <t>['males', 'telkomsel', 'buka', 'repot', 'hubungin', 'call', 'center', 'kaya', 'sebelah', 'tolong', 'perbaiki', 'makasih']</t>
  </si>
  <si>
    <t>['simpel', 'makasih']</t>
  </si>
  <si>
    <t>['jaringan', 'internetnya', 'tingkatkan', 'bermain', 'game', 'nge', 'lag', 'game', 'mobile', 'legend', 'tolong', 'perbaiki', 'terima', 'kasih']</t>
  </si>
  <si>
    <t>['semenjak', 'kabel', 'laut', 'putus', 'semenjak', 'jaringan', 'telkomsel', 'stabil', 'kabel', 'lautnya', 'putus', 'internetan', 'pakai', 'simpati', 'lancar', 'jaya', 'mengenal', 'batas', 'dikit', 'dikit', 'ilang', 'inetnya', 'drop', 'sinyal', 'lte', 'sengaja', 'lintas', 'data', 'telkomsel', 'awasi', '']</t>
  </si>
  <si>
    <t>['maaf', 'kasih', 'bintang', 'daerah', 'telkomsel', 'lemot', 'bgd', '']</t>
  </si>
  <si>
    <t>['mmng', 'udah', 'sanggup', 'melayani', 'pelanggan', 'lbih', 'gulung', 'tikar', 'uda', 'beli', 'paket', 'mahal', 'tpi', 'jaringangx', 'kayak', '']</t>
  </si>
  <si>
    <t>['nanya', 'buka', 'aplikasi', 'telkomsel', 'muncul', 'layar', 'putih', 'terbuka', 'kemarin', 'mohon', 'bantuan', 'terbuka', '']</t>
  </si>
  <si>
    <t>['update', 'buruk', 'buka', 'blank', 'putih']</t>
  </si>
  <si>
    <t>['mantap', 'sinyal', 'bagus']</t>
  </si>
  <si>
    <t>['beli', 'kouta', 'udah', 'mahal', 'jaringan', 'kek', '']</t>
  </si>
  <si>
    <t>['okeh', 'dapet', 'toyota', 'yariss']</t>
  </si>
  <si>
    <t>['instal', 'dibuka', 'kosong', 'gada', 'gambar', 'ribet', 'klu', 'beli', 'kuota', 'disney', 'hotstar', 'telkom', 'tanggapin', 'donk', 'nihh', '']</t>
  </si>
  <si>
    <t>['apk', 'sangaaat']</t>
  </si>
  <si>
    <t>['tolong', 'telkomsel', 'terkait', 'sinyal', 'kondisi', 'sinyal', 'telkomsel', 'kesininya', 'buruk', 'tolong', 'perbaiki', 'terimakasih']</t>
  </si>
  <si>
    <t>['', 'telkomsel', 'tanggal', 'kemren', 'lho', 'coba', 'buka', 'nggak', 'layarny', 'putihhhh', 'diemin', 'sejam', 'tetep', 'putih', 'nggak', 'nampilin', 'telkomsel', 'jdi', 'nggak', 'daftar', 'paket', 'gni', 'trus', 'ganti', 'operator', 'deh']</t>
  </si>
  <si>
    <t>['tinggal', 'dikota', 'jaringannya', 'kaya', 'dihutan', 'dikit', 'urgen', 'malas', 'simpati']</t>
  </si>
  <si>
    <t>['skrg', 'buka', 'blank', 'putih', '']</t>
  </si>
  <si>
    <t>['kali', 'isi', 'pulsa', 'kepotong', 'rebu', 'dasar', 'asuuuu']</t>
  </si>
  <si>
    <t>['suka', 'jaringannya', 'ngegame', 'down', 'jaringannya']</t>
  </si>
  <si>
    <t>['harga', 'kuota', 'sinyal', 'jelek']</t>
  </si>
  <si>
    <t>['min', 'aplikasinya', 'tampilannya', 'putih']</t>
  </si>
  <si>
    <t>['membeli', 'paket', 'terbeli', 'katenakan', 'gangguan', 'bot', 'mending', 'beralih']</t>
  </si>
  <si>
    <t>['banyakin', 'banusnya', 'telkomsel', '']</t>
  </si>
  <si>
    <t>['sinyalll', 'juancokkk', 'ngelagh']</t>
  </si>
  <si>
    <t>['coba', 'blm', 'paham', 'btl']</t>
  </si>
  <si>
    <t>['hayang', 'menang', 'mobil']</t>
  </si>
  <si>
    <t>['bagus', 'heheheh']</t>
  </si>
  <si>
    <t>['telkom', 'sinyal', 'down', 'bedanya', 'beli', 'telkom', 'mahal', 'kualitas', 'terbaik', 'jelek', 'pelayanan', 'sinyalnya', 'kayaknya', 'udah', 'make', 'telkom']</t>
  </si>
  <si>
    <t>['jaringn', 'telkomsel', 'daerah', 'hilang', '']</t>
  </si>
  <si>
    <t>['semoga', 'hadiah', 'nyata', 'telkomsel', '']</t>
  </si>
  <si>
    <t>['sinyalnya', 'jelek', '']</t>
  </si>
  <si>
    <t>['telkomsel', 'mohon', 'perbaiki', 'jaringannya', 'tlp', 'video', 'call', 'whatsapp', 'putus', 'jaringan', 'stabil', 'komunikasi', 'tlp', 'video', 'call', 'jdi', 'gara', 'sinyal', 'stabil']</t>
  </si>
  <si>
    <t>['kenapayaap', 'ukasinya', 'ngga', 'dibuka', 'sekalinya', 'buka', 'cma', 'putih', 'doang', 'telkom', 'benerin', 'udh', '']</t>
  </si>
  <si>
    <t>['telkomsel', 'kayak', 'taik', 'jaringan', 'buruk', 'malam', 'malam']</t>
  </si>
  <si>
    <t>['aplikasi', 'buruknya', 'promonya', 'wkwkwkw']</t>
  </si>
  <si>
    <t>['', 'aplikasi', 'dibuka', 'knpaaaa', 'mmmm', '']</t>
  </si>
  <si>
    <t>['doang', 'gabisa', 'buka', 'telkomsel', 'semenjak', 'masuk', 'desember', 'telkomsel', 'gabisa', 'buka']</t>
  </si>
  <si>
    <t>['operator', 'ajg', 'warasin', 'sinyal', 'enak', 'makan', 'gaji', 'buta']</t>
  </si>
  <si>
    <t>['siknyal', 'nyaman', 'bermain', 'gem', 'nyesal', 'berlangganan', 'telkom']</t>
  </si>
  <si>
    <t>['knp', 'pulsa', 'terpotong', 'sampe', 'kali', 'pulsa', 'terpotong', 'sampe', 'namanya', 'kasih', 'rincian', 'biaya', '']</t>
  </si>
  <si>
    <t>['semoga', 'minati']</t>
  </si>
  <si>
    <t>['hujan', 'jaringan', 'drop', 'parah', '']</t>
  </si>
  <si>
    <t>['mahal', 'palagi', 'paket', 'msuk', 'akal', 'harga', 'byar', 'pajat', 'paket', 'bodohi', 'masyarkat', 'anjai', '']</t>
  </si>
  <si>
    <t>['update', 'kirim', 'pulsa', 'apk', 'kode', 'mohon', 'penjelasanua']</t>
  </si>
  <si>
    <t>['serba', 'gampang', 'oood']</t>
  </si>
  <si>
    <t>['knp', 'aplikasi', 'telkomsel', 'dibuka', 'udah', 'unreg', 'uninstall', 'install', 'ulang', 'tetep', 'dibuka', 'layar', 'putih', 'muncul', '']</t>
  </si>
  <si>
    <t>['kuota', 'game', 'gajelas']</t>
  </si>
  <si>
    <t>['kacau', 'app', 'providernya']</t>
  </si>
  <si>
    <t>['', 'kirim', 'hadiah', 'trasfer', 'pulsa', 'nmr', 'pdahal', 'pulsa', 'kirim', 'pulsa', 'tfr', 'pulsa', 'kirim', 'hadiah', 'pdahal', 'pulsa', 'contohnya', 'pulsa', 'kirim', 'engga', 'pulsa', 'mencukupi', 'nominal', 'jls', 'plsa', 'lebihan', 'kecewa', 'pdahal', 'layan']</t>
  </si>
  <si>
    <t>['udah', 'beli', 'mahal', 'mahal', 'kouta', 'telkomsel', 'cuman', 'pas', 'sosmed', 'lancar', 'bet', 'pas', 'main', 'game', 'wild', 'rift', 'ms', 'kouta', 'mahal', 'jaringan', 'kek', 'jaman', 'purba', 'beli', 'kouta', 'telkom', 'mahal', 'doang', 'jaringan', 'kek', 'jaman', 'purba', 'cih']</t>
  </si>
  <si>
    <t>['gabisa', 'masuk', 'laman', 'beli', 'paket', 'internet', '']</t>
  </si>
  <si>
    <t>['faket', 'gb', 'tarifnya', 'tarifnya', 'kecewa', 'banget', 'langganan', 'faket']</t>
  </si>
  <si>
    <t>['aplikasi', 'instal', 'buka', '']</t>
  </si>
  <si>
    <t>['tolong', 'diperbaiki', 'jaringan', 'ancur']</t>
  </si>
  <si>
    <t>['app', 'buka', 'ngeblank', 'putih', 'tok', 'seharian', 'masuk', 'aplikasi']</t>
  </si>
  <si>
    <t>['operator']</t>
  </si>
  <si>
    <t>['simpati', 'jaringannya', 'lemot', 'serba', 'cepat', 'lemot', 'tolong', 'perbaiki', 'jaringan', 'internet', 'simpatinya', '']</t>
  </si>
  <si>
    <t>['dibuka', 'layar', 'berwarna', 'putih', 'tok']</t>
  </si>
  <si>
    <t>['', 'upgrade', 'buka', 'lancar', 'error']</t>
  </si>
  <si>
    <t>['sinyal', 'buruk', 'tolong', 'telkomsel', 'membenahinya', 'harga', 'paket', 'mahal']</t>
  </si>
  <si>
    <t>['memuaskan', 'telkomsel', 'dri', 'mpe', 'skrg', 'msh', 'setia']</t>
  </si>
  <si>
    <t>['sya', 'admin', 'daerah', 'kebun', 'jeruk', 'jakarta', 'barat', 'jaringan', 'telkomsel', 'buruk', 'sya', 'tinggal', 'kebun', 'jeruk', 'jakarta', 'barat', 'hancur', 'sinyal', 'keliling', 'sya', 'komplek', 'dpr', 'komplean', 'sinyal', 'buruk', 'tolong', 'donk', 'admin', 'perbaiki', 'sinyal', 'buruk', 'telkomsel', 'sya', 'mengalami', 'daerah', 'kebun', 'jeruk', 'jakarta', 'barat', 'lokasi', 'hancur', 'sinyal', 'telkomsel']</t>
  </si>
  <si>
    <t>['', 'telkomsel', 'tolong', 'ribet', 'beli', 'paket', 'pulsa', 'beli', 'paket', 'gagal', 'beli', 'tolong', 'selesaikan', 'permasalahan', 'nyaman']</t>
  </si>
  <si>
    <t>['', 'telkomsel', 'media', 'sarana', 'komunikasi']</t>
  </si>
  <si>
    <t>['mantap', 'singalnya', 'bagus', 'warna', 'merah', 'warna', 'cinta', 'meimei', 'des', '']</t>
  </si>
  <si>
    <t>['aplikasinya', 'white', 'screen', 'tolong', 'perbaiki', 'terbantu', 'aplikasinya']</t>
  </si>
  <si>
    <t>['aplikasinya', 'bagus', 'mantap', 'pokok', 'kasih', 'bintang', '']</t>
  </si>
  <si>
    <t>['alhamdulillah', 'sinyalnya', 'kuat']</t>
  </si>
  <si>
    <t>['buka', 'aplikasi', 'force', 'close', '']</t>
  </si>
  <si>
    <t>['canggih', 'bagus', 'cepat', 'internetnya', 'lemot', 'susah', 'jaringan', 'bawa', 'kemana', 'telkomsel']</t>
  </si>
  <si>
    <t>['tolong', 'perbaiki', 'koneksi', 'jaringan', 'buruk', 'kecewa', 'pengguna', 'setia', 'telkomsel']</t>
  </si>
  <si>
    <t>['update', 'layar', 'putih', 'dipakai']</t>
  </si>
  <si>
    <t>['harga', 'ditinggi', 'kualitas', 'diancurin', 'otak', 'otak', '']</t>
  </si>
  <si>
    <t>['app', 'membantu', 'skli']</t>
  </si>
  <si>
    <t>['aplikasi', 'telkomsel', 'kog', 'buka', 'kak']</t>
  </si>
  <si>
    <t>['aaaaa', 'udah', 'download', 'ulang', 'tetep', 'putih', 'semuaaaaaa']</t>
  </si>
  <si>
    <t>['tlkomsel', 'bagus', 'nyinyal', 'ktika', 'main', 'game', 'suka', 'ngelek', 'seneng', 'tlkomsel', 'jdi', 'jengkel', 'ktika', 'maien', 'game', '']</t>
  </si>
  <si>
    <t>['berguna', 'kesal']</t>
  </si>
  <si>
    <t>['murah', 'paket', 'datanya']</t>
  </si>
  <si>
    <t>['kuota', 'doang', 'mahal', 'sinyal', 'dikasih', 'hujan', 'lemot', 'asuk']</t>
  </si>
  <si>
    <t>['unek', 'unek', 'jaringan', 'telkomsel', 'lambat', 'asik', 'scrol', 'beranda', 'disarankan', 'gratis', 'data', 'gambar', 'beranda', 'memutih', 'upload', 'youtube', 'terupload', 'jam', 'jaringan', 'siput', 'nyesal', 'memilih', 'kartu', 'telkomsel', 'pindah', '']</t>
  </si>
  <si>
    <t>['', 'please', 'nge', 'leg', 'lag', 'parah', 'pas', 'main', 'rank', 'sinyal', 'turun', 'mulu', 'paketan', 'beli', 'gini', 'tolong', 'responnya', 'cepet', 'benerin']</t>
  </si>
  <si>
    <t>['ngeblank', 'berjalan', 'aplikasinya', 'layarnya', 'putih', 'cepat', 'perbaiki', '']</t>
  </si>
  <si>
    <t>['harga', 'kuota', 'mahal', 'jaringan', 'lemot', 'mahal', 'lemot', 'sesuai', 'harga', 'kuota', '']</t>
  </si>
  <si>
    <t>['pakai', 'kartu', 'telkomsel', 'axis', 'telkomsel', 'kencang', 'jaringannya', 'lelet', 'jaringannya', 'pengen', 'berhenti', 'pakai', 'telkomsel', 'sayang', 'nomornya', 'internetan', 'sya', 'terbantu', 'axis', 'udah', 'lapor', 'telomsel', 'gitu', 'gitu', '']</t>
  </si>
  <si>
    <t>['mahal', 'doang', 'sinyal', 'lelet', 'anjg']</t>
  </si>
  <si>
    <t>['sayangnya', 'signal', 'bagus']</t>
  </si>
  <si>
    <t>['nenguntungkan']</t>
  </si>
  <si>
    <t>['kenpa', 'jaringan', 'telkomsl', 'bngt', 'eror', 'kaya', 'mahal', 'jangkoanya']</t>
  </si>
  <si>
    <t>['layan', 'darurat', 'hutang', 'pulsa']</t>
  </si>
  <si>
    <t>['tolong', 'knpa', 'jaringan', 'telkomsel', 'parah', 'sktran', 'jam', 'jam', 'sgtu', 'wilayah', 'jakarta', 'barat', 'knpa', 'sinyal', 'mendptkan', 'sinyal', 'aneh', 'skli', 'telkomsel', 'jaringan', 'ngebut', 'indonesia', 'tpi', 'harapan', 'semangat', 'permasalahan', 'sinyal', 'selesai', '']</t>
  </si>
  <si>
    <t>['mudah', 'pakai', 'telkomsel', '']</t>
  </si>
  <si>
    <t>['jaringan', 'telkomsel', 'udah', 'lambat', '']</t>
  </si>
  <si>
    <t>['orang', 'kuota', 'telkomsel', 'gb', 'rb', 'udah', 'make', 'kartu', '']</t>
  </si>
  <si>
    <t>['knpa', 'aplikasi', 'telkomsel', 'masuk', 'nge', 'stuck', 'warna', 'putih', 'udah', 'cobain', 'data', 'seluler', 'wifi', 'masukk', 'mohon', 'bantuan', 'masukannya', '']</t>
  </si>
  <si>
    <t>['ngak', 'buka', 'apk', '']</t>
  </si>
  <si>
    <t>['aplikasi', 'akses', 'udah', 'sekinggu', 'blank', 'putih', 'udah', 'berkali', 'kali', 'install', 'ttp']</t>
  </si>
  <si>
    <t>['pilihan', 'promo', 'kuota', 'internet']</t>
  </si>
  <si>
    <t>['sinyal', 'telkomsel', 'kartu', 'hallo', 'jelek', 'mengecewakan', 'bayar', 'kuota', 'mahal', 'sebanding']</t>
  </si>
  <si>
    <t>['skrg', 'sinyal', 'telkomsel', 'lemot', 'langganan', 'sekeluarga']</t>
  </si>
  <si>
    <t>['kecewa', 'dibuka', 'samsung', 'galaxy', 'mohon', 'diperbaiki', 'donk']</t>
  </si>
  <si>
    <t>['mantul', 'membantu', 'mudah', 'promo', 'tingkatkan', 'jaringan', 'aktif', 'paket', 'sesuai', 'recommanded', 'telkomsel']</t>
  </si>
  <si>
    <t>['gampang', 'banget', 'ngecek', 'kuota', '']</t>
  </si>
  <si>
    <t>['hemat', 'membeli', 'paket', 'data']</t>
  </si>
  <si>
    <t>['knapa', 'sya', 'masuk', 'halaman']</t>
  </si>
  <si>
    <t>['aplikasix', 'bagus', 'semoga', 'promanya']</t>
  </si>
  <si>
    <t>['', 'maaf', 'gangguan', 'system', 'cek', 'koneksi', 'ulangi', 'transaksi', 'menit', 'transaksi', 'beli', 'paket', 'kouta', 'gitu', 'responnya', 'pulsa', 'udah', 'melebihi', 'kemakan', 'gimana', '']</t>
  </si>
  <si>
    <t>['', 'buka', 'beli', 'kota', 'parah', 'pelayanannya', 'mahal', 'iya', 'nomor', '']</t>
  </si>
  <si>
    <t>['jaringannya', 'lemot', 'udah', 'pakai', 'telkomsel']</t>
  </si>
  <si>
    <t>['dibuka', 'aplikasinya', '']</t>
  </si>
  <si>
    <t>['beli', 'paket', 'onternet']</t>
  </si>
  <si>
    <t>['telkomsel', 'lemot', 'banget', 'pakai', 'unlimited', 'lancar', 'banget', 'aqu', 'udah', 'telkomsel', 'kali', 'kecewa', 'banget', 'ngirim', 'mail', 'masak', 'bisanya', 'doang', 'lancar', 'plis', 'perbaiki', 'kayak', 'versi', 'terbaru', 'lemot']</t>
  </si>
  <si>
    <t>['ngeleg', 'bego', 'push', 'galat', 'anjg', 'emang', 'kartu', 'dajjal']</t>
  </si>
  <si>
    <t>['bagus', 'mantep']</t>
  </si>
  <si>
    <t>['jaringan', 'telkomsel', 'ancur', 'banget', 'kota', 'sukabumi', 'cisaat']</t>
  </si>
  <si>
    <t>['telkomsel', 'sinyalnya', 'ancur', 'main', 'game', 'udah', 'konsisten', 'kayak', 'profeder', 'bagus', 'sinyal', 'internetnya']</t>
  </si>
  <si>
    <t>['lemot', 'kali', 'bah', '']</t>
  </si>
  <si>
    <t>['aplikasi', 'berat', 'samsung', 'ram', 'gb', 'kebuka', 'layar', 'putih', 'doang', '']</t>
  </si>
  <si>
    <t>['susah', 'redeem', 'poin', 'langsung', 'hape', 'overheat', 'terima', 'kasih', 'perhatiannya', '']</t>
  </si>
  <si>
    <t>['sebnernya', 'jaringannya', 'padahl', 'kuota', 'bnyak', 'lemot', 'banget', 'padahl', 'lancar', 'yaallah', 'jengkel', 'apalah', 'salah', 'tolongggg', 'pekerjaan', 'terhambat', 'udah', 'normal', 'jaringannya', 'kasih', 'bintang', 'kasih']</t>
  </si>
  <si>
    <t>['gini', 'min', 'aplikasi', 'tidk', 'buka', 'tolong', 'jelasin', 'knp', 'min', '']</t>
  </si>
  <si>
    <t>['', 'bsa', 'dibuka', 'bsa', 'update', 'bsa']</t>
  </si>
  <si>
    <t>['kartu', 'mahal', 'jrngn', 'susah', 'buka', 'kedataran', 'jelek', 'jrngnnya', 'mohon', 'diperbaiki', 'bagus', 'kasih', 'bintang', '']</t>
  </si>
  <si>
    <t>['baguss', 'skali']</t>
  </si>
  <si>
    <t>['hadeeuuhhh', 'aplikasi', 'knpaa', 'jdii', 'kaya', 'ginii', 'udhh', 'brpa', 'harii', 'masuk', 'aplikasi', 'telkomsel', 'sllu', 'munculnya', 'layarnya', 'putih', 'tolong', 'cepet', 'perbaikii']</t>
  </si>
  <si>
    <t>['jaringan', 'internetnya', 'terpakai', 'kuotanya', 'trus', 'kuota', 'daruratnya', 'nisa', 'rugi', 'deeeh', 'hufff', 'telkomsel']</t>
  </si>
  <si>
    <t>['bagus', 'fitur', 'lock', 'pulsa', 'kebuang', 'sia', 'sia']</t>
  </si>
  <si>
    <t>['aplikasi', 'telkomsel', 'operasi', 'buka', 'layar', 'putih', 'sja', 'muncul', 'cek', 'kuota', 'susah', '']</t>
  </si>
  <si>
    <t>['jaringan', 'telkomsel', 'lelet', 'parah', 'mahal', 'beli', 'paket', 'jaringan', 'kayak', 'gitu', 'parah']</t>
  </si>
  <si>
    <t>['sinyal', 'internet', 'bagus', 'tutun', 'cepet', 'panas', 'tolonglah', 'perbaiki']</t>
  </si>
  <si>
    <t>['suka', 'gangguan', 'sistem', 'pakai', 'daftar', 'paket']</t>
  </si>
  <si>
    <t>['sinyal', 'bagus', 'suka', 'ilang', 'ilang', 'sinyal', 'tolong', 'perbaiki', 'secepatnya', 'min']</t>
  </si>
  <si>
    <t>['kecepatannya', 'mantaf', '']</t>
  </si>
  <si>
    <t>['aplikasinya', 'buka', 'download', 'brp', 'coba', 'uninstal', 'download', 'buka']</t>
  </si>
  <si>
    <t>['najis', 'mahal', 'banget', 'cuihhhhh', 'monopoli', 'dasar', 'setan']</t>
  </si>
  <si>
    <t>['min', 'tanggal', 'kemarin', 'aplikasi', 'kebuka', 'kebuka', 'memebeli', 'kuota', 'internet', 'tolong', 'cepat', 'benerin', 'aplikasi', 'nyaa', 'sekian', 'terima', 'kasih', 'heuhh', 'kecewa', '']</t>
  </si>
  <si>
    <t>['cepet', 'banget', 'masuknya', 'ribet']</t>
  </si>
  <si>
    <t>['konyol', 'sinyal', 'full', 'main', 'ngk', 'kuat', 'ping', 'ms', 'cabutin', 'tower']</t>
  </si>
  <si>
    <t>['tingkat', 'kualitas', 'signal', 'berlangganan', 'telkomsel', 'kalah', 'jaringan', '']</t>
  </si>
  <si>
    <t>['blm', 'dibuka', 'aplikasi', '']</t>
  </si>
  <si>
    <t>['knp', 'aplikasi', 'buka']</t>
  </si>
  <si>
    <t>['pengennya', 'ngasih', 'bintang', 'terpaksa', 'kasih', 'telkomsel', 'mengecewakan', 'beli', 'paket', 'pulsa', 'kesedot', 'kuota', 'masuk', 'jaman', 'pulsa', 'kesedot', 'sistem', 'perbaiki', 'trus', 'abaikan', '']</t>
  </si>
  <si>
    <t>['', 'pelanggan', 'telkomsel', 'slm', 'brthn', 'sygx', 'curiga', 'sistem', 'undian', 'poinnya', 'byk', 'mnukar', 'poin', 'ratusan', 'smp', 'berkali', 'kali', 'ttp', 'undian', 'seakan', 'hnylah', 'sbuah', 'hayalan', 'skr', 'capek', 'mencet', 'mencet', 'situ', 'hny', 'sbuah', 'undian', 'hny', 'mimpi', 'disiang', 'bolong', 'skr', 'apk', 'telkomsel', 'berlayar', 'putih', 'tnp', 'mgk', 'kbykan', 'poin', 'layar', 'putih', '']</t>
  </si>
  <si>
    <t>['sinyal', 'jernih', 'cuaca', 'buruk', 'pilihan', 'promo', 'keperluan', 'tlp', 'medsos', '']</t>
  </si>
  <si>
    <t>['derah', 'kawang', 'lemot']</t>
  </si>
  <si>
    <t>['aplikasi', 'bgus', 'jaringan', 'telkomsel', 'telkomsel', 'kartu', 'seluler', 'sekelas', 'telkomsel', 'menjaga', 'qualitas', 'merosot', 'karna', 'kluarga', 'smua', 'pakai', 'telkomsel', 'udh', 'campakkan', 'telkomsel', 'beralih', 'kartu', '']</t>
  </si>
  <si>
    <t>['dibuka', 'samsung', '']</t>
  </si>
  <si>
    <t>['isi', 'paket', 'paket', 'multimedia', 'nga', 'pakai', 'mubazir', 'tolong', 'perbaiki', 'donk']</t>
  </si>
  <si>
    <t>['aplikasi', 'susah', 'dibuka', 'jaringan', 'sel', '']</t>
  </si>
  <si>
    <t>['', 'dikasih', 'fitur', 'kunci', 'pulsa', 'udah', 'ngisi', 'beli', 'paket', 'masuk', 'apk', 'doang', 'semenit', 'pulsa', 'udah', 'bobol', '']</t>
  </si>
  <si>
    <t>['kartu', 'simpati', 'loop', 'dikit', 'promo', 'paket', 'sakti', 'berbeda', 'kartu', 'simpati', 'promo', 'murah', 'tolong', 'perbanyak', 'promo', 'simpati', 'loop']</t>
  </si>
  <si>
    <t>['bagus', 'muda']</t>
  </si>
  <si>
    <t>['sinyal', 'zonk', 'slalu', 'full', 'hujan', 'badai', 'parah', 'beut', 'gulung', 'tikar', 'kau', 'terbaik', 'cepat', 'perbaiki', 'kau', 'kehilangan', 'pelanggan']</t>
  </si>
  <si>
    <t>['bagus', 'penipuan', 'percaya', 'aplikasi', 'telkomsel']</t>
  </si>
  <si>
    <t>['kasi', 'bintang', 'pemula', 'coba', 'pakai', 'hasil', 'bagus', 'bintangnya', '']</t>
  </si>
  <si>
    <t>['ancur', 'parah', 'jaringan']</t>
  </si>
  <si>
    <t>['kadang', 'susah', 'bukanya', 'berkali', 'kali', 'gabisa', 'buka', 'buka', 'beli', 'pulsa', 'telkomsel', '']</t>
  </si>
  <si>
    <t>['cape', 'telkomsel', 'cape', 'jaringan', 'ilang', 'kartu', 'berpengalaman', 'mengerti', 'kebutuhan', 'konsumen', 'jaringan', 'lemot', 'suka', 'ilang', 'kualitas', 'telkomsel', 'buruk', 'jelek', 'tolong', 'perluas', 'jaringan', 'maksimal']</t>
  </si>
  <si>
    <t>['paket', 'tipu', 'multimedia', 'bejibun', 'pakai', 'sinyal', 'merah', 'meeting', 'game', 'isi', 'saldo', 'gopay', 'cashback', 'bohongan', '']</t>
  </si>
  <si>
    <t>['dibuka', 'payah', 'aplikasinya']</t>
  </si>
  <si>
    <t>['aplikasi', 'masak', 'perusahaan', 'plat', 'merah', 'kayak', 'gini', 'buka', 'payah', 'makan', 'gaji', 'buta', 'kali', '']</t>
  </si>
  <si>
    <t>['kecewa', 'telkomsel', 'stlh', 'update', 'dibuka', 'kirain', 'rusak', 'telkomselnya', 'error', 'cepat', 'diperbaiki', 'donk', 'gimana']</t>
  </si>
  <si>
    <t>['telkomsel', 'jaringan', 'stabil', 'jaringan', 'beralih', 'alhasil', 'koneksi', 'internet', 'terganggu', 'main', 'game', 'online', 'sekarat', 'jaringan', '']</t>
  </si>
  <si>
    <t>['diupdate', 'aplikasinya', 'nggak', 'dibuka', 'kecewa', 'sihh', '']</t>
  </si>
  <si>
    <t>['cuman', 'provider', 'kang', 'php', 'tulisannya', 'paket', 'unlimited', 'internet', 'lemot', 'sampe', 'ubun', 'ubun', 'onta', 'heran', 'emang', 'nggak', 'unlimited', 'perhari', 'giga', 'php', 'aso']</t>
  </si>
  <si>
    <t>['kenpa', 'telkomsel', 'leg', 'bangat', 'kek', 'buka', 'sosmet', 'leg', 'main', 'game', 'leg', 'pindah', 'operator', 'sekian', 'terimah', 'kasih']</t>
  </si>
  <si>
    <t>['jelek', 'pulsa', 'terkuras', 'ribu', 'sudh', 'hotspot', 'kecewa', 'banget']</t>
  </si>
  <si>
    <t>['semenjak', 'updet', 'terbaru', 'apk', 'telkomsel', 'buka']</t>
  </si>
  <si>
    <t>['membagongkan', 'sinyal', 'parah', 'urusan', 'sinyal', 'dimana', 'mengecewakan', 'bagus', 'telkomsel', 'mohon', 'perhatikan', '']</t>
  </si>
  <si>
    <t>['', 'telkomsel', 'pilihan', 'kasih', 'full', 'bintang']</t>
  </si>
  <si>
    <t>['aplikasi', 'bagus', 'suka']</t>
  </si>
  <si>
    <t>['blank', 'gimana', 'beli', 'paket', 'ngecek', 'pulsa', 'payah', '']</t>
  </si>
  <si>
    <t>['aplikasi', 'dibuka', 'blank', 'putih', 'doang', 'hapus', 'playstore', 'bener', 'kampreeett', '']</t>
  </si>
  <si>
    <t>['', 'makasih', 'murah', 'banget']</t>
  </si>
  <si>
    <t>['nipu', 'woy', 'telkomsel', 'sinyal', 'elu', 'bapuk', 'kaga', 'solusi', 'kuota', 'utama', 'kesedot', 'mulu', 'kuota', 'omg', 'kaga', 'becus', 'ngasih', 'solusii', '']</t>
  </si>
  <si>
    <t>['jelek', 'skrg', 'aplikasinya', 'susah', 'dibuka']</t>
  </si>
  <si>
    <t>['knpa', 'nambh', 'mahal', 'paketan', '']</t>
  </si>
  <si>
    <t>['prmisi', 'aplikasinya', 'pencet', 'stuck', 'putih', 'trooos', 'knpa', 'salah', 'kah', 'mohon', 'responya', 'kaka', 'trima']</t>
  </si>
  <si>
    <t>['nyesel', 'paket', 'telkomtol', 'rb', 'sumpah', 'mahal', 'doang', 'kualitas', 'internet', 'burig', 'lemot', 'uda', 'gitu', 'signalnya', 'turun', 'kadang', 'sampe', 'hilang', 'asuuuuuuuuu', '']</t>
  </si>
  <si>
    <t>['ampun', 'jaringan', 'buruk', 'masak', 'game', 'jaringan', 'langsung', 'hilang', 'veronica', 'gitu', 'membantu', 'pengguna', 'perbaiki', 'jaringan', 'kualitas', 'jngan', 'mengecewakan', 'pelanggan', 'jngan', 'cari', 'untung', 'kwalitas', 'jaringan', 'mengecewakan']</t>
  </si>
  <si>
    <t>['sinyal', 'telkomsel', 'jelek', 'sinyal', 'tinggal', 'dikota', 'grapari', 'telkomsel', 'sinyal']</t>
  </si>
  <si>
    <t>['buruk', 'main', 'game']</t>
  </si>
  <si>
    <t>['semoga', 'jaringan', 'internet', 'klu', 'musim', 'hujan', 'gangguan']</t>
  </si>
  <si>
    <t>['pas', 'jam', 'malam', 'subuh', 'paket', 'utama', 'terpotong', 'paket', 'malam', 'coba', 'perbaiki', '']</t>
  </si>
  <si>
    <t>['aplikasi', 'hang', 'udah', 'restart', 'reinstall']</t>
  </si>
  <si>
    <t>['aplikasi', 'buka', 'hapus', 'download', 'buka', '']</t>
  </si>
  <si>
    <t>['knpa', 'apk', 'buka', 'susah', 'cek', 'kuota', 'telkomsel']</t>
  </si>
  <si>
    <t>['sinyal', 'jelek', 'data', 'mahal', 'parahnya', 'aplikasi', 'telkomsel', 'dibuka', 'dibuka', 'tampilan', 'putih', 'rusak', 'aplikasi', 'normal', 'aplikasi', 'sialan', 'telkomsel', 'rusak', 'parah', 'sekelas', 'telkomsel', 'perusahaan', 'bumn', 'sinyal', 'monopoli', 'telkomsel', 'beralih', '']</t>
  </si>
  <si>
    <t>['knpa', 'telkomsel', 'tdak', 'dibuka']</t>
  </si>
  <si>
    <t>['telkomsel', 'kesini', 'parah', 'jaringan', 'udh', 'mahal']</t>
  </si>
  <si>
    <t>['murah', 'murah', 'paketnya', 'cooyyy']</t>
  </si>
  <si>
    <t>['harganya', 'mahal', 'tolong', 'kurangi', 'pelanggan', 'beralih', 'sim']</t>
  </si>
  <si>
    <t>['update', 'aplikasinya', 'ngeblank', '']</t>
  </si>
  <si>
    <t>['non', 'aktif', 'paket', 'non', 'aktif', 'gmna', 'sumpah', 'gedek', 'banget', 'pulsa', 'jdi', 'kesedot', 'udh', 'gitu', 'kesedot', '']</t>
  </si>
  <si>
    <t>['pertamanya', 'bagus', 'jelek', 'sial', 'unistal']</t>
  </si>
  <si>
    <t>['nggak', 'buka', 'aplikasinya', 'kemarin', 'lancar', '']</t>
  </si>
  <si>
    <t>['', 'telkomsel', 'memudahkan', 'medsos']</t>
  </si>
  <si>
    <t>['telkomsel', 'blank', 'putih', 'dibuka', 'update', 'tolong', 'perbaiki', 'harga', 'paket', 'internetnya', 'mahal', 'terima', 'kasih', '']</t>
  </si>
  <si>
    <t>['sinyalnya', 'bagus', 'iki']</t>
  </si>
  <si>
    <t>['telkomsel', 'jaringan', 'kek', 'taik']</t>
  </si>
  <si>
    <t>['bagus', 'langsung', 'masuk']</t>
  </si>
  <si>
    <t>['knp', 'hbis', 'update', 'buka', '']</t>
  </si>
  <si>
    <t>['aplikasi', 'telkomsel', 'buka', 'udah', 'uninstal', 'instal']</t>
  </si>
  <si>
    <t>['aplikasi', 'error', 'pas', 'dibuka', '']</t>
  </si>
  <si>
    <t>['kacau', 'telkomsel', 'penyakit', 'sulit', 'kali', 'masuk', 'biukan', 'perkembangan', 'kemunduran', '']</t>
  </si>
  <si>
    <t>['tampilan', 'aplilasi', 'blank']</t>
  </si>
  <si>
    <t>['mahal', 'mahal', 'mahal', 'mahal', 'rampok', 'lag']</t>
  </si>
  <si>
    <t>['mereddem', 'kuota', 'pulsa', 'poin', 'muncul', 'maaf', 'mencapai', 'batas', 'penukaran', 'poin', 'maksimal', 'kali', 'silakan', 'coba', 'kesempatan', 'terima', 'kasih', 'mereddem', 'paket', 'mohon', 'infonya']</t>
  </si>
  <si>
    <t>['', 'telkomsel', 'memudahkan', 'pelanggan', 'telkomsel', 'membeli', 'pulsa', 'data', 'murah', 'harganya']</t>
  </si>
  <si>
    <t>['aplikasi', 'dibuka', 'pasang', 'aplikasi', 'akses', '']</t>
  </si>
  <si>
    <t>['perdana', 'buruk', 'paket', 'internet', 'habis', 'langsung', 'pulsa', 'habisi']</t>
  </si>
  <si>
    <t>['login', 'aduh', 'sms', 'code']</t>
  </si>
  <si>
    <t>['pulsa', 'pas', 'beli', 'paket', 'sms', 'sisa', 'pulsa', 'mencukupi', 'membeli', 'paket', 'internet', 'silahkan', 'isi', 'ulang', 'hubungi', 'mengaktifkan', 'paket', 'darurat', 'knp', 'gitu', 'ajg', 'gajelas', 'telkomsel', 'paket', 'mahal', 'bug', 'kntl']</t>
  </si>
  <si>
    <t>['semoga', 'kedepat']</t>
  </si>
  <si>
    <t>['nanya', 'kali', 'instal', 'aplikasinya', 'buka', 'kuota', 'pulsa', 'mohon', 'petunjuk']</t>
  </si>
  <si>
    <t>['telkomsel', 'bertahun', 'undian', 'berhadiah', 'kreteria', 'hadiah', 'insyaallah', 'dapt']</t>
  </si>
  <si>
    <t>['udah', 'install', 'bbrp', 'kali', 'dibuka']</t>
  </si>
  <si>
    <t>['aplikasinya', 'lemot', 'banget', 'cenderung', 'dibuka', 'telkomsel', 'hny', 'untungnya', 'pikirkan', '']</t>
  </si>
  <si>
    <t>['paket', 'mahal', 'mahal', 'murahin', 'spesial', 'bicarakan']</t>
  </si>
  <si>
    <t>['woi', 'telkomsel', 'jaringan', 'susah', 'kali', 'main', 'game', 'jaringan', '']</t>
  </si>
  <si>
    <t>['coba', 'ramah', 'harga', 'paket', 'kouta', 'harga', 'bersaing', 'murah', 'tolong', 'perhatikan', 'telkomsel']</t>
  </si>
  <si>
    <t>['aplikasinya', 'bagus', 'membantu']</t>
  </si>
  <si>
    <t>['sinyal', 'parah', 'perbaikan', 'beli', 'kuota', 'pakai', 'kendala', 'sinyal', 'buruk', 'pantes', 'ngeluh', 'pindah', 'kartu', 'sinyal', 'susah', 'kek', 'gini']</t>
  </si>
  <si>
    <t>['', 'telekom', 'eror', 'minggu', 'layar', 'putih', 'ponsel', 'galau', '']</t>
  </si>
  <si>
    <t>['kasih', 'bintang', 'dlu', 'jaringan', 'lemot', 'bet', 'ntah', 'knp', 'kouta', 'gb', 'chat', 'pas', 'main', 'game', 'bet', 'lobby', 'giliran', 'game', 'lancar', 'download', 'mb', 'sec', 'kb', 'sec', 'perbaikan', 'lagii']</t>
  </si>
  <si>
    <t>['parah', 'beli', 'kuota', 'masuk', 'contak', 'blz', 'abis', 'ksi', 'solusi', 'diemin', 'ribu', 'apes', '']</t>
  </si>
  <si>
    <t>['trimakaasih', 'beli', 'pulasa', 'temapa', 'lahi']</t>
  </si>
  <si>
    <t>['butuh', 'duit', 'ngisi', 'paket', 'jaringan', 'mati', 'beli', 'paket', 'mahal', 'mahal', 'jaringannya', 'murahan', 'sesuai', 'harganya', 'gimana', 'indonesia', 'maju', 'perusahaan', 'mentingin', 'duitnya', 'kepuasan', 'pelanggan', 'ngisi', 'pulsa', 'habis', 'padaha', 'pulsanya', 'pulsanya', 'habis', 'kesedot', 'gimana', 'telkomsel', 'jaringan', 'susah', 'hujan', 'sinyalnya', 'hilang', 'emang', 'jaringan', 'murahan', 'gitu', 'emang']</t>
  </si>
  <si>
    <t>['update', 'layar', 'berwarna', 'putih', 'seminggu', 'reinstal', 'tetep', 'berubah', 'mohon', 'ditindak', 'samsung', '']</t>
  </si>
  <si>
    <t>['buka', 'layarnya', 'putih', '']</t>
  </si>
  <si>
    <t>['jaringan', 'bagus', 'paket', 'kuota', 'mahal', 'semenjak', 'tri', 'jaringan', 'telkomsel', 'kualitas', 'jaringan', 'menurun', 'andaikan', 'cek', 'sms', 'masuk', 'apk', 'telkomsel', 'buay', 'kartu', 'pasang', 'modem', 'siipp', 'aplikasi', 'apk']</t>
  </si>
  <si>
    <t>['promonya', 'mantap', '']</t>
  </si>
  <si>
    <t>['update', 'nggak', 'dibuka', 'gimana', 'bagusan', 'apk']</t>
  </si>
  <si>
    <t>['pulsa', 'hilang', 'paketan', 'ketegasan', 'telkomsel', 'oknum', 'emang', 'kebijakan', 'telkomsel', 'kebijakan', 'kebijakan', 'ngambilin', 'pulsa', 'orang']</t>
  </si>
  <si>
    <t>['kak', 'stuck', 'layar', 'putih', 'pas', 'masuk', 'telkomsel', 'anak', 'aman', 'stuck', 'layar', 'putih']</t>
  </si>
  <si>
    <t>['telkomsel', 'suka', 'mkan', 'pulsa', 'paket', 'habis', 'tanggal', 'pdhal', 'gada', 'buka', 'aplikasi', 'udh', 'kesedot', 'pulsa', 'pko', 'ikhlas', '']</t>
  </si>
  <si>
    <t>['pulsa', 'telkomsel', 'terpotong', 'pemakaian', 'internet', 'internet', 'dimatikan', 'pakai', 'internet', 'telkomsel', 'kejadian', 'kartu', 'telkomsel', 'istri', 'pemberitahuan', 'pemotongan', 'pulsa', 'pemakaian', 'internet', 'jam', 'habis', 'pulsa', 'terpotong', 'tlg', 'diklarifikasi', 'telkomsel', 'thanks']</t>
  </si>
  <si>
    <t>['telkomsel', 'payah', 'harga', 'kuota', 'udah', 'mahal', 'suka', 'sedot', 'pulsa', 'mulu', 'kerjaan', 'hadiah', 'rakyat']</t>
  </si>
  <si>
    <t>['kebuka']</t>
  </si>
  <si>
    <t>['mempermudah', 'layanan', 'bagus', 'repot']</t>
  </si>
  <si>
    <t>['udah', 'mah', 'aplikasi', 'gabisa', 'dibuka', 'harga', 'paket', 'men']</t>
  </si>
  <si>
    <t>['', 'mna', 'cepat', 'masuk', 'aplikasi', 'dri', 'telkomsel', '']</t>
  </si>
  <si>
    <t>['aplikasinya', 'kualitas', 'jaringan', 'seimbang', 'harga', 'harga', 'mahal', 'kualitas', 'jeblok', '']</t>
  </si>
  <si>
    <t>['', 'iphone', 'buka', 'download', 'android', 'ngk', 'buka', 'mental', 'mental', 'mulu', 'yaaa', '']</t>
  </si>
  <si>
    <t>['oke']</t>
  </si>
  <si>
    <t>['murahin', 'donk', 'min']</t>
  </si>
  <si>
    <t>['min', 'tolong', 'telkomsel', 'buka', 'isi', 'kuota']</t>
  </si>
  <si>
    <t>['telkomsel', 'emang', 'beda', 'tiada', 'duanya', 'diamana', '']</t>
  </si>
  <si>
    <t>['beli', 'fulsa', 'beli', 'paket', 'aplikasi', 'ammpuuun', '']</t>
  </si>
  <si>
    <t>['tolong', 'kasih', 'paketan', 'internet', 'yyy']</t>
  </si>
  <si>
    <t>['jaringan', 'ngedown', 'main', 'game']</t>
  </si>
  <si>
    <t>['okehhhh', 'trimakasih', 'jaringan', 'membagongkan', 'berkualitas']</t>
  </si>
  <si>
    <t>['developer', 'terhormat', 'kah', 'kau', 'memperbaiki', 'bug', 'membuka', 'pas', 'login', 'putih', 'apapun', 'pencet', 'tombol', 'back', 'semoga', 'developer', 'merespon', 'komentar', 'memperbaikinya', '']</t>
  </si>
  <si>
    <t>['orang', 'dungu', 'dibohongi', 'aplikasi', 'rugi', 'download', 'pelayanan', 'pusing', 'kepala', 'hebat', 'harga', 'mahal', 'dibanding', 'operator', 'selamat', 'merugi', '']</t>
  </si>
  <si>
    <t>['aplikasi', 'telkomsel', 'aplikasi', 'bagus', 'percaya']</t>
  </si>
  <si>
    <t>['udah', 'apk', 'mytelkomsel', 'knpa', 'buka', 'apk']</t>
  </si>
  <si>
    <t>['selamat', 'sore', 'telkomel', 'knp', 'app', 'telkomsel', 'buka', 'beleng', 'warna', 'putih', 'samsung', 'telkomsel', 'persi', '']</t>
  </si>
  <si>
    <t>['masuk', 'aplikasinya', 'gambarnya', 'putih', 'gambar', 'cek', 'pulsa', 'kouta', '']</t>
  </si>
  <si>
    <t>['masuk', 'apl', 'telkom', 'apl', 'ssperti']</t>
  </si>
  <si>
    <t>['jaringan', 'ilang']</t>
  </si>
  <si>
    <t>['nukr', 'koin', 'gagal', 'bang']</t>
  </si>
  <si>
    <t>['mengisi', 'pulsa', 'mengisi', 'sms', 'loopers', 'terima', 'kasih', 'isi', 'ulang', 'aktifkan', 'paket', 'spesialmu', 'harga', 'rb', 'mengaktifkan', 'tsb', 'diatas', 'maaf', 'paket', 'tersedia', 'silahkan', 'paket', 'mohon', 'penjelasan', 'telkomsel', 'sms', 'tsb', '']</t>
  </si>
  <si>
    <t>['harga', 'sultan', 'jaringan', 'parah']</t>
  </si>
  <si>
    <t>['aplikasi', 'berat', 'ngak', 'tempo', 'diupgread', 'mudah', 'cek', 'pulsa', 'susah', 'gimana', 'admin', 'telkomsel', 'kecewa', 'pelanggan', 'iya', 'buka', 'telkomsel', 'blank', 'putih', 'tanda', 'kehidupan']</t>
  </si>
  <si>
    <t>['knpa', 'beli', 'kuota', 'pdhl', 'pulsa', 'sya', 'brlbih', 'jwabnya', 'aplikasi', 'blo', 'sring', 'kli', 'kecewa', 'tlkomsl', 'sya', 'terpksa', 'mmkai', 'kartu', 'tlkomsl', 'teman', 'byk', 'pakai', 'krtu', 'mdah', 'sya', 'akn', 'pindah', 'cpt', 'tlkomsl', '']</t>
  </si>
  <si>
    <t>['telkomsel', 'dibuka', 'uninstal', 'download', 'bolak', 'buka']</t>
  </si>
  <si>
    <t>['user', 'fiendly', 'tolong', 'murahin', 'dikit', 'lahh', 'paket', 'internetnya']</t>
  </si>
  <si>
    <t>['promo', 'sinyal', 'kaya', 'burik']</t>
  </si>
  <si>
    <t>['paketan', 'telp', 'bayarnya', 'rb', 'yaa']</t>
  </si>
  <si>
    <t>['paketan', 'combo', 'sakti', 'dulunya', 'harga', 'ribu', 'ribu', 'wow', 'yaa', 'semoga', 'pelanggan', 'cepat', 'pindah', 'provider', 'paketan', 'harga', 'ribu', 'keatas', 'mahal', 'banget']</t>
  </si>
  <si>
    <t>['aplikasi', 'susah', 'buka', 'kasi', 'bintang', 'pelayanan', 'nyaman', 'banget']</t>
  </si>
  <si>
    <t>['mlh', 'ngak', 'gunain', 'apl']</t>
  </si>
  <si>
    <t>['aneh', 'aplikasi']</t>
  </si>
  <si>
    <t>['telkomsel', 'poin', 'muda', 'membeli', 'paket', 'internet', '']</t>
  </si>
  <si>
    <t>['telkomsel', 'jelek', 'jaringannya', 'game', 'mobile', 'legend', 'lag', 'parah', '']</t>
  </si>
  <si>
    <t>['maaf', 'aplikasi', 'putih', 'doang', 'kaga', 'tulisan', 'gara', 'musim', 'ujan', 'tulisannya', 'kebawa', 'air', '']</t>
  </si>
  <si>
    <t>['kasih', 'bintang', 'masak', 'abis', 'udate', 'bukak', 'tolong', 'perbaiki', 'karna', 'suka', 'aplikasi']</t>
  </si>
  <si>
    <t>['update', 'udah', 'nggak', 'buka', 'tolong']</t>
  </si>
  <si>
    <t>['kasih', 'bintang', 'sdah', 'jaringan', 'telkomsel', 'combosakti', 'bagus']</t>
  </si>
  <si>
    <t>['minggu', 'buka', 'apk', 'diupdate', 'uninstal', 'instal', 'buka', 'tampilan', 'putih', 'cek', 'kuota', 'dll', 'manual', 'mohon', 'solusi', '']</t>
  </si>
  <si>
    <t>['ngak', 'berguna']</t>
  </si>
  <si>
    <t>['tolong', 'diperbaiki', 'dijalankan', 'error', 'android', 'oppo', '']</t>
  </si>
  <si>
    <t>['aplikasi', 'buka', 'blank']</t>
  </si>
  <si>
    <t>['astaga', 'telkomsel', 'knapa', 'paket', 'game', 'berubah']</t>
  </si>
  <si>
    <t>['telkomsel', 'tida', 'buka']</t>
  </si>
  <si>
    <t>['login', 'verifikasi', 'nga', 'kirim', 'kirim', 'gimana', 'masuk', 'apk', 'nga']</t>
  </si>
  <si>
    <t>['telkomsel', 'buka', 'seharus', 'jalan', 'kuota', 'multimedia', 'mlah', 'jalan', 'kuota', 'reguler', 'nnti', 'pulsa', 'habis', 'kuota', 'habis', 'jalan', 'kuota', 'multimedia', 'provider', 'waras', '']</t>
  </si>
  <si>
    <t>['semoga', 'berkah', 'telkomsel', '']</t>
  </si>
  <si>
    <t>['aplikasinya', 'bermasalah', 'gimana', 'dibuka', 'langsung']</t>
  </si>
  <si>
    <t>['pemakayan', 'mudah']</t>
  </si>
  <si>
    <t>['jmbt', 'hujan', 'dikit', 'lag']</t>
  </si>
  <si>
    <t>['kwalitas', 'jaringan', 'tingkatkan', '']</t>
  </si>
  <si>
    <t>['mohon', 'dievaluasi', 'paketan']</t>
  </si>
  <si>
    <t>['beli', 'paket', 'gangguan', 'tetuss']</t>
  </si>
  <si>
    <t>['coba', 'semoga', '']</t>
  </si>
  <si>
    <t>['telkomsel', 'white', 'blank', 'mulu', 'kemarin']</t>
  </si>
  <si>
    <t>['sinyal', 'kota', 'jabodetabek', 'jelek', 'karna', 'dpt', 'kuota', 'khusus', 'corporate', '']</t>
  </si>
  <si>
    <t>['upgrade', 'performa', 'sinting']</t>
  </si>
  <si>
    <t>['maaf', 'ganti', 'bintangnya', 'seminggu', 'aplikasinya', 'dibuka', 'layar', 'putih', 'dibuka', '']</t>
  </si>
  <si>
    <t>['kesini', 'jelek', 'app', 'telkomsel', 'login', 'ajja', 'masuk', 'sms', 'verifikasi', 'truss', 'nmr', 'sms', 'verifikasi', 'msuk', 'pas', 'klik', 'link', 'brhsil', 'masuk', 'gmn', 'perbaiki', 'donk', 'ttgga', 'sblh', 'bnyk', 'penawaran', 'fitur', 'mnrik', 'smua', 'pndah', 'provider', '']</t>
  </si>
  <si>
    <t>['mohon', 'kartu', 'kasih', 'diskon']</t>
  </si>
  <si>
    <t>['make', 'telkomsel', 'udh', 'bonus', 'pengguna', 'setia', 'harga', 'paket', 'naek', 'mulu', 'mahal', 'sinyal', 'lemot', 'gmn']</t>
  </si>
  <si>
    <t>['telkomsel', 'jaringan', 'tercepat', 'terluas', 'republik', 'indonesia', 'gangguan', 'lambat', 'susah', 'sinyal', 'sistem', 'telkomsel', 'alangkahnya', 'baiknya', 'menindaklanjuti', 'merugikan', 'semoga', 'aplikasi', 'terbaik', 'jenis', 'jenis', 'kerugian', 'akurat', 'merugikan', 'pelanggaran', '']</t>
  </si>
  <si>
    <t>['pulsa', 'terbuang', 'terkuras', 'habis', 'mengaktifkan', 'paket', 'apapun']</t>
  </si>
  <si>
    <t>['telkomsel', 'kebiasaan', 'langganan', 'data', 'kenaikan', 'harga', 'harganya', 'kesel', 'pulsa', 'kepotong', 'ngisi', 'isi', 'bayar', 'pulsa', 'rb', 'terdigit', 'rebu', 'utang', 'pulsa', 'ato', 'kejelasan', 'pulsa', 'berkurang', 'sedetik', 'diisi', 'maksudnya', 'korupsi', 'hah', '']</t>
  </si>
  <si>
    <t>['dapet', 'mobil', 'aplikasi', 'bismillah', 'mudah', 'mudahan', '']</t>
  </si>
  <si>
    <t>['pengguna', 'kecewa', 'sinyal', 'telkomsel', 'nyoba', 'udah', 'ngelag', 'sumpah', 'nyesel', 'banget', 'beli', 'kartu']</t>
  </si>
  <si>
    <t>['paket', 'combo', 'sakti', 'murah', '']</t>
  </si>
  <si>
    <t>['', 'aplikasi', 'telkomsel', 'buka', 'yaa']</t>
  </si>
  <si>
    <t>['aplikasinya', 'diupdate', 'berat', 'responsif']</t>
  </si>
  <si>
    <t>['kecewa', 'telkomsel', 'update', 'telkomsel', 'buka', 'layarnya', 'putih', 'gitu', 'update', 'udah', 'tetep', 'solusi', '']</t>
  </si>
  <si>
    <t>['jaringan', 'batang', 'doang', 'provider', 'gakjelas']</t>
  </si>
  <si>
    <t>['update', 'masuk', 'apk', 'smua', 'layar', 'putih', 'pdahal', 'jaringan', 'bagus', 'mohon', 'infonya', 'kak']</t>
  </si>
  <si>
    <t>['sumpah', 'nge', 'lag', 'parah', 'kuota', 'tinggal', 'haddehhh']</t>
  </si>
  <si>
    <t>['', 'allah', 'jaringan', 'telkomsel', 'data', 'udah', 'isi', 'tetep', 'nga', 'instal', 'apk', 'duh', 'ganti', 'wae', 'ulah', 'telkomsel', 'liyeur']</t>
  </si>
  <si>
    <t>['telkomsel', 'ohhh', 'telkomsel', 'keluhan', 'telkomsel', 'blank', 'putih', 'tindakan', 'mohon', 'perbaiki', 'pelangganmu', 'kabur']</t>
  </si>
  <si>
    <t>['berani', 'merekomendasikan', 'teman', 'login', 'pakai', 'telkomsel', 'telkomsel', 'leletnya', 'sebel', 'pelanggan', 'telkomsel', 'mutu', 'terabailan', 'tingkatkanlah', 'mutu', 'pelayanannya', 'pelanggan', 'berpindah', '']</t>
  </si>
  <si>
    <t>['parah', 'banget', 'signal', 'internetnya', 'fuel', 'signal', 'klau', 'liat', 'youtube', 'tiktok', 'loadingnya', 'selangit', 'parah', 'bnget', 'telkomsel']</t>
  </si>
  <si>
    <t>['telkomsel', 'bsa', 'trus', 'nuker', 'poin', 'gangguan', 'trus', 'msa', 'trus', 'gangguan', 'petma', 'kaya', 'gini', 'jdi', 'gini', 'kecewa', '']</t>
  </si>
  <si>
    <t>['memuaskan', 'pengguna', 'telkomsel']</t>
  </si>
  <si>
    <t>['mudah', 'akses']</t>
  </si>
  <si>
    <t>['paket', 'spesial', 'menarik']</t>
  </si>
  <si>
    <t>['murah', 'isi', 'paket', 'telkomsel', 'terimakasih', '']</t>
  </si>
  <si>
    <t>['mudah', 'dipakai', 'sialnya', 'bermasalah', 'pas', 'dibutuhkan', 'berfungsi', '']</t>
  </si>
  <si>
    <t>['kemari', 'jaringan', 'hancur', 'harga', 'mahal', 'kualitas', 'hancur', 'ajg', '']</t>
  </si>
  <si>
    <t>['update', 'blank', 'putih', 'buka', 'udah', 'bbrp', 'kali', 'uninstall', 'install', 'blank', 'putih']</t>
  </si>
  <si>
    <t>['telkomsel', 'taik', 'beli', 'paket', 'seharga', 'ribu', 'masuk', 'app', 'jelass']</t>
  </si>
  <si>
    <t>['sinyalnya', 'buruk', 'sampe', 'kuat', 'doang', 'main', 'game', 'terkena', 'gangguan']</t>
  </si>
  <si>
    <t>['pulsa', 'terpakai', 'habis', 'internet', 'bener', 'merugikan', 'isi', 'pulsa', 'habis', 'puguh', 'tolong', 'kasih', 'menonaktifkan', 'akses', '']</t>
  </si>
  <si>
    <t>['knpa', 'aplksiny', 'dibuka', '']</t>
  </si>
  <si>
    <t>['telkomsel', 'gimna', 'nyediain', 'pembelian', 'paket', 'pas', 'beli', 'aneh', 'ajig', 'gua', 'sia', 'isi', 'saldo', 'serasa', 'ditipu', 'trs', 'gua', 'kyk', 'gtu', 'bukn', 'kali']</t>
  </si>
  <si>
    <t>['mantep', 'banget', 'ngk', 'capekk', 'kluar', 'ngisi', 'ulang']</t>
  </si>
  <si>
    <t>['veronika', 'jelek', 'tidakengerti', 'membantu', 'sinyal', 'telkomsel', 'jelek']</t>
  </si>
  <si>
    <t>['sinyal', 'kayak', 'nt', 'lll']</t>
  </si>
  <si>
    <t>['aplikasinya', 'bagus', 'perbaiki', 'beli', 'kuota', 'koin', 'gabisa', 'hmm']</t>
  </si>
  <si>
    <t>['beli', 'paketannya', 'mahal']</t>
  </si>
  <si>
    <t>['isi', 'pulsa', 'sedot', 'maksud', 'bener']</t>
  </si>
  <si>
    <t>['apk', 'buka', 'update', 'terbaru', 'buka']</t>
  </si>
  <si>
    <t>['telkomsel', 'gajelas', 'ngisi', 'pulsa', 'dipotong', 'rb', 'telkomn', 'kek', 'gtu', 'laku', 'kartu', 'kecewa', 'dasar', 'telkomn', '']</t>
  </si>
  <si>
    <t>['terimaksih', 'followupnya']</t>
  </si>
  <si>
    <t>['apkikasi', 'bermutu', 'hanmamamamamammamamammamammamamamammamamsmmamamammamamamammsmsbdhdjdjjdjdjdjjdkdmdmdmmdmdmdmmdmdmdmdmmdmdmdmndndndndndndnmdmdmdmdmmdmdmdmdkdkkdkdmdmdmdmmdmdmdmmkdmdmdmdmmdmdmmdmdmdmmdmdmdmmdm']</t>
  </si>
  <si>
    <t>['beli', 'pulsa', 'nominal', 'bayar', 'via', 'gopay']</t>
  </si>
  <si>
    <t>['keluhan', 'jaringannya', 'mohon', 'tingkatkan', 'abis', 'ujan', 'jaringannya', 'susah', '']</t>
  </si>
  <si>
    <t>['kuota', 'giga', 'internet']</t>
  </si>
  <si>
    <t>['bagus', 'manfaat']</t>
  </si>
  <si>
    <t>['upgrate', 'terbaru', 'dibuka', 'dicoba', 'perbaiki', 'aplikasinya', 'terima', 'kasih']</t>
  </si>
  <si>
    <t>['mohon', 'penggunaan', 'kuota', 'internet', 'diperbaiki', 'dibagian', 'penggunaan', 'utama', 'kuota', 'tanggal', 'kadaluarsa', 'kuota', 'tanggal', 'kadaluarsanya', 'dipakai', 'rugi', 'kuota', 'internetnya']</t>
  </si>
  <si>
    <t>['aplikasinya', 'bagus', 'paket', 'dirinci', 'ngasih', 'saran', 'pengen', 'gitu', 'fitur', 'proteksi', 'pulsa', 'paket', 'internet', 'habis', 'disedot', 'pulsanya', 'iyaa', 'siih', 'udah', 'dapet', 'notif', 'sms', 'nyaman', 'fitur', 'trimakasih']</t>
  </si>
  <si>
    <t>['susah', 'masuk', 'aplikasi', 'masuk', 'download', 'ulang', 'login', 'tolong', 'perbaiki']</t>
  </si>
  <si>
    <t>['', 'dibukak']</t>
  </si>
  <si>
    <t>['sinyal', 'jelek', 'banget', '']</t>
  </si>
  <si>
    <t>['bolak', 'download', 'dibuka', 'aplikasie', 'nyesel', 'gue', 'download', 'kuota', 'sampe', 'abizzzz', 'gimana', 'kebijakan', 'telkomsel', 'sengaja', 'dibikin', 'gitu', 'makan', 'kuota', 'pelanggannya', '']</t>
  </si>
  <si>
    <t>['oke', 'sip', 'mantap']</t>
  </si>
  <si>
    <t>['paket', 'datanya', 'harganya', 'sinyalnya', 'parah', '']</t>
  </si>
  <si>
    <t>['chek', 'pemakaian', 'kuota']</t>
  </si>
  <si>
    <t>['signal', 'jelek', 'banget']</t>
  </si>
  <si>
    <t>['pulsa', 'raib', 'rebu', 'woi', 'rebuu', 'raib', 'mantabbbbn', 'gila', 'disikat', 'rebuu', 'maling', 'emank', 'sengaja', 'kusisain', 'receh', 'malink', 'today', 'raib', 'jozzzzz']</t>
  </si>
  <si>
    <t>['beli', 'paket', 'internet', 'bonus', 'nelpon', 'sms', 'hilang', 'parah', 'nihh']</t>
  </si>
  <si>
    <t>['ngikuti', 'saran', 'admin', 'clear', 'cache', 'clear', 'data', 'force', 'stop', 'aplikasi', 'dipakai', 'apknya', 'putih', '']</t>
  </si>
  <si>
    <t>['jaringan', 'bagus', 'internet', 'super', 'cepat']</t>
  </si>
  <si>
    <t>['terimakasih', 'kuata', 'geratis']</t>
  </si>
  <si>
    <t>['min', 'perbaiki', 'coba', 'knp', 'udh', 'ngisi', 'pulsa', 'paketin', 'combo', 'saktii', 'ribu', 'pdhl', 'pulsa', 'udh', 'ribu', 'tolong', 'kecewa', 'mah']</t>
  </si>
  <si>
    <t>['bagus', 'beli', 'paketan', 'murah']</t>
  </si>
  <si>
    <t>['astaghfirullahalazim', 'mbak', 'telkom', 'putih', 'layarnya', 'pls', 'telkom', 'mbak', '']</t>
  </si>
  <si>
    <t>['seminggu', 'buka', 'aplikasi', 'email', 'call', 'center', 'msh', 'blom', 'solusi', 'msh', 'tetep', 'klik', 'aplikasi', 'blank', 'warna', 'putih', 'doang', 'uninstal', '']</t>
  </si>
  <si>
    <t>['habis', 'update', 'ngeblank', 'gimana', 'kebuka', 'payah', 'solusi', 'pikak', 'telkomsel', 'langganan', 'udah', 'buka', 'gini', 'tolong', 'perbaikin', 'ngeblank']</t>
  </si>
  <si>
    <t>['kembalikan', 'paket', 'ekstra', 'unlimited', '']</t>
  </si>
  <si>
    <t>['cepat', 'sasaran']</t>
  </si>
  <si>
    <t>['aplikasinya', 'white', 'screen', 'doang', 'layar', 'mati', 'hidupkan', 'tampilan', 'beranda', 'gimana', 'versi', 'kaya', 'gini', 'mah', 'ngga', 'gini', 'mah', 'naikin', 'versi', 'mending', 'versi', '']</t>
  </si>
  <si>
    <t>['', 'dbuka', 'aplikasinya', '']</t>
  </si>
  <si>
    <t>['update', 'blank', 'putih', 'minggu', 'kebuka', 'pengguna', 'telkomsel', 'kecewa', 'semoga', 'perbaiki', 'olah', 'telkomsel', '']</t>
  </si>
  <si>
    <t>['mytelkomsel', 'pas', 'dibuka', 'layar', 'putih', 'yaa', 'mohon', 'responnya', '']</t>
  </si>
  <si>
    <t>['kualitas', 'jaringan', 'harga', 'mahal', 'operator', 'indonesia', '']</t>
  </si>
  <si>
    <t>['kuota', 'unlimited', 'lelet']</t>
  </si>
  <si>
    <t>['mengecewakan', 'pelanggan', 'aplikasi', 'blank', 'dibuka', 'udah', 'dikomplain', 'kaya', 'gimana', 'perkembangannya', 'update', 'gausah', 'dikeluarin', 'jaringan', 'suka', 'ilang', 'tinggal', 'kota', 'gini', 'burik', 'jaringannya', 'kuota', 'susah', 'ngabisin', 'gara', 'susah', 'sinyal', 'beli', 'mahal', 'udah', 'layak', 'diperjuangkan', '']</t>
  </si>
  <si>
    <t>['diupdate', 'aplikasi', 'telkomsel', 'muncul']</t>
  </si>
  <si>
    <t>['ditingkatkan', 'daya', 'jaringan', 'internetnya', 'pusat', 'kota', 'sinyalnya', 'bagus', 'menang', 'kota', 'kaya', 'kabupaten', 'radius', 'kabupaten', 'paten', 'sinyalnya', 'mbul', 'jelek']</t>
  </si>
  <si>
    <t>['pakai']</t>
  </si>
  <si>
    <t>['hallo', 'mohon', 'maaf', 'aplikasi', 'buka', 'layar', 'putih', '']</t>
  </si>
  <si>
    <t>['npa', 'buka', 'aplikasi', 'tolong', 'perbaikin', 'terima', 'kasih']</t>
  </si>
  <si>
    <t>['jaringan', 'telkomsel', 'parah', 'nyesel', 'pakenya']</t>
  </si>
  <si>
    <t>['membantu', 'puas']</t>
  </si>
  <si>
    <t>['bener', 'jaringan', 'benerin', 'lemot', 'harga', 'paket', 'mahal', 'mahal', 'sesuai', 'layanan', '']</t>
  </si>
  <si>
    <t>['mudah', 'petunjuk', '']</t>
  </si>
  <si>
    <t>['aduh', 'aplikasi', 'buka', 'gimana', 'pelayanannya', 'telkomsel']</t>
  </si>
  <si>
    <t>['kecewa', 'maxstream', 'dipakai', 'mengurangi', 'kuota', 'data', 'internet', 'rugi', 'beli', 'paket', 'maxstream', 'kuota', 'internet', 'cepat', 'habis', 'email', 'solusinya', 'berguna', 'orang', 'bodoh', 'dibilang', 'aplikasi', 'maxstream', 'login', 'akun', 'didaftarkan', 'heellooooo', 'kecewa', 'berat', '']</t>
  </si>
  <si>
    <t>['sumpah', 'telkomsel', 'bermasalah', 'siang', 'sore', 'tolong', 'perbaikan', 'gini', 'gini', 'males', 'beli', 'telkomsel']</t>
  </si>
  <si>
    <t>['buka', 'warna', 'putih', 'muncul']</t>
  </si>
  <si>
    <t>['paket', 'internet', 'pulsa', 'berkurang']</t>
  </si>
  <si>
    <t>['bagus', 'banget', 'kayaknya', '']</t>
  </si>
  <si>
    <t>['kadang', 'stabil', 'jam', 'sibuk']</t>
  </si>
  <si>
    <t>['', 'telkomsel', 'mantap', 'aplikasinya', '']</t>
  </si>
  <si>
    <t>['maap', 'tpi', 'jaringan', 'sampah']</t>
  </si>
  <si>
    <t>['kasih', 'bintang', 'karna', 'tukar', 'point', 'hadiah', 'min', 'semoga', 'nomor', 'menang', 'hadiah', '']</t>
  </si>
  <si>
    <t>['astaghfirullah', 'sinyal', 'telkomsel', 'buruk', 'jaksel', '']</t>
  </si>
  <si>
    <t>['aplikasi', 'telkomsel', 'tampil', '']</t>
  </si>
  <si>
    <t>['memudahkan', 'bingung']</t>
  </si>
  <si>
    <t>['bermanfa', '']</t>
  </si>
  <si>
    <t>['rugi', 'pakai', 'aplikasi', 'buka']</t>
  </si>
  <si>
    <t>['aplikasi', 'telkomsel', 'dibuka', 'layar', 'putih', 'nge', 'blank', 'gitu', 'ngecek', 'kuota', 'sisa', 'pulsa', 'kendala', 'gue', 'bakar', '']</t>
  </si>
  <si>
    <t>['ancur', 'rusak']</t>
  </si>
  <si>
    <t>['telkomsel', 'mohon', 'diperbaiki', 'masak', 'paket', 'data']</t>
  </si>
  <si>
    <t>['knp', 'jaringan', 'turun', 'kadang', 'hadeeeeeh', 'payah']</t>
  </si>
  <si>
    <t>['kali', 'install', 'uninstall', 'ngebuka', 'muncul', 'layar', 'putih', 'mohon', 'solusinya', '']</t>
  </si>
  <si>
    <t>['komplain', 'kali', 'beli', 'kuota', 'ceria', 'kuota', 'kali', 'pulsa', 'sisa', 'beli', 'kuota', 'ambil', 'habis', 'udah', 'paketkan', 'kuotanya', 'kecewwwwwwwwa', 'ambil', 'truz', 'pulsanya', 'paket', 'kuota', 'aktip']</t>
  </si>
  <si>
    <t>['semoga', 'aplikasi', 'berguna', 'masyarakat']</t>
  </si>
  <si>
    <t>['', 'buka', 'euy', 'udh', '']</t>
  </si>
  <si>
    <t>['kuantitas', 'nomor', 'satuin', 'kualitasnya', 'sampah', '']</t>
  </si>
  <si>
    <t>['tawarkan', 'kouta', 'tukar', 'pakai', 'poin', 'pas', 'tukar', 'mencapai', 'batas', 'penukaran', 'maksimal', 'kali', 'tukar', 'poin']</t>
  </si>
  <si>
    <t>['sumpah', 'paketnya', 'paket', 'mahal']</t>
  </si>
  <si>
    <t>['hai', 'telkomsel', 'transaksi', 'melalu', 'dana', 'gagal', 'loading']</t>
  </si>
  <si>
    <t>['tolong', 'developer', 'perbaiki', 'aplikasi', 'update', 'mlh', 'buka', 'download', 'versi', 'perbaiki', 'udah', 'banget']</t>
  </si>
  <si>
    <t>['buka', 'aplikasi', 'susah', 'ngisi', 'paket']</t>
  </si>
  <si>
    <t>['signal', 'internet', 'lambat', 'tukar', 'poin', 'dpt', 'hadiah', '']</t>
  </si>
  <si>
    <t>['aplikasi', 'mytelkomsel', 'memiliki', 'fungsi', 'lengkap', 'resposif']</t>
  </si>
  <si>
    <t>['koneksi', 'internet', 'parah', 'stabil', 'delaynya', 'banget', 'karna', 'udah', 'ngeluarin', 'lemot', 'gini', 'rilis', 'lelet']</t>
  </si>
  <si>
    <t>['download', 'berkali', 'kali', 'dibuka', '']</t>
  </si>
  <si>
    <t>['aplikasi', 'screennya', 'putih', 'aplikasinya', 'bermasalah', 'rusak', 'tolong', 'perbaiki', '']</t>
  </si>
  <si>
    <t>['cepat', 'cek', 'data', 'pulsa', 'percayaaaa']</t>
  </si>
  <si>
    <t>['telokomsel', 'susah', 'akses', 'kecewa', '']</t>
  </si>
  <si>
    <t>['mengklaim', 'hadiah', 'kuata', 'mb', 'check', 'dikenakan', 'biaya', 'menukar', 'poin', 'kuata', 'dikenakan', 'biaya', '']</t>
  </si>
  <si>
    <t>['semalem', 'nunggu', 'jam', 'masuk', 'windows', 'gimana', 'cek', 'kuotanya', 'nyedotnya', 'iya', 'sesuai', 'puluhan', 'tumben', '']</t>
  </si>
  <si>
    <t>['oke', 'knp', 'telkomsel', 'orbit', 'hilangkan', 'mahal', 'dpt', 'dpt', '']</t>
  </si>
  <si>
    <t>['masuk', 'layar', 'putih']</t>
  </si>
  <si>
    <t>['mencoba', 'kasih', 'bintang']</t>
  </si>
  <si>
    <t>['aplikasinya', 'jalan', 'pas', 'dibuka', 'layar', 'putih', 'doang', 'nugguin', 'tolong', 'perbaiki', 'mengatasinya', '']</t>
  </si>
  <si>
    <t>['bagus', 'banget', 'tttttttt']</t>
  </si>
  <si>
    <t>['ngisi', 'paket', 'data', 'gbs', 'uda', 'terlanjur', 'isi', 'pulsanya']</t>
  </si>
  <si>
    <t>['beli', 'paket', 'gabgguan']</t>
  </si>
  <si>
    <t>['bagus', 'min', 'harga', 'paket', 'internet', 'lambat', 'koutanya', 'dikurangi', 'hey', 'kah', 'mengganti', 'nama', 'aplikasinya', 'mycapitalist', 'cocok', '']</t>
  </si>
  <si>
    <t>['pengguna', 'telkomsel', 'ahamdulillah', 'telkomsel', 'sinyalnya', 'kuat', 'bangga', 'terima', 'kasih', 'telkomsel']</t>
  </si>
  <si>
    <t>['pulsa', 'terpotong', 'akun', 'mengerti', 'pulsa', 'pasdi', 'cek', 'tolong', 'perbaiki', 'kasih', 'bintang']</t>
  </si>
  <si>
    <t>['mantap', 'praktis']</t>
  </si>
  <si>
    <t>['telkomsel', 'bagus', 'orang', 'kaya', 'kesedot', 'pulsanya', 'tpi', 'ngeselin', 'njir']</t>
  </si>
  <si>
    <t>['ganti', 'smartfreen', 'harga', 'udah', 'mahal', 'sinyal', 'sebanding', '']</t>
  </si>
  <si>
    <t>['komplen', 'isi', 'pulsa', 'kesedot', 'trs', 'knp', 'trs', 'tukar', 'poin', 'telkomsel', 'dapet', 'gb', 'suami', 'dapet', 'gb', 'gmna', 'beda', 'gini']</t>
  </si>
  <si>
    <t>['minggu', 'app', 'dibuka', 'diperbaiki', 'mempertahankan', 'bintang']</t>
  </si>
  <si>
    <t>['kaq', 'knp', 'buka', 'apk', 'telkomsel', 'uda', 'download', 'hapus', 'ulang', 'ttp', 'buka', 'gambar', 'putih', 'polos', 'layar', 'pdahal', 'sbllm', '']</t>
  </si>
  <si>
    <t>['kecewa', 'trauma', 'membeli', 'paket', 'via', 'aplikasi', 'mytelkomsel', 'pengeluhan', 'customer', 'service', 'respon', 'lambat', 'saldo', 'ovo', 'terpotong', 'kuota', 'masuk', 'notifikasi', 'pembelian', 'berhasil']</t>
  </si>
  <si>
    <t>['ganti', 'provider', 'fixxx', 'puluhan', 'telkomsel', 'kesini', 'parah', 'android', 'lemottt', 'data', 'telkomsel', 'maen', 'game', 'sosmed', 'buka', 'telkomsel', 'lemot', 'gunanya', 'kolom', 'komentar', 'hubungi', 'twitter', 'dll', 'deh', 'baca', 'komentar', 'keluhan', 'hasil', 'nol', 'bye', 'telkomsel', '']</t>
  </si>
  <si>
    <t>['jaringan', 'jelek', 'banget', 'sebanding', 'harganya']</t>
  </si>
  <si>
    <t>['tolong', 'perbaiki', 'jaringanm', 'gangguan', 'ganti', 'paket', 'internet', 'iini', 'namanya', '']</t>
  </si>
  <si>
    <t>['oke', 'informasi', 'promo']</t>
  </si>
  <si>
    <t>['banyakin', 'lgi', 'promonya']</t>
  </si>
  <si>
    <t>['fitur', 'matiin', 'data', 'kek', 'kuota', 'habis', 'nyedot', 'pulsa', 'untung', 'berkah', 'nyedot', 'pulsa', 'mulu', '']</t>
  </si>
  <si>
    <t>['mantap', 'diubah', 'ubah', 'adm']</t>
  </si>
  <si>
    <t>['thn', 'kartu', 'puas']</t>
  </si>
  <si>
    <t>['telkomsel', 'dibuka']</t>
  </si>
  <si>
    <t>['pikir', 'sya', 'sndiri', 'ato', 'blank', 'bnyak', 'bkin', 'pngembangan', 'mlah', 'jdi', 'jlas', 'hbis', 'update', 'apl', 'auto', 'dipake', 'lgi', 'bner', 'mesti', 'kmbali', 'lgi', 'kjaman', 'sblm', 'intrnet', 'sdah', 'bbrapa', 'kali', 'bntuan', 'sruh', 'hpus', 'dta', 'hpus', 'psang', 'ulang', 'tpi', 'ttep', 'kcewa', 'bnerr', 'pdhal', 'udah', 'dri', 'telokomsel', 'smga', 'sgera', 'dtangani', '']</t>
  </si>
  <si>
    <t>['wadduh', 'nich', 'applikasinya', 'abis', 'update', 'putih', 'layarnya', '']</t>
  </si>
  <si>
    <t>['tolong', 'apk', 'telkomsel', 'kasih', 'fitur', 'log', 'pulsa', 'pulsa', 'kepake', 'pas', 'kuota', 'habis', 'suka', 'khilap', 'paket', 'udah', 'habis', 'pelajar', 'anak', 'kos', 'kosan', 'beli', 'pulsa', 'mahal', 'maaf', 'curhat', 'serius', 'pimpinan', 'telkomsel', 'tolong', 'pakein', 'fitur', 'log']</t>
  </si>
  <si>
    <t>['apk', 'bsa', 'buka']</t>
  </si>
  <si>
    <t>['error', 'malesin', 'buka', 'aplikasi', 'maketin', 'sll', 'error']</t>
  </si>
  <si>
    <t>['sinyal', 'diseluruh', 'wilayah']</t>
  </si>
  <si>
    <t>['penggunaan', 'dlm', 'transaksi']</t>
  </si>
  <si>
    <t>['aplikasi', 'bagus', 'instal', 'ulang', 'ngk', 'buka', 'aplikasi']</t>
  </si>
  <si>
    <t>['jaringan', 'telkomsel', 'kayaa', 'kura', 'kura', 'lemot', 'banget', 'paket', 'mahal', 'kualitasnya', 'down', 'telkomsel', 'payah']</t>
  </si>
  <si>
    <t>['sinyal', 'internet', 'desa', 'muncanglarang', 'bumijawa', 'kab', 'tegel', 'buruk', 'perbaiki', '']</t>
  </si>
  <si>
    <t>['garingan', 'kuat']</t>
  </si>
  <si>
    <t>['diperbarui', 'dibuka', '']</t>
  </si>
  <si>
    <t>['kartu', 'telkomsel', 'isi', 'pulsa', 'kepotong', 'paket', 'darurat', 'udh', 'bayar', 'aktif', 'meminjam', 'tunggakan', 'hijrah', 'kartu', 'udh', 'rugi', 'dlu', 'perubahan', 'slalu', 'gini', '']</t>
  </si>
  <si>
    <t>['aplikasinya', 'dibuka', 'bagus']</t>
  </si>
  <si>
    <t>['beli', 'paket', 'aplikasi', 'dibuka', 'udah', 'uninstall', 'trus', 'install', 'tetep']</t>
  </si>
  <si>
    <t>['loading', 'apl']</t>
  </si>
  <si>
    <t>['parah', 'sinyal', 'gue', 'pascabayar', 'rutin', 'bayar', 'jaringan', 'jelek', 'kaya', 'gini', 'peka', 'telkomsel', '']</t>
  </si>
  <si>
    <t>['mudah', 'melakukakan', 'transaksi', 'pembelian', 'paket', '']</t>
  </si>
  <si>
    <t>['sakit', 'kepala', 'telkomsel', 'update', 'buka', 'nggak', 'gambar', 'polosan', 'doang', 'tungguin', 'tetep', 'polos', 'lelet', 'nggak', 'ketolongan', 'haadeeeh', '']</t>
  </si>
  <si>
    <t>['aplikasi', 'bermanfaat', 'pengguna', 'kartu', 'telkomsel', 'terimakasih', 'telkomsel']</t>
  </si>
  <si>
    <t>['telkomsel', 'jelek', 'ditempatku', 'aplikasi', 'telkomsel', 'blank', 'putih']</t>
  </si>
  <si>
    <t>['apk', 'mytelkomsel', 'dibuka', 'layar', 'cuman', 'putih', 'kehalaman', 'solusinya', 'boz']</t>
  </si>
  <si>
    <t>['telkomsel', 'lemah', 'lesu', 'sinyalnya', 'kartu', 'udah', 'upgrade', 'nunggu', 'keceng', 'lari', 'pertahanannya', '']</t>
  </si>
  <si>
    <t>['healah', 'isi', 'ulang', 'pulsa', 'muter', 'kemana', 'suruh', 'pencet', 'pencet', 'sampe', 'layar', 'teken', 'tolong', 'update', 'bner', 'update', 'tampilan', 'tampilan', 'mah', 'kemudahannya']</t>
  </si>
  <si>
    <t>['membantu', 'bnget', 'jariangan', 'kuat', 'kenceng', 'bnget', 'bnyk', 'bonus', 'ngisi', 'plsa', 'dpet', 'ngisi', 'paket', 'data', 'dapet', 'bonus', 'pko', 'bnyk', 'bonus', 'nyesel', 'pke', 'provider', 'telkomsel', 'dapet', 'pket', 'plsa', 'darurat', 'byar', 'pelyanan', 'lengkap', 'bnget', 'pko', 'top', 'deh', 'telkomsel', 'zaman', 'dlu', 'ampe', 'skrng', 'emang', 'bgus', 'bnget', 'puas', 'sma', 'tlkomsel']</t>
  </si>
  <si>
    <t>['tolong', 'aplikasinya', 'msih', 'blank', 'tolong', 'perbaiki']</t>
  </si>
  <si>
    <t>['aplikasi', 'rusak']</t>
  </si>
  <si>
    <t>['', 'telkomsel', 'nemudahkan', 'bisnis', 'pulsa', 'isi', 'pulsa', 'pokoknya', 'oke', '']</t>
  </si>
  <si>
    <t>['waduuhh', 'kapitalis', 'banget', '']</t>
  </si>
  <si>
    <t>['install', 'kecewa', 'udah', 'uninstall', 'aplikasi']</t>
  </si>
  <si>
    <t>['jaringan', 'buknya', 'mkin', 'bagus', 'skarang', 'tmbah', 'hancur']</t>
  </si>
  <si>
    <t>['app', 'membantu', 'semoga', 'perbanyak', 'hadiah', 'permurah', 'potongan', 'harga', 'paket']</t>
  </si>
  <si>
    <t>['bintang', 'tingkatkan', 'jaringan', 'jaringan', 'lemot', 'kadang', 'tetiba', 'ilang']</t>
  </si>
  <si>
    <t>['dikit', 'dikit', 'ngelag', 'bar', 'penuh', 'telkomsel', 'mahal', 'paket', 'kesal', 'sumpah']</t>
  </si>
  <si>
    <t>['paketan', 'diturunin', 'harganya', '']</t>
  </si>
  <si>
    <t>['mencari', 'kebutuhan', 'isi', 'vocer', 'pembelian', 'telkomsel']</t>
  </si>
  <si>
    <t>['membatu', 'murah', 'harga', 'kuota', 'tingkat', 'isi', 'kuota']</t>
  </si>
  <si>
    <t>['aplikasi', 'may', 'telkomsel', 'buka', 'layarnya', 'putih', 'perbaiki', 'suruh', 'email', 'kirim', 'email', 'respon', 'gimana', 'tlng', 'perbaiki', 'pelanggannya', 'puas', '']</t>
  </si>
  <si>
    <t>['apk', 'gabisa', 'dibukaaaa', 'siiiiiiii']</t>
  </si>
  <si>
    <t>['haloo', 'udah', 'berkali', 'udah', 'coba', 'masuk', 'cuman', 'gabisaa', 'gimana', 'log', 'beli', 'pulsa', 'sekolah', 'online', 'reinstall', 'uninstall', 'gabisa', 'tolong', 'perbaiki', 'kumohon', '']</t>
  </si>
  <si>
    <t>['mantap', 'jaringanya']</t>
  </si>
  <si>
    <t>['buka', 'telkomsel', 'klik', 'buka', 'aplikasi', 'slalu', 'layar', 'blank', 'knp', 'masuk', 'why', '']</t>
  </si>
  <si>
    <t>['mantap', 'kali', 'aplikasi']</t>
  </si>
  <si>
    <t>['paket', 'ngisi', 'naikin', 'harganya', 'konsisten', 'eneg', '']</t>
  </si>
  <si>
    <t>['buka', 'aplikasi', 'telkomsel', 'mohon', 'bantuannya']</t>
  </si>
  <si>
    <t>['appnya', 'dibuka', 'desember']</t>
  </si>
  <si>
    <t>['semangat', 'sampe', 'bintang', '']</t>
  </si>
  <si>
    <t>['', 'dihapus', 'bae', 'ratingnya', 'dibuka', 'ngeblank', 'putih', 'layarnya', 'solusi', 'uninstal', '']</t>
  </si>
  <si>
    <t>['buset', 'udh', 'instal', 'ulang', 'apk', 'tetep', 'kebuka', 'cuman', 'blank', 'putih', 'emang', 'systemmu', 'makan', 'memory', 'ram', 'heran', 'apk', 'sampe', 'mb', 'lemot', 'apk', 'game', 'sampe', 'gb', '']</t>
  </si>
  <si>
    <t>['rusak', 'putih', 'blak']</t>
  </si>
  <si>
    <t>['membatu', 'pembelian', 'paket', 'data']</t>
  </si>
  <si>
    <t>['jaringan', 'terbaik', 'indonesia', 'tersebar', 'keseluruh', 'penjuru', 'jaringan', 'hilang', 'hilang', 'lalot', 'jaringan', 'terbaik', 'beli', 'data', 'udah', 'mahal', 'mahal', 'jaringan', 'lalot']</t>
  </si>
  <si>
    <t>['program', 'promo', 'paket', 'internet', 'murah', 'pindah', 'hati']</t>
  </si>
  <si>
    <t>['', 'bintang', 'promo', 'bintang', '']</t>
  </si>
  <si>
    <t>['perbaharui', 'aplikasinya', 'nga', 'masuk', 'siih', 'kemarin', 'aneeeh', '']</t>
  </si>
  <si>
    <t>['tolong', 'perbaiki', 'aplikasi']</t>
  </si>
  <si>
    <t>['halo', 'telkomsel', 'minggu', 'buka', 'aplikasi', 'telkomsel', 'terinstal', 'diupdate', 'dibuka', 'kecewa', 'pengisian', 'data', 'telkomsel']</t>
  </si>
  <si>
    <t>['', 'harganya', '']</t>
  </si>
  <si>
    <t>['kebuka', 'udah', 'bln', 'cek', 'kuota', 'ribet', 'banget']</t>
  </si>
  <si>
    <t>['pembaruan', 'play', 'store', 'apk', 'tsel', 'dibuka', 'tampilan', 'layar', 'putih', 'coba', 'hubungi', 'hasilnya', 'nihil', 'uninstall', 'fyi', 'handphone', 'pakai', 'samsung', 'hpku', 'jadul', 'apk', 'trouble', '']</t>
  </si>
  <si>
    <t>['layanan', 'memuaskan', 'salam', 'negeri', '']</t>
  </si>
  <si>
    <t>['putih', 'aplikasinya', 'bsa', 'trbuka', 'astaga', 'knp', 'bsa', 'bgni']</t>
  </si>
  <si>
    <t>['kuota', 'mahal', 'banding', 'provider']</t>
  </si>
  <si>
    <t>['bsa', 'buka', 'apk', 'apdatte', 'tolong', 'min', 'pengguna', 'setia', 'telkomsel', 'bli', 'paket', 'sllu', 'telkomsel', '']</t>
  </si>
  <si>
    <t>['membantu', 'kembangkan', 'daerah', 'blm', 'terjangkau', 'sinyal', 'telkomsl']</t>
  </si>
  <si>
    <t>['dpet', 'diskon']</t>
  </si>
  <si>
    <t>['alhamdulillah', 'layanan']</t>
  </si>
  <si>
    <t>['orang', 'lansia', 'ribet']</t>
  </si>
  <si>
    <t>['keren', 'abis', 'pokoknya', '']</t>
  </si>
  <si>
    <t>['telkomsel', 'ngga', 'kebuka', '']</t>
  </si>
  <si>
    <t>['kuota', 'lihat', 'youtube', 'tiktok', 'muter', 'mulu', 'tolong', 'perbaiki', 'sinyalnya']</t>
  </si>
  <si>
    <t>['membantu', 'mytelkomsel', 'bgus', 'bngettt']</t>
  </si>
  <si>
    <t>['harga', 'paketnya', 'turunin']</t>
  </si>
  <si>
    <t>['telkomsel', 'tarifnya', 'mahal', 'sihhh', 'diturunin', 'tarifnya', '']</t>
  </si>
  <si>
    <t>['provider', 'terburuk', 'dunia', 'paketan', 'mahal', 'tpi', 'jaringanx', 'lemot', 'kayak', 'sinyal', 'edge', 'menyesal', 'pakai', 'telkomsel', 'promox', 'anti', 'lemot', 'dewa', 'lemot', '']</t>
  </si>
  <si>
    <t>['parah', 'kuota', 'abis', 'nyedot', 'pulsa', 'males', '']</t>
  </si>
  <si>
    <t>['woyy', 'telkomsel', 'perbaiki', 'jaringannya', 'udah', 'mahal', 'lemot']</t>
  </si>
  <si>
    <t>['parah', 'bru', 'download', 'dibuka', 'maap', 'uninstall']</t>
  </si>
  <si>
    <t>['mudah', 'cek', 'data', 'pembelian', 'paket', 'inet', 'murah']</t>
  </si>
  <si>
    <t>['aplikasi', 'gausah', 'download', 'white', 'blank', 'udah', 'seminggu', 'gaada', 'perbaikan', 'beli', 'kuota', 'susah', 'ngecek', 'kuota', 'aktif', 'dipersulit', 'pindah', 'provider', '']</t>
  </si>
  <si>
    <t>['senang', 'mnggunakan', 'aplikasi', 'memudahkan', 'tarif', 'pembelian', 'data', 'diturunkan', 'mahal', '']</t>
  </si>
  <si>
    <t>['perbanyak', 'kuota', 'harga', 'promo', 'murah', 'meriah']</t>
  </si>
  <si>
    <t>['tetaplah', 'terbaik']</t>
  </si>
  <si>
    <t>['memberitau', 'akun']</t>
  </si>
  <si>
    <t>['memudahkan', 'pekerjaan']</t>
  </si>
  <si>
    <t>['aplikasi', 'perbarui', 'diakses', 'tolong', 'diperbaiki', 'minggu', 'gabisa', 'liat', 'kuota', '']</t>
  </si>
  <si>
    <t>['memakai', 'aplikasi']</t>
  </si>
  <si>
    <t>['skrg', 'aplikasi', 'telkomsel', 'sulit', 'buka', '']</t>
  </si>
  <si>
    <t>['aplikasi', 'merugikan', 'konsumen', '']</t>
  </si>
  <si>
    <t>['mempermudah', 'aplikasi', 'terimakasih', 'telkomsel', 'tingkat', 'yaa', 'diskon', 'harga', 'paket', 'internet', 'yaak']</t>
  </si>
  <si>
    <t>['seminggu', 'aplikasi', 'telkomsel', 'dibuka', 'layar', 'putih', 'muncul', 'update', 'uninstall', 'instal']</t>
  </si>
  <si>
    <t>['aplikasih', 'buka', 'sudh', 'update', 'buka', 'uninstal', 'download', 'parah', '']</t>
  </si>
  <si>
    <t>['nggak', 'dibuka', 'udah', 'didownlod', '']</t>
  </si>
  <si>
    <t>['maaf', 'min', 'pulsa', 'pas', 'isi', 'sedot', 'tolong', 'bantu']</t>
  </si>
  <si>
    <t>['bagus', 'lupa', 'undi', 'hadiah', 'poin', '']</t>
  </si>
  <si>
    <t>['keren', 'membantu', 'pelanggan']</t>
  </si>
  <si>
    <t>['beli', 'pulsa', 'masuk', 'pulsanya', 'tuyul', 'telkomsel', '']</t>
  </si>
  <si>
    <t>['', 'telkomsel', 'mati', 'kualitas', 'menurun']</t>
  </si>
  <si>
    <t>['penurunan', 'kualitas', 'sinyal', 'nahi', 'sel']</t>
  </si>
  <si>
    <t>['aplikasinya', 'bad', 'komplein', 'dimari', 'disuruh', 'aplikasi', 'gmn', 'ceritanya', 'komplein', 'aplikasi', 'aplikasinya', 'ngebleng', 'buka', '']</t>
  </si>
  <si>
    <t>['', 'perkuat', 'jaringan', 'lampung', 'timur', 'marga']</t>
  </si>
  <si>
    <t>['kali', 'berkomentar']</t>
  </si>
  <si>
    <t>['update', 'aplikasi', 'dibuka', 'jaringan', 'internet', 'wilayah', 'lambat']</t>
  </si>
  <si>
    <t>['didownload', 'aplikasi', 'error', '']</t>
  </si>
  <si>
    <t>['mantap', 'telkomsel', '']</t>
  </si>
  <si>
    <t>['kuota', 'susah', 'loading', 'game', 'jaringannya', 'bagus', 'gimana', 'telkomsel', 'trus', 'pas', 'dibuka', 'blank', 'putih', 'mulu', 'udah', 'menit', 'loading', 'kaya', 'gini', '']</t>
  </si>
  <si>
    <t>['bagus', 'lancar']</t>
  </si>
  <si>
    <t>['puas', 'karna', 'jaringan']</t>
  </si>
  <si>
    <t>['jelek', 'banget', 'kaya', 'pas', 'diklik', 'lgsg', 'terbuka', 'udh', 'ditunggu', 'berkali', 'putih', 'layarnya', 'udh', 'update', 'telkomsel', 'skrg', 'sebagus']</t>
  </si>
  <si>
    <t>['aplikasi', 'dibuka', 'warna', 'putih', 'uninstall', 'berkali', 'kali', '']</t>
  </si>
  <si>
    <t>['berguna']</t>
  </si>
  <si>
    <t>['buka', 'aplikasi', 'aneh', 'telkomsel']</t>
  </si>
  <si>
    <t>['buka', 'aplikasinya', 'suka', 'banget', 'telkomsel', 'buka', 'buka', '']</t>
  </si>
  <si>
    <t>['knp', 'pas', 'buka', 'telkomsel', 'blank', 'putih', 'truss', 'kek', 'hrs', 'ganti', 'kentang', 'ksh', 'bintang', '']</t>
  </si>
  <si>
    <t>['hemat', 'bagus']</t>
  </si>
  <si>
    <t>['download', 'dibuka', 'layar', 'putih', 'tampilannya']</t>
  </si>
  <si>
    <t>['daily', 'cekin', 'penuh', 'program', 'ngulang']</t>
  </si>
  <si>
    <t>['mendaftar', 'nomer', 'mesti', 'tulisan', 'nomor', 'silahkan', 'masuk', 'mohon', 'perbaikan', 'pengen', 'mendaftar', 'nomer']</t>
  </si>
  <si>
    <t>['diharapkan', 'telkomsel', 'membuka', 'pelayanan', 'migrasi', 'kartu', 'pasca', 'bayar', 'kartu', 'prabayar', 'migrasi', 'kartu', 'telkomsel', 'kartu', 'halo', 'sales', 'memberitahu', 'kartu', 'halo', 'lakukan', 'migrasi', 'prabayar', 'telkomsel', 'bijak', 'pelanggan', 'nyaman']</t>
  </si>
  <si>
    <t>['sya', 'kasih', 'bintang', 'ngabisin', 'duit', 'plus', 'internetnya', 'jelek', 'tolong', 'diperbaiki', 'terima', 'kasih', '']</t>
  </si>
  <si>
    <t>['telkomsel', 'semalem', 'sinyal', 'lemot', 'banget', 'gapernah', 'pernahnya', 'gangguan', 'tolong', 'diperbaiki', '']</t>
  </si>
  <si>
    <t>['telkomsel', 'lancar', 'jaya', '']</t>
  </si>
  <si>
    <t>['habis', 'upgrade', 'aplikasinya', 'ngga', 'bsa', 'buka', 'bngke', 'bnr', '']</t>
  </si>
  <si>
    <t>['gagal', 'login', 'nggak', 'udah', 'hapus', 'cache', 'tetep', 'diupdate', 'mulu', 'iya', 'diupdate', 'aplikasinya', 'mah', 'veronika', 'nggak', 'berguna', 'chatnya', 'dibalas', 'template', 'mulu', '']</t>
  </si>
  <si>
    <t>['knpa', 'tukar', 'poin']</t>
  </si>
  <si>
    <t>['mudah', 'pahami']</t>
  </si>
  <si>
    <t>['udh', 'bbrpa', 'stiap', 'buka', 'muncul', 'layar', 'putih', 'beli', 'paket', 'susah', 'bngt', 'brpa', 'bgini', '']</t>
  </si>
  <si>
    <t>['parian', 'combo', 'byk']</t>
  </si>
  <si>
    <t>['coba', 'lumayanlah', 'bagus', 'ditingkatkan', 'apk', 'layanan']</t>
  </si>
  <si>
    <t>['tingkatkan', 'tuk', 'wilayah', 'tasik', 'malaya']</t>
  </si>
  <si>
    <t>['happy']</t>
  </si>
  <si>
    <t>['berjalan']</t>
  </si>
  <si>
    <t>['pulsa', 'kepotong', 'abis', 'pakai', 'wifi', 'tolong', 'adain', 'fitur', 'kunci', 'pulsa', 'min', 'pulsa', 'ngilang', 'kalah', 'sebelah', 'apps', 'udah', 'lock', 'pulsa', 'was', 'pulsa', 'ngilang', '']</t>
  </si>
  <si>
    <t>['simpel', 'mudah']</t>
  </si>
  <si>
    <t>['nyesel', 'beli', 'paket', 'internet', 'malam', 'saldo', 'udah', 'kepotong', 'transaksi', 'udah', 'sukses', 'tertera', 'paket', 'internetnya']</t>
  </si>
  <si>
    <t>['mantap', 'hemat', 'beli', 'data']</t>
  </si>
  <si>
    <t>['beli', 'paket', 'data', 'kuota', 'masuk', 'uang', 'berkurang', 'komplain', 'ribet', 'mengembalikan', 'uang']</t>
  </si>
  <si>
    <t>['cepat', 'nyaman']</t>
  </si>
  <si>
    <t>['telkomsel', 'membantu', 'menyelesaikan', 'pekerjaan', 'online', 'sinyal', 'kuat', '']</t>
  </si>
  <si>
    <t>['bagus', 'mempermudah', 'kelola', 'pembelian', 'penggunaan', 'pulsa', 'data']</t>
  </si>
  <si>
    <t>['tolong', 'telkomsel', 'diperbaiki', 'kualitas', 'jaringannya', 'bandrol', 'harga', 'mahal', 'internetnya', 'lemot', 'banget', 'beralih', 'operator']</t>
  </si>
  <si>
    <t>['apdate', 'kebuka']</t>
  </si>
  <si>
    <t>['diakses']</t>
  </si>
  <si>
    <t>['menyenangkan', 'memakai', 'aplikasi', 'telkomsel']</t>
  </si>
  <si>
    <t>['sinyal', 'ngirit']</t>
  </si>
  <si>
    <t>['udah', 'update', 'bagus', 'aplikasi', 'makasih', 'telkomsel', 'udah', 'ngasih', 'kuota', 'harga', 'murah', '']</t>
  </si>
  <si>
    <t>['berlangganan', 'telkomsel', 'udah', 'bertaun', 'taun', 'telkomsel', '']</t>
  </si>
  <si>
    <t>['', 'telkomsel', 'turunin', 'bintang', 'aplikasi', 'dibuka', 'reinstal', 'diselesaikan', 'buka', 'blank', 'putih', 'gmn', '']</t>
  </si>
  <si>
    <t>['aplikasi', 'telkomsel', 'membantu', 'kadang', 'berat', '']</t>
  </si>
  <si>
    <t>['jaringan', 'jelek', 'tolong', 'diperbaiki']</t>
  </si>
  <si>
    <t>['kecewa', 'sistem', 'pelayanan', 'pembayaran', 'paket', 'data', 'rp', 'pembayaran', 'gopay', 'berhasil', 'paket', 'data', 'masuk', 'siang', 'min', 'pembayaran', 'paket', 'data', 'gb', 'rp', 'gopay', 'nama', 'muliono', 'saldo', 'gopay', 'terpotong', 'pket', 'data', 'msih', 'msuk', 'kemarin', 'proses', 'mnunggu', 'tlp', 'whasap', 'respon', 'gitu', 'mulu', 'sya', 'rugi', 'uang', 'lainya', 'apk', 'buruk', 'sistemnya', 'parah']</t>
  </si>
  <si>
    <t>['buka', 'aplikasinya', 'restart', 'trus', 'unistal', 'habis', 'instal', 'ulang', 'nge', 'blank', 'putih', 'udh', 'tungguin', 'jam', 'ttp', 'blank', 'putih', 'mohon', 'infonya', '']</t>
  </si>
  <si>
    <t>['mempermudah', 'pengisian', 'paket', 'pulsa']</t>
  </si>
  <si>
    <t>['barusan', 'update', 'buka', 'tampilan', 'layar', 'putih', 'coba', 'uninstal', 'instal', 'tolong', 'diperbaiki', 'thx']</t>
  </si>
  <si>
    <t>['langsung', 'kluar']</t>
  </si>
  <si>
    <t>['jaringan', 'lambat']</t>
  </si>
  <si>
    <t>['beli', 'pulsa', 'paketn', 'jdi', 'lbih', 'mudah', '']</t>
  </si>
  <si>
    <t>['manfaat', 'love', 'you']</t>
  </si>
  <si>
    <t>['skr', 'buka', 'aplikasi', 'telkomsel', 'byk', 'promo', 'quota']</t>
  </si>
  <si>
    <t>['nga', 'dibuka', 'aplikasinya', 'seminggu', 'signal', 'hilang', 'berat', 'kondisinya', 'ngasih', 'bintang']</t>
  </si>
  <si>
    <t>['bakus', 'sagat', 'membantu']</t>
  </si>
  <si>
    <t>['udah', 'terahir', 'telkomsel', 'dibuka', '']</t>
  </si>
  <si>
    <t>['cepat', 'internetnya', '']</t>
  </si>
  <si>
    <t>['habis', 'perbarui', 'jdi', 'masuk', 'aplikasinya', 'pdahal', 'ngecek', 'kuota']</t>
  </si>
  <si>
    <t>['aplikasi', 'bukanya', 'mempermudah', 'mempersulit', 'pas', 'abis', 'update', 'layarnya', 'jdi', 'putih', 'buka', 'aplikasinya', 'android', 'apasih', 'maunya', '']</t>
  </si>
  <si>
    <t>['buka', 'aplikasinya', 'putihhhh', '']</t>
  </si>
  <si>
    <t>['login', 'telkomsel', 'malas', 'mengunakan', 'app', 'telkomsel']</t>
  </si>
  <si>
    <t>['telkomsel', 'kebuka', '']</t>
  </si>
  <si>
    <t>['aplikasinya', 'udh', 'telkomsel', 'layar', 'putih', 'doank', 'udh', 'diupdate', 'instal', 'ulang', 'ttp', 'gini', 'mengecewakan', 'nie', 'butuh', 'dipake', '']</t>
  </si>
  <si>
    <t>['aplikasi', 'dibuka', 'transaksi']</t>
  </si>
  <si>
    <t>['tolong', 'donk', 'telkomsel', 'udah', 'harian', 'buka', 'muncul', 'layar', 'putih', 'udah', 'uninstal', 'tetep', 'layar', 'putih', 'muncul', 'mohon', 'bantuan', '']</t>
  </si>
  <si>
    <t>['plosok', 'negeri', 'matamu', 'sinyal']</t>
  </si>
  <si>
    <t>['hidup', 'menyenangkan', 'telkomsel']</t>
  </si>
  <si>
    <t>['memudahkan', 'mengakses', 'informasi', 'apapun', 'tntg', 'dunia', 'telkomsel']</t>
  </si>
  <si>
    <t>['telkomsel', 'buka', 'banget', 'udah', 'beli', 'pulsa', 'paket', 'internet', 'telkomsel', 'buka', 'tolong', 'kualitas', 'ditingkatkan', '']</t>
  </si>
  <si>
    <t>['pusat', 'layarnya', 'putih', 'tolong', 'dicek', 'compatible', 'aplikasi', 'jenis', 'android', 'pengecekan', 'transaksi', 'mytelkomsel', '']</t>
  </si>
  <si>
    <t>['aplikasi', 'gqk', 'buka', 'buka', 'blank', 'putih', 'uda', 'coba', 'hapus', 'instal', 'blank', 'putih', 'buka', 'telpon', 'solusi']</t>
  </si>
  <si>
    <t>['aplikasi', 'telkomsel', 'update', 'dibuka', 'tujuan', 'pakai', 'aplikasi', 'memudahkan', 'menyusahkan', '']</t>
  </si>
  <si>
    <t>['bagus', 'paket', 'unlimited', 'buka', 'instagram', 'min', '']</t>
  </si>
  <si>
    <t>['telkomsel', 'tolong', 'kembalikan', 'pulsa', 'rb', 'potong', 'pagi', 'jam', 'paket', 'mb', 'bener', 'kecewa', '']</t>
  </si>
  <si>
    <t>['boss']</t>
  </si>
  <si>
    <t>['', 'aplikasi']</t>
  </si>
  <si>
    <t>['jaringan', 'anciuur', 'buka', 'lemot', 'ampunnnnnnn', 'ampun']</t>
  </si>
  <si>
    <t>['', 'telkomsel', 'banget', 'sayang', 'promo', 'paket', 'app', '']</t>
  </si>
  <si>
    <t>['tolong', 'kasih', 'menang', 'hadian', 'telkomsel', 'poin', 'yamaha', 'nmax', '']</t>
  </si>
  <si>
    <t>['telkomsel', 'mantab', 'akses']</t>
  </si>
  <si>
    <t>['pajangan', 'tipuan', 'menipu', 'iklan', 'pulsa', 'gratis', 'penukaran', 'poin', 'hadiah', 'unik', 'engisian', 'pulsa', 'sistem', 'sibuk', 'pokonya', 'memuaskan', 'pengecekan', 'pulsa', 'penipuan', 'publik', '']</t>
  </si>
  <si>
    <t>['harga', 'paket', 'layanan', 'memuas', 'tolong', 'donk', 'layanan', 'nomor', 'satukan', '']</t>
  </si>
  <si>
    <t>['beli', 'pulsa', 'kesedot', 'trus', 'pulsa']</t>
  </si>
  <si>
    <t>['ribet', '']</t>
  </si>
  <si>
    <t>['appl', 'bsa', 'dibuka', '']</t>
  </si>
  <si>
    <t>['online', 'telpon', 'dlm', 'relatif', 'koneksi', 'putus', 'kuota', 'msh', 'mencukupi']</t>
  </si>
  <si>
    <t>['apknya', 'membantu', 'kehabisan', 'paket', 'pas', 'malam']</t>
  </si>
  <si>
    <t>['jelek', 'aplikasinya', 'blank', 'warna', 'pitih', 'layar', '']</t>
  </si>
  <si>
    <t>['aplikasinya', 'dibuka', 'blank', 'putih', 'mengecewakan', '']</t>
  </si>
  <si>
    <t>['aplikasi', 'buka', 'warna', 'putih', 'polos', 'payah', 'telkomsel', 'liat']</t>
  </si>
  <si>
    <t>['sampe', 'gini', 'ari', 'nukerin', 'poin', 'dpt', 'hadiah', 'coba', '']</t>
  </si>
  <si>
    <t>['kartu', 'simpati', 'mudah', 'mudahan', 'telkomsel', 'maju', 'inofativ', 'telkomsel', 'kayak', 'jaman', 'nelpon', 'rupiah', 'terima', 'kasih', 'telkomsel', 'puluhan', '']</t>
  </si>
  <si>
    <t>['kesini', 'gada', 'signal', 'aplikasi', 'gabisa', 'dibuka']</t>
  </si>
  <si>
    <t>['pulsa', 'hilang', 'ribu', 'udah', 'chat', 'twitter', 'suruh', 'nunggu', 'sinyalnya', 'ilang', 'ngak', 'tolong', 'balikin', 'pulsa', 'chat', 'ngak', 'bales', 'emosi', 'kecewa', 'kuota', 'mahal', 'gara', 'beli', 'paket']</t>
  </si>
  <si>
    <t>['permbaruan', 'aplikasi', 'bagus', 'buruk']</t>
  </si>
  <si>
    <t>['oke', 'telkomsel', 'mantap']</t>
  </si>
  <si>
    <t>['paket', 'twiter', 'tetep', 'pket', 'nasional', 'ambil', 'aneh']</t>
  </si>
  <si>
    <t>['mohon', 'kerja', 'kak', 'lokal', 'purwakarta', '']</t>
  </si>
  <si>
    <t>['kecewa', 'knapa', 'nomor', 'login', 'aplikasi', 'mytelkomsel', '']</t>
  </si>
  <si>
    <t>['sinyal', 'kadang', 'lelet', 'knp', 'promo', 'kejutan', 'poin', 'beda', 'gb', 'gb', 'gb', 'namanya', 'kejutan', 'poin', 'ngeprank', 'poin', '']</t>
  </si>
  <si>
    <t>['awas', 'retingnya', 'turun', 'butuh', 'aplikasi', 'mohon', 'perbaiki', 'bilas', 'upgred', 'donn', 'kaya', 'versi', 'upgrete', 'baek', '']</t>
  </si>
  <si>
    <t>['mantap', 'semoga', 'lancar', 'terooss']</t>
  </si>
  <si>
    <t>['aplikasi', 'buka', 'layar', 'putiih', 'tolol', 'aplikasi']</t>
  </si>
  <si>
    <t>['', 'telkomsel', 'manfaat', 'aplikasi', 'telkomsel', 'byk', 'informasi', 'paket', 'pulsa', 'sgt', 'menyenangkan', 'aplikasi']</t>
  </si>
  <si>
    <t>['harga', 'paket', 'bonus', 'sekedar', 'bonus', 'mending', 'tetep', 'segitu', 'harga', 'mustahil', 'turun', 'harga', 'paket', '']</t>
  </si>
  <si>
    <t>['fyi', 'downgrage', 'aplikasi', 'mytelkomselnya', 'versi', 'terbaru', 'coba', 'cari', 'versi', 'keluhan', 'aplikasi', 'blank', 'putih', 'white', 'screen', 'versi', 'tempatku', 'coba', 'semoga', 'membantu', 'tks']</t>
  </si>
  <si>
    <t>['aduh', 'layanan', 'super', 'buruk', 'pulsa', 'hilang', 'unreg', 'aplikasinya', 'sungguh', 'mengecewakan']</t>
  </si>
  <si>
    <t>['blank', 'putih', 'parah', 'telkomsel', 'responnya', 'maaf', 'doang']</t>
  </si>
  <si>
    <t>['hancur', 'sinyal', 'telkomsel', 'sampah', 'lambat', 'main', 'game', 'provider', 'sampah']</t>
  </si>
  <si>
    <t>['', 'paham', 'gue', 'telkomsel', 'udah', 'paketan', 'mahal', 'sinyal', 'bapuk', 'ngecheck', 'kuota', 'doang', 'susahhhh', 'banget', 'bolak', 'uninstal', 'instal', 'kebuka', 'heran', 'gue', 'tolong', 'perbaikiii', 'waterboom', 'men', '']</t>
  </si>
  <si>
    <t>['beli', 'paket', 'isi', 'pulsa', 'udah', 'isi', 'pulsa', 'paket', 'dibeli', 'harganya', 'pulsa', 'pas', 'dibeli', 'eeeh', 'paketnya', 'ganti', 'ditambah', 'pulsa', 'ngisi', 'kesedot', 'kuota', 'msh', 'ganti', 'provider', 'harga', 'paket', 'internetnya', '']</t>
  </si>
  <si>
    <t>['paulsa', 'ilang', 'trus', 'pelayanannya', 'udh', 'kaya', 'memuaskan', 'mah', 'bintang', '']</t>
  </si>
  <si>
    <t>['knp', 'rasakan', 'sinyal', 'telkomsel', 'lemah', '']</t>
  </si>
  <si>
    <t>['knpa', 'kartu', 'gue', 'transfer', 'pulsa']</t>
  </si>
  <si>
    <t>['yahh', 'pulsa', 'habis', 'gara', 'gara', 'nunggu', 'masuk', 'apk', 'didiemin', 'sejam', 'habis', 'huft', '']</t>
  </si>
  <si>
    <t>['bagus', 'mantaaaap']</t>
  </si>
  <si>
    <t>['apl', 'bagus', 'banget']</t>
  </si>
  <si>
    <t>['daerah', 'tambun', 'selatan', 'kadang', 'sinyal', 'bagus', 'kadang', 'sinyal', 'jelek', 'udah', 'bayar', 'mahal']</t>
  </si>
  <si>
    <t>['aplikasinya', 'aman', 'jaringan', 'jelek', 'sinyalnya', 'pelayanan', 'keluhan', 'jelek', 'respon', 'lambat', 'bot', 'harga', 'mahal', '']</t>
  </si>
  <si>
    <t>['telkomsel', 'aplikasi', 'dipakai', 'gini']</t>
  </si>
  <si>
    <t>['seneng', 'beli', 'paket', 'mytelkomsel', 'promo', 'undi', 'happy', 'dapetin', 'hadiah', 'vocher', 'kuota', 'mobil', 'menukar', 'point', 'ikuta', 'undi', 'happy', 'bismillah', 'semoga', 'dapet', '']</t>
  </si>
  <si>
    <t>['teman', 'pengguna', 'app', 'telkomsel', 'layarnya', 'putih', 'unduh', 'apk', 'telkomsel', 'versi', 'gitu', 'coba', 'berhasil', 'unduh', 'apk', 'telkomsel', 'versi', 'menginstalnya', 'catatan', 'hapus', 'app', 'versi']</t>
  </si>
  <si>
    <t>['puas', 'layanannya']</t>
  </si>
  <si>
    <t>['bintang', 'pulsa', 'berkurang', 'goib', 'kali', 'pulsanya', 'ilang', 'telkomsel', 'udah', 'bertahun', 'kena', 'php']</t>
  </si>
  <si>
    <t>['', 'dibuka', 'layar', 'putih', 'doang', 'muncul']</t>
  </si>
  <si>
    <t>['lumayan', 'beli', 'paketan', 'murah', 'dapet', 'promo', '']</t>
  </si>
  <si>
    <t>['kasih', 'bintang', 'dlu', 'klw', 'mudah', 'aplikasi', 'telkomsel', 'genap', 'bintang', 'tks', '']</t>
  </si>
  <si>
    <t>['mempermudah', 'proses']</t>
  </si>
  <si>
    <t>['aplikasinya', 'sukses', 'telkomsel', '']</t>
  </si>
  <si>
    <t>['betapa', 'pelitnya', 'telkomsel', 'saking', 'pelitnya', 'ambil', 'bonus', 'check', 'butuh', 'biaya', 'rupiah', 'poin', 'poin', 'diperoleh', 'pengisian', 'pulsa', 'ribu', 'objektif', 'aplikasinya', 'responsif', 'fitur', 'veronica', 'membantu', 'wajar', 'jarang', 'software', 'engineer', 'jago', 'bidang', 'fiturnya', 'seadanya', '']</t>
  </si>
  <si>
    <t>['telkomsel', 'udah', 'gulung', 'tikar', 'mending', 'pindah', 'im', 'nyaman', 'layar', 'putih', 'ngabisin', 'pulsa']</t>
  </si>
  <si>
    <t>['aplikasi', 'pulsa', 'bli', 'paket', 'pulsanya', 'dasar', 'aplikasi', 'buriq', 'buruk', '']</t>
  </si>
  <si>
    <t>['kwalitas', 'jaringan', 'menurun', 'harga', 'merakyat']</t>
  </si>
  <si>
    <t>['apaansi', 'putih', 'mulu']</t>
  </si>
  <si>
    <t>['sinyal', 'beraturan', 'harga', 'mahal', 'hadeuh', 'gua', 'kartu', 'sultan', 'khayalan']</t>
  </si>
  <si>
    <t>['telkomsel', 'udah', 'cupu', 'jaringan', 'super', 'lelet', 'stop', 'pakai', 'telkomsel', 'nyesal', 'daerah', 'sumut', 'rekomended', 'pakai', 'telkomsel', '']</t>
  </si>
  <si>
    <t>['buruk', 'karna', 'jaringan', 'tifsk', 'stabil', 'jam', 'malam']</t>
  </si>
  <si>
    <t>['membantu', 'mengoprasikan', 'jaringan', 'membantu', 'memuaskan']</t>
  </si>
  <si>
    <t>['aplikasi', 'blank', 'putih', 'diupdate', 'gtu', 'ush', 'diupdate', 'tolong', 'diperbaiki', 'secepatnya']</t>
  </si>
  <si>
    <t>['pas', 'make', 'paket', 'unlimitid', 'langsung', 'noh', 'sinyal', 'galau']</t>
  </si>
  <si>
    <t>['', 'bacot', 'buruan', 'download']</t>
  </si>
  <si>
    <t>['aplikasi', 'jelek', 'buka', 'ngebleng', 'mending', 'hapus', 'aplikasi', 'bermutu']</t>
  </si>
  <si>
    <t>['bangke', 'nie', 'emang', 'jaringan', 'maen', 'ilang', 'sinyal', 'bangke', 'bangke']</t>
  </si>
  <si>
    <t>['aplikasi', 'bagus', 'bngt']</t>
  </si>
  <si>
    <t>['mahal', 'mahal', 'gag', 'murah']</t>
  </si>
  <si>
    <t>['direkomendasikan', 'memakai', 'provider', 'telkomsel', 'memainkan', 'game', 'online', '']</t>
  </si>
  <si>
    <t>['sumpah', 'jaringan', 'telkomsel', 'bobrok', 'banget', 'masak', 'iya', 'main', 'game', 'jam', 'malam', 'tetep', 'ngeleg', 'sebel', 'main', 'game', 'war', 'lag', 'parah', '']</t>
  </si>
  <si>
    <t>['sinyalnya', 'perbagus', '']</t>
  </si>
  <si>
    <t>['jaringan', 'nggk', 'normal', 'kayak', 'udah', 'paketan', 'mahal', 'gangguan', 'nggk', 'nyaman', 'telkom']</t>
  </si>
  <si>
    <t>['jaringanya', 'lemoot', 'lemahhh']</t>
  </si>
  <si>
    <t>['jaringanya', 'buruk']</t>
  </si>
  <si>
    <t>['asik', 'jomblo', 'suka', '']</t>
  </si>
  <si>
    <t>['suka', 'forclose', 'muncul', 'notif', 'pop', 'aplikasi', 'terhenti', 'membuka', 'apliksi', '']</t>
  </si>
  <si>
    <t>['menjajah', 'telkomsel', 'aplikasi', 'buka', '']</t>
  </si>
  <si>
    <t>['sekedar', 'berbagi', 'info', 'update', 'aplikasi', 'blank', 'layar', 'putih', 'hapus', 'aplikasinya', 'aplikasi', 'teman', 'aplikasi', 'pengirim', 'file', 'google', 'file', 'share', 'dll', 'berhasil', 'instal', 'aplikasi', 'update', 'abaikan', 'menunggu', 'aplikasi', 'telkomsel', 'normal', 'coba', 'berhasil', 'terima', 'kasih', 'semoga', 'bermanfaat', '']</t>
  </si>
  <si>
    <t>['signyal', 'telkomsel', 'rusak', '']</t>
  </si>
  <si>
    <t>['jaringanmu', 'udah', 'kayak', 'sampah', 'udah', 'nyaman', 'paket', 'mahal', 'jaringan', 'kayak', 'taik', 'turunin', 'telkomsel', 'tarif', 'jdi', 'lpa', 'melayani']</t>
  </si>
  <si>
    <t>['bos', 'sinyal', 'perbaiki', 'mahal', 'doang', 'bos']</t>
  </si>
  <si>
    <t>['pelayanan', 'memuaskan', 'komplain', 'sinyalpun', 'susah', 'sinyal', 'suka', 'ilang', 'tolonglaa', 'dibenerin']</t>
  </si>
  <si>
    <t>['sya', 'lma', 'setia', 'app', 'telkomsell', 'mggu', 'aplikasi', 'merah', 'nda', 'bsa', 'dibuka', 'why', 'jujur', 'sngat', 'mengganggu', 'kenyamanan', 'sya']</t>
  </si>
  <si>
    <t>['tolong', 'sinyal', 'kondisi', 'lahhhhh']</t>
  </si>
  <si>
    <t>['memuaskan', 'ganti', 'provider', 'kaya']</t>
  </si>
  <si>
    <t>['signal', 'ilang', 'sekitaran', 'kecamatan', 'rajeg', 'blas', 'ora', 'jalan']</t>
  </si>
  <si>
    <t>['telkomsel', 'jelek', 'banget', 'sinyalnya', 'kaya']</t>
  </si>
  <si>
    <t>['aplikasinya', 'buka', 'layar', 'putih', 'satunya', 'tekomsel', 'kayak', 'gini', '']</t>
  </si>
  <si>
    <t>['', 'update', 'blank', 'putih', 'aplikasi', 'tsel', 'info', 'solusinya', 'solusinya', 'berhenti', 'pelanggan', 'kartu', 'hallo', '']</t>
  </si>
  <si>
    <t>['paket', 'dial', 'apk', 'susah', 'komunikasi', 'robot', 'komunikasi', 'arah']</t>
  </si>
  <si>
    <t>['jaringan', 'kuat', 'dimana']</t>
  </si>
  <si>
    <t>['capek', 'download', 'apk', 'maling', 'cuman', 'ambil', 'untung', 'download', 'setan', 'rusak', 'maling', 'telkomsel', 'kali', 'download', 'tetep', 'puti']</t>
  </si>
  <si>
    <t>['mantapp', 'banget', 'pokonya', 'sejatuh', 'cinta', 'telkomsel', '']</t>
  </si>
  <si>
    <t>['harga', 'pilihan', 'paketan', 'mahal', 'kasian', 'rakyat', 'udah', 'kebutuhan', 'pokok', 'internet', 'tlg', 'harga', 'ringan', 'mksh']</t>
  </si>
  <si>
    <t>['bagus', 'lelet']</t>
  </si>
  <si>
    <t>['pelanggan', 'telkomsel', 'buruk', 'jaringan', 'lelet', 'paket', 'mahal', 'telkomsel', 'nge', 'blank', 'buka']</t>
  </si>
  <si>
    <t>['dibikin', 'ribet', 'ngeheng', 'layar', 'putih', 'doang', '']</t>
  </si>
  <si>
    <t>['lumyan', 'aga', 'mudah', 'membeli', 'pket', 'like', 'langsung', 'harga', 'paket', 'mahal', 'internetpun', 'lemot', 'disyangkan', '']</t>
  </si>
  <si>
    <t>['mantap', 'praktis', 'terbantu', 'msih', 'promo', '']</t>
  </si>
  <si>
    <t>['habis', 'uptudet', 'dibuka']</t>
  </si>
  <si>
    <t>['beli', 'harga', 'ribu', 'skrg', 'total', 'intetnet', 'knp', 'dibagi', 'internet', 'media', 'gb', 'internet', 'habis', 'tgl', 'media', 'media', 'dirunah', 'internet', 'gb', 'sesuai', 'promonya', '']</t>
  </si>
  <si>
    <t>['', 'telkomsel', 'habis', 'diperbarui', 'muncul', 'dilayar', 'putih', '']</t>
  </si>
  <si>
    <t>['aplikasi', 'mytelkomsel', 'terbuka', 'mengupdate', '']</t>
  </si>
  <si>
    <t>['', 'beli', 'paket', 'udah', 'minggu', 'beli', 'mundur']</t>
  </si>
  <si>
    <t>['jaya', 'telkomsel', 'peranmu', 'kehidupan', 'dunia']</t>
  </si>
  <si>
    <t>['kecewa', 'parah', 'banget', 'update', 'kebuka', 'ngeblank', 'doang', 'maaf', 'buruk', '']</t>
  </si>
  <si>
    <t>['aplikasi', 'semoga', 'telkomsel', 'jaya', 'semoga', 'beruntung']</t>
  </si>
  <si>
    <t>['sinyal', 'edan', 'ping', 'turun', 'tolong', 'tindak', 'lokasi', 'palembang']</t>
  </si>
  <si>
    <t>['jaringannya', 'susah', 'nelpon', 'tolong', 'perbaiki']</t>
  </si>
  <si>
    <t>['moga', 'membantu']</t>
  </si>
  <si>
    <t>['kecewa', 'sepenuh', 'bagus', 'sinyal', 'daerah', 'tinggal']</t>
  </si>
  <si>
    <t>['pengguna', 'app', 'telkomsel', 'diakses', 'susah', 'pengecekan', 'tagihan', 'kartuhalo', 'solusi', 'mengatasi', 'kecewa', '']</t>
  </si>
  <si>
    <t>['sinyal', 'kayak', 'taik', 'paket', 'mahal']</t>
  </si>
  <si>
    <t>['babi', 'sinyal', 'knapa', 'jelek']</t>
  </si>
  <si>
    <t>['telkomsel', 'terhormat', 'membeli', 'paket', 'combo', 'sakti', 'kuota', 'utama', 'habis', 'kuota', 'sosmed', 'gb', 'kecepatan', 'jaringan', 'turunkan', 'kbps', 'coba', 'pecuman', 'memiliki', 'kuota', 'sosmed', 'buka', 'instagram', 'youtub', 'game', 'tiktok', 'penipuan', 'namanya', 'kena', 'pasal', '']</t>
  </si>
  <si>
    <t>['paketnya', 'mehong', 'parah']</t>
  </si>
  <si>
    <t>['jaya', 'pertahankan', 'kualitas']</t>
  </si>
  <si>
    <t>['sekaramg', 'buka', 'app', 'layar', 'jya', 'putih', 'muncul', '']</t>
  </si>
  <si>
    <t>['sarankan', 'menambah', 'fitur', 'top', 'diamond', '']</t>
  </si>
  <si>
    <t>['login', 'mulu']</t>
  </si>
  <si>
    <t>['telkosel', 'mantap', 'semoga', 'hadiah', 'mobil']</t>
  </si>
  <si>
    <t>['poin', 'tukar', 'kuota', 'pulsa', 'cumma', 'rugi', '']</t>
  </si>
  <si>
    <t>['gada', 'perubahan', 'sinyal', 'buruk', 'kota', 'pelayan', 'begoo', 'ngelayanin', 'robot', 'mahal', 'doangg', 'najiss']</t>
  </si>
  <si>
    <t>['aplikasi', 'telkomsel', 'blank', 'layar', 'kaya', 'kertas', 'putih', 'polos', 'warna']</t>
  </si>
  <si>
    <t>['layar', 'pas', 'bukak', 'putih']</t>
  </si>
  <si>
    <t>['paketan', 'mahal', 'jaringan', 'nambah', 'jelekk', 'taikkk']</t>
  </si>
  <si>
    <t>['paketan', 'murah', 'penggunaan', 'jaringan', 'luas', 'mencapai', 'pelosok', 'hutan', 'kdalaman', 'hutan', 'rimba']</t>
  </si>
  <si>
    <t>['mohon', 'maaf', 'kak', 'masuk', 'udah', 'brpa', 'kali', 'instal', 'pas', 'tekan', 'apk', 'gambar', 'putih', 'masuk', 'beranda', 'makasih']</t>
  </si>
  <si>
    <t>['promonya', 'yaa']</t>
  </si>
  <si>
    <t>['suka', 'eror', 'pas', 'kirim', 'pulsa', 'nomor', 'pulsanya', 'pas', 'masukin', 'nominal', 'tuliasanya', 'pulsa', 'mencukupi', 'tolong', 'diperbaiki']</t>
  </si>
  <si>
    <t>['suka', 'error', 'aplikasinya', 'lamban']</t>
  </si>
  <si>
    <t>['sinyalnya', 'stabil', 'kadang', 'pengn', 'nangis', 'nunggu', 'jaringan', 'telkomsel', '']</t>
  </si>
  <si>
    <t>['maaf', 'telkomsel', 'menjual', 'paket', 'data', 'karna', 'data', 'nonton', '']</t>
  </si>
  <si>
    <t>['astaghfirullah', 'sinyal', 'telkomsel', 'jelek', 'banget', 'kuota', 'mahal', 'mending', 'ganti', 'kartu', 'yakan', 'sinyal', 'lelet', 'dasar', 'anak', 'haram']</t>
  </si>
  <si>
    <t>['ayolah', 'kesini', 'sinyal', 'susah', 'astaga', 'paket', 'beli', 'lemot']</t>
  </si>
  <si>
    <t>['parah', 'isi', 'kuota', 'kode', 'voucer', 'telkomsel', 'jenuh', 'pengen', 'ganti', 'kartu', 'kaya', 'gitu', 'ngapain', 'jualin', 'voucernya', 'produksi', 'tutup', 'pabriknya']</t>
  </si>
  <si>
    <t>['telkomsel', 'sinyalnya', 'buruk', 'perbaiki']</t>
  </si>
  <si>
    <t>['muka']</t>
  </si>
  <si>
    <t>['beli', 'paket', 'data', 'aktif', 'paket', 'dibeli', 'pulsa', 'terpakai', 'akses', 'internet', 'non', 'paket', '']</t>
  </si>
  <si>
    <t>['mesti', 'dapet', 'kuota', 'gratis', '']</t>
  </si>
  <si>
    <t>['smoga', 'dpt', 'hadiah', 'telkomsel']</t>
  </si>
  <si>
    <t>['parah', 'buka', 'aplikasi', 'susah', 'ampun', 'jelek', 'bngt', 'sinyal', '']</t>
  </si>
  <si>
    <t>['kali', 'pulsa', 'gamasuk', 'tunggu', 'jam', 'jam', 'blm', 'pulsa', 'masuk', 'dahlah', 'bumn', 'najis']</t>
  </si>
  <si>
    <t>['bintang', 'udah', 'pertanggungjawaban', 'perbarui', 'buka', 'apk', 'keterangan', 'apapun', 'layar', 'putih', 'penjelasan', 'apapun', '']</t>
  </si>
  <si>
    <t>['telkomsel', 'mahal', 'doang', 'sinyal', 'amburadul', 'haduuuh', 'parah', 'kaya', 'dlu']</t>
  </si>
  <si>
    <t>['blank', 'uninstall', 'ganti', 'kartu', 'perdana', 'udah', 'clear', '']</t>
  </si>
  <si>
    <t>['apk', 'blank', 'putih', 'dibuka', 'solusinya']</t>
  </si>
  <si>
    <t>['paket', 'mahal', 'kagak', 'promonya', '']</t>
  </si>
  <si>
    <t>['diapdate', 'bagus', 'ngak', 'dibuka', '']</t>
  </si>
  <si>
    <t>['sim']</t>
  </si>
  <si>
    <t>['', 'relkomselnya', 'bsa', 'buka']</t>
  </si>
  <si>
    <t>['udh', 'seminggu', 'ngeblank', 'dibuka', 'kemari', 'aplikasinya', 'mengecewakan', 'hrs', 'jaman', 'purba', 'cek', 'plza', 'kuota', '']</t>
  </si>
  <si>
    <t>['warna', 'putih', 'dibuka', '']</t>
  </si>
  <si>
    <t>['bintang', 'bicara']</t>
  </si>
  <si>
    <t>['internet', 'stabil', 'putus', 'nyambung', 'putusnya', 'layanannya', 'memuaskan', '']</t>
  </si>
  <si>
    <t>['telkomsel', 'aga', 'lemot', 'coba', 'perlancar']</t>
  </si>
  <si>
    <t>['kecewa', 'beli', 'paket', 'kuota', 'paket', 'multimedia', 'kuota', 'utama', 'beli', 'kuota', 'utama', 'disedot', 'kuota', 'utama', 'internet', 'kecewa', '']</t>
  </si>
  <si>
    <t>['udah', 'donlod', 'pas', 'dibuka', 'warma', 'putih', 'dihapus', 'donlod', 'hasilnya', 'pas', 'dibuka', 'layar', 'putih', 'bahaimana', 'tolong']</t>
  </si>
  <si>
    <t>['telkomsel', 'jaringan', 'jelek', '']</t>
  </si>
  <si>
    <t>['udah', 'seminggu', 'bukak', 'aplikasi', 'telkomsel', 'payah', '']</t>
  </si>
  <si>
    <t>['telkom', 'gua', 'ngeleg', 'gua', 'rank']</t>
  </si>
  <si>
    <t>['gmna', 'abis', 'updte', 'putih', 'doang', 'gambar', 'nyaa', 'kouta', 'abis', 'coiiiiiiii']</t>
  </si>
  <si>
    <t>['mantap', 'mudah', 'transaksi']</t>
  </si>
  <si>
    <t>['', 'dibuka', 'muncul', 'layar', 'putih', 'doang', '']</t>
  </si>
  <si>
    <t>['telkomsel', 'hancur', 'kecewa', 'telkomsel', 'jaringan', 'penuh', 'loadingnya', 'lelet', 'banget', '']</t>
  </si>
  <si>
    <t>['aplikasinya', 'habis', 'update', 'nga', 'terbuka', 'keselahan', 'dimana', 'perbaiki', 'donk', 'aplikasinya', '']</t>
  </si>
  <si>
    <t>['alhamdulillah', 'tunggu', 'masi', 'kaya', 'gini', 'pinda', 'indosat', '']</t>
  </si>
  <si>
    <t>['bego', 'niat', 'kuota', '']</t>
  </si>
  <si>
    <t>['combo', 'sakti', 'hilang', 'akun', 'telkomsel']</t>
  </si>
  <si>
    <t>['terimaksich', 'telkomsel', 'udh', 'pelayan', 'terbaik', 'buwat', 'sukses', 'terusya', 'telkomsel', 'maju', '']</t>
  </si>
  <si>
    <t>['ngga', 'buka', 'aplikasi', '']</t>
  </si>
  <si>
    <t>['tolong', 'main', 'game', 'sinyal', 'normal', 'standar', 'ngelag', 'kesini', 'performa', 'jelek', 'kasih', 'bintang', 'byk', 'provider', 'memperbaiki', 'kekurangannya']</t>
  </si>
  <si>
    <t>['aplikasinya', 'update', 'buka', 'why', 'samsung', 'halooo', 'telkom', 'why', '']</t>
  </si>
  <si>
    <t>['beli', 'paket', 'unlimited', 'youtube', 'kesedot', 'paket', 'utama', 'payahh']</t>
  </si>
  <si>
    <t>['update', 'desember', 'update', 'layarnya', 'putih', 'uninstall', 'install', 'berkali', 'layar', 'putih', 'tlp', 'lapor', 'lwt', 'twitter', 'dibuatkan', 'laporan', 'hasilnya', 'msh', 'putih', 'hrs', 'digimanain', 'cek', 'pulsa', 'kuota', 'lwt', 'tlg', 'penjelannya', 'terimakasih', '']</t>
  </si>
  <si>
    <t>['mytelkomsel', 'thankyou', 'much', 'memudahkan', 'transaksi', 'pembelian', 'pulsa', 'kuota', 'paket', 'bulanan', 'thankyou']</t>
  </si>
  <si>
    <t>['habis', 'hujan', 'jaringan', 'langsung', 'drop', 'knp', 'cari', 'akar', 'kecewa', '']</t>
  </si>
  <si>
    <t>['aplikasinya', 'buka', 'update', '']</t>
  </si>
  <si>
    <t>['update', 'erro', 'buka', 'app', 'muncul', 'warning', 'kesalahan', 'system', 'app', '']</t>
  </si>
  <si>
    <t>['keluhan', 'sma', 'laen', 'mytelkomselnya', 'layarnya', 'putih', 'pdhl', 'udh', 'reset', 'gara', 'reset', 'mbaking', 'smpk', 'terbkokir', '']</t>
  </si>
  <si>
    <t>['bintang', 'dlu', 'kadang', 'msh', 'suka', 'lemott']</t>
  </si>
  <si>
    <t>['tolong', 'pulsa', 'omgnya', 'mahal', 'kak', 'aplikasi', 'latarny', 'putih', 'kak', 'udah', 'berulang', 'ulang', 'nginstal', 'tolong', 'donk', 'kak', 'perbaiki', '']</t>
  </si>
  <si>
    <t>['kontollll', 'jaringan', 'kek', 'babi', 'mahal', 'doang', 'ajg', 'kualitas', 'tololllll', 'ahkkk', 'kesel', 'bet', 'gua', 'anjinggggg']</t>
  </si>
  <si>
    <t>['iya', 'knp', 'telkomsel', 'layarnya', 'putih', 'udah', 'restart', 'hpus', 'dwnld', 'berulang', '']</t>
  </si>
  <si>
    <t>['kasih', 'bintang', 'buka', 'aplikasi', 'kali', 'data', '']</t>
  </si>
  <si>
    <t>['telkomsel', 'jaringan', 'rusak', 'bosa', 'pindah']</t>
  </si>
  <si>
    <t>['tess', 'bagus', 'tamanah']</t>
  </si>
  <si>
    <t>['lola', 'sinyal', 'didalam', 'rumah', 'koata', 'sinyal', 'parah', '']</t>
  </si>
  <si>
    <t>['astagfirullah', 'buka', 'aplikasinya']</t>
  </si>
  <si>
    <t>['aplikasi', 'bagus', 'membantu', 'banget']</t>
  </si>
  <si>
    <t>['banget', 'keluhannya', 'gada', 'aksi', 'perbaikannya', 'gimana', 'white', 'blank', 'dimana', 'iya', 'suruh', 'mytelkomsel', 'lite', 'yaelah', 'lite', 'fiturnya', 'terbatas', 'bos']</t>
  </si>
  <si>
    <t>['jelek', 'sulit', 'kebuka']</t>
  </si>
  <si>
    <t>['tolong', 'developer', 'respon', 'cepat', 'buka', 'aplikasi', 'ngeblank', 'putih', 'mohon', 'perbaiki']</t>
  </si>
  <si>
    <t>['pokoknya', 'abis', 'isi', 'pulsa', 'kepotong', 'dikit', 'data', 'selular', 'aktif', 'pakai', 'wifi', 'hotspot', 'celular', 'tlg', 'tanggapan', 'telkomsel']</t>
  </si>
  <si>
    <t>['beli', 'paketan', 'rb', 'pulsa', 'nggak', 'beli', 'gimana', '']</t>
  </si>
  <si>
    <t>['mending', 'ganti', 'kartu', 'jaringan', 'lelet', 'padahl', 'telko', 'mahal']</t>
  </si>
  <si>
    <t>['dibuka', 'blang', 'layar', 'putih', 'doang', '']</t>
  </si>
  <si>
    <t>['mahal', 'lelet', 'tpi', 'gua', 'kasih', 'bintang', 'semangat', 'telkom', '']</t>
  </si>
  <si>
    <t>['kuota', 'mahal', 'jaringan', 'ngelag']</t>
  </si>
  <si>
    <t>['blank', 'putih', 'semenjak', 'update', 'tgl', 'kemarin', 'tolong']</t>
  </si>
  <si>
    <t>['sgt', 'membantu', 'hemat', '']</t>
  </si>
  <si>
    <t>['buka', 'pas', 'update', '']</t>
  </si>
  <si>
    <t>['mantap', 'apl', 'makasih', 'telkomsel']</t>
  </si>
  <si>
    <t>['min', 'tolong', 'sinyalnya', 'perbaiki', 'main', 'game', 'ping', 'stabil', 'merah', 'semoga', 'cepat', 'tangani']</t>
  </si>
  <si>
    <t>['kenape', 'telkomsel', 'bukak']</t>
  </si>
  <si>
    <t>['internet', 'mahal']</t>
  </si>
  <si>
    <t>['tolong', 'promo', 'paket', 'murah', 'kartu', 'mohon', '']</t>
  </si>
  <si>
    <t>['harga', 'murah', 'bnyk', 'pilihan', 'sngt', 'suka', 'tangkiw', 'telkomsel']</t>
  </si>
  <si>
    <t>['', 'telkomselnya', 'dibuka', 'masuk', 'layarnya', 'putih', 'mohon', 'diperbaiki']</t>
  </si>
  <si>
    <t>['jaringannya', 'nub', 'bab', 'siang', 'malam', 'pkai', 'main', 'game', 'ms', 'area', 'sulbar', 'jringan', 'telkomswlnya', 'bkin', 'nub', 'main', 'game', 'ncok']</t>
  </si>
  <si>
    <t>['bagus', 'memudahkan', 'akses']</t>
  </si>
  <si>
    <t>['sinyal', 'jelekk', '']</t>
  </si>
  <si>
    <t>['haloo', 'udah', 'lho', 'koneksi', 'internet', 'stabil', 'masak', 'kalah', 'kuning', 'kecepatannya', 'pelangganmu', 'pindah', 'lho', 'gini', 'trs', '']</t>
  </si>
  <si>
    <t>['jaringan', 'internet', 'brbatas', 'nonstop', 'jam']</t>
  </si>
  <si>
    <t>['susah', 'masuk', 'membeli', 'pulsa', 'aplikasi', 'telkomsel', 'berkali', 'kali', 'masuk', 'beruntung', 'pembelian', 'pencet', 'button', 'susah', 'bintang', 'design', 'mudah', 'dimengerti']</t>
  </si>
  <si>
    <t>['harga', 'mahal', 'jaringan', 'berantakan']</t>
  </si>
  <si>
    <t>['kartu', 'babi', 'lagg', 'mulu', 'anjingg', 'mending', 'indosat', 'gua', 'mahh', 'pulsanya', 'mahal', 'jaringan', 'kek', 'babi', 'tolol', '']</t>
  </si>
  <si>
    <t>['aplikasi', 'blank', 'putih']</t>
  </si>
  <si>
    <t>['telkomsel', 'sinyal', 'hilang', 'hilangan', 'kuotanya', 'mahal', 'kalah', 'enak', 'ngerjain', 'tugas', 'mati', 'ditengah', 'jalan', 'sinyal', 'hilang', 'telkomsel', 'kesel', '']</t>
  </si>
  <si>
    <t>['wahhhhhh', 'sinyal', 'telkomsel', 'banget', 'ping', 'ms', 'detik', 'pantes', 'harga', 'koutanya', 'dinaikin']</t>
  </si>
  <si>
    <t>['apk', 'semenjak', 'update', 'gabisa', 'dibuka', 'susah', 'gimana', 'kuota', 'telkom', 'mahal', 'kendala']</t>
  </si>
  <si>
    <t>['jaringan', 'lelet', 'berkualitas']</t>
  </si>
  <si>
    <t>['', 'telkomsel', 'mudah', 'mantap']</t>
  </si>
  <si>
    <t>['mahal', 'lemot', '']</t>
  </si>
  <si>
    <t>['buka', 'aplikasih']</t>
  </si>
  <si>
    <t>['kasih', 'bintang', 'pakai']</t>
  </si>
  <si>
    <t>['habis', 'perbaharui', 'aplikasinya', 'putih', 'dipakai', 'gimana', 'telkomsel', '']</t>
  </si>
  <si>
    <t>['paket', 'gb', 'fungsinya', 'yaa', 'sinyalnya', 'buruk', 'beli', 'paket', 'nge', 'game', 'online', 'sinyal', 'jelek', '']</t>
  </si>
  <si>
    <t>['yaa', 'putih', 'bersih']</t>
  </si>
  <si>
    <t>['sory', 'turunin', 'bintang', 'ping', 'jumping', 'maen', 'game', '']</t>
  </si>
  <si>
    <t>['aplikasi', 'operator', 'terbaik']</t>
  </si>
  <si>
    <t>['', 'buka', 'app', 'udah', 'terinstal', 'hpnya']</t>
  </si>
  <si>
    <t>['upgrade', 'yll', 'layar', 'nge', 'blank', 'putih', 'berlangganan', 'kecewa', 'doong']</t>
  </si>
  <si>
    <t>['udah', 'login', 'ngga', 'jalan', 'paket', 'data', 'radio', 'ngga']</t>
  </si>
  <si>
    <t>['parah', 'game', 'online', 'nyesel', 'gua', 'beli']</t>
  </si>
  <si>
    <t>['bantu', 'menang']</t>
  </si>
  <si>
    <t>['knp', 'kuota', 'unlimited', 'main', 'pubgm', 'udah', 'ngarep', 'bnget', 'main']</t>
  </si>
  <si>
    <t>['sinyal', 'jaringanmu', 'bagus', 'memperhatikannya', 'kota', 'memprihatinkan', 'beralih', '']</t>
  </si>
  <si>
    <t>['dibuka', 'aplikasi', 'hnya', 'layar', 'putih', '']</t>
  </si>
  <si>
    <t>['kasi', 'bintang', 'apk', 'bagus', 'donlod', 'silahkan', 'donlod', 'menyesal', 'nga', 'donlod']</t>
  </si>
  <si>
    <t>['jaringan', 'kek', 'taik', 'super', 'lemot', 'rugi', 'gara', 'telkomsel', 'kamprett']</t>
  </si>
  <si>
    <t>['beli', 'paket', 'unlimited', 'telkomsel', 'lelet', 'pakai', 'embel', 'embel', 'telkomsel', 'tinggal', 'kota', 'sidoarjo', 'hutan', '']</t>
  </si>
  <si>
    <t>['suka', 'telkomsel', 'ribet', 'mudah']</t>
  </si>
  <si>
    <t>['baok']</t>
  </si>
  <si>
    <t>['permisi', 'min', 'telkomsel', 'lemod', 'buka', 'game', 'tiktok', 'dll', 'tolong', 'min']</t>
  </si>
  <si>
    <t>['astaga', 'buka', 'apk', 'layar', 'putih', 'doang', 'parah', 'bagus', 'parah']</t>
  </si>
  <si>
    <t>['knp', 'klw', 'dibuka', 'aplikasi', 'muncul', 'layar', 'putih', 'solusi', 'tolong', 'diperbaiki', 'sistem']</t>
  </si>
  <si>
    <t>['jaringan', 'telkomsel', 'jelek', 'sinyal', 'bagus', 'kuota', 'ngisi', 'tolonglah', 'diperbaiki', 'utamakan', 'kenyamanan', 'pengguna', 'kuota', 'mahal', 'jaringan', 'jelek', '']</t>
  </si>
  <si>
    <t>['apk', 'babi', 'beli', 'kuota', 'main', 'game', 'ngeleg', 'sinyal', 'jelek']</t>
  </si>
  <si>
    <t>['tolong', 'perbaiki', 'jaringannya', 'blakang', 'telkomsel', 'jelek', '']</t>
  </si>
  <si>
    <t>['ribet', 'akunnya']</t>
  </si>
  <si>
    <t>['knapa', 'buka', 'aplikasi', 'mytelkomsel', 'layar', 'putih', 'trusss', 'hapus', 'aplikasi', 'trusss', 'download', 'layar', 'putihhhh', 'gini', 'apk', 'mytelkomsel', '']</t>
  </si>
  <si>
    <t>['cuman', 'sakali', 'orng', 'binggung', 'apk', 'kebuka', 'tolong', 'kembalikan', 'apk', '']</t>
  </si>
  <si>
    <t>['signal', 'kaya']</t>
  </si>
  <si>
    <t>['telkomsel', 'makim', 'jelek', 'sinyal', 'hujan', 'dikit', 'nglag', 'mendung', 'dikit', 'erroor', 'kalah', 'asli', 'udh', 'mahal', 'buriq', 'tolong', 'perbaiki', 'kalah', 'three', 'harga', 'mahal', 'udh', 'mahal', 'glag', '']</t>
  </si>
  <si>
    <t>['bagus', 'bagus', 'lumayan', 'harga', 'kuota', 'kartu', 'mahal', 'bonus']</t>
  </si>
  <si>
    <t>['jaringan', 'telkomsel', 'gangguan', 'mulu', 'kayak', 'lancar', 'make', 'nyaman', 'puas', 'beda', 'dikit', 'gangguan', 'kecewa', 'telkomsel', '']</t>
  </si>
  <si>
    <t>['', 'gbs', 'buka', 'aplikasi', 'telkomsel', 'smpe', 'update', 'software', 'pelanggan', 'pasca', 'bayar', 'lho', 'spt', 'layanan', 'provider', 'bergengsi']</t>
  </si>
  <si>
    <t>['dipakai', 'aplikasinya', 'layar', 'putih', 'muncul', 'berulangkali', 'uninstal', 'diinstal', 'berharap', '']</t>
  </si>
  <si>
    <t>['knp', 'buka', 'telkomselnya', 'selslu', 'layar', 'putih', 'sayang', 'poin', 'tukarkan', '']</t>
  </si>
  <si>
    <t>['aplikasi', 'dibuka', 'layar', 'putiiihhhh', '']</t>
  </si>
  <si>
    <t>['sala', 'aplikasi', 'terbaik', '']</t>
  </si>
  <si>
    <t>['jaringan', 'bagus', 'tpi', 'sinyal', 'loo', 'lemot', 'game', 'muluu', 'tiktok']</t>
  </si>
  <si>
    <t>['harga', 'paket', 'internet', 'mahal', 'internet', 'lemot', 'kocak', 'perusahaan', 'bumn', 'asli']</t>
  </si>
  <si>
    <t>['sinyal', 'simpati', 'burukk', 'kaya', 'beli', 'kuota', 'mahal', 'benerin', 'sinyalnya', 'ampun', 'gedeg', 'gua', 'simpati', '']</t>
  </si>
  <si>
    <t>['', 'sibuka', 'pusing', 'nanya', 'nanya', 'pusing', 'muter', 'muter']</t>
  </si>
  <si>
    <t>['tolong', 'sinyal', 'telkomsel', 'dikondisikan', 'hdddeh', 'paket', 'mahal', 'tpi', 'roaming', 'data', 'parah', 'sinyalnya']</t>
  </si>
  <si>
    <t>['bintang', 'turun', 'bintang', 'jaringan', 'lemot', 'banget', 'paket', 'beli', 'murah', 'mala', 'mahal', 'bintang', '']</t>
  </si>
  <si>
    <t>['masya', 'allah', 'aplikasi', 'telkomsel', 'ngeblank', 'putih', 'stuck', 'disitu', 'oerubahan', 'kuota', 'udah', 'instal', 'berulang', 'kali', 'tetep', 'gini', 'allah', 'tolong', 'perbaiki', 'pindah', 'provider', 'kaya', 'kartu', 'cepat', 'perbaiki', 'woyy', 'bumn', 'kaya', 'gini', 'heeehhh', 'allah']</t>
  </si>
  <si>
    <t>['aplikasi', 'telkomselnya', 'tampilan', 'layar', 'warna', 'putih', 'diuninstal', 'didownload', 'ulang', 'tampilannya', 'layar', 'putih', 'mohon', 'bantuannya', 'thanks']</t>
  </si>
  <si>
    <t>['sinyal', 'pelayanan', 'terbaik']</t>
  </si>
  <si>
    <t>['kasih', 'paket', 'promo', 'menarik', 'donk', 'harga', 'terjangkau', 'karna', 'berlangganan']</t>
  </si>
  <si>
    <t>['bagus', 'infonya']</t>
  </si>
  <si>
    <t>['bayarnya', 'mahal', 'signalnya', 'stabil']</t>
  </si>
  <si>
    <t>['tolong', 'harga', 'paket', 'combo', 'sakiti', 'naikin', 'harga', '']</t>
  </si>
  <si>
    <t>['tolong', 'nomor', 'survrise', 'paket', 'data', 'gitu', 'pelanggan', 'setia', 'telkomsel', 'memakai', 'telkomsel', '']</t>
  </si>
  <si>
    <t>['top', 'dri', 'aplikasi', 'transfer', 'sesuai', 'nmr', 'virual', 'account', 'via', 'internet', 'banking', 'finnet', 'indonesia', 'saldo', 'rek', 'terpotong', 'tpi', 'saldo', 'pulsa', 'bertambah', 'telp', 'solusi', 'via', 'betele', 'kirim', 'bukti', 'transfer', 'isi', 'sesuai', 'perintah', 'tetep', 'smp', 'nmr', 'kartu', 'debit', 'tpi', 'kasih', 'aneh', 'nmr', '']</t>
  </si>
  <si>
    <t>['jaringan', 'payah']</t>
  </si>
  <si>
    <t>['pas', 'dibuka', 'layar', 'putih', 'teruss', '']</t>
  </si>
  <si>
    <t>['memudahkan', 'urusan', 'berhubungan', 'nomor', '']</t>
  </si>
  <si>
    <t>['tolong', 'telkomselnya', 'error', 'udah', 'update', 'ngeblank', 'aplikasinya', 'warna', 'putih', 'gitu', 'tolong', 'penjelasannya', '']</t>
  </si>
  <si>
    <t>['habis', 'update', 'layar', 'putih', 'doang', '']</t>
  </si>
  <si>
    <t>['babi', 'gimna', 'ngatasin', 'sinyal', 'jelek', 'mulu', 'anak', 'haram', 'mahal', 'doan', 'sinyal', 'kartu', 'anak', 'dajal', 'gua', 'sumpahin', 'mati']</t>
  </si>
  <si>
    <t>['payah', 'blank', 'dibuka']</t>
  </si>
  <si>
    <t>['pas', 'diupdate', 'error', 'udah', 'adminnya', 'maaf', 'solusi', 'perbaikan']</t>
  </si>
  <si>
    <t>['senang', 'berlaganam']</t>
  </si>
  <si>
    <t>['aduuuuuuh', 'gimana', 'sinyal', 'hujan', 'down', 'ngelag', 'parah', 'kaya', 'abis', 'kuota', '']</t>
  </si>
  <si>
    <t>['sinyal', 'daerah', 'jambi', 'jelek', 'tarif', 'serba', 'mahal']</t>
  </si>
  <si>
    <t>['mantappp', 'tambahkan', 'bonusnya', '']</t>
  </si>
  <si>
    <t>['nyesel', 'perbarui', 'layar', 'putih']</t>
  </si>
  <si>
    <t>['tolong', 'jaringan', 'perbarui', 'paket', 'mahal', 'tpi', 'jaringan', 'lelet', 'boss', '']</t>
  </si>
  <si>
    <t>['telkomsel', 'trlalu', 'pilih', 'beda', 'beda', 'paket', '']</t>
  </si>
  <si>
    <t>['mahal', 'doang', 'jaringan', 'kacau', 'bagus', 'recommended', 'tekomsel', 'bagusan', 'kecewa', 'gua', 'kartu']</t>
  </si>
  <si>
    <t>['jelek', 'jdi', 'putih']</t>
  </si>
  <si>
    <t>['par', 'uda', 'masuk', 'aplikasi', 'inj', 'semenjak', 'update', '']</t>
  </si>
  <si>
    <t>['gabisa', 'kebuka', 'apk']</t>
  </si>
  <si>
    <t>['kouta', 'harapkan', 'lemot', 'parah', 'bebas', 'internet', 'mubasir', 'pemberian', '']</t>
  </si>
  <si>
    <t>['mohon', 'ditingkatkan', 'kualitas', 'signal', 'didesa', '']</t>
  </si>
  <si>
    <t>['', 'apk', 'bsa', 'bka', 'knp', '']</t>
  </si>
  <si>
    <t>['aplikasi', 'isi', 'paket', 'kuota', 'gopai', 'masuk', 'saldo', 'kepotong', '']</t>
  </si>
  <si>
    <t>['mantab', 'bermanfaat']</t>
  </si>
  <si>
    <t>['', 'susah', 'buka', '']</t>
  </si>
  <si>
    <t>['banget', 'buka', 'aplikasinya', '']</t>
  </si>
  <si>
    <t>['beli', 'paket', 'internet', 'pembayaran', 'aplikasi', 'gopay', 'saldo', 'berkurang', 'paket', 'internet', 'masuk', 'masuk', 'kemaren', 'parah', 'banget', 'asli', 'mohon', 'maaf', 'tolong', 'diperbaiki', 'sistem', 'rugi', 'beli', 'kuota', 'masuk']</t>
  </si>
  <si>
    <t>['nyoba', '']</t>
  </si>
  <si>
    <t>['susah', 'kali', 'buka', 'aplikasi', 'kesel', 'loding', 'buka', 'aplikasi', 'banget', '']</t>
  </si>
  <si>
    <t>['nyolot', 'harga', 'mahal', 'harga', 'mahal', 'kuota', 'nmbah', 'kapitalis', 'kali', 'provider']</t>
  </si>
  <si>
    <t>['gembel', 'penipuan', 'php', 'beli', 'promo', 'gembel']</t>
  </si>
  <si>
    <t>['kasih', 'bintang', 'nyoba', 'apk', 'bagus', 'ditambahin']</t>
  </si>
  <si>
    <t>['muncul', 'layar', 'putih', 'ngk', 'log', '']</t>
  </si>
  <si>
    <t>['parah', 'aplikasi', 'udah', 'blank', 'putih', 'perbaiki', 'bug']</t>
  </si>
  <si>
    <t>['login', 'telkomsel', 'knp', 'muncul', 'ngeblank', 'putih', 'mohon', 'solusinya', '']</t>
  </si>
  <si>
    <t>['knapa', 'blank', 'white', 'screen', 'solusi', '']</t>
  </si>
  <si>
    <t>['game', 'bonus', 'pulsa']</t>
  </si>
  <si>
    <t>['min', 'tolong', 'buatkan', 'pilihan', 'mematikan', 'penggunaan', 'pulsa', 'paket', 'kek', 'provider', 'biru', 'heran', 'ngisi', 'pulsa', 'abis', 'internetan', '']</t>
  </si>
  <si>
    <t>['app', 'praktis', 'mantap']</t>
  </si>
  <si>
    <t>['beh', 'mantep', 'banget', 'beli', 'paket', 'unlimited', 'sinyalnya', 'soak', 'duit', 'emmak', 'terima', 'kasih', 'telkomsel', '']</t>
  </si>
  <si>
    <t>['kecewa', 'buka', 'aplikasi', 'telkom', 'buka', 'aplikasinya']</t>
  </si>
  <si>
    <t>['aplikasi', 'nggak', 'dibuka', 'nggak', 'nyaman', 'banget']</t>
  </si>
  <si>
    <t>['jaringannya', 'lemot']</t>
  </si>
  <si>
    <t>['layarnya', 'putih', 'nga', 'terbuka', 'pusing', '']</t>
  </si>
  <si>
    <t>['sinyalnya', 'darah', 'ujan', 'sinyal', 'ilang', 'mati', 'lampu', 'sinyal', 'ilang', '']</t>
  </si>
  <si>
    <t>['bagusin', 'jaringamu', 'telkomsel', 'babi']</t>
  </si>
  <si>
    <t>['game', 'knpa', 'sinyalnya', 'lemot', 'nyh', 'doang', '']</t>
  </si>
  <si>
    <t>['gaguna', 'ges', 'bintang', 'sipelit', 'goa', 'hantu']</t>
  </si>
  <si>
    <t>['jaringan']</t>
  </si>
  <si>
    <t>['telkomsel', 'jelek', 'mahal', 'kali', 'harga', 'paketnya', 'udh', 'jaringan', 'jelek', 'murahin', 'dikit', 'harganya']</t>
  </si>
  <si>
    <t>['kecewa', 'geram', 'aplikasi', 'bermasalah', 'eror', 'aplikasi', 'seminggu', 'pegawai', 'negara', 'midset', 'zona', 'nyaman', '']</t>
  </si>
  <si>
    <t>['buka', 'mytelkomsel', 'gambarnya', 'putih']</t>
  </si>
  <si>
    <t>['plsa', 'terpotong', 'kuota', 'gb', 'terpotong']</t>
  </si>
  <si>
    <t>['tsel', 'menyarani', 'pengguna', 'keluhan', 'mesti', 'hubungi', 'bot', 'apan', 'maaf', 'hubungi', 'via', 'call', 'keluhan', 'tempo', 'laksanakan', 'terselesaikan', 'alasan', 'logika', 'internet', 'kota', 'jaringan', 'lte', 'gagal', 'kecepatan', 'normal', 'lihat', 'keluhan', 'pengguna', 'lainny', 'bermasalah', 'solusi', 'faktanya', 'abal', 'abal']</t>
  </si>
  <si>
    <t>['developer', 'payah', 'aplikasi', 'sampah', 'berguna', 'merugikan', 'kuota', '']</t>
  </si>
  <si>
    <t>['dibuka', 'samsung', 'tolong', 'dibenerin', '']</t>
  </si>
  <si>
    <t>['ayolah', 'telkom', 'combo', 'unli', 'rb', 'ilang']</t>
  </si>
  <si>
    <t>['update', 'berkala', 'cek', 'pulsa', 'kuota', 'matikan', 'data', 'lemes', 'preen', 'tuker', 'poin', 'ratusan', 'ribuan', 'gapernah', 'nyantol']</t>
  </si>
  <si>
    <t>['makasih', 'kasih', 'promo', 'besaran']</t>
  </si>
  <si>
    <t>['telkomsel', 'ngentd', 'jaringan', 'lelet', 'kek', 'siput', 'paket', 'mahal', 'anjng']</t>
  </si>
  <si>
    <t>['apk', 'geming', 'wajib', 'donlot']</t>
  </si>
  <si>
    <t>['bersahabat', 'harganya']</t>
  </si>
  <si>
    <t>['telkomsel', 'babi', 'jaringan', 'lelet', 'promo', 'paket', 'mahal', 'setan', 'sia', 'beli', 'paket', 'mahal', 'jaringan', 'babi']</t>
  </si>
  <si>
    <t>['isi', 'pulsa', 'aktifin', 'paket', 'kau', 'sedot', 'pulsa', 'taiikkk', 'udah', 'kali', 'isi', 'pulsa', 'kau', 'sedot', 'mulu', 'gimana', 'tsel', 'fitur', 'lock', 'pulsa', 'masak', 'isi', 'pulsa', 'habis', 'smua', 'pulsa', 'kau', 'sedot', 'ngls', 'sampe', 'menit', 'aktifin', 'paket', 'taaaaikkkk', 'assssuuuu']</t>
  </si>
  <si>
    <t>['error', 'mulu', 'susah', 'banget', 'masuknya']</t>
  </si>
  <si>
    <t>['', 'bsa', 'masuk', 'aplikasinya', 'mkin', 'jlk']</t>
  </si>
  <si>
    <t>['aplikasi', 'blank', 'white', 'nggk', '']</t>
  </si>
  <si>
    <t>['jelek', 'paketannya', 'bos', 'kartu', 'tawaran', 'promo', '']</t>
  </si>
  <si>
    <t>['telkomsel', 'mahal', 'doang', 'sinyal', 'jelek', 'banget']</t>
  </si>
  <si>
    <t>['knapa', 'sekrang', 'buka', 'aplikasi']</t>
  </si>
  <si>
    <t>['habis', 'update', 'dibuka', 'help', 'minnnn']</t>
  </si>
  <si>
    <t>['cek', 'pulsa', 'kuota', 'rumit', 'data', 'emang', 'mudah', 'gampangan', 'sms']</t>
  </si>
  <si>
    <t>['parah', 'banget', 'jaringan', 'telkomsel', 'ditempatku', 'auto', 'ganti', 'kartu', 'mah']</t>
  </si>
  <si>
    <t>['bagus', 'membantu', 'tpi', 'promo', 'twmbah', 'bulanan']</t>
  </si>
  <si>
    <t>['aplikasi', 'update', 'dibuka', 'alasan', 'penjelasan', 'putih', 'layarnya', 'kaya', 'error', 'sajian', 'tks']</t>
  </si>
  <si>
    <t>['sinyal', 'kek', 'taek', 'ilaang', 'ilangan', 'muluk', 'paket', 'mahal', 'kek', 'setan', '']</t>
  </si>
  <si>
    <t>['kecewa', 'upgrate', 'buka', 'aplikasi', 'layar', 'putih', 'kecewa']</t>
  </si>
  <si>
    <t>['kali', 'telkomsel']</t>
  </si>
  <si>
    <t>['desa', 'bedung', 'kec', 'palengaan', 'sinyal', 'jelek']</t>
  </si>
  <si>
    <t>['pas', 'download', 'aplikasinya', 'cepat', 'pas', 'login', 'lambat', '']</t>
  </si>
  <si>
    <t>['kenapq', 'buka', 'app']</t>
  </si>
  <si>
    <t>['rusak', 'banget', 'ajjg', 'update', 'layar', 'putih', 'ajjjg']</t>
  </si>
  <si>
    <t>['tukang', 'nyedot', 'pulsa', 'sadis']</t>
  </si>
  <si>
    <t>['', 'aplikasi', 'membantu', '']</t>
  </si>
  <si>
    <t>['banget', 'asli', 'sinyalnya', 'rajeg', 'kali', 'bertahun', 'telkomsel', 'sinyalnya', 'ilang', 'sampe', 'seminggu']</t>
  </si>
  <si>
    <t>['membantu', 'paket', 'habis', 'good']</t>
  </si>
  <si>
    <t>['tolong', 'bagimana', 'pakai', 'telkomsel', 'aplikasi', 'tolong', 'solusi', 'telkomsel', 'samsung', '']</t>
  </si>
  <si>
    <t>['bagus', 'banget', 'promo', '']</t>
  </si>
  <si>
    <t>['bagus', 'bangat', 'beli', 'pulsa', 'kouta', 'ponsel', 'lagii', 'tinggal', 'beli', 'aplikasi', 'telkomsel']</t>
  </si>
  <si>
    <t>['membantu', 'perfect', '']</t>
  </si>
  <si>
    <t>['jaringan', 'internet', 'tolong', 'perbaiki', 'tingkatkan', 'kecepatannya', 'trimakasih', '']</t>
  </si>
  <si>
    <t>['mengerti', 'kartu', 'telkomsel', 'tersedot', 'pulsa', 'ratusan', 'ribu', 'bertanggung', 'menyalakan', 'data', 'internet', 'memakai', 'wifi', 'top', 'apapun', 'pulsa', 'tersedot', 'gerai', 'operator', 'terdekat', 'menelpon', 'operator', '']</t>
  </si>
  <si>
    <t>['blank', 'putih', 'aplikasi']</t>
  </si>
  <si>
    <t>['isi', 'pulsa', 'detik', 'langsung', 'habis', '']</t>
  </si>
  <si>
    <t>['kecewa', 'provider', 'telkomsel', 'operator', 'indonesia', 'network', 'jaringan', 'berpindah', 'nyangka', 'operator', 'indonesia', 'minus']</t>
  </si>
  <si>
    <t>['log', 'aplikasi', 'beli', 'paket', 'data', 'mohon', 'bantuannya', '']</t>
  </si>
  <si>
    <t>['puas', 'kerena', 'paket', 'murah', 'murah']</t>
  </si>
  <si>
    <t>['pelayanannya', 'buruk', 'isi', 'pulsa', 'metode', 'pembayaran', 'gopaylater', 'saldo', 'gopaylater', 'terpotong', 'pulsa', 'kemarin', 'masuk', 'tolong', 'perbaiki']</t>
  </si>
  <si>
    <t>['aplikasi', 'engga', 'dibukaaaa', 'blang', 'putih']</t>
  </si>
  <si>
    <t>['semoga', 'bermanfaat', 'semoga', 'sinyal', 'putus', 'nyambung', 'lelet', 'mkcih', '']</t>
  </si>
  <si>
    <t>['paketan', 'mahal', 'jaringan', 'lemot', 'sesuai', 'dimana', 'harga', 'kualitas', 'harga', 'doang', 'kualitas', 'buruk', 'manding', 'operator', 'udh', 'dapet', 'internet', 'unli', 'sebulan', 'jaringan', 'mendingan', 'tsel', 'mahal', 'lemot']</t>
  </si>
  <si>
    <t>['harap', 'aplikasi', 'manfaat', 'pengguna', 'telkomsel', 'indonesia', 'pelayanan']</t>
  </si>
  <si>
    <t>['sampe', 'jaringan', 'buruk', 'kaya', 'gini', 'udah', 'mahal', 'jaringan', 'kaya', '']</t>
  </si>
  <si>
    <t>['mantap', 'apk', 'telkomsel', 'bermutu', 'daftar', 'paket', 'data', 'murah', 'ribet', 'telkomsel', 'the', 'bhestttttt']</t>
  </si>
  <si>
    <t>['sinyal', 'gajelas', 'hilang', 'make', 'ngecewain', '']</t>
  </si>
  <si>
    <t>['apknya', 'rusak', 'nggk', 'donlot']</t>
  </si>
  <si>
    <t>['ccd', 'minggu', 'internet', 'gerak']</t>
  </si>
  <si>
    <t>['belanja', 'telkomsel', 'ribet', '']</t>
  </si>
  <si>
    <t>['harga', 'paket', 'internet', 'pengguna', 'berbeda', 'hargai', 'pengguna', 'setia', 'telkomsel', 'jaringan', 'lemah', 'parah']</t>
  </si>
  <si>
    <t>['mohon', 'tolong', 'telkomsel', 'jaringannya', 'betulin', 'main', 'game', 'jaringanya', 'ilang', 'woy', 'astagaaa', 'kasih', 'bintang', 'jaringan', 'perbaiki', '']</t>
  </si>
  <si>
    <t>['maaf', 'kak', 'developer', 'aplikasinya', 'update', 'kebuka', 'mencoba', 'instal', 'berulang', 'kali']</t>
  </si>
  <si>
    <t>['membantu', 'kelancaran', 'berkomunikasi', '']</t>
  </si>
  <si>
    <t>['', 'waras', 'telkomsel', 'isi', 'pulsa', 'hilang', 'hutang', 'kuota', 'knp', 'telkom', 'ajg', '']</t>
  </si>
  <si>
    <t>['pakai', 'kartu', 'telkomsel', 'jaringannya', 'bagus', 'mending', 'pakai', 'kartu', 'tri', 'jaringannya', 'cepat', 'tekomsel']</t>
  </si>
  <si>
    <t>['sungguhh', 'menarikk']</t>
  </si>
  <si>
    <t>['ngeblank', 'putih', 'akses', 'mohon']</t>
  </si>
  <si>
    <t>['kash', 'bntang', 'dlu', 'blm', 'ngerti']</t>
  </si>
  <si>
    <t>['beli', 'mahal', 'lag', 'banget', 'susah', 'main', 'game', 'patah', 'mentang', 'turnamen', 'lag', 'payah', '']</t>
  </si>
  <si>
    <t>['tukar', 'poin', 'pulsa']</t>
  </si>
  <si>
    <t>['pertahankan', 'sinyal']</t>
  </si>
  <si>
    <t>['kebanyakan', 'iklan', 'bergunaa', 'mengganggu']</t>
  </si>
  <si>
    <t>['bagus', 'terimakasih', 'telkomsel', 'jaya', '']</t>
  </si>
  <si>
    <t>['semoga', 'telkomsel', 'jaya', 'pakai', 'telkomsel', 'jaringannya', 'bagus', 'amin']</t>
  </si>
  <si>
    <t>['tolong', 'aplikasi', 'permudah']</t>
  </si>
  <si>
    <t>['wuaduh', 'coba', 'hubungin', 'kakak', 'kakak', 'apps', 'mobile', 'error', 'suruh', 'kakak', 'kerja', 'telkom', 'apps', 'telkom', 'terbaru', 'error', 'depannya', '']</t>
  </si>
  <si>
    <t>['alhamdulillah', 'memuaskan', 'semoga', 'lancar', '']</t>
  </si>
  <si>
    <t>['simpati', 'jaringan', 'gembel', 'udah', 'hujan', 'kebiasaan']</t>
  </si>
  <si>
    <t>['membeli', 'paket', 'apapun', 'pulsa', 'terpotong']</t>
  </si>
  <si>
    <t>['', 'instal', 'buka', 'blank', 'putih']</t>
  </si>
  <si>
    <t>['niat', 'beli', 'pulsa', 'bayar', 'pulsa', 'darurat', 'kesedot', 'paket', 'darurat', 'kesedot', 'paketan', 'gajelas', 'ajg', 'kalinya', 'males', 'beli', 'pulsa', 'telkomsel', '']</t>
  </si>
  <si>
    <t>['tawaran', 'date', 'telkomsel', 'ter', 'install', 'buka', 'layar', 'lcd', 'blank', 'date', 'solusinya', 'thanks']</t>
  </si>
  <si>
    <t>['diperbaharui', 'aplikasi', 'dibuka', 'data', 'internet', 'jaringan', 'disayangkan', 'mohon', 'diperbaiki', 'unistal', 'dlu', 'aplikasi', '']</t>
  </si>
  <si>
    <t>['pulsa', 'kesedot', 'harga', 'paket', 'mahal', '']</t>
  </si>
  <si>
    <t>['parah', 'buka']</t>
  </si>
  <si>
    <t>['pakai', 'telkomsel', 'lumayan', 'bagus']</t>
  </si>
  <si>
    <t>['aplikasi', 'jaringan', 'telkomsel', 'lemot', 'harga', 'kuota', 'mahal', 'jaringan', 'murahan']</t>
  </si>
  <si>
    <t>['buka', 'aplikasi']</t>
  </si>
  <si>
    <t>['aplikasi', 'mengecewakan']</t>
  </si>
  <si>
    <t>['pulsa', 'berkurang', 'pemakaian', '']</t>
  </si>
  <si>
    <t>['membuka', 'aplikasi', 'udh', 'instal', 'tpi', 'ttp', 'buka', 'aprikadi', 'tolong', 'perbaiki', 'aplikasi']</t>
  </si>
  <si>
    <t>['udah', 'harganya', 'mahal', 'sinyal', 'kek', 'babi']</t>
  </si>
  <si>
    <t>['nyoba', 'bagus', 'bintang']</t>
  </si>
  <si>
    <t>['aplikasi', 'minggu', 'dibuk', '']</t>
  </si>
  <si>
    <t>['buka', 'bukanya', 'bener', 'ribet']</t>
  </si>
  <si>
    <t>['apknya', 'bagus']</t>
  </si>
  <si>
    <t>['telkomsel', 'lemot', 'susah', 'buka', '']</t>
  </si>
  <si>
    <t>['pulsa', 'kesedot', 'gaielas', 'paket', 'data', 'nonaktif']</t>
  </si>
  <si>
    <t>['kurangin', 'bintangnya', 'aplikasinya', 'buka', 'kecewa', '']</t>
  </si>
  <si>
    <t>['kecewa', 'apk', 'update', 'nggk', 'kebuka']</t>
  </si>
  <si>
    <t>['pengalaman', 'jaringan', 'parah', 'nonton', 'online', 'aman', 'main', 'game', 'online', 'jaringan', 'musnah', 'kerennn']</t>
  </si>
  <si>
    <t>['senang', 'aplikasi', 'terimakasih', 'telkomsel', '']</t>
  </si>
  <si>
    <t>['boss', 'buka', 'aplikasi', 'telkomsel', '']</t>
  </si>
  <si>
    <t>['telkomsel', 'beli', 'paket', 'milih', 'milih', 'kartu', '']</t>
  </si>
  <si>
    <t>['suka', 'banget', '']</t>
  </si>
  <si>
    <t>['appnya', 'dibuka', 'trus', 'beli', 'paket', 'beda', 'beli', 'app', '']</t>
  </si>
  <si>
    <t>['bonusnya']</t>
  </si>
  <si>
    <t>['mantap', 'promo', '']</t>
  </si>
  <si>
    <t>['kagak', 'masuk', 'warna', 'putih', 'kagak', 'masuk', 'woy', 'plis', 'didonlod', 'entar', 'ketipu']</t>
  </si>
  <si>
    <t>['astaga', 'min', 'tolong', 'komplen', 'susah', 'banget', 'trs', 'app', 'gini', 'parah', 'seh']</t>
  </si>
  <si>
    <t>['pakai', 'android', 'type', 'dipakai']</t>
  </si>
  <si>
    <t>['kasih', 'bintang', 'sinyalnya', 'kaya', 'ajim', 'jelek', 'sinyal', 'bagus', 'gua', 'kasih', 'bintang', '']</t>
  </si>
  <si>
    <t>['puas', 'pakai', 'telkomsel', 'jaman', 'blm', 'internet', 'jadul', 'chat', 'tlpnan', 'kualitas', 'telkomsel', 'memuaskn', 'anti', 'lemot', 'sinyal', 'jernih', 'disegala', 'tmpt', 'disegala', 'kondisi', 'skrgpun', 'telkomsel', 'jariang', 'internet', 'ckup', 'memuaskn', 'ttp', 'terbaik', 'wlau', 'blkgn', 'terkdg', 'suka', 'sdkit', 'ngload', 'browsing', 'dll', 'ttp', 'mengganggu', 'kualiats', 'chat', 'tlpnan', 'selebihnya', 'dikatakn', 'memuaskn', 'pokonya', 'telkomsel', 'ttp', 'terbaik', 'hati', 'thanks', 'yaa']</t>
  </si>
  <si>
    <t>['murahin', 'doank', 'paket', 'data']</t>
  </si>
  <si>
    <t>['bang', 'pulsa', 'koh', 'berkurang', 'beli', 'beli', '']</t>
  </si>
  <si>
    <t>['aplikasi', 'bapuk', 'bsa', 'buka']</t>
  </si>
  <si>
    <t>['beli', 'paket', 'murah', 'banget', 'makasih', 'yaa', '']</t>
  </si>
  <si>
    <t>['aplikasi', 'ampas', 'buka']</t>
  </si>
  <si>
    <t>['jangkauan', 'luaa', 'sinyal', 'kenceng', 'lancar', 'promo', 'poin', 'poin', 'cashback', 'dahsyat']</t>
  </si>
  <si>
    <t>['lemooooot', 'banget', 'buka', 'aplikasinya', 'pikir', 'keluarga', 'rekan']</t>
  </si>
  <si>
    <t>['apknya', 'jelek', 'udah', 'potong', 'pulsanya', 'kuotanya', 'masuk']</t>
  </si>
  <si>
    <t>['bos', 'ku', 'aplikasi', 'telk', 'buka', 'barangkali', '']</t>
  </si>
  <si>
    <t>['mytelkomsel', 'buka', 'tks']</t>
  </si>
  <si>
    <t>['bagus', 'cuman', 'loading', 'banget', 'error', 'blank', 'putih', 'apk', 'dibuka']</t>
  </si>
  <si>
    <t>['kecewa', 'aplikasi', 'skrg', 'bintang', 'kurangi', 'sampe', 'aplikasi', 'dipake']</t>
  </si>
  <si>
    <t>['buka', 'banget', 'udh', 'diemin']</t>
  </si>
  <si>
    <t>['knp', 'telkomselku', 'buka']</t>
  </si>
  <si>
    <t>['tlong', 'jaringn', 'telkomsel', 'perbaiki', 'pelanggan', 'puas']</t>
  </si>
  <si>
    <t>['lihat', 'paket', 'aktif', 'bahagia', 'bngt', 'beli', 'pulsa', 'trus', 'beli', 'paket', 'aktif', 'nggak', 'taunya', 'tulisan', 'koneksi', 'signal', 'full', 'nggak', 'gitu', 'kesalahan', 'tolong', 'jelasin', 'min', 'udah', 'cinta', 'bngt', 'ama', 'telkomsel', '']</t>
  </si>
  <si>
    <t>['bonus', 'gb', 'murah', 'paketan']</t>
  </si>
  <si>
    <t>['pindah', 'gadget', 'blank', 'putih', 'gimana', 'telkomsel', 'beli', 'paket']</t>
  </si>
  <si>
    <t>['paketnya', 'mahal', 'mahal', '']</t>
  </si>
  <si>
    <t>['yaa', 'buka', 'telkomsel', 'putih', 'layarnya', '']</t>
  </si>
  <si>
    <t>['aplikasinya', 'dibuka', 'dihp', '']</t>
  </si>
  <si>
    <t>['jaringan', 'telkomsel', 'kota', 'jambi', 'lemot', 'bener', 'dtk', 'udah', 'lbh', 'thn', 'perumahan', 'ganti', 'keyang']</t>
  </si>
  <si>
    <t>['point', 'paket']</t>
  </si>
  <si>
    <t>['ohh', 'dlondong', 'udah', 'update', 'update', 'buka', 'gimnana', 'sihh', '']</t>
  </si>
  <si>
    <t>['maaf', 'kuragin', 'bintang', 'soalya', 'harga', 'paket', 'mahal', 'perigatkan', 'telkomsel', 'menurunkan', 'harga', 'nati', 'kasih', 'bintag', '']</t>
  </si>
  <si>
    <t>['udah', 'capek', 'capek', 'ngabisin', 'kuota', 'download', 'buka', 'sesuai', 'iklannya', '']</t>
  </si>
  <si>
    <t>['jelek', 'telkomsel', 'hujan', 'sinyal', 'hilang', 'kalah', 'operator', '']</t>
  </si>
  <si>
    <t>['gue', 'orang', 'keberapa', 'mengeluhkan', 'app', 'telkomsel', 'dibuka', 'parah', 'telkomsel', '']</t>
  </si>
  <si>
    <t>['knapa', 'bika']</t>
  </si>
  <si>
    <t>['disayangkan', 'kuota', 'utama', 'prioritas', 'kuota', 'nomat', 'youtube', 'sosmed', 'dipotong', 'kuota', 'utamanyadulu', 'kuota', 'utama', 'habis', 'kuota', 'nomat', 'gabisa', 'dipake']</t>
  </si>
  <si>
    <t>['kak', 'gmn', 'apk', 'error', 'login', 'loading', 'trs', 'putih', 'trs', 'nge', 'stuck']</t>
  </si>
  <si>
    <t>['telkomsel', 'telkomsel', 'sya', 'pelanggan', 'setia', 'buka', 'aplikasi', 'telkomselnya', 'behh', 'parah', 'diperbaikin', 'mimin', 'mimin', 'mimin', 'mimin', '']</t>
  </si>
  <si>
    <t>['udah', 'update', 'dibuka', 'parah']</t>
  </si>
  <si>
    <t>['gangguan', 'dibuka']</t>
  </si>
  <si>
    <t>['telkomsel', 'sinyal', 'jelek', 'bet', 'edit', 'sinyal', 'udah', 'bagus', 'min', 'tinggal', 'penguncian', 'pulsa', 'permurah', 'harga', 'quota']</t>
  </si>
  <si>
    <t>['mudah', 'membantu', 'pemakaian', 'kuota', 'unlimitide', 'dipakai', 'kuota', 'utama', 'habis', 'bagus', 'dipisah', 'makasih', '']</t>
  </si>
  <si>
    <t>['harga', 'paketnya', 'mahal', '']</t>
  </si>
  <si>
    <t>['jaringan', 'telkomsel', 'payah', 'lemot']</t>
  </si>
  <si>
    <t>['kecewa', 'pooll', 'lelet', 'let', 'let', 'uda', 'smpt', 'pra', 'bayar', 'mlh', 'leletnya', 'ktulungan', 'daerah', 'sby', 'thn', 'bln', 'telahir', 'simpati', 'ganti', 'lelet', 'let', 'let']</t>
  </si>
  <si>
    <t>['blank', 'putih', 'aplikasi', 'berfungsi', '']</t>
  </si>
  <si>
    <t>['sekarangpun', 'apknya', 'bsa', 'bukaa']</t>
  </si>
  <si>
    <t>['tingkatkan', 'kualitas', 'layanan', 'telkomsel', 'program', 'hadiah', 'kaum', 'susah', 'hadiah', 'jaringannya', 'buruk', 'bagus', 'aplikasi', 'khusus', 'daerah', 'sinyal', 'data', '']</t>
  </si>
  <si>
    <t>['jdi', 'mahal', 'harga', 'paketnya']</t>
  </si>
  <si>
    <t>['aplikasi', 'diinstall', 'dibuka', 'blank', 'klik', 'muncul', 'layar', 'putih', 'dibilang', 'internet', 'lambat', 'provider', 'telkomsel', 'internet', 'cepet', '']</t>
  </si>
  <si>
    <t>['bug', 'buka', 'samsung', 'uninstall', 'install', 'bug', 'mohon', 'perbaiki', 'sistemnya', 'admin', 'seminggu', 'nomor', 'login', 'apps', 'telkomsel', 'bug', 'login', '']</t>
  </si>
  <si>
    <t>['apknya', 'buka', 'gimana', 'beli', 'kuota']</t>
  </si>
  <si>
    <t>['aplikasi', 'bergambar', 'halaman', 'putih', 'android', 'versi', 'masak', 'kompatibel', 'temen', 'versi', 'mohon', 'telkomsel', 'pelayananya']</t>
  </si>
  <si>
    <t>['paket', 'unlimited', 'youtube', 'ngga', 'ambil', 'kuota', 'utama', 'lapor', 'kasih', 'bukti', 'suruh', 'tunggu', 'krmarin', 'kejelasan', '']</t>
  </si>
  <si>
    <t>['pas', 'beli', 'paket', 'promo', 'nomor', 'paketnya', 'masuk', 'pulsa', 'ditarik', 'pas', 'beli', 'paket', 'darurat', 'tolong', 'diperbaiki']</t>
  </si>
  <si>
    <t>['update', 'membuka', 'pasang', 'wifi', 'lemot', 'sinyal', 'harganya', 'mahal']</t>
  </si>
  <si>
    <t>['telkomsel', 'notabene', 'perusahaan', 'negara', 'care', 'udpate', 'kebutuhan', 'konsumen', 'gini', 'sinyal', 'stabil', 'harga', 'paket', 'mahal', 'telkomsel', '']</t>
  </si>
  <si>
    <t>['udah', 'diupdate', 'bug', 'udah', 'nunggu', 'jam', 'buka', 'aplikasi', 'warna', 'putih', 'doang', 'login', 'masuk', 'masuk', 'mending', 'web', 'aplikasi', '']</t>
  </si>
  <si>
    <t>['terima', 'kasih', 'telkomsel', 'membantu', 'kegiatan', 'sehari', 'penjual', 'online', 'driver', 'ojek', 'online', 'semoga', 'beruntung', 'hadiah', 'program', 'undi', 'undi', 'hepi', 'motor', 'yamaha', 'max', 'sukses', 'tetaplah', 'konsisten', 'membangun', 'peradaban', 'dunia', '']</t>
  </si>
  <si>
    <t>['min', 'masuk', 'udah', 'login', 'berkali', 'kali', 'terpental', 'kasih', 'min', 'udah', 'login', 'kasi', '']</t>
  </si>
  <si>
    <t>['sinyalnya', 'ilang']</t>
  </si>
  <si>
    <t>['pas', 'dibuka', 'blank', 'cepet', 'diperbaiki', 'testimoni', 'komplain', 'media', 'sosial', 'akun', 'official']</t>
  </si>
  <si>
    <t>['pakai', 'aplikasi', 'bagus']</t>
  </si>
  <si>
    <t>['', 'pikir', 'keras', 'kertas', 'buka', 'apk', 'langsng', 'putih', 'layar', 'nyaa', 'besok', 'ganti', 'direktur', 'tsel', 'jaga', 'costumer', 'pemimpin', '']</t>
  </si>
  <si>
    <t>['puas', 'ama', 'telkomsel']</t>
  </si>
  <si>
    <t>['udah', 'uninstal', 'pas', 'download', 'tolong', 'admin', 'solusinya']</t>
  </si>
  <si>
    <t>['simpel', 'rumit']</t>
  </si>
  <si>
    <t>['beli', 'paket', 'mahal', 'jaringan', 'jelek', 'banget', 'parah', 'nyampe', 'dalem', 'rumah', 'kerja', 'iya', 'nongkrong', 'trus', 'parah', 'telkomsel', '']</t>
  </si>
  <si>
    <t>['bagus', 'mudah', 'diakses', 'dibuka', 'aplikasinya', 'blank', 'putih', 'gitu', '']</t>
  </si>
  <si>
    <t>['kecewa', 'telkomsel', 'promo', 'pemanis', 'doang', 'terpaksa', 'pilih', 'tsel', 'karna', 'butuh', 'pekerjaan', '']</t>
  </si>
  <si>
    <t>['good', 'aplikasinya', 'memudahkan', 'harga', 'kuotanya', 'murahin', 'bersaing', 'usul']</t>
  </si>
  <si>
    <t>['pakai', 'wifi', 'wifinya', 'gangguan', 'ngisi', 'pulsa', 'buka', 'jaringan', 'internet', 'pulsa', 'lgsg', 'disedot', 'rb', 'parah', 'trus', 'ngisi', 'rb', 'blm', 'menit', 'sisa', 'rb', 'hebat', 'telkomsel', 'kdg', 'berani', 'isi', 'pulsa', 'byk', 'boros', 'min', 'jaringan', 'krg', 'bagus', 'bkn', 'komplen', 'byk', 'komplen', 'miminnya']</t>
  </si>
  <si>
    <t>['update', 'app', 'buka', 'paket', 'mahal', '']</t>
  </si>
  <si>
    <t>['woy', 'tekkomsel', 'gua', 'blank', 'putih', 'woy', 'mao', 'beli', 'paketan', 'susah', 'abis', 'update', 'blank', 'gni', 'njiiiiiirrrr', 'tolong', 'org', 'molor']</t>
  </si>
  <si>
    <t>['maaf', 'admin', 'knapa', 'aplikasi', 'telkomsel', 'dibuka', 'perbaikan']</t>
  </si>
  <si>
    <t>['orang', 'orang', 'emang', 'telkomsel', 'engak', 'kouta', 'isi', 'pulsa', 'ketarik', 'internet', 'engak', 'putus', 'putus', 'engak', 'kepotong', 'exsis', 'kartu', 'nggak', 'ngomel', 'ngolmel', 'saran', 'isi', 'kouta', 'data', 'seluler', 'matiin', 'engak', 'kesedot', 'pulsa']</t>
  </si>
  <si>
    <t>['makasih', 'kuota', 'gratisnya']</t>
  </si>
  <si>
    <t>['system', 'samsung', 'hebat', 'akses', 'sngat', 'mudah', 'sngt', 'mudah', 'dimngrti', '']</t>
  </si>
  <si>
    <t>['doang', 'ngisi', 'pulsa', 'dapet', 'tipu', 'tipu']</t>
  </si>
  <si>
    <t>['anjj', 'bgdd', 'apk', 'buka', 'pas', 'udh', 'updt', 'paket', 'msi', 'gb']</t>
  </si>
  <si>
    <t>['sampe', 'gua', 'support', 'volte', 'realme', 'support', 'volte', '']</t>
  </si>
  <si>
    <t>['beli', 'telkomsel', 'gaes', 'jaringannya', 'bagus', 'jelek', 'kuotanya', 'mahal', 'cepat', 'habis', 'jarang']</t>
  </si>
  <si>
    <t>['knp', 'upgrade', 'kebuka', 'hapus', 'download', 'ttep', 'kebuka', 'gmn', 'telkomsel', '']</t>
  </si>
  <si>
    <t>['saran', 'jaringannya', 'tolong', 'dipercepat', 'desa', 'susah', 'cari', 'sinyal', 'rumah', 'tetangga', 'lantai', 'halangin', 'sinyal', 'dih', 'tambahin', 'paket', 'kuota', 'sosmed', 'gausah', 'kuota', 'internet', 'kuota', 'internet', 'trus', 'kuota', 'sosmednya', 'abis', 'beli', 'internetmax', 'sosmednya', 'hadeh', 'internet', '']</t>
  </si>
  <si>
    <t>['membantu', 'memuaskan', 'trimakasih']</t>
  </si>
  <si>
    <t>['knp', 'udah', 'seminggu', 'aplikasi', 'tsel', 'busa', 'dibuka', '']</t>
  </si>
  <si>
    <t>['update', 'uninstal', 'trs', 'install', 'cuman', 'gambar', 'putih', 'doang', 'trs', 'ngecrash', 'emg', 'mantep', 'aplikasi', 'aplikasi', 'terbuka', 'gimana', 'fitur', 'bantuan']</t>
  </si>
  <si>
    <t>['membeli', 'kuota', 'masuk', 'pulsa', 'berkurang', '']</t>
  </si>
  <si>
    <t>['pokoknya', 'apk', 'mantul', 'banget', '']</t>
  </si>
  <si>
    <t>['knp', 'apk', 'buka', 'loading', 'screen', 'putih', 'bet', 'benerin', 'donk', 'masuk', 'oyyy']</t>
  </si>
  <si>
    <t>['apps', 'dibuka', 'tolong', 'diperbaiki']</t>
  </si>
  <si>
    <t>['gimana', 'telkomsel', 'gagal', 'pas', 'beli', 'paket']</t>
  </si>
  <si>
    <t>['butanglah']</t>
  </si>
  <si>
    <t>['telkomsel', 'taik', 'jaringan', 'ngelag', 'paket', 'mahal', 'iklan', 'doang', 'jaringan', 'bagus', 'hasil', 'taik']</t>
  </si>
  <si>
    <t>['kartu', 'mahal', 'kuota', 'mahal', 'sinyal', 'pelit', 'najis', 'buka', 'lemot', 'ngelag', 'nglag', 'mengecewakan', '']</t>
  </si>
  <si>
    <t>['kuota', 'inet', 'habis', 'motong', 'otomatis', 'pulsa', 'terkuras', 'habis', 'sengaja', 'settingan', 'block', 'pengaman', 'pulsa', 'kga', 'terkuras', 'inet', 'klw', 'kuota', 'habis', 'buruk']</t>
  </si>
  <si>
    <t>['aplikasi', 'burik', 'kirim', 'kouta', 'teman', 'kouta', 'ketengan', 'utama', 'tqpi', 'cuman', 'internet', 'malam', 'dasr', 'apk', 'knttttttttl']</t>
  </si>
  <si>
    <t>['aplikasi', 'telkosel', 'beli', 'pulsa', 'ngga', 'buka', '']</t>
  </si>
  <si>
    <t>['mudah', 'lengkap', 'mohon', 'promo', 'kuota', 'murahnya', 'banyakin', 'aplikasinya', 'buka', 'muncul', 'layar', 'putih', '']</t>
  </si>
  <si>
    <t>['telkomsel', 'berperan', 'informasi', 'pengetahuan', '']</t>
  </si>
  <si>
    <t>['download', 'aplikasi', 'buka']</t>
  </si>
  <si>
    <t>['bagus', 'aplikasinya', 'kasih', 'bintan', '']</t>
  </si>
  <si>
    <t>['sya', 'minggu', 'blank', 'nampak', 'uodate', 'update', 'apk', 'menghapusnya', 'bbrapa', 'kali', 'mengoperasikannya', '']</t>
  </si>
  <si>
    <t>['udah', 'seminggu', 'aplikasi', 'buka', 'buka', 'kendala', 'gimana', 'memuaskan', 'aplikasinya', 'kebuka', 'edit', 'ratingnya']</t>
  </si>
  <si>
    <t>['kuota', 'pas', 'nyalain', 'data', 'seluler', 'pulsa', 'tetep', 'kepake', 'kepake', 'safe', 'pulsa', 'kecewa', '']</t>
  </si>
  <si>
    <t>['nggak', 'buka', 'blank', 'putih', 'bro', 'perbuatan', '']</t>
  </si>
  <si>
    <t>['sinyalnya', 'ampas', 'harganya', 'gasss', 'serah', 'ganti']</t>
  </si>
  <si>
    <t>['bener', 'bener', 'memuaskan', 'suka', 'lag', 'trus', 'tolong', 'kedepannya', 'dibenerin', 'kecewa', '']</t>
  </si>
  <si>
    <t>['bagus', 'sekli', 'beli', 'peket', 'data', 'terasfer', 'pulsa', 'orang']</t>
  </si>
  <si>
    <t>['buka', 'aplikasi', 'telkomsel', 'suruh', 'update', 'udah', 'update', 'muncul', 'halaman', 'putih', 'uninstal', 'instal', 'ulang', 'ttp', 'baca', 'ulasan', 'dibawah', 'ternyta', 'hnya', 'dibuka', 'android', 'versi', 'terbaru', 'maaf', 'min', 'pelanggan', 'uptodate', 'ganti', 'handphone', 'keluaran', 'terbaru', 'maaf', 'sinyal', 'kadang', 'min', 'tolong', 'gimana', 'kemarin', 'pergi', 'kerumah', 'saudara', 'rumahnya', 'pelosok', 'lho', 'tpi', 'sinyalnya', 'tolong', 'min', 'dibantu', 'pelanggan', 'puas', 'mkasih']</t>
  </si>
  <si>
    <t>['min', 'maaf', 'kemaren', 'update', 'aplikasinya', 'terupdate', 'nggak', 'muncul', 'tampilannya', 'putih', 'doang', 'coba', 'uninstal', 'instal', 'ulang', 'hasilnya', 'gimana', 'min', '']</t>
  </si>
  <si>
    <t>['', 'lelet']</t>
  </si>
  <si>
    <t>['aplikasi', 'bagus', 'alhamdulillah', 'paket', 'internet', 'murah', '']</t>
  </si>
  <si>
    <t>['gabisa', 'buka', 'apknya', 'nyesel', 'deh', 'download']</t>
  </si>
  <si>
    <t>['jaringannya', 'lemot', '']</t>
  </si>
  <si>
    <t>['kmrn', 'lusa', 'isi', 'kuota', 'ovo', 'sampe', 'skrg', 'masuk', 'udah', 'coba', 'aplikas', 'veronika', 'berkali', 'respon', 'skali', 'kesel', 'duit', 'melayang', 'sampe', 'skrg', 'perubahan', 'notif', 'apapun', 'udah', 'balesnya', 'virtual', 'csnya', 'tolong', 'kasih', 'payanan', 'bener', 'namanya', 'bagus', 'giliran', 'bgini', 'susahnya', 'setgh', 'mati', '']</t>
  </si>
  <si>
    <t>['telkomsel', 'parah', 'paket', 'mahal', 'kualitas', 'jaringan', 'parah', 'baget', 'kalah', 'kartu', 'tri']</t>
  </si>
  <si>
    <t>['bagus', 'sinyal', 'penuh', '']</t>
  </si>
  <si>
    <t>['teklomsel', 'knp', 'buka']</t>
  </si>
  <si>
    <t>['appnya', 'eror', 'dibuka', 'giaman']</t>
  </si>
  <si>
    <t>['gimana', 'buka', 'lgi', 'apk', 'telkomelnya', 'faham', 'berhubungan', 'admin', 'terimakasih']</t>
  </si>
  <si>
    <t>['aplikasinya', 'gabagus', 'nyedot', 'pulsa', 'dipotong', 'isi', 'pulsa']</t>
  </si>
  <si>
    <t>['', 'bagus', 'banget']</t>
  </si>
  <si>
    <t>['teruntuk', 'telkomsel', 'memprioritaskan', 'kenyamanan', 'pelanggannya', 'kehilangan', 'pulsa', 'sengaja', 'kepencet', 'data', 'selular', 'sakit', 'hati', 'lohh', 'beneran', 'percaya', 'cobain', '']</t>
  </si>
  <si>
    <t>['kurangi', 'bintang', 'apl', 'payah', 'buka', 'tarif', 'ngawur', 'unline', 'bohongan', '']</t>
  </si>
  <si>
    <t>['min', 'buka', 'mytelkomsel', 'udah', 'uninstal', 'download', 'ulang', 'tetep', 'gabisa', 'gimana', 'duh']</t>
  </si>
  <si>
    <t>['memuaskan', 'telkomsel']</t>
  </si>
  <si>
    <t>['masuk', 'aplikasi', 'mengecewakan', 'pelanggan', 'telkomsel']</t>
  </si>
  <si>
    <t>['pas', 'udah', 'update', 'buka', 'aplikasinyaaaaaaa', 'mengecawakan', 'sekalihh']</t>
  </si>
  <si>
    <t>['paketnya', 'mahal', 'mending', 'pindah', 'sebelah', 'udah', 'murah', 'harga', 'merakyat', 'bonusnya', 'nyesel', 'pakai', 'telkomsel', '']</t>
  </si>
  <si>
    <t>['teruntuk', 'telkomsel', 'unlimitid', 'batasan', 'promo', 'bacot', 'mending', 'jualan', 'bro', 'kesini', 'jaringan', 'lemot', 'mahal', 'harga', 'kualitas', 'ampas', 'harga', 'kualitas', 'maslah', 'mahal', 'bagus', 'kesini', 'ampas', 'unlimited', 'batasan', 'lawak', 'emang', 'telkomsel', 'kesini', 'konyol', '']</t>
  </si>
  <si>
    <t>['pengguna', 'hapus', 'paket', 'internet', 'aplikasi', 'karna', 'hak', 'karna', 'membeli', 'paket', '']</t>
  </si>
  <si>
    <t>['buka', 'samsung', 'askes', 'samsung', 'mohon', 'tindak', 'lanjuti', '']</t>
  </si>
  <si>
    <t>['unlimited', 'batas', 'gimana', 'bahasa', 'inggris', 'pup', 'iya', 'bener', 'bener', 'pup', 'hasilnya', 'mahal', 'berbondong', 'bondong', 'pelanggan', 'ganti', 'provider', 'very', 'dissapointed', '']</t>
  </si>
  <si>
    <t>['mohon', 'kemudahan', 'masuk', 'aplikasi', 'telkomsel', 'ribet', 'banget', 'verifikasi', 'aplikasi', 'kegiatan', 'perbankan']</t>
  </si>
  <si>
    <t>['provider', 'ampas', 'aplikasi', 'ampas', 'internetnya', 'lemot', 'blok', '']</t>
  </si>
  <si>
    <t>['lepas', 'erick', 'meyer', 'tarifnya', 'amburadul', '']</t>
  </si>
  <si>
    <t>['saran', 'gua', 'kaga', 'udah', 'beli', 'paketan', 'telkomsel', 'jaringan', 'kaga', 'beda', 'tri']</t>
  </si>
  <si>
    <t>['mytelkom', 'hebat', 'mudah', 'murah', 'diakses', 'dimana', '']</t>
  </si>
  <si>
    <t>['pengguna', 'telkomsel', 'susah', 'jaringan', 'kuat', 'cepat']</t>
  </si>
  <si>
    <t>['opsi', 'ngunci', 'pulsa', 'kaya', 'axis', 'nga', 'pulsa', 'raib']</t>
  </si>
  <si>
    <t>['tanggal', 'desember', 'udah', 'aplikasi', 'buka', 'line', 'chat', 'sampe', 'dihubungkan', 'customer', 'servicenya', 'tanggal', 'desember', 'proses', 'tunggu', 'repond', 'chat', 'direspond', 'tinggal', 'tidur', 'miminya', 'nanya', 'detail', 'kendala', 'dialami', 'tolong', 'jam', 'segitu', 'udah', 'tidur', 'dilayani', 'pas', 'pagi', 'nanyanya', 'pagi', '']</t>
  </si>
  <si>
    <t>['lumayan', 'cepet', 'sayang', 'regone', 'paket', 'mahal', 'bos']</t>
  </si>
  <si>
    <t>['mntap', 'aplikasi', '']</t>
  </si>
  <si>
    <t>['update', 'mulu', 'aplikasinya', 'jaringan', 'udgrade', 'heran', 'kuotanya', 'mahal', 'jaringan', 'lemot']</t>
  </si>
  <si>
    <t>['kecewa', 'srkali', 'aplikasi', 'buka', 'layar', 'putih', 'bener', 'kecewa']</t>
  </si>
  <si>
    <t>['sinyal', 'jeblok', 'jakarta', 'timur', 'nge', 'game', 'olshop', 'ngelag', 'ganti', 'provider', 'better', 'solution']</t>
  </si>
  <si>
    <t>['skrng', 'beli', 'pulsa', 'kepotong', 'perak', 'cth', 'beli', 'kepotong', 'gabisa', 'beli', 'kuota', 'tolol', 'telkomsel', 'gajelas', 'babbi']</t>
  </si>
  <si>
    <t>['nggak', 'buka', 'aplikasi', 'telkomsel', '']</t>
  </si>
  <si>
    <t>['simpel', 'byk', 'promo', 'semoga', 'kedepan', 'byk', 'paket', 'combo', 'promo', 'spesial']</t>
  </si>
  <si>
    <t>['jaringan', 'buruk', 'gitu', 'paket', 'mahal', 'jaringan', 'buruk', 'alhasil', 'pindah', 'provider', 'jaringan', 'andalkan', 'jarang', 'gangguan', 'provider', 'terima', 'kasih', 'telkomsel']</t>
  </si>
  <si>
    <t>['udah', 'mahal', 'sinyalnya', 'jelek', 'point', 'promonya', 'dikit', 'harganya']</t>
  </si>
  <si>
    <t>['buka', 'aplikasi', 'ponsel', 'tolong', 'perbaiki', '']</t>
  </si>
  <si>
    <t>['beli', 'paketan', 'app', 'buka', 'gimana', 'telkomsel', 'tolongbkerja', 'samanya', '']</t>
  </si>
  <si>
    <t>['aplikasi', 'mytelkomsel', 'diakses', 'download', 'pakai', 'lite', 'logo', 'putih', 'update', 'tan', 'logo', 'merah', 'tulisan', 'aplikasi', 'pelayanan', 'menurun', '']</t>
  </si>
  <si>
    <t>['aplikasi', 'sinyal', 'harga', 'pelayan', 'kualitas', 'memburuk', 'perusahaan', 'negara', 'pelayan', 'buruk', 'sinyal', 'harga', 'paketan', 'tolong', 'cepat', 'dibenerin', 'pindah', 'provider', 'bangkrut', '']</t>
  </si>
  <si>
    <t>['pokoknya', 'mantap', 'bnget', 'dehhh', '']</t>
  </si>
  <si>
    <t>['kartu', 'simpati', 'udah', 'enak', 'pakai', 'sinyal', 'bagus', 'kecewa', 'berat']</t>
  </si>
  <si>
    <t>['gimana', 'buka', 'telkomsel', 'susah', 'kali', 'masuk']</t>
  </si>
  <si>
    <t>['hallo', 'admin', 'mohon', 'maaf', 'memberitahukan', 'aplikasinya', 'pakai', 'samsung', 'aplikasi', 'buka', 'layar', 'berwarna', 'putih', 'mohon', 'aplikasinya', 'diperbaharui', 'kualitasnya', 'pengguna', 'telkomsel', 'sulit', 'membuka', 'aplikasi', 'paketan', 'data', 'telkomsel', 'mahal', 'terimakasih', 'admin', 'mohon', 'ditindaklanjuti', '']</t>
  </si>
  <si>
    <t>['jaringan', 'telkomsel', 'tolong', 'perbaiki', 'donk', 'daerah', 'kalianyar', 'tambora', 'koneksi', 'parah', 'beli', 'paket', 'mahal', 'koneksi', 'mah', 'jelek', 'parah', 'telkomsel', '']</t>
  </si>
  <si>
    <t>['sinyal', 'telkomsel', 'bogor', 'kota', 'kabupaten', 'burik', 'tolong', 'min', 'perbaiki', 'lgi', 'jaringan']</t>
  </si>
  <si>
    <t>['promo', 'dibeli', 'bayar', 'pulsa', 'susahnya', 'ampun', 'alhasil', 'bener', 'manual', 'diperbaiki', '']</t>
  </si>
  <si>
    <t>['murah', 'cepat']</t>
  </si>
  <si>
    <t>['apk', 'buka', 'tolong', '']</t>
  </si>
  <si>
    <t>['beli', 'membayar', 'kuota', 'masuk', 'yaa', 'tolong', 'ditindak', 'lanjuti', '']</t>
  </si>
  <si>
    <t>['tolong', 'jaringan', 'internet', 'telkomsel', 'perbaik', 'jaringan', 'internet', 'telkomsel', 'sekencang', 'khusus', 'berlokasi', 'daerah', 'pegunungan', 'bagus', 'tpi', 'lemah', 'jaringan', 'terimakasih', '']</t>
  </si>
  <si>
    <t>['', 'telkomsel', 'kog', 'layar', 'putih', 'sblmnya', 'nsh', 'bsa', 'knp', 'skr', 'uda', 'bsa', 'menjengkelkan']</t>
  </si>
  <si>
    <t>['aplikasi', 'kebuka', 'tampilan', 'layar', 'putih']</t>
  </si>
  <si>
    <t>['gimna', 'apk', 'buka', 'parahhh']</t>
  </si>
  <si>
    <t>['blank', 'putih', 'minggu', 'dibuka']</t>
  </si>
  <si>
    <t>['aplikasi', 'buka', 'jaringan', 'lemot']</t>
  </si>
  <si>
    <t>['minggu', 'akses', 'telkomsel', 'semenjak', 'upgrade', 'versi', 'terbaru', 'mohon', 'diperhatikan', 'kesulitan', 'monitor', 'status', 'quota', 'pulsa', 'belanja']</t>
  </si>
  <si>
    <t>['paket', 'combo', 'sakti', 'harganya', 'udah', 'pakai', 'terpaksa', 'rumah', 'sinyal', 'bagus', '']</t>
  </si>
  <si>
    <t>['lemot', 'aplikasi', 'blank', 'putih', 'dibuka']</t>
  </si>
  <si>
    <t>['pasang', 'paketan', 'aplikasinya', 'dibuka', 'parah', '']</t>
  </si>
  <si>
    <t>['terima', 'kasih', 'telkomsel', 'dpt', 'promo', 'teruss', 'lanjutkan', 'promonya', 'yaaa', 'good']</t>
  </si>
  <si>
    <t>['sumpah', 'buka', 'aplikasi', 'loading', 'internet', 'lancar', 'kali', 'gitu', 'yahahahaha', 'men']</t>
  </si>
  <si>
    <t>['ngak', 'buka', 'cma', 'warna', 'putih', 'layar', 'hadeeeeh', '']</t>
  </si>
  <si>
    <t>['min', 'gimana', 'udah', 'komplain', 'twitter', 'respon', 'aktifin', 'kuota', 'susah', 'aplikasi', 'tindaklanjuti', 'diemin', 'suruh', 'komplain', 'respon', 'gimanasih', '']</t>
  </si>
  <si>
    <t>['tolong', 'tingkatkan', 'kualitasnya', 'masuk', 'membuka', 'aplikasi']</t>
  </si>
  <si>
    <t>['layar', 'putih', 'kak', 'udah', 'kali', 'unistal', 'layar', 'putih', 'banget', 'telkomsel']</t>
  </si>
  <si>
    <t>['seringkali', 'ngdownload', 'aplikasi', 'mytelkomsel', 'pnh', 'dbuka', 'beli', 'pulsa', 'isi', 'paket', 'kepotong', 'beli', 'pulsa']</t>
  </si>
  <si>
    <t>['membantu', 'pokok', 'membantu']</t>
  </si>
  <si>
    <t>['stuck', 'blank', 'putih', 'mulu', 'wey', 'benerin']</t>
  </si>
  <si>
    <t>['jangkauan', 'mudah', 'cepat']</t>
  </si>
  <si>
    <t>['sulit', 'sinyal', 'telkomsel', '']</t>
  </si>
  <si>
    <t>['bener', 'nukar', 'point', 'undianya', 'menang', 'menag', 'beruntung', 'tolong', '']</t>
  </si>
  <si>
    <t>['', 'kasi', 'minggu', 'layar', 'putih', 'email', 'blm', 'tanggapan', 'knp', 'lyr', 'putih', 'mohon', 'diperbaiki', 'telkomsel', 'jng', 'kecewa', '']</t>
  </si>
  <si>
    <t>['moga', 'kuotanya', 'lbh', 'murah']</t>
  </si>
  <si>
    <t>['suka', 'aplikasi', 'mempermudah', 'cek', 'data', 'pulsa', 'ribet', 'ketik', 'ketik', 'angka']</t>
  </si>
  <si>
    <t>['bagus', 'apk', 'cuman', 'lelet', 'apk', '']</t>
  </si>
  <si>
    <t>['provider', 'kantor', 'mati', 'desktopku', 'jaringan', 'via', 'hotspot', 'paket', 'data', 'telkomsel']</t>
  </si>
  <si>
    <t>['kasih', 'paket', 'gb', 'sehari']</t>
  </si>
  <si>
    <t>['tolong', 'layanan', 'tingkatkan', 'aplikasi', 'buka', 'hapus', 'trus', 'download', 'buka', '']</t>
  </si>
  <si>
    <t>['kesini', 'apk', 'udh', 'berat', 'diakses', 'skrg', 'download', 'apk', 'sbnarnya', 'apk', 'sngat', 'memudahkan', 'membeli', 'paket', 'bulanan', 'semoga', 'tim', 'mengatasi', 'maslah', 'apk', '']</t>
  </si>
  <si>
    <t>['tolong', 'udah', 'provider', 'lemot', 'pilihan', 'kuota', 'mahal']</t>
  </si>
  <si>
    <t>['internet', 'lemot', 'tambh', 'telkomsel', 'buka', 'judeg', 'inih']</t>
  </si>
  <si>
    <t>['tolong', 'kuota', 'habis', 'potong', 'pulsa', 'pas', 'kuota', 'pulsa', 'kepotong', 'habis']</t>
  </si>
  <si>
    <t>['', 'pastinya', 'membantu', 'darurat', 'sukses', 'telkomsel']</t>
  </si>
  <si>
    <t>['mantap', 'lanjutkan']</t>
  </si>
  <si>
    <t>['instal', 'buka', 'yak', 'layar', 'putih', 'doang']</t>
  </si>
  <si>
    <t>['aplikasi', 'telokomsel', 'dibuka', 'pengupdatean', 'muncul', 'layar', 'putih']</t>
  </si>
  <si>
    <t>['mempermudah', 'membeli', 'paket', 'internet']</t>
  </si>
  <si>
    <t>['bagus', 'lemot']</t>
  </si>
  <si>
    <t>['semoga', 'rejeki', 'amin']</t>
  </si>
  <si>
    <t>['gimana', 'koq', 'apkikasi', 'dibuka']</t>
  </si>
  <si>
    <t>['jaringan', 'khusus', 'game', 'perbaiki']</t>
  </si>
  <si>
    <t>['tolong', 'pengguna', 'setia', 'telkomsel', 'paket', 'murah', '']</t>
  </si>
  <si>
    <t>['aplikasi', 'kadang', 'lemot', 'dibuka', 'ram', 'gb', '']</t>
  </si>
  <si>
    <t>['respon', 'super', 'duper', 'cepat', 'memudahkan', 'thankiyu', 'telkomsel']</t>
  </si>
  <si>
    <t>['kasih', 'bintang', 'karna', 'udh', 'download', 'bagus', 'truss', 'unistal', 'krna', 'memori', 'full', 'pas', 'instal', 'buka', 'tampilannya', 'blank', 'putih', 'jringan', 'lancar', 'mohon', 'infonya', '']</t>
  </si>
  <si>
    <t>['tetep', 'jelek', 'ngirim', 'otp', 'masuk', 'pulsa', 'makan']</t>
  </si>
  <si>
    <t>['beli', 'paket', 'mahal', 'jaringan', 'ngelag', 'gimana', 'tolonglh', 'cepat', 'diperbaiki']</t>
  </si>
  <si>
    <t>['aplikasinya', 'udah', 'kebuka', 'pulsa', 'kepotong', 'gmana', 'telkomsel']</t>
  </si>
  <si>
    <t>['aplikasi', 'dibuka', 'pas', 'dibuka', 'cuman', 'muncul', 'layar', 'putih', 'doang', '']</t>
  </si>
  <si>
    <t>['layarnya', 'putih', 'mulu']</t>
  </si>
  <si>
    <t>['sulit', 'diakses']</t>
  </si>
  <si>
    <t>['bagus', 'menarik', 'paketan', 'lumayan', 'mahal', 'setia', 'kartu', 'telkomsel']</t>
  </si>
  <si>
    <t>['udah', 'lma', 'mkek', 'kartu', 'telkomsel', 'harga', 'mkin', 'knpa', 'nambah', 'akun', 'tolong', 'perbaiki', '']</t>
  </si>
  <si>
    <t>['event', 'tukar', 'point', 'berlaku', 'pengguna', 'karna', 'beruntung', 'event', 'hoax']</t>
  </si>
  <si>
    <t>['aplikasi', 'nggak', 'dibuka', 'layar', 'putih']</t>
  </si>
  <si>
    <t>['pulsa', 'terpotong', 'aplikasi', 'diam', 'mencuri', 'pulsa', 'sya', 'merugikan', 'sya', 'pulsa', 'aman', 'terpotong', 'menit', 'pakai', 'abis', 'sia', '']</t>
  </si>
  <si>
    <t>['', 'ram', 'aplikasinyat', 'dibuka']</t>
  </si>
  <si>
    <t>['bagus', 'mudah', 'membantu']</t>
  </si>
  <si>
    <t>['jaringan', 'datanya', 'slow', 'banget', 'nyesel', 'banget', 'telkomsel']</t>
  </si>
  <si>
    <t>['aplikasi', 'membantu', 'detail', 'mudah', 'mengerti']</t>
  </si>
  <si>
    <t>['mahal', 'telkomsel', 'sehat', '']</t>
  </si>
  <si>
    <t>['parah', 'mengecewakan', 'aplikasi', '']</t>
  </si>
  <si>
    <t>['tolong', 'mytelkomsel', 'apk', 'dibuka', 'pliss', 'mohon', 'sekian', 'terimakasih']</t>
  </si>
  <si>
    <t>['harga', 'paket', 'mahal', 'kondisi', 'jaringannya', 'setabil', 'tolong', 'diperbaiki', 'kesetabilan', 'jaringannya']</t>
  </si>
  <si>
    <t>['telkomsel', 'emang', 'mntep']</t>
  </si>
  <si>
    <t>['knp', 'buka', 'aplokasi', 'mohon', 'solusinya']</t>
  </si>
  <si>
    <t>['intinya', 'parah', 'banget', 'lemooooootttt', 'jaringan', 'telkomsel']</t>
  </si>
  <si>
    <t>['apk', 'buka', 'update', 'gambar', 'blank', 'putih', 'gtu', 'kaga', 'update', 'hmm']</t>
  </si>
  <si>
    <t>['aplikasi', 'blank', 'gabisa', 'dibuka', '']</t>
  </si>
  <si>
    <t>['buka', 'aplikasi', 'layar', 'putih', 'tlg', 'bantuannya', 'uninstall', 'trs', 'install', 'ulang', 'pas', 'buka', 'layar', 'putih', 'solusinya', 'terima', 'kasih']</t>
  </si>
  <si>
    <t>['gini', 'sekrg', 'aplnya', 'gka', 'bika', 'lemot']</t>
  </si>
  <si>
    <t>['ngecewain', 'banget', 'uda', 'kartu', 'telkomsel', 'wktu', 'habis', 'update', 'gbisa', 'dibuka', 'palah', 'layarnya', 'putih', 'ditunggu', 'muncul', 'barusan', 'baca', 'komen', 'blng', 'dipake', 'android', 'keatas', 'gini', 'uda', 'laporan', 'skli', 'email', 'dijwb', 'pelayananya', 'buruk', 'apk', 'gabisa', 'dipakai', 'pdhl', 'samsung', 'blm', 'trllu', 'dikeluarkan', 'ttp', 'gbisa', 'uda', 'gitu', 'pulsa', 'hilang', 'wktu', 'pulsa', 'hilang', 'rb', 'kuota', 'masi']</t>
  </si>
  <si>
    <t>['mudah', 'membant', 'kasih']</t>
  </si>
  <si>
    <t>['bagus', 'kadang', 'promonya', 'sesuai', 'aplikasinya', 'sip']</t>
  </si>
  <si>
    <t>['setelab', 'update', 'blank', 'putih', 'buka']</t>
  </si>
  <si>
    <t>['kuota', 'kemudikput', 'kuota', 'pelajar', 'smua', 'aplikasi', 'cmn', 'browser', 'doang']</t>
  </si>
  <si>
    <t>['kacau', 'aplikasinya', 'dibuka', 'udah', 'restart', 'kebuka']</t>
  </si>
  <si>
    <t>['sinyal', 'lelet', 'telkomsel', '']</t>
  </si>
  <si>
    <t>['dibuka', 'blank', 'putih', 'sinyal', 'stabil', 'please', 'diperbaiki']</t>
  </si>
  <si>
    <t>['aplikasi', 'kebuka', 'knapa', 'gini', 'udah', 'direstart']</t>
  </si>
  <si>
    <t>['slalu', 'program', 'telkomsel', 'poin', 'unda', 'undi', 'nggk', 'prnh', 'dpt', '']</t>
  </si>
  <si>
    <t>['telkomsel', 'terbaik', 'service', 'harga', 'kartu', 'pengguna', 'worth', 'jaya', '']</t>
  </si>
  <si>
    <t>['aplikasi', 'buka', 'muncul', 'putih', 'trs', 'buka', 'aplikasi', 'telkomsel', 'tolong', 'perbaiki', 'tukar', 'poin']</t>
  </si>
  <si>
    <t>['telkomsel', 'bumn', 'mahal']</t>
  </si>
  <si>
    <t>['knp', 'buka', 'telkomsel', 'samsung', '']</t>
  </si>
  <si>
    <t>['sekian', 'aplikasi', 'kebuka', 'miriss', '']</t>
  </si>
  <si>
    <t>['dngn', 'aplikasi', 'telkomsel', 'mengecewakan', 'enggk', 'buka', 'cuman', 'muncul', 'layar', 'putih', 'instal', 'ulang', 'aplikasi', 'perbarui', 'mangkin', 'bagus', 'mangkin', 'hancur', 'enggk', 'pemberitahuan', '']</t>
  </si>
  <si>
    <t>['senang', 'memuaskan', 'paket', 'telponnya', 'murah', 'dikit', '']</t>
  </si>
  <si>
    <t>['aplikasi', 'lambat', 'beli', 'paketan', 'konfirmasi', 'telat', '']</t>
  </si>
  <si>
    <t>['kemarin', 'kmarin', 'cepat', 'siarang', 'lambat']</t>
  </si>
  <si>
    <t>['klaim', 'hadiah', 'alasan', 'jaringan', 'sibuk', 'dasar', 'php', '']</t>
  </si>
  <si>
    <t>['telkomsel', 'jaringan', 'seantero', 'penjuru']</t>
  </si>
  <si>
    <t>['membantu', 'kadang', 'akun', 'saran', 'kembangkan', 'aplikasinya']</t>
  </si>
  <si>
    <t>['kacaw', 'provider', 'ampun', 'gmn', 'aplikasi', 'dibuka', '']</t>
  </si>
  <si>
    <t>['aplikasinya', 'blank', 'putih', 'muluk', 'spasifikasi', 'rendah', 'tolong', 'aplikasi', 'peringan', 'alias', 'userfriendly', '']</t>
  </si>
  <si>
    <t>['telkomsel', 'update', 'terbaru', 'buka', 'solusikah', '']</t>
  </si>
  <si>
    <t>['maaf', 'cuman', 'kasih', 'bintang', 'aplikasi', 'blank', 'putih', 'coba', 'telkomsel', 'memuaskan', 'hasilnya', 'perubahan', 'intinya', 'jawabannya', 'kendala', 'alias', 'gangguan', 'protes', 'aplikasi', 'buka', 'blank', 'putih', 'quota', 'harga', 'selangit', 'sinyal', 'stabil', 'gimana', 'dicari', 'solusinya', 'bersiaplah', 'ditinggalkan', 'pelangganmu']</t>
  </si>
  <si>
    <t>['aplikasi', 'mytelkomsel', 'dibuka', 'bolak', 'delete', 'install', 'mohon', 'bantuannya']</t>
  </si>
  <si>
    <t>['update', 'tampilan', 'layar', 'putih', '']</t>
  </si>
  <si>
    <t>['', 'paham', 'telkomsel', 'buka', 'layar', 'putih', 'melulu', 'kesini', 'parah', 'maen', 'game', 'leg', 'leg', 'parahh', '']</t>
  </si>
  <si>
    <t>['kasih', 'bintang', 'telkomsel']</t>
  </si>
  <si>
    <t>['semoga', 'dpt', 'bagus']</t>
  </si>
  <si>
    <t>['kuota', 'mahal', 'kli', 'terpaksa', 'ampun', 'beli']</t>
  </si>
  <si>
    <t>['paket', 'kuota', 'mahal', 'rekomendedd']</t>
  </si>
  <si>
    <t>['jaringanmu', 'bagusin', '']</t>
  </si>
  <si>
    <t>['ngk', 'pantes', 'terima', 'bintang', 'pantesan', 'negara', 'ancur', 'perusahaan', 'pemerintahnya', 'suka', 'meras', 'rakyat', 'makan', 'uang', 'rakyat', 'gini', 'semoga', 'hidayah', 'dijauhkan', 'azab', 'didunia']</t>
  </si>
  <si>
    <t>['aplikasinya', 'kebuka', 'liat', 'penilaian', 'buka', 'android', '']</t>
  </si>
  <si>
    <t>['pastikan', 'yakinkan', 'teruskan', 'detik', 'update', 'upgrade', 'kecerdasan', 'macem', 'applikasi', 'telkomsel', 'online', 'offline', 'telkomsel', 'ditinggalkan', 'ratusan', 'juta', 'pelanggan', 'subscriber', 'telkomsel', 'ratusan', 'juta', 'rakyat', 'indonesia', 'sungguh', 'amin', 'amin', '']</t>
  </si>
  <si>
    <t>['habis', 'uprade', 'ndk', 'bukak', 'bukak', 'layar', 'putih', 'doang', 'hmmm']</t>
  </si>
  <si>
    <t>['pas', 'masuk', 'layar', 'putih', 'uninstal', 'layar', 'putih', 'masuk', 'gmn', 'pengen', 'beli', 'kuota', 'tolong', 'telkomsel']</t>
  </si>
  <si>
    <t>['ngirim', 'hadiah', 'paket', 'internet', 'nomor', 'app', '']</t>
  </si>
  <si>
    <t>['membantu', 'cek', 'pulsa', 'paket', 'data', 'harga', 'paket']</t>
  </si>
  <si>
    <t>['aplikasi', 'telkomsel', 'dibuka', 'reinstall', 'msh', 'tetep', 'sprti']</t>
  </si>
  <si>
    <t>['pelayanan', 'bagus', 'paketnya', 'lelet', 'jaringan', 'lelet', 'harga', 'mahal', 'beli', 'jaringan', 'trus', 'kek', 'tolong', 'perbaiki', 'banyakin', 'promonya']</t>
  </si>
  <si>
    <t>['aplikasinya', 'bagus', 'sayang', 'klaim', 'hadiah', 'chek', 'pulsa', 'mending', 'gede', 'pulsa', 'dibutuhkannya', 'cupa', 'menjengkelkan', '']</t>
  </si>
  <si>
    <t>['', 'bsa', 'buka', 'prbaiki', 'kualitasny']</t>
  </si>
  <si>
    <t>['gajelas', 'tbtb', 'ngeblank', 'putih', 'ditungguin', 'sampe', 'hpnya', 'ngunci', 'gaada', 'info', 'ngeblank', 'putih', 'payah', '']</t>
  </si>
  <si>
    <t>['performa', 'buruk', 'update', 'white', 'screen', 'bintang']</t>
  </si>
  <si>
    <t>['kacauuuuu', 'promosi', 'kayak', 'heu', 'aplikasi', 'buka', 'lieur', 'ach', '']</t>
  </si>
  <si>
    <t>['sinyal', 'jelek', 'kuota', 'kepake', 'chating', 'beli', 'kuota', 'gede', 'kepake', '']</t>
  </si>
  <si>
    <t>['penggunaan', 'kuwota', 'dibagi', 'internet', 'multimedia', '']</t>
  </si>
  <si>
    <t>['paketan', 'mahal', 'jelek', 'sinya']</t>
  </si>
  <si>
    <t>['sngat', 'bermnfaat', 'mempermudah', '']</t>
  </si>
  <si>
    <t>['mending', 'hapus', 'dibuka']</t>
  </si>
  <si>
    <t>['koneksi', 'internet', 'lambat', 'terputus', 'koneksi', 'internet', 'beli', 'paket', 'combo', 'udah', 'internet', 'andalkan', 'koneksi', 'internet', 'buruk', 'mengganggu', 'aktivitas', 'pekerjaan', 'bergantung', 'internet', 'koneksi', 'internet', 'ngak', 'perbaiki', 'pindah', 'operator', '']</t>
  </si>
  <si>
    <t>['semkin', 'eror', 'mulu', 'simpati', 'hadech', '']</t>
  </si>
  <si>
    <t>['jaringan', 'tolong', 'tingkatkan', '']</t>
  </si>
  <si>
    <t>['mohon', 'maaf', 'nich', 'aplikasinya', 'lemot', 'nggak', 'buka']</t>
  </si>
  <si>
    <t>['min', 'aplikasi', 'mytelkomsel', 'dibuka', '']</t>
  </si>
  <si>
    <t>['kosong', 'putih', 'melompong', 'error', 'kah', '']</t>
  </si>
  <si>
    <t>['udah', 'aplikasi', 'buka', 'beli', 'paket', 'jdi', 'kecewa', 'bnget']</t>
  </si>
  <si>
    <t>['bagus', 'nggak', 'menang', 'undian']</t>
  </si>
  <si>
    <t>['bembantu', 'dompet', 'kantong']</t>
  </si>
  <si>
    <t>['buka', 'applikasinya', 'terbuka', 'layarnya', 'putih', 'samsung', 'kasih', 'bintang', 'buka', 'applikasi']</t>
  </si>
  <si>
    <t>['', 'kecewa', 'apk', 'telkomsel', 'buka', 'alias', 'lemot', '']</t>
  </si>
  <si>
    <t>['masuk', 'aplikasi', 'telkomsel', 'layar', 'blank', 'putih', '']</t>
  </si>
  <si>
    <t>['apk', 'gamau', 'buka', 'udah', 'coba', 'download', 'ulang', 'gamau', 'tolong', 'diperbaiki']</t>
  </si>
  <si>
    <t>['', 'telkomsel', 'buka', 'boss']</t>
  </si>
  <si>
    <t>['koq', 'kesini', 'lemot', 'jaringanya', 'harga', '']</t>
  </si>
  <si>
    <t>['lemot', 'pakek', 'game', 'asuuu']</t>
  </si>
  <si>
    <t>['buka', 'aplikasiny']</t>
  </si>
  <si>
    <t>['orang', 'sekian', 'protes', 'perkara', 'aplikasi', 'uninstall', 'install', 'ulang', 'lamannya', 'putih', 'mbok', 'protes', 'gini', 'diperhatikan', 'perbaikan', 'aplikasi', 'merugikan', 'orang', 'lho', 'nggak', 'aplikasi', 'gegara', 'hpnya', 'nggak', 'android', '']</t>
  </si>
  <si>
    <t>['ngeblank', 'putih', 'pas', 'dbuka', '']</t>
  </si>
  <si>
    <t>['bibntang', 'dlu', 'lma', 'nambah', 'mahal', 'bli', 'ribu', 'isi', 'pulsa', 'dlu', 'rbu', 'gimana', 'aplikasi', '']</t>
  </si>
  <si>
    <t>['kecewa', 'pelayanan', 'terima', 'paket', 'beli', 'dipakai', 'jaringan', 'internet', 'kecepatan', 'data', 'internet', 'dipakai', 'tersedia', 'dilayani', 'provider', 'memprihatikan', 'lambat', 'membeli', 'kucing', 'karung', 'dibohongi', 'dapatkan', 'beli', 'realisasi', 'pemakaian', 'data', 'telkomsel', 'adil', '']</t>
  </si>
  <si>
    <t>['piye', 'iki', 'ngerti', 'ngerti', 'mung', 'muncul', 'layar', 'putih', 'tok', 'parah', 'aplikasine', 'jan', 'ora', 'apik', 'elek', 'ngene', '']</t>
  </si>
  <si>
    <t>['veronika', 'keluhan', '']</t>
  </si>
  <si>
    <t>['kasih', 'bintamg', 'karna', 'appnya', 'udah', 'buka']</t>
  </si>
  <si>
    <t>['aplikasi', 'kebuka', 'ngecek', 'sisa', 'quota', 'uninstall', 'install', 'ulang', 'viral', 'medsos', 'merusak', 'nama', 'telkomsel', 'diperbaiki', '']</t>
  </si>
  <si>
    <t>['apk', 'lemot']</t>
  </si>
  <si>
    <t>['woyyy', 'telkomsel', 'knp', 'paket', 'udah', 'tulisannya', '']</t>
  </si>
  <si>
    <t>['paketan', 'mahal', '']</t>
  </si>
  <si>
    <t>['telkomsel', 'membantu', 'proses', 'belajar', 'mengajar', 'siswa', '']</t>
  </si>
  <si>
    <t>['lumayan', 'harga', 'paketannya', 'mahal', 'dibanding', 'provider', '']</t>
  </si>
  <si>
    <t>['app', 'ngebantu']</t>
  </si>
  <si>
    <t>['kasih', 'bgus', 'tmbh', '']</t>
  </si>
  <si>
    <t>['jaringan', 'luas', 'sinyal', 'bagus']</t>
  </si>
  <si>
    <t>['kartu', 'halo', 'kali', 'kecewa', 'telkomsel', 'aplikasi', 'mytelkomsel', 'membantu', 'sialnya', 'telkomsel', 'menyelasaikan', 'berat', 'hati', 'aplikasi', 'mytelkomsel', 'uninstal']</t>
  </si>
  <si>
    <t>['halo', 'telkomsel', 'aplikasi', 'telkomsel', 'gabisa', 'dibuka', 'udah', 'instal', 'ulang', 'trus', 'download', 'hasilnya', 'nihil', 'tolong', 'donk', 'diperbarui', 'akses', '']</t>
  </si>
  <si>
    <t>['maaf', 'kasi', 'bintang', 'beli', 'kartu', 'telkomsel', 'unlimited', 'kemarin', 'marin', 'tik', 'tokan', 'ngga', 'gimna', '']</t>
  </si>
  <si>
    <t>['oke', 'sayangnya', 'kadang', 'tunggu', 'kliknya', 'ribet', '']</t>
  </si>
  <si>
    <t>['aplikasi', 'berguna', 'masyarakat', 'membantu', 'mempermudah', 'bnyak', 'melayani', 'jaringan', 'informasi', 'orang', 'membutuhkan', '']</t>
  </si>
  <si>
    <t>['mohon', 'bantuannya', 'pulsar', 'darurat']</t>
  </si>
  <si>
    <t>['beli', 'paket', 'malem', 'main', 'stream', 'cek', 'kuota', 'kepakai', 'kuota', 'nasional', 'aduhh', 'ampun', 'mah', '']</t>
  </si>
  <si>
    <t>['samsung', 'galaxy', 'ngga', 'dibuka', 'tolong', 'update', 'dibuka', '']</t>
  </si>
  <si>
    <t>['data', 'paket']</t>
  </si>
  <si>
    <t>['telkomsel', 'anying', 'pintar', 'membohongi', 'orang', 'kesal', 'tersia', 'siakan', 'telkomsel', 'beli', 'paket', 'unlimited', 'app', 'telkomsel', 'seratus', 'ribu', 'pikir', 'unlimited', 'terbatas', 'kebohongan', 'telkomsel', 'unlimited', 'pakai', 'paket', 'pergiga', 'dibatasi', 'anying', 'khontol', 'telkomsel', 'ajj', 'haram', 'rugi', 'beli', 'pket', 'unlimited', 'terpaksa', 'pakai', 'telkomsel', 'orang', 'tua', 'kadang', 'nelpon', 'telkomsel', 'bagus', 'telpon', 'bkan', 'internetan', 'khontol', '']</t>
  </si>
  <si>
    <t>['update', 'blank', 'putih', 'nggak', 'muncul', 'apapun', 'udah', 'android', '']</t>
  </si>
  <si>
    <t>['harga', 'kuota', 'jaringan', 'gapernah', 'stabil', 'aneh', 'banget', 'tsel']</t>
  </si>
  <si>
    <t>['sinyal', 'telkomsel', 'skrg', 'parah', 'hancur', 'musim', 'hujan', 'gini', 'tolong', 'telkomsel', 'perbaiki', 'knyamanan', 'pengguna', 'ganti', 'krtu', 'ttep', 'gini']</t>
  </si>
  <si>
    <t>['woi', 'aplikasi', 'buka', 'kenapaaa', 'aduuh']</t>
  </si>
  <si>
    <t>['memudahkan', 'pengecekan', 'pemakaian', 'data', 'poin', 'kesempatan', 'hadiah', 'menarik', 'telkomsel', 'mudah', 'mudahan', 'undian', 'mobil', 'allah', 'amiin']</t>
  </si>
  <si>
    <t>['halaman', 'putih', 'error', 'maksudnya', 'min', '']</t>
  </si>
  <si>
    <t>['verifikasinya', 'lambat', 'nyampe', 'smsnya', 'sungguh', 'mengecewakan', 'suruh', 'hub', 'admin', 'twitter', 'udah', 'muaak', 'muaaak', '']</t>
  </si>
  <si>
    <t>['promo', 'menarik', 'paket', 'mahal', 'mahal']</t>
  </si>
  <si>
    <t>['tolong', 'paket', 'combo', 'unlimited', 'hapus', 'berguna', 'jenis', 'paketan', 'dibagi', 'paket', 'mahal', 'dipake', 'buka', 'apk', '']</t>
  </si>
  <si>
    <t>['aplikasi', 'bobrok', 'lemot', 'eror', 'kayak', 'kualitas', 'sinyal', 'hancurrr', 'hilang', 'parah', 'pokok', '']</t>
  </si>
  <si>
    <t>['jaringan', 'buruk', 'rugi', 'paket', 'mahal']</t>
  </si>
  <si>
    <t>['mantap', 'ragu', 'apk']</t>
  </si>
  <si>
    <t>['mytelkomsel', 'beli', 'pulsa', 'paket', 'kuota', 'gb', 'mantap', 'oke', 'keren', 'telkomsel', '']</t>
  </si>
  <si>
    <t>['udah', 'seminggu', 'kebuka', 'layar', 'putih', 'stress']</t>
  </si>
  <si>
    <t>['dancoookkk', 'dancooookk', 'aplikasi', 'telkomsel', 'koyok', 'ngene', 'aampuuunnn', 'ora', 'iso', 'buka', 'tru', 'nyong', 'kie', 'rep', 'tuku', 'kuota', 'piye', 'dancoookk', 'dancokk', 'aduuhh']</t>
  </si>
  <si>
    <t>['bonus', 'poin', 'efektif', '']</t>
  </si>
  <si>
    <t>['mahal', 'paketan', '']</t>
  </si>
  <si>
    <t>['harga']</t>
  </si>
  <si>
    <t>['terpaksa', 'kasih', 'bintang', 'karna', 'telkomsel', 'buruk', 'semejak', 'update', 'aplikasinya', 'dibuka', '']</t>
  </si>
  <si>
    <t>['helo', 'admin', 'aplikasi', 'kebuka']</t>
  </si>
  <si>
    <t>['lemot', 'buka']</t>
  </si>
  <si>
    <t>['paket', 'telpon', 'hilang', 'sistem', 'pembelian', 'mahal', 'maximal', 'ngelayanin', 'pelanggan', '']</t>
  </si>
  <si>
    <t>['ngapa', 'kaga', 'dibuka', 'kaga', 'banget', 'awalan', 'doang', 'enak', 'keisini', 'kaga', 'kirai', 'asik', 'kertassss', 'payahhh', '']</t>
  </si>
  <si>
    <t>['harga', 'doang', 'mahal', 'jaringan', 'lemot', 'parah']</t>
  </si>
  <si>
    <t>['salutlah', 'ngasih', 'jalan', 'kendala', '']</t>
  </si>
  <si>
    <t>['habis', 'update', 'fitur', 'check', 'harian', 'dapet', 'bonus', 'kuota', 'saldo', 'link', 'hilang', '']</t>
  </si>
  <si>
    <t>['kecewa', 'murah', 'harga', 'paket', 'gini', 'perusahaan', 'bumn']</t>
  </si>
  <si>
    <t>['kasih', 'bintang', 'gue', 'lemot', 'bukak', 'aplikasinya']</t>
  </si>
  <si>
    <t>['jelek', 'jaringan', 'hilang', 'malam', 'terganggu', 'udh', 'mahal', 'sesuai', 'pelayanan', 'harga', 'fucek']</t>
  </si>
  <si>
    <t>['aplikasi', 'bagus', 'lambat', '']</t>
  </si>
  <si>
    <t>['', 'jelek', 'jaringan', 'telkomsel']</t>
  </si>
  <si>
    <t>['ngecek', 'quota', 'layar', 'putih', 'bolak', 'uninstal', 'kirain', 'pas', 'baca', 'salah', 'komen', 'versi', 'android', 'trus', 'versi', 'android', 'heem', 'sungguh', 'telkomsel', 'nggak', 'adil']</t>
  </si>
  <si>
    <t>['tukar', 'gif', 'poin', 'pelanggan', 'promo', 'bagus', 'bulanya', 'amit', 'amit', 'tilkimsil', '']</t>
  </si>
  <si>
    <t>['knapa', 'jaringan', 'telkomsel', 'skarang', 'lemot', 'pdhal', 'bagus', 'lancar', 'harga', 'paketan', 'pdhl', 'mahal', 'perdana']</t>
  </si>
  <si>
    <t>['update', 'mulu', 'downloaf']</t>
  </si>
  <si>
    <t>['aplikasi', 'jelek', 'dibuka', '']</t>
  </si>
  <si>
    <t>['banyakin', 'promonya', 'min', 'ndak', 'kalah', 'semangat']</t>
  </si>
  <si>
    <t>['membantu', 'dlm', 'pembelian', 'paket', 'trmksh', '']</t>
  </si>
  <si>
    <t>['jaringan', 'knpa', 'jelek', 'man', 'game', 'kagak', 'ngelek', 'trus', 'perbaiki', 'jaringan', 'paket', 'intrnet', 'mahal', 'tpi', 'jaringan', 'asalan']</t>
  </si>
  <si>
    <t>['kecewa', 'banget', 'habis', 'update', 'kagak', 'buka', 'ditambah', 'penjelasan', 'pelanggan', 'perubahan', 'tunggu', 'rugi', 'meninggalkan', 'update', 'mikir', 'konsumen', 'android', 'keatas', '']</t>
  </si>
  <si>
    <t>['cepat', 'mantap']</t>
  </si>
  <si>
    <t>['mantap', 'dapet', 'paket', 'gratis', 'mksh', 'telkomsel', '']</t>
  </si>
  <si>
    <t>['gimana', 'aplikasi', 'buka', 'hub', 'buka']</t>
  </si>
  <si>
    <t>['bad', 'stelah', 'update', 'kebuka']</t>
  </si>
  <si>
    <t>['dunia', 'telkomsel', 'mahal', 'lemot', 'meresahkan', 'pelanggan', 'padalah', 'penggunany', 'pelayanan', 'memuaskan', 'aplikasi', 'tidk', 'dibuka', 'muncul', 'layar', 'putih', '']</t>
  </si>
  <si>
    <t>['mahal', 'paketnya', 'tolong', 'dikasih', 'murah']</t>
  </si>
  <si>
    <t>['gimana', 'telkomsel', 'isi', 'pulsa', 'nyampe', 'menit', 'kartu', 'dlm', 'kondisi', 'mode', 'pesawat', 'kemakan', 'pulsa', 'tolong', 'telkomsel', 'mempersulit', 'org', 'kadang', 'org', 'butuh', 'potong', 'jeles', '']</t>
  </si>
  <si>
    <t>['aplikasi', 'telkomsel', 'dibuka', 'tampilannya', 'layar', 'putih', 'mohon', 'bantuannya', '']</t>
  </si>
  <si>
    <t>['sinyal', 'bobrok', 'bangsad', 'perbaiki', 'sinyal', 'cok', '']</t>
  </si>
  <si>
    <t>['app', 'dibuka', 'dibuka', 'layar', 'putih', 'mohon', 'solusi', 'suhu', '']</t>
  </si>
  <si>
    <t>['puas', 'deh', 'telkomsel']</t>
  </si>
  <si>
    <t>['fungsional', 'membantu', 'sekedar', 'saran', 'banyakin', 'promo', 'aplikasi', 'terimakasih']</t>
  </si>
  <si>
    <t>['ngeri', 'brooo', 'harga', 'paket']</t>
  </si>
  <si>
    <t>['tekomsel', 'mudah', 'dlm', 'komunikasi', 'epat', 'mudah', '']</t>
  </si>
  <si>
    <t>['aplikasi', 'burik', 'update', 'dibuka']</t>
  </si>
  <si>
    <t>['bgus', 'banget', 'mempermudah', 'kuota', 'pulsa']</t>
  </si>
  <si>
    <t>['jaringan', 'telkom', 'malam', 'ngaco', 'ilang', 'slalu', 'parah', 'telkom']</t>
  </si>
  <si>
    <t>['sampe', 'dapet', 'hadiah', 'motor', 'difestival', 'point', 'janji', 'pakai', 'telkomsel', 'seumur', 'hidup', '']</t>
  </si>
  <si>
    <t>['jaringan', 'gausah', 'kelen', 'beli', 'kartu', 'telkomsel', 'kelen', 'download', 'apk', 'nyesel', 'kartu', 'telkomsel', 'jaringan', 'suka', 'ilang', 'lelet', 'kek']</t>
  </si>
  <si>
    <t>['sebulan', 'muncul', 'layar', 'putih', 'buka', 'apk', 'minggu', 'lapor', 'perubahan']</t>
  </si>
  <si>
    <t>['harga', 'kuota', 'mahal', 'kirain', 'premium', 'jaringan', 'taunya', 'suka', 'ilang', 'udah', 'gitu', 'suka', 'ngelag', 'pas', 'main', 'game']</t>
  </si>
  <si>
    <t>['harga', 'mahal', 'kualitas', 'murahan', 'jaringan', 'stabil', 'lemot', 'ngelag']</t>
  </si>
  <si>
    <t>['jaringan', 'super', 'ampas', 'sinyal', 'suka', 'hilang', 'jam', 'sibuk', 'ganti', 'jaringan', 'internet', 'super', 'lambat', 'mcm', 'bekicot', 'jalan', 'gimmik', 'doank', 'kartu', 'halo', 'jaringan', 'prioritas', 'busit', 'hilang', 'rejeki', 'gara', 'jaringan', 'bermasalah', '']</t>
  </si>
  <si>
    <t>['buruk', 'sinyal', 'telkom', 'promo', 'nambahin', 'tower', 'bagus', 'murah', 'jelek', 'sinyal', 'mahal', 'harganya', 'lipat', 'harganya', 'ok', 'mahal', 'didukung', 'sinyal', 'bagus', 'udah', 'mahal', 'jelek', 'kualitas', 'sinyanya', 'tolong', 'min', 'perbaiki', 'jaringan', 'telkom', '']</t>
  </si>
  <si>
    <t>['jringn', 'ngntt', 'klau', 'hujan', 'ngilang', 'udh', 'kek', 'anjinkk', 'mmr', 'turun', 'ngnntt']</t>
  </si>
  <si>
    <t>['make', 'telkomsel', 'bagus', 'gerimis', 'signal', 'langsung', 'hilang', '']</t>
  </si>
  <si>
    <t>['parah', 'mkin', 'lma', 'mkin', 'hancur', 'udh', 'langganan', 'bli', 'pket', 'nlpon', 'sepuasnya', 'mlh', 'skarang', 'hilng', 'mahal', 'parah', 'ubh', 'biayanya']</t>
  </si>
  <si>
    <t>['kesini', 'jaringan', 'parah', 'temen', 'temen', 'mendingan', 'kartu', 'simpati', 'buang', 'tong', 'sampah', 'kartu', 'kartu', 'mahal', 'jaringan', 'kaya', 'sampah']</t>
  </si>
  <si>
    <t>['suruh', 'lapor', 'preeet', 'memperbaiki', 'sinyalnya', 'kuota', 'mahal', 'perbaikkan', 'kualitas', 'sinyal', 'lemotttttt', 'dipindahkan', 'otomatis', 'pengaturan', 'sinyalnya', 'jangkauan', 'sinyalnya', 'luas', 'namanya', 'jangkauan', 'luas', 'telkomsel', 'busitt', 'sinyal', 'hilang', 'taekkk', 'samamu', 'teleksel']</t>
  </si>
  <si>
    <t>['jaringan', 'telkomsel', 'parah', 'rumah', 'kota', 'sinyal', 'full', 'liat', 'medsos', 'nunggu', 'lamaa', 'udah', 'pengguna', 'kecewa', 'tolong', 'perbaiki', 'min']</t>
  </si>
  <si>
    <t>['ajingggg', 'gua', 'main', 'jelekin', 'jaringan', 'telkomsel', 'ajing', 'axis', 'axis', 'axis', '']</t>
  </si>
  <si>
    <t>['seneng', 'banget', 'apl', 'telkomsel', 'kecewa', 'apl', 'nggak', 'dibuka', 'tolong', 'deh', 'developer', 'diperbaiki', 'sistemnya']</t>
  </si>
  <si>
    <t>['ank', 'bbi', 'udah', 'mahal', 'lag', 'napa', 'tlol']</t>
  </si>
  <si>
    <t>['blank', 'dibuka']</t>
  </si>
  <si>
    <t>['telkomsel', 'pas', 'mati', 'listrik', 'banget', 'udh', 'bayar', 'mahal', 'pas', 'mati', 'listrik', 'jaringan']</t>
  </si>
  <si>
    <t>['kesini', 'lemot', 'mlah', 'nggk', 'buka', 'kusus', 'klas', 'mnengah', 'kebawah', 'pas', 'buka', 'layar', 'putih', 'doang']</t>
  </si>
  <si>
    <t>['terbantu']</t>
  </si>
  <si>
    <t>['jaringan', 'terluas', 'penjuru', 'tanah', 'air']</t>
  </si>
  <si>
    <t>['pengguna', 'android', 'akses', 'kebijakan', 'aneh', 'pelanggan', 'telkomsel', 'kalangan', 'menengah', 'kebawah', 'bagus', 'ganti', 'pengguna', 'android', 'kebawah', 'akses', 'donk', 'kebijakan', 'aneh', '']</t>
  </si>
  <si>
    <t>['cuman', 'tulisan', 'putih', 'aplikasi', 'terkena', 'covid', '']</t>
  </si>
  <si>
    <t>['aplikasi', 'dibuka', 'dibuka', 'layar', 'putih']</t>
  </si>
  <si>
    <t>['update', 'apk', 'dibuka', 'layar', 'putih', 'doang', 'muncul', 'ngeprank', 'yaaa']</t>
  </si>
  <si>
    <t>['berubah', 'pengaturan', 'susah', 'update', '']</t>
  </si>
  <si>
    <t>['harga', 'paket', 'internet', 'mahal', 'aplikasi', 'penuh', 'lag', 'error', 'berbelit', 'belit', 'ribet', 'pelanggan', 'nyaman', '']</t>
  </si>
  <si>
    <t>['karuan', 'loading', 'error', 'signal', 'kuat', 'pas', 'buka', 'aplikasi', 'signal', 'melemah', 'gagal', 'loading', 'payah', '']</t>
  </si>
  <si>
    <t>['min', 'tolong', 'gmn', 'mempermudah', 'beli', 'paket', 'kuota', 'pulsa', 'dll', 'udah', 'bayar', 'masuk', 'kuotanya', 'nyesel', 'download', 'telkomsel', 'kalinya', 'pindah', 'telkomsel', 'dpt', 'kesan', 'buruk', 'tolong', 'cepet', 'tanggapi', 'keluhan', '']</t>
  </si>
  <si>
    <t>['sinyal', 'ancur', 'sich', 'paket', 'mahal', 'tpi', 'sinyal', 'abal', '']</t>
  </si>
  <si>
    <t>['jaringan', 'lemot', 'aplikasi', 'buka', 'adehh', '']</t>
  </si>
  <si>
    <t>['aplikasi', 'bermanfaat', 'sbagai', 'pengguna', 'aplikasi']</t>
  </si>
  <si>
    <t>['hai', 'keluhan', 'pelanggan', 'setia', 'dikecewakan', 'white', 'screen', 'update', 'terbaru', 'aplikasi', 'mytelkomsel', 'jawabannya', 'silahkan', 'ajukan', 'fitur', 'bantuan', 'aplikasi', 'mytelkomsel', 'ngirim', 'miiinn', 'lhawong', 'dibuka', 'white', 'screen', 'silahkan', 'bla', 'bla', 'bla', 'karepmu', 'miin', 'cemin', '']</t>
  </si>
  <si>
    <t>['aplikasi', 'instal', 'dibuka', '']</t>
  </si>
  <si>
    <t>['lemot', 'telkomnyet', '']</t>
  </si>
  <si>
    <t>['tingkatkan', 'sinyal', 'bund']</t>
  </si>
  <si>
    <t>['nungguin', 'sampe', 'ubanan', 'buka', 'telkomsel', 'susah', 'kya', 'boz', 'udh', '']</t>
  </si>
  <si>
    <t>['aplikasi', 'sial', 'sja', 'capek', 'dowload', 'tpi', 'gkk', 'buka', 'mending', 'gkk', 'deh', 'apalikasi', 'gkk', 'pakai']</t>
  </si>
  <si>
    <t>['layar', 'putih', 'trusss', 'mytelkomsel', 'slalu', 'terbalik', '']</t>
  </si>
  <si>
    <t>['buka', 'blank', 'putih', 'doang', 'knpa', 'gini', 'tolong', 'yank']</t>
  </si>
  <si>
    <t>['tolong', 'perbaikin', 'jaringan', 'sinih', 'jelek', 'jaringan', 'main', 'game', 'pink', 'trus']</t>
  </si>
  <si>
    <t>['memuaskan', 'simpati', '']</t>
  </si>
  <si>
    <t>['senang', '']</t>
  </si>
  <si>
    <t>['', 'mudah', 'nyaman', 'beli', 'pulsa', 'paket', 'dats']</t>
  </si>
  <si>
    <t>['kecewa', 'telkomsel', 'pdhl', 'udh', 'bertahun', 'kali', 'beli', 'combo', 'sakti', 'unlmtd', 'rb', 'brp', 'paket', 'gb', 'int', 'monetary', 'rb', 'nelp', 'sms', 'rugi', 'sisanya', 'gb', 'kurleb', 'chek', 'sisa', 'kuota', 'hr', 'stlh', 'pembelian', 'pdhl', 'utuban', 'doank', 'itupun', 'pakenya', 'disney', 'hotstar', 'gb', 'jaaaraaang', 'suka', 'nnton', 'sebel', 'kuotanya', 'potong', 'gmn', 'telkomsel', 'pindah', 'haluan', 'gitu', '']</t>
  </si>
  <si>
    <t>['stabil', 'tolong', 'perbaiki', '']</t>
  </si>
  <si>
    <t>['app', 'beli', 'kuota', 'ribu', 'giga', 'kuota', 'utama', 'giga', 'multimedia', 'pas', 'utama', 'habis', 'multimedianya', 'dipake', 'dll', 'telkontol', 'pulsa', 'gua', 'ribu', 'habis', 'sia', 'sia', 'gara', 'telkomsel', 'gini', 'mending', 'tri', 'tri', 'telkontol']</t>
  </si>
  <si>
    <t>['nyesel', 'beli', 'simpati', 'kuota', 'internet', 'lokal', 'cocok', 'pebisnis', 'kota', 'simpati', 'cocok', 'diem', 'dirumah', 'payah', 'simpati']</t>
  </si>
  <si>
    <t>['', 'telkomselnya', 'dibuka', 'muncul', 'warna', 'putih']</t>
  </si>
  <si>
    <t>['payah', 'telkomsel', 'gitu', 'cari', 'duit', 'paket', 'ribu', 'sdah', 'sms', 'hisudupin', 'data', 'sedot', 'pls', 'puluh', 'ribuan', 'tailah', 'plnggan', '']</t>
  </si>
  <si>
    <t>['kesini', 'lemot']</t>
  </si>
  <si>
    <t>['kuota', 'multumedia', 'berguna', 'membohongi', 'publik', 'kuota', 'multimedia', 'tetep', 'menyedot', 'kuota', 'utama', 'telkomsel', 'kesini', 'buruk', '']</t>
  </si>
  <si>
    <t>['alhmdulillh', 'memuaskan', 'isya', 'allah', 'koin', 'menang', '']</t>
  </si>
  <si>
    <t>['app', 'telkomsel', 'buka', 'app', 'telkomsel', 'multifungsi', 'jadikan', 'lampu', 'baca', 'alias', 'layar', 'putih', '']</t>
  </si>
  <si>
    <t>['sayangkan', 'paket', 'internet', 'mahal', '']</t>
  </si>
  <si>
    <t>['update', 'aplikasi', 'tel', 'komsel', 'jeeeellllleeeekkkkkkkkkkkkkk', 'sanggaaaaaattttttt', 'jjjeeeellllleeeeeekkkkkkkkk', '']</t>
  </si>
  <si>
    <t>['knp', 'susah', 'login']</t>
  </si>
  <si>
    <t>['teman', 'buka', 'apk', 'telkomsel', 'dilayar', 'putih', 'mengatasinya', 'apk', 'hapus', 'cari', 'digoogle', 'apk', 'telkomsel', 'persi', 'download', 'persi', 'nopember', 'buka', 'usahakan', 'diupdate', 'dipake', '']</t>
  </si>
  <si>
    <t>['aplikasi', 'telkomsel', 'bsa', 'buka', 'blang', 'warna', 'putih', 'mhon', 'solusi']</t>
  </si>
  <si>
    <t>['min', 'maaf', 'yaa', 'ngerepotin', 'aplikasj', 'telkomsel', 'dibuka', 'gimana', 'min', 'mohon', 'bantuan', 'min', 'terimakasih']</t>
  </si>
  <si>
    <t>['paketnya', 'mahal', 'internetnya', 'lemot', 'udah', 'pindah']</t>
  </si>
  <si>
    <t>['laku', 'mesti', 'harga']</t>
  </si>
  <si>
    <t>['ovo', 'emang', 'cakep']</t>
  </si>
  <si>
    <t>['jelek', 'skali', 'sinyal', 'simerah', 'maap', 'diendorse', 'bacot', 'promo', 'bacot', 'tukar', 'poin', 'dapet', 'hadiah', 'dapet', 'palingan', 'karyawan', 'dipilih', 'udah', 'diseting', 'paket', 'habis', 'sedetik', 'lsg', 'potong', 'pulsa', 'ta', 'dasar', 'provider', 'ta', '']</t>
  </si>
  <si>
    <t>['bagus', 'koq', 'dpt', 'membuka', 'aplikasi', 'telkomsel', 'tlng', 'bantuan']</t>
  </si>
  <si>
    <t>['', 'telkom', 'update', 'langsung', 'muncul', 'ponsel', 'layar', 'putih', 'melaporkan', 'grapary', 'minggu', 'perubahan']</t>
  </si>
  <si>
    <t>['kecewa', 'kesal', 'lihat', 'jaringan', 'telkomsel', 'pakai', 'tapj', 'merosot', 'jaringannya', 'tinggal', 'medan', 'sumatra', 'utara', 'pusat', 'kota', 'jaringam', 'serasa', 'tngah', 'hutan', '']</t>
  </si>
  <si>
    <t>['harga', 'kuota', 'mahal', 'kuota', 'dibagi', 'butuh', 'kuota', 'utama', 'kuota', 'sosmed', 'semoga', 'keluhan', 'tindak', 'lanjuti', '']</t>
  </si>
  <si>
    <t>['super', 'super', 'mengecewakan', 'aplikasi', 'buka', 'putih', 'instal', 'ulang', 'sampe', 'berkali', 'ttp', 'hadeeeeehhhh']</t>
  </si>
  <si>
    <t>['kecewa', 'provider', 'telkom', 'harga', 'bkan', 'turun', 'sinyal', 'apalag', 'bnar', 'turun', 'gini', 'indonesia', 'beralih', 'provider', 'teruntuk', 'telkom', 'jaga', 'kualitas', 'dri', 'dlu', 'jaga', 'telkomsel', 'klimat', 'kartunya', 'org', 'kaya', 'maaf', 'min', 'keunggulan', 'telkom', 'dri', 'dlu', 'minati', 'sinyal', 'lancar', 'smpe', 'pedalaman', 'sbelum', 'prubahan', 'bntang', 'ttap', 'stay', '']</t>
  </si>
  <si>
    <t>['boros', 'banget', 'tumben']</t>
  </si>
  <si>
    <t>['signal', 'suka', 'ilang', 'ilangan', 'malam', 'tinggal', 'jakarta', 'pakai', 'signal', 'bagus', 'kesini', 'buruk', '']</t>
  </si>
  <si>
    <t>['kecewa', 'sma', 'aplikasi', 'aplikasi', 'buka', 'putih']</t>
  </si>
  <si>
    <t>['harga', 'mahal', 'lag', 'tolong', 'lag', 'harga', 'turun']</t>
  </si>
  <si>
    <t>['telkomsel', 'isi', 'kuota', 'pulsa', 'mencukupi', 'pulsa', 'melebihi', 'pembayaran', 'aneh', 'aplikasi', 'gimana', 'ngisi', 'kuota', 'kaya', 'gini', 'tipu', 'tipu', 'gitu', 'pengguna', '']</t>
  </si>
  <si>
    <t>['aplikasinya', 'error', 'bsa', 'update']</t>
  </si>
  <si>
    <t>['paket', 'mahal', 'paket', 'promo', 'tpi', 'harga', 'dpt', 'nelpon', 'menit', 'cuman', 'menit', 'kecewa', 'telkomsel']</t>
  </si>
  <si>
    <t>['kasih', 'bintang', 'layananya', 'kaya', 'gini', 'buruk', 'robot', 'keluhan', 'penguna', 'terima', 'keluhan', 'mesin', 'penjawab']</t>
  </si>
  <si>
    <t>['pakai', 'kartu', 'halo', 'jaringan', 'tidk', 'banget', 'main', 'games']</t>
  </si>
  <si>
    <t>['paket', 'unlimited', 'promo', 'bener', 'otak', 'dengkul', 'im', 'promo', 'unlimited', 'bebas', 'terpaksa', 'uninstal', 'mytelkomsel', 'paok', 'coba', 'tuk', 'beli', 'unlimited', 'aplikasi', 'whatsapp']</t>
  </si>
  <si>
    <t>['bbrpa', 'kali', 'donlod', 'ttp', 'buka', 'loadingnya', 'bantukah', 'pnyebabnya', '']</t>
  </si>
  <si>
    <t>['kasih', 'bintang', 'kartu', 'hapir', 'masak', 'mahal', 'mending', 'plih', 'kartu', 'sebelah', 'murah', 'mohon', 'konfirmasi', 'pketnya', 'murahin']</t>
  </si>
  <si>
    <t>['parah', 'buka', 'telkomsel', 'nongol', 'blank', 'putih', 'udah', 'kayak', 'layar', 'tancep', 'abis', 'film', 'minggu', 'mending', 'pindah', 'kuning', 'betulin', 'aplikasi', '']</t>
  </si>
  <si>
    <t>['yaaa', 'isi', 'pulsa', 'kepotong', 'beli', 'paket', 'data', 'gara', 'pulsa', 'kepotong', 'utang', 'pulsa', 'bayar', 'utang', 'pulsa', 'potong', 'telkomsel', 'curangggg', 'yaaa', '']</t>
  </si>
  <si>
    <t>['knpa', 'avlikasi', 'bukaa', 'jlekk', 'bngt', 'coba', 'ferbarui', 'lgi', 'kya', 'byk', 'update', 'jlass', 'hapus', 'lgi', 'telkomsel', 'mahl', 'doang', 'atu', 'butuhkan', 'buka', '']</t>
  </si>
  <si>
    <t>['telkomsel', 'knpa', 'mengecewakan', 'jaringan']</t>
  </si>
  <si>
    <t>['hei', 'bodoh', 'sinyal', 'ilang', 'anijng']</t>
  </si>
  <si>
    <t>['jaringanmu', 'kyak', 'taiiiiii', '']</t>
  </si>
  <si>
    <t>['namanya', 'fup', 'tbtb', 'kena', 'fup', 'zoom', 'tolong', 'fitur', 'menghilangkan', 'fup', 'line', 'hasilnya', 'menunggu', 'butuh']</t>
  </si>
  <si>
    <t>['aplikasi', 'nye', 'skrang', 'lemot', 'buka', 'liat', 'buka', 'ancuurrrr']</t>
  </si>
  <si>
    <t>['update', 'ngk', 'buka']</t>
  </si>
  <si>
    <t>['kasibhintang', 'karna', 'mmakai', 'bsa', 'hilang', '']</t>
  </si>
  <si>
    <t>['aplikasi', 'telkomsel', 'dibuka', 'cek', 'saldo', 'ngikuti', 'daily', 'check', '']</t>
  </si>
  <si>
    <t>['membuka', 'aplikasi', 'telkomsel', 'tolong', 'perbaiki', 'aplikasinya', 'membuka', 'aplikasi', 'telkomsel', '']</t>
  </si>
  <si>
    <t>['alahamdulilah', 'mudah', 'bagiku', 'membeli', 'paketan', 'data']</t>
  </si>
  <si>
    <t>['lemot', 'jaringan', 'telkomsel']</t>
  </si>
  <si>
    <t>['kasih', 'paket', 'murah', 'oke', '']</t>
  </si>
  <si>
    <t>['membantu', 'pembelian', 'paket', 'internet']</t>
  </si>
  <si>
    <t>['telkomsel', 'masuk', 'gimana', 'devloper', 'sayangkan']</t>
  </si>
  <si>
    <t>['tolong', 'aplikasinya', 'buka', 'tampilannya', 'layar', 'putih', 'doang', 'mksh']</t>
  </si>
  <si>
    <t>['promo', 'ngebacot', 'sinyal', 'jelek', 'udah', 'mah', 'mahal', 'ngga', 'dibarengi', 'kinerja', 'payah']</t>
  </si>
  <si>
    <t>['manatap', 'pokoknya']</t>
  </si>
  <si>
    <t>['beli', 'paket', 'gagal', 'daiky', 'check', 'nyedot', 'pulss']</t>
  </si>
  <si>
    <t>['kartu', 'tergoblok', 'sedunia']</t>
  </si>
  <si>
    <t>['pemakai', 'kartu', 'prabayar', 'telkomsel', 'kesini', 'parah', 'bayar', 'mahal', 'mahal', 'dikasih', 'signal', 'jelek', 'kayak', 'gini', 'telkomsel', 'provider', 'ancur', 'ditahun', '']</t>
  </si>
  <si>
    <t>['beli', 'mahal', 'mahal', 'lag', 'nyesel', 'banget']</t>
  </si>
  <si>
    <t>['telkomsel', 'harga', 'mahal', 'kualitas', 'jaringan', 'buruk']</t>
  </si>
  <si>
    <t>['udah', 'update', 'dusuruh', 'update']</t>
  </si>
  <si>
    <t>['percumah', 'beli', 'kartu', 'mahal', 'paket', 'data', 'mahal', 'sinyalnya', 'kek', 'taik', 'mohon', 'diperbaiki', 'sinyal', 'kek', 'gini']</t>
  </si>
  <si>
    <t>['bagus', 'lemot', '']</t>
  </si>
  <si>
    <t>['koc', 'lemot', 'jaringanya', 'min', 'udh', 'mahal', 'kuotanya']</t>
  </si>
  <si>
    <t>['update', 'signal', 'update', 'nonton', 'youtube', 'susah', 'lemot', 'parahh', 'gerak', 'buruk']</t>
  </si>
  <si>
    <t>['gimana', 'admin', 'hbs', 'upgrade', 'buka', 'parah', '']</t>
  </si>
  <si>
    <t>['buka', 'ngeluh', 'diberesin', 'hmm']</t>
  </si>
  <si>
    <t>['telkomsel', 'provider', 'jaringan', 'pilhan', '']</t>
  </si>
  <si>
    <t>['kecewa', 'banget', 'kali', 'isi', 'pulsa', 'kesedot', 'akses', 'non', 'paket', 'nggak', 'internet', 'tolong', 'perbaiki', 'beli', 'pulsa', 'pakai', 'uang', 'uang', 'cari', 'susah', 'payah', 'banting', 'tulang', '']</t>
  </si>
  <si>
    <t>['kecewa', 'bngtsama', 'mytelkomsel', 'smkin', 'bnyk', 'pelanggan', 'mmbantu', 'tpi', 'mnyusahkan', 'pdhl', 'udh', 'bngt', 'telkomsel', 'pengen', 'geser', 'opt', 'lbih', 'mmuaskn', '']</t>
  </si>
  <si>
    <t>['min', 'gimana', 'telkomsel', 'eror', 'putih', 'doang', 'tolong', 'kenyamanan']</t>
  </si>
  <si>
    <t>['kesini', 'sinyal', 'jelek']</t>
  </si>
  <si>
    <t>['telkomsel', 'kesini', 'jelek', 'sinyal', 'lemot', 'aplikasi', 'mytelkomsel', 'udah', 'error', 'dibuka', 'layar', 'putih', 'doang', 'udah', 'chat', 'tetep', 'keluhan', 'ngatasin', 'aplikasi', 'dibuka', '']</t>
  </si>
  <si>
    <t>['beli', 'pulsa', 'telkomsel', 'via', 'gopaylater', 'saldo', 'terpotong', 'pulsa', 'kunjung', 'masuk', 'udah', 'lapor', 'via', 'chat', 'ngga', 'direspon', 'kecewa']</t>
  </si>
  <si>
    <t>['berganti', 'signal', 'provaider', 'masuk', 'kampung', 'berganti', 'signal', 'telkomsel', 'kampung', 'kah', 'mohon', 'maaf', 'kasih', 'bintang', 'kualitas', 'signal', 'kampung', 'kemajuan', 'telkomsel', 'dimata', 'pelanggan', 'semoga', 'lekas', 'berbenah', '']</t>
  </si>
  <si>
    <t>['buka', 'pdahl', 'internet', 'bagus']</t>
  </si>
  <si>
    <t>['', 'panciro', 'kab', 'gowa', 'jaringan', 'telkomsel', 'pinggiran', 'kota', 'makassar', 'jaringan', 'timbul', 'tenggelam', '']</t>
  </si>
  <si>
    <t>['dibuka', 'app', 'telkomsel', 'cuman', 'putih', 'tulisannya', 'trus', 'uninstal', 'trus', 'instal']</t>
  </si>
  <si>
    <t>['paket', 'internet', 'tetangga', 'sebelah', 'murah', '']</t>
  </si>
  <si>
    <t>['mohon', 'mahal']</t>
  </si>
  <si>
    <t>['beli', 'paket', 'promo', 'maksa', 'pulsa', 'paket', 'elektronikpay', 'jaringannya', 'hancur', 'banget', 'ganti', 'smartfren', 'terang', 'malas', 'isi', 'pulsa', 'takut', 'kena', 'copet', 'sel', 'axis', 'menerapkan', 'perlindungan', 'pulsa', 'bebas', 'sunatan', 'akibat', 'sengaja', 'akses', 'data', 'telkom', 'ikutan', 'paket', 'nipu', 'promo', 'habis', 'paket', 'data', 'paket', 'multimedia', 'diakses', 'paket', 'data', 'habis', 'macet', 'macet', 'sisa', 'gb', 'multimedia', 'gimic', 'banget', 'loe', '']</t>
  </si>
  <si>
    <t>['gajelas', 'telkomsel', 'kartu', 'mahal', 'jaringan', 'kaya', 'taik', 'maen', 'game', 'lagg', 'nyesel', 'gua']</t>
  </si>
  <si>
    <t>['maaf', 'ndak', 'buka', 'aplikasi', 'telkomsel', '']</t>
  </si>
  <si>
    <t>['beli', 'gangguan', 'sistem', 'udah', 'isi', 'pulsa', 'giliran', 'beli', 'gangguan', 'sistem', '']</t>
  </si>
  <si>
    <t>['paket', 'internet', 'mahal', 'jaringan', 'lemot', 'udah', 'kayak', 'siput', 'maaf', '']</t>
  </si>
  <si>
    <t>['jelek', 'dibuka', 'putih', 'doangan']</t>
  </si>
  <si>
    <t>['beli', 'kartu', 'telkomsel', 'paketannya', 'ampun', 'mahal', 'banget']</t>
  </si>
  <si>
    <t>['parah', 'aplikasi', 'update', 'white', 'screen', 'lapor', 'tweeter', 'solusi', 'nunggu', 'jam', 'uninstall', 'copot', 'kartu', 'clear', 'cache', 'min', 'kumaha', 'ieu', '']</t>
  </si>
  <si>
    <t>['des', 'mytelkomsel', 'jalan', '']</t>
  </si>
  <si>
    <t>['gua', 'udah', 'beli', 'unlimited', 'sebulan', 'lemot', 'banget', 'mahal', '']</t>
  </si>
  <si>
    <t>['combo', 'murah', 'kebagian', 'mulu']</t>
  </si>
  <si>
    <t>['', 'perbaiki', 'jaringan']</t>
  </si>
  <si>
    <t>['paketannya', 'mahal', '']</t>
  </si>
  <si>
    <t>['knp', 'buka', 'aplikasi', 'mytelkomsel', 'nggak']</t>
  </si>
  <si>
    <t>['fitur', 'lengkap', 'fungsi', 'bagus', 'terimakasih']</t>
  </si>
  <si>
    <t>['beli', 'paket', 'youtube', 'minggu', 'situ', 'tertera', 'unlimited', 'boro', 'unlimited', 'buka', 'youtube', 'muter', 'kagak', 'buka', 'sisa', 'pulsa', 'habis', 'potong', 'youtube', 'sungguh', 'mengecewakan', '']</t>
  </si>
  <si>
    <t>['parah', 'dihapus', 'review', 'gua', '']</t>
  </si>
  <si>
    <t>['membantu', 'proses', 'aktivasi', 'internet']</t>
  </si>
  <si>
    <t>['jaringan', 'udah', 'parah', 'udah', 'lemot', 'lambat', 'udah', 'males', 'telkomsel']</t>
  </si>
  <si>
    <t>['update', 'ngga', 'buka', 'kayak', 'ngeblank', 'putih', 'gitu', 'parah', 'telkomsel', 'nyesel', 'update', 'ngga', 'buka', 'normalkan']</t>
  </si>
  <si>
    <t>['aduh', 'gimana', 'kayak', 'gini', 'apl', '']</t>
  </si>
  <si>
    <t>['bentar', 'suruh', 'login', 'login', 'ribet', 'ndk', '']</t>
  </si>
  <si>
    <t>['beli', 'paket', 'game', 'paket', 'internet', 'utama', 'habis', 'kepotong', 'pulsa', 'utama', 'paket', 'game', 'coba', 'konek', 'pas', 'konek', 'kecewa']</t>
  </si>
  <si>
    <t>['paketan', 'mahal', 'kayanya', 'mahal', 'paketan', 'omg', 'mahal', 'beda', 'kartu', 'beda']</t>
  </si>
  <si>
    <t>['diupdate', 'dibuka', 'blank', 'putih']</t>
  </si>
  <si>
    <t>['payah', 'bumn', 'merugikan', 'negara', 'rakyat', 'oknum', 'tetep', 'wae', 'ter', 'pintar', 'merampok', 'pulsa', '']</t>
  </si>
  <si>
    <t>['mohon', 'maaf', 'jaringan', 'tolong', 'diperhatikan', 'promo', 'doang', '']</t>
  </si>
  <si>
    <t>['kuota', 'mulu', 'harganya', 'sesuai', 'kantong', 'gue', 'ngandelin', 'telkom', 'daerah', 'pedesaan']</t>
  </si>
  <si>
    <t>['apalah', 'telkomsel', 'dibuka', 'emosi', 'gini', '']</t>
  </si>
  <si>
    <t>['beli', 'paket', 'nonton', 'dipakai', 'nonton', 'film', 'aplikasi', 'vidio', '']</t>
  </si>
  <si>
    <t>['moho', 'perbaiki', 'apk', 'kemarin', 'gue', 'masuk', 'apk', 'ngak', 'masuk', 'masuk', 'kuota', 'internet', '']</t>
  </si>
  <si>
    <t>['seminggu', 'aplikasi', 'dibuka', 'kesel']</t>
  </si>
  <si>
    <t>['', 'akses', 'udh', 'unistal', 'minggu', '']</t>
  </si>
  <si>
    <t>['gatau', 'gabisa', 'beli', 'paket', 'pulsa', 'mencukupi', 'ditambah', 'mahal', 'jaringan', 'gangguan', '']</t>
  </si>
  <si>
    <t>['membantu', 'untungnya', 'mantap']</t>
  </si>
  <si>
    <t>['coba', 'kaya', 'applikasi', 'sebelah', 'buka', 'kuota', 'pas', 'kuota', 'habis', 'susah', 'beli', 'paketnya', '']</t>
  </si>
  <si>
    <t>['telkomsel', 'sinyal', 'emosi', 'lemot', 'sinyal', 'kayak', 'sifood', 'lemot', 'nyesel', 'pengguna', 'telkomsel', 'sel']</t>
  </si>
  <si>
    <t>['kasih', 'bintang', 'klusudah', 'faham', 'bintang', '']</t>
  </si>
  <si>
    <t>['buka', 'elkomsel']</t>
  </si>
  <si>
    <t>['jelek', 'banget', 'sinyalnya']</t>
  </si>
  <si>
    <t>['halo', 'provider', 'telkomsel', 'terhormat', 'sinyal', 'telkomsel', 'jelek', 'banget', 'paketan', 'udah', 'mahal', 'sinyal', 'lemah', 'daerah', 'sidoarjo', 'kecamatan', 'wonoayu', 'ganti', 'provider', 'mahal', 'sinyal', 'konsisten', 'terima', 'kasih']</t>
  </si>
  <si>
    <t>['provider', 'terburuk', 'jaringan', 'lemot', 'payahhh', '']</t>
  </si>
  <si>
    <t>['paket', 'mahal', 'sinyal', 'kek', 'pepek']</t>
  </si>
  <si>
    <t>['tolong', 'min', 'telkomselku', 'buka', '']</t>
  </si>
  <si>
    <t>['semoga', 'meningkat']</t>
  </si>
  <si>
    <t>['buka', 'aplikasi', '']</t>
  </si>
  <si>
    <t>['kesini', 'provider', 'gajelas', 'udah', 'paket', 'gacha', 'harga', 'ngotak', 'sinyal', 'lemot', 'parah', 'udh', 'gitu', 'suka', 'ilang', 'ilangan', 'mentang', 'mentang', 'provider', 'gede', 'seenak', 'jidat', 'konsumen', 'jaringan', 'provider', 'ditempat', 'udh', 'kubuang', 'kartu', 'busuk', '']</t>
  </si>
  <si>
    <t>['layar', 'putih', 'bersih', 'bening', 'jerawat']</t>
  </si>
  <si>
    <t>['tanggal', 'aplikasi', 'nga', 'buka', 'paket', 'combo', 'sakti', 'hilang', 'jdi', 'kecewa']</t>
  </si>
  <si>
    <t>['aplikasi', 'kebuka', '']</t>
  </si>
  <si>
    <t>['telcomsel', 'sarap', 'unduh', 'trs', 'blk', 'blkntrs', 'nyebelin']</t>
  </si>
  <si>
    <t>['', 'buka', 'udah', 'quota', 'pulsa', 'wifi', 'tetep', 'buka', '']</t>
  </si>
  <si>
    <t>['knpa', 'jaringan', 'kmarin', 'jelek', 'mulu', 'duhh']</t>
  </si>
  <si>
    <t>['kanap', 'telkomsel', 'buka', '']</t>
  </si>
  <si>
    <t>['mengecewakan', 'apk', 'buka', 'muncul', 'layar', 'putih', 'itupun', 'berulang']</t>
  </si>
  <si>
    <t>['terbuka', 'aplikasinya', 'pret']</t>
  </si>
  <si>
    <t>['kartu', 'hallo', 'prabayar', 'pinjol', 'penipuan', 'tlpn', 'callcenter', 'telkomsel', 'tolak']</t>
  </si>
  <si>
    <t>['telkomsel', 'buka', '']</t>
  </si>
  <si>
    <t>['makasih', 'telkomsel', 'kuota', 'siang', 'paket', 'murah']</t>
  </si>
  <si>
    <t>['akses', 'download', 'kecewa', 'bnget', 'deh', 'skrg', 'udh', 'sebagus', 'kinerja']</t>
  </si>
  <si>
    <t>['min', 'pulsa', 'kesedot', 'beli', 'pulsa', 'abis', 'dapet', 'aktiffin', 'kuota', 'darurat', 'pulsa', 'kesedot', 'kemana', 'pantesan', 'pakek', 'doank', 'kesedot', 'gara', 'gara', 'pulsa', 'kesedot', 'beli', 'kuota', 'gitu', 'jajan', 'udah', 'nabung', 'beli', 'kuota', 'kesedot', 'pulsa']</t>
  </si>
  <si>
    <t>['aplikasi', 'membantu', 'hemat']</t>
  </si>
  <si>
    <t>['semenjak', 'perbaikan', 'kemaren', 'telkomsel', 'lemot', 'sinyal', 'nggak', 'full', 'kota', 'terpaksa', 'kuranngi', 'rating', 'normal', 'rating']</t>
  </si>
  <si>
    <t>['jaringannya', 'banget', 'lemotnya', 'parah', 'mengganggu', 'aktifitas', 'banget', '']</t>
  </si>
  <si>
    <t>['tollloll', 'provider', 'gb', 'ribu', 'gb', 'ribu', 'kenceng', 'lemot', 'provider', 'anjjjjiiiinnnggggggg']</t>
  </si>
  <si>
    <t>['dibuka', 'eror', 'melulu', 'paket', 'termahal', 'tpi', 'layanan', 'murahan', 'aplikasi', 'akhklak', 'fucek']</t>
  </si>
  <si>
    <t>['aplikasinya', 'dibuka', 'cek', 'kuota', 'cek', 'pulsa', 'susah', 'udah', 'upgrade', 'tetep', 'dibuka', 'ayoo', 'benahii', 'iiiiiiiiiiiiiii']</t>
  </si>
  <si>
    <t>['mengecewakan', 'buka', 'muncul', 'layar', 'putih']</t>
  </si>
  <si>
    <t>['nyesel', 'ngupdate', 'telkomsel', 'buka', 'sempet', 'hapus', 'apk', 'nginstal', 'ulang', 'tetep', 'kebuka', 'gimana', 'min']</t>
  </si>
  <si>
    <t>['mahal', 'lemot', 'stabil', '']</t>
  </si>
  <si>
    <t>['telkomsel', 'sinyalnya', 'kesini', 'stabil', 'mohon', 'perbaikannya', '']</t>
  </si>
  <si>
    <t>['pengalaman']</t>
  </si>
  <si>
    <t>['aplikasi', 'install', 'android', 'tolong', 'diperbaiki', 'terimakasih', '']</t>
  </si>
  <si>
    <t>['kasih', 'bintang', 'bgus', 'lgi']</t>
  </si>
  <si>
    <t>['jijik', 'bnget', 'tlkmsel', 'paket', 'mahal', 'jaringan', 'mlah', 'kya', 'keong', 'najis', 'mndingan', 'indosat']</t>
  </si>
  <si>
    <t>['telkomsel', 'buka', 'turunin', 'bintangnya', 'besok', 'turunin', 'ratingnya']</t>
  </si>
  <si>
    <t>['hmmm', 'udah', 'kali', 'update', 'bagus', '']</t>
  </si>
  <si>
    <t>['susah', 'update', 'telkomsel', 'minggu']</t>
  </si>
  <si>
    <t>['telkomsel', 'pasang', 'menara', 'tower', 'abal', 'abal', 'sinyalnya', 'leletttt', 'sarannya', 'diperkuat', 'sinyalnya', 'mengganggu', 'aktifitas', 'warga', 'memakai', 'telkomsel', '']</t>
  </si>
  <si>
    <t>['lancar', 'paket', 'ttp', 'mahal', 'dibuka', 'bangke', 'yak', 'org', 'cek', 'kuota', 'beli', 'kuota', 'cek', 'pulsa', 'terhambat', 'update', 'min', '']</t>
  </si>
  <si>
    <t>['benerin', 'aplikasi', '']</t>
  </si>
  <si>
    <t>['kecewa', 'aplikasi', 'nge', 'blank']</t>
  </si>
  <si>
    <t>['jaringan', 'ditempat', 'ampas', 'banget', 'maaf', 'min', 'tolong', 'laporkan', 'atasan', 'btsnya', 'tolong', 'ditambah', 'didaerah', 'plosok', 'terpencil', 'perusahaan', 'milik', 'bumn', 'mikirin', 'untung', 'doang', 'pikirin', 'nasib', 'netijennn', 'plosok', '']</t>
  </si>
  <si>
    <t>['', 'tengok', 'tengok', 'jaringan', 'telkomsel', 'kayak', 'anjeng', '']</t>
  </si>
  <si>
    <t>['abonen', 'rts', 'sebulan', 'sinyalnya', 'bapuk', 'ganti', 'rb', 'koq', 'mlh', 'tmbh', 'parah', 'tobaaaattttttttt', '']</t>
  </si>
  <si>
    <t>['aplikasi', 'pusing', 'eror', 'blank', 'tampil', 'layar', 'putih', 'sistem', 'program', 'merepotkan', 'susah', 'sungguh', 'aplikasi', 'nii', 'menyusahkan', 'pemakai', 'spt', '']</t>
  </si>
  <si>
    <t>['aplikasi', 'buka', 'kapasitas', 'memori', 'aplikasi', 'udah', 'download', 'kejadian', 'coba', 'uninstal', 'download', 'buka', 'mohon', 'min']</t>
  </si>
  <si>
    <t>['niat', 'ngak', 'ngasih', 'promo', 'tukar', 'poin', 'sistem', 'sibuk', 'provider', 'sampah']</t>
  </si>
  <si>
    <t>['udh', 'diupdate', 'instal', 'ulang', 'tetep', 'dibuka', 'gimna', 'udh', 'brp', 'dibuka', 'dibenerin', 'napaaaa']</t>
  </si>
  <si>
    <t>['login', 'sim', 'login', 'sim', 'cari', 'opsi', 'hapus', 'akun', 'opsinya', 'update', 'diupdate', 'terbuka', 'hang', 'samsung', 'mending', 'uninstall', '']</t>
  </si>
  <si>
    <t>['parah', 'banget', 'kecewa', 'telkomsel', '']</t>
  </si>
  <si>
    <t>['ngga', 'buka', 'appnya']</t>
  </si>
  <si>
    <t>['mahal', 'beli', 'paket', 'dsini']</t>
  </si>
  <si>
    <t>['aplikasi', 'akses']</t>
  </si>
  <si>
    <t>['perbaharui', 'giliran', 'udah', 'perbaharui', 'buka', 'putih', 'doang', '']</t>
  </si>
  <si>
    <t>['isi', 'pulsa', 'habis', 'duluan', 'sisa', 'kuota', 'tolong', 'perbaiki', 'cuk', 'mataneh', 'ngene', 'mawut']</t>
  </si>
  <si>
    <t>['parah', 'udah', 'sekalas', 'jaringan', 'kacau', 'mahal', 'doang', 'payah', 'berkelas', '']</t>
  </si>
  <si>
    <t>['aplikasiny', 'buka', 'android']</t>
  </si>
  <si>
    <t>['menjual', 'kuota', 'gb', 'pengguna', 'aktif', 'internet', 'orang', 'tua', 'bulannya', 'dipaksa', 'membeli', 'kuota', '']</t>
  </si>
  <si>
    <t>['mantabb', 'paket', '']</t>
  </si>
  <si>
    <t>['simbiosis', 'mutualisme', 'telkomsel', 'masyarakat', 'luas']</t>
  </si>
  <si>
    <t>['bagus', 'cepat', 'transaksi', 'mahal', 'beli', 'paket']</t>
  </si>
  <si>
    <t>['telkom', 'anehh', 'daftar', 'paket', 'ulmitid', 'youtube', 'buka', 'youtube', 'paket', 'data', 'utamaku', 'berkurang', 'croi', 'data', 'buru', 'kkkk']</t>
  </si>
  <si>
    <t>['bagus', 'banget', 'pokok', 'telkomsel', 'pilihan', 'paket', 'internet', 'semoga', 'kedepan', 'maju', 'sukses']</t>
  </si>
  <si>
    <t>['pengguna', 'menyesal', 'terimakasih', '']</t>
  </si>
  <si>
    <t>['aplikasi', 'telkom', 'dibuka', 'kendala', 'dimana', 'aplikasi', '']</t>
  </si>
  <si>
    <t>['yaa', 'bbrp', 'buka', 'mytelkomsel', 'kluar', 'layar', 'putih', 'doang', 'pdhl', 'minggu', 'dibuka', 'daily', 'check', '']</t>
  </si>
  <si>
    <t>['kasih', 'bintang', 'turunin', 'deh', 'aplikasinya', 'lelet', 'sinyal', 'jelek', 'beli', 'paket', 'internet', 'aplikasi', 'nggak', 'fungsinya', 'telkomsel', '']</t>
  </si>
  <si>
    <t>['apk', 'ngga', 'dibuka', '']</t>
  </si>
  <si>
    <t>['berulang', 'kali', 'sinyal', 'lemot', 'bilin', 'lemot', 'tindakan']</t>
  </si>
  <si>
    <t>['ngak', 'buka', 'aplikasinya', 'download', 'boros', 'boros', 'kuota', '']</t>
  </si>
  <si>
    <t>['min', 'aplikasinya', 'buka', 'update', '']</t>
  </si>
  <si>
    <t>['ngotak', 'woii', 'kali', 'komen', 'dihapus', 'mulu', 'unisntall', 'komplen', 'dibenerin', 'respon']</t>
  </si>
  <si>
    <t>['njir', 'aplikasi', 'gua', 'update', 'lancar', 'lancar', 'gua', 'update', 'parah', 'kebuka', 'aplikasi', 'gua', 'update', 'apl', 'lancar', 'hancur', 'muncul', 'gambar', 'putih', 'udh', 'gua', 'tunggu', 'sejam', 'gitu', 'gitu', 'sialan', 'aplikasi']</t>
  </si>
  <si>
    <t>['beli', 'mahal', 'sebanding', 'kuakitas', 'jaringan', 'payah', 'telkomsel', 'mengecewakan', '']</t>
  </si>
  <si>
    <t>['telkomsel', 'buka', 'pas', 'buka', 'layar', 'nys', 'putih', 'masuk', 'apk', 'udh', 'berkali', 'kali', 'coba', 'tetep', 'masuk', 'telkomsel', 'tolong', 'jelasin', 'masuk', 'udh', 'jaringan', 'masuk', 'apk', '']</t>
  </si>
  <si>
    <t>['udah', 'minggu', 'white', 'spot', 'istilah', 'dibuka', 'diakses', 'kelewat', 'deh', 'daily', 'check', '']</t>
  </si>
  <si>
    <t>['provider', 'jelek', 'minggu', 'respon', 'aplikasi', 'ngeblank', '']</t>
  </si>
  <si>
    <t>['paket', 'telkomsel', '']</t>
  </si>
  <si>
    <t>['bingung', 'telkomsel', 'ngecek', 'pulsa', 'beli', 'paket', 'internet', 'waduhhhhh']</t>
  </si>
  <si>
    <t>['bsa', 'dibuka', 'layar', 'putih']</t>
  </si>
  <si>
    <t>['', 'buka', 'aplikasi', 'mohon', 'penjelasannya', '']</t>
  </si>
  <si>
    <t>['lintah', 'darat', 'mencekik', 'rakyat']</t>
  </si>
  <si>
    <t>['mohon', 'maaf', 'daftar', 'kuota', 'telkomsel', 'error', 'trus', 'pulsa', 'terpotong', 'kuotanya', 'masuk']</t>
  </si>
  <si>
    <t>['kak', 'internet', 'lemot', 'buka', 'pending', 'internet', 'lokal', 'permasalahannya', '']</t>
  </si>
  <si>
    <t>['kecewa', 'perbarui', 'buka', 'pas', 'apus', 'download', 'lgi']</t>
  </si>
  <si>
    <t>['buka', 'aplikasi', 'jaringannya', 'sekenceng', 'internetan']</t>
  </si>
  <si>
    <t>['knp', 'pas', 'isi', 'pulsa', 'jdi', 'pulsa', 'yng', 'beli', 'sms', 'masuk', 'jumblah', 'cek', 'jdi', 'bnr', 'kecewa', 'telkomsel', 'udh', 'sinyal', 'karuan', 'parah']</t>
  </si>
  <si>
    <t>['sulit', 'kali', 'buka']</t>
  </si>
  <si>
    <t>['kebuka', '']</t>
  </si>
  <si>
    <t>['woi', 'benerin', 'sinyal', 'bang', 'sinyal', 'jelek', 'banget', 'gue', 'kota']</t>
  </si>
  <si>
    <t>['provider', 'sampah', 'habis', 'transaksi', 'gopay', 'masuk', 'paketnya', 'provider', 'mending', 'provider', 'sampah', 'cocok']</t>
  </si>
  <si>
    <t>['cinta', 'telkomsel']</t>
  </si>
  <si>
    <t>['apk', 'memudahkan', 'pengguna', 'telkomsel', '']</t>
  </si>
  <si>
    <t>['jaringan', 'gajelas', 'lemot', 'parah', 'dulunya', 'bagus', 'lemot', 'parah', 'lapor', 'gada', 'solusi']</t>
  </si>
  <si>
    <t>['hilangkan', 'iklan', 'resah', 'munculnya', 'iklan', 'sll', 'mengganggu', 'mhn', 'evaluasi', '']</t>
  </si>
  <si>
    <t>['upgrade', 'muncul', 'layar', 'putih']</t>
  </si>
  <si>
    <t>['cie', 'bangkrut', 'jaringan', 'lemot', 'tin', 'cie', 'tutup', 'prusahaan', 'nanggung', 'paket', 'doang', 'mahal', 'kntl']</t>
  </si>
  <si>
    <t>['barusan', 'gua', 'beli', 'pket', 'engga', 'masuk', 'gimna', 'pulsa', 'gua', 'ajah', 'hilang', 'pket', 'engga', 'msuk', '']</t>
  </si>
  <si>
    <t>['aplikasinya', 'gabisa', 'dibuka', 'knp', 'blank', 'putih', 'masuk', 'masuk']</t>
  </si>
  <si>
    <t>['blank', 'putih', 'heran', 'dehhh', 'gimana', 'tolong', 'secepatnya', 'perbaiki', 'apk', 'promonya', '']</t>
  </si>
  <si>
    <t>['pas', 'updet', 'bru', 'sya', 'pnya', 'nga', 'buka', 'min', 'tolng', 'perbaiki', 'bug', 'apanya', 'btw', 'sya', 'nyaman', 'pke', 'mytelkomsel', 'nga', 'ribet']</t>
  </si>
  <si>
    <t>['gila', 'sinyalnya', 'bagus', 'banget', 'kayak', 'indihome', 'udah', 'mati']</t>
  </si>
  <si>
    <t>['diupdate', 'blank', 'putih', 'beli', 'paketan', 'combo', 'sakti', 'gb', 'gopay', 'lancar', 'udah', 'jam', 'masuk', 'masuk', 'kuotanya']</t>
  </si>
  <si>
    <t>['bintang', 'harga', 'paket', 'datanya']</t>
  </si>
  <si>
    <t>['aneh', 'suruh', 'update', 'aplikasi', 'update', 'buka', 'masuk', 'email', 'bsa', 'download', 'bsa', 'dowload', 'android', 'versi', 'heeyy', 'aplikasi', 'kaya', 'gini', 'melayani', 'pengen', 'layani', '']</t>
  </si>
  <si>
    <t>['mendukung', 'aktifitas', 'dimasa', 'pandemi']</t>
  </si>
  <si>
    <t>['lemot', 'rugi', 'rugi', 'beli', 'paket', 'mahal']</t>
  </si>
  <si>
    <t>['maksud', 'update', 'buka', 'aplikasu', 'ngajakin', 'berantem', 'yak', '']</t>
  </si>
  <si>
    <t>['kecewa', 'banget', 'udah', 'berlangganan', 'telkomsel', 'isi', 'pulsa', 'kepotong', 'tunggakan', 'paket', 'darurat', 'kaya', 'gitu']</t>
  </si>
  <si>
    <t>['tingkatkan', 'pelayanan']</t>
  </si>
  <si>
    <t>['mudah', 'cek', 'paket', 'beli', 'paket']</t>
  </si>
  <si>
    <t>['cepat', 'mantab']</t>
  </si>
  <si>
    <t>['mudah', 'dlm', 'penggunaannya']</t>
  </si>
  <si>
    <t>['buka', 'aplikasinya', 'minggu', 'layar', 'putih', '']</t>
  </si>
  <si>
    <t>['bgs', 'dpn']</t>
  </si>
  <si>
    <t>['aplikasinya', 'kebuka', 'parah', '']</t>
  </si>
  <si>
    <t>['telkomselnya', 'tolong']</t>
  </si>
  <si>
    <t>['telkomsel', 'jaringan', 'utama', 'wilayah', 'nkri', 'maju', 'telkomsel', 'indonesia', '']</t>
  </si>
  <si>
    <t>['tolong', 'perbaiki', 'app', 'buka', 'respon', 'blank', '']</t>
  </si>
  <si>
    <t>['beli', 'quota', 'musti', 'sabar', 'tingkat', 'browsing', 'lemot', '']</t>
  </si>
  <si>
    <t>['jaringan', 'buruk', 'lag', 'parah', 'kadang', 'sinyal', 'langsung', 'ping', 'merah', 'mohon', 'diperbaiki', 'jaringan', 'kaya', 'gini', 'trus', 'langganan', 'kecewa']</t>
  </si>
  <si>
    <t>['tolong', 'admin', 'telkomsel', 'aplikasi', 'buka', 'klik', 'aplikasi', 'cma', 'putih', 'doang', 'ngak', 'butuh', 'banget', 'aplikasi', 'tolong', 'kebijakan', '']</t>
  </si>
  <si>
    <t>['bagus', 'mahalan', 'promo', 'pakai', 'kartu']</t>
  </si>
  <si>
    <t>['tolong', 'telkomsel', 'blank', 'dibuka', 'uninstal', 'instal', 'ulang', 'ttp']</t>
  </si>
  <si>
    <t>['aplikasinya', 'dibuka', 'telkomsel', 'hallo', 'pengguna']</t>
  </si>
  <si>
    <t>['gini', 'app', 'jlas', 'kecewa', 'blank', 'udah', 'buka', 'app', 'putih', '']</t>
  </si>
  <si>
    <t>['harga', 'kuota', 'mahal', 'ramah', 'kantong', 'pelajar']</t>
  </si>
  <si>
    <t>['dibuka', 'hpku', 'eror', 'apaa', 'aplikasinya', '']</t>
  </si>
  <si>
    <t>['bagus', 'mempermudah', 'layanan']</t>
  </si>
  <si>
    <t>['ehh', 'telkomsel', 'jaringan', 'udah', 'sebulan', 'jelek', 'sinyal', 'telkomsel', 'perbaiki', 'astaghfirullah', 'kecewa', 'pengguna', 'sinyal', 'jelek', 'perbaiki']</t>
  </si>
  <si>
    <t>['update', 'menghabiskan', 'baterai']</t>
  </si>
  <si>
    <t>['downlod', 'terinstal', 'aplikasi', 'kebuka']</t>
  </si>
  <si>
    <t>['menolong', 'ringkas', 'informasi', 'akurat', 'status', 'kartu', 'sim']</t>
  </si>
  <si>
    <t>['sinyalny', 'buriikkkkkkkk']</t>
  </si>
  <si>
    <t>['tertarik']</t>
  </si>
  <si>
    <t>['eko', 'drpd', 'ngebacot', 'ganti', 'provider', 'suruh', 'komentar', 'bnyk', 'protes', 'telkomsel', 'lucu', '']</t>
  </si>
  <si>
    <t>['jringan', 'lelet', 'beli', 'kuota', 'mhal', 'tpi', 'kadang', 'hilang', 'tolong', 'harga', 'sesuai', 'layanan', 'yng', 'laq', 'ngotak']</t>
  </si>
  <si>
    <t>['ngisi', 'pulsa', 'kepotong', 'males', 'gue', '']</t>
  </si>
  <si>
    <t>['jdi', 'lbh', 'mudahhh']</t>
  </si>
  <si>
    <t>['tolong', 'paket', 'internet', 'naikan', 'harganya', 'terimakasih']</t>
  </si>
  <si>
    <t>['paketan', 'lbh', 'murah']</t>
  </si>
  <si>
    <t>['aplikasi', 'dibuka', 'udah', '']</t>
  </si>
  <si>
    <t>['masuk', 'mudah', 'bahasa', 'mudah', 'pahami']</t>
  </si>
  <si>
    <t>['jaringannya', 'buruk', 'aplikasi', 'telkomsel', 'nggk', 'download', 'rakyat', 'miskin', '']</t>
  </si>
  <si>
    <t>['lemoooooot', 'banget', 'paket', 'mahal', 'mencekik', 'rakyat', 'berpenghasilan', 'paspasan', 'sayang', 'nomornya', 'udah', 'ganti', '']</t>
  </si>
  <si>
    <t>['sinyal', 'laut', 'sepinggan', 'balikpapan', 'jelek']</t>
  </si>
  <si>
    <t>['maaf', 'aaya', 'turunin', 'bintangbnya', 'karana', 'parah', 'update', 'buka', 'ngablank', 'jadinlayar', 'putih', 'doang', 'akses', 'masuk', 'telkomsel', '']</t>
  </si>
  <si>
    <t>['lemot', 'min', 'layar', 'putih', 'doang', 'jaringan', 'jelek', 'kualitasnya', 'gimana', 'pokonya', 'kecepatannya', 'bagusan', 'dibawahnya', 'turun', 'maaf', 'sekedar', 'kenyataan', 'dilapangan']</t>
  </si>
  <si>
    <t>['mengecewakan', 'hidup', 'paket', 'detik', 'memakan', 'pulsa', 'nggak', 'tanggung', 'tanggung', 'beli', 'paket', 'pulsa', 'doang', 'nggak', 'operator', 'sebelah', 'saldo', 'nggak', 'beli', 'paket', 'data', 'saldo', 'wallet', 'mending', 'nggak', 'aplikasi', 'mending', 'beli', 'ketik', 'manual']</t>
  </si>
  <si>
    <t>['mantap', 'cuman', 'mihil']</t>
  </si>
  <si>
    <t>['paketnya', 'jam', 'perhari', 'cuman', 'jam']</t>
  </si>
  <si>
    <t>['sekrang', 'appnya', 'dibuka', 'cman', 'layar', 'putih', 'respon', 'padahl', 'pgn', 'beli', 'paket', 'inet', 'jdi', 'ribet', 'pdhl', 'app', 'paket', 'murmer', 'tolong', 'diperbaiki', 'bug']</t>
  </si>
  <si>
    <t>['gimana', 'nggak', 'akses', 'telkomsel', '']</t>
  </si>
  <si>
    <t>['knp', 'iniiii', 'layar', 'putih', 'muluuu']</t>
  </si>
  <si>
    <t>['terimakasih', 'karna', 'cepat', 'membeli', 'data']</t>
  </si>
  <si>
    <t>['penggunaan', 'apk', 'mudah']</t>
  </si>
  <si>
    <t>['kenpa', 'alplikasi', 'update', 'dibuka', 'aplikasinya', 'telkomsel', 'kesalahan', 'dri', 'kantor', 'pusat', 'mohon', 'diperbaiki', 'aplikasinya', 'milik', 'bumn', 'koq', 'pantaan']</t>
  </si>
  <si>
    <t>['aplikasi', 'error', 'sinyal', 'jelek', 'telkomsel']</t>
  </si>
  <si>
    <t>['seteh', 'update', 'white', 'screen', 'muncul', '']</t>
  </si>
  <si>
    <t>['buka', 'mytelkom', '']</t>
  </si>
  <si>
    <t>['sinyal', 'kayak', 'milik', 'bumn', '']</t>
  </si>
  <si>
    <t>['apk', 'eror', 'layar', 'putih']</t>
  </si>
  <si>
    <t>['terbaik', 'teraman', 'terjamin']</t>
  </si>
  <si>
    <t>['aplikasi', 'buka', 'kali', 'instal', 'ulang']</t>
  </si>
  <si>
    <t>['stelah', 'update', 'blank', 'warna', 'putih', 'muncul', 'jelaskn', '']</t>
  </si>
  <si>
    <t>['tolong', 'murahin']</t>
  </si>
  <si>
    <t>['jelek', 'aplikasi', 'download', 'buka', '']</t>
  </si>
  <si>
    <t>['menyesal', 'tawaran', 'telkomsel', 'berubah', 'kartu', 'halo', 'berhenti', 'langganan', 'kartu', 'hallo', 'tinggal', 'tlp', 'telkomsel', 'bohong', 'terjebak', 'graparinya', 'udah', 'gitu', 'tagihan', 'membengkak', 'kecewa', 'telkom', 'sel', '']</t>
  </si>
  <si>
    <t>['mantul', 'kelain', 'hati']</t>
  </si>
  <si>
    <t>['bagus', 'nambah', 'kesini', 'nambah', 'mahal']</t>
  </si>
  <si>
    <t>['membantu', 'semoga', 'promo']</t>
  </si>
  <si>
    <t>['telkomsel', 'koq', 'dibuka', 'berkali', 'uinstal', 'instal', 'layar', 'putih', 'trs', 'please', 'ksh', 'jwban']</t>
  </si>
  <si>
    <t>['dibuka', 'vivo']</t>
  </si>
  <si>
    <t>['aplikasinya', 'ngadat']</t>
  </si>
  <si>
    <t>['bot']</t>
  </si>
  <si>
    <t>['', 'dibuka', 'direksi', 'ahlinya', 'kayaknya', 'hahahaha']</t>
  </si>
  <si>
    <t>['sistem', 'point', 'pointnya', 'reedem', 'coba', 'berkali', 'bilangnya', 'sistem', 'sibuk', 'bintang', 'bintang', 'kasih', 'ulasan', 'hapus', 'parah', '']</t>
  </si>
  <si>
    <t>['emang', 'menyesal', 'udah', 'jaringan', 'jelek', 'update', 'app', 'buka', 'app', 'putih', 'masuk', 'paketannya', 'pualing', 'mahal', 'rekanan', 'telkomsel', 'kenal', 'koneksi', 'petinggi', 'doank', 'servernya', 'laptop', 'doank', 'ubah', 'bintangnya', 'terselesaikan', '']</t>
  </si>
  <si>
    <t>['bagus', 'cepat', '']</t>
  </si>
  <si>
    <t>['bagus', 'terpercaya']</t>
  </si>
  <si>
    <t>['jaringan', 'udah', 'beda', 'pelanggan', 'buruh', 'konsumen', 'kecewa', 'berat', 'harga', 'mahal', 'koneksi', 'mengecewakan', 'lite', 'nunggu', 'malem', 'jam', 'itupun', 'jaringan', 'hilang', 'hilang']</t>
  </si>
  <si>
    <t>['paket', 'mahal', 'yaa', 'hahaa', 'bang', '']</t>
  </si>
  <si>
    <t>['knp', 'putih', 'smua']</t>
  </si>
  <si>
    <t>['lumayan', 'kebantu', 'kedpanya']</t>
  </si>
  <si>
    <t>['telkomsel', 'era', 'anjlok', 'sinyal', 'susah', 'kartu', 'doank', 'mahal', 'sinyal', 'lelet', 'auto', 'indosat', 'gpp', 'murah', 'spek', 'murahan', '']</t>
  </si>
  <si>
    <t>['update', 'koq', 'dibuka', 'layar', 'putih']</t>
  </si>
  <si>
    <t>['gua', 'beli', 'kuota', 'youtube', 'sinyalnya', 'suka', 'ngeleg', 'main', 'game', 'gua', 'kuota', 'nonton', 'pas', 'gua', 'nonton', 'disney', 'ngurang', 'kuota', 'utama', 'kuota', 'nonton', 'ngurang']</t>
  </si>
  <si>
    <t>['muak', 'telkomsel', 'koneksi', 'busuk', 'internet', 'nelpon', 'susah', 'bangke', '']</t>
  </si>
  <si>
    <t>['white', 'screens', 'benerin']</t>
  </si>
  <si>
    <t>['aduhh', 'pas', 'dibuka', 'layarnya', 'putih', 'doang', 'udah', 'nunggu', 'berhari', 'buka', 'udah', 'instal', 'uninstall', 'kebuka', 'hdeh', 'ganti', 'kartu', '']</t>
  </si>
  <si>
    <t>['paket', 'internet', 'mahal', 'bnagt']</t>
  </si>
  <si>
    <t>['praktis', 'kekinian', 'good', 'job']</t>
  </si>
  <si>
    <t>['bersahabat', 'dimana']</t>
  </si>
  <si>
    <t>['mudah', 'membingungkan']</t>
  </si>
  <si>
    <t>['review', 'hapus', 'haduhhh', 'apus', 'min', 'mohon', 'apk', 'telkomselnya', 'perbaiki', 'sampe', 'masig', 'white', 'screen', 'android', 'akses']</t>
  </si>
  <si>
    <t>['koq', 'harga', 'paket', 'combo']</t>
  </si>
  <si>
    <t>['jaringan', 'wifi', 'telkom', 'lemot', 'mengecewakan', 'telkomsel']</t>
  </si>
  <si>
    <t>['ayo', 'tinggalkan', 'apapun', 'jenis', 'produknya', 'telkom', 'mengecewakan', 'pelanggan', '']</t>
  </si>
  <si>
    <t>['berat', 'buka', 'sinyal', 'stabil', 'jaringan', 'telkomsel', 'kek', 'sampah']</t>
  </si>
  <si>
    <t>['aplikasinya', 'dibuka', 'putih']</t>
  </si>
  <si>
    <t>['bintang', 'promo', 'internet', 'murah', 'kayak']</t>
  </si>
  <si>
    <t>['sip', 'oke', 'jaringan', 'terbaik']</t>
  </si>
  <si>
    <t>['app', 'ngga', 'dibuka', 'sulitkah', 'mengirim', 'pemberitahuan', 'sblmnya', 'kebingungan', 'nyari', 'semalaman', 'kebijakan', 'huft', '']</t>
  </si>
  <si>
    <t>['heran', 'kartu', 'pindah', 'telp', 'sms', 'terima', 'sms', 'pemakaian', 'kuota', 'internet', 'akibatnya', 'sms', 'pulsa', 'berkurang', 'seminggu', 'pulsa', 'terpotong', '']</t>
  </si>
  <si>
    <t>['kualitas', 'jaringan', 'top']</t>
  </si>
  <si>
    <t>['bagus', 'beli', 'kuota', 'pulsa', '']</t>
  </si>
  <si>
    <t>['alhamdulillah', 'harga', 'paket', 'murah', 'banyakin', 'promo', '']</t>
  </si>
  <si>
    <t>['apk', '']</t>
  </si>
  <si>
    <t>['beli', 'paket', 'langsung', 'masuk']</t>
  </si>
  <si>
    <t>['halo', 'pengguna', 'isi', 'ulang', 'pulsa', 'kepotong', 'gara', 'gara', 'paket', 'terpakai', 'kuota', 'telkom', 'memberitahu', '']</t>
  </si>
  <si>
    <t>['aplikasi', 'dibuka', 'layar', 'putih', 'tok', '']</t>
  </si>
  <si>
    <t>['suda', 'tukar', 'poin']</t>
  </si>
  <si>
    <t>['kecewa', 'pelanggan', 'setia', 'telkomsel', 'jaringannya', 'payah', 'padahala', 'kota', 'tolong', 'telokomsel', 'berbenah', 'ter', 'distruption', 'trimakasih', '']</t>
  </si>
  <si>
    <t>['mengecewakan', 'apl', 'masuk', 'pembayara', 'cuman', 'kasih', 'watu', 'detik', 'pindah', 'susah', 'beli', 'paketan']</t>
  </si>
  <si>
    <t>['aplikasi', 'pas', 'buka', 'white', 'screen', 'udah', 'uninstal', 'instal', 'bolak', 'pas', 'login', 'waduhh', 'gimana', 'tolong', 'perbaiki', 'aplikasi', 'mytelkomsel', 'eror', 'mulu', '']</t>
  </si>
  <si>
    <t>['sinyal', 'kenceng', 'skrang', 'error', 'heran', 'smpe', 'kpn', 'bgni', 'pke', 'internet', 'jga', 'berbayar', 'gratis', 'sperti', 'trus', 'mnding', 'ganti', 'provider', '']</t>
  </si>
  <si>
    <t>['kecewa', 'telkomsel', 'paket', 'nelfon', 'aktif', 'beli', 'gopay', 'emang', 'harga', 'kecewa', 'layanan', 'telkomsel', 'rugikan', 'pegunungan', 'telkomsel', '']</t>
  </si>
  <si>
    <t>['sulit', 'buka', 'diakses', 'telkomselnya']</t>
  </si>
  <si>
    <t>['penyusunan', 'menu', 'informasi', 'memudahkan']</t>
  </si>
  <si>
    <t>['gangguan', 'kasih', 'pembelian', 'paket', 'internet', 'masuk', 'saldo', 'potong', 'pembelian', 'aplikasi', '']</t>
  </si>
  <si>
    <t>['stuck', 'white', 'screen', 'berkali', 'device', 'jaringan', 'ram', 'gede', 'jaringan', 'ngebut', 'internal', 'lega', 'tolong', 'ditindak', 'lanjuti', 'viral', 'pelanggan', 'pindah', 'provider', '']</t>
  </si>
  <si>
    <t>['pelanggan', 'telkomsel', 'paket', 'mahal', 'mengeluh', 'ganti', 'provider', 'merasakan', 'murah', 'telkomsel', 'jaringan', 'menang', 'dikit', 'ganti', 'kartu', 'pulsa', 'tersedot', 'masi', 'memiliki', 'kuota', 'internet', 'telkomsel', 'bertanggung', 'dulunya', 'mengembalikan', 'pulsa', 'tersedot', 'kesalahan', 'telkomsel', '']</t>
  </si>
  <si>
    <t>['sinyal', 'kau', 'area', 'palembang', 'beneri', 'babi']</t>
  </si>
  <si>
    <t>['telkomsel', 'kek', 'beli', 'pulsa', 'pulsa', 'dipakai', 'udah', 'apk', 'dibuka', 'niat', 'perdana', 'perdana', '']</t>
  </si>
  <si>
    <t>['', 'sip']</t>
  </si>
  <si>
    <t>['applikasi', 'dibuka', '']</t>
  </si>
  <si>
    <t>['aplikasinya', 'dibuka', 'diupdate', 'males', 'deh']</t>
  </si>
  <si>
    <t>['akses']</t>
  </si>
  <si>
    <t>['sumpah', 'beli', 'kali', 'paket', 'telkomsel', 'aktif', 'aktif', 'sampe', 'kecewa', 'telkomsel']</t>
  </si>
  <si>
    <t>['layarnya', 'putih', 'doang', 'buka', '']</t>
  </si>
  <si>
    <t>['telkomsel', 'jaringan', 'ngk', 'bagus', 'asli', 'ngelag', 'parah', 'nyesel', 'beli', 'paket', 'internet', 'ngk', 'sesuai', 'kualitas', 'jaringan', '']</t>
  </si>
  <si>
    <t>['barusan', 'beli', 'paket', 'sampe', 'transaksi', 'saldo', 'gopay', 'potong', 'iya', 'blm', 'masuk', '']</t>
  </si>
  <si>
    <t>['haloo', 'team', 'pengembang', 'aplikasii', 'aplikasi', 'mytelkomsel', 'udah', 'dibukaa', 'layar', 'putih', 'doaank', 'perbaiki', 'donk', '']</t>
  </si>
  <si>
    <t>['njir', 'ulasan', 'langsung', 'dihapus', 'bener', 'manajemen', 'aplikasi', 'diperbaiki', 'beli', 'paket', 'unlimited', 'youtube', 'upload', 'video', 'kesedot', 'kuota', 'utama', 'beli', 'paketan', '']</t>
  </si>
  <si>
    <t>['terpaksa', 'ganti', 'provider', 'sya', 'versi', 'dikasih', 'blank', 'putih', 'sma', 'telkomsel', 'bye', '']</t>
  </si>
  <si>
    <t>['dibuka', 'login', 'error']</t>
  </si>
  <si>
    <t>['aplikasi', 'bagus', 'lengkap']</t>
  </si>
  <si>
    <t>['propisional', 'hilang', 'dibuka', 'serper', 'tar', 'dibuka', 'ganti', 'bintang']</t>
  </si>
  <si>
    <t>['pulsa', 'habis', 'disedot', 'telkomsel', 'paket', 'gb', 'apasih', 'maksudnya', 'pengen', 'komplen', 'guaaa']</t>
  </si>
  <si>
    <t>['tuker', 'poin', 'ribet', 'grapari', 'pelayanan', 'solusi', 'mendetail', 'mengaktifkan', 'roaming', 'negara', 'butuhkan', '']</t>
  </si>
  <si>
    <t>['jaringan', 'buruk', 'mending', 'pindah', 'operator', 'sajah', 'ngehabat', 'sajas']</t>
  </si>
  <si>
    <t>['leletnya', 'ampun', 'kantong', 'jebol', 'emang', 'paketanku', 'murah', 'mbok', 'ojo', 'nemen', 'nemen', 'reek', 'jaringannya', 'subhanallah', 'emang', 'ngasih', 'paketan', 'murah', 'yawes', 'ilangin', 'menunya', 'paket', 'murah', 'masak', 'main', 'mlbb', 'ngelagnya', 'ampun', 'pas', 'mati', 'internetnya', 'lancar', 'jaya', 'giliran', 'war', 'langsung', 'lag', 'kerjasama', 'allah', 'rejeki', 'berkah', 'gitu', 'gitu']</t>
  </si>
  <si>
    <t>['harga', 'paketnya', 'mahal']</t>
  </si>
  <si>
    <t>['lemot', '']</t>
  </si>
  <si>
    <t>['buruk', 'jaringan', 'kemajuan', 'jelek', 'gue', 'pakek', 'telkomsel', 'uda', 'afa', 'perkembangan', 'terkait', 'stabilan', 'jaringan', 'bagus', 'jaringan', 'paket', 'mahal', 'jaringan', 'kayak', 'gini', 'payah']</t>
  </si>
  <si>
    <t>['hrapan', 'sya', 'sbgai', 'mlarat', 'smoga', 'sugih', 'sukur', 'sukur', 'olih', 'undian', 'telkomsel', 'pokoke', 'love', 'telkomsel', 'smoga', 'beruntung', '']</t>
  </si>
  <si>
    <t>['paayah', 'telkomsel', 'upgrade', 'apk', 'mytelkomsel', 'upgrade', 'device', 'turunin', 'bintangnya', 'deh', 'nggak', 'kepake', 'device', 'gue']</t>
  </si>
  <si>
    <t>['telkomsel', 'sinyalnya', 'nganu', 'yaa', '']</t>
  </si>
  <si>
    <t>['apk', 'bagusssss']</t>
  </si>
  <si>
    <t>['jelek', 'sinyal', 'jaringan', 'internet', 'perbaikan', 'komputer', 'operatornya', 'tiduran', 'ngerti', 'keluhan', 'pelanggan', 'nanggapin', 'robot', 'operatornya', 'tiduran', 'apapun', 'keluhanya', 'robot', '']</t>
  </si>
  <si>
    <t>['telkomsel', 'ajink', 'harga', 'paket', 'mahal', 'jaringan', 'stabil', 'bgsd', 'tholol']</t>
  </si>
  <si>
    <t>['hallo', 'telkomsel', 'orang', 'ngeluh', 'sinyal', 'burik', 'buruk', 'parah', 'cepet', 'koereksi', 'dibenerin', 'kek', 'gimana', 'kek', 'diem', 'udah', 'sminggu', 'ngrasain', 'main', 'game', 'ngelag', 'paraaahhh', 'burik']</t>
  </si>
  <si>
    <t>['kecewa', 'serba', 'mahal', 'pelayanan', 'sungguh', 'teramat', 'buruk', 'sesuai', 'mottonya', 'pelanggan', 'simpati', 'klu', 'kurangin', 'bintang', 'klu', 'kasih', 'bintang', 'karna', 'sungguh', 'jelek', 'pwlayanan']</t>
  </si>
  <si>
    <t>['update', 'melulu', 'aplikasi', 'lemot', 'aplikasi', 'terlemot', 'instal', '']</t>
  </si>
  <si>
    <t>['cepat', 'respon']</t>
  </si>
  <si>
    <t>['jaringan', 'lemot', 'dasar', 'lelet', 'error', 'jelek', 'ranking', 'game', 'gara', 'telkomslet', 'uda', 'paket', 'mahal', 'banding', 'jaringan', 'laen', 'mahal', 'doang', 'tpi', 'jaringan', 'lelet']</t>
  </si>
  <si>
    <t>['gangguang', 'udah', 'minggu', 'lampung', 'selesai', 'mengecewakan', '']</t>
  </si>
  <si>
    <t>['paket', 'mahal', 'terima', 'kasih']</t>
  </si>
  <si>
    <t>['telkomsel', 'mengecewakan', 'segi', 'jaringan', 'sinyal', 'harga', 'paket', 'data', 'mengecewakan']</t>
  </si>
  <si>
    <t>['sumpah', 'telkomsel', 'sinyal', 'buruk', 'banget', 'pantesan', 'kuota', 'murah']</t>
  </si>
  <si>
    <t>['kuota', 'pulsa', 'rb', 'knp', 'internetan', 'nyedot', 'pulsa', 'masuk', 'aplikasi', 'masukin', 'engga', '']</t>
  </si>
  <si>
    <t>['', 'bogor', 'cariu', 'jaringan', 'bagus']</t>
  </si>
  <si>
    <t>['sya', 'beli', 'paket', 'pke', 'gojek', 'dibayar', 'gopay', 'gojek', 'sya', 'berkurang', 'tpi', 'telkomsel', 'sya', 'paketnya', 'beli', 'bayar', 'mengecewakan', 'emg', 'tlg', 'diperbaiki', '']</t>
  </si>
  <si>
    <t>['udh', 'aplikasi', 'buka', 'white', 'screen', 'tolong', 'min', 'perbaiki', 'balikkin', 'aplikasi', '']</t>
  </si>
  <si>
    <t>['aplikasi', 'bagus', 'buruan', 'download', 'daftar', 'guys', '']</t>
  </si>
  <si>
    <t>['combo', 'sakti', 'ulnya', 'harganya', 'rb', 'rb', 'jan', 'cari', 'untunglah', 'telkomsel', 'ngawurr', '']</t>
  </si>
  <si>
    <t>['perbaharui', 'perbaharui']</t>
  </si>
  <si>
    <t>['beli', 'kuota', 'kirim', '']</t>
  </si>
  <si>
    <t>['udah', 'download', 'nggk', 'buka', 'sangatttt', 'mengecewakan']</t>
  </si>
  <si>
    <t>['beli', 'paket', 'ribet']</t>
  </si>
  <si>
    <t>['good', 'smoga', 'murah', '']</t>
  </si>
  <si>
    <t>['bintang', 'top']</t>
  </si>
  <si>
    <t>['', 'telkomsel', 'lag', 'mulu', 'kek', 'kntll']</t>
  </si>
  <si>
    <t>['mudah', 'membeli', 'paket', 'data', 'pilihan', 'paket', 'menarik']</t>
  </si>
  <si>
    <t>['nyoba', 'smntara', '']</t>
  </si>
  <si>
    <t>['tolong', 'nomer', 'habis', 'sesi', 'beli', 'kartu', 'tolong', '']</t>
  </si>
  <si>
    <t>['', 'update', 'buka', 'giliran', 'istri', 'sya', 'versi', 'gimna', 'aneh']</t>
  </si>
  <si>
    <t>['', 'telkomnyet', 'mantap', '']</t>
  </si>
  <si>
    <t>['puas', 'aplikasi', 'cepet', 'banget', 'daftarnya']</t>
  </si>
  <si>
    <t>['pembayaran', 'telkomsel', 'accoun', 'gopay', 'pembayaran', 'selesai', 'mohon', 'diselesaikan']</t>
  </si>
  <si>
    <t>['jringanya', 'mohon', 'stabilkan']</t>
  </si>
  <si>
    <t>['mudah', 'memilih', 'paket']</t>
  </si>
  <si>
    <t>['apk', 'taikk', 'beli', 'paket', 'transaksi', 'pembayaran', 'sukses', 'udah', 'kepotong', 'saldonya', 'paketnya', 'masuk', 'besok', 'msh', 'tetep', 'telkomsel', 'taiii', '']</t>
  </si>
  <si>
    <t>['mantab', 'mengikuti', 'perkembangan', 'tehnologi', 'terbarukan', '']</t>
  </si>
  <si>
    <t>['tetep', 'parah', 'say', 'sekelas', 'telkomsel', 'buruk', 'peningkatan']</t>
  </si>
  <si>
    <t>['susah', 'masuknya']</t>
  </si>
  <si>
    <t>['kecewa', 'preiveder', 'telkomsel', 'top', 'pulsa', 'gopay', 'masuk', 'masuk', 'sungguh', 'kecewa', 'mohon', 'udah', 'bangkrut', 'bangkrut']</t>
  </si>
  <si>
    <t>['aaaaa', 'suka', 'banget', 'aplikasi', 'jujur', 'anggota', 'admin', 'beli', 'promo', 'dapet', 'gb', 'ilang', 'coba', 'download', 'nyari', 'promo', 'alhasil', 'beneran', 'promonya', 'gilak', 'seneng', 'bangeeett', 'aaaa', 'lopyu', 'mytelkomsel']</t>
  </si>
  <si>
    <t>['cepat', 'bagus']</t>
  </si>
  <si>
    <t>['telkomsel', 'member', 'mala', 'murah', 'mala', 'mahal', 'sinyal', 'mengecewakan', 'data', 'mahal', 'sinyal', 'kek', 'gini']</t>
  </si>
  <si>
    <t>['operator', 'becus', 'sinyal', 'bagus', 'kayak', 'taik', 'gakda', 'perubahan', 'makinlama', 'jelek', 'jaringgan', 'udah', 'berkali', 'kali', 'coment', 'perbaikan', 'kayak', 'gini', 'pindah', 'operator', 'exsis', 'kenceng']</t>
  </si>
  <si>
    <t>['apk', 'bagus', 'berguna']</t>
  </si>
  <si>
    <t>['tolong', 'simpati', 'kinerja', 'sinyal', 'perkuat', 'ngojek', 'sinyalnya', 'lemot', 'dapet', 'order', 'udah', 'brapa', 'kali', 'daerah', 'lemot']</t>
  </si>
  <si>
    <t>['gausah', 'ribet', 'keluhan', 'kirim', 'email', 'twitter', 'udah', 'keluhan', 'orang', 'orang', 'diperbaiki', 'slow', 'moving', 'berganti', 'provider']</t>
  </si>
  <si>
    <t>['kecewa', 'apk', 'telkomsel', 'pikir', 'ngeupdate', 'bagus', 'promo', 'menarik', 'nyaa', 'ngeupdate', 'bnyak', 'promo', 'murah', 'updatenya', 'promo', 'hilang', 'promo', 'nyaaa', 'mahal', 'ngk', 'terjangkau', 'sesuai', 'dompett', 'gimanaa', 'inii', 'nyesell', 'ngeupdate', 'nyaa', '']</t>
  </si>
  <si>
    <t>['sngat', 'memuaskn']</t>
  </si>
  <si>
    <t>['sya', 'memakai', 'terkomsel', 'dri', 'mohon', 'kebijakanya', 'krna', 'paket', 'mahal', 'sinyal', 'lemot', 'setidknya', 'diimbangi', 'paket', 'mahal', 'sinyal', 'bagus', 'trima', 'kasih']</t>
  </si>
  <si>
    <t>['tolong', 'perbaikin', 'sinyalnya', 'paketan', 'mahal', 'sinyal', 'parah', 'combo', 'sakti', 'buatmai', 'mobilegend']</t>
  </si>
  <si>
    <t>['buka', 'huuuuuuu', 'apk', 'jlas']</t>
  </si>
  <si>
    <t>['dasar', 'simpati', 'sinyal', 'lelet']</t>
  </si>
  <si>
    <t>['wei', 'aplikasi', 'dibuka', 'kayak', 'error', 'white', 'screen', 'gitu', 'abis', 'aplnya', 'force', 'close', 'gimana', 'ngatasinya', '']</t>
  </si>
  <si>
    <t>['woi', 'telkom', 'anjeng', 'maksud', 'kau', 'motong', 'pulsa', 'orang', 'sembarangan', 'data', 'seluler', 'sisa', 'pas', 'cek', 'sms', 'masuk', 'memakai', 'kuota', 'akses', 'internet', 'non', 'paket', 'maksud', 'kau', 'anjeeng', 'udh', 'internet', 'kayak', 'bangke', 'main', 'motong', 'pulsa', 'weee', 'betullah', 'kau', 'kartu', 'anjeng', 'terkutuk', 'telkomsel', '']</t>
  </si>
  <si>
    <t>['thenkyuu', 'telkomsel', 'menemaniku', 'tapiiiiii', 'blm', 'undian', '']</t>
  </si>
  <si>
    <t>['', 'telkomsel', 'membantu', 'membeli', 'pulsa', 'paket', 'data', 'ayo', 'donlowd', 'telkosel']</t>
  </si>
  <si>
    <t>['buruk', 'kualitas', 'jaringan', 'memburuk', 'pelosok', 'terhalang', 'pancaran', 'tower', 'woy', 'posisi', 'kota', 'tower', 'pelosok', 'pengalaman', 'buruk', 'telkomsel', 'acara', 'palang']</t>
  </si>
  <si>
    <t>['nyesel', 'ngasih', 'bintang', 'emange', 'pelanggan', 'telkomsel', 'androidnya', 'trus', 'pelanggan', 'kalangan', 'gimana', 'adil', 'smua', 'pelanggan']</t>
  </si>
  <si>
    <t>['jaringan', 'jelek', 'ngen', '']</t>
  </si>
  <si>
    <t>['mahal', 'appnya', 'terkadang', 'beralih', 'provider']</t>
  </si>
  <si>
    <t>['makasih', 'kebut', 'sukseskan', 'tujuan', 'maksut', 'melanyani', 'akir', 'saman', '']</t>
  </si>
  <si>
    <t>['kenyataan', 'jaringan', 'ngk', 'sebagus', 'iklan', 'nikmati', 'kuota', 'jaringan', 'sekelas', 'telkomsel', 'costumer', 'ngk', 'beli', 'paket', 'promo', 'ngk', 'rugi', 'bandar', '']</t>
  </si>
  <si>
    <t>['pnya', 'bsa', 'buka', 'uda', 'bsa', '']</t>
  </si>
  <si>
    <t>['aplikasi', 'jelek', '']</t>
  </si>
  <si>
    <t>['knpa', 'buka', 'telkomsel', 'kali', 'hapus', 'terbuka', 'kecewa']</t>
  </si>
  <si>
    <t>['memudahkan', 'transaksi', 'telkomsel']</t>
  </si>
  <si>
    <t>['', 'solusi', 'putih', 'layar', 'maaf', 'maaf', 'maaf', 'gimana', 'telkomsel', 'gini']</t>
  </si>
  <si>
    <t>['pelayanan', 'memuaskan']</t>
  </si>
  <si>
    <t>['udh', 'white', 'screen', 'dibuka', 'kesel']</t>
  </si>
  <si>
    <t>['mantep', 'mudah', 'beli', 'paket', 'pulsa', 'telokomsel']</t>
  </si>
  <si>
    <t>['', 'buka', 'perbarui', 'samsung', '']</t>
  </si>
  <si>
    <t>['bermain', 'game', 'moba', 'sinyal', 'hilang', '']</t>
  </si>
  <si>
    <t>['telkomsel', 'paket', 'data', 'murah']</t>
  </si>
  <si>
    <t>['paketnya', 'dipisah', '']</t>
  </si>
  <si>
    <t>['kasih', 'bintang', 'dlkalau', 'bagus', 'nambah']</t>
  </si>
  <si>
    <t>['kecewa', 'aplikasi', 'dibuka', 'samasekali', '']</t>
  </si>
  <si>
    <t>['bagus', 'suka', 'app', 'milik', 'bangsa', 'bangga', 'merekomendasikan', 'keluarga', 'teman', 'telkomsel', 'berkomunikasi', 'karna', 'terbaik', 'terimakasih', 'telkom', 'semoga', 'jajaran', 'telkomsel', 'sehat', 'lindungan', 'allah', 'swt', 'amin', '']</t>
  </si>
  <si>
    <t>['telkomsel', 'buruk', 'tmbah', 'mahal', 'kartu', 'diubah', 'pascabayar', 'lemot', 'jaringan']</t>
  </si>
  <si>
    <t>['kecewa', 'kuota', 'ketengan', 'youtube', 'dipakai', 'aplikasi', 'youtube']</t>
  </si>
  <si>
    <t>['puas', 'pelayanan', 'informasi', '']</t>
  </si>
  <si>
    <t>['mytelomsel', 'akses', 'putih', 'doag']</t>
  </si>
  <si>
    <t>['paket', 'telponsms', 'sepaket', 'gaka', 'muncul']</t>
  </si>
  <si>
    <t>['mempercepat', 'mempermudah', 'terimakasih']</t>
  </si>
  <si>
    <t>['paket', 'telkomsel', 'mahal', 'combo', 'sakti', 'murah', 'rb', 'mending', 'dapet', 'bonus', 'acan', 'muke', 'gile', 'prodak', 'negeri', 'mahal', 'dinegeri', 'sendri', '']</t>
  </si>
  <si>
    <t>['koq', 'dibuka', 'appk', 'gmn', 'admin', '']</t>
  </si>
  <si>
    <t>['sanagat', 'membantu']</t>
  </si>
  <si>
    <t>['udh', 'setia', 'paket', 'telkomsel', 'udh', 'bulanan', 'sinyal', 'suka', 'down', 'aneh', 'bngt', 'nyaman', 'suka', 'jumping', 'sinyal', 'pas', 'nge', 'game', '']</t>
  </si>
  <si>
    <t>['signal', 'lumayan', 'bagus']</t>
  </si>
  <si>
    <t>['kesin', 'gajelas', 'sinyal', 'tb', 'ilang', '']</t>
  </si>
  <si>
    <t>['dimudahkan']</t>
  </si>
  <si>
    <t>['paketnya', 'murah', 'meriah']</t>
  </si>
  <si>
    <t>['mohon', 'maaaf', 'aplikasi', 'buka', 'memakainya']</t>
  </si>
  <si>
    <t>['rugi', 'banget', 'aktivasi', 'kartu', 'daftar', 'pakai', 'nik', 'giliran', 'penipuan', 'dilapor', 'berkali', 'tanggapan', 'trus', 'data', 'melacak', 'tindakan', 'kriminal', 'cobalah', 'cari', 'solusinya']</t>
  </si>
  <si>
    <t>['layar', 'putih', 'seperi', 'noda', 'update', 'bagus', 'upgrade', 'ngak', 'bagus', '']</t>
  </si>
  <si>
    <t>['', 'login', 'aplikasinya', 'gagal', 'susah', 'liat', 'kouta', 'sisa', '']</t>
  </si>
  <si>
    <t>['membantu', 'masyarakat', 'dwaktu', 'darurat', '']</t>
  </si>
  <si>
    <t>['kebnyakan', 'update', 'bagus']</t>
  </si>
  <si>
    <t>['bgus', 'sinyal', 'kenceng']</t>
  </si>
  <si>
    <t>['wooooy', 'aplikasinya', 'ngga', 'dibuka', 'whitescreen', 'mulu', 'hapus', 'memori', 'data', 'uninstall', 'trus', 'install', 'white', 'screen', 'udah', 'minggu', 'loooh']</t>
  </si>
  <si>
    <t>['paket', 'banget']</t>
  </si>
  <si>
    <t>['iya', 'perbarui', 'apk', 'mala', 'kebuka', 'yaa', 'lembaran', 'putih', 'what', 'wrongzzz', 'kali', 'instal', 'ulang', 'bintang', 'dikurangi', 'yaa', '']</t>
  </si>
  <si>
    <t>['gagal', 'pembelian', 'paket', 'menerus', 'menghubungi', 'pikak', 'telkomsel', 'whatsapp', 'dipersulit', 'nyesel', 'beli', 'pulsa', 'memakai', 'telokomsel']</t>
  </si>
  <si>
    <t>['masuk', 'halaman']</t>
  </si>
  <si>
    <t>['telkomsel', 'plis', 'deh', 'nguras', 'perasaan', 'gapernah', 'beli', 'langganan', 'paket', 'darurat', 'habis', 'pulsa', 'bnyak', 'kuota', 'kebeli', 'paket', 'darurat', 'sultan', 'kesel', 'bngat', 'kehilangan', 'ngisi', 'pulsa', 'trus', 'kadang', 'paket', 'daruratnya', 'aktif', 'kuotanya', 'telkomsel', 'nipu', '']</t>
  </si>
  <si>
    <t>['telkomsel', 'lite', 'download', 'cuman', 'buka', 'android', 'buka', 'browser', 'ajah', 'aplikasi', 'download', 'ajah', 'layar', 'putih']</t>
  </si>
  <si>
    <t>['apk', 'telkomsel', 'manfaatnya', 'dibuka', 'berulang', 'uninstal', 'instal', 'tolong', 'diperbaiki']</t>
  </si>
  <si>
    <t>['bagus', 'promo']</t>
  </si>
  <si>
    <t>['pembelian', 'paket', 'habis', 'update', 'tolong', 'bantu', 'hubungi', 'customer', 'servicenya']</t>
  </si>
  <si>
    <t>['halo', 'kak', 'jaringannya', 'suka', 'nyaman', 'banget', 'mohon', 'diatasi', '']</t>
  </si>
  <si>
    <t>['perbanyak', 'bonus', 'kuota', 'mahal', 'mahal']</t>
  </si>
  <si>
    <t>['telkomsel', 'top', 'diamond', 'game', 'nggak', 'update', 'muncul', 'top', 'diamond', 'game', 'terimakasih']</t>
  </si>
  <si>
    <t>['memuaskan', 'sinyal', 'bagus']</t>
  </si>
  <si>
    <t>['kali', 'download', 'dancopot', 'login', 'layar', 'muncl', 'putih']</t>
  </si>
  <si>
    <t>['aplikasi', 'telkomsel', 'diperbaruhi', 'dibuka', 'cek', 'paket', 'tolong', 'diperbaiki']</t>
  </si>
  <si>
    <t>['sekelas', 'telkomsel', 'apk', 'buka', '']</t>
  </si>
  <si>
    <t>['telkomsel', 'ngecewain', 'sinyal', 'bagus', 'paket', 'harganya', 'aplikasi', 'biarpun', 'udah', 'telkomsel', 'gini', 'terpaksa', 'beralih', 'pertahankan', 'nyaman', '']</t>
  </si>
  <si>
    <t>['', 'pencinta', 'berat', 'telkomsel', 'sinyal', 'lemot']</t>
  </si>
  <si>
    <t>['buka', 'telkomsel', 'warna', 'putih', 'mengecewakan', 'telkomsel', 'membantu', 'layar', 'putih', 'muncul', '']</t>
  </si>
  <si>
    <t>['aplikasi', 'jelek', 'update', 'dibuka']</t>
  </si>
  <si>
    <t>['telkom', 'bener', 'isi', 'pulsa', 'data', 'tersedot', 'anyingggg', 'golek', 'duit', 'angel', 'masssss']</t>
  </si>
  <si>
    <t>['apk', 'ngak', 'udah', 'diuldate', 'bagus', 'rusak', 'pas', 'loading', 'screennya', 'putuh', 'mulu', 'bagus', 'tolong', 'diperbaiki', 'klaua', 'karna', 'nomor', 'ngak', 'pakai', 'apk', 'ngasih', 'bintang', 'ngak', 'ikhlas']</t>
  </si>
  <si>
    <t>['astaghfirullah', 'hubungi', 'call', 'center', 'aplikasinya', 'veronica', 'migrain', 'sayangnya', 'nyambung', 'sekedar', 'template', 'doank', 'komunikasi', 'arah', 'rugi', 'banget', 'kaya', 'ngomong', 'robot', 'unfaedah', 'time', 'wasting', '']</t>
  </si>
  <si>
    <t>['apl', 'buka', 'gmn', 'bos', '']</t>
  </si>
  <si>
    <t>['paket', 'sukai', 'paket', 'sukai']</t>
  </si>
  <si>
    <t>['minggu', 'apk', 'buka', '']</t>
  </si>
  <si>
    <t>['gimana', 'kmrn', 'buka', 'apk', 'putih', 'twt', 'disuruh', 'tunggu', 'balasan', 'tolong', 'perbaiki', 'secepatnya', 'butuh', '']</t>
  </si>
  <si>
    <t>['sulit', 'mengerti']</t>
  </si>
  <si>
    <t>['sinyal', 'jelek', 'game', 'sia', 'beli', 'kuota']</t>
  </si>
  <si>
    <t>['aman', 'praktis', 'ribet', '']</t>
  </si>
  <si>
    <t>['paket', 'combo', 'tamba', 'harga', 'wadhu', '']</t>
  </si>
  <si>
    <t>['applikasinya', 'buka', 'app', 'software', 'applikasi', 'not', 'responding', 'terbukti', 'muncul', 'notifnya', 'kali', 'buka', 'mytelkomtol', 'tombol', 'pencet', 'ditekan', 'delay', 'biaya', 'langganan', 'telkom', 'mahal', 'applikasinya', 'nyaman', 'semoga', 'kedepannya', 'developer', 'professional', 'applikasi', 'mytelkomtod', '']</t>
  </si>
  <si>
    <t>['diupdate', 'muncul', 'white', 'screen', '']</t>
  </si>
  <si>
    <t>['tingkatkan', 'kualitas', 'jaring', 'mohon', 'perhatian', 'daerah', 'terpencil']</t>
  </si>
  <si>
    <t>['edit']</t>
  </si>
  <si>
    <t>['paket', 'ceria', 'mendaftar', 'mending', 'dihilangkan', 'menu', 'php', 'udah', 'daftar', '']</t>
  </si>
  <si>
    <t>['cek', 'pulsa']</t>
  </si>
  <si>
    <t>['mengatasi', 'halaman', 'putih', 'buka', 'aplikasi', 'telkomsel', 'kali', 'hapus', 'instal', 'ulang', 'tetep', 'halaman', 'putih', 'kasih', 'solusi', '']</t>
  </si>
  <si>
    <t>['kemarin', 'isi', 'voucer', 'data', 'gangguan', 'haduhhh']</t>
  </si>
  <si>
    <t>['apl', 'bagus', 'suka', 'bngt', 'makasih', 'telkomsel']</t>
  </si>
  <si>
    <t>['memudahkan', 'akses', 'informasi', 'telkomsel']</t>
  </si>
  <si>
    <t>['mantap', 'serba', 'repot', 'app', 'bebas', 'transaksi']</t>
  </si>
  <si>
    <t>['layanan', 'customer', 'jaringan', 'putus', 'tingakatanl']</t>
  </si>
  <si>
    <t>['sekelas', 'telkomsel', 'sinyal', 'jelek', 'banget', '']</t>
  </si>
  <si>
    <t>['aplikasi', 'penipu', 'keterangan', 'login', 'sampek', 'dapet', 'kuota', 'masuk', 'otomatis', 'masuk', 'bohongin', 'aplikasi', 'ngadain', 'promo', 'promo', 'penipu']</t>
  </si>
  <si>
    <t>['sinyal', 'internet', 'loyo']</t>
  </si>
  <si>
    <t>['bagus', 'suka', '']</t>
  </si>
  <si>
    <t>['aplikasi', 'bukak', 'yahhh', 'muncul', 'layar', 'putih', 'parah', 'telokmsel']</t>
  </si>
  <si>
    <t>['tolong', 'perubahan', 'kebijakan', 'pemakaian', 'aplikasi', 'customer', 'dikasih', 'pengumuman', 'nunggu', 'customer', 'ngomel', 'apk', 'dibuka', 'dikasih', 'penjelasan', 'susah', 'pengumuman', 'medsos', 'min', 'skrg']</t>
  </si>
  <si>
    <t>['ditunggu', 'promo', 'kak']</t>
  </si>
  <si>
    <t>['parahhh', 'paket', 'mahal', 'sinyal', 'mutu', '']</t>
  </si>
  <si>
    <t>['telkom', 'kyk', 'gini', 'anjiiir', 'kuota', 'mingguan', 'gb', 'pakek', 'keburu', 'habis', 'tenggangnya', 'dirugikan']</t>
  </si>
  <si>
    <t>['knp', 'layar', 'putih', 'buka', 'diperbaiki', 'tsel']</t>
  </si>
  <si>
    <t>['sebelom', 'mintamaaf', 'bpk', 'aplikasi', 'koq', 'sperti', 'biasnya', 'miggu', 'kemaren', 'hbs', 'updet', 'buka', 'bos', 'instal', 'maw', 'buka', 'kecewa', 'aplikasi', 'ksh', 'bintang', 'setegah', '']</t>
  </si>
  <si>
    <t>['gabisa', 'dipake']</t>
  </si>
  <si>
    <t>['mudah', 'dimana']</t>
  </si>
  <si>
    <t>['membeli', 'paket', 'internet', 'transaksinya', 'gagal', 'pulsa']</t>
  </si>
  <si>
    <t>['kecewa', 'knpa', 'telkomsel', 'dibuka', 'dihp', 'pilih', 'pelanggan', '']</t>
  </si>
  <si>
    <t>['telkomsel', 'benerin', 'sinyal', 'udah', 'sinyal', 'jelek', 'dapet', 'udh', 'beli', 'kuota', 'mahal', 'kepake']</t>
  </si>
  <si>
    <t>['cuman', 'menang', 'mahal', 'doang', 'cari', 'untung', 'doang', 'auto', 'pindah', 'paket', 'data', 'kartu', 'sinyal', 'kemaren', 'siang', 'des', 'des', 'hilang', 'cari', 'nafkah', 'bubarkan', 'kekurangan', 'orng', 'apang', 'cari', 'jenius', 'bumn', 'suuiiippp', '']</t>
  </si>
  <si>
    <t>['mantep', 'cepet']</t>
  </si>
  <si>
    <t>['ngelag', 'promo', 'sinyal', 'jelek', 'seindonesia', 'harga', 'mahal', 'seindonesia', 'nyesel', 'pelanggan', 'kauu']</t>
  </si>
  <si>
    <t>['telkomsel', 'operator', 'terbaik', 'indonesia', 'sayang', 'seribu', 'kali', 'sayang', 'handphone', 'buka', 'aplikasi', 'telkomsel', 'telkomsel', 'berpihak', 'rakyat', 'indonesia', 'telkomsel', 'aplikasi', 'operator', 'gampang', 'dibuka', 'telkomsel', 'mementingkan', 'bisnis', 'sekedar', 'saran', 'bikinkan', 'telkomsel', 'lite', 'dapatkan', 'play', 'store', 'mohon', 'kabulkan', 'permintaan', '']</t>
  </si>
  <si>
    <t>['aplikasibya', 'bagus', 'membantu']</t>
  </si>
  <si>
    <t>['kecewa', 'membeli', 'pulsa', 'pas', 'cek', 'pulsanya', 'berkurang', 'nelpon', 'apapun', 'pulsa', 'berkurang', 'mohon', 'penjelasannya', '']</t>
  </si>
  <si>
    <t>['instal', 'buka', 'knapa', '']</t>
  </si>
  <si>
    <t>['aplikasinya', 'dibuka', 'merugikan', 'terima', 'kasih']</t>
  </si>
  <si>
    <t>['fungsi', 'banget', 'makasih']</t>
  </si>
  <si>
    <t>['aplikasi', 'blank', 'doang', 'boro', 'splash', 'screen', 'ndak', '']</t>
  </si>
  <si>
    <t>['parah', 'instal', 'kagak', 'buka', 'app', 'gimana', 'solusinya', '']</t>
  </si>
  <si>
    <t>['seharus', 'buka', 'mode', 'data', 'tida', 'pnya', 'data', 'buka', 'beli', 'ribet', 'buka', 'pnya', 'data']</t>
  </si>
  <si>
    <t>['update', 'buka', 'payah', 'sumpah', 'kali', 'nyesel', 'nge', 'updet', 'aplikasi', 'gabisa', 'cek', 'kuota', 'aplikasi', 'payah', 'payah', 'payah', 'mahal', 'doang', '']</t>
  </si>
  <si>
    <t>['min', 'tolong', 'beli', 'kuota', 'gamemax', 'pubg', 'pas', 'skrng', 'cek', 'tolong', 'perbaiki']</t>
  </si>
  <si>
    <t>['knpa', 'udh', 'download', 'lgi', 'blank', 'gtu', 'tolong', 'prbaiki', 'bug', 'telkomsel', '']</t>
  </si>
  <si>
    <t>['lawak', 'gabisa', 'akses', 'udah', 'berulang', 'kali', 'instalulang', 'tetep', 'gabisa']</t>
  </si>
  <si>
    <t>['mohon', 'maaf', 'telkomsel', 'buka', 'updet', 'persi', 'terbaru', 'tdak', 'kebuka', 'persi', 'buka', 'kecewa', 'mohon', 'diperbaiki', '']</t>
  </si>
  <si>
    <t>['', 'telkomsel', 'membantu', 'informasi']</t>
  </si>
  <si>
    <t>['login', 'ribet', 'lemot', 'log', 'out', 'mulu']</t>
  </si>
  <si>
    <t>['pas', 'update', 'app', 'masuk', 'putih', 'doang', 'layar', 'aneh']</t>
  </si>
  <si>
    <t>['knapa', 'jaringan', 'tekomsel', 'terkadang', 'berubah', 'hujan', 'merugikan', 'barmain', 'game', 'kecewa', '']</t>
  </si>
  <si>
    <t>['aplikasi', 'dibuka', 'muncul', 'layar', 'putih', 'berkali', 'kali', 'restart', 'kecewa', 'pelayanannya', 'buruk', 'pakai', 'kartu', 'mengecewakan', '']</t>
  </si>
  <si>
    <t>['trima', 'kasih', 'telkomsel', 'mudah', 'ribet', '']</t>
  </si>
  <si>
    <t>['aplikasi', 'buka', 'udh', 'hapus', 'download', 'ulang', 'bsa', 'buka', 'buka', 'tpi', 'sndri', 'menit', 'sndri', 'aplikasi', 'udh', 'kyk', 'gini', 'kirain', 'pembaruan', 'ato', 'perbaikan', 'sma', 'bsa', '']</t>
  </si>
  <si>
    <t>['white', 'screen', 'pas', 'baca', 'ulasan', 'updatean', 'udh', 'bersihkan', 'memorinya', 'plus', 'uninstal', 'download', 'back', 'instalannya', 'kupake']</t>
  </si>
  <si>
    <t>['mantab', 'komplen', 'langsung', 'tanggapi', 'jam', 'sinyal', 'normal', 'mantab']</t>
  </si>
  <si>
    <t>['semangat', 'konsumen']</t>
  </si>
  <si>
    <t>['membanttu']</t>
  </si>
  <si>
    <t>['mahal', 'enak']</t>
  </si>
  <si>
    <t>['hancur', 'parah', 'white', 'screen', 'doank', 'munculin', 'kalah', 'smartfren', 'yaaaa', 'merah', 'plat', 'merah', 'amburadul', 'rezim']</t>
  </si>
  <si>
    <t>['cman', 'muncul', 'white', 'screen']</t>
  </si>
  <si>
    <t>['aplikasinya', 'bagus', 'berguna', 'pelanggan', 'telkomsel', 'responsif', 'berat', 'dijalankan', 'ringan', '']</t>
  </si>
  <si>
    <t>['kecewa', 'telkom', 'males', 'nyesel', 'isi', 'pulsa', 'lansung', 'habis', 'sisa', 'perak', 'kembalikan', 'pulsa', 'sayaa', 'cari', 'duit', 'capek', '']</t>
  </si>
  <si>
    <t>['update', 'adain', 'fitur', 'lock', 'pulsa', 'pulsa', 'masi', 'bnyak', 'kuota', 'masi', 'full', 'tpi', 'nyalain', 'data', 'pulsanya', 'kesedot', 'catat', 'catat', 'fitur', 'lock', 'pulsa', 'kebaca', 'update', 'kuota', 'doang']</t>
  </si>
  <si>
    <t>['aplikasinya', 'nggak', 'dibuka', 'warna', 'layarnya', 'blank', 'putih', 'susah', 'transaksi', 'ayo', 'dipermudah', 'pelanggan', 'betah']</t>
  </si>
  <si>
    <t>['pengen', '']</t>
  </si>
  <si>
    <t>['jajaran', 'direksi', 'terhormat', 'tolong', 'perbaiki', 'sitem', 'jaringan', 'nambah', 'nambah', 'jelek', 'sinyal', 'pakai', 'ganti', 'provider', 'aje']</t>
  </si>
  <si>
    <t>['nyesal', 'update', 'aplikasi', 'dibuka']</t>
  </si>
  <si>
    <t>['pembaruan', 'buka', 'aplikasinya', 'uninstal', 'install', 'ulang', 'ttep', 'cuman', 'stuck', 'white', 'screen', 'udh', 'banget', 'telkomsel', 'kali', 'kecewa', '']</t>
  </si>
  <si>
    <t>['knpa', 'telkomsel', 'update', 'layar', 'putih', '']</t>
  </si>
  <si>
    <t>['tolong', 'update', 'program', 'review', 'launching', 'konsumen', 'rugikan', 'parah', '']</t>
  </si>
  <si>
    <t>['pilihannya']</t>
  </si>
  <si>
    <t>['terima', 'kasih', 'telkomsel', 'aplikasinya', 'membantu', '']</t>
  </si>
  <si>
    <t>['tolong', 'masuk', 'apk', 'mengecewakan']</t>
  </si>
  <si>
    <t>['mudah', 'mengakses', 'info', 'telkomsel']</t>
  </si>
  <si>
    <t>['bintang', 'karna']</t>
  </si>
  <si>
    <t>['', 'uninstal', 'pasang', 'apliksinya', 'msh', 'layar', 'putih', 'alias', 'eror', 'chat', 'suruh', 'nunggu', 'hri', 'udh', 'hri', 'laporan', 'nggk', 'payah', 'udh', 'gtu', 'pelaporan', 'berbelit', 'kdang', 'bot', 'nggk', 'dibls', 'review', 'tlg', 'perbaiki', 'aplksi', 'nggk', 'bnyk', 'ksh', 'bintang', '']</t>
  </si>
  <si>
    <t>['mantap', 'dimana']</t>
  </si>
  <si>
    <t>['white', 'screen', 'buka', '']</t>
  </si>
  <si>
    <t>['terima', 'kasih', 'telkomsel', 'tambahan', 'kuota', 'rupiahnya', '']</t>
  </si>
  <si>
    <t>['bagus', 'paketannya', 'sesuai', 'kebutuhan', 'rumah', 'rumah', 'pas', 'banget', 'murah', '']</t>
  </si>
  <si>
    <t>['app', 'dbuka', 'upgrade', 'tlng', 'dperbarui', 'sistemny']</t>
  </si>
  <si>
    <t>['downlod', 'aplikasi', 'nda', 'buka', 'cuman', 'pajangan', 'kasi', 'full', 'memorii', 'auto', 'hapus', 'nda', 'barang']</t>
  </si>
  <si>
    <t>['pelayanan', 'harga', 'berbanding', 'terbalik']</t>
  </si>
  <si>
    <t>['mudah', 'lancar']</t>
  </si>
  <si>
    <t>['aplikasi', 'mempermudah', 'membantu', 'transaksi', 'pembelian', 'pulsa', 'pengecekan', 'pembelian', 'kuota']</t>
  </si>
  <si>
    <t>['puas', 'transaksi']</t>
  </si>
  <si>
    <t>['aplikasi', 'buka', 'udh', 'perbaharui', 'kemudahan', 'mempersulit', 'aplikasi', 'buka']</t>
  </si>
  <si>
    <t>['mengecewakan', 'aplikasi', 'blank', 'hidupkan', 'hape', 'nge', 'blank', 'berkali', 'kali', 'uninstal', 'instal', 'masi', 'ngeblank', 'sungguh']</t>
  </si>
  <si>
    <t>['kenpa', 'beli', 'paket', 'internet', 'contoh', 'kaya', 'ketenangan', 'youtube', 'day', 'unlimited', 'hilang', 'paket', 'internet', 'malam', 'hilang', 'lucu', 'mohon', 'benerin', '']</t>
  </si>
  <si>
    <t>['wooiiiii', 'tolong', 'perbaiki', 'aplikasi', 'blank', 'putih', 'doang']</t>
  </si>
  <si>
    <t>['aplikasinx', 'bagus']</t>
  </si>
  <si>
    <t>['buka', 'app', 'lancar', 'buka', 'telkomsel', 'jalan', 'udah', 'gitu', 'jaringannya', 'jelek']</t>
  </si>
  <si>
    <t>['aplikasi', 'unlimited', 'dijual', 'terpisah', 'dipakai', 'kuotanya', 'kemakan', 'boros', 'udah', 'ngaduin', 'telkomsel', 'ngasih', 'reward', 'ganti', 'rugi', 'bugnya', '']</t>
  </si>
  <si>
    <t>['', 'liat', 'komen', 'install', 'apl', 'hatus', 'android', 'keatas', 'hahaha', 'iya', 'buruk', 'pelayanannya', 'udah', 'install', 'kali', 'ngeblak', 'putih', '']</t>
  </si>
  <si>
    <t>['tolong', 'harga', 'paketnya', 'kurangi', 'kasian', 'jaman', 'covid', 'susah', 'kerja', 'penghasilan', 'nggak', 'hasilkan', 'kasih', 'bintang', 'aplikasi', 'bagus', 'banget']</t>
  </si>
  <si>
    <t>['maaf', 'aplikasi', 'dibuka']</t>
  </si>
  <si>
    <t>['gabisa', 'dibuka', 'buset']</t>
  </si>
  <si>
    <t>['bintangnya', 'turunkan', 'aplikasi', 'buka', 'udah', 'dinstal', 'ulang', '']</t>
  </si>
  <si>
    <t>['aplikasinya', 'jelek', 'gabisa', 'dibuka', '']</t>
  </si>
  <si>
    <t>['knp', 'telkomselnya', 'hbs', 'instal', 'ulang', 'kebuka', 'tolong', 'donk', 'tsel', 'uda', '']</t>
  </si>
  <si>
    <t>['wowww', 'membantu', 'membeli', 'paket', 'mudah', 'cepat', 'ngak', 'paket', 'ribet', 'kani', 'nilai', 'bintang', 'deh']</t>
  </si>
  <si>
    <t>['', 'kasih', 'bintang', 'isyaallah', 'menang', '']</t>
  </si>
  <si>
    <t>['nggak', 'dibuka', 'pengguna', 'telkomsel', 'aktif', 'buka', 'aplikasi', '']</t>
  </si>
  <si>
    <t>['apl', 'bagus', 'sayang', 'download', 'paket', 'gratis', 'paket', 'combo', 'sakti', 'unlimited', 'jaringan', 'internet', 'putus', 'putus']</t>
  </si>
  <si>
    <t>['', 'instal', 'dibuka', 'hapus', 'habis', 'instal', 'dibuka']</t>
  </si>
  <si>
    <t>['harap', 'telkomsel', 'meningkatkan', 'kualitas', 'jaringan', 'indonesia', 'udah', 'beli', 'paket', 'mahal', 'jaringannya', 'taik']</t>
  </si>
  <si>
    <t>['maaf', 'turunkan', 'pas', 'dibuka', 'blank', 'anak', 'bermasalah', 'ato', 'gimana', 'aplikasi', 'lancar', 'telkomsel', 'mohon', 'perbaiki', 'langganan', 'puas', 'terimakasih']</t>
  </si>
  <si>
    <t>['trimakasih', 'telkomsel', 'berkat', 'telkomsel', 'mudah', 'buka', 'kartu', 'terblokir', 'app', 'samggat', 'membantu', '']</t>
  </si>
  <si>
    <t>['hayoo', 'udah', 'update', 'masuk', 'cuman', 'blank', 'putih', 'doang', 'uninstal', 'install', 'ulang', 'udah', 'hasil', 'komplain', 'intruksi', 'install', 'ulang', 'hapus', 'cache', 'data', 'coba', 'versi', 'lite', 'bla', 'bla', 'bla', 'hasil', 'nihil', 'udahan', 'telkomsel', 'ntar', 'migrasi', 'masal', 'lho', 'gercep', 'perbaikan', 'dissapointed', '']</t>
  </si>
  <si>
    <t>['terkejut']</t>
  </si>
  <si>
    <t>['maaf', 'bintang', 'turunin', 'niat', 'mytelkomsel', 'memperbaik', 'aplikasi', 'bermasalah', '']</t>
  </si>
  <si>
    <t>['pas', 'main', 'game', 'sinyal', 'kadang', 'ilang', 'woy', 'main', 'game', 'apapun', 'ilang', '']</t>
  </si>
  <si>
    <t>['aplikasi', 'blank', 'putih', 'jelek', 'banget', 'updatenya', '']</t>
  </si>
  <si>
    <t>['haaii', 'adm', 'aplikasi', 'kebuka', '']</t>
  </si>
  <si>
    <t>['apk', 'berguna', 'ngapai', 'dowload', 'buka', '']</t>
  </si>
  <si>
    <t>['blank', 'putih', 'apdet']</t>
  </si>
  <si>
    <t>['sangan', 'rekomendedlah']</t>
  </si>
  <si>
    <t>['apk', 'white', 'screen', 'akses', '']</t>
  </si>
  <si>
    <t>['jelek', 'apk', 'beli', 'paket', 'kali', 'keterangan', 'sukses', 'internet', 'masuk', 'hubungi', 'callcenter', 'keterangan', 'aktifasi', 'pulsa', 'beli', 'paket', 'pulsa', 'kesedot', 'habis', 'mengecewakan', 'konsumen', 'bintang', 'telkomcel']</t>
  </si>
  <si>
    <t>['diupdate', 'aplikasi', 'dibuka', 'tampilan', 'putih', 'teruss', 'maksudnya', 'coba', 'parahh', 'bangett', '']</t>
  </si>
  <si>
    <t>['minggu', 'buja', 'lgi', 'telkomsel', 'buruk']</t>
  </si>
  <si>
    <t>['aplikasi', 'memudahkan', 'pelanggan', 'membeli', 'paket', 'sesuai', 'kebutuhan', 'informatif', 'informasi', 'telkomsel', 'point', 'informasi', 'promo', 'terimakasih', 'telkomsel', 'jaya', '']</t>
  </si>
  <si>
    <t>['murah', 'kouta', 'pelajar']</t>
  </si>
  <si>
    <t>['jaringan', 'lemot', 'temtap', 'akses', 'telkomsel', 'seneng', 'fitur', 'barusan', 'update', 'knapa', 'app', 'bukak', 'bagus', 'zonk', 'tunggu', 'blom', 'pulih', 'turunkan', 'bintang', '']</t>
  </si>
  <si>
    <t>['halo', 'mengontol', 'sinyal', 'harga', 'udah', 'mengontol']</t>
  </si>
  <si>
    <t>['ogin']</t>
  </si>
  <si>
    <t>['kecewa', 'aplikasi', 'beli', 'paket', 'giga', 'harga', 'menghilang', 'promo', 'bintang', 'busuk', 'promo', '']</t>
  </si>
  <si>
    <t>['kouta', 'dibagi', 'deal', 'ganti', 'providers']</t>
  </si>
  <si>
    <t>['aplikasi', 'telkomsel', 'susah', 'buka', 'udah', 'seminggu', 'iniii', 'susah', 'hadehhhh']</t>
  </si>
  <si>
    <t>['buka', 'aplikasi', 'layar', 'blank', 'putih', 'tanggal', 'tagihan', 'tolong', 'perbaiki']</t>
  </si>
  <si>
    <t>['sekian', 'pelanggan', 'telkomsel', 'kecewa', 'kerjaan', 'terganggu', 'gara', 'sinyal', 'buruk', 'infonya', 'jaringan', 'operator', 'sinyalnya', 'bagus', 'udah', 'capek', 'tlkomsel', 'ganti', '']</t>
  </si>
  <si>
    <t>['apk', 'telkomsel', 'mudah', 'mengakses', 'kebutuhan', 'pulsa', 'quota', 'data', 'program', 'promonya', 'pokonya', 'membantu', '']</t>
  </si>
  <si>
    <t>['pelanggan', 'setia', 'telkomsel', 'smoga', 'maju', '']</t>
  </si>
  <si>
    <t>['lemmot', 'mohon', 'baguskan', 'konsumen', 'kecewa']</t>
  </si>
  <si>
    <t>['', 'dibuka', 'kluar', 'putih']</t>
  </si>
  <si>
    <t>['aplikasinya', 'lemot', 'uninstall', 'kali', 'signal', 'stabil', 'buka', 'aplikasi', 'lancar', '']</t>
  </si>
  <si>
    <t>['pelayanan', 'tdak', 'bsa', 'jaringan', 'lemot']</t>
  </si>
  <si>
    <t>['bintang', 'mengecewakan', 'masuk', 'telkomsel', 'layar', 'nampak', 'putih']</t>
  </si>
  <si>
    <t>['jaringan', 'jelek', 'klw', 'malem']</t>
  </si>
  <si>
    <t>['yes', 'mantab', 'mga', 'lancar', 'trus', 'tlokomsel']</t>
  </si>
  <si>
    <t>['kak', 'buka', '']</t>
  </si>
  <si>
    <t>['sinyal', 'jelek', 'aman', 'maen', 'game', 'ganti', 'kartu', 'besok', 'bye', '']</t>
  </si>
  <si>
    <t>['updet', 'knapa', 'dibuka', 'udah', 'coba', 'uninstal', 'trus', 'download', 'tetep', 'buka']</t>
  </si>
  <si>
    <t>['sinyal', 'jelek', 'banget', 'telkomsel', 'buffering', 'main', 'game', 'astaga', 'tolong', 'ditingkatkan', 'capek', 'udah', 'bayar', 'mahal', 'buffering']</t>
  </si>
  <si>
    <t>['white', 'screen', 'mulu', 'gabisa', 'buka', 'samsek', 'baca', 'review', 'tolong', 'min', 'jelasin', 'mksdnya']</t>
  </si>
  <si>
    <t>['jaringannya', 'ngelag', 'banget', '']</t>
  </si>
  <si>
    <t>['paket', 'darurat', 'liat', 'pengisian', 'pulsa', 'gua', 'trus', 'menerus', 'ngga', 'kecewa', 'bet']</t>
  </si>
  <si>
    <t>['tukar', 'poin', 'mobil']</t>
  </si>
  <si>
    <t>['jaringannya', 'gembel', 'bagusan', 'hutan']</t>
  </si>
  <si>
    <t>['', 'simpati', 'paket', 'combo', 'sakitnya', '']</t>
  </si>
  <si>
    <t>['bagus', 'melehoy', 'telkomsel', 'sekeren', 'harganya', 'kasih', 'bintang', 'ajj', 'pejabatnya', 'panik', '']</t>
  </si>
  <si>
    <t>['awas', 'nub']</t>
  </si>
  <si>
    <t>['mantap', 'sinyalnya', 'kenceng', 'dimanapun', 'bagaimnapun']</t>
  </si>
  <si>
    <t>['udah', 'aplikasi', 'dibuka', 'menuhi', 'memori', 'aplikasi', 'palak', 'ahhh']</t>
  </si>
  <si>
    <t>['membeli', 'paket', 'dijam', 'jam', 'masuk', 'paketnya', 'tolong', 'tolong', 'berkepentingan', 'astaghfirullah']</t>
  </si>
  <si>
    <t>['bintang', 'karna', 'poin', 'udah', 'tukar', 'ama', 'paket', 'data', 'mengecewakan', 'kayak', 'kayak']</t>
  </si>
  <si>
    <t>['jaringannya', 'bener', 'kek', 'skrg', 'bagus', 'ancur']</t>
  </si>
  <si>
    <t>['pakai', 'telkomsel', 'bagus', 'buka', 'aplikasi']</t>
  </si>
  <si>
    <t>['tolong', 'telkomsel', 'normal', 'jaringannya', 'pengguna', 'telkomsel', 'kecewa', 'kecewa']</t>
  </si>
  <si>
    <t>['jaringan', 'lambat', 'paket', 'halo', 'gb', 'jam', 'sampe', '']</t>
  </si>
  <si>
    <t>['jaringan', 'lemot', 'minggu']</t>
  </si>
  <si>
    <t>['harga', 'combo', 'sakit', 'kemarin', 'hadeh', 'naikin', 'harga', 'tolong', 'naikin', 'kinerja', 'sinyalnya', 'mahal', 'doang', 'ngelag', 'pandemi', 'harga', 'paket', 'hmm']</t>
  </si>
  <si>
    <t>['mudah', 'murah', 'sunyal', 'bagus', 'banget', 'tsel', 'mantaaaaaapp']</t>
  </si>
  <si>
    <t>['telkomsel', 'bangkrut', 'kah', '']</t>
  </si>
  <si>
    <t>['knp', 'lowding']</t>
  </si>
  <si>
    <t>['senang', 'sakali']</t>
  </si>
  <si>
    <t>['sinyalnya', 'bagus', 'nge', 'game', '']</t>
  </si>
  <si>
    <t>['boss', 'payah', 'ketemu', 'veronika', 'susah', 'payah', 'aplikasi', 'nyaman', 'simpel', 'callcenterhalo', 'telepon', 'lemot', '']</t>
  </si>
  <si>
    <t>['lelet', 'mah', 'mahalnya', 'tolng', 'pebaiki', 'pelanggan', 'telkomsel', 'beralih', 'operator']</t>
  </si>
  <si>
    <t>['paketannya', 'mulu', 'harganya']</t>
  </si>
  <si>
    <t>['kaka', 'isi', 'pulsa', 'ribu', 'malaysia', 'indonesia', 'pulsanya', 'masuk', 'kali', 'penjual', 'pulsanya', 'kasih', 'bukti', 'pulsanya', 'terkirim', 'bingung', 'bermasalah', 'penjual', 'pulsanya', 'telkomselnya', '']</t>
  </si>
  <si>
    <t>['harga', 'paket', 'data', 'malal', 'jam', 'hilang', 'jaringan', 'kecewa', '']</t>
  </si>
  <si>
    <t>['jaringan', 'telkomsel', 'lelet', 'jelek', 'seindonesia', 'kecewa']</t>
  </si>
  <si>
    <t>['terima', 'kasih', 'aplikasi', 'mempermudah', 'mencari', 'pilihan', 'paket', 'paket', 'data']</t>
  </si>
  <si>
    <t>['bagus', 'transaksi']</t>
  </si>
  <si>
    <t>['telkomsel', 'kpn', 'nyelesein', 'pulsa', 'sedot', 'klau', 'kuota', 'hbis', 'perusahaan', 'kek', 'telkomsel', 'fitur', 'berhentiin', 'data', 'klau', 'kuota', 'udah', 'bukn', 'ngirim', 'pesan', 'memakai', 'akses', 'internet', 'pulsa', 'non', 'paket', 'ampun', 'deh', 'pakai', 'telkomsel', 'kualitas', 'sesuai', 'harga', 'komen', 'telkomsel', 'bodoh', 'selamat', 'mencari', 'untunng', 'bnykk']</t>
  </si>
  <si>
    <t>['bsa', 'buka', 'hapus', 'ulang', 'dowload', 'lebh', 'bsa']</t>
  </si>
  <si>
    <t>['tolong', 'jaringan', 'signalnya', 'bagusin', 'main', 'game', 'lag', '']</t>
  </si>
  <si>
    <t>['jaringan', 'telkomsel', 'jelek', 'pemberitahuan', 'paket', 'habis', 'pulsa', 'diambil', 'sampe', 'paket', 'ngga', 'nyampe', 'kemana', 'hilangnya', 'mb', 'udahlah', 'capek', 'ngasih', 'ulasan', 'perbaikan']</t>
  </si>
  <si>
    <t>['jaringa', 'jelek', 'beli', 'paket', 'mahal', 'kayak', 'nggk', 'bayar', 'sarankan', 'pakai', 'telkomsel']</t>
  </si>
  <si>
    <t>['telkomsel', 'ngecewain', 'pas', 'dibuka', 'app', 'layar', 'putih', 'muncul', 'dibantu', 'app', 'telkomsel', '']</t>
  </si>
  <si>
    <t>['udah', 'instal', 'suru', 'update', 'udah', 'update', 'apk', 'ttp', 'suru', 'update', 'pdhl', 'play', 'store', 'tombol', 'update', 'tinggal', 'buka', '']</t>
  </si>
  <si>
    <t>['dek', 'ngk', 'isa', 'buka']</t>
  </si>
  <si>
    <t>['aplikasi', 'ngeblank', 'putih', 'buka', 'meresahkan', 'mending', 'pindah', 'provieder', 'wajib', 'kasih', 'bintang', '']</t>
  </si>
  <si>
    <t>['app', 'eror', 'buka', 'paraaah']</t>
  </si>
  <si>
    <t>['slalu', 'pakai', 'telkomsel', 'sayang', 'kartunya', 'ilang', 'rusak', 'karna', 'klalaian', 'katain', 'temen', 'mahalan', 'karna', 'nyaman', 'situasi', 'apapun', 'full', 'sinyal', 'audio', 'visual', 'mudah', 'terbaik', 'situasi', 'apapun', 'indonesia', 'tercinta', '']</t>
  </si>
  <si>
    <t>['', 'eleh', 'aplikasi', 'plat', 'merah', 'ngblank', 'murahan', 'kali', 'programernya', 'nampaknya', 'stabil', 'aplikasi', 'bokep', '']</t>
  </si>
  <si>
    <t>['parah', 'udah', 'aplikasinya', 'gunain', 'udah', 'uninstal', 'berkali', 'ngerugiin', 'orang', 'banget', '']</t>
  </si>
  <si>
    <t>['oke', 'banget', 'telkomsel']</t>
  </si>
  <si>
    <t>['tolong', 'perbaiki', 'sinyal', 'telkomsel', 'busuk', 'sinyal', 'telkomsel', 'uda', 'mahal', 'koneksi', 'down', 'tolong', 'sesuaikan', 'harga', 'kualitas', 'sinyal', 'harga', 'mahal', 'kualitas', 'sinyal', 'parah', '']</t>
  </si>
  <si>
    <t>['sinyal', 'telkomsel', 'macem', 'ppek', 'paket', 'mahal', 'kualitas', 'jaringan', 'buriiik', 'konsumen', 'kecewa']</t>
  </si>
  <si>
    <t>['aplikasi', 'oke', 'sinyal', 'buruk', 'pelayanan', 'buruk', 'pengecashan', 'tower', 'pemadaman', 'listrik', '']</t>
  </si>
  <si>
    <t>['mengecewakan', 'minggu', 'aplikasi', 'tidal', 'dibuka', 'halaman', 'putih']</t>
  </si>
  <si>
    <t>['parrrraaaahhhhh', 'orang', 'sewot', 'aplikasi', 'white', 'screen', 'gimana', 'gua', 'daftar', 'paket', 'aplikasinya', 'error', '']</t>
  </si>
  <si>
    <t>['mantap', 'kmn', 'sinyal', 'ngacengggg']</t>
  </si>
  <si>
    <t>['hadiah', 'pulsa', 'murah', 'promo']</t>
  </si>
  <si>
    <t>['parah', 'lambat', 'loading', 'error', 'aplikasinya', 'dibuka']</t>
  </si>
  <si>
    <t>['buka', 'mytelkomsel', 'jaringan', 'lancar', 'reinstall', 'aplikasi', 'nomor', 'whatsapp', 'telkomsel', 'keluhan']</t>
  </si>
  <si>
    <t>['asli', 'kecewa', 'aplikasi', 'tsel', 'semenjak', 'upgrade', 'screen', 'white', 'alias', 'blank', 'putih', 'kebuka', 'kaya', 'kena', 'bug', 'aplikasi', 'gitu', 'gimana', 'hello', 'udah', 'langganan', 'pelanggan', 'setia', 'minggat', 'keluhan', 'blank', 'putih', 'tolong', 'diperhatikan', 'perbaiki', '']</t>
  </si>
  <si>
    <t>['', 'telkomsel', 'mantap', 'pisan', 'euyy']</t>
  </si>
  <si>
    <t>['coba', 'coba', 'memakai', 'provider', 'sinyal', 'amsyong', 'harga', 'mengerikan', 'pusat', 'kota', 'jakarta', 'sinyal', 'down', 'hilang', '']</t>
  </si>
  <si>
    <t>['', 'indihomenya', 'paket', 'data', 'lag', 'smua', 'kerja', 'ngapain', 'orang', 'telkom']</t>
  </si>
  <si>
    <t>['kasih', 'telkomsel', 'ampe', 'sinyal', 'burik', 'main', 'game', 'merah']</t>
  </si>
  <si>
    <t>['membantu', 'disaat', 'butuh', 'komunikasi']</t>
  </si>
  <si>
    <t>['knp', 'paket', 'darurat', 'aktif', 'pdhl', 'mengaktifkan', 'paket', 'tolong', 'perbaiki']</t>
  </si>
  <si>
    <t>['senang', 'bayak', 'hadiah', 'prosesnya', 'ribet']</t>
  </si>
  <si>
    <t>['aplikasi', 'dibuka', 'knapa']</t>
  </si>
  <si>
    <t>['jaringn', 'stabil', 'harga', 'kuota', 'berubah', '']</t>
  </si>
  <si>
    <t>['engak', 'dibuka', 'disamsung', '']</t>
  </si>
  <si>
    <t>['white', 'screen', 'aplikasi', 'cacat', 'ngga', 'beguna', 'uda', 'telkomsel', '']</t>
  </si>
  <si>
    <t>['apk', 'dibuka', 'diperbaiki', 'ganti', 'bintangnya', '']</t>
  </si>
  <si>
    <t>['', 'pelanggan', 'setia', 'telkomsel', 'tpi', 'prnh', 'dpt', 'hadiah', '']</t>
  </si>
  <si>
    <t>['mohon', 'sinyal', 'lelet', 'mati', 'listrik', 'pln', 'sinyal', 'susah', 'alias', 'sinyal', 'tanda', 'mohon', 'diperbaiki', 'kecewakan', 'pelanggan', '']</t>
  </si>
  <si>
    <t>['telkomsel', 'lemot', 'banget', 'bayar', 'mahal', '']</t>
  </si>
  <si>
    <t>['buka', 'aplikasi', 'permata', 'mobilex']</t>
  </si>
  <si>
    <t>['knp', 'masuk', 'aplikasi', 'telkomsel']</t>
  </si>
  <si>
    <t>['jaringan', 'super', 'lemott', 'skrng', 'pke', 'telkomsel', 'telpin', 'pke', 'internet', 'mendukung', 'banget', '']</t>
  </si>
  <si>
    <t>['nomer', 'dilogin', 'dimy', 'telkomsel', 'kartu', 'telkomsel', 'tulisan', 'mohon', 'nomer', 'masukan', 'nomer', 'telkomsel', 'mohon', 'bantuannya']</t>
  </si>
  <si>
    <t>['signal', 'kian', 'kian', 'jelek', 'buruk', 'citra', 'garden', 'jak', 'barat']</t>
  </si>
  <si>
    <t>['tampilah', 'hadiah', 'menarik', 'hadian', 'blm', 'dapet', 'semoga', 'ngasih', 'bintang', 'dapet', 'hadiah', 'mobil', '']</t>
  </si>
  <si>
    <t>['jaringannya', 'jelek', 'pass', 'disaat', 'hujan']</t>
  </si>
  <si>
    <t>['telkomsel', 'sengat', 'parah', 'lemot', 'sinyal', 'mengganggu', 'main', 'game', 'tolong', 'perbaiki', 'kuat', 'nelpon', 'doang']</t>
  </si>
  <si>
    <t>['', 'bagus', 'berguna', 'ribet']</t>
  </si>
  <si>
    <t>['kendala', 'akses', 'telkomsel', 'doang', '']</t>
  </si>
  <si>
    <t>['tolong', 'jaringan', 'perbaiki', 'setabil']</t>
  </si>
  <si>
    <t>['banyakin', 'promo']</t>
  </si>
  <si>
    <t>['pulsa', 'hilang', 'misterius', 'sedot', 'kering', '']</t>
  </si>
  <si>
    <t>['', 'niat', 'jaringan', 'bagus', 'gausah', 'kartu', 'perdana', 'coy', 'nyusahin', 'org', 'semoga', 'harimu', 'suram']</t>
  </si>
  <si>
    <t>['mantap', 'lanjutkan', '']</t>
  </si>
  <si>
    <t>['halo', 'telkomsel', 'walpapernya', 'ganti', 'warna', 'putih', 'trus', 'tulisannya', 'warna', 'putih', 'jdnya', 'terbaca', '']</t>
  </si>
  <si>
    <t>['bagus', 'cari', 'paket', 'data', 'murah', 'mendapatkannya']</t>
  </si>
  <si>
    <t>['sialan', 'akses', 'telkomsel', 'layarnya', 'cuman', 'putih', 'android', 'akses', 'trus', 'android', 'sdngkan', 'adroid', 'kartu', 'telkomsel', 'simpati', 'hak', 'mengakses', 'telkomsel', 'makan', 'untung', 'pengguna', 'telkomsel', 'nyaman', 'sistemnya', 'pelayanan', 'buruk', 'perbaiki', 'sistemnya', 'pilih', 'kasih', 'android', 'akses', 'kasi', 'keuntungan', 'telkomsel', 'android', '']</t>
  </si>
  <si>
    <t>['jaringan', 'lemot', 'buka', 'kurangi', 'bintang']</t>
  </si>
  <si>
    <t>['', 'lemot']</t>
  </si>
  <si>
    <t>['bintang', 'kecewa', 'telkom', 'tree', 'jelek', 'lek', 'lek', 'sinyalnya', 'mengecewakan', 'aseeeem', 'nge', 'rank', 'jelek', 'sinyalnya']</t>
  </si>
  <si>
    <t>['malas', 'pke', 'aplikasi', 'jaringan', 'lelet', '']</t>
  </si>
  <si>
    <t>['bingung', 'beli', 'pulsa', 'gimana']</t>
  </si>
  <si>
    <t>['', 'maaf', 'aplikasinya', 'dibuka', 'buka', 'aplikasi', 'telkomsel', 'tolong', '']</t>
  </si>
  <si>
    <t>['jaringan', 'bagus', 'ketila', 'buka', 'aplikasinya', 'tampilan', 'layar', 'putih', 'gimana', '']</t>
  </si>
  <si>
    <t>['beli', 'mahal', 'mahal', 'sinyal', 'bosok']</t>
  </si>
  <si>
    <t>['maap', 'kasih', 'bintang', 'gabisa', 'cek', 'kuota', 'jaringan', 'jelek']</t>
  </si>
  <si>
    <t>['knpa', 'telkomsel', 'tdak', 'dibuka', 'tolong', 'ksih', 'pnjelasan', 'mksih']</t>
  </si>
  <si>
    <t>['mudah', 'isi', 'ulang', 'paket']</t>
  </si>
  <si>
    <t>['telkomsel', 'jaringan', 'gampang', 'ilang', 'make', 'telkomsel', 'jaringannya', 'tolong', 'diperbaiki', 'sisa', 'kuota', 'tinggal']</t>
  </si>
  <si>
    <t>['', 'aplikasi', 'eror', 'kalu', 'buka', 'ngebleng', 'putih', '']</t>
  </si>
  <si>
    <t>['oke', 'paket', 'maktrim', 'membingungkam']</t>
  </si>
  <si>
    <t>['murah', 'kuotanya']</t>
  </si>
  <si>
    <t>['tolong', 'jaringan', 'perbaiki', 'daerah', 'telkomsel', 'jelek']</t>
  </si>
  <si>
    <t>['proses', 'pembelian', 'kuota', 'lambat', 'alhasil', 'pulsa', 'tersedot', 'habis', 'sialan', '']</t>
  </si>
  <si>
    <t>['udah', 'provider', 'harga', 'naikin', 'kepuasan', 'pelanggan']</t>
  </si>
  <si>
    <t>['sinyal', 'krang', '']</t>
  </si>
  <si>
    <t>['mantap', 'kartu', 'sakti', 'pakai', 'aplikasi', 'telkomsel']</t>
  </si>
  <si>
    <t>['layanan', 'lambat', 'beli', 'paket', 'kuota', 'proses', '']</t>
  </si>
  <si>
    <t>['sinyalnya', 'maksimal']</t>
  </si>
  <si>
    <t>['bagus', 'deh', 'aplikasinya']</t>
  </si>
  <si>
    <t>['kesel', 'banget', 'telkomsel', 'lelet', 'banget', 'data', 'internet', 'pulsa', 'disedot', 'kesel', 'telkomsel']</t>
  </si>
  <si>
    <t>['desember', 'sinyal', 'ilang', 'tgl', 'desember', 'pagi', 'sampe', 'malem', 'koneksi', 'parah', '']</t>
  </si>
  <si>
    <t>['aplikasi', 'maaaaantaaaap']</t>
  </si>
  <si>
    <t>['', 'turunkan', 'aplikasi', 'tida', 'dibuka', '']</t>
  </si>
  <si>
    <t>['telkomsel', 'mahal', 'doang', 'beli', 'kouta', 'dibagi', 'kouta', 'internet', 'kouta', 'sosmed', 'unlimited', 'kouta', 'internet', 'keja', 'abis', 'kouta', 'gratis', 'hahahaaaaaaaa', 'telkomsel', '']</t>
  </si>
  <si>
    <t>['pembaruan', 'tampilannya', 'berubah', 'udah', 'gitu', 'suka', 'ngambil', 'pulsa', 'hadeeehhhh', '']</t>
  </si>
  <si>
    <t>['telkomsel', 'mengecewakan', 'merugikan', 'penggunanya', 'beli', 'kuota', 'mahal', 'sinyal', 'full', 'buka', 'youtube', 'games', 'macet', 'kaya', 'kuotanya', 'tolong', 'diperbaiki', 'mentang', 'perusahaan', 'kaya', 'sukses', 'keluhan', 'kerugian', 'penggunanya', '']</t>
  </si>
  <si>
    <t>['beli', 'paket', '']</t>
  </si>
  <si>
    <t>['smoga', 'dpt', 'hadiah', 'aminn', 'telkmsel', 'jaya', 'truss']</t>
  </si>
  <si>
    <t>['dibuka', 'jaringan', 'full', 'udah', 'wifi', 'tetep', 'dibuka', 'putih', 'layarnya']</t>
  </si>
  <si>
    <t>['membantu', 'buka', 'telkomsel']</t>
  </si>
  <si>
    <t>['buruk', 'mengeluh', 'perbaiki']</t>
  </si>
  <si>
    <t>['', 'muncul', 'halaman', 'putih', 'ngerti']</t>
  </si>
  <si>
    <t>['des', 'aplikasi', 'buka', 'rating', 'bintang', '']</t>
  </si>
  <si>
    <t>['telkomsel', 'jaringan', 'tolol', 'maen', 'game', 'leg', 'tros', 'jaringan', 'jelek']</t>
  </si>
  <si>
    <t>['aplikasi', 'nda', 'bsa', 'layar', 'putih', 'truss', '']</t>
  </si>
  <si>
    <t>['koneksi', 'internet', 'stabil']</t>
  </si>
  <si>
    <t>['kak', 'aplikasi', 'buka']</t>
  </si>
  <si>
    <t>['knpa', 'buka', '']</t>
  </si>
  <si>
    <t>['poin', 'ditukar', 'voucher', 'internet']</t>
  </si>
  <si>
    <t>['bintang', 'mencoba']</t>
  </si>
  <si>
    <t>['jaringan', 'telkom', 'lelet', 'banget', 'kecewa', 'kayak']</t>
  </si>
  <si>
    <t>['aplikasi', 'membantu', 'sisa', 'pulsa', 'nomer', 'heran', 'lihat', 'telkomsel', 'duit', 'hilang', 'pemakain', 'yaa', 'mengunakan', 'telpon', 'sms', 'internet', 'duit', 'berkurang', 'lock', 'pulsa', 'telkomsel', 'kayak', 'jaringan', 'tetangga', 'duit', 'terpakai', 'ketahui', 'pembaharuan', 'aplikasi', 'bagus', 'tampilan', 'suara', 'jgk', 'lambat', 'buka', 'mungki', 'blom', 'stabil', 'ato', 'gimana', '']</t>
  </si>
  <si>
    <t>['sekelas', 'telkomsel', 'sinyal', 'koneksi', 'kayak', 'edge', 'laporan', 'disuruh', 'coba', 'restart', 'sinyal', 'mode', 'pesawat', 'laporan', 'penanganan', 'jam', '']</t>
  </si>
  <si>
    <t>['perbaiki', 'jaringan', 'setan', 'gelek', 'main', 'ngeleh', 'mulu']</t>
  </si>
  <si>
    <t>['telkontol', 'jlk', 'jaringanny']</t>
  </si>
  <si>
    <t>['udah', 'mytelkomsel', 'bukak', 'kecewa', 'terpaksa', 'ganti', 'kartu', '']</t>
  </si>
  <si>
    <t>['tolong', 'diperbaiki', 'follow', 'via', 'twitter', 'ikutin', 'arahannya', 'diarahkan', 'isi', 'pulsa', 'dll']</t>
  </si>
  <si>
    <t>['aplikasi', 'knpa', 'bissa', 'buka', '']</t>
  </si>
  <si>
    <t>['mantap', 'semoga', 'paket', 'terjangkau']</t>
  </si>
  <si>
    <t>['aplikasi', 'blank', 'dibuka', 'tolong', 'diperbaiki', 'mengalami', 'mohon', 'tim', 'mytelkomsel', 'mengecek', 'langsung', 'note', 'factory', 'reset', 'aplikasi', 'mytelkomsel', 'samsung', 'oneui', 'android', '']</t>
  </si>
  <si>
    <t>['berlangganan', 'kartu', 'hallo', 'gagal', 'buka', 'telkomsel', 'versi', 'android', 'bayar', 'ribu', 'trs', 'fasilitas', 'dptkan', 'mengecewakan', 'ganti', 'terlanjur', 'dikenal', 'klien', 'relasi', 'mirris', '']</t>
  </si>
  <si>
    <t>['jaringan', 'rusak', 'parah', 'bngs', '']</t>
  </si>
  <si>
    <t>['dibuka', 'aplikasinya', 'bos', 'parahh', 'ripuh']</t>
  </si>
  <si>
    <t>['aplikasi', 'gattel', 'bukaaa']</t>
  </si>
  <si>
    <t>['harga', 'mahal', 'sinyal', 'busuk', 'telkomsel', 'koyo']</t>
  </si>
  <si>
    <t>['gangguan', 'sekelas', 'bumn', 'berguna', '']</t>
  </si>
  <si>
    <t>['woe', 'gimana', 'nii', 'gue', 'udah', 'download', 'putihya', 'doang', 'tolonglah', 'kasi', 'duluu', '']</t>
  </si>
  <si>
    <t>['mksih', 'udah', 'ngadain', 'aplikasi', 'telkomsel', 'seneng', 'kuota', 'gratis', 'tampa', 'ribut', 'paketan', 'murah', 'murah']</t>
  </si>
  <si>
    <t>['mantul', 'aplikasinya', '']</t>
  </si>
  <si>
    <t>['apk', 'buka', 'white', 'screen', 'trus', 'lakukan', 'pindah', 'provider']</t>
  </si>
  <si>
    <t>['kecewa', 'telkomsel', 'buka', 'kirain', 'eror', 'buka', 'layar', 'putih', 'doang']</t>
  </si>
  <si>
    <t>['aplikasinya', 'salah', 'jaringan', 'telkomsel', 'tolong', 'diperbaiki', 'wilayah', 'sumatra', 'kab', 'padang', 'lawas', 'utara', 'susah', 'jaringan', 'tolong', 'perbaiki', 'pelanggan', 'kecewa', 'paket', 'beli', 'mahal', 'jaringan', 'lemot', '']</t>
  </si>
  <si>
    <t>['mahal', 'kaya', 'lemot', 'buka', 'aplikasi', 'paket', 'telefon', 'hilang', 'aplikasi', 'buka', 'blank', 'warna', 'putih', 'wess', '']</t>
  </si>
  <si>
    <t>['kesini', 'harga', 'mahal', 'koneksi', 'jelek', 'lelet', 'muter', 'buka', 'aplikasi', 'apapun', 'pdhl', 'udh', 'langganan', 'kecewa']</t>
  </si>
  <si>
    <t>['login', '']</t>
  </si>
  <si>
    <t>['bermanpaat', 'mrmudahkan']</t>
  </si>
  <si>
    <t>['udah', 'download', 'aplikasi', 'kuota']</t>
  </si>
  <si>
    <t>['paketan', 'internet', 'bintangnya', '']</t>
  </si>
  <si>
    <t>['cinta', 'telkomsel', 'karna', 'paket', 'murah', 'jaringan', 'lancar', 'suka', '']</t>
  </si>
  <si>
    <t>['puas', 'pelayanan', 'lambat', 'banget', 'banget', 'nunggu', '']</t>
  </si>
  <si>
    <t>['', 'masuk', 'apk', '']</t>
  </si>
  <si>
    <t>['telkomsel', 'terbaik', 'jangkauan', 'dimana', '']</t>
  </si>
  <si>
    <t>['parah', 'langganan', 'telkom', 'sampe', 'ahir', 'buka', 'sick', '']</t>
  </si>
  <si>
    <t>['tolong', 'fitur', 'pinjam', 'bayar', 'potong', 'pulsa', 'pemberitahuan', 'pelanggan', 'pemerasan', 'pemberitahuan', 'melunasi', 'paket', 'darurat']</t>
  </si>
  <si>
    <t>['pondok', 'cabe', 'hilir', 'pamulang', 'tangerang', 'selatan', 'jaringan', 'telkomsel', 'bener', 'jelek', 'minggu', 'blakangan', 'ujan', 'nambah', 'parah', 'nyesel', 'aktivin', 'paket', 'simpati', 'mahal', 'doank', 'kualitas', 'minus']</t>
  </si>
  <si>
    <t>['udah', 'gerai', 'telkomsel', 'maksudnya', 'terpecahkan', 'blank', 'putihnya', 'salahkan', 'ngedukung', 'ehh', 'udah', 'instal', 'ulang', 'tetp', 'gimana', 'sengaja', 'nutupin', 'emang', 'bodoh', 'haloo', 'woyy', 'gimana', '']</t>
  </si>
  <si>
    <t>['cek', 'paket', 'layar', 'putih']</t>
  </si>
  <si>
    <t>['', 'buka', 'layar', 'putih', '']</t>
  </si>
  <si>
    <t>['spek', 'tempe', 'dikelola', 'negara', 'gini']</t>
  </si>
  <si>
    <t>['habis', 'hujan', 'sinyal', 'lemot', 'banget']</t>
  </si>
  <si>
    <t>['', 'telkomsel', 'mamang', 'mantap']</t>
  </si>
  <si>
    <t>['telkomsel', 'tolong', 'kuota', 'mahal']</t>
  </si>
  <si>
    <t>['aplikasi', 'bangke', 'nga', 'buka', 'blank', 'putih', 'mulu']</t>
  </si>
  <si>
    <t>['', 'salam', 'walaikum', 'ijin', 'alif', 'purba', 'kalu', 'paket', 'pulsa', 'alip', 'purba', 'habis', 'bantu', 'ambo', 'sekolah', 'kelas', 'entar', 'uang', 'oppung', 'jakarum', 'purba', 'sayang', 'alif', 'purba', 'tolong', 'bantu', 'telkomsel', 'kasian', 'ambo', 'salam', 'walaikum', 'rendah', 'hati', 'tangan', 'alif', 'purba', 'memohon', 'pembaca', 'oppung', 'pelit', 'kerna', 'hidup', 'anugrah', 'allah', 'salam', 'walaikum', 'maaf', '']</t>
  </si>
  <si>
    <t>['sagat', 'puas', 'degan', 'paket', 'murah']</t>
  </si>
  <si>
    <t>['bepergian', 'daerah', 'telkomsel', 'terima', 'kasih', 'telkomsel', '']</t>
  </si>
  <si>
    <t>['kecewa', 'banget', 'komplain', 'memuaskan', 'skrg', 'kondisinya', 'snagat', 'urgent', 'kebingungan', 'kecewa', 'banget', 'tolong', 'kak', 'pelanggan', 'nomor', '']</t>
  </si>
  <si>
    <t>['', 'telkomsel', 'beli', 'paket', 'udah', 'mahal', 'gb', 'rb', 'kasih', 'bintang', '']</t>
  </si>
  <si>
    <t>['good', 'lelet']</t>
  </si>
  <si>
    <t>['bagus', 'sekaliiiiiiiiiiiiii']</t>
  </si>
  <si>
    <t>['harga', 'paketan', 'mahal', 'jaringan', 'buruk']</t>
  </si>
  <si>
    <t>['bagus', 'nyaman', 'telkomsel', 'trimakasih']</t>
  </si>
  <si>
    <t>['buruan', 'donlot', 'aplikasi']</t>
  </si>
  <si>
    <t>['kecewa', 'banget', 'isi', 'pulsa', 'sms', 'masuk', 'pas', 'dichek', 'masuk', 'nggk', 'nyalain', 'data', 'seluler', 'aktivasi', 'banking', 'tolong', 'diperbaiki']</t>
  </si>
  <si>
    <t>['terima', 'kasih', 'mytelkomsel']</t>
  </si>
  <si>
    <t>['telkomsel', 'dibuka', 'tlong', '']</t>
  </si>
  <si>
    <t>['maaf', 'aplikasi', 'susah', 'buka', 'cuman', 'putih', 'polos', 'doang', 'gimana', 'niii']</t>
  </si>
  <si>
    <t>['aplikasi', 'buka', 'tlp', 'jam']</t>
  </si>
  <si>
    <t>['jaringan', 'lelet', 'bagus', 'pindah', 'indosat']</t>
  </si>
  <si>
    <t>['jaringan', 'wilayah', 'kota', 'langsa', 'aceh', 'tolong', 'perhatikan', 'jaringan', 'memuaskan', 'paket', 'terima', 'kasih', '']</t>
  </si>
  <si>
    <t>['beli', 'paketan', 'harga', 'rbu', 'pulsa', 'mash', 'rbu', 'gagal', 'beli', 'rbu', 'ttp', 'gagal', 'bsa']</t>
  </si>
  <si>
    <t>['beli', 'paket', 'gampang']</t>
  </si>
  <si>
    <t>['pelayanan', 'jelek']</t>
  </si>
  <si>
    <t>['maaf', 'turunkan', 'jariga', 'internet', 'lemot', '']</t>
  </si>
  <si>
    <t>['paket', 'beda', 'beda', 'temen', 'paketnya', 'asw']</t>
  </si>
  <si>
    <t>['tingkatkan', 'kinerja', 'apk']</t>
  </si>
  <si>
    <t>['tekomsel', 'limahari', 'dibuka', 'white', 'sreen', 'masak', 'perusahaan', 'telkom', 'ngatasin', 'payah']</t>
  </si>
  <si>
    <t>['menyesal', 'update', 'pelanggan', 'komplain', 'respon', 'telkomsel', '']</t>
  </si>
  <si>
    <t>['telkomsel', 'pulsa', 'ilang', 'belom', 'dipake', 'udah', 'ilang', 'pulsa', 'emang', 'gangguan', 'perbaiki', 'secepatnya']</t>
  </si>
  <si>
    <t>['waw', 'apk', 'bagus', 'banget', 'gua', 'gnerti', 'terima', 'kasih', 'telkomsel', '']</t>
  </si>
  <si>
    <t>['saranku', 'pembelian', 'paket', 'disediakan', 'pembayaran', 'gopay', 'dana', 'udh', 'bagus']</t>
  </si>
  <si>
    <t>['butuh', 'paket', 'murah', 'iri', 'nomor', 'telkomsel', 'beli', 'paket', 'combo', 'sakti', 'max', 'gua', 'udah', 'telkomsel', 'beli', 'paket', 'mahal', '']</t>
  </si>
  <si>
    <t>['reviewnya', 'hapus', 'lawak', 'harga', 'mahal', 'jaringan', 'lelet', 'bukanya', 'perbaikin', 'lag', 'hapus', 'reviewnya']</t>
  </si>
  <si>
    <t>['update', 'layar', 'putih', '']</t>
  </si>
  <si>
    <t>['pelayanan', 'jelek', 'buanget', 'uda', 'kapok', 'memakai', 'telkomsel']</t>
  </si>
  <si>
    <t>['jaringannya', 'diandalkan', '']</t>
  </si>
  <si>
    <t>['telkomsel', 'parah', 'jelek', 'ancrit', 'bener', 'jelek', 'bangett', 'buka', 'apk', 'screen', 'white', 'disuruh', 'update', 'dibuka', 'bener', 'telkomsel', 'taaaiiiiiiii', '']</t>
  </si>
  <si>
    <t>['buruk', 'paket', 'data', 'mahal', 'mahal', 'aplikasi', 'berfungsi', 'pulsa', 'tersedot', 'provider', 'mengecewakan']</t>
  </si>
  <si>
    <t>['sayangnya', 'promo', 'internet', 'sakti', '']</t>
  </si>
  <si>
    <t>['mantap', 'bermanmaaf']</t>
  </si>
  <si>
    <t>['mengecewakan', 'telkomsel', 'sinyal', 'buruk', 'lemot', 'enak', 'banget', 'makek', 'telkomsel', 'bayaran', 'paket', 'mahal', 'kualitasnya', 'sinyalnya', 'jelek', 'rugi', 'makek', 'telkomsel']</t>
  </si>
  <si>
    <t>['kasih', 'bintang', 'aplikasinya', 'buka']</t>
  </si>
  <si>
    <t>['dahlah', 'hapus', 'telkomsel', 'dri', 'muka', 'bumi', 'udh', 'gunanya', 'ajg', 'paket', 'mahal', 'cpet', 'abis', 'ngeleg', 'parah', 'maunya', 'pndh', 'rumah', 'dket', 'tmpt', 'pny', 'telkomselnya', 'udh', 'gondok', 'kali', 'sma', 'telkomsel']</t>
  </si>
  <si>
    <t>['aplikasi', 'telkomsel', 'nggk', 'buka', 'grade', 'lemot', 'tolong', 'perbaiki']</t>
  </si>
  <si>
    <t>['mudah', 'cek', 'sisa', 'kuota', 'praktis', 'isi', 'ulang', 'pulsa', 'ribet', 'rumah', '']</t>
  </si>
  <si>
    <t>['harga', 'kuota', 'mahal', 'bener', 'harga', 'rb', 'gb', 'trus', 'langsung', 'rb', 'pas', 'beli', 'udh', 'rb', 'trs', 'sinyal', 'suka', 'hilang', 'parah', '']</t>
  </si>
  <si>
    <t>['keluhan', 'dng', 'kawan', 'sbelumnya', 'desember', 'aplikasi', 'buka', 'layar', 'putih', 'trus', 'berkali', 'uninstal', 'instal', 'hasilnya', 'mudah', 'dng', 'aplikasi', 'payah', '']</t>
  </si>
  <si>
    <t>['jaringan', 'abal', 'aball', 'telkomsel', 'paketnya', 'mahal', 'tpi', 'jaringan', 'kek', 'siputt']</t>
  </si>
  <si>
    <t>['okelah', 'mantap', '']</t>
  </si>
  <si>
    <t>['berfungsi']</t>
  </si>
  <si>
    <t>['update', 'aplikasi', 'dibuka', 'cek', 'kuota', 'tagihan', 'kartu', 'halo', 'susah', '']</t>
  </si>
  <si>
    <t>['telkomsel', 'anjg', 'paket', 'doang', 'mahal', 'sinyal', 'sampah', 'gua', 'emosi']</t>
  </si>
  <si>
    <t>['beli', 'kuota', 'masuk', 'masuk', 'kuotanya', 'buka', 'blm', 'menit', 'hilang', 'pulsa', 'ribu', 'rugiii', 'udh', 'jaringan', 'lelet']</t>
  </si>
  <si>
    <t>['mytelkom', 'buka', 'aplikasinya', '']</t>
  </si>
  <si>
    <t>['butuh', 'masukan', 'kotor', 'apk', 'sech', 'admin', 'kali', 'instal', 'uninstal', 'msh', 'layar', 'putih', 'memangnya', 'admin', 'promo', 'layar', 'tancapkah', 'seandainya', 'rating', 'bintang', 'kasih', 'situ', 'provider', 'kesayangan', '']</t>
  </si>
  <si>
    <t>['aolikasinya', 'dipake', 'cek', 'kuota', 'pulsa', 'eror', 'apilkasi', 'tks', 'dikontak', 'ajukab', 'keluhan', 'aplikasi', 'lhah', 'dipake', 'ngadat', 'mulu', 'gimana', 'kontak', 'aplikasiny', 'kocak', '']</t>
  </si>
  <si>
    <t>['app', 'eror', 'pembaruan']</t>
  </si>
  <si>
    <t>['udah', 'install', 'ulang', 'tetep', 'muncul', 'cuman', 'layar', 'putih', 'doang']</t>
  </si>
  <si>
    <t>['kecewa', 'update', 'aplikasi', 'buka', '']</t>
  </si>
  <si>
    <t>['maaf', 'turunkan', 'bintang', 'telkomsel', 'masuk', 'sistem', 'min', '']</t>
  </si>
  <si>
    <t>['aplikasi', 'hri', 'bsa', 'buka']</t>
  </si>
  <si>
    <t>['blank', 'putih', 'hilang', 'tolong', 'solusinya']</t>
  </si>
  <si>
    <t>['buka', 'sekelas', 'telkomsel', 'ngeselin']</t>
  </si>
  <si>
    <t>['mengecewakan', 'aplikasi', 'buka', 'pilan', 'putih', 'kasih', 'bintaang', '']</t>
  </si>
  <si>
    <t>['memuaskab']</t>
  </si>
  <si>
    <t>['error', 'layar', 'putih', 'bli', 'paket', 'unlimit', 'payah', 'telkomsel', 'turun', '']</t>
  </si>
  <si>
    <t>['sinyal', 'telkomsel', 'doang', 'bagus', 'pas', 'udah', 'kaya', 'taii', 'sinyalnya', 'keccewa']</t>
  </si>
  <si>
    <t>['aplikasi', 'error', 'dibuka', 'jumat', 'gmn', 'haduh']</t>
  </si>
  <si>
    <t>['lelet', 'nonton', 'youtube', 'buffering']</t>
  </si>
  <si>
    <t>['knp', 'akses', 'pengguna', 'dirugikan']</t>
  </si>
  <si>
    <t>['simpati', 'bapuk', 'udah', 'kaya', 'kartu', 'buruk']</t>
  </si>
  <si>
    <t>['ganti', 'bintang', 'update', 'barunya', 'blenk', 'skali', 'kebuka', 'aktif', 'kartu', 'udah', 'habis', 'tolong', 'perbaiki', 'udah', 'masukan', 'sesuai', 'rasakan']</t>
  </si>
  <si>
    <t>['apkikasi', 'buka']</t>
  </si>
  <si>
    <t>['paket', 'murah', 'sinyal', 'bagus']</t>
  </si>
  <si>
    <t>['terbaiklah']</t>
  </si>
  <si>
    <t>['aplikasi', 'buka', 'udah', 'bolak', 'hapus', 'download', 'ulang', 'gitu', 'buka']</t>
  </si>
  <si>
    <t>['maaf', 'turunkan', 'aflikasi', 'dibuka', 'desember', 'jaringan', 'lemot', 'konsumen', 'thn', 'dirugikan', '']</t>
  </si>
  <si>
    <t>['knap', 'buka', 'aplikasinya', 'dimohon', 'membetulkan', 'jaringan', 'telkomsel', 'ngeleg', 'terima', 'kasih']</t>
  </si>
  <si>
    <t>['', 'kebuka', 'aplikasi']</t>
  </si>
  <si>
    <t>['tsel', 'enaknya', 'kuota', 'abis', 'ketarik', 'pulsa', 'ksel', 'pulsa', 'beli', 'kuota', 'ketarik', '']</t>
  </si>
  <si>
    <t>['sinyal', 'mkin', 'mkin', 'buruk']</t>
  </si>
  <si>
    <t>['jaringannya', 'buruk', 'ampunnnn', '']</t>
  </si>
  <si>
    <t>['aplikasi', 'dibuka', 'kali', 'diinstall', 'ulang', 'dibuka', 'aplikasi', 'update', 'tolong', 'diperbaiki', 'bintangnya']</t>
  </si>
  <si>
    <t>['aplikasi', 'mantap', 'mudah', 'ribet']</t>
  </si>
  <si>
    <t>['lemot', 'pindah', 'hallo', '']</t>
  </si>
  <si>
    <t>['puas', 'pokoknya']</t>
  </si>
  <si>
    <t>['aplikasi', 'buka', 'desember', 'white', 'screen', 'teruss', 'payah', 'paket', 'mahal', 'kualitas', 'aplikasi', 'jelek', 'sinyal', 'lemot', 'mahal', 'bagus', '']</t>
  </si>
  <si>
    <t>['putih', 'aneh']</t>
  </si>
  <si>
    <t>['bagus', 'doang', 'mah', 'ampas', 'jaringan', 'buruk', 'banget']</t>
  </si>
  <si>
    <t>['loginnya', 'gampang']</t>
  </si>
  <si>
    <t>['mantap', 'cepat', 'mudah']</t>
  </si>
  <si>
    <t>['gabisa', 'kebuka', 'aplikasi', 'telkomsel', 'pdhl', 'udh', 'uninstal', 'trs', 'instal', 'tetep', 'gabisa', 'kebuka', 'gabisa', 'liat', 'informasi', 'sisa', 'kuota', 'kecewa', 'bgttt']</t>
  </si>
  <si>
    <t>['kecawa', 'banget', 'error', 'mulu', 'bukak', 'aplikasinya']</t>
  </si>
  <si>
    <t>['aplikasinya', 'buka', 'udh', 'dowlod', 'tetep', 'kebuka', 'lemot', 'telkomsel']</t>
  </si>
  <si>
    <t>['terima', 'kasih', 'telkomsel', 'aplikasi', 'telkomsel', 'mudah', 'cepat', 'pembelian', 'paket']</t>
  </si>
  <si>
    <t>['white', 'screen', 'penanganan', 'perushaan', 'sekelas', 'telkomsel', 'sungguh', 'memalukan', 'pemberitahuan', 'customer', '']</t>
  </si>
  <si>
    <t>['semoga', 'bermanfaat', 'orang', 'membutuhkan', 'semoga', 'menang', 'membutuhkan', 'banget', 'aamiin']</t>
  </si>
  <si>
    <t>['pulsa', 'kepotong', 'paketan']</t>
  </si>
  <si>
    <t>['blank', 'putih']</t>
  </si>
  <si>
    <t>['massa', 'ngaktipin', 'paket', 'data', 'langsung', 'sedot', 'ribu', 'ngaktipin', 'datanya', 'detik', 'donk']</t>
  </si>
  <si>
    <t>['maaf', 'kasih', 'bintang', 'buka', 'aplikasi', 'kebuka', '']</t>
  </si>
  <si>
    <t>['membantu', 'menyenangkan']</t>
  </si>
  <si>
    <t>['susah', 'buka', 'susah', 'capeee', 'dehhh']</t>
  </si>
  <si>
    <t>['udah', 'buka', 'app']</t>
  </si>
  <si>
    <t>['jelek', 'option', 'promo', 'internetnya', 'pilihan']</t>
  </si>
  <si>
    <t>['aplikasi', 'bagus', 'kasih', 'bintang', 'diskon', 'murah', 'kouta', 'gb']</t>
  </si>
  <si>
    <t>['tolong', 'aplikasi', 'buka', '']</t>
  </si>
  <si>
    <t>['maaf', 'pengguna', 'telkomsel', 'android', 'version', 'gabisa', 'gimana', 'solusinya', 'tolong', '']</t>
  </si>
  <si>
    <t>['rusak', 'kah', 'install', 'blank', 'putih', 'cek', 'kuota', 'blank', 'putih', '']</t>
  </si>
  <si>
    <t>['kadang', 'muncu', 'sesi', 'trus', 'terpaksa', 'log', 'link', 'sumpah', 'ribet', 'banget', 'aplikasi', 'harga', 'paket', 'aplikasi', 'mahal', 'mahal', 'mending', 'beli', 'konter']</t>
  </si>
  <si>
    <t>['semoga', 'kedepan', 'tingkatkan']</t>
  </si>
  <si>
    <t>['keluhan', 'pelanggan', 'telkomsel', 'langganan', 'bkn', 'setahun', 'tpi', 'msh', 'blm', 'perbaikan', 'msh', 'blank', 'putih', 'hadeuuh', 'tolong', 'respon', 'cepat', 'ngasih', 'suruh', 'keluhan', 'email', 'tolong', 'cepat', 'perbaiki', 'aplikasi', 'telkomsel', '']</t>
  </si>
  <si>
    <t>['udah', 'aplikasi', 'buka']</t>
  </si>
  <si>
    <t>['hai', 'telkomsel', 'aplikasi', 'buka', 'turunkan', 'bintang', 'aplikasi', 'normal', 'kasih', 'bintang', '']</t>
  </si>
  <si>
    <t>['jaringan', 'internet', 'bnerin', 'pke', 'game', 'ilang']</t>
  </si>
  <si>
    <t>['keren', 'promo', 'telkomsel']</t>
  </si>
  <si>
    <t>['aplikasi', 'telkomselnya', 'mudah', 'beli', 'pulsa', 'paket', 'bayar', 'tagihan', 'cek', 'kuota', 'tukar', 'poin', 'hadiah', 'pencet', 'memilih', 'angka', 'cek', 'pulsa', 'maaf', 'permintaan', 'proses', 'silahkan', 'coba', 'somplakkan', 'berulang', 'ulang', 'berkali', 'kali', 'minggu', '']</t>
  </si>
  <si>
    <t>['sorry', 'kasih', 'bintang', 'aneh', 'akses', 'telkomsel', 'uninstall', 'trus', 'down', 'ttp', '']</t>
  </si>
  <si>
    <t>['seminggu', 'kemarin', 'aplikasi', 'telkomsel', 'buka', 'pas', 'buka', 'layar', 'putih', 'muncul', 'menu', 'beranda', 'coba', 'pakai', 'wifi', 'paket', 'data', 'internet', 'buka', 'keluaran', 'mohon', 'kasih', 'solusinya', 'min', '']</t>
  </si>
  <si>
    <t>['nga', 'buka', 'app', 'gmn', 'beli', 'paket']</t>
  </si>
  <si>
    <t>['lola', '']</t>
  </si>
  <si>
    <t>['telkomsel', 'paketan', 'sultan', 'jaringan', 'gelandangan', 'naikin', 'kualitas', 'jaringan', 'duitnya', 'korupsi', 'upsss', 'mending', 'jual', 'providernya', 'bantuan', 'internet', 'warga', 'membutuhkan', 'emang', 'jaga', 'kualitas', 'mending', 'turunin', 'harganya', 'nyiksa', 'pelanggan', 'dzolim', 'ente', '']</t>
  </si>
  <si>
    <t>['buruuuuuuukkk', 'perubahan', 'mngkin', 'image', 'boikot', 'telkomsel', 'app', 'perubahan', '']</t>
  </si>
  <si>
    <t>['ndak', 'bisak', 'dibuka']</t>
  </si>
  <si>
    <t>['app', 'dibuka', 'hapus', 'trus', 'unduh', 'kek', 'gitu', '']</t>
  </si>
  <si>
    <t>['kemudahan', 'banget', 'app', 'bagusssssssssssssssss', 'bangettt', '']</t>
  </si>
  <si>
    <t>['top', 'pulsa', '']</t>
  </si>
  <si>
    <t>['aplikasi', 'white', 'screenn', 'doang', 'update', '']</t>
  </si>
  <si>
    <t>['updet', 'buka', '']</t>
  </si>
  <si>
    <t>['aplikasinya', 'berfungsi', 'restart', 'hapus', 'data', 'disarankan', 'telkomsel', 'email', 'putih', 'layarnya', '']</t>
  </si>
  <si>
    <t>['ribet', 'telkomsel', '']</t>
  </si>
  <si>
    <t>['bagus', 'suka', 'bngt']</t>
  </si>
  <si>
    <t>['maaf', 'kasih', 'bintang', 'umtuk', 'nuka', 'app', 'telkomsel', 'umduh', 'kali', 'coba', 'install', 'uninstall', 'buka', 'tolong', 'informasihnya', 'klw', 'emang', 'app', '']</t>
  </si>
  <si>
    <t>['maaf', 'dri', 'minggu', 'kemarin', 'aplikasi', 'telkomsel', 'dibuka', 'yaaa', 'lihat', 'mengeluhkan', 'tpi', 'sprti', 'yaaa', 'heloooo', '']</t>
  </si>
  <si>
    <t>['loe', 'udh', 'slk']</t>
  </si>
  <si>
    <t>['', 'ngk', 'buka']</t>
  </si>
  <si>
    <t>['maaf', 'kak', 'knp', 'sinyal', 'telkomsel', 'jdi', 'lemot', 'bet', 'sumpah', 'bohong', 'game', 'emosi', '']</t>
  </si>
  <si>
    <t>['apk', 'buka', 'cek', 'pulsa', 'kouta', 'manual', '']</t>
  </si>
  <si>
    <t>['install', 'ulang', 'msh', 'halam', 'putih', 'sekelas', 'telkomsel', 'gini', 'doang', '']</t>
  </si>
  <si>
    <t>['apl', 'mytelkosel', 'udah', 'seminggu', 'dibuka', 'layarnya', 'putih', 'cek', 'kuota']</t>
  </si>
  <si>
    <t>['hem', 'jaringan', 'nga', 'lemot', 'tolong', 'perbaiki', 'telkomsek']</t>
  </si>
  <si>
    <t>['gua', 'saranin', 'telkomsel', 'asuuu', 'banget', 'jaringan', 'niat', 'usaha', 'banget', 'mengecewakan', 'jaringan', 'beda', 'out']</t>
  </si>
  <si>
    <t>['susah', 'timbul', 'update']</t>
  </si>
  <si>
    <t>['informasinya', 'mudah', 'pahami']</t>
  </si>
  <si>
    <t>['telkomsel', 'bgmn', 'aplikasi', 'mggu', 'layar', 'kosong', 'buka', 'samsung', 'mengecewakan', 'solusi', '']</t>
  </si>
  <si>
    <t>['', 'dbuka', 'dsuruh', 'update', 'pas', 'udah', 'update', 'dbuka', 'dsuruh', 'update', 'pdhal', 'udah', 'update', 'hadehh']</t>
  </si>
  <si>
    <t>['telkomsel', 'buka', 'uninstal', 'download', 'gimana', 'min']</t>
  </si>
  <si>
    <t>['', 'telkomsel', 'eror', 'parah', 'dibuka', 'lola', '']</t>
  </si>
  <si>
    <t>['semenjak', 'diperbaharui', 'bsa', 'dibuka', 'ngeblank', 'trus', '']</t>
  </si>
  <si>
    <t>['buka', 'aplikasi', 'download']</t>
  </si>
  <si>
    <t>['bermanfaat', 'semoga', 'kaya', 'telkomsel']</t>
  </si>
  <si>
    <t>['bagus', 'mohon', 'tingkatkan', 'nda', 'lemot']</t>
  </si>
  <si>
    <t>['babi', 'telkomsel', 'udah', 'paket', 'mahal', 'leg', 'jncok']</t>
  </si>
  <si>
    <t>['turunkan', 'bintangnya', 'telkomsel', 'dibuka', 'keluarnya', 'layar', 'putih', '']</t>
  </si>
  <si>
    <t>['aplikasi', 'terbaik', 'hasil', 'kuota', 'pulsa', 'beli', 'kuota', 'pulsa', 'mohon', 'perbaiki', 'kualitas', 'jaringan', 'kadang', 'lemot', 'jaringannya', 'udah', 'dimohon', 'perhatian', 'perbaiki', 'telkomsel']</t>
  </si>
  <si>
    <t>['susah', 'masuk', 'menjengkelkan', 'mahal', 'layanan', 'gagal', 'parah', '']</t>
  </si>
  <si>
    <t>['membantu', 'mytekomsel', 'beli', 'pulsa', 'ribet', 'kluar']</t>
  </si>
  <si>
    <t>['batasi', 'versi', 'android', 'kasian', 'versi', 'akses', 'tolong', 'perbaikan', '']</t>
  </si>
  <si>
    <t>['', 'semplak', 'bogor', 'sinyal', 'ngelagnya', 'bener', '']</t>
  </si>
  <si>
    <t>['paket', 'mahal', 'rugi', 'make', 'kartu', 'telkomsel', 'mending', 'kartu', 'im', '']</t>
  </si>
  <si>
    <t>['buka', 'telkomsel', 'hapus', 'instal', 'tetep', 'buka']</t>
  </si>
  <si>
    <t>['telkomsel', 'paketnya', 'udah']</t>
  </si>
  <si>
    <t>['aplikasinya', 'lambaatt', 'sinyal', 'bagus', 'lambat', 'update', 'lambat', '']</t>
  </si>
  <si>
    <t>['kirain', 'aplikasinya', 'blank', 'cepatlah', 'ditindak', 'lanjuti', 'keburu', 'kabur', 'pelanggannya']</t>
  </si>
  <si>
    <t>['aplikasi', 'dibuka', 'desember', '']</t>
  </si>
  <si>
    <t>['telkomsel', 'pencuri', 'pulsa', 'beli', 'udah', 'hilang', 'rb', 'gitu', 'isi', 'kuras', 'habis', 'make', 'udah', 'habis', 'data', 'enda', 'dinyalakan', 'kesal', '']</t>
  </si>
  <si>
    <t>['aplikasi', 'menganggu', 'kouta', 'buka', 'facebook', 'pemberitauan', 'pinjaman', 'menutupi', 'facebook', 'kasih', 'bintang', 'kesal', 'aplikasi', 'hapus', 'aplikasi', 'karna', 'kesal', 'ganggu', 'facebook', 'aplikasi', 'jelek', '']</t>
  </si>
  <si>
    <t>['bagus', 'bnyak', 'promo']</t>
  </si>
  <si>
    <t>['semoga', 'promo', 'internet', 'murah', 'terjangkau']</t>
  </si>
  <si>
    <t>['tampilannya', 'layar', 'putih', 'kebuka', '']</t>
  </si>
  <si>
    <t>['bissmilah', 'dapet', 'mobil']</t>
  </si>
  <si>
    <t>['ngak', 'buka', 'nyesal', 'perbaharuinya']</t>
  </si>
  <si>
    <t>['kali', 'instal', 'ulang', 'pas', 'buka', 'layar', 'putih', '']</t>
  </si>
  <si>
    <t>['kecewaaaaaa', 'ttep', 'download', 'ulang', 'bsa', 'dibuka', 'telkomsel', 'skrg', 'tolong', 'sprti', 'bola', 'oper', 'klau', 'bsa', 'dibuka', 'smpai', 'tgl', 'des', 'salahkan', 'pindah', 'hati', 'nyaman', 'skrg', 'telkomsel', 'pdhl', 'pdhl', 'pelanggan', 'setia', 'download', 'apk', 'telkomsel', 'dithn', '']</t>
  </si>
  <si>
    <t>['byk', 'keluhan', 'apkne', 'iso', 'bukak', 'download', 'crhrom', 'versi', 'dibukak', 'layar', 'putih', 'truss']</t>
  </si>
  <si>
    <t>['tolong', 'kendala', 'cepat', 'perbaiki', 'berlangganan', 'udah', 'tlong', 'mengecewakan', '']</t>
  </si>
  <si>
    <t>['sinyal', 'lemot', 'seminggu', 'susah', 'udah', 'paket', 'unlimited', 'ribu', 'pindah', 'kartu', 'gini']</t>
  </si>
  <si>
    <t>['aplikasi', 'cek', 'beli', 'kuota', 'lihat', 'aktif', 'pakai', 'pakai', 'jaman', 'teknologi', 'canggih', 'aplikasi', 'akses', 'white', 'blank', 'minggu', 'install', 'beneran', 'jaman', 'internet', '']</t>
  </si>
  <si>
    <t>['jaringan', 'lelet', 'udah', 'mahal', 'paketan', 'tpi', 'lemot', 'jaringan']</t>
  </si>
  <si>
    <t>['alhamdulillah', 'yach', '']</t>
  </si>
  <si>
    <t>['buka', 'app']</t>
  </si>
  <si>
    <t>['aplikasi', 'gobl', 'kkkkk', 'paket', 'internet', 'sisa', 'ngambil', 'pulsa', 'plis', 'min', 'kyk', 'provider', 'ngambil', 'pulsa', 'gblkkkkkkkkk']</t>
  </si>
  <si>
    <t>['mantap', 'euyyyy']</t>
  </si>
  <si>
    <t>['maaf', 'kendala', 'min', 'jaringan', 'telkomsel', 'lemot', 'kuota', 'mohon', 'bantu', 'min', '']</t>
  </si>
  <si>
    <t>['sya', 'udah', 'makai', 'aplikasi', 'sngat', 'mmbantu', 'sya', 'dri', 'segi', 'materi', 'krna', 'pket', 'khusus', 'murah', 'bnget', 'thk', 'telkomsel', '']</t>
  </si>
  <si>
    <t>['sinyal', 'buruk', 'paket', 'utama']</t>
  </si>
  <si>
    <t>['cepat', 'bagus', 'mohon', 'tingkat', 'kinerja', 'jaringan', '']</t>
  </si>
  <si>
    <t>['memuaskan', 'paket', 'murah', 'meriah']</t>
  </si>
  <si>
    <t>['dibuka', 'jaringannya', 'lemot', '']</t>
  </si>
  <si>
    <t>['jaringan', 'putus', 'lambat']</t>
  </si>
  <si>
    <t>['hallo', 'telkomsel', 'kuota', 'utama', 'kesedot', 'udah', 'bei', 'paket', 'unli', 'youtube', 'youtube', 'tetep', 'kesedot', 'kuota', 'utama']</t>
  </si>
  <si>
    <t>['teruntuk', 'telkomsel', 'tolong', 'terganggu', 'scroll', 'beranda', 'lgi', 'asyik', 'bermain', 'slalu', 'muncul', 'pemberitahuan', 'gratis', 'dapatkan', 'pinjaman', 'ngk', 'klik', 'salah', 'satunya', 'ngk', 'terpaksa', 'klik', 'gratis', 'kuota', 'byk', 'ngk', 'pke', 'grtis', 'buka', 'lihat', 'photo', 'klik', 'photo', 'pilih', 'menu', 'data', 'data', 'plisss', 'menggangu', '']</t>
  </si>
  <si>
    <t>['kasih', 'bitang', 'kareana', 'aplikasinya', 'susah', 'bukak', 'udah', 'updete', 'maki', 'susah', 'masuknya']</t>
  </si>
  <si>
    <t>['bingung', 'loading']</t>
  </si>
  <si>
    <t>['terbaik', 'mantul', 'bosku']</t>
  </si>
  <si>
    <t>['aplikasi', 'telkomsel', 'dibuka', 'tgl', 'desember', 'laporan', 'via', 'veronica', 'telegram', 'berkali', 'uninstall', 'install', 'tetep', 'white', 'screen', 'hapus', 'cache', 'tetep', 'perubahan', 'gag', 'beli', 'paket', 'internet', 'deh']</t>
  </si>
  <si>
    <t>['layar', 'putih', 'update']</t>
  </si>
  <si>
    <t>['habis', 'pembaharuan', 'telkomsel', 'bsa', 'buka', 'putih']</t>
  </si>
  <si>
    <t>['update', 'ngk', 'masuk', 'aplikasi', 'telkomsel']</t>
  </si>
  <si>
    <t>['blank']</t>
  </si>
  <si>
    <t>['jozz']</t>
  </si>
  <si>
    <t>['sekedar', 'saran', 'dimurahkn', 'dikit', '']</t>
  </si>
  <si>
    <t>['jaringan', 'lelet', 'ulang', 'timbul', 'jaringan', 'hilang', 'hilang', 'jaringan', 'mikir', 'beli', 'paket', 'internet', 'telkomsel']</t>
  </si>
  <si>
    <t>['maaf', 'kasih', 'bintang', 'desember', 'aplikasi', 'ngk', 'dibuka', 'merugikan', '']</t>
  </si>
  <si>
    <t>['bagus', 'banget', 'aplikasi', 'memudahkan']</t>
  </si>
  <si>
    <t>['sinyal', 'lemot', 'mahal', 'rugi', 'sumpah', 'telkomsel']</t>
  </si>
  <si>
    <t>['komen', 'membangun', 'memperbaiki', 'tolong', 'perbaiki', 'app', 'aplikasi', 'layar', 'putih', 'mengecewakan', 'transaksi', 'kuota', 'data', 'app', 'buka', 'perbaiki', 'thx']</t>
  </si>
  <si>
    <t>['beli', 'paketnya', 'mahal', 'beli', 'paket', 'data', 'karna', 'butuh', 'karna', 'berduit', 'dasar', 'telkomsel', 'mengecewakan']</t>
  </si>
  <si>
    <t>['tolong', 'jaringan', 'perbaiki', 'jaringan', 'luas', 'lemot', 'bumn', 'sinyal', 'perbaikan']</t>
  </si>
  <si>
    <t>['mantap', 'telkomsel', 'bnyak', 'promo']</t>
  </si>
  <si>
    <t>['susah', 'buka', 'kecewa']</t>
  </si>
  <si>
    <t>['aplikasi', 'buka', 'hallooo', 'ayo', 'kerja', 'perbaiki', 'tidurrr']</t>
  </si>
  <si>
    <t>['aplikasi', 'maytelkomselq', 'buka', 'gimana', '']</t>
  </si>
  <si>
    <t>['abis', 'tukar', 'poin', 'kuota', 'internet', 'gb', 'pemakaian', 'pulsa', 'kepotong', 'internet', 'gb', 'sampe', '']</t>
  </si>
  <si>
    <t>['', 'buka', 'aplikasi', 'uninstall']</t>
  </si>
  <si>
    <t>['terimakasih', 'gb']</t>
  </si>
  <si>
    <t>['perbaharui', 'sinyal', 'susah']</t>
  </si>
  <si>
    <t>['ujan', 'ngadat']</t>
  </si>
  <si>
    <t>['jaringannya', 'telkomsel', 'jelek', 'gimana', '']</t>
  </si>
  <si>
    <t>['maaf', 'bintang', 'kali', 'dlm', 'brp', 'hri', 'ssah', 'banget', 'buka', 'aplikasiny', 'gmbr', 'putih', 'doang', 'pdhal', 'udh', 'sya', 'instal', 'ulang', 'aplikasi', 'telkomsel', '']</t>
  </si>
  <si>
    <t>['kasih', 'bintang', 'karna', 'coba']</t>
  </si>
  <si>
    <t>['aplikasi', 'nggak', 'dibuka', 'bangke', 'negara', 'kualitas', 'makan', 'gaji', 'buta']</t>
  </si>
  <si>
    <t>['kecewa', 'naiknya', 'pulsa', 'kuota', 'mytelkomsel', 'langsung', 'melonjat', 'mahal', 'syekali', 'tolong', 'diturunin', 'harga', 'yaa', 'masyarakat', 'memakai', 'kalangan', 'doang', 'make', 'thk']</t>
  </si>
  <si>
    <t>['aplilasinya', 'kebuka', 'install', 'ulang', 'tetep', 'kebuka']</t>
  </si>
  <si>
    <t>['aplikasi', 'telkomsel', 'ngeblank', 'putih', 'ngk', 'buka']</t>
  </si>
  <si>
    <t>['telkomsel', 'top', 'trimakasih']</t>
  </si>
  <si>
    <t>['aplikasi', 'buka', 'error']</t>
  </si>
  <si>
    <t>['udh', 'sminggu', 'buka', 'telkomsel', 'susah', 'knp', '']</t>
  </si>
  <si>
    <t>['telkomsel', 'ngec', 'kayaknya', 'jaringan', 'diperbaiki', 'diperbaiki', 'hilang', '']</t>
  </si>
  <si>
    <t>['beli', 'paket', 'mudah', '']</t>
  </si>
  <si>
    <t>['aplikasi', 'kebutuhan', 'internet', 'membantu', 'mudah', '']</t>
  </si>
  <si>
    <t>['harga', 'paket', 'ngotak', 'jaringan', 'nnya', 'jugak', 'ngotak', 'lelet', 'parah', '']</t>
  </si>
  <si>
    <t>['nyoba', 'kali', 'mudah', '']</t>
  </si>
  <si>
    <t>['habis', 'update', 'apk', 'dibuka', 'mengecewakan']</t>
  </si>
  <si>
    <t>['ngak', 'dibuka', 'apkx']</t>
  </si>
  <si>
    <t>['hadia']</t>
  </si>
  <si>
    <t>['buka', 'aplikasi', 'layar', 'putih', 'tolong', 'diperbaiki', 'gimana', '']</t>
  </si>
  <si>
    <t>['', 'telkomsel', 'lemot', 'buka', 'aplikasinya', 'kasih', 'bintang']</t>
  </si>
  <si>
    <t>['telkomsel', 'jaringan', 'stabil', 'sinyal', 'kencang', 'nonton', 'vidio', 'loadingnya', 'banget', 'udah', 'restart', 'hpnya']</t>
  </si>
  <si>
    <t>['uda', 'pelanggan', 'negeluh', 'pulsa', 'tersedot', 'seharus', 'langsung', 'perbaikin', 'hub', 'mimin', 'hub', 'hub', 'mata', 'baca', 'keluhan', 'pelanggan', 'pulsa', 'salah', 'pulsa', 'ketakutan', 'paket', 'data', 'ambil', 'data', 'masi', 'maling', 'pulsa', 'diam', 'seharus', 'bertambah', 'dana', 'pulsa', 'pulsa', 'langsung', 'cepat', 'habiskan', 'maling', '']</t>
  </si>
  <si>
    <t>['membantuu']</t>
  </si>
  <si>
    <t>['kouta', 'terjangkau']</t>
  </si>
  <si>
    <t>['mantep', 'membantu']</t>
  </si>
  <si>
    <t>['provider', 'terbaik', 'jaman', 'just', 'telkomsel', '']</t>
  </si>
  <si>
    <t>['seminggu', 'aplikasi', 'eror', 'layar', 'putih', 'kosong', 'loading', 'muncul', 'apapun', 'jaringan', 'parah', 'turun', 'lemot', 'kuota', 'cepat', 'habis', 'mahal', 'maunya', 'telkomsel', '']</t>
  </si>
  <si>
    <t>['parah', 'pasang', 'instal', 'kebuka']</t>
  </si>
  <si>
    <t>['puas', 'aplikasi', '']</t>
  </si>
  <si>
    <t>['aplikasi', 'telkomsel', 'mengesalkan', 'sya', 'memakai', 'aplikasi', 'tpi', 'upgrade', 'diupgrade', 'kebuka', 'layarnya', 'putih', 'ngeblank', 'mengecewakan', 'aplikasi', 'pelanggan', 'mudah', 'mngecewakan', '']</t>
  </si>
  <si>
    <t>['update', 'dibuka', 'kecewa', 'harap', 'diperbaiki', 'aplikasi', '']</t>
  </si>
  <si>
    <t>['buka', 'blokir', 'kartu', 'sulit', 'ampun', 'memudahkan', 'menyulitkan', '']</t>
  </si>
  <si>
    <t>['aplikasi', 'pas', 'dibuka', 'stak', 'tampilan', 'putih']</t>
  </si>
  <si>
    <t>['pembelian', 'paket', 'saldo', 'pulsa', '']</t>
  </si>
  <si>
    <t>['hqri', 'buka', 'telkomsel', 'cek', 'paketan', 'lemot', 'telkomsel', '']</t>
  </si>
  <si>
    <t>['hallo', 'min', 'keluhan', 'paket', 'internet', 'suka', 'beli', 'paket', 'internet', 'gamemax', 'silver', 'gold', 'diamont', 'paketnya', 'dipake', 'akses', 'gamenya', 'free', 'fire', 'mobile', 'legend', 'semoga', 'admin', 'membantu', '']</t>
  </si>
  <si>
    <t>['aplikasinya', 'bodong', 'ngak', 'dibukak', '']</t>
  </si>
  <si>
    <t>['smenjak', 'updet', 'aplikasi', 'telkomsel', 'layar', 'full', 'putih', 'ngk', 'login', 'mimin', 'solusi', 'nyaa']</t>
  </si>
  <si>
    <t>['burok', 'jaringan', 'minus', '']</t>
  </si>
  <si>
    <t>['paket', 'mahal', 'bonus', 'kouta', 'gara', 'ganti', 'kartu', 'info', 'bonus', 'jaringan', 'pas', 'jaringan', 'stabil', 'masuk', 'pulsa', 'disedotin', 'bangke', 'emang', 'harap', 'beli', 'paketan', 'telkomsel']</t>
  </si>
  <si>
    <t>['telkomsel', 'aneh', 'abis', 'update', 'ngga', 'buka']</t>
  </si>
  <si>
    <t>['beli', 'paket', 'combo', 'sakti', 'telkomsel', 'ribu', 'paket', 'data', 'unlimited', 'telpon', 'telkomsel', 'menit', 'operator', 'paket', 'internet', 'paket', 'telpon']</t>
  </si>
  <si>
    <t>['anying', 'telkom', 'babi', 'paket', 'mulu', 'anying', 'udah', 'duid', 'susah', 'naikin', 'ngotak', 'jembud']</t>
  </si>
  <si>
    <t>['sya', 'bangga', 'telkomsel']</t>
  </si>
  <si>
    <t>['aplikasi', 'mytelkomsel', 'buka', 'udah', 'email', 'messenger', 'jawabannya', 'muter', 'maaf', 'ketidaknyamanan', 'pelanggan', 'telkomsel', 'pelayanannya', 'mengecewakan', 'maaf', 'ketidaknyamanan', '']</t>
  </si>
  <si>
    <t>['ditambahin', 'reward', 'apus']</t>
  </si>
  <si>
    <t>['memudahkan', 'susah', 'buka', 'blokir', 'kartu', 'berbelit', 'belit', '']</t>
  </si>
  <si>
    <t>['hadehhh', 'lancar', 'jaringannya', 'leletnya', 'ngirim', 'tugas', 'telat', 'tolng', 'tindak', 'lanjuti', 'udh', 'pakai', 'kartu', 'capek', 'lelet', 'salahin', 'jaringannya', '']</t>
  </si>
  <si>
    <t>['maaf', 'kecewa', 'paket', 'data', 'pulsa', 'lenyap', 'nth', 'kemana', 'pengaturan', 'mengatur', 'pulsanya', 'memhuat', 'pengguna', 'nyaman']</t>
  </si>
  <si>
    <t>['membantu', 'pokoknya', 'rekomended']</t>
  </si>
  <si>
    <t>['harga', 'paket', 'internetnya', 'ppn', 'nain', '']</t>
  </si>
  <si>
    <t>['kecewa', 'buka', 'aplikasi', 'masuk', 'trs']</t>
  </si>
  <si>
    <t>['app', 'dibuka', 'ngeblank', 'putih', '']</t>
  </si>
  <si>
    <t>['download', 'telkomsel', 'dibuka']</t>
  </si>
  <si>
    <t>['masuk', 'akun', 'nomor', 'sesi']</t>
  </si>
  <si>
    <t>['jaringan', 'telkomsel', 'error']</t>
  </si>
  <si>
    <t>['diupdate', 'aplikasi', 'dibuka', 'putih', 'layarnya', 'diupdate']</t>
  </si>
  <si>
    <t>['layar', 'putih', 'bukak', 'telkomsel', 'gini', 'beli', 'pakett', 'ooii']</t>
  </si>
  <si>
    <t>['kenceng', 'jaringan', 'down', 'taik', '']</t>
  </si>
  <si>
    <t>['', 'telkomsel', 'terbuka', 'paket', 'data', 'jaringan', 'normal', '']</t>
  </si>
  <si>
    <t>['', 'ampe', 'eror', 'duit', 'perbaikan', 'apk', 'ngomong', 'nti', 'buatin', 'donasi', 'andaaa', '']</t>
  </si>
  <si>
    <t>['update', 'penggunaan', 'kuota', 'telat', 'kontrol', 'kebobolan', 'kuota', 'habis', 'harap', 'perbaiki', 'trims']</t>
  </si>
  <si>
    <t>['turunkan', 'menit', 'aplikasi', 'dibuka']</t>
  </si>
  <si>
    <t>['menukarkan', 'koin', '']</t>
  </si>
  <si>
    <t>['penguna', 'kartu', 'promo']</t>
  </si>
  <si>
    <t>['ajari', 'donk', 'aplikasi', 'mytelkomsel']</t>
  </si>
  <si>
    <t>['jaringan', 'hemat', 'telkomsel', 'mantaaaap']</t>
  </si>
  <si>
    <t>['memudahkan', 'beli', 'paket', 'data', 'tlp']</t>
  </si>
  <si>
    <t>['sagat', 'mudah', 'utuk', 'beli', 'pulsa', 'atao', 'internet']</t>
  </si>
  <si>
    <t>['udah', 'beli', 'paket', 'ngambil', 'kuota', 'pulsa', 'merugikan']</t>
  </si>
  <si>
    <t>['membantu', 'beli', 'pulsa', 'paket', 'telkomsel', '']</t>
  </si>
  <si>
    <t>['menarik', 'mudah', 'informasinya']</t>
  </si>
  <si>
    <t>['kartu', 'hilang', 'blokir', 'kartunya', 'buka', 'blokir', 'susah', 'ampun', 'telp', 'putar', 'sibuk', 'sibuk', 'diulang', 'perintahnya', 'bosan', '']</t>
  </si>
  <si>
    <t>['ngawur', 'aplikasi', 'merugikan', 'beli', 'paket', 'youtube', 'harian', 'pilih', 'tujuanya', 'tpi', 'kebeli', 'internet', 'malam', 'ulqng', 'gmna', '']</t>
  </si>
  <si>
    <t>['aplikasi', 'telkomsel', 'kecewa', 'aplikasiya', 'dibuka', 'tolong', 'diperbaiki', '']</t>
  </si>
  <si>
    <t>['kecwa', 'telkomsel', 'masuk', 'tlkomsel', 'pulsa', 'abis', 'mohon', 'perbaiki', 'pengguan', 'telkomsel', 'taun', 'gni']</t>
  </si>
  <si>
    <t>['', 'semenjak', 'update', 'buka', 'samsung', '']</t>
  </si>
  <si>
    <t>['uninstal', 'instal', 'error', '']</t>
  </si>
  <si>
    <t>['fitur', 'kunci', 'pulsa', 'ngga', 'kehabisan', 'pulsa', 'otomatis']</t>
  </si>
  <si>
    <t>['moga', 'meriah', 'bonus', 'murahnya', 'beli', 'paketan', 'diluaran', 'thank', 'you', 'telkomsel', '']</t>
  </si>
  <si>
    <t>['pulsa', 'kesedot', 'mulu']</t>
  </si>
  <si>
    <t>['pengguna', 'telkomsel', 'harga', 'paket', 'mahal', 'sinyal', 'ilang', 'hadehhhhhhhhhh']</t>
  </si>
  <si>
    <t>['mantap', 'gampang', 'beli', 'paket']</t>
  </si>
  <si>
    <t>['bintang', 'deh', 'mah', 'cuman', 'seperempat', 'bintang', 'buka', 'mytelkomsel', 'susahnya', 'gila', 'aplikasi', 'ngak', 'niat', 'udah', 'bulakbalik', 'instal', 'tetep', 'ngak', 'cuman', 'ngeblank', 'putih', 'maunya', 'apeh', 'telkomsel']</t>
  </si>
  <si>
    <t>['knpa', 'semnjak', 'pembaruan', 'aplikasi', 'dibuka', 'berguna']</t>
  </si>
  <si>
    <t>['update', 'dibuka']</t>
  </si>
  <si>
    <t>['aplikasi', 'error', 'dibuka', 'blink', 'layar', 'putih', 'profesional', '']</t>
  </si>
  <si>
    <t>['white', 'screen', 'aplikasi', 'dipakai', 'udah', 'kualitas', 'aplikasi', 'buruk']</t>
  </si>
  <si>
    <t>['telkomselnya', 'nda', 'bsa', 'bukak', '']</t>
  </si>
  <si>
    <t>['promonya', 'gedek', 'makasih', 'telkomsel', '']</t>
  </si>
  <si>
    <t>['app', 'telkomsel', 'dibuka', '']</t>
  </si>
  <si>
    <t>['pelanggan', 'telkomsel', 'kecewa', 'banget', 'harga', 'udah', 'mahal', 'sinyal', 'full', 'lemot', 'kemaren', 'nggak', 'parah', '']</t>
  </si>
  <si>
    <t>['maaf', 'kasih', 'bintang', 'upgrade', 'versi', 'terbaru', 'aplikasinya', 'dibuka', 'kali', 'uninstal', 'instal', 'ttp', 'dibuka', '']</t>
  </si>
  <si>
    <t>['minggu', 'aplikasi', 'telkomsel', 'dibuka', 'blank', 'putih', 'grapari', 'dibilang', 'aplikasi', 'bermasalah', 'disuruh', 'nunggu', 'update', 'menunggu', '']</t>
  </si>
  <si>
    <t>['beli', 'paket', 'data', 'promo', 'pakai', 'akun', 'dana', 'ovo', 'isi', 'pulsa', '']</t>
  </si>
  <si>
    <t>['maaf', 'turunkan', 'bintang', 'desember', 'aplikasi', 'telkomsel', 'buka', 'setinggan', 'aplikasi', 'rusak', 'mohon', 'perbaiki', 'aplikasi', 'telkomsel']</t>
  </si>
  <si>
    <t>['sinyal', 'busuk', 'kuota', 'jaringan', 'kayak', 'siput', '']</t>
  </si>
  <si>
    <t>['guys', 'udah', 'update', 'aplikasi', 'ksl', 'gara', 'pas', 'masuk', 'aplikasinya', 'layar', 'putih', 'mulu', 'gue', 'kasih', 'solusinya', 'hps', 'aplikasi', 'mytelkomsel', 'unduh', 'aplikasi', 'aptoide', 'google', 'msk', 'aplikasi', 'izin', 'apk', 'semamcamnya', 'cri', 'aplikasi', 'mytelkomsel', 'scroll', 'diatas', 'pencet', 'aplikasinya', 'pencet', 'versi', 'pilih', 'unduh', 'prnh', 'update', 'aplikasi', 'dpt', 'update', 'hps', 'aplikasi', 'aptoide', 'butuh', '']</t>
  </si>
  <si>
    <t>['banyakin', 'promo', 'telkomsel', '']</t>
  </si>
  <si>
    <t>['setahun', 'koneksi', 'internetnya', 'parah', 'banget', 'siang', 'malam', 'super', 'lemot', 'harga', 'jaringan', 'internetnya', 'parah', 'andalkan', 'kecewa', 'parah', 'tolong', 'perbaiki', 'pengguna', 'telkomsel', 'mengeluh', '']</t>
  </si>
  <si>
    <t>['mahal', 'kuota', 'internetnya']</t>
  </si>
  <si>
    <t>['aplikasi', 'dibuka', 'udah', 'berusaha', 'banget', 'uninstall', 'trs', 'downlod', 'berulang', 'ulang', 'sinyalnya', 'jelek', 'paket', 'mahal', '']</t>
  </si>
  <si>
    <t>['knpa', 'til', 'buka', 'layar', 'putih', 'muncul']</t>
  </si>
  <si>
    <t>['aplikasinya', 'beli', 'paket', 'internet', 'merugikan']</t>
  </si>
  <si>
    <t>['knp', 'buka', 'aplikasi', 'udah', 'update', 'tolong', 'min', '']</t>
  </si>
  <si>
    <t>['tolong', 'jaringan', 'perbaikin', 'min', 'jaringan', 'rusak', 'banget', 'mohon', 'perhatikan', 'beli', 'quota', 'pakai', 'duit', 'ditanggung', 'bpjs', '']</t>
  </si>
  <si>
    <t>['kesini', 'hilang', 'respect', 'bumn', 'mahal', 'iya', 'jaringan', 'kagak', 'klow', 'laporan', 'suruh', 'nunggu', 'trus', 'kyak', 'bantuan', 'parahhhhh', 'mending', 'pakai', 'three', 'murah', 'jaringanya']</t>
  </si>
  <si>
    <t>['mytelkomsel', 'menampilkan', 'gambar', 'putih', 'isinya', 'device', 'samsung', 'download', 'kaga', 'dibuka', 'trimakasih', '']</t>
  </si>
  <si>
    <t>['', 'kurangi', 'bintangnyalahhhh', 'update', 'masuk', 'boro', 'loading', 'kaya', 'erorr', 'gitu', 'gimana', 'sich', '']</t>
  </si>
  <si>
    <t>['mytelkomsel', 'bagus']</t>
  </si>
  <si>
    <t>['parah', 'aplikasi', 'beli', 'paket', 'keterangan', 'conection', 'eror', 'tolong', 'terkait', 'diperbaiki', '']</t>
  </si>
  <si>
    <t>['aplikasinya', 'mantap', 'layananya', 'lengkap', 'promonya', 'hadiahnya', 'menggiurkan', '']</t>
  </si>
  <si>
    <t>['aplikasi', 'blang', 'layar', 'putih', 'keluhan', 'login', 'aplikasi', 'payah']</t>
  </si>
  <si>
    <t>['aplikasinya', 'lemot']</t>
  </si>
  <si>
    <t>['transaksi', 'mudah']</t>
  </si>
  <si>
    <t>['buka', 'perbaiki', 'pelanggan', 'lari']</t>
  </si>
  <si>
    <t>['bagus', 'responya', 'memuaskan', 'pelanggan']</t>
  </si>
  <si>
    <t>['jaringan', 'signal', 'susah', 'lemot', 'jaringam', 'terbesar', 'indonesia', 'menjamin', 'pelanggan', 'setia', 'telkomsel', 'kecewa', 'merekomendasikan', 'telkomsel', 'pemakaian', 'data', '']</t>
  </si>
  <si>
    <t>['', 'daerah', 'internet', 'telkomsel', 'msh', 'blm', '']</t>
  </si>
  <si>
    <t>['telkomsel', 'knp', 'min', 'tolong', 'perjelas']</t>
  </si>
  <si>
    <t>['masuk', 'menu', 'ngeblang', 'warna', 'putih']</t>
  </si>
  <si>
    <t>['paket', 'data', 'mahal', 'tolong', 'turunin', 'harga', 'kouta']</t>
  </si>
  <si>
    <t>['woi', 'signal', 'telkomsel', 'kek', 'kerasukan', 'cok', 'smpe', 'stres', 'makekny', 'klk', 'signal', 'orng', 'emosi', 'mending', 'gsh', 'bro', 'btw', 'doain', 'semoga', 'ganti', 'kartu', 'telkomsel', 'push', 'ngeleg', 'tolol']</t>
  </si>
  <si>
    <t>['membuka', 'aaplika', 'mytelkomsel']</t>
  </si>
  <si>
    <t>['', 'instal', 'kelayar', 'muncul', 'haya', 'putih', 'sinyal', 'timbul', 'tenggelam', 'kota', 'pinggiran', 'sesui', 'harga', 'kuota', 'mahal', '']</t>
  </si>
  <si>
    <t>['lumayan', 'asik', 'beli', 'paket']</t>
  </si>
  <si>
    <t>['maaf', 'kasih', 'bintang', 'telkomsel', 'lemot']</t>
  </si>
  <si>
    <t>['susah', 'buka', 'telkomsel', 'tolong', 'dipermudah', 'loading', '']</t>
  </si>
  <si>
    <t>['udah', 'mahal', 'lemot', 'aplikasi', 'bentar', 'mintak', 'upgrade', 'pulak', 'dubuka', 'aplikasinya', 'ngapain', 'upgrade', 'aplikasi', 'terbuka']</t>
  </si>
  <si>
    <t>['membantu', 'pengecekan', 'pulsa', 'kuota', 'data', '']</t>
  </si>
  <si>
    <t>['telokomsel', 'kaya', 'taiiii', 'paket', 'mahal', '']</t>
  </si>
  <si>
    <t>['membantu', 'dikala', 'apapun', 'semoga', '']</t>
  </si>
  <si>
    <t>['mantap', 'live', 'game', 'lancar', 'cuman', 'kadang', 'kadang', 'lag']</t>
  </si>
  <si>
    <t>['bagus', 'kecepatan', 'internet', 'normal', 'tolong', 'baguskan', 'paket', 'combo', 'saktinya', 'jangn', 'mahal', 'trus', 'harganya', '']</t>
  </si>
  <si>
    <t>['layar', 'putih', 'aplikasi', 'buka', 'uninstall', 'berkali', 'kali', 'paraah', '']</t>
  </si>
  <si>
    <t>['tolong', 'kurangin', 'beban', 'beli', 'paketnya', 'telkomsellllllllllll']</t>
  </si>
  <si>
    <t>['aplikasi', 'dibuka', 'layar', 'putih', 'kosong', '']</t>
  </si>
  <si>
    <t>['', 'inisiatif', 'benerin', 'sinyalmu', 'buruk', 'kah', 'tlkmsl', 'jelek']</t>
  </si>
  <si>
    <t>['minggu', 'aplikasi', 'buka', 'beli', 'data', 'aplikasi', 'aplikasinya', 'kayak', 'gini']</t>
  </si>
  <si>
    <t>['telkomsel', 'terhormat', 'kamukan', 'cinta', 'pertamaku', 'biasakah', 'biaya', 'paketku', 'ditambahi', 'mohon', 'dipertimbangkan', 'nasib', 'pengen', 'thr', 'paket', 'pulsa', 'setahun', 'makasih']</t>
  </si>
  <si>
    <t>['kesal', 'pulsa', 'digasak', 'paket', 'data', 'habis', 'konfirmasi', 'apapun', 'pulsa', 'habis', 'sms', 'tarif', 'internet', 'non', 'paket', 'pas', 'cek', 'pulsa', 'udh', 'pdhal', 'pulsa', 'diisi', 'rb', 'topup', 'dasar', 'maling', 'simpati', 'telkomsel', '']</t>
  </si>
  <si>
    <t>['kasi', 'bintang', 'jaringan', 'telkomsel', 'buruk', 'desa', 'penfui', 'timur', 'ntt', 'jaringan', 'jumping', 'harga', 'mahal', 'sesuai', 'kualitas', '']</t>
  </si>
  <si>
    <t>['lancar', 'diperbaharui', 'blank', 'pitih', 'doank']</t>
  </si>
  <si>
    <t>['suka', 'aplikasi', 'debeesssss', '']</t>
  </si>
  <si>
    <t>['pengguna', 'setia', 'aplikasi', 'telkomsel', 'kecewa', 'desember', 'aplikasi', 'dibuka', 'blank', 'warna', 'putih', 'thox', 'mohon', 'diperbaiki', 'telkomsel', 'terima', 'kasih', '']</t>
  </si>
  <si>
    <t>['sinyalnya', 'stabil', 'mytelkomsel', 'ngak', 'dibuka', 'layar', 'putih', 'mohon', 'diperhatikan', '']</t>
  </si>
  <si>
    <t>['dapet', 'hadia']</t>
  </si>
  <si>
    <t>['habis', 'paket', 'utama', 'sisa', 'paket', 'unlimited', 'lelet', 'biasaaaa', 'susah', 'main', 'game']</t>
  </si>
  <si>
    <t>['apk', 'oke', 'paketan', 'mahal', 'beda', 'paketan', 'sebelah', 'harganya', 'murah']</t>
  </si>
  <si>
    <t>['tingkat', 'promo', 'telkomsel', 'nyaa']</t>
  </si>
  <si>
    <t>['nukar', 'koin', 'bsa', 'klu', 'bsa', 'puh', 'hrs', 'pke', 'plsa', 'mls', 'ahh', 'mndi', 'mke', 'krtu', 'sblh', 'bsa', 'muka', 'koin', 'dga', 'paket', 'data', 'trs', 'mtong', 'plsa', 'klu', 'nukar', 'koin', 'hrs', 'plsa', 'pecma', 'koin', 'tpi', 'bsh', 'tukar']</t>
  </si>
  <si>
    <t>['bintang', 'aplikasi', 'cacat', 'dibuka', 'kecewa', 'banget', 'nget', 'nget', 'telkomsel', '']</t>
  </si>
  <si>
    <t>['', 'aplikasih', 'buka', '']</t>
  </si>
  <si>
    <t>['kali', 'cot', 'kelen', 'suruh', 'inila', 'cht', 'inilaa', 'ngewakili', 'semuanyaa', 'ribetin', 'butuh', 'telkomsel', 'lagii', '']</t>
  </si>
  <si>
    <t>['apknya', 'keputihan', 'dibuka']</t>
  </si>
  <si>
    <t>['paraaaaah', 'skrg', 'telkomsel', 'massa', 'kena', 'zona', 'beli', 'paketan', 'daerah', 'nyesel', 'skrg', 'ngsi', 'paketan', 'simpati', 'kena', 'zona', 'pas', 'dftar', 'daftar', 'kampung', '']</t>
  </si>
  <si>
    <t>['tarif', 'internet', 'mahal', 'jarang', 'isi', 'pulsa', 'dpt', 'kuota', 'internet', 'gratis', 'terima', 'kasih']</t>
  </si>
  <si>
    <t>['maap', 'aplikasi', 'buka', 'warna', 'putih', 'muncul']</t>
  </si>
  <si>
    <t>['suka', 'aplikasi', 'membantu', '']</t>
  </si>
  <si>
    <t>['bermanfaat', 'lihat', 'paket', 'beli']</t>
  </si>
  <si>
    <t>['mudah', 'beli', 'pulsa', 'aplikasi', 'telkomsel', 'dibuka', 'telkomsel', 'trabel', 'aplikasi', 'telkomsel', 'dibuka', '']</t>
  </si>
  <si>
    <t>['buka', 'aplikasi', 'tolong', 'perbaiki', '']</t>
  </si>
  <si>
    <t>['bsa', 'dibuka']</t>
  </si>
  <si>
    <t>['apk', 'bagus', 'menyukai', '']</t>
  </si>
  <si>
    <t>['mentang', 'udh', 'upgrade', 'udh', 'dukung', 'sistem', 'app', 'tengok']</t>
  </si>
  <si>
    <t>['bagus', 'mempermudah', '']</t>
  </si>
  <si>
    <t>['main', 'pubg', 'nge', 'lag', 'main', 'mobile', 'legend', 'nge', 'lag', 'harganya', 'mahal', 'sinyal', 'ngelag', 'dahlah', '']</t>
  </si>
  <si>
    <t>['buatkan', 'paket', 'murah', 'pemakai', 'telkomsel', 'orang']</t>
  </si>
  <si>
    <t>['busuk', 'aplikasi', 'buka', 'blank', 'putih', 'beli', 'paket', '']</t>
  </si>
  <si>
    <t>['', 'aktifin', 'paket', 'sedot', 'pulsa', 'mencuri', 'uang', 'rela', 'sedot', 'pulsanya', 'dasar', 'pencuri', '']</t>
  </si>
  <si>
    <t>['sinyal', 'internet', 'oke']</t>
  </si>
  <si>
    <t>['aplikasi', 'dibuka', 'kecewaaaa', 'dibuka', 'bintangnya', 'berubah', '']</t>
  </si>
  <si>
    <t>['mahal', 'sinyal', 'bab', '']</t>
  </si>
  <si>
    <t>['kirain', 'doang', 'layarnya', 'putih', 'pas', 'buka', 'kesengajaan', 'konsumen', 'beralih', 'telkomsel', 'bumn', 'tutup', 'diganti', 'swasta', '']</t>
  </si>
  <si>
    <t>['indonesian', 'sehat', 'damai', 'makmur']</t>
  </si>
  <si>
    <t>['difix', 'android', '']</t>
  </si>
  <si>
    <t>['knp', 'masuk', 'buka', 'aplikasi']</t>
  </si>
  <si>
    <t>['telkomsel', 'bloon', 'beli', 'paket', 'susah', 'pulsa', 'beli', 'paket', 'bloon', '']</t>
  </si>
  <si>
    <t>['loading', 'buka', 'aplikasi', 'telkomsel', 'jelek', 'fermormanya']</t>
  </si>
  <si>
    <t>['update', 'terbuka']</t>
  </si>
  <si>
    <t>['kadang', 'eror']</t>
  </si>
  <si>
    <t>['aplikasi', 'pas', 'dibuka', 'susah']</t>
  </si>
  <si>
    <t>['aplikasi', 'taik', 'terbuka', 'berkali', 'kali', 'download', 'ulang', 'terbuka', 'bgsat']</t>
  </si>
  <si>
    <t>['perbaiki', 'sperti', 'pembelian', 'paket', 'berulang', 'karna', 'pembelian', 'proses', 'terfikir', 'proses', 'gagal', 'lakukan', 'pembelian', 'paket', 'beda', 'kali', 'batalkan', 'proses', 'ketiga', '']</t>
  </si>
  <si>
    <t>['maaf', 'kali', 'kasih', 'bintang', 'akhr', 'kecepatan', 'internetnya', 'lambat', 'daerah', 'susah', 'hubungi', 'layanan', 'aplikasi', '']</t>
  </si>
  <si>
    <t>['alhamdulillah', 'udah', 'promonya', 'irit', 'uang', 'promonya', 'sinyalnya', 'buruk', 'banget', 'tolong', 'diperbaiki', 'kirim', 'tugas', 'terlambat', 'kadang', 'sampe', 'berjam', 'nunggu', 'terkirim']</t>
  </si>
  <si>
    <t>['manambahkan', 'nomor', 'aplikasi', 'berguna', '']</t>
  </si>
  <si>
    <t>['harga', 'mahal', 'kualitas', 'sinyal', 'memuaskan', 'tolong', 'dunkk', 'diperbaiki', 'jenuh', 'aplikasi', 'berjalan', 'loading', 'mulu']</t>
  </si>
  <si>
    <t>['', 'nggk', 'dibuka', 'udh', 'uninstal', 'dwonload', 'tetep', 'nggk', 'dibuka', 'layar', 'putih', '']</t>
  </si>
  <si>
    <t>['kemana', 'tukar', 'poin', 'saldo', 'linkaja', 'admin', '']</t>
  </si>
  <si>
    <t>['suka', 'banget', 'pokoknya']</t>
  </si>
  <si>
    <t>['harga', 'paket', 'kuota', 'rubah', 'rubah', 'mulu', 'paket', 'dipakai', 'muncul', 'jaringan', 'buruk', 'sekelas', 'bumn']</t>
  </si>
  <si>
    <t>['paket', 'mahal', 'sinyal', 'suka', 'error']</t>
  </si>
  <si>
    <t>['wahahaha', 'ulasan', 'penuh', 'emosi', 'hapus', 'emang', 'keliatan', 'bagus', 'emang', 'telkomsel', 'beli', 'paket', 'sebulan', 'kali', 'harga', 'dinaikin', 'nyentuh', 'angka', 'hemat', 'kebutuhan', 'kuliah', 'online', 'bayangin', 'naikin', 'mahal', 'uda', 'royal', 'beli', 'paket', 'telkomsel', 'kualitas', 'jelek', 'harga', 'mahal', '']</t>
  </si>
  <si>
    <t>['bagus', 'tetab', 'tingkatkan', '']</t>
  </si>
  <si>
    <t>['didownload', 'dibuka', 'kecewa']</t>
  </si>
  <si>
    <t>['apl', 'dpt', 'dibuka']</t>
  </si>
  <si>
    <t>['aplikasinya', 'dibuka', 'jelek', 'banget', 'karna', 'jaringan', 'emang', 'aplikasinya', 'eror', 'sya', 'uninstal', '']</t>
  </si>
  <si>
    <t>['mntp', 'cepat', '']</t>
  </si>
  <si>
    <t>['aplikasi', 'tita']</t>
  </si>
  <si>
    <t>['masuk', 'aplikasi', 'masuk', 'aplikasinya', 'warna', 'putih', 'tolong', 'perbaiki']</t>
  </si>
  <si>
    <t>['aplikasinya', 'oke', 'banget', 'membantu', 'cek', 'paket', 'beli', 'pulsa', 'bayar', 'shopeepay', 'poko', 'mantap']</t>
  </si>
  <si>
    <t>['puas', 'layananan', 'mytelkomsel']</t>
  </si>
  <si>
    <t>['aplikasi', 'telkomsel', 'rusak']</t>
  </si>
  <si>
    <t>['pulsa', 'kesedot', 'transaksi']</t>
  </si>
  <si>
    <t>['mantap', 'promonya', '']</t>
  </si>
  <si>
    <t>['pulsa', 'ribuku', 'hilang', 'quota', 'sehari', 'lakuin', 'habisin', 'uang']</t>
  </si>
  <si>
    <t>['paket', 'mahal', 'jaringan', 'parah', 'ngeleg']</t>
  </si>
  <si>
    <t>['harga', 'berkali', 'kali', 'lipat', 'merakyat', 'maaf', 'bintang', 'turunkan', '']</t>
  </si>
  <si>
    <t>['trimakasi', 'memudakan']</t>
  </si>
  <si>
    <t>['heran', 'ngisi', 'rbu']</t>
  </si>
  <si>
    <t>['', 'apk', 'skarng', 'bsa', 'buka', 'eror', 'trs', 'masi', 'buka', 'plis', 'perbaikin', 'apk', 'knpa', 'pas', 'apded', 'bsa', 'bka']</t>
  </si>
  <si>
    <t>['pengguna', 'telkomsel', 'sinyal', 'telkomsel', 'buruk', 'tolong', 'perbaikannya', 'tolol']</t>
  </si>
  <si>
    <t>['bos', 'aplikasi', 'buka', '']</t>
  </si>
  <si>
    <t>['maaf', 'aplikasi', 'buka', 'kemarin', 'buka', 'trimakasih', '']</t>
  </si>
  <si>
    <t>['harga', 'mahal', 'jaringan', 'lemot', 'smoga', 'perbaiki']</t>
  </si>
  <si>
    <t>['berulang', 'ndownload', 'buka']</t>
  </si>
  <si>
    <t>['aplikasi', 'telkomsel', 'terbuka', '']</t>
  </si>
  <si>
    <t>['parah', 'jaringannya', 'emang', 'perbaikan', '']</t>
  </si>
  <si>
    <t>['dibuka', 'aplikasi', 'telkomsel', 'emang', 'telkomsel', 'perbaiki', 'ngakunya', 'jaringan', 'terbesar', 'indonesia', 'keluhan', 'konsumen', 'ditanggapi', 'pelayanan', 'buruk']</t>
  </si>
  <si>
    <t>['udah', 'buka', 'aplikasinya', 'hapus', 'aplikasinya', 'sampe', 'kabar', 'klu', 'aplikasinya', 'mohon', 'maaf', 'kasih', 'bintang', '']</t>
  </si>
  <si>
    <t>['semoga', 'promonya']</t>
  </si>
  <si>
    <t>['update', 'aplikasi', 'mytelkomsel', 'dibuka', 'coba', 'uninstall', 'install', 'ulang', 'kebuka', 'aplikasinya', 'henk', 'mohon', 'perbaikannya', 'tks']</t>
  </si>
  <si>
    <t>['tolong', 'min', 'apk', 'ngak', 'bukak', 'udah', 'hpus', 'instal', 'ttap', 'ngak']</t>
  </si>
  <si>
    <t>['mahal', 'paketnya', '']</t>
  </si>
  <si>
    <t>['paket', 'internet', 'habis', 'langsung', 'potong', 'harian', 'pemberitahuan', 'pulsa', 'berkurang', 'pemberitahuan']</t>
  </si>
  <si>
    <t>['okey', 'membantu']</t>
  </si>
  <si>
    <t>['berrti', 'permasalahan', 'telkomsel', 'white', 'screen', 'mnt', 'telkomsel', 'sgra', 'bertindk', 'karna', 'udh', 'telkomsel', 'kartu', 'gede', 'pernh', 'gnti', 'nomor', 'ampek', 'skrg']</t>
  </si>
  <si>
    <t>['minggu', 'buka', 'mytelkomsel', 'cek', 'sisa', 'kuota', 'gerangan', 'aplikasi', 'mytelkomsel', 'buka', 'mohon', 'perhatian']</t>
  </si>
  <si>
    <t>['buka', 'aplikasi', 'udah', 'minggu', 'buka', 'susah', 'beli', 'kuota', 'ngecek', 'tolong', 'donk', 'tindak', 'lanjutin', '']</t>
  </si>
  <si>
    <t>['aplikasi', 'telkomsel']</t>
  </si>
  <si>
    <t>['banget', 'logout']</t>
  </si>
  <si>
    <t>['jelek', 'login']</t>
  </si>
  <si>
    <t>['sangatt', 'bgus', 'aplikasi', '']</t>
  </si>
  <si>
    <t>['langganan', 'kadang', 'suka', 'ngga', 'buka']</t>
  </si>
  <si>
    <t>['telkomsel', 'puas', 'hati']</t>
  </si>
  <si>
    <t>['mengalami', 'penurunan', 'kualitas', 'jaringan', 'minggu', 'bln', 'desember', '']</t>
  </si>
  <si>
    <t>['udh', 'bbrp', 'aplikasinya', 'dibuka', 'uninstall', 'install', 'ulang', 'buka', 'merugikan']</t>
  </si>
  <si>
    <t>['upgrid', 'buka', 'ngebleng', 'layar', 'putih']</t>
  </si>
  <si>
    <t>['oke', 'banget', 'bos']</t>
  </si>
  <si>
    <t>['', 'update', 'membagus', 'memburuk', 'layar', 'putih', 'doang']</t>
  </si>
  <si>
    <t>['parah', 'apk', 'gkk', 'dipakai', 'update', 'nggak', '']</t>
  </si>
  <si>
    <t>['koin', 'sya', 'tukar', 'uang', 'suda', 'masukin', 'alamat', 'sma', 'fsbuk', 'google', 'nam']</t>
  </si>
  <si>
    <t>['mudah', 'memakai', 'bnyak', 'diskon', 'bonus', 'jdi', 'mantap']</t>
  </si>
  <si>
    <t>['bagus', 'paketnya', 'sesuai', 'harga']</t>
  </si>
  <si>
    <t>['parah', 'aplikasi', 'dibuka']</t>
  </si>
  <si>
    <t>['jaringan', 'lemah', 'mahal', 'aplikasi', 'susah', 'dibuka', 'sampah', 'pokoknya']</t>
  </si>
  <si>
    <t>['tarif', 'mahal', 'signal', 'stabil', 'payah']</t>
  </si>
  <si>
    <t>['telkomsel', 'lemot', 'gini', 'buka', 'aplikasi', 'muter']</t>
  </si>
  <si>
    <t>['ampir', 'seminggu', 'aplikasi', 'telkomsel', 'buka', 'bleng', 'putih', 'mulu']</t>
  </si>
  <si>
    <t>['sagat', 'mebatu']</t>
  </si>
  <si>
    <t>['bagus', 'mantap']</t>
  </si>
  <si>
    <t>['sukses', 'telkomsel', 'kartu', 'halo']</t>
  </si>
  <si>
    <t>['signalnya', 'perbaiki']</t>
  </si>
  <si>
    <t>['versi', 'terpaksa', 'cari', 'versi', 'lawas', 'tolong', 'diperbaiki']</t>
  </si>
  <si>
    <t>['heran', 'penyedia', 'jaringan', 'apknya', 'lelet', 'banget', 'susah', 'buka', 'apk', 'model', 'coba', '']</t>
  </si>
  <si>
    <t>['pelayananx', '']</t>
  </si>
  <si>
    <t>['habis', 'upgrade', 'aplikasinya', 'buka', '']</t>
  </si>
  <si>
    <t>['malas', 'telkomsel', 'suka', 'logout', 'logout', 'login', 'truuss']</t>
  </si>
  <si>
    <t>['susah', 'dibuka', 'lamaaaa', '']</t>
  </si>
  <si>
    <t>['telkomsel', 'oyee']</t>
  </si>
  <si>
    <t>['semoga', 'membawa', 'berkah', '']</t>
  </si>
  <si>
    <t>['putih', 'layarnya', 'aplikasi', 'kebuka', 'segitu', 'pembaharuan', 'terbaru']</t>
  </si>
  <si>
    <t>['perluas', 'jaringan', 'jawa', 'barat', 'wilayah', 'kab', 'sukabumi', 'kab', 'cianur', 'terutaman', 'wilayah', 'jampang', 'selatan', 'terimakasih']</t>
  </si>
  <si>
    <t>['karna', 'kemain', 'maj', 'masuk', 'layarnya', 'putih', 'instal', 'ulang', 'sungguh', 'mengecewakan', 'bumn', 'lho', 'profider', 'suwasta', '']</t>
  </si>
  <si>
    <t>['harini', 'aplikasi', 'dibuka', 'muncul', 'layar', 'putih', 'blank', 'mohon', 'diperbaiki', '']</t>
  </si>
  <si>
    <t>['buka', 'mytelkomsel', 'google', 'aplikasi', 'udah', '']</t>
  </si>
  <si>
    <t>['aplikasi', 'telkomsel', 'lelet', 'ram', 'wifi', 'diatas', 'kepala', 'menara', 'telkomsel', 'meter', 'lelet']</t>
  </si>
  <si>
    <t>['penukaran', 'point', 'skrng', 'ribet', 'point', 'sebentar', 'hangus', 'harapan', 'point', 'dpt', 'tukarkan', 'pulsa', 'mudah', 'kasih', 'bintang', '']</t>
  </si>
  <si>
    <t>['susah', 'dibuka', 'muncul', 'layar', 'putih']</t>
  </si>
  <si>
    <t>['harga', 'paketan', 'murah', 'mahal', 'disaat', 'update', 'aplikasi', 'muncul', 'telkomsel', 'rusakk', 'layar', 'putih', 'tolong', 'perbaiki', 'penilaian', 'menurun', 'spti', '']</t>
  </si>
  <si>
    <t>['app', 'buka', 'perbaikan', 'telkomsel', 'maunya', 'cari', 'untung', 'telkomsel', '']</t>
  </si>
  <si>
    <t>['', 'dibuka', 'udah', 'apdet']</t>
  </si>
  <si>
    <t>['udah', 'minggu', 'mytelkomsel', 'dibuka', 'semenjak', 'perbarui', 'mohon', 'bantuannya', 'tsel']</t>
  </si>
  <si>
    <t>['aplikasi', 'bagus', 'paket', 'nyapun', 'murah', 'ngga', 'bagus', 'sinyal', 'sayah', 'katru', 'maytelkomsel', 'sampe', 'paket', 'nyapun', 'murah']</t>
  </si>
  <si>
    <t>['harga', 'paket', 'internet', 'slalu', 'sinyal', 'full', 'tpai', 'lemot', 'telkomsel', 'dibuka', 'blank', 'putih', 'payah', 'telkomsel', 'malas', 'pakai', 'telkomsel']</t>
  </si>
  <si>
    <t>['maaf', 'turunkan', 'karna', 'aplikasinya', 'buka', '']</t>
  </si>
  <si>
    <t>['paket', 'loooper', 'mahal', '']</t>
  </si>
  <si>
    <t>['aplikasi', 'lelet', 'bukanya']</t>
  </si>
  <si>
    <t>['lambat', 'penangannya', 'seeta', 'kooperatif']</t>
  </si>
  <si>
    <t>['update', 'versi', 'terbaru', 'aplikasi', 'telkomsel', 'dibuka', 'menampilkan', 'layar', 'putih', 'tolong', 'perbaiki', 'device', 'samsung', '']</t>
  </si>
  <si>
    <t>['jaringan', 'stabil', '']</t>
  </si>
  <si>
    <t>['white', 'blank', 'layar', 'pas', 'buka', 'aplikasi', 'uninstall', 'install', 'ulang', 'tetep', 'berubah', 'mohon', 'feedback', 'telkomsel']</t>
  </si>
  <si>
    <t>['kecewa', 'banget', 'udah', 'perbarui', 'susah', 'banget', 'masuknya', '']</t>
  </si>
  <si>
    <t>['bag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s', 'banget', 'apl', '']</t>
  </si>
  <si>
    <t>['apliksi', 'penipu', 'aplikasi', 'buka']</t>
  </si>
  <si>
    <t>['aplikasi', 'telkomsel', 'berpungsi', 'isi', 'pulsa', 'sbgainya', 'tolong', 'diperbaiki', 'pengguna', 'card', 'telkomsel', 'dirugikan', '']</t>
  </si>
  <si>
    <t>['kenyamanan', 'kemudahan', 'mengakses', 'informasi', 'komunikasi', 'poin', 'menarik']</t>
  </si>
  <si>
    <t>['hai', 'telkomsel', 'suda', 'hubungi', 'oprator', 'perbaiki', 'jaringan', 'internet', 'jelek', 'ditempatku', 'tpi', 'blum', 'perubahan']</t>
  </si>
  <si>
    <t>['udah', 'minggu', 'app', 'telkomsel', 'buka', 'buka', 'layar', 'putih', 'gamna', '']</t>
  </si>
  <si>
    <t>['membantu', 'sekaliii']</t>
  </si>
  <si>
    <t>['mytelkomsel', 'diupdate', 'pas', 'masuk', 'white', 'screen', 'tolong', 'telkomsel', 'diperbaiki', 'pengguna', 'nyaman', 'masuk', 'kepuaasan', 'penggunaan', 'berguna', '']</t>
  </si>
  <si>
    <t>['terbaik', 'deh', 'pokoknya', 'paket', 'murah', 'aplikasi', 'terimakasih', 'telkomsel', '']</t>
  </si>
  <si>
    <t>['', 'tingkatkan', 'sinyal', 'dipermurah', 'paketanya']</t>
  </si>
  <si>
    <t>['fungsinya', 'kaya', 'mode', 'manual']</t>
  </si>
  <si>
    <t>['lokasi', 'pengguna', 'lelet', 'jaringan', 'data', 'internet', '']</t>
  </si>
  <si>
    <t>['telkomsel', 'adil', 'masak', 'pelanggan', 'paket', 'mahal', 'kartu', 'modal', 'rb', 'gb', 'aktif', 'kartu', 'mahal', 'harga', 'paketnya']</t>
  </si>
  <si>
    <t>['jaringan', 'lemot', 'semenjak', 'ganti', 'xiomi', 'note', 'jaringan', 'stabil', 'main', 'tolong', 'telkom']</t>
  </si>
  <si>
    <t>['mudah', 'dimengerti']</t>
  </si>
  <si>
    <t>['mytelkomsel', 'jarak', '']</t>
  </si>
  <si>
    <t>['selesai', 'update', 'mlah', 'dibuka', 'layar', 'putih', '']</t>
  </si>
  <si>
    <t>['rusak', 'teh', '']</t>
  </si>
  <si>
    <t>['aplikasinya', 'udah', 'bagus', 'tpi', 'aplikasinya', 'lemot']</t>
  </si>
  <si>
    <t>['rekomeded']</t>
  </si>
  <si>
    <t>['parah', 'minggu', 'error', 'aplikasinya', 'layar', 'berwarna', 'putih', 'polos', 'ditunggu', 'jam', 'respon', '']</t>
  </si>
  <si>
    <t>['tolong', 'fitur', 'penguncian', 'pulsa', 'pulsa', 'tersisa', 'habis', 'kuota', 'internet', 'melebihi', 'batas', 'maksimal', 'penggunaan']</t>
  </si>
  <si>
    <t>['mantap', 'jaringan', 'telkomsel']</t>
  </si>
  <si>
    <t>['mempermudah', 'pelanggan', 'dlm', 'bertransaksi', 'pulsa', 'kuota', 'promo', 'ditampilkan']</t>
  </si>
  <si>
    <t>['', 'masuk', 'aplikasi', 'gmn', 'kerja', '']</t>
  </si>
  <si>
    <t>['tolong', 'perbaiki', 'sistemnya', 'pelanggan', 'mengeluhkan', 'membuka', 'app', 'telkomsel', 'layar', 'putih', '']</t>
  </si>
  <si>
    <t>['anak', 'haram', 'babi', 'benering', 'anjing', 'jaringannya', 'syetan', 'mending', 'ganti', 'operator', 'kah', 'anjing', 'anjing']</t>
  </si>
  <si>
    <t>['kurangi', 'mahal', 'harga', 'paket']</t>
  </si>
  <si>
    <t>['applikasi', 'mytelkomsel', 'bagus', 'membantu', 'bertransaksi', 'pulsa', 'internet', '']</t>
  </si>
  <si>
    <t>['perbaiki', 'bagus', 'main', 'game', 'perbanyak', 'bonus', 'internet', 'murah']</t>
  </si>
  <si>
    <t>['perkenalkan', 'akun', 'pengguna', 'mengenalnya']</t>
  </si>
  <si>
    <t>['buka', 'apl', '']</t>
  </si>
  <si>
    <t>['membantu', 'terima', 'kasih', 'telkomsel']</t>
  </si>
  <si>
    <t>['aplikasi', 'sampah', 'layar', 'putih', 'doang', '']</t>
  </si>
  <si>
    <t>['oke', 'telkomsel']</t>
  </si>
  <si>
    <t>['', 'suka', 'telkomsel', 'jaringannya', 'emang', 'luas', 'harga', 'mahal', 'disaat', 'tmn', 'signal', 'disuatu', 'daerah', 'signal', 'knpa', 'paket', 'unlimitednya', 'hati', 'dongkol', 'lemotnya', 'subhanallah', 'emosi', 'trs', 'signal', 'full', 'lemotnya', 'ampun', 'beda', 'unlimited', 'provider', 'sebelah', 'internet', 'reguler', 'mencoba', 'unlimited', 'coba', 'dibikin', 'emosi', 'paket', 'unlimited', '']</t>
  </si>
  <si>
    <t>['samgat', 'senang', 'hati']</t>
  </si>
  <si>
    <t>['hello', 'developer', 'aplikasinya', 'ngestuck', 'putih', 'check', 'paket', 'daily', 'check', 'dll', 'pliss', 'apklikasinya', 'udah', 'daily', 'check', 'diperpanjang', 'sesuai', 'apknya', 'error', 'pliss', 'merugikan', 'pengguna', 'berhak', 'memakai', 'aplikasi', 'ndak', 'ngapain', 'iklan', 'gratis', 'apk', 'error', 'mulu', 'baca', 'komen', 'balas', '']</t>
  </si>
  <si>
    <t>['gua', 'beli', 'kartu', 'telkomsel', 'sinyal', 'suka', 'ilang', 'kaga', 'gua', 'nyesel', 'ganti', 'kartu', 'gini', '']</t>
  </si>
  <si>
    <t>['layar', 'putih', 'doang', '']</t>
  </si>
  <si>
    <t>['kasih', 'paket', 'telkom', 'free']</t>
  </si>
  <si>
    <t>['parah', 'telkomsel', 'bobrok']</t>
  </si>
  <si>
    <t>['lumayan', 'membantu', '']</t>
  </si>
  <si>
    <t>['mantap', 'kasih', 'promo', 'makasih', 'telkomsel']</t>
  </si>
  <si>
    <t>['gimana', 'gampang', 'gini', 'udah', 'layar', 'putih', 'update', 'tolong', 'cepat', 'diperbaiki', 'karna', 'aplikasi', 'membantu', '']</t>
  </si>
  <si>
    <t>['paketan', 'harga', 'rb', 'sinyal', 'buruk', 'kouta', 'sisa', 'semoga', 'pelanggan', 'betah']</t>
  </si>
  <si>
    <t>['telkomsel', 'sialan', 'kemarin', 'beli', 'tinggal', 'mb', 'kuota', 'mahal', 'kek', 'ajig']</t>
  </si>
  <si>
    <t>['tolong', 'perbaiki', 'telkomsel']</t>
  </si>
  <si>
    <t>['kadang', 'ngadat', 'ditutup', 'prosesnya', '']</t>
  </si>
  <si>
    <t>['sinyal', 'telkomsel', 'busuk', 'banget', 'pengguna', 'kecewa', 'banget']</t>
  </si>
  <si>
    <t>['sinyal', 'pondok', 'padalarang', 'indah', 'bar', '']</t>
  </si>
  <si>
    <t>['gagal', 'undian', 'memasukkan', 'otp']</t>
  </si>
  <si>
    <t>['payah', 'banget', 'aplikasi', 'mggu', 'buka', 'kemaren', 'membantu', 'payah', '']</t>
  </si>
  <si>
    <t>['jelek', 'banget', 'telkomsel', 'pakai', 'internet', 'sim', 'sim', 'telkomsel', 'ambil', 'pulsanya', 'gimana']</t>
  </si>
  <si>
    <t>['najis', 'gue', 'langganan', 'telkomsel', 'mubazir', 'duit', 'mending', 'gue', 'sumbangin', 'fakir', 'ngak', 'masjid', 'kuota', 'doang', 'mahal', 'jaringan', 'lelet', 'bener', 'ngak', 'sesuai', 'harga', 'kuota', 'ama', 'jaringan']</t>
  </si>
  <si>
    <t>['buka', 'aplikasi', 'susah', 'respon', '']</t>
  </si>
  <si>
    <t>['deskripsi', 'paket', 'internet']</t>
  </si>
  <si>
    <t>['membantu', 'promo', '']</t>
  </si>
  <si>
    <t>['', 'telkomsel', 'emang', 'terbaik', 'pelayanan', 'pelanggan', '']</t>
  </si>
  <si>
    <t>['keweca', 'banget', 'sob', 'bli', 'kouta', 'jam', 'sehari', 'giga', 'pas', 'malam', 'kouta', 'habis', 'gimana', 'cerita', 'sob', 'sejam', 'udah', 'habis']</t>
  </si>
  <si>
    <t>['top', 'banget', 'terimakasih', 'telkomsel']</t>
  </si>
  <si>
    <t>['suka', 'sinyal', 'kuat', 'telkomsel']</t>
  </si>
  <si>
    <t>['operator', 'termahal', 'sinyal', 'super', 'lemot', 'tersebar', 'indonesia', 'sampe', 'ujung', 'kulon']</t>
  </si>
  <si>
    <t>['pelanggan', 'kabur', 'bos', 'kya', 'gini', 'apk', 'blank', 'tolong', 'perbaiki', 'kabur', 'saran', 'sayangkan', 'pengguna', 'dri', 'kcwa', 'telkomsel']</t>
  </si>
  <si>
    <t>['aplikanya', 'buka', 'perbarui', 'mohon', 'tindak', 'lanjuti']</t>
  </si>
  <si>
    <t>['turun', 'harga', 'data', 'internet']</t>
  </si>
  <si>
    <t>['berat', 'telkom', 'jadii', 'masuk']</t>
  </si>
  <si>
    <t>['beli', 'telkom', 'anjing', 'siyal', 'burik', 'kaya']</t>
  </si>
  <si>
    <t>['makasih', 'developer', 'terinstal', 'android', 'diperbaiki', '']</t>
  </si>
  <si>
    <t>['layanan', 'jaringan', 'mantap', 'area', 'telkomsel', 'tiada', 'duanya']</t>
  </si>
  <si>
    <t>['sinyal', 'anjing', 'susah', 'banget', 'ngegame', 'asuuu', 'ngeneh']</t>
  </si>
  <si>
    <t>['tolong', 'diperbaiki', 'sinyal', 'mahalnya', 'doang']</t>
  </si>
  <si>
    <t>['aplikasi', 'kadang', 'kadang', 'buka']</t>
  </si>
  <si>
    <t>['kemarin', 'tgl', 'des', 'des', 'aplikasinya', 'blank', 'putih', 'hapus', 'cache', 'hapus', 'data', 'reinstal', 'aplikasi', 'kali', 'blank', 'putih', 'sekelas', 'tekomsel', 'masak', 'kayak', 'gini', 'pelayanannya', 'maaf', 'kecewa', '']</t>
  </si>
  <si>
    <t>['kuota', 'game', 'hapus', 'gaada', '']</t>
  </si>
  <si>
    <t>['banyakin', 'kurangi', 'harga']</t>
  </si>
  <si>
    <t>['suka', 'kartu', 'kadang', 'lambat', 'main', 'roblox', 'sampe', 'ping', 'pas', 'main', 'bedwars', 'freeze', 'trus', 'susah', 'banget', 'kadang', 'kadang', 'enak', 'berat', 'game', 'lancar', 'kayak', 'suka', 'mohon', 'percepat', 'internet', 'suka', 'kartu']</t>
  </si>
  <si>
    <t>['sanggat', 'membantu']</t>
  </si>
  <si>
    <t>['makasih', 'udah', 'ngasih', 'paket', 'disney', 'plus']</t>
  </si>
  <si>
    <t>['kasihnrating', 'full', 'syarat', 'ketentuannya', 'kasih', 'kemurahan', 'beli', 'pulsa', 'paket', 'murahin', '']</t>
  </si>
  <si>
    <t>['aplikasi', 'maling', 'pulsa', 'kon', 'masak', 'cma', 'dtk', 'beli', 'paket', 'maling', 'pulsa', 'ribu', 'paket', 'masuk', 'njing', 'asuue', 'delete', 'aplikasi', 'merugikan', 'ihklas', 'makan', 'pulsa', '']</t>
  </si>
  <si>
    <t>['aplikasi', 'udah', 'buka', 'cuman', 'gambar', 'putih', 'loading']</t>
  </si>
  <si>
    <t>['pelanggan', 'telkomsel', 'jaman', 'firaun', 'aplikasi', 'telkomsel', 'dibuka', 'kecuali', 'hapus', 'data', 'daftar', 'ulang', '']</t>
  </si>
  <si>
    <t>['jaringannya', 'tolong', 'perbaiki', 'udah', 'telkomsel', 'tpi', 'jaringannya', 'jelek', 'banget', 'kecewa', 'sma', 'telkomsel']</t>
  </si>
  <si>
    <t>['isi', 'paket', 'data', 'muncul', 'penawaran', 'harga', 'murah', 'habis', 'beli', 'paket', 'harganya', 'mahal', '']</t>
  </si>
  <si>
    <t>['', 'minggu', 'log', 'telkomsel', 'tampilan', 'blank', 'mengecewakan']</t>
  </si>
  <si>
    <t>['sinyal', 'parah', 'dikota', 'daerah', '']</t>
  </si>
  <si>
    <t>['mohon', 'maaf', 'terpaksa', 'kasih', 'bintang', 'lancar', 'sore', 'hilang', 'total', 'sinyal', 'kecewa', 'mohon', 'tindak', 'lanjuti', 'performa', 'sinyalnya', 'mohon', 'sebanding', 'harganya', 'mahal', 'mahal', 'kayak', 'gini', 'sinyal', 'semoga', 'kedepannya', 'perbaiki', 'performa', 'terima', 'kasih', '']</t>
  </si>
  <si>
    <t>['aplikasi', 'taik', 'akses', '']</t>
  </si>
  <si>
    <t>['semoga', 'kedpn', 'sblmx', 'amin']</t>
  </si>
  <si>
    <t>['tanggal', 'desember', 'desember', 'buka', 'telkomsel', 'layarnya', 'putih', '']</t>
  </si>
  <si>
    <t>['', 'jempol', 'berbicara', '']</t>
  </si>
  <si>
    <t>['dilhat', '']</t>
  </si>
  <si>
    <t>['beli', 'kuota', 'internet', 'aktifnya']</t>
  </si>
  <si>
    <t>['susah', 'bukak']</t>
  </si>
  <si>
    <t>['sgt', 'menyukai', 'aplikasi', '']</t>
  </si>
  <si>
    <t>['harga', 'bintang', 'kaki', 'sinyalnya', 'hancur', 'harga', 'mahal']</t>
  </si>
  <si>
    <t>['informasinya', 'iklannya']</t>
  </si>
  <si>
    <t>['download', 'telkomsel', 'peraktis', 'membantu']</t>
  </si>
  <si>
    <t>['tolong', 'stop', 'otomatis', 'tarik', 'pulsa', 'kuota', 'abis', 'sialan', 'bener', 'kuota', 'abis', 'ketarik', 'pulsa', 'beli', 'kuota', 'najis', 'banget', 'tsel', 'udah', 'paketan', 'mahal', 'enak', 'gitu', '']</t>
  </si>
  <si>
    <t>['pengguna', 'setia', 'telkomsel', 'sunggu', 'kecewa', 'dimana', 'kartu', 'memilih', 'bersaing', 'kuota', 'bnyak', 'harga', 'murah', 'mahal', 'kuota', 'segitu']</t>
  </si>
  <si>
    <t>['sinyal', 'parah', 'ilang', 'ilang', 'beli', 'paket', 'darurat', 'tpi', 'aktif', 'coba', 'komplen']</t>
  </si>
  <si>
    <t>['buka', 'aplikasi', 'telkomsel', 'buka', 'apps', 'layar', 'kosong', 'buka']</t>
  </si>
  <si>
    <t>['semoga', 'mobil', 'aplikasi', 'telkomsel', 'membantu', 'karna', 'butuh', 'mobil', 'keluarga', 'aamiin']</t>
  </si>
  <si>
    <t>['pengguna', 'telkomsel', 'kali', 'kecewa', 'aplikasi', 'telkomsel', 'seminggu', 'dibuka', 'berkali', 'kali', 'download', 'ulang', 'jujur', 'kecewa', 'banget', '']</t>
  </si>
  <si>
    <t>['males', 'temen', 'temen', 'kuota', 'murah', 'murah', '']</t>
  </si>
  <si>
    <t>['aplikasi', 'bgus', 'mohon', 'perbaikin', 'mytelkomsel', 'layar', 'waena', 'putih', 'masuk', '']</t>
  </si>
  <si>
    <t>['sumpah', 'telkom', 'jaringannya', 'jelek', 'tolong', 'pekerja', 'telkom', 'secepat', 'sepatnyaa', 'perbaiki', '']</t>
  </si>
  <si>
    <t>['kartu', 'tersampah', 'gua', 'sinyal', 'ampas', 'dipake', 'main', 'sinyal', 'suka']</t>
  </si>
  <si>
    <t>['bagus', 'mempemudah', 'beli', 'pulsa']</t>
  </si>
  <si>
    <t>['kartu', 'mahal', 'paketan', 'mahal', 'sinyalnya', 'murahan', 'kali', 'waterbom', 'man']</t>
  </si>
  <si>
    <t>['date', 'dibuka']</t>
  </si>
  <si>
    <t>['maaf', 'terpaksa', 'uninstal', 'paketannya', 'harganya', 'telkomsel', 'dibuka', 'pengguna', 'pelanggan', 'kecewa', 'skali', '']</t>
  </si>
  <si>
    <t>['jaringannya', 'lelet', 'paketnya', 'mahal', 'telkomsel', 'okey', 'pengguna', 'pelanggan', 'telkomsel', 'kecewa', '']</t>
  </si>
  <si>
    <t>['harga', 'paket', 'mahal', 'data', 'paket', 'dikurangi', '']</t>
  </si>
  <si>
    <t>['murahannya', 'nomer', 'tolong']</t>
  </si>
  <si>
    <t>['bersyukur', 'nama', 'telkusom', 'beli', 'paket', 'pulsa', 'henti', 'dimana', 'beli', 'paket', 'buruan', 'download', 'aplikasi', 'telkomsel', 'google', 'play', 'store', 'kartu', 'hoki', 'murah', 'terakntung', 'kartu', 'broo', 'ngk', 'percaya', 'tanyak', 'ama', 'kau', 'hubungan', 'intim', 'perempuan', 'ngecrokk', 'samapai', 'berdarah', 'entot', 'mamak', 'pengen', 'boong', 'hayyuk', '']</t>
  </si>
  <si>
    <t>['aplikasinya', 'telkomsel', 'buka', 'kah', 'telkomsel', 'bangkrut', 'mahal']</t>
  </si>
  <si>
    <t>['masuk', 'telkomsel', 'trus', 'layarny', 'putih', 'tlong', 'bantu', 'admin', 'mksih']</t>
  </si>
  <si>
    <t>['update', 'trs', 'aplikasinya', 'update', 'jaringan', 'stabil', 'jaringan', 'kayak', 'ingus', 'update', 'aplikasi', 'trs', 'operator', 'terbesar', 'jaringan', 'kalah', 'operator', 'malu', '']</t>
  </si>
  <si>
    <t>['aplikasi', 'bagus', 'membantu', 'kasih', 'bintang', 'karna', 'paket', 'internet', 'mahal', 'udah', 'murah', 'kasih', 'bintang', 'tanks', 'telkomsel']</t>
  </si>
  <si>
    <t>['telkomsel', 'kesini', 'jaringanya', 'nggak', 'stabill', 'dalem', 'rumah', 'nggak', 'ngapa', 'in']</t>
  </si>
  <si>
    <t>['terimakasih', 'kuota', 'gratisnya', 'telkomsel']</t>
  </si>
  <si>
    <t>['sinyal', 'telkomsel', 'skr', 'payah', '']</t>
  </si>
  <si>
    <t>['mengakses', 'semenjak', 'diupdate']</t>
  </si>
  <si>
    <t>['pakai', 'telkomsel', 'jaringan', 'lemot', 'ngga', 'kayak', 'paketan', 'pakainya', 'jaringan', 'susah', 'masak', 'harga', 'mahal', 'kecepatan', 'paketan', 'kartu', 'murah', 'pakai', 'huh', 'sungguh', 'memuaskan', 'pelanggan', '']</t>
  </si>
  <si>
    <t>['kasih', 'bintang', 'nyobain', 'pakai', 'apk']</t>
  </si>
  <si>
    <t>['keren', 'gangguan', 'mulu', 'sinyal', 'ilang', 'bae', 'seminggu', '']</t>
  </si>
  <si>
    <t>['terimakasih', 'menemani', 'penuh', 'emosi', 'smakin', 'tarif', 'paket', 'smakin', 'melonjak', 'kualitas', 'jaringan', 'saaaangaaat', 'buruk', 'ganti', 'operator', 'seuler', 'terima', 'kasih', '']</t>
  </si>
  <si>
    <t>['kecewa', 'mahal', 'paketnya', 'jaringannya', 'lemot', 'bangggeeeeettttt', 'kecewa', 'salekali']</t>
  </si>
  <si>
    <t>['cocok', 'unlimited', 'semoga', 'cepat', 'dapet', 'bonus', 'amin', 'puas', 'puas']</t>
  </si>
  <si>
    <t>['telkomsel', 'kecewa', 'lelet', '']</t>
  </si>
  <si>
    <t>['sulusi', 'blank', 'putih', 'download', 'diweb', 'versi', '']</t>
  </si>
  <si>
    <t>['suka', 'aplikasi', 'mempermudah', 'cek', 'data', 'pulsa', 'ribet', 'ketik', 'angka', 'kartu', 'telkomsel', 'murah', 'beli', 'datanya', 'suka', 'banget', 'pokoknya', '']</t>
  </si>
  <si>
    <t>['indonesia', 'aplikasi', 'menyediakan', 'opsi', 'bahasa', 'indonesia', '']</t>
  </si>
  <si>
    <t>['terbaik', 'jaringan']</t>
  </si>
  <si>
    <t>['', 'udah', 'ganti', 'tetep', 'sinyal', 'jelek', 'coba', 'benerin', 'jaringan', 'margasari', 'karawaci', 'tangerang', 'banten', 'wilayah', 'kota', 'lag', 'parah']</t>
  </si>
  <si>
    <t>['login', 'ribet', 'banget', 'link', 'kekirim', 'sampe', 'berkali', 'udh', 'klil', 'kadaluarsa', 'ribet', 'banget']</t>
  </si>
  <si>
    <t>['halo', 'telkomsel', 'bintang', 'pulsa', 'terpotong', 'isi', 'pulsa', 'ulasan', 'respon', 'telkomsel', 'bintang', 'terima', 'kasih', 'keselll', 'bangettt', 'udah', 'berulang', 'kali', '']</t>
  </si>
  <si>
    <t>['banyakin', 'gratisan', 'koatanya']</t>
  </si>
  <si>
    <t>['kuota', 'hbs', 'lemot', 'knpa', '']</t>
  </si>
  <si>
    <t>['', 'isi', 'plsa', 'data', 'knp', 'plsa', 'utama', 'msh', 'potong', 'rb', 'dngn', 'alsan', 'penggunaan', 'data', 'paket', 'data', 'aktif', 'pulsa', 'utama', 'potong', 'rb', 'tolong', 'klarifikasi', 'admin']</t>
  </si>
  <si>
    <t>['parah', 'jelek', 'download', 'buka', 'tolong', 'perbaiki']</t>
  </si>
  <si>
    <t>['bagus', 'membantu', 'mmpermudah']</t>
  </si>
  <si>
    <t>['mkin', 'knapa', 'mkin', 'mahal', 'harga', 'paket', 'combo', 'saktinya', 'dngan', 'tlkomsel', 'pindah', '']</t>
  </si>
  <si>
    <t>['download', 'telkomsel', 'buka', 'aplikasinya']</t>
  </si>
  <si>
    <t>['semoga', 'telkomsel', 'memperkuat', 'sinyal', 'penambahan', 'menara', 'pemancar', 'plosok', 'deket', 'pantai']</t>
  </si>
  <si>
    <t>['', 'telkomsel', 'buruk', 'prbarui', 'nyambung', 'cuman', 'layar', 'putih', 'doang']</t>
  </si>
  <si>
    <t>['jaringan', 'susah', '']</t>
  </si>
  <si>
    <t>['provider', 'sadis', 'pulsa', 'gratis', 'bumn', 'bangkrut', 'kali', 'biaya', 'mending', 'pilih', 'provider', 'kelola', 'negeri']</t>
  </si>
  <si>
    <t>['mengerti']</t>
  </si>
  <si>
    <t>['semoga', 'layar', 'putihnya', 'diperbaiki']</t>
  </si>
  <si>
    <t>['', 'telkomsel', 'servisnya', 'the', 'best', 'frovider', 'telkomsel']</t>
  </si>
  <si>
    <t>['gimana', 'telkomsel', 'minggu', 'sinyal', 'parah', 'perbaikan', 'pelanggan', 'telkomsel', 'pindah', 'operator', 'didaerah', 'karawang', 'kecamatan', 'tegalwaru', 'loji']</t>
  </si>
  <si>
    <t>['sinyal', 'hilang', 'mendadak', 'hrp', 'distabilkan', 'trims', '']</t>
  </si>
  <si>
    <t>['mudah', 'berbelit', '']</t>
  </si>
  <si>
    <t>['malam', 'habis', 'ujian', 'sinyal', 'ilang', 'muncul', 'bagaiamana', 'kualitasnya', 'mengecewakan', 'kadang', 'sinyal', 'telkomsel', 'beda', 'dimana', 'telkomsel', 'sinyal', 'berubah', '']</t>
  </si>
  <si>
    <t>['ngelakuin', 'aplikasi', 'pembayaran', 'online', 'via', 'telkomsel', 'tinggal', 'beli', 'pulsa', 'mytelkomsel', 'beli', 'barang', 'game', 'pulsa', 'telkomsel', 'deh', '']</t>
  </si>
  <si>
    <t>['pengguna', 'telkomsel', 'kecewa', 'komplen', 'aplikasi', 'telkomsel', 'seharus', 'telkomsel', 'cepet', 'tanggap', 'pelanggan', 'telkomsel', 'komplen', '']</t>
  </si>
  <si>
    <t>['kecewa', 'seminggu', 'app', 'telkomsel', 'buka', 'layar', 'putih', 'hapus', 'instal', 'hapus', 'instal', 'layar', 'putih', '']</t>
  </si>
  <si>
    <t>['knpa', 'ndk', 'dibuka', '']</t>
  </si>
  <si>
    <t>['beli', 'kuota', 'ketengan', 'ulimited', 'youtube', 'terpakai', 'kouta', 'internet', 'kouta', 'internet', 'habis', 'kuota', 'youtube', 'utuh', '']</t>
  </si>
  <si>
    <t>['sinyal', 'betulin', 'udh', 'harga', 'mahal', 'sinyal', '']</t>
  </si>
  <si>
    <t>['sinyal', 'telkomsel', 'lelet', 'setan', 'blom', 'perbaiki', 'auto', 'pindah', 'pelanggan']</t>
  </si>
  <si>
    <t>['lancar', 'jaya', 'kuningan', 'timur']</t>
  </si>
  <si>
    <t>['sumpah', 'kecewa', 'skrg', 'telkomsel', 'udah', 'harga', 'mahal', 'kualitas', 'signal', 'menurun', '']</t>
  </si>
  <si>
    <t>['cocok', '']</t>
  </si>
  <si>
    <t>['update', 'aplikasi', 'ngeblank', 'layar', 'putih', 'device', 'samsung', 'galaxy', 'tolong', 'diperbaiki']</t>
  </si>
  <si>
    <t>['beli', 'pulsa', 'gampang']</t>
  </si>
  <si>
    <t>['beli', 'paket', 'data', 'pakek', 'pulsa', 'tdak', '']</t>
  </si>
  <si>
    <t>['sinyal', 'telkom', 'knpa']</t>
  </si>
  <si>
    <t>['discount', 'suka', 'banget', '']</t>
  </si>
  <si>
    <t>['aplikasix', 'lalot', 'susah', 'bukanya']</t>
  </si>
  <si>
    <t>['koneksi', 'jaringan', 'jelek', 'tinggal', 'desa', 'mah', 'parah', 'kaya', 'gini']</t>
  </si>
  <si>
    <t>['jaringannya', 'mengecewakan', 'seminggu', 'jaringan', 'internet', 'lemot', 'perbaika']</t>
  </si>
  <si>
    <t>['mudah', 'cepat', 'transaksi', 'pengecekan', 'data']</t>
  </si>
  <si>
    <t>['update', 'beli', 'paketan', 'apk', 'harga', 'mahall', 'cocok', 'kantongg', 'pelajar', 'kecewaa', '']</t>
  </si>
  <si>
    <t>['knapa', 'aplikasi', 'telkomsel', 'buka', 'sya', 'buka', 'apk', 'telkomselnya', 'layarnya', 'putih', 'doang', 'langsung', 'beli', 'paket', 'susah']</t>
  </si>
  <si>
    <t>['kenpa', 'apliksi', 'syaa', 'bsa', 'buka', 'yaa', 'layar', 'putih', 'trus', 'mhn', 'bantuannya']</t>
  </si>
  <si>
    <t>['tolong', 'telkomsel', 'jaringannya', 'perbaiki']</t>
  </si>
  <si>
    <t>['provider', 'terkontol', 'beli', 'paket', 'mahal', 'ehh', 'jaringan', 'loncat', 'kek', 'tupai']</t>
  </si>
  <si>
    <t>['aplikasi', 'update', 'mending', 'versi']</t>
  </si>
  <si>
    <t>['sinyal', 'malem', 'suka', 'ilang', 'kaya', 'cewek']</t>
  </si>
  <si>
    <t>['ganti', 'kartu', 'loe', 'kaya', 'gini', 'mytelkomselnya', 'habis', 'penguna', 'telkomsel', 'aplikasinya', 'jelek', 'banget', 'susah', 'dibuka', 'harga', 'paketannya', 'mahal', 'kecewa', '']</t>
  </si>
  <si>
    <t>['terimakasih', 'telkomsel', 'emosi', 'akibat', 'internet', 'kayak', 'siput']</t>
  </si>
  <si>
    <t>['telkomsel', 'sinyalnya', 'bagus', 'knp', 'banget', 'lelet']</t>
  </si>
  <si>
    <t>['kasi', 'diskon', 'suka', 'aplikasi', '']</t>
  </si>
  <si>
    <t>['dibuka', 'muncul', 'layar', 'putih', '']</t>
  </si>
  <si>
    <t>['gmna', 'inih', 'pketan', 'telkomsel', 'ancur', 'bnyak', 'pembeli', 'paket', 'internet', 'pertahanin', 'harganya', 'mlah', 'bkin', 'ksempatan', 'harga', 'parah', '']</t>
  </si>
  <si>
    <t>['bintang', 'aplikasinya', 'udah', 'dibuka', 'tambahin', 'bintangnya', 'rugi', 'daily', 'checkin', '']</t>
  </si>
  <si>
    <t>['', 'putih', 'doank', 'devuce', 'ato', 'gimana', 'gitu', 'dlu', 'mkasih']</t>
  </si>
  <si>
    <t>['nyaman', 'dipakai', 'fitur', 'sederhana', 'fungsionabel']</t>
  </si>
  <si>
    <t>['jaringan', 'telkomsel', 'parah', 'nge', 'game', 'udah', 'daerah', 'bukit', 'batu', 'riau']</t>
  </si>
  <si>
    <t>['beli', 'kuota', 'internet', 'gangguan']</t>
  </si>
  <si>
    <t>['update', 'error', 'minggu', 'layar', 'blank', 'buka', 'aplikasinya']</t>
  </si>
  <si>
    <t>['sinyalnya', 'diperkyat', 'didaerah', '']</t>
  </si>
  <si>
    <t>['kuotanya', 'gabisa', 'dipake', 'min', 'udh', 'beli', 'kali', 'gabisa', 'dipake', 'ngejam', 'gabisa', 'buka', 'sinyal', 'bagus']</t>
  </si>
  <si>
    <t>['gerimis', 'hujan', 'sinyalnya', 'hilang', 'lihatlah', 'indonesia', 'diposisi', 'jaringan', 'terbaik', 'asia', 'ngelawak', 'indonesia', 'ketinggalaan', 'teknologi']</t>
  </si>
  <si>
    <t>['good', 'job']</t>
  </si>
  <si>
    <t>['sinyal', 'telkomsel', 'skrg', 'iseng', '']</t>
  </si>
  <si>
    <t>['sihh', 'sinyal', 'telkomsel', 'jelek', 'banget', 'lemot', 'kaya', 'bagus', 'buruk', 'lemot', 'tolong', 'perbaiki', 'sinyal', 'kirim', 'poto', 'nunggu', 'jam', 'cuman', 'mb', 'mb', 'cepet', 'kekirim', 'lemot']</t>
  </si>
  <si>
    <t>['buka', 'aplikasi', 'telkomsel', '']</t>
  </si>
  <si>
    <t>['kebanyakan', 'iklan', 'provider', 'indonesia', 'udah', 'sinyal', 'batang', 'paket', 'mahal', 'gila', 'sesuai', 'harganya', 'kabel', 'udh', 'ditanam', 'numpang', 'genteng', 'rumah', 'orang', '']</t>
  </si>
  <si>
    <t>['telkomsel', 'perusahaan', 'negeri']</t>
  </si>
  <si>
    <t>['perbarui', 'mlh', 'buka']</t>
  </si>
  <si>
    <t>['aplikasi', 'putih', 'perbarui', 'kesal', 'deh']</t>
  </si>
  <si>
    <t>['maha', 'paketannya', 'murah', 'mahal']</t>
  </si>
  <si>
    <t>['sinyal', 'burik', 'tolol', 'perbaiki', 'sinyal', 'burik', 'pelanggan', 'kecewa', 'lol']</t>
  </si>
  <si>
    <t>['hai', 'min', 'udah', 'berkali', 'kali', 'restart', 'instal', 'ulang', 'app', 'tampilannya', 'putih', 'upgare', 'app', 'gimana', 'inj', '']</t>
  </si>
  <si>
    <t>['kuota', 'unlimited', 'sosmed', 'bukak', 'instagram']</t>
  </si>
  <si>
    <t>['masuk', 'aplikasinya', 'udah', 'nungguin', 'menit', 'masuk', 'warna', 'putih', 'doang', 'tolong', 'min', 'diperbaiki', 'bug']</t>
  </si>
  <si>
    <t>['pdhl', 'buka', 'apk', 'udh', 'brapa', 'kali', 'instal', 'unisntal', 'msih', 'buka', 'apk']</t>
  </si>
  <si>
    <t>['admin', 'aplikasi', 'telkomsel', 'putih', 'membeli', 'paket', 'bulanan']</t>
  </si>
  <si>
    <t>['transaksi', 'pembelian', 'paket', 'data', 'cepat', 'penawaran', 'ramah', 'dikantong', 'thanks']</t>
  </si>
  <si>
    <t>['kesini', 'sinyal', 'tpi', 'buka', 'youtub', 'apasih', 'prioritasin', 'skrng', '']</t>
  </si>
  <si>
    <t>['knp', 'bsa', 'pembayaran', 'bank', 'swasta', 'knp', 'hrus', 'mandiri', 'bni', 'bni', 'jga', 'bagus']</t>
  </si>
  <si>
    <t>['sinyal', 'telkomsel', 'kuat', 'nyata', 'sinyak', 'lemot', 'kalah', 'kartu', 'laen', 'paket', 'mahal', 'pliss', 'perbaiki', 'sinyal']</t>
  </si>
  <si>
    <t>['gimana', 'telkomsel', 'buka', 'payah']</t>
  </si>
  <si>
    <t>['dibuka', 'layar', 'putih']</t>
  </si>
  <si>
    <t>['provider', 'terburuk', 'zoom', 'loading', 'mulu', 'gagal', 'masuk', 'room', 'meeting', 'kelas', 'jam', 'pas', 'dicoba', 'pkai', 'provider', 'pkai', 'indosat', 'aman', 'mahalnya', 'doang', 'kualitas', 'buruk', 'banget']</t>
  </si>
  <si>
    <t>['jelek', 'aplikasi', 'telkomselnya', 'beli', 'paket', 'data', 'combo', 'gagal', 'pembayarannya', 'saran', 'tolong', 'diperbaiki', 'aplikasi', 'pelanggan', 'memakai', 'aplikasi', 'telkomsel', 'puas']</t>
  </si>
  <si>
    <t>['apk', 'jelek', 'boong', 'apk', 'bagus', 'udah', 'gb', 'makasi', 'telkomsel', '']</t>
  </si>
  <si>
    <t>['jaringan', 'mengecewakan']</t>
  </si>
  <si>
    <t>['ngebalk', 'puti', 'beranda', 'ngak', 'tulisan', 'gambar', 'putih', 'doang']</t>
  </si>
  <si>
    <t>['telkomsel', 'suka', 'sms', 'suruh', 'ganti', 'kartu', 'upgrade', 'disuruh', 'bayar', 'rb', 'grapari', 'hebat', 'upgrade', 'doang', 'oknum', 'jalur', 'rb', 'salutt', '']</t>
  </si>
  <si>
    <t>['beli', 'pulsa', 'paket']</t>
  </si>
  <si>
    <t>['beli', 'paketan', 'mahal', 'mahal', 'main', 'game', 'ngelag', 'buka', 'game', 'coc', 'kaga', 'parah', 'bener', 'simpati', '']</t>
  </si>
  <si>
    <t>['knapa', 'app', 'gabisa', 'dibuka']</t>
  </si>
  <si>
    <t>['makasih', 'banget', 'aplikasi', 'bagus']</t>
  </si>
  <si>
    <t>['sinyall', 'jelekkkkkkk', 'bangttt', 'tolong', 'telkom', 'perbaiki', 'kuota', 'mahal']</t>
  </si>
  <si>
    <t>['ampun', 'blm', 'aplikasi', 'buka', 'tetaaaap', 'layaar', 'putih', 'trs', 'udh', 'hub', 'call', 'center', 'dsuruh', 'sgl', 'coba', 'ttp', 'ampe', 'kpn', 'layar', 'putih', 'trs', 'aplikasi', '']</t>
  </si>
  <si>
    <t>['telkomnyettt', 'siga', 'anyiiiingggggg']</t>
  </si>
  <si>
    <t>['apk', 'ngk', 'buka', 'update', 'uninstal', 'deh']</t>
  </si>
  <si>
    <t>['mantap', 'mytelkomsel', 'pilihan', 'paket']</t>
  </si>
  <si>
    <t>['kecewa', 'banget', 'telkomsel', 'perbarui', 'perbarui', 'diperbarui', 'dibuka']</t>
  </si>
  <si>
    <t>['tingkat', 'mutu', 'kualitas', 'fiturnya', 'harganya', 'ditingkatkan', '']</t>
  </si>
  <si>
    <t>['aplikasi', 'sngat', 'membantu']</t>
  </si>
  <si>
    <t>['hati', 'beli', 'kuota', 'apliaksi', 'telkomsel', 'ketipu', 'kalinya', 'beli', 'paket', 'yiutube', 'unlimetid', 'komplen', 'terkait', 'jawabanya', 'adabkuota', 'utamanya', 'membuka', 'aplikasi', 'youtubnya', 'gue', 'bego', 'begoin', 'penasaran', 'coba', 'nomer', 'telkomsel', 'satunya', 'initinya', 'internetan', 'saranin', 'jangn', 'telkosel', 'nyesel', 'nyesel', '']</t>
  </si>
  <si>
    <t>['telkomsel', 'ngabisin', 'duit', 'tetep', 'lag']</t>
  </si>
  <si>
    <t>['pulsa', 'ilang', 'isi', 'langsung', 'ilang']</t>
  </si>
  <si>
    <t>['maaf', 'kasih', 'bintang', 'karna', 'sinyal', 'jalan', 'srengseng', 'sinyal', 'drmh', 'bar', 'tolong', 'perbaiki', 'ganti', 'ulasan', 'bintangnya']</t>
  </si>
  <si>
    <t>['aplikasi', 'ajing', 'dibuka', 'blank', 'putih']</t>
  </si>
  <si>
    <t>['gabisa', 'kebuka', 'gimana', 'min', '']</t>
  </si>
  <si>
    <t>['paket', 'internet', 'combo', 'sakti', 'mahal', '']</t>
  </si>
  <si>
    <t>['buka', 'putih']</t>
  </si>
  <si>
    <t>['pokonamah', 'mantap']</t>
  </si>
  <si>
    <t>['maaf', 'kak', 'buka', 'telkomsel', 'tlg', 'penjelasannya', 'trms']</t>
  </si>
  <si>
    <t>['sunyal', 'internet', 'parah', 'buruk']</t>
  </si>
  <si>
    <t>['', 'telkomsel', 'sya', 'sinyal', 'jelek']</t>
  </si>
  <si>
    <t>['gua', 'komplen', 'buku', 'aplikasinya', 'operator', 'telkomsel', 'sya', 'beli', 'paket', 'pulsa', 'dikurangi', 'sya', 'isi', 'pulsa', 'rb', 'sya', 'daftar', 'beli', 'kota', 'hasilnya', 'pulsa', 'sya', 'rb', 'pulsa', 'curi', 'operator', 'telkomsel', 'pdhl', 'udah', 'lunasi', 'peminjaman', 'kota', 'daruratq', 'sagatttt', 'meresahkan']</t>
  </si>
  <si>
    <t>['aplikasi', 'telkomsel', 'error', 'shg', 'uninstal', 'instal', 'knp', '']</t>
  </si>
  <si>
    <t>['telkomsel', 'masak', 'udh', 'update', 'apk', 'dibuka']</t>
  </si>
  <si>
    <t>['buka', 'putih', 'diperbaiki', 'sistemnya', 'nggak', 'aplikasi', '']</t>
  </si>
  <si>
    <t>['maaf', 'bintang', 'turunin', 'update', 'daftar', 'kuota', 'tersedia', 'mahal']</t>
  </si>
  <si>
    <t>['susah', 'log', 'aplikasi', 'skrg', 'bagus', 'pengaruh', 'signal', 'internet']</t>
  </si>
  <si>
    <t>['sinyal', 'telkomsel', 'buruk']</t>
  </si>
  <si>
    <t>['', 'harga', 'paket', 'mahal', 'diteliti', 'seksama', 'promo', 'harga', 'paket', 'jaringan', 'eror', 'musim', 'hujan', 'tsel', 'poin', 'nyuruh', 'tukar', 'poin', 'hadiah', 'puluhan', 'tukar', 'poin', 'hadiah', 'undian', 'hadiah', 'tsel', 'poin', 'adl', 'bohong', 'biaya', 'transfer', 'pulsa', 'membebani', 'tsel', 'mengambil', 'untung', 'pengguna', 'setia', 'kecewa', '']</t>
  </si>
  <si>
    <t>['membantu', 'memilih', 'paket', 'paket', 'ditawarkan', '']</t>
  </si>
  <si>
    <t>['masuk', 'ggl', 'teruss']</t>
  </si>
  <si>
    <t>['telkomsel', 'mahal', 'tarif', 'nelponnya', 'mahal', 'tarif', 'smsnya', 'mahal', 'tarif', 'datanya', 'pokonya', 'mantap', 'ditambah', 'mati', 'lampu', 'sinyal', 'otomatis', 'ngilang', 'buka', 'aplikasi', 'susah', 'auto', 'uninstall', 'deh', '']</t>
  </si>
  <si>
    <t>['jaringan', 'diperbaiki', 'bego', 'lelet']</t>
  </si>
  <si>
    <t>['bermanfaat', 'pilihan', 'paket', 'data']</t>
  </si>
  <si>
    <t>['mencoba', 'semoga', 'lancar']</t>
  </si>
  <si>
    <t>['aplikasi', 'engga', 'buka', 'layar', 'blank', 'putih']</t>
  </si>
  <si>
    <t>['mengecewakan', 'harga', 'naiknya', 'cepet', 'banget', 'kualitas', 'jaringan', 'menurun', 'bersaing', 'kompetitor', '']</t>
  </si>
  <si>
    <t>['knp', 'skrang', 'tersambung']</t>
  </si>
  <si>
    <t>['apl', 'bagus']</t>
  </si>
  <si>
    <t>['', 'buka', 'aplikasi', 'blank', 'putih']</t>
  </si>
  <si>
    <t>['lumayan', 'kadang', 'lag', 'dikit', 'main', 'game']</t>
  </si>
  <si>
    <t>['slalu', 'mengutamakan', 'kepuasan', 'pelanggan']</t>
  </si>
  <si>
    <t>['busuk', 'telkomsel', 'sinyal', 'kadang', 'kadang', 'prnh', 'pakek', 'bagus', 'buruk', 'busuk']</t>
  </si>
  <si>
    <t>['kecewa', 'layar', 'putih']</t>
  </si>
  <si>
    <t>['telkomsel', 'ngga', 'buka']</t>
  </si>
  <si>
    <t>['kuota', 'doang', 'mahal', 'signal', 'hilang', 'komplain', 'tanggapi', 'cvat', 'copas']</t>
  </si>
  <si>
    <t>['layanan', 'online', 'lambat', 'harga', 'paket', 'data', 'mahal', '']</t>
  </si>
  <si>
    <t>['aplikasi', 'telokmsel', 'susah', 'buka', 'klik', 'tampilan', 'kosong', 'putih', 'loding', 'bbrp', 'coba', 'ttp', 'uninstal', 'instal', 'ttp', 'ngerespon', '']</t>
  </si>
  <si>
    <t>['sinyalnya', 'bagus', 'stabil', 'mending', 'tri', 'sebenernya', 'stabil', 'banget', 'kecuali', 'download', 'lemot', 'pindah', 'rumah', 'areanya', 'provider', 'kecuali', 'telkomsel', '']</t>
  </si>
  <si>
    <t>['mengecewakan', 'buka', 'aplikasinya', 'pindah', 'provider', '']</t>
  </si>
  <si>
    <t>['aplikasi', 'buka', 'layarnya', 'putih', 'ngak', 'masuk', 'aplikasi']</t>
  </si>
  <si>
    <t>['mantap', 'tingkatkan', 'layanan', 'publik', 'murah', 'paketnya']</t>
  </si>
  <si>
    <t>['kecewa', 'update', 'ngebug', 'layar', 'putih', 'doang', 'konfirmasi', 'telkomsel', 'suruh', 'menunggu', 'jam', 'ngebug', 'rajin', 'chekin']</t>
  </si>
  <si>
    <t>['sinyal', 'jelek', 'buka', 'internet', 'maingame', 'lemot', 'beli', 'kuota', 'mahal', 'sinyalnya', 'lemot']</t>
  </si>
  <si>
    <t>['lelet', 'jaringan', 'telkomsel']</t>
  </si>
  <si>
    <t>['apk', 'error', 'nggk', 'dibuka', 'udh', 'sampe', 'uninstal', 'trus', 'instal', 'ulang', 'ttep', 'kecewa']</t>
  </si>
  <si>
    <t>['knapa', 'layar', 'telkomsel', 'buka', 'layarx', 'putih', '']</t>
  </si>
  <si>
    <t>['keluhan', 'cuman', 'peket', 'mahal', 'murah', '']</t>
  </si>
  <si>
    <t>['kecewa', 'telkom', 'jaringannya', 'eror', 'kek', 'sedih', 'usahakan', 'telkom', 'jaringannya', 'perbaiki']</t>
  </si>
  <si>
    <t>['kuota', 'mahal', 'break', 'beli', 'data', '']</t>
  </si>
  <si>
    <t>['sinyal', 'tolong', 'diperbaiki', 'wilayah', 'sumbar', 'admin']</t>
  </si>
  <si>
    <t>['sinyal', 'jelek', 'beralih', 'halo', 'sinyal', 'hilang', 'gimana']</t>
  </si>
  <si>
    <t>['', 'harga', 'paket', 'kartu', 'simpati', 'mahal', 'banget', 'pemakaian', 'udah', 'promo', 'gimana', 'sieh', 'bangkrut', 'gue', '']</t>
  </si>
  <si>
    <t>['log', 'sms', 'link', 'konfirmasi', 'diklik', 'dialihkan', 'browser', 'stuck', 'browser', 'masuk', 'aplikasi', '']</t>
  </si>
  <si>
    <t>['kasih', 'bintang', 'nyaman', 'apps', 'telkomsel']</t>
  </si>
  <si>
    <t>['telkomsel', 'bedan', 'indosat', 'udh', 'berlagana', 'telkomsel', 'kecewa', 'telkomsel', 'telkomsel', 'udah', 'modal', 'jagan', 'pandai', 'maaf', 'tolong', 'perbaiki', 'layana', 'bls', 'maaf', 'pelangan', '']</t>
  </si>
  <si>
    <t>['ngga', 'dibuka', 'device', 'samsung', 'galaxy', 'blank', 'putih', 'doang']</t>
  </si>
  <si>
    <t>['telkomsel', 'signal', 'stabil', 'reload', 'kecewa', 'harga', 'kuota', 'mahal', 'performa', 'abal', 'abal', '']</t>
  </si>
  <si>
    <t>['telkomsel', 'mengalami', 'gangguan', 'akses', 'masuk', 'aplikasi', 'telkomsel', 'kecepatan', 'jaringan', 'kartu', 'telkomsel', 'alangkah', 'baiknya', 'telkomsel', 'memperbaiki', 'memperhatikan', 'terimakasih']</t>
  </si>
  <si>
    <t>['loading', 'trus', 'paket', 'beli', 'menghilang', 'telan', 'bumi']</t>
  </si>
  <si>
    <t>['bener', 'parah', 'telkomsel', 'udh', 'berpa', 'kali', 'donlwd', 'tetp', 'buka']</t>
  </si>
  <si>
    <t>['aplikasi', 'jelek', 'pulsa', 'sedot', 'isi', 'pulsa', 'tinggal', 'sisa', '']</t>
  </si>
  <si>
    <t>['tolong', 'telkomsel', 'mati', 'lampu', 'langsung', 'hilang', 'sinyalnya', 'kasian', 'orang', 'orang', 'cape', 'cape', 'push', 'rank', 'gara', 'gara', 'mati', 'lampu', 'langsung', 'buang', 'point', 'sia', 'sia', 'tolong', 'telkomsel', 'platform', 'mahal', 'sekian', 'platform', 'mahal', 'tolong', 'perbaiki', 'depannya', '']</t>
  </si>
  <si>
    <t>['mati', 'lampu', 'lgsg', 'datanya', 'sekelas', 'telkomsel', 'harganya', 'mahal', 'laen', 'mohon', 'kerjasama', 'terima', 'kasih']</t>
  </si>
  <si>
    <t>['tingkatkan', 'bonus', 'paket', 'pelanggan', 'telkomsel']</t>
  </si>
  <si>
    <t>['telkomsel', 'gajelas', 'unlimitedmax', 'rb', 'udah', 'gaada', 'laris', 'banget', 'telkomsel', 'gajelas', '']</t>
  </si>
  <si>
    <t>['ngapa', 'dievet', 'sya', 'gambar', 'mohon', 'pejelasan', 'ngotak', 'telkomsel', 'dlu', 'enak']</t>
  </si>
  <si>
    <t>['tolong', 'hadirkan', 'paket', 'unlimited']</t>
  </si>
  <si>
    <t>['jujur', 'mempromosikan', 'paket', 'orang', 'tertipu', 'gara', 'promosi', 'paket', 'alhasil', 'dipakai']</t>
  </si>
  <si>
    <t>['mantap', 'respon', 'cepat']</t>
  </si>
  <si>
    <t>['telkomsel', 'error', 'desember', 'telkomsel', 'dibuka', 'maaf', 'doangg', 'diperbaikk', 'isi', 'paket']</t>
  </si>
  <si>
    <t>['kemaren', 'kemaren', 'dibukak', 'diupdate', 'ngebug', 'gini', 'ngecek', 'paket', 'susah', 'tinggal', 'pedesaan', 'susah', 'tolong', 'adminn', 'perbaiki', 'dibukak', 'telkomselnya', 'kasihan', 'minnn', 'sumpah', 'kasian', 'desa', 'haruussssss', 'nunggu', 'sinyal', 'bagusss', 'sinyal', 'bagusss', 'diprank', 'telkomsel', 'tolong', 'liaten', 'temen', 'temen', 'pengguna', 'telkomsel', 'dessaaaa', 'cepet', 'kelar', 'makasehhh', '']</t>
  </si>
  <si>
    <t>['maaf', 'gua', 'hnya', 'bintang', 'ribet', 'kasi', '']</t>
  </si>
  <si>
    <t>['pengguna', 'telkomsel', 'kecewa', 'jaringan', 'udah', 'mah', 'harga', 'paket', 'mahal', 'sinyal', 'kaya', 'bangke', 'tolong', 'perbaiki', 'jaringan', 'sesuaikan', 'harga', 'kartu', 'sultan', 'jaringan', 'taiik']</t>
  </si>
  <si>
    <t>['buka', 'aplikasi', 'telkomsel', 'ajuran', 'update', 'update', 'update', 'terbaru', 'layar', 'putih', 'doang', 'dihp', 'nggak', 'update', 'lancar', 'jaya', '']</t>
  </si>
  <si>
    <t>['kecewa', 'telkomsel', 'nmr', 'masuk', 'karna', 'link', 'kirim', 'masuk', 'valid', 'kadaluarsa', 'menerus', 'saran', 'kode', 'verifikasi', 'karna', 'klw', 'link', 'ribet', 'susah', 'masuknya', 'kecewa', 'klw', 'perbaikan', 'laporkan', 'aplikasi', 'aplikasi', '']</t>
  </si>
  <si>
    <t>['', 'buka', 'aplikasi', 'layar', 'putih', 'knp', 'versi', 'tolong', 'dibantu', '']</t>
  </si>
  <si>
    <t>['dibuka', 'app', 'telkomselnya', 'instal', 'berulang', 'kali', 'perubahan', '']</t>
  </si>
  <si>
    <t>['bagus', 'sayang', 'paket', 'lh']</t>
  </si>
  <si>
    <t>['memuaskan', 'alhamdulillah']</t>
  </si>
  <si>
    <t>['mohon', 'maaf', 'admin', 'kesini', 'sinyal', 'telkomsel', 'memuaskan', 'kualitas', 'sinyal', 'rasakan', 'berkurang', 'pengguna', 'setia', 'telkomsel', 'terimkasih']</t>
  </si>
  <si>
    <t>['praktis', 'ribet', 'murah', 'harga', 'paketnya']</t>
  </si>
  <si>
    <t>['update', 'nggak', 'buka', 'tolong', 'tingkatkan', 'pakai']</t>
  </si>
  <si>
    <t>['tenan', 'napa', 'buka', 'samehada', 'situs', 'filem', 'anime', 'one', 'piece', 'dll', 'kena', 'internet', 'positif', 'kasih', 'keterangan', 'situs', 'pornografi', 'pemblokiran', 'internet', 'telkomsel', 'ngawur', 'mending', 'smartfren', 'kemarin', 'cuk', 'ngelek', 'main', 'game', 'paketan', 'rb', 'kebawah', 'baca', 'telkomsel', 'main', 'game', 'pengen', 'nyesel', '']</t>
  </si>
  <si>
    <t>['jaringan', 'bagus', 'tpi', 'boong', 'tutup', 'tutup', 'kenenenenennenenennenenentotototototoototororoiroroririirirroro']</t>
  </si>
  <si>
    <t>['skarang', 'jariangan', 'telkomsel', 'lalot', 'yaa', 'sengaja', 'pindah', 'ketelkomsel', 'gpp', 'mahal', 'lancar', 'main', 'game', 'ehh', 'bagus', 'murah', 'stabil']</t>
  </si>
  <si>
    <t>['jaringan', 'telkomsel', 'timbul', 'tenggelam', 'hujan', 'mati', 'lampu', 'jaringan', 'ilang', 'mahalnya', 'konsisten', 'kualitasnya', 'menurun', 'sediiih']</t>
  </si>
  <si>
    <t>['kecewa', 'kartu', 'jaringan', 'bertambah', 'buruk', 'paket', 'apilakasi', 'telkomsel', 'buka', 'sesali', 'pengguna', 'kartu', 'sebentat', 'atw', 'pengguna', 'mohon', 'maaf', 'skrang', 'kecewa', 'kartu', 'jaringan', 'bagus', 'buruk', '']</t>
  </si>
  <si>
    <t>['bln', 'rb', '']</t>
  </si>
  <si>
    <t>['kecewa', 'data', 'menyala', 'sebentar', 'langsung', 'kena', 'potong', 'pulsa']</t>
  </si>
  <si>
    <t>['mudah', 'berguna']</t>
  </si>
  <si>
    <t>['mendekati', 'pergantian', 'harga', 'paketnya', 'draatis', 'mahal', 'paket', 'telpon']</t>
  </si>
  <si>
    <t>['simpati', 'mahal', 'doang', 'jaringan', 'kaya', 'hutan', 'najisss']</t>
  </si>
  <si>
    <t>['maaf', 'kukasi', 'bintang', 'dlu', 'klw', 'memuaskan', 'bintang', 'langsung']</t>
  </si>
  <si>
    <t>['pokok', 'mantep', 'telkomsel']</t>
  </si>
  <si>
    <t>['telkomsel', 'ancur', 'jaringannya', 'game', 'lag', 'jump', 'harga', 'paket', 'kuotanya', 'mahal', 'pokoknya', 'pelayanannya', 'sesuai', 'harga', 'bayar', '']</t>
  </si>
  <si>
    <t>['update', 'ngeblank', 'putih', 'solusi', 'min', '']</t>
  </si>
  <si>
    <t>['buka', 'aplikasi', 'doang', 'kagak', 'mahal', 'doang', 'sinyal', 'lag', '']</t>
  </si>
  <si>
    <t>['sinyalnya', 'astaga', 'parah']</t>
  </si>
  <si>
    <t>['aplikasi', 'error', 'playstore']</t>
  </si>
  <si>
    <t>['tolong', 'telkomsel', 'percepat', 'pebaikannya', 'update', 'pakek', 'apl', 'klw', 'layar', 'putih', 'doang', 'muncul']</t>
  </si>
  <si>
    <t>['ancir', 'jaringan', 'telkomsel', 'sesuai', 'harga', 'kuotanya', 'jaringan', 'ngaco', '']</t>
  </si>
  <si>
    <t>['boros', 'tsel', 'beli', 'paket', 'promo', 'terkuras', 'kuotanya', 'beli', 'udh', 'kuota', 'udah', 'mahal', 'cepet', 'terkuras', '']</t>
  </si>
  <si>
    <t>['apk', 'telkomsel', 'terkadang', 'buka']</t>
  </si>
  <si>
    <t>['udah', 'bberapa', 'buka', 'apk', 'telkomsel', 'gabisa', 'layar', 'putih', 'doang', 'jaringan', 'down', 'wifipun', 'buka', 'apk', 'enak', 'diperbaiki']</t>
  </si>
  <si>
    <t>['membantu', 'good']</t>
  </si>
  <si>
    <t>['semenjak', 'update', 'kemaren', 'aplikasi', 'gabisa', 'buka', 'layar', 'putih', 'udh', 'tunggu', 'mnt', 'layar', 'tetep', 'putih', 'tolong', 'perbaiki', 'secepatnya']</t>
  </si>
  <si>
    <t>['', 'lancar', 'jaringannya', '']</t>
  </si>
  <si>
    <t>['internet', 'lelet', 'menyesal', 'pakai', 'hallo']</t>
  </si>
  <si>
    <t>['jaringan', 'lelet', 'emosi', 'kota', 'jaringan', 'running', 'menjengkelkan', 'beli', 'paket', 'unlimited', 'youtube', 'pas', 'akses', 'namakan', 'penipuan', 'terselubung', 'wkwkwkwkwkwk']</t>
  </si>
  <si>
    <t>['semoga', 'membantu', 'orang', '']</t>
  </si>
  <si>
    <t>['kecewa', 'pengguna', 'skrg', 'payah', 'jaringan', 'tower', 'korup', '']</t>
  </si>
  <si>
    <t>['memuaskan', 'beli', 'kuota', 'combo', 'sakti', 'unlimited', 'buka', 'tiktok', 'game', 'padaha', 'deskripsi', 'unlimited', 'multimedia', 'apl', 'tsb']</t>
  </si>
  <si>
    <t>['tolong', 'harga', 'paketnya', 'kurangi', 'dsni', 'pengguna', 'telkomsel', 'banyk', 'orng', 'beli', 'paket', 'mahal', 'paketny', 'kemahalan']</t>
  </si>
  <si>
    <t>['apknya', 'baguss']</t>
  </si>
  <si>
    <t>['piye', 'aplikasi', 'putih', 'kabeh', 'iso', 'cek', 'kouta', 'bos']</t>
  </si>
  <si>
    <t>['mngecwakan', 'update', 'tpi', 'dibuka']</t>
  </si>
  <si>
    <t>['udah', 'reinstal', 'ulang', 'handphone', 'layarnya', 'putih', 'hitam', 'pusat', 'play', 'store', 'pusat', 'telkomsel', '']</t>
  </si>
  <si>
    <t>['udah', 'kali', 'beli', 'paket', 'game', 'pakai', 'buka', 'aplikasi', 'dideskripsi', 'aplikasi', 'game', 'dipakai', 'kuota', 'internet', 'utama', 'ujung', 'ujungnya', 'beli', 'paket', 'internet', 'tolong', 'diperbaiki']</t>
  </si>
  <si>
    <t>['kuota', 'unlimited', 'youtube', 'work', 'kuota', 'utama', 'terserap', 'habis', 'kuota', 'utama', '']</t>
  </si>
  <si>
    <t>['puas', 'sinyal', 'nggak', 'sebagus']</t>
  </si>
  <si>
    <t>['beli', 'kouta', 'ketengan', 'pulsa', 'suka', 'pulsa', 'tolong', '']</t>
  </si>
  <si>
    <t>['smoga', 'aplikasi', 'mytelkomsel', 'lncar', 'jaya', 'trs', 'kdepan', 'tma', 'kli', 'aplikasi', 'amin', '']</t>
  </si>
  <si>
    <t>['kuota', 'multimedia', 'beli', 'paket', 'surprisedealnonton', 'gabs', 'dipake', 'buka', 'disney', 'hotstar', 'ngga', 'penipuan', 'udah', 'aplikasi', 'telkomsel', 'gabs', 'chat', 'veronica', 'gabs']</t>
  </si>
  <si>
    <t>['parah', 'telkomsel', 'terbuka', '']</t>
  </si>
  <si>
    <t>['mempermudah', 'hidup']</t>
  </si>
  <si>
    <t>['gimana', 'tampilan', 'layar', 'putih', 'dibuka', 'app', '']</t>
  </si>
  <si>
    <t>['berguna', 'aban', 'get', 'sumpah', 'liat', 'kouta', 'internet', '']</t>
  </si>
  <si>
    <t>['paketan', 'tmbah', 'larang']</t>
  </si>
  <si>
    <t>['kesini', 'banget', 'sinyal', 'eror']</t>
  </si>
  <si>
    <t>['bagus', 'trangsaksi']</t>
  </si>
  <si>
    <t>['maaf', 'kak', 'gakbisa', 'buka', 'aplikasi', 'telkomsel', 'udh', 'menitan', 'blank', 'layarnya', 'masuk', 'aplikasinya']</t>
  </si>
  <si>
    <t>['masya', 'allah', 'aplikasinya', 'bagus']</t>
  </si>
  <si>
    <t>['bagusin', 'sinyalmu', '']</t>
  </si>
  <si>
    <t>['toker', 'poin', 'capek', 'poin', 'kpan', 'slsenya']</t>
  </si>
  <si>
    <t>['semoga', 'pemenang']</t>
  </si>
  <si>
    <t>['udah', 'update', 'aplikasi', 'telkomsel', 'update', 'muncul', 'layar', 'putih', 'kecewa', '']</t>
  </si>
  <si>
    <t>['nglag', 'ngtd']</t>
  </si>
  <si>
    <t>['apk', 'sngt', 'mantul']</t>
  </si>
  <si>
    <t>['', 'bner', 'ajh', 'tpi', 'buka', 'mlah', 'layar', 'putih']</t>
  </si>
  <si>
    <t>['mahal', 'kualitas', 'gada']</t>
  </si>
  <si>
    <t>['paketnya', 'murah', 'suka', 'suka', '']</t>
  </si>
  <si>
    <t>['harga', 'paket']</t>
  </si>
  <si>
    <t>['leg', 'maju', 'tingkat', 'signal', 'bagus', 'menurun', 'udah', 'paket', 'signal', 'buruk', 'hadehh', 'konyol', '']</t>
  </si>
  <si>
    <t>['membantu', 'terima', 'kasih', 'telkomsel', '']</t>
  </si>
  <si>
    <t>['babi', 'sinyal', 'ngelag']</t>
  </si>
  <si>
    <t>['daerah', 'sintang', 'sepauk', 'kalbar', 'skpc', 'area', 'signal', 'telkomsel', 'bangunin', 'towerlah', '']</t>
  </si>
  <si>
    <t>['kartu', 'beli', 'pulsa', 'ilang', 'ilang', 'kartu', 'maling']</t>
  </si>
  <si>
    <t>['kecewa', 'muncul', 'layar', 'putih']</t>
  </si>
  <si>
    <t>['min', 'kemaren', 'masuk', 'aplikasi', 'jni', 'tolong', 'min']</t>
  </si>
  <si>
    <t>['telkomse', 'bagus', 'kadang', 'kadang', 'lelet']</t>
  </si>
  <si>
    <t>['aplikasinya', 'dibuka', 'ngecek', 'kuota', 'pulsa', '']</t>
  </si>
  <si>
    <t>['aplikasi', 'telkomsel', 'buka', 'trus', 'unistal', 'download', 'layar', 'putih', '']</t>
  </si>
  <si>
    <t>['telkomsel', 'jaringannya', 'jelek', 'banget', 'nyesel', 'telkomsel', '']</t>
  </si>
  <si>
    <t>['parah', 'sinyalnya', 'sekrng', 'parah', 'bngt', 'ganti', 'kartu', 'trs', 'coba', 'perbaikilah', 'jaringannya', 'rugi', 'paketan', 'sinyal', 'hadeuhhh', '']</t>
  </si>
  <si>
    <t>['masuk', 'mohon', 'perbaiki', 'terima', 'kasih']</t>
  </si>
  <si>
    <t>['mahal', 'paketnya']</t>
  </si>
  <si>
    <t>['jaringannya', 'meluas']</t>
  </si>
  <si>
    <t>['aplikasi', 'lemot', 'update', 'trs', '']</t>
  </si>
  <si>
    <t>['parah', 'ngeblank', 'putih', 'tampilannya', 'kaya', 'pocong', 'minggu', 'perbaikan']</t>
  </si>
  <si>
    <t>['bintang', 'kasih', 'promo', 'murah', 'murah']</t>
  </si>
  <si>
    <t>['mahal', 'iya', 'sinyal', 'ngga', 'stabil', 'iya', 'ngabisin', 'paket', 'fixs', 'ganti', 'oprator', 'komplain', 'brkali', 'ttp', 'ngga', 'perubahan', '']</t>
  </si>
  <si>
    <t>['aplikasi', 'parah', 'kagak', 'dibuka', 'mulu', 'lancar', 'reno', 'memorinya', 'mhn', 'diperbaiaki', 'min']</t>
  </si>
  <si>
    <t>['ngapain', 'harga', 'kuotanya', 'berubah', 'ngak']</t>
  </si>
  <si>
    <t>['daerah', 'terpencil', 'jaringan', 'jelek', 'mengecewakan', 'gamer']</t>
  </si>
  <si>
    <t>['bayar', 'mahal', 'jaringan', 'murahan']</t>
  </si>
  <si>
    <t>['aplikasinya', 'bagus', 'cuman', 'saran', 'paket', 'internet', 'murah', 'promo', 'mksih', '']</t>
  </si>
  <si>
    <t>['jengkel', 'buka', 'aplikasi', 'berat', 'lemot']</t>
  </si>
  <si>
    <t>['semenjak', 'diperbahurui', 'aplikasi', 'telkomsel', 'ngeblank', 'layar', 'putih', 'mohon', 'bantuannya', 'tmks']</t>
  </si>
  <si>
    <t>['semoga', 'pelayananya', '']</t>
  </si>
  <si>
    <t>['maytetkomsel', 'bukak', 'knapa']</t>
  </si>
  <si>
    <t>['bagus', 'paket', 'murahnya']</t>
  </si>
  <si>
    <t>['telkomtol', 'ajg', 'nonton', 'youtube', 'kuota', 'utama', 'kuota', 'unlimited', 'youtube', 'bener', 'telkomtol', 'ajg', 'nyesel', 'telkomtol']</t>
  </si>
  <si>
    <t>['bagus', 'banget', 'aplikasi']</t>
  </si>
  <si>
    <t>['instal', 'nggak', 'dibuka', 'tolong', 'kak', 'mimin', 'enak', 'beli', 'paket', 'telkomsel']</t>
  </si>
  <si>
    <t>['app', 'buka', 'blank', 'layar', 'putih']</t>
  </si>
  <si>
    <t>['mudahhh', 'praktis']</t>
  </si>
  <si>
    <t>['', 'downlad', 'reset', 'tetam', 'putih', 'update', 'ntar', 'tinggalin', 'merah']</t>
  </si>
  <si>
    <t>['mohon', 'perbaiki', 'paketnya', 'salah', 'beli', 'paket', 'hilang', 'paketnya', 'pakai', 'mohon', 'bantuannya', 'beli', 'paket', 'paket', 'menit', 'hilang', 'paketnya', 'mohon', 'telkomsel']</t>
  </si>
  <si>
    <t>['kcewa', 'pengguna', 'telkomsel', 'taun', 'sampe', 'skrg', 'perubahan', 'kcewa', 'paket', 'mahal', 'app', 'tida', 'mendukung', 'jengkel']</t>
  </si>
  <si>
    <t>['admin', 'mohon', 'infonya', 'kemaren', 'loging', 'uplikasi', 'telkomsel', 'mohon', 'penjelsasannya']</t>
  </si>
  <si>
    <t>['mantap', 'pas', 'banget']</t>
  </si>
  <si>
    <t>['asuuuu', 'login', 'ngeselin', 'otp', '']</t>
  </si>
  <si>
    <t>['cocok', 'pakai']</t>
  </si>
  <si>
    <t>['aplikasi', 'rusak', 'pagi', 'beli', 'ketengan', 'unlimited', 'skrg', 'disuruh', 'login', 'ulg', 'disuruh', 'cek', 'koneksi', 'pdhl', 'koneksi', 'bagus', 'telkomsel', 'deh', 'tolong', 'perbaiki', '']</t>
  </si>
  <si>
    <t>['aplikasinya', 'seminggu', 'pas', 'dibuka', 'mala', 'ank', 'putih', 'gitu', 'kecewalahhh']</t>
  </si>
  <si>
    <t>['kouta', 'lokal', 'nonton', 'gimana', 'pakainya', 'apk', 'support', 'film', 'terbaik', 'telkomsel', '']</t>
  </si>
  <si>
    <t>['kali', 'aplikasi', 'skrg', 'susah', 'dibuka', 'pas', 'dibuka', 'layar', 'putih', '']</t>
  </si>
  <si>
    <t>['knapa', 'telkomsel', 'dibuka']</t>
  </si>
  <si>
    <t>['membantu', 'informasi', 'lengkap', 'mantap', '']</t>
  </si>
  <si>
    <t>['semoga', 'jaya', 'kedepan', 'telkomsel', 'terbaik', 'pilih', 'telkomsel', 'pilih']</t>
  </si>
  <si>
    <t>['apk', 'buka', 'knpa', 'smjak', 'ganti', '']</t>
  </si>
  <si>
    <t>['jaringan', 'buruk', 'merusak', 'kepercayaan', 'orang', 'telkomsel']</t>
  </si>
  <si>
    <t>['update', 'force', 'close', 'min', 'layarnya', 'putih', 'sampe', 'jam', 'tunggu', 'buka', 'please', 'perbaiki', 'ntar', 'rating', 'telkomsel', 'nurun']</t>
  </si>
  <si>
    <t>['update', 'terbaru', 'tampilan', 'putih', 'mohon', 'pencerahannya', 'admin', '']</t>
  </si>
  <si>
    <t>['jaringan', 'udah', 'bobrok', 'dikit', 'mati', 'ilang', 'mari', 'berbondong', 'pindah', 'jaringan', 'tinggalkan', 'unisntal', 'mytelkomsel']</t>
  </si>
  <si>
    <t>['habis', 'update', 'app', 'blank', 'layar', 'putih', 'lihat', 'laman', 'ulasan', 'mengalami', 'helloooww', 'ngga', 'belajar', 'telkomsel', 'come', 'korban', 'bertambah', 'memutuskan', 'pindah']</t>
  </si>
  <si>
    <t>['aplikasi', 'rigan', 'tipe', 'smartphone', '']</t>
  </si>
  <si>
    <t>['terima', 'kasih', 'layanan', 'promo', 'kuota']</t>
  </si>
  <si>
    <t>['telkomsel', 'kah', 'aplikasinya', 'dibukaaa', 'layar', 'putih', 'trus', 'bodoh', 'udh', 'minggu', 'konfirmasi', 'mytelkom', 'app', 'sudh', 'bngk', 'komen', 'respon', 'tolol', 'harga', 'pejabat', 'sinyal', 'cacad', 'monopoli', 'harga', 'kah', 'barang', 'sesuai', 'ditawarkan', 'sudh', 'setia', 'make', 'telkom', 'kek', 'gini']</t>
  </si>
  <si>
    <t>['mudah', 'mudahan', 'telkomsel', 'murah', 'meriah', 'paket', 'internet']</t>
  </si>
  <si>
    <t>['ngak', 'sebagus', 'aplikasi', 'aksis', '']</t>
  </si>
  <si>
    <t>['mahal', 'banget', 'bagus', 'versi', 'murah', 'terjamin', 'apk', 'ngelek', 'jan', 'didownload', 'gaes', '']</t>
  </si>
  <si>
    <t>['telkomsel', 'ngelag', 'udah', 'bayar', 'mahal', 'mahal', '']</t>
  </si>
  <si>
    <t>['belik', 'data', 'jaringannya', 'eror', '']</t>
  </si>
  <si>
    <t>['telkomsel', 'aplikasiny', 'susah', 'buka', 'restrart', 'berulang', 'apk', 'udah', 'kali', 'install', 'ulang', 'kelsulitan', 'mengecek', 'saldo', 'kuota', 'pulsa', 'tagihan', 'pemakaian', 'memakai', 'kartu', 'pascabayar', 'mdah', 'berfungsi', '']</t>
  </si>
  <si>
    <t>['telkomsel', 'menang', 'nama', 'menang', 'mahal', 'doang', 'signal', 'buruk', 'adak', 'perbaikan', 'merugikan', 'penguna', 'tolong', 'digingkatkn', 'dipstbaikii', 'jaringanya']</t>
  </si>
  <si>
    <t>['kecewa', 'banget', 'sinyalnya', 'tolong', 'tingkatkan', 'buruk']</t>
  </si>
  <si>
    <t>['diskon', '']</t>
  </si>
  <si>
    <t>['paketan', 'internet', 'mahal', 'sinyal', 'mengecewakan', 'tinggal', 'jakarta']</t>
  </si>
  <si>
    <t>['telkomsel', 'buka', 'lancar', 'lancar']</t>
  </si>
  <si>
    <t>['kasih', 'bintang', 'layar', 'putih', 'layanan', 'tlg', 'perbaiki', 'secepatnyaya']</t>
  </si>
  <si>
    <t>['masuk', 'layar', 'putih', 'doang', 'tampil']</t>
  </si>
  <si>
    <t>['membantu', 'apk', 'turunin', 'harga', 'min', '']</t>
  </si>
  <si>
    <t>['mantab', 'tampilannya']</t>
  </si>
  <si>
    <t>['jaringan', 'lelet', 'banget']</t>
  </si>
  <si>
    <t>['kecewa', 'banget', 'versi', 'buka']</t>
  </si>
  <si>
    <t>['kecewa', 'pengisian', 'kali', 'telan', 'pulsanya', 'dikonfirmasi', 'gada', 'respon', 'kecewa']</t>
  </si>
  <si>
    <t>['rada', 'mahalan']</t>
  </si>
  <si>
    <t>['udah', 'downlod', 'kalinya', 'aplikasi', 'telkomnya', 'tetep', 'dibuka', 'mohon', 'diperbaiki', 'aplikasi']</t>
  </si>
  <si>
    <t>['diupgrade', 'white', 'screen', 'udah', 'minggu', 'dibuka', 'skali', '']</t>
  </si>
  <si>
    <t>['semoga', 'lbh']</t>
  </si>
  <si>
    <t>['heran', 'sayahhh', 'sinyal', 'leled', 'cepat', 'bngt', 'nyata', 'buka', 'shopee', 'bngt', 'kek', 'kek', 'benerin', 'dlu', 'dehh', 'kecewa', 'hilangkan', 'ganti', 'tuhhh', 'buka', 'aplikasi', 'shopee', '']</t>
  </si>
  <si>
    <t>['pengguna', 'telkomsel', 'semenjak', 'smp', 'kerja', 'kali', 'sya', 'emosi', 'karna', 'koneksi', 'jaringnaya', 'udah', 'tpi', 'jarainganya', 'lambat', 'mengalamin', 'tpi', 'orang', 'mengeluhkan', 'ganti', 'oprator', 'saking', 'lembatnya', 'koneksi', 'jaringnaya', 'tolong', 'perbaiki', 'koneksinya']</t>
  </si>
  <si>
    <t>['kecewa', 'karna', 'haraga', 'ngtok', 'jing']</t>
  </si>
  <si>
    <t>['telkomsel', 'signalnya', 'ngelag', 'mulu', 'sinyalnya', 'bagus', 'pas', 'nge', 'game', 'ngelag', 'mulu', 'telkom', 'bosok']</t>
  </si>
  <si>
    <t>['update', 'dibuka', 'aneh', 'bangeettt']</t>
  </si>
  <si>
    <t>['mantap', 'disconnya', '']</t>
  </si>
  <si>
    <t>['kakak', 'download', 'telkomsel']</t>
  </si>
  <si>
    <t>['telekkkk', 'jelek', 'mahal', '']</t>
  </si>
  <si>
    <t>['', 'app', 'ngga', 'bukaaaaaaaa', 'layarnya', 'putih', 'doankkkk', '']</t>
  </si>
  <si>
    <t>['semoga', 'berkah', '']</t>
  </si>
  <si>
    <t>['nggk', 'kebuka', 'white', 'screen']</t>
  </si>
  <si>
    <t>['paketan', 'murah', 'harganya', '']</t>
  </si>
  <si>
    <t>['cepat', 'akurat', 'dlm', 'informasi']</t>
  </si>
  <si>
    <t>['sinyal', 'telkomsel', 'main', 'game']</t>
  </si>
  <si>
    <t>['kecewa', 'operator', 'telkomsel', 'isi', 'pulsa', 'tersedot', 'alasan', 'cek', 'history', 'pemberitahuan', 'alasan', 'pulsa', 'tersedot', 'kali', 'isi', 'ulang', 'tersedot', 'mohon', 'pertanggungjawaban', 'secepatnya', 'operator', 'telkomsel', '']</t>
  </si>
  <si>
    <t>['membantu', 'berkomunikasi']</t>
  </si>
  <si>
    <t>['parah', 'android', 'force', 'close', 'upload', 'playstore', 'testing', 'ngg', 'developernya', 'belajar']</t>
  </si>
  <si>
    <t>['bintang', 'kecewa', 'pulsa', 'dipotong', 'paket', 'internet', 'grapari', 'terpotong', 'beli', 'paket', 'internet', 'aplikasi', 'diperpanjang', 'akses', 'internetnya', 'jaringan', 'datanya', 'kartu', 'sim', 'rugi', 'isi', 'pulsa', 'isi', 'pulsa', 'perpanjang', 'aktif', 'kartu', 'pakai', 'tolong', 'min', 'paket', 'diperpanjang', 'langsung', 'non', 'aktif', 'potong', 'pulsa']</t>
  </si>
  <si>
    <t>['paket', 'mahal', 'giliran', 'hujan', 'jaringan', 'udah', 'kek', 'keong', 'racun']</t>
  </si>
  <si>
    <t>['', 'ditingkatkan', 'jaringannya', 'lemot', 'mlh', 'harga', 'ditingkatkan', 'mulu', 'hadech']</t>
  </si>
  <si>
    <t>['perbaharui', 'mlah', 'aplikasi', 'dibuka', '']</t>
  </si>
  <si>
    <t>['min', 'knpa', 'mytelkomsel', 'gabisa', 'buka']</t>
  </si>
  <si>
    <t>['apasih', 'diupdate', 'white', 'screen', 'mulu', 'banget']</t>
  </si>
  <si>
    <t>['kecewe', 'buka', 'aplikasi', 'mlh', 'mlah', 'putih', 'kecewa', 'tolong', 'perbaiki']</t>
  </si>
  <si>
    <t>['ndak', 'buka', 'mytelkomsel', 'dilayar', 'tampilan', 'putih', 'blank', 'pagi', 'ndak', 'bsa', 'beli', 'paket']</t>
  </si>
  <si>
    <t>['pilihan', 'combo', 'sakti', '']</t>
  </si>
  <si>
    <t>['mohon', 'pelayanan', 'terbaik', 'minimal', 'pelayanan', 'muak', '']</t>
  </si>
  <si>
    <t>['make', 'nomor', 'telkomsel', 'blom', 'promo', 'kuota', 'temen', 'sebulan', 'dapet', '']</t>
  </si>
  <si>
    <t>['banget', 'dapet', 'yaris']</t>
  </si>
  <si>
    <t>['bnyak', 'promo', 'kuota', 'donk']</t>
  </si>
  <si>
    <t>['min', 'minggu', 'klu', 'masuk', 'apl', 'telkomsel', 'pas', 'klik', 'apl', 'tampilan', 'layar', 'putih', 'min', '']</t>
  </si>
  <si>
    <t>['tingkatkan', 'performa']</t>
  </si>
  <si>
    <t>['buka', 'aplikasi', 'layar', 'putih', 'data', 'seluler', 'maksudnya']</t>
  </si>
  <si>
    <t>['terpaksa', 'uninstall', 'aplikasi', 'kasih', 'bintang', 'bolak', 'install', 'tgl', 'desember', 'dibuka', 'aplikasinya', 'memakan', 'kuotanya', '']</t>
  </si>
  <si>
    <t>['tlonglah', 'min', 'tingkatkan', 'kualitasnya', 'bnyk', 'org', 'ttp', 'cinta', 'telkomsel', 'susah', 'banget', 'terbuka', '']</t>
  </si>
  <si>
    <t>['paketnya', 'mahal', 'jir']</t>
  </si>
  <si>
    <t>['aplikasi', 'sanga', 'membantu', 'jaringan', 'oprator', 'yamg', 'handal', 'kuat', 'dibandingkan', 'aplikasi', 'aplikasi', 'pokoknya', 'mytelkomsel', 'terima', 'kasih', 'kupon', 'point', 'menjanjikan', 'pemenangnya', 'menukarkan', 'point', 'langsung', 'berkesempatan', 'hadiah', 'semoga', 'pemenangnya', 'tanggal', 'desember', '']</t>
  </si>
  <si>
    <t>['update', 'doang', 'app', 'error', 'mulu', 'udh', 'mah', 'mahal', 'nyaman', 'lgi', 'beli', 'paketnya']</t>
  </si>
  <si>
    <t>['knoa', 'aplikasi', 'layar', 'putih', 'trus', 'min', 'tolong', 'diperbaiki']</t>
  </si>
  <si>
    <t>['harga', 'paket', 'mahal', 'jaringan', 'kek']</t>
  </si>
  <si>
    <t>['aplikasi', 'membantu', 'memudahkan', 'regristrasi', '']</t>
  </si>
  <si>
    <t>['harga', 'paketnya', 'lag', 'mulu', 'maen', 'game', 'males', 'telkomsel', '']</t>
  </si>
  <si>
    <t>['puas', 'berb', 'agai', 'berfungsi', '']</t>
  </si>
  <si>
    <t>['lucky', 'prize', 'segitu', 'bintangnya', 'wkwkwkwk']</t>
  </si>
  <si>
    <t>['tgl', 'des', 'masul', 'aplikasi', 'telcomcel', 'napa', 'ampe', 'reset', 'dounload', 'ampe', 'brapa', 'kali', 'ulang', 'blom', 'napa', 'coba']</t>
  </si>
  <si>
    <t>['bagus', 'membantu', 'terkadang', 'login', 'nyaman', '']</t>
  </si>
  <si>
    <t>['harga', 'mahal', 'kena', 'angin', 'dikit', 'sinyal', 'ilang', 'badut', '']</t>
  </si>
  <si>
    <t>['jaringan', 'putus', 'ilang']</t>
  </si>
  <si>
    <t>['kasih', 'bintang', 'kampung', 'jaringan', 'internet', 'bagus']</t>
  </si>
  <si>
    <t>['mahal', 'hasilnya', 'bener', 'parah', 'ancuur', '']</t>
  </si>
  <si>
    <t>['buka', 'app', 'telkomsel', 'layar', 'putiiih', '']</t>
  </si>
  <si>
    <t>['membantu', 'mudah', 'pembelian', 'paket']</t>
  </si>
  <si>
    <t>['telkomsel', 'jelek', 'sinyalnya', 'susah', 'sinyalnya', '']</t>
  </si>
  <si>
    <t>['', 'harga', 'sakti', 'beda', 'paketnya', 'hmm', 'bgmn', 'ganjil', 'bayarnya', 'thx']</t>
  </si>
  <si>
    <t>['gmn', 'masuk', 'bantuan', 'telkomsel', 'layar', 'putih', 'min', 'ngadu', 'pembaruan', 'putihhhhhh', 'gunain', 'telkomsel', 'tolong', 'perbaikan', 'kembalikan', 'versi', 'sblm', '']</t>
  </si>
  <si>
    <t>['susah', 'masuk', 'aplikasi', 'download', 'ulang', '']</t>
  </si>
  <si>
    <t>['sangan', 'murah', '']</t>
  </si>
  <si>
    <t>['transaksi', 'pulsa', 'mudah']</t>
  </si>
  <si>
    <t>['mytelkomsel', 'sngt', 'mmbantu', 'login', 'dll', 'bgtu', 'mudah', 'myt', 'tks', '']</t>
  </si>
  <si>
    <t>['bosok', 'diupdate', 'mlh', 'rusak', 'keluarnya', 'with', 'screen', '']</t>
  </si>
  <si>
    <t>['', 'instal', 'versi', 'nga', 'buka', 'putih', '']</t>
  </si>
  <si>
    <t>['masuk', 'aplikasi', 'mohon', 'bantuan', 'kak', '']</t>
  </si>
  <si>
    <t>['masukan', 'provider', 'telkomsel', 'memperbarui', 'pilihan', 'paket', 'merk', 'sebelah', 'harga', 'paket', 'turunin', 'konsumen', 'senang', '']</t>
  </si>
  <si>
    <t>['kecewa', 'diperbarui', 'buka']</t>
  </si>
  <si>
    <t>['heran', 'notif', 'menikmati', 'internet', 'non', 'paket', 'kuota', 'internet', 'kali', 'sisa', 'pulsa', 'paket', 'slanjutnya', 'kemalingan', '']</t>
  </si>
  <si>
    <t>['pokok', 'aplikasi', 'telkomsel', 'memuaskan', 'paket', 'murah', 'nguras', 'kantong', 'banget', 'setia', 'pakai', 'telkomsel', '']</t>
  </si>
  <si>
    <t>['jaringan', 'telkomsel', 'ngelag', 'banget', 'macem', 'tinggal', 'hutan', 'signal', 'titik', 'percumah', 'harga', 'mahal', 'kualitas', 'rendah', 'jaringan', 'sebelah', 'nyesel', 'pakai', 'telkomsel', 'pengguna', 'telkomsel', 'beralih', 'proprider', 'sebelah', 'harap', 'selesaikan', 'cepat', '']</t>
  </si>
  <si>
    <t>['menambah', 'kekuatan', 'sinyal', 'tlp', 'data', 'komunikasi', '']</t>
  </si>
  <si>
    <t>['mohon', 'ditindak', 'lanjuti', 'aplikasi', 'dibuka', 'muncul', 'layar', 'putih']</t>
  </si>
  <si>
    <t>['', 'kecewa', 'telkomsel', 'buka', 'aplikasi', 'telkomsel', 'layarnya', 'putih', 'padah', 'unistal', 'donwload', 'buka', '']</t>
  </si>
  <si>
    <t>['telokmsel', 'masukin', 'kode', 'vocer', 'sibuk', 'cape', 'gue', 'iadi', 'malam', 'masukin', 'vocer', 'lokasi', 'makassar']</t>
  </si>
  <si>
    <t>['kecewa', 'banget', 'sumpah', 'main', 'pubg', 'ping', 'diatas', 'ms', 'orang', 'kartu', 'jaringan', 'bagus', 'luas', 'kenyataan', 'nyoba', 'pakai', 'udah', 'kecewa']</t>
  </si>
  <si>
    <t>['sinyal', 'bagus', 'daerah', 'flores', 'labuan', 'bajo', '']</t>
  </si>
  <si>
    <t>['dicobah', 'kasi', 'bintang', '']</t>
  </si>
  <si>
    <t>['diupdate', 'eror', 'yaaa']</t>
  </si>
  <si>
    <t>['kecewa', 'banget', 'telkomsel', 'jaringan', 'buruk', 'lelet', 'parah', 'hilang', 'jaringannya', 'kadang', 'pindah', 'segi', 'harga', 'kuota', 'mahal', 'pengguna', 'lainya', 'kecewa', 'mohon', 'cepat', 'diperbaiki', 'pindah', 'provider', 'atasi', '']</t>
  </si>
  <si>
    <t>['sebulan', 'aplikasi', 'telkomsel', 'bsa', 'dibuka', 'update', 'ttp', 'layar', 'putih', 'hri', 'lambat', 'jringannya', 'uuuhhh', 'perbaharuin', 'jaringan', 'aplikasinya', '']</t>
  </si>
  <si>
    <t>['bermasalah', 'telkomsel', 'terbaik']</t>
  </si>
  <si>
    <t>['dibuka', 'apknya', 'dibuka', 'pdahal', 'daftar']</t>
  </si>
  <si>
    <t>['beli', 'paket', 'data', 'rb', 'sinyal', 'jelek', 'stabil', 'titik', 'telkomsel']</t>
  </si>
  <si>
    <t>['jaringan', 'strabil', 'bonusnya', 'menarik', 'harga', 'kuotanya', 'turunin', '']</t>
  </si>
  <si>
    <t>['telkomsel', 'diakses', 'layar', 'putih', 'muncul', 'mohon', 'diperbaiki', 'trims']</t>
  </si>
  <si>
    <t>['telkomsel', 'cepat', 'mudah', 'akses']</t>
  </si>
  <si>
    <t>['sinyalnya', 'kesini', 'lemot', 'bagus', 'sinyalnya', 'ampas']</t>
  </si>
  <si>
    <t>['sinyal', 'mati', 'pas', 'ngegame', 'sinyal', '']</t>
  </si>
  <si>
    <t>['knp', 'aplikasi', 'telkomsel', 'ngga', 'buka', 'semnjak', 'update']</t>
  </si>
  <si>
    <t>['tolooooong', 'buka', 'cuman', 'blank', 'putih', 'samsung', '']</t>
  </si>
  <si>
    <t>['kemudahannya']</t>
  </si>
  <si>
    <t>['telkomsel', 'aneh', 'membeli', 'kouta', 'harga', 'mahal', 'pikir', 'kaya', 'pemerasa', 'bukanya', 'diskon', 'harganya', 'aga', 'murahin', 'mah', 'kin', 'rajin', 'membeli', 'kouta', 'telkomsel', 'harganya', 'hadeuuh', 'payah', 'telkomsel', 'nie', 'kaya', 'pemerasan', 'jja', '']</t>
  </si>
  <si>
    <t>['mahal', 'harga', 'paketanya']</t>
  </si>
  <si>
    <t>['adakah', 'promo']</t>
  </si>
  <si>
    <t>['update', 'apk', 'layar', 'putih', 'masuk', 'tolong', 'diperbaiki']</t>
  </si>
  <si>
    <t>['burik', 'jaringannya']</t>
  </si>
  <si>
    <t>['keren', 'banget', 'promonya']</t>
  </si>
  <si>
    <t>['telkomsel', 'kesini', 'parah', 'jaringan', 'sinyal', 'buruk', 'kecewa', 'udah', 'beli', 'mahal', 'mahal', 'paketan', 'jaringan', 'ilang']</t>
  </si>
  <si>
    <t>['aplikasi', 'keren', 'membantu', 'promo', 'promo', 'murah']</t>
  </si>
  <si>
    <t>['lelet', 'lelet', 'lelet', 'lelet', 'buka', 'loading', 'trus']</t>
  </si>
  <si>
    <t>['', 'dapet', 'promo', 'bagus']</t>
  </si>
  <si>
    <t>['apk', 'bagus', 'beli', 'paket', 'gb', '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t>
  </si>
  <si>
    <t>['kecewa', 'telkomsel', 'suda', 'sinyal', 'telkomsel', 'daerah', 'edge', '']</t>
  </si>
  <si>
    <t>['mahal', 'mahal']</t>
  </si>
  <si>
    <t>['jaringan', 'telkomsel', 'kaya', 'kura', 'kura', 'lemot', 'banget', 'hujan', 'hadeuh', 'nggak', 'deh']</t>
  </si>
  <si>
    <t>['wow', 'sinyal', 'kencang', 'banget', 'muter', 'muter']</t>
  </si>
  <si>
    <t>['tingkatkan', 'sinyal', 'pelosok', 'pelosok', 'mempermudah', 'komunikasi', 'terimakasih']</t>
  </si>
  <si>
    <t>['telkomsel', 'tolong', 'diperbaiki', 'singalnya', 'ilang', 'ngangkat', 'main', 'game', 'gaada', 'hujan', 'gaada', 'masak', 'gaada', 'singal', 'trus', 'singal', 'bagus', 'ngepas', 'momentnya', 'bagus', 'tolong', 'diperbaiki', 'make', 'telkomsel', 'bagus', 'singalnya', 'tpi', 'kaya', 'gini', 'kecewa']</t>
  </si>
  <si>
    <t>['kecewa', 'pengguna', 'harga', 'paket', 'internet', 'dikota', 'desa', 'mahalnya', 'kekuatan', 'sinyal', 'berbeda', 'lemot', 'desa', 'mimpi', 'merata', '']</t>
  </si>
  <si>
    <t>['desember', 'telkomsel', 'bukak', 'kecewa']</t>
  </si>
  <si>
    <t>['beli', 'kuota', 'pakai', 'ovo', 'terpotong', 'kuota', 'masuk', '']</t>
  </si>
  <si>
    <t>['jaringan', 'dimana', 'gangguan']</t>
  </si>
  <si>
    <t>['versi', 'tdak', 'akses', 'layar', 'putih', 'dak', 'muncul', 'kecewa']</t>
  </si>
  <si>
    <t>['install', 'buka', 'aplikasi', 'tolong', 'perbaiki', 'maafkan', 'kasih', 'bintang']</t>
  </si>
  <si>
    <t>['white', 'screen', 'mending', 'downgrade', 'versi', 'bnyk', 'error', '']</t>
  </si>
  <si>
    <t>['nggak', 'dibuka', 'diupdate', '']</t>
  </si>
  <si>
    <t>['', 'admin', 'jaringannya', 'cepat', 'perbaiki', 'orang', 'dulunya', 'suka', 'telkomsel', 'berpinda', 'jaringannya', 'memuaskan']</t>
  </si>
  <si>
    <t>['aplikasi', 'dibuka', 'muncul', 'white', 'screen', 'update', 'terbaru', '']</t>
  </si>
  <si>
    <t>['mahal', 'pelit', 'aktif', 'suka', 'main', 'potong', 'pulsa', 'jaringan', 'aplikasi', 'error', 'putih', 'ngeblank', 'banget', 'telkomsel', 'skarang']</t>
  </si>
  <si>
    <t>['minggu', 'desember', 'jaringanya', 'putus', 'nyambung', 'kendala', 'server', 'kah', 'mohon', 'jawabanya', '']</t>
  </si>
  <si>
    <t>['harga', 'kuota', 'mahal', 'kualitas', 'siknyal', 'kek', 'murahan']</t>
  </si>
  <si>
    <t>['emoga', 'membantu']</t>
  </si>
  <si>
    <t>['trma', 'kasih', 'mempermudah', 'beli', 'pulsa', 'saran', 'perbnyak', 'promo', 'pulsa', 'murah', 'efektif', 'trma', 'kasih']</t>
  </si>
  <si>
    <t>['tsel', 'lawak', 'pindah', 'operator']</t>
  </si>
  <si>
    <t>['aplikasi', 'mantep']</t>
  </si>
  <si>
    <t>['minnnnnn', 'app', 'tsel', 'ngk', 'suport', 'tlng', 'sesuaikan', 'lgi', 'bwt', 'android', '']</t>
  </si>
  <si>
    <t>['programnya', 'tolong', 'perbaiki', 'pas', 'kuota', 'paket', 'internetnya', 'habis', 'pulsanya', 'langsung', 'ambil', 'habis', 'terima', 'kasih']</t>
  </si>
  <si>
    <t>['mytelkomsel', 'dibuka', 'mytelkomsel', 'lemod', 'banget', 'buka', 'susah', 'keluarnya', 'layar', 'putih', '']</t>
  </si>
  <si>
    <t>['aplikasi', 'aneh', 'membuka', 'aplikasi', 'putih', 'layar', 'tolong', 'perbaiki', 'mytelkomsel', 'karna', 'merugikan', 'kesulitan', 'cek', 'pulsa', 'membeli', 'paket', 'internet', 'mengecek', 'berlaku', 'tolong', 'perbaiki', 'aplikasi', 'secepat', '']</t>
  </si>
  <si>
    <t>['apliksihnya', 'bgus', '']</t>
  </si>
  <si>
    <t>['susa', 'kadang', 'buka', 'layarnya', 'putih', 'doang', 'bagus', 'suda', 'perbaiki', 'kasih', 'bintang', 'kasih', 'dlu']</t>
  </si>
  <si>
    <t>['signal', 'jelek', 'banget', 'harga', 'mahal', 'kualitas', 'signal', 'jelek', '']</t>
  </si>
  <si>
    <t>['telkomsel', 'parah', 'paketn', 'mahal', 'bangen', 'paketan', 'mohon', 'murah', 'paketan']</t>
  </si>
  <si>
    <t>['tolong', 'jaringan', 'daerah', 'cikarang', 'timur', 'tambahkan', 'kualiatasnya']</t>
  </si>
  <si>
    <t>['aplikasi', 'telkomsel', 'tanggal', 'kemaren', 'bosa', 'buka']</t>
  </si>
  <si>
    <t>['update', 'crash']</t>
  </si>
  <si>
    <t>['gimana', 'update', 'gag', 'dibuka', 'munculnya', 'blank', 'white', 'nyesel', 'update', 'tolong', 'perbaiki', 'apk', 'sekelas', 'telkomsel', 'kayak', 'gini', 'gag', 'diatasi', '']</t>
  </si>
  <si>
    <t>['maaf', 'bintangnya', 'turunkan', 'sekolah', 'pakai', 'telkomsel', 'jaringan', 'bagus', 'sinyal', 'stabil', 'bagus', 'provider', 'angka', 'tinggal', 'didaerah', 'perkotaan', '']</t>
  </si>
  <si>
    <t>['kecewa', 'telkomsel', 'disuruh', 'download', 'telkomsel', 'buka', 'aplikasinya', 'muncul', 'white', 'screen', 'kadang', 'sinyal', 'hilang', 'kecewa', 'telkomsel']</t>
  </si>
  <si>
    <t>['aduh', 'kemarin', 'masuk', 'apknya', 'layar', 'putih', 'doang', 'udah', 'kali', 'hapus', 'apk', 'download', 'tetep', 'layar', 'putih', 'udah', 'digunain', 'apknya', 'admin', 'tolong', 'mah', 'maaf', 'mulu', 'kasih', 'solusinya', 'kek', 'iya', 'haru', 'beralih', 'kayanya', 'iya', 'deh', 'udah', 'ganti']</t>
  </si>
  <si>
    <t>['butuh', 'duit', 'banget', 'harga', 'paket', 'combo', 'sakti', 'dulunya', 'telkomsel', 'seharga', 'wow', 'amazing', 'pertahankan', 'pelanggan', 'tetapmu', 'cepat', 'pindah', 'provider', 'terimakasih', '']</t>
  </si>
  <si>
    <t>['pengguna', 'telkomsel', 'mohon', 'dibantu', 'update', 'aplikasi', 'dibuka', '']</t>
  </si>
  <si>
    <t>['kemaren', 'buka', 'apl', 'telkomsel', 'selalux', 'mncul', 'layar', 'putih', 'sblom', 'apdet', 'bbrp', 'msh', 'msh', 'lancar', 'dibukax', 'ehh', 'knp', 'stlh', 'apdet', 'bsa', 'kebuka', 'tmpilan', 'layar', 'putih', 'trus', 'mohon', 'perhatianx', 'donk', 'jadix', 'susah', 'ngecek', 'kuota', 'check', 'harian', 'rugi']</t>
  </si>
  <si>
    <t>['why', 'update', 'versi', 'terbaru', 'tiidak', 'buka', 'ngeblank', 'putih', 'tolong', 'perbaiiki', 'langganan', 'bertahun', '']</t>
  </si>
  <si>
    <t>['', 'larang', 'bermasalah', 'pekok', 'aplikasiiiiiiii', 'asyuuuuuuuuuuuuuuuuuuuuuuuuuuuuuuuuuuuuuu']</t>
  </si>
  <si>
    <t>['pelayanan', 'jelek', 'solusi', 'bintang', 'telkomsel']</t>
  </si>
  <si>
    <t>['stlah', 'update', 'sisa', 'plsaq', 'ngk', 'terpakai', 'dri', 'bli', 'kuota', 'dri', 'rating', 'lngsung', 'ngk', 'ap', 'kuota', 'mahal', 'pnting', 'jringan', 'lancar']</t>
  </si>
  <si>
    <t>['jaringan', 'lelet', 'larut', 'lelet']</t>
  </si>
  <si>
    <t>['jaringan', 'telkomsel', 'mati', 'susah', 'menit', 'mahal', 'buruk', 'mahal', 'mahal', 'buruk', 'ganti', 'jaringan', 'bagus', 'berguna', 'tolong', 'perbaiki', 'jaringanya', 'jaringan', 'mati', '']</t>
  </si>
  <si>
    <t>['white', 'screen', 'masuk', 'masuk', 'aplikasi']</t>
  </si>
  <si>
    <t>['bermanfaat', 'wes', 'tampilan', 'putih', 'polos', 'kebuka', 'asem', 'kecut']</t>
  </si>
  <si>
    <t>['aplikasi', 'bad', 'bangettt', 'info', 'rincian', 'pembelian', 'lengkap', 'jelek', 'banget', 'sopan', 'sopannya', 'udaaa', 'mahal', 'jelek', 'semoga', 'ditingkatkan', 'yhaaaa']</t>
  </si>
  <si>
    <t>['suka', 'nge', 'bug', 'pilih', 'menu', 'ntar', 'terhenti', 'close']</t>
  </si>
  <si>
    <t>['gmn', 'hubungin', 'telkomsel', 'buka', 'telkomsel', 'ngedrop', 'banget']</t>
  </si>
  <si>
    <t>['aplikasi', 'versi', 'suport', 'selamat', 'tinggal', 'aplikasi', 'telkomsel', '']</t>
  </si>
  <si>
    <t>['semoga', 'jaringan', 'terbaik', 'harga', 'paketannya', 'terjangkau']</t>
  </si>
  <si>
    <t>['aplikasinya', 'ngk', 'bukak', 'belik', 'paket', 'kesel', 'ngk', 'kebukak', 'aplikasi', 'telkomselnya', '']</t>
  </si>
  <si>
    <t>['telkomsel', 'lemah', 'jaringan', 'kecewa', 'kartu', 'halo', 'sinyal', 'lambat', '']</t>
  </si>
  <si>
    <t>['', 'rasakan', 'app', 'smartphone', 'bersaahaabat', 'menawan', 'terimakasih', 'bro', 'salam', '']</t>
  </si>
  <si>
    <t>['komplain', 'data', 'multimedia', 'terpakai', 'hangus', 'kadaluarsa', 'youtub', 'aplikasi', 'hibiran', 'deskripsi', 'data', 'multimedia', 'app', 'mohon', 'perbaiki', 'sistem', 'taunya', 'menguras', 'pengguna', '']</t>
  </si>
  <si>
    <t>['aplikasinya', 'jelek', 'bagus', '']</t>
  </si>
  <si>
    <t>['membantu', 'goodjob', 'lupa', 'berbagi']</t>
  </si>
  <si>
    <t>['assalamualaikum', 'maaf', 'tolong', 'sinyal', 'perbaiki', '']</t>
  </si>
  <si>
    <t>['kasih', 'bintang', 'dlu', 'blum']</t>
  </si>
  <si>
    <t>['beli', 'paket', 'keterangan', 'udah', 'berhasil', 'kuotanya', 'tolong', 'cepat', 'perbaiki', '']</t>
  </si>
  <si>
    <t>['sedotan', 'pulsanya', 'kuat', 'semburannya', 'kenceng', 'telkomsel', '']</t>
  </si>
  <si>
    <t>['jaringan', 'internet', 'suka', 'gangguan']</t>
  </si>
  <si>
    <t>['kho', 'update', 'login', 'apps', 'aneh', 'banget']</t>
  </si>
  <si>
    <t>['perbanyak', 'diskon', 'harga', 'kuota']</t>
  </si>
  <si>
    <t>['kebanyakan', 'update', 'mending', 'paket', 'murah']</t>
  </si>
  <si>
    <t>['diupdate', 'dibuka', '']</t>
  </si>
  <si>
    <t>['apk', 'burik', 'diupdate', 'dibuka']</t>
  </si>
  <si>
    <t>['bagus', 'kartu', 'mahal', 'kuota', 'internet', '']</t>
  </si>
  <si>
    <t>['paketnya', 'mkin', 'mahal']</t>
  </si>
  <si>
    <t>['buka', 'layar', 'putih', 'tolong', 'diperbaiki']</t>
  </si>
  <si>
    <t>['', 'terdaftar', 'kartu', 'hallo', 'grapari', 'telkomsel', 'berhenti', 'berlangganan', 'solusinya', 'mlh', 'petugasnya', 'kartunya', 'hangus', 'klu', 'berhenti', 'berlangganan', 'nmr', 'tolong', 'solusi', 'cmn', 'bisanya', 'ngomong', 'ganti', 'nmr']</t>
  </si>
  <si>
    <t>['sistemnya', 'error', 'pulsa', 'terpotong', 'muncul', 'pemberitahuan', 'internet', 'paket', 'wifi', 'alhasil', 'pulsa', 'kta', 'terpotong', 'mohon', 'sistemnya', 'diperbaiki', 'terimakasih']</t>
  </si>
  <si>
    <t>['', 'link', 'keblok', 'bgmna', 'buka', 'blok']</t>
  </si>
  <si>
    <t>['', 'jangkauan', 'signal', 'luas', '']</t>
  </si>
  <si>
    <t>['jaringan', 'hilang', 'mendadak', 'komplain', 'jawabannya', 'disuruh', 'mode', 'pesawat', 'mulu']</t>
  </si>
  <si>
    <t>['aplikasi', 'telkomsel', 'buruk', 'aplikasi', 'buka', 'suruh', 'menghubungi', 'tweeter', 'respon']</t>
  </si>
  <si>
    <t>['', 'aplikasi', 'bagus', 'dapet', 'hadiah', 'keberuntungan', 'kecewa']</t>
  </si>
  <si>
    <t>['maaf', 'aplikasi', 'mytelkomsel', 'skrg', 'dibuka', 'knp', 'bintang', '']</t>
  </si>
  <si>
    <t>['pengguna', 'setia', 'telkomsel', 'tpi', 'harga', 'paket', 'internet', 'mahal', 'mahal', 'beda', 'provider', 'harga', 'paket', 'murah', 'jaringan', 'bagus', 'sinyal', 'semkin', 'parah', 'kecewa', 'telkomsel', 'tolong', 'tingkatkan', 'layanan', 'koneksi', 'internet', 'tolong', 'pertimbangkan', 'harga', 'paket', 'internet', 'maaf', 'kasih', 'bintang', '']</t>
  </si>
  <si>
    <t>['aplikasi', 'macet', 'paket', 'mahal', 'update', 'kebuka', 'aplikasinya']</t>
  </si>
  <si>
    <t>['sinyal', 'turun', 'terbaik', 'ditempat', '']</t>
  </si>
  <si>
    <t>['aplikasinya', 'bagus', 'kadang', 'promo', 'data', 'perbulan']</t>
  </si>
  <si>
    <t>['', 'buka', 'aplikasinya', '']</t>
  </si>
  <si>
    <t>['sbs', 'bagus']</t>
  </si>
  <si>
    <t>['telkomsel', 'kegiatan', 'kerja', 'mudah']</t>
  </si>
  <si>
    <t>['bahasanya', 'mudah', 'fahami']</t>
  </si>
  <si>
    <t>['sinyak', 'nkurang', 'kuat', 'pesisir']</t>
  </si>
  <si>
    <t>['mohon', 'maaf', 'kak', 'blablabla', 'bknnya', 'keluhan', 'pelanggan', 'suruh', 'apk', 'buka', 'ngeyel', 'telkomsel', 'buruk', 'bener', 'pelayanannya', '']</t>
  </si>
  <si>
    <t>['dibuka', 'layar', 'putih', 'instal']</t>
  </si>
  <si>
    <t>['sinyal', 'jelek', 'skrg', 'buffring']</t>
  </si>
  <si>
    <t>['knapa', 'jaringan', 'ubrub']</t>
  </si>
  <si>
    <t>['kecewa', 'telkomsel', 'skrng', 'paket', 'mahal', 'tdinya', 'parah', 'banget', 'mohon', 'stabilkan']</t>
  </si>
  <si>
    <t>['', 'banget', 'sukses', 'telkomsel', '']</t>
  </si>
  <si>
    <t>['internet', 'lokal', 'dipakai', 'udah', 'beli', 'aktivasi', 'gianyar', 'karangasem', 'dibawa', 'kerja', 'area', 'badung', 'pas', 'gianyar', 'dibilang', 'badung', 'jdi', 'internet', 'lokal', 'dipke', 'berkali', 'sampe', 'beli', 'pket', 'internet', 'gini', 'ama', 'customer']</t>
  </si>
  <si>
    <t>['tolong', 'diperbaiki', 'upgrade', 'aplikasi', 'buka', 'layar', 'putih', 'sisa', 'pulsa', 'paket', 'data', 'aplikasi', 'dibuka', '']</t>
  </si>
  <si>
    <t>['buka', 'aplikasi', 'mytelkomsel', 'layar', 'blank', 'putih', 'gitu', 'hbs', 'update', '']</t>
  </si>
  <si>
    <t>['kuta', 'mahal', 'tolong', 'pandemi', 'turunin', 'harganya']</t>
  </si>
  <si>
    <t>['mahal', 'aje', 'paket', '']</t>
  </si>
  <si>
    <t>['mudah', 'hadiahnya']</t>
  </si>
  <si>
    <t>['rekomended', 'paket', 'internet', 'termurah', '']</t>
  </si>
  <si>
    <t>['semoga', 'paket', 'murah', 'saktinya']</t>
  </si>
  <si>
    <t>['login', 'tolong', 'perbaiki']</t>
  </si>
  <si>
    <t>['aplikasi', 'mantep', 'banget', '']</t>
  </si>
  <si>
    <t>['ubah', 'versi', 'batu', 'akun', 'dibuka', 'layarnya', 'srlalu', 'putih', 'tolong', 'bersangkutan', 'udh', 'pakrt', 'telkomsel', 'skrng', 'mahal', 'jngan', 'gara', '']</t>
  </si>
  <si>
    <t>['telkomsel', 'smoga', 'terdepan', 'aspek', 'pelayanan', 'kejutan', 'pelanggannya']</t>
  </si>
  <si>
    <t>['makasih', 'aplikasi', 'nyah', 'membantu', 'banget']</t>
  </si>
  <si>
    <t>['buka', 'telkom', 'sel', 'lemot']</t>
  </si>
  <si>
    <t>['aplikasinya', 'nge', 'bug', 'kayak', 'gini', 'mohon', 'perhatikan', '']</t>
  </si>
  <si>
    <t>['jaringan', 'jelek', 'putus', 'kuota', 'cepat', 'habis', 'kuota', 'unlimitemya', 'asli', 'jelek', 'jaringannya', 'putus', 'ditambah', 'sms', 'masuk', 'menjebak', 'sms', 'perbaikan', 'pelayanan', 'konsumen', 'pindah', 'hati']</t>
  </si>
  <si>
    <t>['udah', 'unistal', 'aplikasinya', 'engga', 'buka', 'kecewa', 'udah', 'bertaun', 'pelanggan', '']</t>
  </si>
  <si>
    <t>['aplikasi', 'akses', '']</t>
  </si>
  <si>
    <t>['dikon']</t>
  </si>
  <si>
    <t>['paketnya', 'bagus', 'klu', 'mahh', 'all', 'jnga', 'dibagi', 'gitu', 'kepake', 'loading', 'mulu', '']</t>
  </si>
  <si>
    <t>['membantu', 'pengguna', 'pembelian', 'paket', 'internet', 'lbih', 'murah', 'dri', 'pket', 'diluaran', 'aplikasinx', 'harga', 'paketnx', '']</t>
  </si>
  <si>
    <t>['paketnya', 'mahal', 'yaa', '']</t>
  </si>
  <si>
    <t>['aneh', 'pulsa', 'terpotong']</t>
  </si>
  <si>
    <t>['sinyal', 'loe', 'jelek', 'telkomsel', 'andalan', '']</t>
  </si>
  <si>
    <t>['harga', 'paketnya', 'mahal', 'pilihan', 'paket', 'internet', 'sakti', 'lumayan', 'murah', 'semoga', 'dirubah', 'telkomsel']</t>
  </si>
  <si>
    <t>['aplikasi', 'buka', 'updet', 'payah']</t>
  </si>
  <si>
    <t>['aplikasi', 'telkomsel', 'buka', 'login', '']</t>
  </si>
  <si>
    <t>['kualitas', 'telkomsel', 'buruk', 'banget', 'pembohong', 'unlimited', 'kbps', 'aslinya', 'kbps', 'trus', 'kuota', 'multimedia', 'games', 'sosmde', 'dll', 'sosmed', 'doang', 'pas', 'dicoba', 'login', 'time', 'out', 'mulu', 'buruk', 'banget', 'pembohongan']</t>
  </si>
  <si>
    <t>['sinyal', 'off', 'stabil', '']</t>
  </si>
  <si>
    <t>['berminat', 'memakai', 'aplikasi', 'aplikasinya', 'dipakai', 'dibuka', 'muncul', 'layar', 'putih', 'lihat', 'kuota', 'cek', 'pulsa', 'dibuka']</t>
  </si>
  <si>
    <t>['copot', 'instal', 'berkali', 'kali', 'buka', 'instal', 'ulang', 'gabisa', 'knp', 'yaa', '']</t>
  </si>
  <si>
    <t>['harga', 'paket', 'telkomsel', 'min', 'makasih']</t>
  </si>
  <si>
    <t>['tanggal', 'kemaren', 'telkomsel', 'nggak', 'kebuka', 'stuck', 'logo', 'putih', 'udah', 'keluhan', 'cust', 'service', 'twitter', 'gabisa', 'aplikasinya', 'tolong', 'perbaiki', 'ngecek', 'pulsa', 'beli', 'paket', 'kesusahan', '']</t>
  </si>
  <si>
    <t>['pas', 'buka', 'app', 'lemot', 'banget']</t>
  </si>
  <si>
    <t>['kasih', 'bintang', 'aplikasinya', 'buka', 'jaringan', 'udh', 'payah', 'telkomsel', '']</t>
  </si>
  <si>
    <t>['kota', 'pulsa', 'kesedot']</t>
  </si>
  <si>
    <t>['saayaaaa', 'puas', 'menukar', 'poin', 'beli', 'internet']</t>
  </si>
  <si>
    <t>['tolong', 'perkuat', 'signalnya', 'lgi', 'kab', 'tangerang', 'pasar', 'kemis', 'rajeg', 'hilang', 'signalnya', 'pengguna', 'telkomsel', 'puluhan', 'jdi', 'percaya', 'lgi', '']</t>
  </si>
  <si>
    <t>['maap', 'jaringan', 'telkomsel', 'akihr', 'daerah', 'riau', 'pekanbaru', 'bakus', 'turun', 'kualitas', 'jaringanya', 'tolong', 'benahi', 'perbaiki', 'kualitas', 'jaringan', 'sinyalnya', 'pelanggan', 'kecewa', 'gamerasa', 'rugikan', 'kalu', 'kualitas', 'jaringanya', 'coba', 'jaringan', 'seluler', 'semoga', 'perhatikan', '']</t>
  </si>
  <si>
    <t>['knp', 'aplikasi', 'telkomsel', 'buka']</t>
  </si>
  <si>
    <t>['aplikasi', 'layarnya', 'putih', 'mohon', 'petunjuknya', 'min', '']</t>
  </si>
  <si>
    <t>['jam', 'beli', 'kuota', 'dial', 'gb', 'harga', 'jam', 'dpt', 'sms', 'paket', 'internet', 'terhenti', 'yaudah', 'tiktokan', 'jam', 'bayar', 'kecewa', 'mending', 'ganti', 'kartu']</t>
  </si>
  <si>
    <t>['kecewa', 'udah', 'kebelakang', 'buka', 'app', '']</t>
  </si>
  <si>
    <t>['jelek', 'kuota', 'mahal', 'kualitas', 'jaringan', 'buruk']</t>
  </si>
  <si>
    <t>['nggk', 'buka', 'sdah', 'hri', 'sya', 'bka', 'nggk', '']</t>
  </si>
  <si>
    <t>['tolong', 'perbaiki', 'telkomsel', 'buka', 'kadang', 'kebuka', 'kdang', 'kadang', 'menu', 'alias', 'terpental', 'pokoknya', 'telkomsel', 'jelek', 'telkomsel', 'tolong', 'perbaiki', 'terimakasih', '']</t>
  </si>
  <si>
    <t>['jaringan', 'telkomsel', 'jam', 'ganguan']</t>
  </si>
  <si>
    <t>['bolak', 'instal', 'uninstal', 'tetep', 'buka', 'hadaahh', 'telkomsel', 'knp', 'dikau']</t>
  </si>
  <si>
    <t>['semoga', 'bijak', 'pengguna', 'telkomsel', 'terimakasi']</t>
  </si>
  <si>
    <t>['tolonglah', 'perbaiki', 'jaringan', 'daerah', 'semenjak', 'ping', 'turun', 'buka', 'apl', 'telkomsel', 'ubah', 'jaringan', '']</t>
  </si>
  <si>
    <t>['aplikasihnya', 'bermasalahnya', 'seminggu', 'masuk', 'aplikasi', 'update', 'mohon', 'bantuannya', 'aplikasinya', 'dibuka', 'susah', 'membeli', 'kuota']</t>
  </si>
  <si>
    <t>['knpa', 'telkomsel', 'aplikasi', 'buka', 'udah', 'knpa', 'aplikasi', 'buka', 'koh', 'sya', 'hapus', 'trus', 'donload', 'ulang', 'jga', 'buka', 'kecewa', '']</t>
  </si>
  <si>
    <t>['pakai', 'pulsa', 'pulsa', 'sedot', 'telkomsel', 'mencuri', 'pulsa', 'pengguna', 'membodohi', 'pengguna', 'tolong', 'perbaiki']</t>
  </si>
  <si>
    <t>['amplikasi', 'eror', 'dibuka', 'platform', 'merah', 'bumn', 'bangkrut']</t>
  </si>
  <si>
    <t>['terimakasih', 'bantuannya', 'menemani', 'komunikasi', 'batas', 'tks', 'smoga', 'jaya']</t>
  </si>
  <si>
    <t>['aplikasi', 'buka', 'white', 'screen', '']</t>
  </si>
  <si>
    <t>['sinyal', 'tolong', 'benerin', 'main', 'games', 'ganggu', 'sampe', 'sinyal', 'hilang', '']</t>
  </si>
  <si>
    <t>['nyaman', 'telkomsel', 'udh', 'paket', 'mahal', 'dikit', 'gangguan', 'eror', 'dll', 'kga', '']</t>
  </si>
  <si>
    <t>['aplikasi', 'loding']</t>
  </si>
  <si>
    <t>['aplikasi', 'bayak', 'gaya', 'ujung', 'ujung', 'silakan', 'download', 'rasakan', 'jelek']</t>
  </si>
  <si>
    <t>['bintang', 'turun', 'akibat', 'layanan', 'menyusahkan', 'pelayanan', 'menyenangkan', 'mudah', 'susah', 'update', 'langsung', 'blankk', 'putih', 'tampilannya', 'robot', 'bicara', 'maaf', 'kakak', 'gini', 'gono', 'hubungi', 'alamat', 'situs', 'gombaaaalll', 'hasilnya', 'nool', 'maksudnya', 'seger', 'perbaiki', 'sistem', 'aplikasi', 'jaringan', 'nihhh', 'telkomsel', 'paraaaaahhh', 'profesional', 'laah', 'menyusahkan', 'hrs', 'susah', 'hubungi', '']</t>
  </si>
  <si>
    <t>['mudah', 'belanja', 'paket', 'apapun', 'meraih', 'bonus', 'kuota', 'internet', 'gratisan', 'mengikuti', 'check', 'harian', '']</t>
  </si>
  <si>
    <t>['semoga', 'bermanfaat', 'dapatkan', 'hadiah']</t>
  </si>
  <si>
    <t>['udah', 'ganti', 'kartu', 'dpt', 'bonus', 'iklan', 'dpt', 'bonus', 'kah', '']</t>
  </si>
  <si>
    <t>['aplikasi', 'dibuka', 'telkomsel', 'maubli', 'pulsa', 'cek', '']</t>
  </si>
  <si>
    <t>['bagus', 'bguna']</t>
  </si>
  <si>
    <t>['mantap', '']</t>
  </si>
  <si>
    <t>['hr', 'update', 'dibuka', 'mengecewakan', 'kadang', 'males', 'update', 'versi', 'terbaru', 'kadang', 'ngecewain']</t>
  </si>
  <si>
    <t>['tolong', 'pertimbangkan', 'harga', 'paket', 'internetnya', 'bole', 'data', 'internetnya', 'nga', 'mubazir', '']</t>
  </si>
  <si>
    <t>['paket', 'youtube', 'mending', 'udh', 'beli', 'paket', 'youtube', 'kesedot', 'paketan', 'internet', 'kecewa']</t>
  </si>
  <si>
    <t>['benerin', 'jaringannya', 'coba', 'deh', 'tugas', 'main', 'knp', 'ngelag', 'mulu', 'lag', 'kentang', 'tpi', 'jaringan', 'telkomsel', 'kentang', 'ganti', 'mulu', 'jaringannya', 'gitu', 'sampe', 'mmpus', 'kesel', 'main', 'emg', 'tugas', 'coba', 'benerin', 'jaringannya']</t>
  </si>
  <si>
    <t>['udah', 'download', 'bukak', 'udah', 'hapus', 'download', 'hapus', 'download', 'kali', '']</t>
  </si>
  <si>
    <t>['memuaskan', 'trimkasih', 'telkomsel']</t>
  </si>
  <si>
    <t>['maaf', 'kurangi', 'bintang', 'jaringan', 'telkomsel', 'buruk', '']</t>
  </si>
  <si>
    <t>['jaringan', 'telkomsel', 'lemot', 'banget', 'kecewa', 'banget', 'pengguna', 'telkomsel', 'tolong', 'perbaiki', 'jaringan', '']</t>
  </si>
  <si>
    <t>['kek', 'babi', 'benerin', 'napa', 'aing', 'masuk', 'app', 'lancar', '']</t>
  </si>
  <si>
    <t>['mytelkomsel', 'buka']</t>
  </si>
  <si>
    <t>['jaringan', 'telkomsel', 'stabil', 'nggak', 'sesuai', 'moto', 'kecewa', 'telkomsel']</t>
  </si>
  <si>
    <t>['mengeluhkan', 'jaringan', 'udah', 'minggu', 'gax', 'perubahan', 'gue', 'kesel', 'main', 'game', 'gini', 'sinyalnya', 'parah', 'setres', 'gue', 'udah', 'telpon', 'tekomsel', 'suruh', 'mode', 'pesawat', 'pungsinya', 'mode', 'pesawat', 'mulu', 'mode', 'roket', 'ampe', 'gax', 'selesai', 'jaringannya', 'maaf', 'beli', 'seharga', 'wifi', 'kenyamanan', 'sinyal', 'tekomsel', 'kek', 'udah', 'murah', 'sinyal', 'bagus', 'mahal', 'jelek', 'tolong', 'respon']</t>
  </si>
  <si>
    <t>['terbaikkk']</t>
  </si>
  <si>
    <t>['jaringan', 'telkomsel', 'nggak', 'secepat', 'sebagus', 'lemot', 'pengaturan', 'susunan', 'paketnya', 'nggak', 'urut', 'terkecil', 'acak', '']</t>
  </si>
  <si>
    <t>['berpikir', 'pindah', 'hati', 'beli', 'quota', 'mahal', 'hasil', 'nihil', 'sinyal', 'kebanyakan', 'quota', 'beli', 'tolong', 'perbaiki', 'telkomsel']</t>
  </si>
  <si>
    <t>['pending']</t>
  </si>
  <si>
    <t>['jaringan', 'buruk', 'kota', 'buruk', 'banget', 'jaringan', 'kayak', 'layak', '']</t>
  </si>
  <si>
    <t>['update', 'parah', 'banget', 'ngehang', 'kebukak', 'parah', 'banget', '']</t>
  </si>
  <si>
    <t>['', 'good', 'tpi', 'dibuka']</t>
  </si>
  <si>
    <t>['senang', 'langganan', 'telkomsel', '']</t>
  </si>
  <si>
    <t>['mon', 'maaf', 'kasih', 'segini', 'karna', 'kuota', 'unlimited', 'ketengan', 'youtube', 'berlaku', 'yaa', 'problem', 'tolong', 'telkom', 'perbaiki', 'kasian', 'orang', 'orang', 'percaya', 'bug', 'eror', 'thanks']</t>
  </si>
  <si>
    <t>['maju', 'mudah', 'mudahan', 'kak', 'telkomsel', 'klau', 'kendala', 'tolong', 'diperbaiki', 'sekian', 'terima', 'kasih']</t>
  </si>
  <si>
    <t>['', 'holaaa', 'knp', 'buka', 'apk', 'telkomsel', 'white', 'pokok', 'terbuka', 'beli', 'paket', 'tolong', 'quick', 'respon', 'tararengkyu', '']</t>
  </si>
  <si>
    <t>['puas', 'knp', 'koq', 'paket', 'mahal', '']</t>
  </si>
  <si>
    <t>['aplikasinya', 'macet', 'buka', 'hapus', 'instal', 'ulang', '']</t>
  </si>
  <si>
    <t>['gajadi', 'bagus', 'bagus', 'jwkwkwkkw']</t>
  </si>
  <si>
    <t>['', 'undian', 'point', 'mengada']</t>
  </si>
  <si>
    <t>['isi', 'paket', 'lemot', 'tlp', 'internet', 'cepat', 'lemot', 'bwt', 'bekasi']</t>
  </si>
  <si>
    <t>['', 'update', 'pajangan', 'blank', 'putih', 'loading', 'trus', 'parah', 'bikan', 'canggih']</t>
  </si>
  <si>
    <t>['jaringannya', 'kayak', 'jembut', 'taik', 'sel']</t>
  </si>
  <si>
    <t>['operator', 'seluler', 'brengsek', 'tarif', 'paket', 'termahal', 'paket', 'harganya', 'rb', 'kegoblokan', 'hqq', 'beli', 'kartu', 'telkomsel', 'nlp', 'sms', 'internetan', 'deh', 'udah', 'mahal', 'lemot', '']</t>
  </si>
  <si>
    <t>['sinyal', 'buruk', 'banget', 'gangguan', 'main', 'game', 'beli', 'kuota', 'game', '']</t>
  </si>
  <si>
    <t>['jaringan', 'nt', 'anak', 'pntk', 'down', 'jaringan', 'niat', 'jaringan', 'anjin', 'pntk', 'gua', 'kesal', 'jaringan', 'kont', 'anak', 'lag', 'lag', 'lag', 'lag', 'aj', '']</t>
  </si>
  <si>
    <t>['semoga', 'amiin', '']</t>
  </si>
  <si>
    <t>['kacau', 'harga', 'paket', 'internetnya', 'mahal', 'jaringannya', 'lelet', 'hadeuh', 'gimana', 'bumn', 'lho', 'kalah', 'produk', 'sebelah', '']</t>
  </si>
  <si>
    <t>['', 'peringatan', 'pekerja', 'telcomsel', 'kerja', 'ngapain', 'pengguna', 'setia', 'telcomsel', 'blom', 'merasakan', 'keluhan', 'segi', 'sinyal', 'apk', 'sinya', 'bermasalah', 'tolong', 'secepatnya', 'perbaiki', 'kesalahan', 'trimakasih', 'semoga', 'sehat']</t>
  </si>
  <si>
    <t>['buka', 'mytelkomsel', 'heran']</t>
  </si>
  <si>
    <t>['kecewa', 'banget', 'app', 'berfungsi', 'pakai', 'kuota', 'telkomny', 'jaringan', 'operator', 'ato', 'wifi', 'indihome', 'app', 'eror', 'mulu', 'auto', 'trus', 'pas', 'kehabisan', 'kuota', 'beli', 'kagak', '']</t>
  </si>
  <si>
    <t>['blank', 'putih', 'versi', 'bug', 'hapus', 'data', 'login', 'langsung', 'masuk', 'ngeblank', 'perbarui', 'bags', 'nyusahin']</t>
  </si>
  <si>
    <t>['turunkan', 'bintangnya', 'karna', 'kualitas', 'buruk', 'aplikasinyan', 'buka', 'layar', 'putih', 'muncul', 'menunya']</t>
  </si>
  <si>
    <t>['paket', 'tawarkan', 'murah', 'trima', 'kasih']</t>
  </si>
  <si>
    <t>['blank', 'samsung', 'uda', 'upadte', 'versi', 'android', 'versi', 'ngeblank', 'putih']</t>
  </si>
  <si>
    <t>['jaringannya', 'susah']</t>
  </si>
  <si>
    <t>['menyuruh', 'perbarui', 'diakses', 'mytelkomsel', '']</t>
  </si>
  <si>
    <t>['pengen', 'hadiah', 'mobil', 'dpt', 'hadiah']</t>
  </si>
  <si>
    <t>['sinyalnya', 'jelek', 'banget', 'aplikasi', 'mytelkomsel', 'buka', 'layar', 'putih', 'tolong', 'perbaiki', '']</t>
  </si>
  <si>
    <t>['update', 'beli', 'paket', 'metode', 'pembayaran', 'app', 'dana', '']</t>
  </si>
  <si>
    <t>['pemberian', 'paket', 'adil']</t>
  </si>
  <si>
    <t>['diupdate', 'dibuka', 'membagongkan', 'uninstal', 'download', 'tetep', 'blank', 'coba', 'hapus', 'data', 'force', 'close', 'aneh', 'banget', 'kenapaaaaaa', '']</t>
  </si>
  <si>
    <t>['tingkatkan', 'sinyalnya', 'rumah', 'lelet', 'banget', 'daerah', 'sumatra', 'utara', 'titippan', 'payarumpu']</t>
  </si>
  <si>
    <t>['lemot', 'pertahanin', 'pemadaman', 'listrik', 'pdhal', 'butuh', 'sinyal', 'menghub', 'pas', 'lampu', 'mati', 'hotspot', 'provider', 'knp', 'nggak', 'trus', 'udah', 'pakai', 'gratisan', 'kemndbd', 'sinyal', 'lemot', 'deh', '']</t>
  </si>
  <si>
    <t>['sinyal', 'jelek', 'telkomsel', 'bagus', 'jelek', 'bermain', 'game', 'lemot', 'nyesel', 'telkomsel', '']</t>
  </si>
  <si>
    <t>['update', 'fitur', 'membeli', 'paket', 'parahhhhh']</t>
  </si>
  <si>
    <t>['promo', 'telkomsel', 'jaringan', 'lancar']</t>
  </si>
  <si>
    <t>['sinyal', 'kuat', 'mantap']</t>
  </si>
  <si>
    <t>['please', 'telkomsel', 'sinyal', 'puncak', 'bogor', 'lemot', 'ilang', 'udah', 'beli', 'paket', 'mahal', 'mahal', 'jaringannya', 'ngajak', 'berantem', '']</t>
  </si>
  <si>
    <t>['kualitasnya', 'ancur', 'simpati', '']</t>
  </si>
  <si>
    <t>['gimana', 'unlimited', 'pas', 'kesalahan', 'tolong', 'unlimited', 'paket', 'internet', 'telkomsel', 'dipermudah', 'pembelian', 'paket', 'internet', '']</t>
  </si>
  <si>
    <t>['layar', 'putih', 'pas', 'upgrade', 'app', 'beroprasi', '']</t>
  </si>
  <si>
    <t>['bertahun', 'pelanggan', 'stia', 'telkomsel', 'sinyal', 'mkin', 'hri', 'mkin', 'buruk', 'tlong', 'perbaiki', 'kualitas', 'jaringan']</t>
  </si>
  <si>
    <t>['blm', 'coba', 'aplikasi', 'percaya', 'kualitas', 'telkomsel', '']</t>
  </si>
  <si>
    <t>['penukaran', 'poin', 'paket', 'data', 'tolong', 'responnya', 'tukar', 'paket', 'data']</t>
  </si>
  <si>
    <t>['perbaharui', 'buka', 'min']</t>
  </si>
  <si>
    <t>['rumah', 'sakit', 'dapan', 'max', 'garis', 'konek', 'internet', 'lambat', 'ngabisin', 'batrai', 'doang', 'buka', 'veronika', 'ajh', 'syangny', 'kirim', 'screencapture']</t>
  </si>
  <si>
    <t>['poin', 'ditukar', 'pkt', 'internet', 'hrus', 'pke', 'plsa', 'jga', 'ngiritnya', 'ampun']</t>
  </si>
  <si>
    <t>['dibuka', 'uninstall', 'instal', 'tetep', '']</t>
  </si>
  <si>
    <t>['tolong', 'sinyalnya', 'dikondisikan', 'meresahkan', 'pakai', 'orbit', 'sinyalnya', 'bagus', 'diawal', 'sinyalnya', 'jelek', 'daerah', 'terpencil', 'menit', 'kota', 'solo', 'sinyalnya', 'jelek', 'tolong', 'dikondisikan', 'sinyalnya', 'bagus', 'kasih', 'bintang', '']</t>
  </si>
  <si>
    <t>['smga', 'hadiah', 'amin']</t>
  </si>
  <si>
    <t>['telkomsel', 'hape', 'mendukung', 'kayak', 'telkomsel', 'byk', 'mengecewakan', 'pelanggan', 'kecewa', 'telkomsel', 'update', 'dayli', 'cek', '']</t>
  </si>
  <si>
    <t>['sinyal', 'telkomsel', 'jelek', 'main', 'game']</t>
  </si>
  <si>
    <t>['jaringan', 'terkenceng', 'ngelag', 'ngelag', 'ngotak', 'bintang', 'ajalah']</t>
  </si>
  <si>
    <t>['telkomsel', 'payah', 'habis', 'pembaharuan', 'instal', 'ulang', 'buka', 'kaya', 'nonton', 'misbar', 'lapangan', 'jaman', 'layar', 'putih', 'doang', '']</t>
  </si>
  <si>
    <t>['khusus', 'kab', 'sumba', 'barat', 'daya', 'signal', 'telkomsel', 'turun', 'terkadang', 'seharian', 'jaringanx', 'ngadat', 'kesssssal', 'untung', 'blm', 'operator', 'saran', 'telkomsel', 'baikx', 'tingkatkan', 'pelayananx', 'khusus', 'daerah', 'signalx', 'diperbaiki', 'tingkatkan', 'jaringanx', '']</t>
  </si>
  <si>
    <t>['update', 'blank', 'putih']</t>
  </si>
  <si>
    <t>['aplikasi', 'konyol', 'giliran', 'dibuka', 'internet', 'speed', 'langsung', 'olah', 'sinyal', 'bagus', 'lemot', 'aplikasinya', 'close', 'speed', 'langsung', 'anjlok', 'belajar', 'nipu', 'min', '']</t>
  </si>
  <si>
    <t>['membantu', 'mantapppp']</t>
  </si>
  <si>
    <t>['jaringan', 'buruk', 'merugikan', 'pelanggan', 'maen', 'slot', 'koneksi', 'terputus', 'ngelek', 'dll', 'merugikan', 'pelanggan']</t>
  </si>
  <si>
    <t>['asw', 'jaringan', 'kaya', 'kartu', 'sebelah', 'kagak', 'nyambung', 'sumpah', 'udah', 'emang', 'anying', 'jaringan', 'burik', 'ngentd']</t>
  </si>
  <si>
    <t>['telkomsel', 'tolong', 'perbaiki', 'sinyal', 'gua', 'udah', 'mahal', 'beli', 'paketnya', 'sinta', 'knp', 'tolol', 'gini', 'trus', 'mati', 'gua', 'sinyal', 'ank', 'ngen', 'udah', 'bagus', 'sinyak', 'gua', 'kasih', 'bintang']</t>
  </si>
  <si>
    <t>['', 'detik', 'aplikasi', 'dibuka', 'apasih', 'masalahmu', 'telkomsel']</t>
  </si>
  <si>
    <t>['mytelkomsel', 'knp', 'dsruh', 'update', 'update', 'mlah', 'dbuka', 'aplksiny', 'sblm', 'nyoba', 'ngecek', 'pdahal', 'trus', 'klu', 'ngecek', 'tinggl', 'pindah', 'gnti', 'skrng', '']</t>
  </si>
  <si>
    <t>['halo', 'gimana', 'app', 'gabisa', 'dibuka', 'udah', 'tolong', 'hapus', 'cache', 'insyal', 'ulang', 'restart']</t>
  </si>
  <si>
    <t>['kak', 'mohon', 'bntuannya', 'beli', 'paket', 'data', 'pas', 'buka', 'layar', 'putih', 'doang', 'beli', 'paket', 'uas']</t>
  </si>
  <si>
    <t>['aplikasinya', 'bagus', 'membantu', 'mencari', 'memasang', 'paket', 'murah', 'unlimited']</t>
  </si>
  <si>
    <t>['jaringan', 'internetnya', 'bagus', 'beli', 'paket', 'pakai', 'hmmmmm']</t>
  </si>
  <si>
    <t>['telkomsel', 'mengahapus', 'kuota', 'nonton', 'gunanya', 'bayar', 'mahal', 'pilihan', 'kuota', 'nonton', 'kuita', 'gb', 'kuota', 'nontonnya', 'gb', 'gblk']</t>
  </si>
  <si>
    <t>['payah', 'aplikasi', 'sekelas', 'telkomsel', 'bermasalah', 'aplikasi', 'susah', 'buka', 'mnding', 'uninstal', 'ajalah']</t>
  </si>
  <si>
    <t>['coba', 'telkomsel', 'perbaiki', 'sinyal', 'didaerah', 'mkin', 'parah', 'sinyal', 'jelek', 'paket', 'dimahalin', 'kualitas', 'turun', 'seharusya', 'kulitasnya', 'ditingkatin', 'harganya', 'doang', 'naikin', 'kecewa', 'sebagi', 'pelangan', 'telkomsel', 'kesini', 'sinyalnya', 'parah', 'kalah', 'exsis', '']</t>
  </si>
  <si>
    <t>['sinyal', 'telkomsel', 'sungai', 'penuh', 'down', 'lemot', 'hilang', 'timbul', 'lemot', 'kecewa', 'telkomsel']</t>
  </si>
  <si>
    <t>['tolong', 'namanya', 'pulsa', 'dibikin', 'layanan', 'data', 'internet', 'merugikan', 'pengguna', 'beli', 'pulsa']</t>
  </si>
  <si>
    <t>['terbaik', 'tolong', 'sinyal', 'perbaiki', 'daerah', 'kalteng', 'susah', 'daerah', 'desa']</t>
  </si>
  <si>
    <t>['sya', 'akir', 'akir', 'kecewa', 'telkom', 'neli', 'paket', 'mahl', 'mahal', 'ngelek', 'normal', 'tolong', 'pengertian', 'udah', 'paket', 'mahal', 'ngelek', 'habis', 'cuka', 'apket', 'ngelek', 'tolong', 'main', 'game', 'bukak', 'sosmed', 'ngelek', 'knpa', 'nggak', 'kaya', 'yag', 'lancar', 'pengguna', 'telkom', 'lemot', 'malas', '']</t>
  </si>
  <si>
    <t>['pokoke', 'wilayah']</t>
  </si>
  <si>
    <t>['telkomsel', 'terhormat', 'mohon', 'dievaluasi', 'tim', 'area', 'sumatera', 'selatan', 'region', 'muara', 'enim', 'sinyal', 'miris', 'tinggal', 'pusat', 'kota', 'mohon', 'dibaca', 'ditindaki', 'ngopi', 'diruangan', 'paket', 'dimahalkan', 'sesuai', 'kualitasnya', 'terimakasih']</t>
  </si>
  <si>
    <t>['lihat', 'komentar', 'white', 'screen', 'perusahaan', 'segedhe', 'telkomsel', 'ngerespon', 'pelanggan', 'memperbaiki', 'apk', 'say', 'ndak', 'beli', 'paketan', 'mimin', 'respont', 'baca', 'koment', 'pengguna', 'pakai', 'versi', 'nongol', 'terlanjur', 'beli', 'paket', 'ngasal', 'rugi', 'min', '']</t>
  </si>
  <si>
    <t>['uji', 'coba', 'faqum', 'telkomsel']</t>
  </si>
  <si>
    <t>['telkomsel', 'babi', 'mahal', 'doang', 'sinyal', 'ilang', 'ilangan', 'benerin', 'sinyal', 'gblkk', 'tipu', 'keta', 'mahal', 'ngeleg', 'gblk', 'telkom', 'babi', 'kau']</t>
  </si>
  <si>
    <t>['kuota', 'multimedia', 'unlimited', 'berlakunya', 'habis', 'prioritaskan', 'terpakai', 'terpkai', 'kuota', 'internet', 'berlakunya', 'dibikin', 'unlimited', 'terpakai']</t>
  </si>
  <si>
    <t>['geser', 'paket', 'internet', 'paket', 'nelfon', 'susah', 'sekelas', 'telkomsel']</t>
  </si>
  <si>
    <t>['kasi', 'bintang', 'aplikasinya', 'bagus', 'bangat', 'gayssss', '']</t>
  </si>
  <si>
    <t>['apk', 'akses', 'white', 'screen', 'otak', 'atik', 'jaringan', '']</t>
  </si>
  <si>
    <t>['leg', 'jaringan', 'lancar', 'jaringan', 'kutambahin', 'bintang']</t>
  </si>
  <si>
    <t>['udah', 'mahal', 'harga', 'kuotanya', 'jaringan', 'jelek', 'mulu', 'padhal', 'udh', 'bagus', 'sinyalnya', 'gini', 'mytelkomsel', 'update', 'white', 'screen', 'terusssss', 'sampe', 'nunggu', 'jaman', 'putih', 'layar', 'berhenti', 'mytelkomsel', 'tolong', 'perbaiki', 'bangak', 'kaya', 'gini', 'temen', 'kaya', 'gini', 'tolong', 'cepat', 'perbaiki', 'secepatnya', 'karna', 'butuh', 'untung', 'ulangan', 'komunikasi', '']</t>
  </si>
  <si>
    <t>['jaringan', 'telkomsel', 'mati', 'hidup', 'mati', 'hidup', 'trus', 'paket', 'udah', 'habis']</t>
  </si>
  <si>
    <t>['penurunan', 'kualitas']</t>
  </si>
  <si>
    <t>['provider', 'terburuk', 'pulsa', 'beli', 'pulsa', 'beli', 'paket', 'berkurang', 'pulsanya', 'main', 'ngambil', 'pulsanya', '']</t>
  </si>
  <si>
    <t>['abis', 'date', 'buka', 'samsung', '']</t>
  </si>
  <si>
    <t>['mohon', 'telkomsel', 'perbaiki', 'karna', 'lelet', 'malas', 'pakai', 'telkomsel', '']</t>
  </si>
  <si>
    <t>['jaringan', 'kayak', 'babi']</t>
  </si>
  <si>
    <t>['paketnya', 'mahal', 'min', 'mohon', 'kurangi', 'harga', '']</t>
  </si>
  <si>
    <t>['', 'jaringan', 'tolong', 'kencengein', 'hujan', 'turun']</t>
  </si>
  <si>
    <t>['mudah', 'aplikasinya', 'cepat', 'prosesnya']</t>
  </si>
  <si>
    <t>['telkomsel', 'signal', 'buruk', 'bagusan', 'indosat', 'kualitas', 'buruk']</t>
  </si>
  <si>
    <t>['terimakasih', 'membantu', 'appnya']</t>
  </si>
  <si>
    <t>['maen', 'mobile', 'legend', 'sinyal', 'jelek', 'banget', 'gini', 'ber', 'alih', 'kartu', 'min']</t>
  </si>
  <si>
    <t>['mahal', 'doang', 'sinyal', 'kek', 'babi', 'gada', 'perubahan', 'najis']</t>
  </si>
  <si>
    <t>['sinyal', 'bagus', 'harga', 'super', 'kakap', 'pindah', 'provedor', '']</t>
  </si>
  <si>
    <t>['anggep', 'telkomsel', 'sory', 'kecewa', 'trnyata', 'lemot', 'parah', 'tnggal', 'jakbar', 'bos', 'kalah', 'sma', 'kapok']</t>
  </si>
  <si>
    <t>['gabisa', 'buka', 'apk', 'realmee']</t>
  </si>
  <si>
    <t>['aplikasi', 'telkomsel', 'beli', 'paket', 'pagi', 'sampe', 'malam', 'maap', 'gangguan', 'sistem', 'sll', '']</t>
  </si>
  <si>
    <t>['telkomsel', 'beres', 'beli', 'paket', 'mahal', 'mahal', 'jaringannya', 'ngga', 'fungsi', 'sue', 'bener']</t>
  </si>
  <si>
    <t>['mahal', 'doang', 'sinyal', 'susah']</t>
  </si>
  <si>
    <t>['', 'knapa', 'buka']</t>
  </si>
  <si>
    <t>['mytelkomsel', 'white', 'screen', 'pas', 'dibuka', 'udah', 'daerah', 'bandung', 'jabar', 'mohon', 'diperbaiki', '']</t>
  </si>
  <si>
    <t>['nggak', 'buka', 'aplikasinya', 'sampe', 'hapus', 'download', 'buka', 'nggak', 'aplikasi']</t>
  </si>
  <si>
    <t>['disyangkan', 'kemari', 'harga', 'paket', 'kombo', 'saktu', 'unlimited', 'meningkat', '']</t>
  </si>
  <si>
    <t>['', 'upgrade', 'terbuka', 'aplikasi', 'telkomsel', 'akibatnya', 'mengecek', 'sisa', 'kuota', 'pengguna', 'pasca', 'bayar', 'tampilan', 'layar', 'putih', 'total', 'install', 'install', 'forced', 'closed', 'aplikasi', 'clear', 'cache', 'berguna', 'saran', 'telkomsel', 'mohon', 'perhatiannya', 'perbaiki', 'mempermudah', 'konsumen', 'mengakses', 'aplikasi', '']</t>
  </si>
  <si>
    <t>['', 'lancar', 'cepat', 'menghabiskan', 'kuota', 'sesuai', 'kebutuhan', 'enak', 'diajak', 'berselancar', 'dunia', 'maya', '']</t>
  </si>
  <si>
    <t>['nelpon', 'call', 'center', 'telkomsel', 'setujui', 'pindah', 'layanan', 'kartu', 'halo', 'sinyal', 'jeleknya', 'paketannya', 'bayarnya', 'pascabayar', 'tetep', 'mahal', 'intinya', 'sinyal', 'jelek', 'harga', 'mahal', 'mengecewakan', 'mending', 'ganti', 'kartu', 'perdana', 'terimakasih', '']</t>
  </si>
  <si>
    <t>['selamat', 'malam', 'kak', 'maaf', 'main', 'game', 'sinyalnya', 'stabil', 'sinyal', 'full', 'kouta', 'sinyal', 'jeleknya', 'tolong', 'perbaiki', 'terima', 'kasih', '']</t>
  </si>
  <si>
    <t>['gabisa', 'beli', 'paket', 'gbs', 'bukak', 'sampe', '']</t>
  </si>
  <si>
    <t>['buruk', 'jaringan', 'sekelas', 'telkomsel']</t>
  </si>
  <si>
    <t>['hpku', 'telkomselnya', 'gabisa', 'dibuka', '']</t>
  </si>
  <si>
    <t>['min', 'tolong', 'dibenerin', 'udh', 'update', 'versi', 'terbaru', 'dibuka']</t>
  </si>
  <si>
    <t>['kasih', 'kadang', 'lemot']</t>
  </si>
  <si>
    <t>['sengaja', 'kasih', 'bintang', 'dibaca', 'orang', 'jaringan', 'petasia', 'timur', 'kabupaten', 'morowali', 'utara', 'sulteng', 'parah', 'jelek', 'rugi', 'beli', 'paket', 'data', '']</t>
  </si>
  <si>
    <t>['kecewa', 'paket', 'hilang', 'sungguh', 'kecewa']</t>
  </si>
  <si>
    <t>['kecewa', 'banget', 'sumpah', 'kebuka', '']</t>
  </si>
  <si>
    <t>['aplikasi', 'bijak', 'mmbantu', 'gooooo', 'dowonlod', 'kawankuu', 'semuahhh']</t>
  </si>
  <si>
    <t>['bismilah', 'kepilih', 'pemenang', 'undian', 'semangat', 'telkomsel', 'terbaik', 'semoga', 'sinyalnya', 'kenceng']</t>
  </si>
  <si>
    <t>['aplikasinya', 'eror', 'yaaah', 'udh', 'kucoba', 'uninstall', 'install', 'ulang', 'munculnya', 'layar', 'putih', 'knp', 'min', '']</t>
  </si>
  <si>
    <t>['sinyalnya', 'tolong', 'diperbaiki', 'parah', 'banget', 'sinyalnya', 'paketan', 'mahal', 'gpp', 'tpi', 'sinyalnya', 'tolong', 'udh', 'sinyal', 'ancur', 'mahal', 'promo', 'pilih', 'pilih', 'nomer', 'dapet', 'promo', 'paket']</t>
  </si>
  <si>
    <t>['emang', 'ekstra', 'sabar', 'telkomsel', 'jaringan', 'susah', 'banget', 'cari', 'deket', 'perkotaan', 'beli', 'paketan', 'ntah', 'pokoknya', 'lemot', 'banget']</t>
  </si>
  <si>
    <t>['apk', 'nggak', 'jelasss', 'masak', 'masukin', 'otp', 'jawabannya', 'kode', 'valid', 'salah', 'input', 'kode', 'sampahh', '']</t>
  </si>
  <si>
    <t>['susah', 'buka', 'app']</t>
  </si>
  <si>
    <t>['bukanya', 'bagus', 'signal', 'mengecewakan', 'tolong', 'diperbaiki', 'telkomsel', 'harga', 'dibanding', 'provider', 'kualitas', 'beda', 'provider', 'murah']</t>
  </si>
  <si>
    <t>['sinyal', 'simpati', 'lambat', 'yaa', 'nyaman', 'pakai', 'kartu', '']</t>
  </si>
  <si>
    <t>['telkomsel', 'udh', 'minggu', 'aplikasi', 'akses', 'upgrade', 'ataw', 'gimana', 'mohon', 'jelskan', 'orang', 'pakai', 'aplikasi', 'suruh', 'pakai', 'manual', 'susah', '']</t>
  </si>
  <si>
    <t>['paket', 'data', 'telkomsel', 'terbagi', 'pakai', 'kerja', 'rugi', 'paket', 'multimedia', 'terpakai', 'habis', 'berlakunya', 'coba', 'telkmsel', 'jual', 'khusus', 'paket', 'internet', 'rugi', 'paketan', 'multimedia', 'didlmnya', '']</t>
  </si>
  <si>
    <t>['aplikasi', 'mendukung', 'banget', 'emang', 'obat', '']</t>
  </si>
  <si>
    <t>['mantap', 'mohon', 'telkomsel', 'murahinlan', 'harga', 'paketnya', 'pliisssss', 'jaringan', 'perbaikin', 'area', 'lelet', 'jaringannya']</t>
  </si>
  <si>
    <t>['log', 'udah', 'ribu', 'ketarik', 'beli', 'paket', 'gampang', 'udah', 'mahal', 'jaringan', 'jelek', 'kembalikan', 'telkomsel', 'update', 'bagus', 'eror', 'tolong', 'perbaiki', 'cari', 'pekerja', 'handal']</t>
  </si>
  <si>
    <t>['tingkatkan', 'donk', 'kualitas', 'jaringan', 'kuota', 'gb', 'jaringan', 'lemot', 'pdhal', 'sinyal', 'penuh', 'beli', 'paketan', 'mahal', 'lemot', 'streaming']</t>
  </si>
  <si>
    <t>['bagus', 'memudahkan', '']</t>
  </si>
  <si>
    <t>['', 'paket', 'gratis', 'dowlnd', 'telkomsel']</t>
  </si>
  <si>
    <t>['susah', 'buka', 'jaringan', '']</t>
  </si>
  <si>
    <t>['aplikasi', 'ngak', 'akses', 'install', 'ulang', '']</t>
  </si>
  <si>
    <t>['paket', 'promo', 'suka', 'hilang', 'timbul']</t>
  </si>
  <si>
    <t>['mahal', 'doang', 'lelet', 'iya', '']</t>
  </si>
  <si>
    <t>['bagus', 'beli', 'paket', '']</t>
  </si>
  <si>
    <t>['knp', 'data', 'dpt', 'aplikasi', 'facebook', 'daftar', 'paket']</t>
  </si>
  <si>
    <t>['tolong', 'pulsa', 'undian', 'kentang', 'ram', 'rom', '']</t>
  </si>
  <si>
    <t>['bagusssssssssssssssssssssssssssssssssssssssssssssssssssssssssssssssssssssssssssssssssssssssssssssssssssssssss', 'ssssssssssssssssssssssssssssssssssssssssssssssssssssssssssssssssssssssss', 'liat', 'liat', 'gua', 'ganteng', 'yaa', 'makasih']</t>
  </si>
  <si>
    <t>['baguss', 'membantu']</t>
  </si>
  <si>
    <t>['hilang', 'hilang', 'sinyal', 'dusun', 'patokaan', 'sulut']</t>
  </si>
  <si>
    <t>['knpa', 'telkomsel', 'error', '']</t>
  </si>
  <si>
    <t>['aplikasi', 'diakses', 'diinstal', 'berkali', 'kali', 'akses', 'goodbye', 'telkomsel']</t>
  </si>
  <si>
    <t>['', 'dibuka', 'aneh', 'white', 'screen', 'doang', 'muncul', 'cek', 'paketan', 'ribet']</t>
  </si>
  <si>
    <t>['kak', 'apknya', 'heng']</t>
  </si>
  <si>
    <t>['aplikasi', 'buka', 'kecewa', 'cutomer', '']</t>
  </si>
  <si>
    <t>['updatenya']</t>
  </si>
  <si>
    <t>['habis', 'perbarui', 'nggak', 'dibuka', 'gitu', 'mimin', 'silahkan', 'hubungi', 'komen', 'layar', 'putih', 'nggak', 'dibuka']</t>
  </si>
  <si>
    <t>['memudahkan', 'beli', 'paketan']</t>
  </si>
  <si>
    <t>['woy', 'apk', 'buka', 'nunggu', 'jam', 'buka', 'hapus', 'buka', 'pokonya', 'knpa', 'buka', 'buka', 'ddi', 'buka', 'buka', 'buka', 'buka', 'buka', 'buka']</t>
  </si>
  <si>
    <t>['aplikasi', 'mytelkomsel', 'pakai', 'sja', 'beli', 'puisa', 'paket', 'data', 'mytelkomsel', 'dngan', 'layanan', 'bawaan', 'kartu', 'sim', 'beda', 'tipis', '']</t>
  </si>
  <si>
    <t>['sinyal', 'gam', 'lag', 'bintang', 'dlu']</t>
  </si>
  <si>
    <t>['aplikasi', 'buka', 'gmn']</t>
  </si>
  <si>
    <t>['cepat', 'responya']</t>
  </si>
  <si>
    <t>['telkomsel', 'jaringan', 'luas', 'harga', 'kuotanya', 'murah', 'beragam', 'paket']</t>
  </si>
  <si>
    <t>['aplikasi', 'serba', 'posting', 'iklan']</t>
  </si>
  <si>
    <t>['paketan', 'mahal', 'sinyal', 'kek', 'siput']</t>
  </si>
  <si>
    <t>['butuh', 'apps', 'tpi', 'udah', 'ngak', 'bsa', 'dibukak']</t>
  </si>
  <si>
    <t>['', 'bsa', 'dibuka', 'aplikasi', '']</t>
  </si>
  <si>
    <t>['poin', 'tukar', 'plsa']</t>
  </si>
  <si>
    <t>['telkomsel', 'sinyal', 'buruk', 'bagus', 'gitu', 'sneng', 'emosi', 'gara', 'sinyal']</t>
  </si>
  <si>
    <t>['', 'udah', 'buka', '']</t>
  </si>
  <si>
    <t>['minn', 'aplikasinya', 'putih', 'doangg', 'kebuka', 'gmna', 'cek', 'kuota', 'trus', 'pas', 'coba', 'manual', 'cek', 'kuota', 'sms', 'masuk', 'sms', 'masuk', 'jugaa', 'hikss', '']</t>
  </si>
  <si>
    <t>['hujan', 'gerimis', 'turun', 'auto', 'susah', 'internetan', 'berjam', 'jam', '']</t>
  </si>
  <si>
    <t>['terima', 'kasih', 'semogatelkomsel', 'pelayanan', 'optimal', 'efektif', 'efisien']</t>
  </si>
  <si>
    <t>['uda', 'beli', 'mahal', 'jarigan', 'kayak', 'ngelek', 'baget', 'tolong', 'bagusin', 'jarigan', '']</t>
  </si>
  <si>
    <t>['sda', 'download', 'hapus', 'download', 'hapus', 'download', 'tampilannya', 'layar', 'putih', 'update', 'apliasinya', 'digunain', 'blom', 'jaringan', 'telkomsel', 'kayak', 'taik', 'lelet', 'kayak', 'keong', 'asli', 'telkomsel', 'darah']</t>
  </si>
  <si>
    <t>['isi', 'paketnya', 'belajar', 'online', 'anak']</t>
  </si>
  <si>
    <t>['mimin', 'adakan', 'telkomsel', 'poin', 'tukar', 'diamond', 'mobile', 'legend', '']</t>
  </si>
  <si>
    <t>['may', 'telkomsel', 'majuu']</t>
  </si>
  <si>
    <t>['diupdate', 'aplikasinya', 'dibuka', 'munculnya', 'layar', 'putih']</t>
  </si>
  <si>
    <t>['apk', 'minggu', 'dibuka', 'tolong', 'developer', 'kasih', 'kabar', 'pembaruan', '']</t>
  </si>
  <si>
    <t>['susah', 'loginya']</t>
  </si>
  <si>
    <t>['semoga', 'bgus', 'apknya']</t>
  </si>
  <si>
    <t>['tolol', 'aneh', 'aplikasi', 'buka', 'buka']</t>
  </si>
  <si>
    <t>['wahhh', 'bagus', 'banget']</t>
  </si>
  <si>
    <t>['masuk', 'apknya', 'jelek', 'bat', 'udah', 'update', 'jelek']</t>
  </si>
  <si>
    <t>['tukar', 'aplkasi', 'kaya', 'gini']</t>
  </si>
  <si>
    <t>['membantu', 'mager']</t>
  </si>
  <si>
    <t>['beli', 'paket', 'combo', 'unlimited', 'telkomsel']</t>
  </si>
  <si>
    <t>['masuknya']</t>
  </si>
  <si>
    <t>['masak', 'paketan', 'mahal', 'sinyal', 'hilang', 'hilang']</t>
  </si>
  <si>
    <t>['login', 'cepat', 'jaringan', 'internet', 'setabil']</t>
  </si>
  <si>
    <t>['mudah', 'cek', 'kuota', 'pulsa', 'paket', 'murah', '']</t>
  </si>
  <si>
    <t>['bagus', 'sekalih']</t>
  </si>
  <si>
    <t>['jaringan', 'daya', 'jangkaun', 'kaliwungu', 'selatan', 'magelung', 'berdaya', 'timbul', 'tenggelam', 'tower', 'desa', 'darupono', 'mengkafer', 'jangkauan', 'sinyal', 'telkomsel', 'tsb', 'lgi', 'magelung', 'sbg', 'kota', 'kecamatan', 'kaliwungu', 'sltn', 'sungguh', 'sngt', 'irone', '']</t>
  </si>
  <si>
    <t>['aplikasi', 'taii', 'gangguan', 'telkomsel', 'babi', 'berubah', 'tarif', 'internet', 'mahal', '']</t>
  </si>
  <si>
    <t>['telkomsel', 'gajelas', 'kesini', 'paket', 'mahal', 'gajelas', '']</t>
  </si>
  <si>
    <t>['hapus', 'apk', 'jdi', 'buka', 'ganti', 'katunya', 'sinyalnya', 'lemot', '']</t>
  </si>
  <si>
    <t>['keren', '']</t>
  </si>
  <si>
    <t>['penggunaan', 'aplikasi', 'mudah']</t>
  </si>
  <si>
    <t>['maaf', 'knapa', 'harga', 'paket', 'mahal', 'kuota', 'combo', 'sakti', 'harga', 'dibawah', 'han', 'skarant', 'paket', 'internetnya', 'dikurangin', 'tolong', 'provider', 'senior', 'jngn', 'gini']</t>
  </si>
  <si>
    <t>['good', 'telkomsel', 'orang', 'pintar', 'pakai', 'telkomsel']</t>
  </si>
  <si>
    <t>['aplikasi', 'ngk', 'buka']</t>
  </si>
  <si>
    <t>['telkomsel', 'hancur', 'jaringannya', 'apalgi', 'dipelosok', 'pelosok', 'berjauhan', 'pemukiman', 'tolong', 'telkomsel', 'diperbaiki', 'jaringan', 'ntah', 'jaringannya', 'parah', 'beli', 'paketnya', 'mahal', 'jaringannya', 'anjlok', '']</t>
  </si>
  <si>
    <t>['kacaouuuu', 'pas', 'buka', 'telkomsel', 'ilang', 'penampakan', 'putih', 'merona', 'layarnya']</t>
  </si>
  <si>
    <t>['harap', 'semoga', 'paket', 'unlimited', 'gpp', 'mahal']</t>
  </si>
  <si>
    <t>['seminggu', 'dibuka']</t>
  </si>
  <si>
    <t>['perbaiki', 'update', 'kemarin', 'aplikasi', 'layar', 'putih', 'mohon', 'diperbaiki']</t>
  </si>
  <si>
    <t>['buka', 'disuruh', 'update', 'mulu', 'udh', 'berhari', 'diabaikan', 'giliran', 'update', 'dibuka', 'apk', 'uninstal', 'download', 'msh', 'tetep', 'dibuka', '']</t>
  </si>
  <si>
    <t>['jaringan', 'internet', 'bagus']</t>
  </si>
  <si>
    <t>['tolong', 'paket', 'data', 'murah', '']</t>
  </si>
  <si>
    <t>['jaringan', 'telkomsel', 'terbaik', 'kuota', 'mahal', 'jaringan', 'data', 'seluler', 'suka', 'putus', 'maen', 'game', 'ngelag', 'tanggung', '']</t>
  </si>
  <si>
    <t>['sangatt', 'bagus', 'mahallll', '']</t>
  </si>
  <si>
    <t>['telkomselnya', 'uda', 'nga', 'dibuka', 'tolong', 'atmin', 'pencerahanya', 'makasih']</t>
  </si>
  <si>
    <t>['aplikasinya', 'uda', 'dibuka', '']</t>
  </si>
  <si>
    <t>['alhamdulillah', 'mudah', 'memudahkan', '']</t>
  </si>
  <si>
    <t>['membantu', 'aspek', 'kegiatan', 'bagus', '']</t>
  </si>
  <si>
    <t>['telkomsel', 'dibawa', 'toilet', 'ilang', 'sinyal', 'gangguan', 'tolong', 'diwilayah', 'sentra', 'primer', 'cakung', 'sinyalnya', 'buruk', 'hujan', 'panas', 'langsung', 'gangguan', 'kalah', 'operator', 'kasian', 'konten', 'kreator', '']</t>
  </si>
  <si>
    <t>['telkom', 'siih', 'kaya', 'gini', 'akses', 'aplikasinya', 'payaaaaah']</t>
  </si>
  <si>
    <t>['minggu', 'nggak', 'dibuka', 'notifikasi', 'pembaharuan']</t>
  </si>
  <si>
    <t>['aplikasi', 'buka', 'buka', 'kah', 'sistem', '']</t>
  </si>
  <si>
    <t>['erorr', '']</t>
  </si>
  <si>
    <t>['buka', 'telkomsel', 'banget', 'layar', 'putih', 'ngebleng', 'aplikasi', 'lola', 'jalan', 'kesal']</t>
  </si>
  <si>
    <t>['', 'pas', 'masuk', 'aplikasi', 'putih', 'teruss', 'tolong', 'diperbaiki']</t>
  </si>
  <si>
    <t>['maks', 'servis', 'pelayanan']</t>
  </si>
  <si>
    <t>['selamat', 'sore', 'telkomsel', 'login', 'telkomsel', 'update', 'mohon', 'dibantu', 'terima', 'kasih', 'telkomsel', '']</t>
  </si>
  <si>
    <t>['lemot', 'menang', 'mahal', 'doang', 'pengguna', 'kartu', 'halo', 'kecewanya', 'brand', 'pelayanan', 'buruk', 'segini', 'pulau', 'jawa', '']</t>
  </si>
  <si>
    <t>['jaringan', 'ngeleq', 'busuk', 'main', 'jaringan', 'merah', 'mulu']</t>
  </si>
  <si>
    <t>['telkomsel', 'mahal', 'bonusnya', '']</t>
  </si>
  <si>
    <t>['aplikasi', 'dibuka', 'eroooorrrr', '']</t>
  </si>
  <si>
    <t>['udah', 'apk', 'telkomsel', 'kaya', 'ngeblank', 'putih', 'gitu', 'trs', 'kuota', 'langganan', 'gabisa', 'dibeli', 'knp', 'min', 'kesini', 'gaje', 'kecepatan', 'internet', 'masi', 'bagus', 'tolong', 'diperbaiki', 'min']</t>
  </si>
  <si>
    <t>['aplikasinya', 'dapatbdi', 'buka', 'instal']</t>
  </si>
  <si>
    <t>['parah', 'dibukaaa']</t>
  </si>
  <si>
    <t>['sinyal', 'down', 'nyaman', 'gua', 'maen', 'game', 'huu', 'tolong', 'dibenahi', 'kecewa', 'pindah', 'provider']</t>
  </si>
  <si>
    <t>['mahal', 'doang', 'sinyal', 'jelek', '']</t>
  </si>
  <si>
    <t>['kebiasaan', 'jaringan', 'jelek', 'pulsa', 'langsung', 'dipotong', 'jaringan', 'terussss']</t>
  </si>
  <si>
    <t>['aplkasiny', 'buka']</t>
  </si>
  <si>
    <t>['beli', 'paket', 'unlimited', 'harga', 'mahal']</t>
  </si>
  <si>
    <t>['telkomsel', 'lemot', '']</t>
  </si>
  <si>
    <t>['', 'bintang', 'bicara', 'aplikasi', 'kebuka', 'layar', 'putih', 'doang', 'jaringan', 'telkomsel', 'lemot', 'lemot', 'lemot', 'robot', 'bersabar', 'pindah', 'nunggu', 'perubahan', 'kagak', '']</t>
  </si>
  <si>
    <t>['jelek', 'sinyal', 'mahal', 'jaringan', 'jelek', 'kumplit', 'deh', 'tolong', 'perbaiki', 'jaringan', 'selepel', 'telkomsel', 'telkomsel', 'tpi', 'perubahan', 'tetep', 'jelek', 'jaringan', 'mengecewakan']</t>
  </si>
  <si>
    <t>['telkomsel', 'ngentodddd', 'ngelagg', 'anjekkkk']</t>
  </si>
  <si>
    <t>['gimana', 'telkomsel', 'update', 'masuk', 'tolong', 'penjelasannya', 'dri', 'telkomsel']</t>
  </si>
  <si>
    <t>['semoga', 'bermanfaat', '']</t>
  </si>
  <si>
    <t>['memudahkan', 'transaksi', 'puksa']</t>
  </si>
  <si>
    <t>['gabisa', 'dibuka', 'aplikasinya', '']</t>
  </si>
  <si>
    <t>['wow', 'kuota', 'geratis', 'work', '']</t>
  </si>
  <si>
    <t>['telkomsel', 'terbuka', 'update', '']</t>
  </si>
  <si>
    <t>['jaringanntelkomsol', 'kyak', 'taek', 'bah', 'bangsad']</t>
  </si>
  <si>
    <t>['data', 'internetnya', 'pakai', 'sisa', 'paket', 'data', 'kemarin', 'pakai', 'alias', 'hangus', 'pembodohan', '']</t>
  </si>
  <si>
    <t>['promonya', 'dibanyakin', '']</t>
  </si>
  <si>
    <t>['bukaaa', '']</t>
  </si>
  <si>
    <t>['harga', 'paketannya', 'jaringannya', 'hilang', 'pas', 'mati', 'lampu', 'paketan', 'mahal', 'cepet', 'habis', 'ngotak', '']</t>
  </si>
  <si>
    <t>['minggu', 'apk', 'telkomsel', 'mengikuti', 'perbaharuan', 'buka', 'ngebleng', 'udah', 'uninstall', 'install', 'solusinya', '']</t>
  </si>
  <si>
    <t>['mantappp', 'mudah', 'mudahan', 'hadiah', 'tukar', 'poin', 'bismilah', 'hanphone']</t>
  </si>
  <si>
    <t>['mengecewakan', 'kuota', 'unlimited', 'bulanan', 'ngak', 'beli', 'sungguh', 'mengecewakan', 'harga', 'kuota', 'mahal', 'mending', 'beli', 'konter', 'apk']</t>
  </si>
  <si>
    <t>['kemudahan', 'penggunaan']</t>
  </si>
  <si>
    <t>['muat', 'turun', 'buka', 'aplikasi', 'tolong', 'selesaikan', 'pengguna', 'heran', 'kasih']</t>
  </si>
  <si>
    <t>['mempermudah', 'membeli', 'kuota']</t>
  </si>
  <si>
    <t>['paket', 'combo', 'harga', 'naikan', 'menit', 'jamin', 'laris', 'manis', 'mantap', 'mantap', 'mantap', '']</t>
  </si>
  <si>
    <t>['telkomsel', 'gua', 'kartu', 'combo', 'sakti', 'dpt', 'beli', 'pketnya', 'mending', 'ush', 'pke', 'combo', 'sakti']</t>
  </si>
  <si>
    <t>['operator', 'berkelas', 'sinyal', 'buruk', 'bagus', 'sebentar', 'nurun', 'kwalitas', 'kelas', 'telkomsel', 'menjaga', 'kwalitas', 'mengecewakan', '']</t>
  </si>
  <si>
    <t>['hallo', 'telkomsel', 'aplikasinya', 'dibuka', 'download', 'kesalahan', 'teknis', '']</t>
  </si>
  <si>
    <t>['mytelkomsel', 'ngga', 'dibuka', 'klik', 'trus', 'blank', 'putih', 'lapor', 'call', 'centre', 'ktnya', 'diperbaiki', 'ngga', 'faktanya', 'sampe', 'detik', 'blm', 'gmn', 'solusinya', '']</t>
  </si>
  <si>
    <t>['tolong', 'diperbaiki', 'kadang', 'susah', 'masuk', 'aplikasinya']</t>
  </si>
  <si>
    <t>['perbanyak', 'diskon']</t>
  </si>
  <si>
    <t>['aplikasi', 'loading', 'trus']</t>
  </si>
  <si>
    <t>['telkomsel', 'jaringannya', 'kya', 'jelek']</t>
  </si>
  <si>
    <t>['aplikasi', 'jlass', 'uda', 'daftar', 'telkomsel', 'tetep', 'tolol', 'emng']</t>
  </si>
  <si>
    <t>['murah', 'harga', 'paket', 'internet', 'subrek', 'siompong', 'mancing', '']</t>
  </si>
  <si>
    <t>['meningkatkan', 'mutu', 'kualitas', 'pelayanan']</t>
  </si>
  <si>
    <t>['mohon', 'ditingkatkan', 'eventnya']</t>
  </si>
  <si>
    <t>['knpa', 'sinyal', 'wifi', 'indihome', 'stabil', 'pdhl', 'bayar']</t>
  </si>
  <si>
    <t>['kebuka', 'samsung', 'atelah', 'update', 'kmaren', 'ahhh', 'payahh', 'nihhh']</t>
  </si>
  <si>
    <t>['telkomsel', 'riau', 'buka', 'gapa', '']</t>
  </si>
  <si>
    <t>['bintang', 'internet', 'combo', 'sakti', 'hilang', 'pas', 'beli']</t>
  </si>
  <si>
    <t>['', 'knp', 'skrg', 'koq', 'buka', 'sampe', 'gangguan', '']</t>
  </si>
  <si>
    <t>['seminggu', 'white', 'screen', 'diperbarui', 'zonk', 'unistal', 'instal', 'uninstal', 'instal', 'gitu', 'nomer', 'promo', 'murah', 'punyaku', 'ttp', 'beli', 'bagus', 'mlh', 'merosot', '']</t>
  </si>
  <si>
    <t>['sinyal', 'ngelag', 'ngelag', 'anjg']</t>
  </si>
  <si>
    <t>['apk', 'bagus', 'mhn', 'pertahankan', 'promo', 'berlakunya', 'tks']</t>
  </si>
  <si>
    <t>['aplikasi', 'kerrn', 'banget']</t>
  </si>
  <si>
    <t>['muatanb', 'gan']</t>
  </si>
  <si>
    <t>['apk', 'woy', 'putih', 'doang', '']</t>
  </si>
  <si>
    <t>['buka', 'aplikasi', 'kuota', 'saran', 'cek', 'lupa', 'isi', 'kuota', 'pulsa']</t>
  </si>
  <si>
    <t>['saua', 'masuk', 'apk', 'telkomsel', 'layar', 'blank', 'putih', 'sajaa', 'maaf', 'rating', 'bintang', 'kasih', 'mohon', 'diperbaiki']</t>
  </si>
  <si>
    <t>['seandainya', 'topup', 'game', 'kaya', 'myxl', 'axisnet', 'seru', 'deh']</t>
  </si>
  <si>
    <t>['aplikasi', 'rusak', 'dibuka', 'aplikasi', 'telkomsel', 'atasi', '']</t>
  </si>
  <si>
    <t>['pas', 'pembaruan', 'aplikasi', 'ngeblank', 'warna', 'putih', 'min', 'telkomsel', '']</t>
  </si>
  <si>
    <t>['waduhhhsusah', 'update', 'susah', 'instal', 'ulang', '']</t>
  </si>
  <si>
    <t>['maaf', 'kasih', 'bintang', 'minggu', 'jaringan', 'down', 'aplikasi', 'telkomsel', 'dibuka', 'ngeblank', 'putih', 'berasa', 'ngumpet', 'dikolong', 'gua', 'mohon', 'diperbaiki', 'pelanggan', 'beralih', 'provider', '']</t>
  </si>
  <si>
    <t>['buka', 'blank', 'putih', 'update', 'terbaru', 'device', 'samsung', 'coba', 'developer', 'appnya', 'min', 'ngecek', 'nomor', 'langgananku', 'kouta', 'nomor', 'susah', 'bintang']</t>
  </si>
  <si>
    <t>['jaringan', 'jelek', 'semoga', 'kedepannya']</t>
  </si>
  <si>
    <t>['masuk', 'aplikasi', 'sulit', 'mohon', 'diperb', 'iki']</t>
  </si>
  <si>
    <t>['mahal', 'harga', 'paketannya', 'paketannya', 'khusus', 'kuota', 'utama']</t>
  </si>
  <si>
    <t>['dibuka', 'update', 'gimanapun', 'jaringan', 'bagus', 'eror', 'parah', 'update', 'bagus', 'parah']</t>
  </si>
  <si>
    <t>['aplikasinya', 'tidk', 'dibuka']</t>
  </si>
  <si>
    <t>['semoga', 'dpt', 'membantu', 'memudahkan', 'butuhkan']</t>
  </si>
  <si>
    <t>['puas', 'telkomsel', 'ditingkatkan', 'kualitas', 'sinyal', '']</t>
  </si>
  <si>
    <t>['aplikasi', 'jeleeeeekkkkk', 'kebuka', '']</t>
  </si>
  <si>
    <t>['top', 'mobilelegend', 'buka']</t>
  </si>
  <si>
    <t>['mancapp', 'tingkat', 'trus', 'qualitas', 'telkomsel']</t>
  </si>
  <si>
    <t>['login', 'layar', 'ngehank', 'kak', 'mohon', 'bantuan', 'uninstal', 'instal', 'cache', 'udah', 'dbersihkan', 'ttep', 'login', 'kak', 'mohon', 'pencerahan', 'kak', 'bantuan', '']</t>
  </si>
  <si>
    <t>['jangkauan', 'signal', 'kuat', '']</t>
  </si>
  <si>
    <t>['sinyal', 'lemot', 'tolong', 'perbaiki']</t>
  </si>
  <si>
    <t>['mytelkomsel', 'ndak', 'bukak', 'perbaikan', '']</t>
  </si>
  <si>
    <t>['jaringan', 'mengecewakan', 'main', 'game', 'kuat', 'ngelag', 'trus', 'paket', 'ajh', 'mahal', 'jaringan', 'busuk', '']</t>
  </si>
  <si>
    <t>['aplikasi', 'buka', 'hnya', 'muncul', 'layar', 'putih']</t>
  </si>
  <si>
    <t>['minggu', 'buka', 'instal', 'berulang', 'ulang', 'tolong', 'benahi', 'apl', 'nyak']</t>
  </si>
  <si>
    <t>['paket', 'gb', 'gb', 'perbulan', 'tolong', 'diadakan', 'gausah', 'drama', 'paket', 'khusus', 'tiktoklah', 'twitterlah', 'dll', '']</t>
  </si>
  <si>
    <t>['berhubung', 'lemot', 'balikkan', 'bintang', '']</t>
  </si>
  <si>
    <t>['harga', 'melayang', 'kualitas', 'binatang', 'negara', 'ngutang', 'uang', 'cetak', 'ngutang', 'megawati', 'senang', '']</t>
  </si>
  <si>
    <t>['telkomselku', 'dibuka', '']</t>
  </si>
  <si>
    <t>['kecewa', 'telkomsel', 'karna', 'pembaruan', 'white', 'scren', 'pdhal', 'instal', 'ulang', 'berulang', 'masuk', 'kecewa', 'tolong', 'benahi']</t>
  </si>
  <si>
    <t>['tampilan', 'buka', 'aplikasinya', 'tampil', 'aupdate', 'layar', 'putih', 'tampilannya', 'tunggu', 'menit', 'gaknkebuka', 'buka', 'min', 'mohon', 'dipermudah', 'penggunaannya', '']</t>
  </si>
  <si>
    <t>['dibuka', 'nie', 'aplikasinya', '']</t>
  </si>
  <si>
    <t>['masangnya', '']</t>
  </si>
  <si>
    <t>['bagus', 'tambahin', 'promo', 'donk', 'kartu', 'sdah', 'brthan']</t>
  </si>
  <si>
    <t>['mantab', 'pokok', 'bertransaksi', 'aplikasi', '']</t>
  </si>
  <si>
    <t>['update', 'disuruh', 'update']</t>
  </si>
  <si>
    <t>['sistem', 'lemot', 'dibuka', 'tolong', 'diupdate']</t>
  </si>
  <si>
    <t>['semoga', 'membantu', 'meringankan', 'orng', 'berkekurangan']</t>
  </si>
  <si>
    <t>['update', 'nunggu', 'sapai', 'menit']</t>
  </si>
  <si>
    <t>['kecewa', 'gila', 'pengalaman', 'bli', 'pulsa', 'langsung', 'kepotong', 'lbh', 'pulsa', 'dibeli', 'saran', 'ush', 'telkom', 'ntar', 'nambah', 'dosa', 'marah', 'anjng']</t>
  </si>
  <si>
    <t>['halo', 'telkomsel', 'mohon', 'diperbaiki', 'mengerti', 'harga', 'mahal', 'aplikasi', 'bermasalah']</t>
  </si>
  <si>
    <t>['koq', 'udah', 'update', 'kebuka', 'aplikasinya', '']</t>
  </si>
  <si>
    <t>['jaringan', 'jelek', 'sesuai', 'harga', 'kuotanya', 'mahal']</t>
  </si>
  <si>
    <t>['beli', 'kuota', 'unlimited', 'youtube', 'kesedot', 'kuota', 'utama', 'gimana', 'aduuuh', 'parah', '']</t>
  </si>
  <si>
    <t>['udah', 'buka']</t>
  </si>
  <si>
    <t>['thn', 'telkomsel', 'tolong', 'harga', 'paket', 'data', 'internet', 'bulanan', 'mahal', 'dung', 'cinta', 'telkomsel', 'terima', 'kasih', '']</t>
  </si>
  <si>
    <t>['kesni', 'aplikasi', 'jelek', 'eror']</t>
  </si>
  <si>
    <t>['telkomsel', 'masuk', 'layarnya', 'putih', 'aneh']</t>
  </si>
  <si>
    <t>['sip', 'membantu', 'paket']</t>
  </si>
  <si>
    <t>['knp', 'eror', 'trs', 'yaa', 'perbaiki', '']</t>
  </si>
  <si>
    <t>['udah', 'isi', 'pulsa', 'pulsa', 'tinggal', 'mohon', 'dibenerkan', 'apknya']</t>
  </si>
  <si>
    <t>['downloade', 'app', 'blum', 'bagus', 'tida', '']</t>
  </si>
  <si>
    <t>['tolong', 'kasi', 'paket', '']</t>
  </si>
  <si>
    <t>['dibuka', 'bbrp', 'uninstall', 'install', '']</t>
  </si>
  <si>
    <t>['wooy', 'gimana', 'telkomsel', 'nyuruh', 'update', 'apl', 'telkomsel', 'dibuka', 'ngeblank', 'gini', 'mah', 'update', 'hadeeeuh', 'kecewa', '']</t>
  </si>
  <si>
    <t>['telkomsel', 'membuka', 'aplikasi', 'klik', 'mucul', 'dilayar', 'layar', 'putih', 'mohon', 'arahan', 'min', '']</t>
  </si>
  <si>
    <t>['pengguna', 'telkomsel', 'update', 'white', 'screen', 'teruss', 'masuk', 'mohon', 'diperbaiki', 'mksh']</t>
  </si>
  <si>
    <t>['aplikasi', 'telkomsel', 'minggu', 'layar', 'putih', '']</t>
  </si>
  <si>
    <t>['aplilasi', 'buka', 'update', 'mohon', 'perbaikik', 'tod']</t>
  </si>
  <si>
    <t>['', 'buka', 'telkomsel', 'tampilan', 'layar', 'putih', 'tolong', 'bntu', 'bagaimn']</t>
  </si>
  <si>
    <t>['aplikasi', 'telkomsel', 'nggak', 'buka', 'minggu', 'telkomsel', 'nggak', 'terbuka', 'gimna', '']</t>
  </si>
  <si>
    <t>['murah', 'bang']</t>
  </si>
  <si>
    <t>['', 'masuk', 'aplikasinya', 'layar', 'putih', 'polos', '']</t>
  </si>
  <si>
    <t>['aplikasi', 'telkomsel', 'tampil', 'layar', 'putih', 'update', 'uninstal', 'kli', 'mohon', 'dibantuannya', '']</t>
  </si>
  <si>
    <t>['bari', 'instal', 'udah', '']</t>
  </si>
  <si>
    <t>['buruk', 'aplikasi', 'dibuka', 'eror']</t>
  </si>
  <si>
    <t>['', 'sudha', 'download', 'dibuka', 'muncul', 'layar', 'putih', 'apk', 'support', 'realme', '']</t>
  </si>
  <si>
    <t>['parah', 'dibuka', 'download', 'berulang', 'ulang', 'uninstal', 'download', 'uninstal', 'download', 'susah', 'banget', 'dibuka', 'super', 'lemot', 'telkomsel', '']</t>
  </si>
  <si>
    <t>['koq', 'munculnya', 'aplikasinya', 'buka']</t>
  </si>
  <si>
    <t>['kemana', 'ekstra', 'kuota', 'harian', 'paket', 'mahal', '']</t>
  </si>
  <si>
    <t>['benerin', 'woyy', 'apk', '']</t>
  </si>
  <si>
    <t>['simpati', 'tlp', 'customer', 'servis', 'nyoba', 'ubah', 'hallo', 'giliran', 'rubah', 'hallo', 'simpati', 'nyaman', 'tolong', 'info', 'kecewa', 'gini']</t>
  </si>
  <si>
    <t>['update', 'blank', 'white', 'screen', 'tolong', 'perbaiki']</t>
  </si>
  <si>
    <t>['mudah', 'mudahan', 'kendala', '']</t>
  </si>
  <si>
    <t>['sinyal', 'lemot', 'banget', 'pemakai', 'telkomsel', 'udah', 'beritahu', 'sebel', 'kaya', 'gini', 'yaudah', 'selamat', 'tinggal', 'telkomsel', 'pindah', 'provider']</t>
  </si>
  <si>
    <t>['membantu', 'manfaatnya']</t>
  </si>
  <si>
    <t>['gimanaaaa', 'apk', 'gabisa', 'buka', 'woiiiiiii', '']</t>
  </si>
  <si>
    <t>['parah', 'aplikasinya', 'ngeblank', 'layar', 'putih', 'doang', 'minggu', 'layarnya', 'putih', 'telkomsel']</t>
  </si>
  <si>
    <t>['aplikasinya', 'bagus', 'beli', 'kuota', 'mudah']</t>
  </si>
  <si>
    <t>['balikin', 'pulsa', 'nol', 'pedahal', 'dipake']</t>
  </si>
  <si>
    <t>['udah', 'lelet', 'kadang', 'susah', 'buka', 'mytelkom', 'bner', 'iklan', 'doang', 'bnyak', 'signal']</t>
  </si>
  <si>
    <t>['semngt', 'min', 'mengembangkan', 'apk', 'harga', 'paket', 'jaringn', 'sesuai', 'kasih', 'bintang', 'dlu', '']</t>
  </si>
  <si>
    <t>['', 'suka', 'beli', 'paket', 'data']</t>
  </si>
  <si>
    <t>['kuota', 'games', 'buka', 'mobile', 'legends', 'kuota', 'utamanys', 'buka', 'web', 'sosmed', 'browser', 'kuota', 'sosmed', 'nggak', 'kayak', 'telkomsel', 'nggak', 'mahal', 'paketnya', 'paket', 'unlimited', 'nggak', '']</t>
  </si>
  <si>
    <t>['white', 'screen', 'update', 'terbaru', 'mohon', 'diperbaiki']</t>
  </si>
  <si>
    <t>['telkomsel', 'aplikasi', 'mytelkomel', 'dibuka', 'dibuka', 'ngeblank', 'white', 'screen', 'bicara', 'veronika', 'datangi', 'grapari', 'hasilnya', 'disuruh', 'menunggu', 'why', '']</t>
  </si>
  <si>
    <t>['tingkatkan', 'pertahankan', 'pelayanan', 'normal']</t>
  </si>
  <si>
    <t>['maksih', 'aplikasi', 'meytekomsel', 'pokonya', 'terbaik']</t>
  </si>
  <si>
    <t>['lambat', 'buka', 'aplikasi', 'telkomsel', 'bingung', 'lambat', 'skli', 'mohon', 'perbaiki', 'aplikasinya', 'jaringan', 'telkomselnya', 'kuat', 'bagus', 'skli', 'buka', 'aplikasinya', 'lambat', 'butuh', 'perbaikan', 'alasan']</t>
  </si>
  <si>
    <t>['hai', 'kak', 'aplikasinya', 'dibuka', 'putih', 'layarnya', 'mohon', 'solusinya', 'kak', 'cepat', 'perbaiki', 'terima', 'kasih']</t>
  </si>
  <si>
    <t>['habis', 'perbarui', 'buka', 'telkom', 'makim', 'buruk', 'dam', 'burik', 'kayak', 'kartu', 'lainya', 'malu', 'maluin', 'telkom', 'aplikasi', '']</t>
  </si>
  <si>
    <t>['layar', 'blank', 'putih']</t>
  </si>
  <si>
    <t>['', 'telkomsel', 'buka', 'gimana', 'telkomsel', '']</t>
  </si>
  <si>
    <t>['knp', 'apk', 'telkomsel', 'ngk', 'buka', 'kakak', 'mhon', 'petunjuk']</t>
  </si>
  <si>
    <t>['knp', 'kakak', 'apk', 'telkomsel', 'ngk', 'buka', 'maksih']</t>
  </si>
  <si>
    <t>['lemot', 'jaringan', 'skrg', 'telkomsel', 'udh', 'mahal', 'paket', 'internet', 'smpe', 'sya', 'beli', 'kartu', 'provider', 'tnyata', 'bagus', 'lemot', 'kuota', 'telkomsel', 'sya', 'msh', 'byak', 'coba', 'dtingkatin', 'cmn', 'harganya', 'tingkatin', 'tpi', 'kualitas', 'jaringan', 'sbanding', 'smpe', 'pelanggan', 'alih', 'provider']</t>
  </si>
  <si>
    <t>['telkomsel', 'sinyal', 'kuat', 'manapun', 'lokasi']</t>
  </si>
  <si>
    <t>['masuk', 'gmn', '']</t>
  </si>
  <si>
    <t>['simpati', 'jaringan', 'ngelek', 'trus', 'mending', 'pkei', 'kartu', 'sebelah']</t>
  </si>
  <si>
    <t>['mantap', 'banget', 'tambahin', 'kuota', 'gratis', 'apk']</t>
  </si>
  <si>
    <t>['pingnya', 'bagus', 'main', 'game']</t>
  </si>
  <si>
    <t>['pulsa', 'terpotong', 'pemberitahuan', 'coba', 'chat', 'telkomsel', 'veronika']</t>
  </si>
  <si>
    <t>['telkomsel', 'jelek', 'sinyal', 'lemot', 'banget', 'main', 'menyambungkan', 'ulang', 'trus', 'perasaan', 'sinyal', 'lemot', 'tolong', 'perbaiki', '']</t>
  </si>
  <si>
    <t>['bagus', 'mytelkomsel', 'beli', 'kuota', 'tpi', 'udah', 'semingguan', 'aplikasi', 'dibuka', 'blank', 'layar', 'putih', 'tolong', 'perbaiki', '']</t>
  </si>
  <si>
    <t>['kak', 'masuk', 'aplikasi', 'telkomsel', 'tolong', 'diperbaiki', 'beli', 'kuota', '']</t>
  </si>
  <si>
    <t>['telkomsel', 'the', 'best', 'forever', 'kwalitasnya', 'terbaik']</t>
  </si>
  <si>
    <t>['update', 'buka', 'hanta', 'white', 'screen', 'kecewa', 'banget', '']</t>
  </si>
  <si>
    <t>['bagus', 'aplikasinya', 'kadang', 'logout', 'trus', 'update', '']</t>
  </si>
  <si>
    <t>['game', 'bagus', 'rugi', 'download', 'grafiknya', 'kelas', 'kamera', 'mp', 'main', 'terima', 'kasih', 'game', 'sayang', 'mytelkomsel', '']</t>
  </si>
  <si>
    <t>['masuk', 'telkomsel', 'susah']</t>
  </si>
  <si>
    <t>['puas', 'pakai', 'mytelkomsel', 'sayang', 'aplikasi', 'nga', 'buka', 'update', 'eeh', 'nga', 'buka', 'coba', 'uninstal', 'download']</t>
  </si>
  <si>
    <t>['bagus', 'lag', 'tolong', 'kouta', 'utama', 'musicmax', 'ditambah', 'pakai', 'kedepannya', 'pengguna', 'berlangganan', '']</t>
  </si>
  <si>
    <t>['the', 'best', 'telkomsel', 'menghemat', 'uang', 'sinyal', 'lancar', 'lancar', 'pke', 'fanny', 'delay', 'beuh', 'lapar', 'telkomsel', 'the', 'best', 'love', 'you', 'telkom', '']</t>
  </si>
  <si>
    <t>['lancar', 'abis', 'update', 'dibuka', 'tolong', 'dibalas']</t>
  </si>
  <si>
    <t>['download', 'aplikasi', 'dipakai', 'klik', 'aplikasi', 'mytelkomsel', 'muncul', 'layar', 'putih', 'berkali', 'kali', 'download', 'hapus', 'aplikasinya', 'dipakai', 'solusinya', '']</t>
  </si>
  <si>
    <t>['halo', 'telokomsel', 'app', 'telkomsel', 'buka', 'lihat', 'turitotial', 'youtub', 'buka', 'tolong', 'perbaiki', 'app', 'kayak', 'gini']</t>
  </si>
  <si>
    <t>['', 'aplikasi', 'pas', 'masuk', 'putih', 'trs', 'kluar', 'engga']</t>
  </si>
  <si>
    <t>['tolong', 'kualitas', 'jaringan', 'unlimitidnya', 'tingkatkan', 'mksih', '']</t>
  </si>
  <si>
    <t>['heran', 'telkomsel', 'kouta', 'bulanan', 'gb', 'dihilangkan', 'bingung', 'pilih', 'kouta', 'ngga', 'banget', 'telkomsel']</t>
  </si>
  <si>
    <t>['knapa', 'stlah', 'update', 'buka', 'aplikasinya']</t>
  </si>
  <si>
    <t>['', 'dibuka', 'yaaaaa', '']</t>
  </si>
  <si>
    <t>['', 'update', 'layarnya', 'putih', 'aplikasi', 'mah', '']</t>
  </si>
  <si>
    <t>['aplikasinya', 'dibuka', 'cek', 'pulsa', 'kouta', 'dll', 'gmn', 'restart', 'instal', 'ulang', 'tetep', 'dibuka', 'knp', '']</t>
  </si>
  <si>
    <t>['telkomsel', 'anjggg', 'asuuu', 'harganya', 'mahal', 'tpi', 'jaringannya', 'lelet', 'kyk', 'taiik', 'sumpah', 'bgtt', 'telkomsel', 'asli', 'lelet', 'kebangetan', 'parah', 'bgtt', 'telkomsel', 'anjgg', 'babii', 'haram', 'bgstt']</t>
  </si>
  <si>
    <t>['pokok', 'mantap', 'boss', 'banyakin', 'promo', 'bos', '']</t>
  </si>
  <si>
    <t>['harga', 'jaringan', 'lelet']</t>
  </si>
  <si>
    <t>['babi', 'gga', 'apk']</t>
  </si>
  <si>
    <t>['nggk', 'sinyal', 'emg', 'layarnya', 'putih', 'nggk', 'tampilan', '']</t>
  </si>
  <si>
    <t>['aplikasinya', 'nggk', 'kebuka', 'abis', 'perbarui', 'nggk', 'buka', 'kah', 'hpnya', 'aplikasinya', '']</t>
  </si>
  <si>
    <t>['eror', 'dipake', 'layarna', 'putih', 'smua']</t>
  </si>
  <si>
    <t>['telkomsel', 'koneksi', 'jelek', 'kontl', 'kartu', 'cacat', 'jual', 'anak', 'babi']</t>
  </si>
  <si>
    <t>['aplikasi', 'bagus', 'beli', 'paket', 'hemat', 'murah', 'mytelkomsel', '']</t>
  </si>
  <si>
    <t>['', 'buka', 'aplikasi', '']</t>
  </si>
  <si>
    <t>['masuk', 'susah', 'banget']</t>
  </si>
  <si>
    <t>['terima', 'aksih', 'promo', 'matap']</t>
  </si>
  <si>
    <t>['murah', 'bangat', 'deh', '']</t>
  </si>
  <si>
    <t>['nnti', '']</t>
  </si>
  <si>
    <t>['apk', 'telkomsel', 'buka', 'pembelian', 'paket', 'lainya', 'tolong', 'perjelas', 'kali', 'instal', 'layar', 'bleng', 'putih', '']</t>
  </si>
  <si>
    <t>['update', 'apk', 'nggak', 'dibuka', 'mentok', 'layar', 'blank', '']</t>
  </si>
  <si>
    <t>['telkomsel', 'emang', '']</t>
  </si>
  <si>
    <t>['mytelkomsel', 'buka', 'kecewa', 'banget']</t>
  </si>
  <si>
    <t>['mantap', 'pokok']</t>
  </si>
  <si>
    <t>['sinyal', 'telkomsel', 'parah']</t>
  </si>
  <si>
    <t>['ngisi', 'pulsa', 'rp', 'yakali', 'beli', 'rebu', 'beli', 'kuota', 'gabisa', 'gajelas']</t>
  </si>
  <si>
    <t>['blank', 'putih', 'kebuka']</t>
  </si>
  <si>
    <t>['pakai', 'telkomsel', 'the', 'best']</t>
  </si>
  <si>
    <t>['', 'telkomsel', 'terbuka', 'uninstal', 'terbuka']</t>
  </si>
  <si>
    <t>['mantap', 'semoga', 'sekaliiii', 'undian', 'nikah', 'anak', 'pengen', 'mobil', 'bawa', 'dedeknya', 'ntar', 'nggak', 'pakai', 'motor', 'gpp', 'dibilang', 'anak', 'telkomsel', '']</t>
  </si>
  <si>
    <t>['bagus', 'variatif', 'mahal', 'internet', 'mulmed', '']</t>
  </si>
  <si>
    <t>['telkomsel', 'jaringanx', 'hancur', 'bagus', 'dipake', 'telkomsel', 'silakan', 'sakit', 'hati', 'jaringanx', 'lemot', 'kayak', 'siput', 'mendingan', 'dibuang', 'dibeli']</t>
  </si>
  <si>
    <t>['kuota', 'utama', 'kuota', 'media', 'sosial', 'digabungkan', 'kuota', 'medsos', 'kalok', 'dibilang', 'mah', 'boong']</t>
  </si>
  <si>
    <t>['harga', 'kuota', 'mahal', 'promo', 'kecurangan']</t>
  </si>
  <si>
    <t>['semoga', 'bagus', 'jaringan', 'dll']</t>
  </si>
  <si>
    <t>['mempermudah', 'mengisi', 'ulang', 'paket', 'data']</t>
  </si>
  <si>
    <t>['maaf', 'ganti', 'bintang', 'krna', 'bebrpa', 'apk', 'dibuka', 'smpe', 'install', 'ulang', 'udh', 'hubungi', 'instagram', 'dicek', 'ktny', 'krna', 'kuota', 'telkomsel', 'buka', 'apk', 'hrus', 'pke', 'kuota', 'telkomsel', 'isi', 'kuota', 'dikartu', 'masi', 'dibuka', 'apk', 'gmn', 'tolong', 'cpt', 'diberesin', 'hrga', 'kuota', 'mahal', 'layanan', 'kyk', 'gini', 'buka', 'mytelkomsel', 'lwt', 'browser', '']</t>
  </si>
  <si>
    <t>['aplikasi', 'buka', 'aplikasi', 'blank', 'putih', 'gimana', 'kasih', 'solusi', 'cari', 'karyawan', 'magang', 'udah', 'mahal', 'jelek', 'sinyalnya', 'udah', 'blank', 'putih', 'pulsa', 'ganti', 'pulsa', 'gua', 'ambil', 'noh', 'aktifin', 'paket', 'data', 'sedot', 'pulsa', 'heran', 'cobalah', 'perbaiki', 'sistemnya', 'perbaiki', 'karyawan']</t>
  </si>
  <si>
    <t>['upgrade', 'nggak', 'dibuka', '']</t>
  </si>
  <si>
    <t>['paketan', 'mahal', 'khusus', 'driver', 'tuker', 'poin', 'pulsa', 'hadeh', '']</t>
  </si>
  <si>
    <t>['mencoba', 'ngasih', 'bintang', '']</t>
  </si>
  <si>
    <t>['fitur', 'lumayan', 'bagus', 'jaringan', 'lemot', 'gitu', 'telkomsel', 'lancar', 'dimana', 'kondisi', 'cuaca', 'apapun', 'lancar', 'jaya', 'dibilang', 'lemot', 'tolong', 'perbaiki', 'kedepannya', '']</t>
  </si>
  <si>
    <t>['bug', 'dibuka']</t>
  </si>
  <si>
    <t>['telkomsel', 'komunikasi', 'terbaik']</t>
  </si>
  <si>
    <t>['harga', 'mahal', 'paketannya', 'kuota', 'nasional', 'kebanyakan', 'kuota', 'aplikasi']</t>
  </si>
  <si>
    <t>['aplikasinya', 'buka', 'gmna', 'beli', 'paket', 'internet', 'udah', 'hapus', 'download', 'buka', 'tolong', 'donk', 'gmna', 'iniiiiiii']</t>
  </si>
  <si>
    <t>['', 'telkomsel', 'sarana', 'menu', 'paket', 'dibeli', '']</t>
  </si>
  <si>
    <t>['ngga', 'pembelian', 'paket', 'data', 'aplikasi', 'telkomsel', 'pulsa', 'kartu', 'aktif', 'daftar', 'paket', 'status', 'proses', 'ngga', 'daftar', 'paket', 'mohon', 'perbaikannya', 'makasih']</t>
  </si>
  <si>
    <t>['pulsa', 'pakai', 'data', 'sms', 'modus', 'penipuan', 'telkomsel', 'kah', '']</t>
  </si>
  <si>
    <t>['berkualitas', 'bermanfaat', 'wajib', 'direkomendasikan', 'berhubung', 'unduh', 'sekian', 'bintang', '']</t>
  </si>
  <si>
    <t>['sekian', 'pakai', 'telkomsel', 'coba', 'pakai', 'aplikasinya', 'tuker', 'point', 'dng', 'hadiah', 'utama', 'milik', 'rejeki', 'sayaa', '']</t>
  </si>
  <si>
    <t>['weeee', 'telkomsel', 'cuman', 'aplikasi', 'buka', 'nipu', 'konsumen', 'namanya', 'donlot', 'pakai', 'uang', 'buka', 'pakai', 'uang', 'tebuka', 'buka', 'nipu', 'orang', 'tuuuuh', 'kaya', 'kalin', 'tipu', 'takmasalah']</t>
  </si>
  <si>
    <t>['knpa', 'dlm', 'brp', 'hri', 'nda', 'buka', 'aplikasi', 'telkomsel', 'aplikasi', 'prlu', 'pembaharuan', 'lbh', 'bgus', '']</t>
  </si>
  <si>
    <t>['gimana', 'dibuka']</t>
  </si>
  <si>
    <t>['beli', 'kuota', 'ketengan', 'instagram', 'pas', 'buka', 'instagram', 'kepotong', 'kuota', 'reguler', 'kuota', 'ketengan', 'instagram', 'hadeuuh']</t>
  </si>
  <si>
    <t>['direview', 'pelayanan', 'telkomsel', 'telkomsel', 'mengalami', 'kemunduran', 'signifikan', 'tgl', 'des', 'dibuka', 'white', 'screen', 'muncul', 'uninstall', 'berkali', 'kali', 'hasilnya', 'complain', 'tuntas', 'permasalahan', 'terselesaikan']</t>
  </si>
  <si>
    <t>['costumer', 'servicenya', 'jelek', 'pelayanannya']</t>
  </si>
  <si>
    <t>['bjsa', 'dibuka']</t>
  </si>
  <si>
    <t>['kesedot', 'pulsa', 'beli', 'rb', 'berkurang', 'berkurang', 'tinggal', 'rupiah', 'pakai', 'beli', 'kuota', 'gagal']</t>
  </si>
  <si>
    <t>['aplikasi', 'keren', 'banget', '']</t>
  </si>
  <si>
    <t>['uda', 'semingguan', 'telkomsel', 'login', 'layar', 'putih', 'tolong', 'atasin', 'terima', 'kasih', '']</t>
  </si>
  <si>
    <t>['aplikasi', 'rusak', 'tolo', '']</t>
  </si>
  <si>
    <t>['masuk', 'apk', 'kali', 'update', 'aplikasi', 'whitescreen', 'kali', 'buka', '']</t>
  </si>
  <si>
    <t>['terbaik', 'telkomsel']</t>
  </si>
  <si>
    <t>['jelek', 'kualitas', 'telkomsel']</t>
  </si>
  <si>
    <t>['', 'lemot', 'update', 'login', 'aplikasi', 'ngeblank', 'taikkkk']</t>
  </si>
  <si>
    <t>['dikit', 'dikit', 'notif', 'akses', 'internet', 'tarif', 'non', 'paket', 'mulu', 'pdhl', 'paket', 'internet']</t>
  </si>
  <si>
    <t>['paket', 'data', 'mahal', 'jaringan', 'kacau', 'hilang', 'hilang', 'perbaikan', 'telkomsel']</t>
  </si>
  <si>
    <t>['lihatkuota', 'ngak', 'linknya', 'telkomsel', 'ngak']</t>
  </si>
  <si>
    <t>['tambahin', 'kuota', 'telponnya']</t>
  </si>
  <si>
    <t>['bnyak', 'mengalami', 'buka', 'apk', 'putih', 'doank']</t>
  </si>
  <si>
    <t>['pakai', 'vivo', 'lemot', '']</t>
  </si>
  <si>
    <t>['bang', 'paket', 'internet', 'telkom', 'nga', 'murah']</t>
  </si>
  <si>
    <t>['alhamdulillah', 'harga', 'kouta', 'lumayan', 'murah']</t>
  </si>
  <si>
    <t>['parahhhhh', 'buka']</t>
  </si>
  <si>
    <t>['parah', 'app', 'sulit', 'buka', '']</t>
  </si>
  <si>
    <t>['sudahh', 'app', 'dibuka', 'mohon', 'pencerahannya']</t>
  </si>
  <si>
    <t>['berulangkali', 'hapus', 'instal', 'ulang', 'telkomsel', 'buka', 'ribet', 'layaman', 'telkomsel', 'kecewa', 'buruknya', 'layanan', 'telkomsel', 'keluhan', 'konsumen', 'perbaikan', 'bayar', 'layanan', '']</t>
  </si>
  <si>
    <t>['nyaman', 'bet']</t>
  </si>
  <si>
    <t>['bagus', 'paket', 'unlimited', '']</t>
  </si>
  <si>
    <t>['telkomsel', 'membantu', 'sinyalnya', '']</t>
  </si>
  <si>
    <t>['blank', 'putih', 'trus', 'tindakan', 'diam', 'perusahaan', 'bumn', 'aplikasi', 'eror', 'kaya', 'gini', 'didiamkan', 'ngambil', 'keuntungan', 'mementingkan', 'customer', 'pindah', 'provider', 'jugaaa', 'kaya', 'gini']</t>
  </si>
  <si>
    <t>['bonus', 'unlimited', 'youtube', 'pembelian', 'paket', 'internet', '']</t>
  </si>
  <si>
    <t>['telkomsel', 'mantap', 'pokonya', 'sukses', 'trus']</t>
  </si>
  <si>
    <t>['daerah', 'pinggiran', 'laut', 'seruwai', 'mengakses', 'internet', 'data', 'telkomsel', '']</t>
  </si>
  <si>
    <t>['kirain', 'aplikasinya', 'dibuka', 'tolong', 'donk', 'pengembangnya', 'diperhatikan', 'kendala', 'aplikasinya']</t>
  </si>
  <si>
    <t>['jadikan', 'kualitas', 'aplikasi']</t>
  </si>
  <si>
    <t>['aplikasinya', 'bagus', 'masuk', 'aplikasi', 'loadingnya', 'banget', 'mahal', 'masuknya', 'susah', 'mohon', 'diperbaiki', 'entar', 'bintangnya']</t>
  </si>
  <si>
    <t>['bagus', 'banget', 'membantu']</t>
  </si>
  <si>
    <t>['paket', 'mahal', 'lemot', 'xiaomi', 'pro']</t>
  </si>
  <si>
    <t>['aplikasi', 'buka', 'ngeblank', 'layar', 'putih', 'hapus', 'cache']</t>
  </si>
  <si>
    <t>['kouta', 'internet', 'wants', 'dijawa', 'lancar', 'sya', 'bawa', 'kelampung', 'kouta', 'menyebalkan']</t>
  </si>
  <si>
    <t>['aplikasi', 'buka', 'samsung', '']</t>
  </si>
  <si>
    <t>['paket', 'tlpn', 'mantaaaap', '']</t>
  </si>
  <si>
    <t>['aplikasi', 'telkomsel', 'white', 'screen', 'trussssssss', 'coba', 'uninstal', '']</t>
  </si>
  <si>
    <t>['aplikasinya', 'buka', 'udah', 'hri']</t>
  </si>
  <si>
    <t>['udah', 'buka', 'aplikasinya', 'ayolah', 'sekelas', 'telkomsel']</t>
  </si>
  <si>
    <t>['mudah', 'enak', 'promonya']</t>
  </si>
  <si>
    <t>['kak', 'kemarin', 'aplikasi', 'terbuka', 'normal', 'mohon', 'bantuannya']</t>
  </si>
  <si>
    <t>['', 'telkomsel', 'erro', 'buka', 'ngebalnk', 'putih', '']</t>
  </si>
  <si>
    <t>['sinyal', 'payah', 'hilang', '']</t>
  </si>
  <si>
    <t>['', 'bintang', 'nyaman', 'lelet']</t>
  </si>
  <si>
    <t>['memudah', 'membeli', 'paket', 'jaringan', 'lumayan', 'bagus', 'bagus', 'main', 'game', 'saranin', 'wifi', 'jaringan', 'pemeliharaan', 'kedetabilan', 'jaringan']</t>
  </si>
  <si>
    <t>['didownload', 'ngambil', 'paket', 'internet', 'gangguan', 'dwoanload']</t>
  </si>
  <si>
    <t>['dabest', 'pkoknya', 'telkomsel', 'tetep', 'terbaik', 'terbaik']</t>
  </si>
  <si>
    <t>['lelett', 'yorobun', 'byar', 'mahal', 'lemot', 'ampun', 'tolong', 'perbaiki', 'kenyamanan', 'planggan']</t>
  </si>
  <si>
    <t>['woi', 'telkomsel', 'niat', 'kasih', 'promo', 'nggak', 'emang', 'enek', 'kesel', 'promo', 'mahal', 'mahal', 'mending', 'daftar', 'nggak', 'kali', 'aplikasi', 'emosi', 'liat', 'komentar', 'bales', 'laaaa', 'nggak', 'niat', 'ngasih', 'kenyamanan', 'uniinstal', 'aplikasi', 'paokkk', '']</t>
  </si>
  <si>
    <t>['update', 'white', 'screen', 'uninstall', 'install', 'ulang', 'berhenti', 'angka', '']</t>
  </si>
  <si>
    <t>['gimana', 'aplikasi', 'tanggal', 'buka', '']</t>
  </si>
  <si>
    <t>['', 'persen', '']</t>
  </si>
  <si>
    <t>['hujan', 'main', 'ping', 'drop']</t>
  </si>
  <si>
    <t>['telkomsel', 'paketan', 'internet', 'mahal', '']</t>
  </si>
  <si>
    <t>['semoga', 'paketnya', 'murah']</t>
  </si>
  <si>
    <t>['mudah', 'sayangnya', 'jaringan', 'bermasalah', '']</t>
  </si>
  <si>
    <t>['internetnya', 'mahal', 'ngelag', 'ngelag']</t>
  </si>
  <si>
    <t>['perusahaan', 'gede', 'aplikasinya', 'mengecewakan', 'dibuka', 'tampilan', 'layar', 'putih', '']</t>
  </si>
  <si>
    <t>['cocok', 'bintang', 'jaringan', 'daerah', 'lemot', 'main', 'buka', 'mytelkomsel', 'tersendat', 'payah', '']</t>
  </si>
  <si>
    <t>['', 'cari', 'kalkulator']</t>
  </si>
  <si>
    <t>['pulsa', 'harga', 'paketan', 'knp', 'mwncukupi']</t>
  </si>
  <si>
    <t>['buka', 'aplikasi', 'telkomsel', 'samsung']</t>
  </si>
  <si>
    <t>['isi', 'paket', 'aplikasi', 'telkomsel', 'jaringan', 'buruk', 'disuruh', 'ulang']</t>
  </si>
  <si>
    <t>['paket', 'data', 'gb', 'gaada', 'kesel', 'deh']</t>
  </si>
  <si>
    <t>['hallo', 'telkomsel', 'aplikasi', 'telkomsel', 'kebuka', 'white', 'screen', 'dilayar', 'minggu', 'kecewa', 'skr', 'msh', 'perbaikan', 'telkomsel']</t>
  </si>
  <si>
    <t>['aplikasi', 'ngadat', 'dibuka', 'woiii', 'sekelas', 'telkomsel', '']</t>
  </si>
  <si>
    <t>['kecewa', 'telkomsel', 'kemarin', 'ketik', 'paket', 'harian', 'gb', 'pkl', 'bangun', 'paginya', 'paket', 'hilang', 'pulsa', 'kemakan', 'kecewa', 'bnget', 'telkomsel', 'tolong', 'perbaiki', 'sistemnya', 'semoga', 'kedepannya', 'perbaiki']</t>
  </si>
  <si>
    <t>['jaringan', 'diperkuat']</t>
  </si>
  <si>
    <t>['sya', 'update', 'suport', 'alias', 'layar', 'white', 'tolong', 'perbaiki']</t>
  </si>
  <si>
    <t>['hai', 'kak', 'mohon', 'responnya', 'abis', 'update', 'munculnya', 'white', 'screen', 'mulu', 'yaa', '']</t>
  </si>
  <si>
    <t>['poin', 'dsb', '']</t>
  </si>
  <si>
    <t>['gbu']</t>
  </si>
  <si>
    <t>['belli', 'pulsa', 'ribu', 'tpi', 'pulsanya', 'masuk', 'lakukan', 'komunikasi', 'transaksi', 'kirimkan', 'bukti', 'transaksi', 'memuaskan', 'maaf', 'perbaikan', 'kedepannya']</t>
  </si>
  <si>
    <t>['paket', 'data', 'indosat', 'sms', 'masuk', 'telkomsel', 'akses', 'internet', 'tarif', 'non', 'paket', 'emang', 'sinyal', 'ngaco', 'harga', 'gila', 'udah', 'gunain', 'telkomsel', 'provider', 'sinyalnya', 'bagus', 'harga', 'murah', 'th', 'pke', 'telkomsel', 'sampe', 'ninggalin', 'telkomsel']</t>
  </si>
  <si>
    <t>['segiini', 'coba']</t>
  </si>
  <si>
    <t>['pas', 'buka', 'white', 'screen']</t>
  </si>
  <si>
    <t>['ngga', 'dibuka', 'stuck', 'screen', 'putih']</t>
  </si>
  <si>
    <t>['telkomsel', 'banget']</t>
  </si>
  <si>
    <t>['kesulitan', 'mendowlod', 'telkom']</t>
  </si>
  <si>
    <t>['suka', 'krna', 'murah', 'ehh', 'skrang', 'mahal', 'pas', 'lihat', 'paket', 'murah', 'pket', 'promo', 'otw', 'pindah', '']</t>
  </si>
  <si>
    <t>['coba', 'buka', 'app', 'cuman', 'layar', 'putih', 'ngeselin', 'banget', 'aneh', 'jelek', 'banget', 'gini']</t>
  </si>
  <si>
    <t>['menakjubkan']</t>
  </si>
  <si>
    <t>['buka', 'aplikasinya', 'layarnya', 'putih', 'gimana']</t>
  </si>
  <si>
    <t>['bagus', 'mudah', 'beli', 'paket']</t>
  </si>
  <si>
    <t>['jaringan', 'pedesaan', 'perkuat', 'daerah', 'tirtomoyo', 'krisik', 'sinyal', 'lemah']</t>
  </si>
  <si>
    <t>['aplikasinya', 'dibuka', 'berlangganan', 'telkomsel']</t>
  </si>
  <si>
    <t>['pke', 'telkomsel', 'oke', 'jaringan', 'lancar']</t>
  </si>
  <si>
    <t>['dibuka', 'tolong', 'diperbaiki', 'cek', 'kuota', 'manual', 'mengerti']</t>
  </si>
  <si>
    <t>['kaga', 'dibuka', 'aplikasi', 'turun', 'bintang', '']</t>
  </si>
  <si>
    <t>['hehehe', 'komenku', 'hapus']</t>
  </si>
  <si>
    <t>['harga', 'paketnya', 'berubah', 'php', 'murah', 'pakai', 'berkali']</t>
  </si>
  <si>
    <t>['telkomsel', 'ketengan', 'unlimited', 'youtube', 'nonton', 'youtube', 'sedot', 'kuota', 'utama', 'buruan', 'diperbaiki']</t>
  </si>
  <si>
    <t>['install', 'uninstall', 'restart', 'berkali', 'kali', 'blank', 'tampilan', 'kesalahan', 'sistem', 'transaksi', 'nomor', 'nonaktif', 'terblokir', 'semoga', '']</t>
  </si>
  <si>
    <t>['tambahin', 'bonus', 'isi', 'ulang', 'pulsa', 'bagus', 'operatornya', '']</t>
  </si>
  <si>
    <t>['kakak', 'admin', 'app', 'telkomsel', 'buka', 'tolong', 'kasih', 'kabar']</t>
  </si>
  <si>
    <t>['kecewa', 'masuk', 'aplikasi', 'pakai', 'kartu', 'telkomsel', 'sinyal', 'bagus', 'cepat', 'sekrang', 'lelet', 'bintang', 'perbaiki']</t>
  </si>
  <si>
    <t>['min', 'nge', 'kritik', 'membeli', 'quota', 'poin', 'pulsa', 'kaya', 'azab', '']</t>
  </si>
  <si>
    <t>['', 'telkomsel', 'membantu', 'knpa', 'aplikasi', 'error', '']</t>
  </si>
  <si>
    <t>['membantu', 'pembelian', 'kaota']</t>
  </si>
  <si>
    <t>['telkomnyet', 'ngotaklah', 'dikit', 'harga', 'mahal', 'kualitas', 'jaringan', 'anjlok', 'anying', 'naikin', 'harga', 'naikin', 'kualitasnya']</t>
  </si>
  <si>
    <t>['lancar']</t>
  </si>
  <si>
    <t>['tolong', 'tim', 'dev', 'respek', 'pelanggan', 'teriak', 'teriak', 'gini', 'mytelkom', 'fungsi', 'tolong', 'perbaiki', 'aplikasi', 'pengguna', 'gini', 'susah', 'beli', 'aplikasi', 'sombong', '']</t>
  </si>
  <si>
    <t>['versi', 'susah', 'buka', 'kecewa', 'banget', '']</t>
  </si>
  <si>
    <t>['sinyal', 'rungkadddddd', '']</t>
  </si>
  <si>
    <t>['keren', 'gokil', 'abis', '']</t>
  </si>
  <si>
    <t>['mohon', 'promonya', 'bang', 'kartu', '']</t>
  </si>
  <si>
    <t>['', 'seminggu', 'telkomsel', 'buka', 'hapus', 'instal', 'masuk', 'tolong', 'bantu']</t>
  </si>
  <si>
    <t>['', 'kasih', 'aplikasiny', 'susah', 'gmn', 'min', '']</t>
  </si>
  <si>
    <t>['white', 'screen', 'teruuuuuusss', 'stress', 'pakainya', 'ampuuuuun', 'gimana', 'yaaa']</t>
  </si>
  <si>
    <t>['aplikasinya', 'buka', 'tolong', 'perbaiki']</t>
  </si>
  <si>
    <t>['tlkomsel', 'lemah', 'lemot', 'daerah', '']</t>
  </si>
  <si>
    <t>['fitur', 'settingan']</t>
  </si>
  <si>
    <t>['update', 'buka', 'super', 'jelek']</t>
  </si>
  <si>
    <t>['lelah', 'aplikasi', 'buang']</t>
  </si>
  <si>
    <t>['', 'rabu', 'aplikasi', 'telkomsel', 'dibuka', 'tolong', 'diperbaiki']</t>
  </si>
  <si>
    <t>['nggk', 'knp', 'apknya', 'dibuka', 'layarnya', 'putih', 'habis', 'coba', 'paket', 'data', 'tetep', 'kaya', 'gtu', 'knp', '']</t>
  </si>
  <si>
    <t>['semenjak', 'update', 'atuh', 'capek', 'login', 'perbaiki', '']</t>
  </si>
  <si>
    <t>['udah', 'aplikasinya', 'dibuka', 'perbaiki', '']</t>
  </si>
  <si>
    <t>['cupu', 'banget', 'telkomsel', 'fitur', 'pulsa', 'safe', 'pulsa', 'kesedot', 'ngaktifin', 'data', 'habis', 'shame', 'you', '']</t>
  </si>
  <si>
    <t>['beli', 'kuota', 'hrganya']</t>
  </si>
  <si>
    <t>['', 'madih', '']</t>
  </si>
  <si>
    <t>['busuk', 'paketan']</t>
  </si>
  <si>
    <t>['telkomsel', 'pilih', 'kasih', 'mahal', 'paketan', 'paketan', 'berbera', 'paketan', 'rban', 'rh', 'murah', 'rb', 'tolong', 'pilih', 'kasih', 'udh', 'mah', 'sinyal', 'jelek', 'dikasih', 'ujan', 'hmmmm', 'pindah', 'provider', 'btw', 'gamau', 'apapun', 'twitter', 'telegram', 'dll', 'males', 'respon', 'biarlah', 'keluhan', 'orang', 'thanks', '']</t>
  </si>
  <si>
    <t>['aplikasi', 'merespon', 'dibuka', 'layar', 'berwana', 'putih', 'menampilkan', 'apapun', 'aplikasi', 'tertutup', 'coba', 'membersihkan', 'sampah', 'data', 'perubahan', 'performa', 'aplikasi', 'buruk', '']</t>
  </si>
  <si>
    <t>['membantu', 'prosesnya', 'cepat']</t>
  </si>
  <si>
    <t>['bagus', 'jaringan', 'lemott']</t>
  </si>
  <si>
    <t>['gimana', 'diinstal', 'ulang', 'ngebelng', 'sihh', 'pakai', 'lohhh', 'gimana', 'telkomsel', 'pelayanannya', 'mlempem', 'sihhhh', '']</t>
  </si>
  <si>
    <t>['semoga', 'data', 'pribadi', 'customer', 'aman', '']</t>
  </si>
  <si>
    <t>['', 'telkomsel', 'memnang', 'cocok', 'kartu', 'telkomsel']</t>
  </si>
  <si>
    <t>['sinyalnya', 'oke', 'tampa', 'lelet', 'telkomsel', '']</t>
  </si>
  <si>
    <t>['payah', 'paket', 'internet', 'berguna', 'paket', 'dibutuhkan', 'penggunaan', 'paket', 'nonton', 'paket', 'malam']</t>
  </si>
  <si>
    <t>['parah', 'beli', 'paket', 'keluarga', 'seharian', 'alasan', 'server', 'sibuk', 'pakai', 'nomer', 'berbeda', 'sibuk', 'status', 'paket', 'keluarga', 'habis', 'sehari', 'ganti', 'paket', 'combo', 'langsung', 'berhasil', '']</t>
  </si>
  <si>
    <t>['aplikasi', 'msalah', 'dibuka', 'abdade', 'aneh', '']</t>
  </si>
  <si>
    <t>['senang', 'sisi', 'pulsa', 'sya', 'colongan', 'ditingkat', 'perpormanya']</t>
  </si>
  <si>
    <t>['aplikasi', 'nggak', 'dibuka', 'pembaruan', 'apk', 'buka', 'apk', 'warna', 'putih', 'udh', 'coba', 'uninstall', 'tetep', 'nggak', 'ngaruh', 'coba', 'min', 'kuota', 'abis', 'otomatis', 'terhenti', 'internetnya', 'nyedot', 'pulsa', '']</t>
  </si>
  <si>
    <t>['knp', 'jaringan', 'telkomsel', 'sinyal', 'ngelag', 'knp', 'perusahaan', 'kaya', 'indonesia', 'gini', 'maen', 'game', 'tiktok', 'whatsap', 'ngelag', 'knp', 'tolong', 'perbaiki', 'min', 'ganggu', 'aktivitas', 'sehari']</t>
  </si>
  <si>
    <t>['bonus', 'login', 'quota', 'internet', 'taro', 'ujung', '']</t>
  </si>
  <si>
    <t>['kbuka', 'trus', 'update', 'skarang', 'mlah', 'kga', 'kebuka', 'skali', 'jam', 'layar', 'putih', 'duang', 'taapee', 'deeeh', 'bgini', 'update', '']</t>
  </si>
  <si>
    <t>['puas', 'pakai', 'telkomsel']</t>
  </si>
  <si>
    <t>['paket', 'combo', 'sakti', 'hilang', 'harga', 'paket', 'omg', 'ditawarkan', 'mahal', '']</t>
  </si>
  <si>
    <t>['membantu', 'pengecekan', 'kuota']</t>
  </si>
  <si>
    <t>['', 'update', 'blank', 'doang']</t>
  </si>
  <si>
    <t>['gimna', 'buka', 'putih', '']</t>
  </si>
  <si>
    <t>['aplikasinya', 'dibuka', 'nunggu', 'loading', 'menit', 'tampilannya', 'warna', 'putih']</t>
  </si>
  <si>
    <t>['telkomsel', 'khsus', 'pelanggan', 'kartu', 'hallo', 'karna', 'mengirim', 'kode', 'verfikasi', 'pulsa', 'isi', 'pulsa', 'valid', 'diproses', 'beli', 'pulsa', 'daftar', 'mobile', 'jkn', 'bpjs', 'daftar', 'aplikasi', 'pulsa', 'gimana', 'negini', 'kemaren', 'pindah', 'halo', '']</t>
  </si>
  <si>
    <t>['aplikasinya', 'dibuka', 'ngeblank', 'putih', 'udah', 'kecewa', '']</t>
  </si>
  <si>
    <t>['bagus', 'aplikasi', 'dibuka', '']</t>
  </si>
  <si>
    <t>['', 'telkomsel', 'sulit', 'dibuka', 'tolong', 'bantu']</t>
  </si>
  <si>
    <t>['mantip', 'murah', 'nampol', 'mksh', 'telkomsel', 'hati', '']</t>
  </si>
  <si>
    <t>['sinyal', 'jelek', 'langganan', 'langit', 'musik', 'berfungsi', 'komplain', 'grapari', 'disuruh', 'menunggu', 'sampe', 'sampe', 'aktif', 'langganan', 'habis', 'langit', 'musik', 'premium', 'aktif', 'sia', 'sia', 'hati', 'hati', 'berlangganan', 'paket', 'tambahan', 'beli', 'paket', 'data']</t>
  </si>
  <si>
    <t>['jaringan', 'telkomsel', 'lemot', 'kaya', 'harga', 'jaringan', 'lemot', '']</t>
  </si>
  <si>
    <t>['pulsa', 'hilang', 'pemberitahuan', 'tolong']</t>
  </si>
  <si>
    <t>['buka', 'aplikasinya', 'habis', 'perbaharui', 'dibuka', '']</t>
  </si>
  <si>
    <t>['', 'buka', 'aplikasi', 'telkomsel', 'isi', 'kuota', 'jga', 'susah', 'tolong', 'cepat', 'perbaiki']</t>
  </si>
  <si>
    <t>['perbarui', 'aplikasi', 'dibuka']</t>
  </si>
  <si>
    <t>['', 'brp', 'aplikasi', 'telkomsel', 'buka', 'susah', 'nyari', 'informasi', 'telkomsel', 'tollong', 'donk', 'penjelasannya']</t>
  </si>
  <si>
    <t>['trimaksih', 'mepermudah', 'pengguna', 'telkomsel']</t>
  </si>
  <si>
    <t>['', 'nampak', 'hasil', 'instal', 'telkomsel', 'dilayar', '']</t>
  </si>
  <si>
    <t>['tukar', 'pulsa', 'kayak']</t>
  </si>
  <si>
    <t>['mohon', 'harga', 'paket', 'kuota', 'combo', 'sakti', 'unlimited', 'gb', 'gb', 'dinaikin', 'harganya', 'pas', '']</t>
  </si>
  <si>
    <t>['gimana', 'apk', 'blank', 'mohon', 'perbaiki', 'susah', 'akses', '']</t>
  </si>
  <si>
    <t>['', 'telkomsel', 'update', 'masuk', 'udah', 'coba', 'uninstal', 'dowlod', 'tolong', 'perbaiki', '']</t>
  </si>
  <si>
    <t>['update', 'gabisa', 'masuk', 'yaa', 'sya', 'udh', 'coba', 'uninstal', 'trus', 'sya', 'instal', 'ttp', 'gabisa', 'masuk', 'yaa', 'blank', 'gituu', 'knpa', 'yaa', 'mohon', 'perbaiki', 'yaa']</t>
  </si>
  <si>
    <t>['masuk', 'aplikasi', 'kemaren', 'buka', 'aplikasi', 'telkomsel', 'layar', 'putih', 'trus', 'koc', 'kayak', 'gini', '']</t>
  </si>
  <si>
    <t>['hai', 'telkomsel', 'pengguna', 'setiamu', 'kali', 'mengecewakan', 'telkomsel', 'susah', 'dibuka', 'ngeselin', 'banget', 'namamu', 'tersohor', 'perbaiki', 'kwalitasmu', '']</t>
  </si>
  <si>
    <t>['link', 'tautan', 'login', 'berfungsi', 'becus', '']</t>
  </si>
  <si>
    <t>['tolong', 'perbaiki', 'app', 'udah', 'hri', 'bukak', 'lambat', 'responnya', '']</t>
  </si>
  <si>
    <t>['aplikasinya', 'koplak', 'seminggu', 'dibuka', 'jirrr']</t>
  </si>
  <si>
    <t>['ribet', 'banget', 'cuman', 'login', 'knp', 'nggk', 'kek', 'cuman', 'masukin', 'kode', 'kek', 'gini', 'masuk', '']</t>
  </si>
  <si>
    <t>['apk', 'buka', 'paket', 'data', 'operator', 'buka', 'paket', 'data', 'telkomsel', 'hasilnya', 'zong', 'lemot', 'banget']</t>
  </si>
  <si>
    <t>['dibuka', 'pakai', 'aplikasi']</t>
  </si>
  <si>
    <t>['proses', 'cepat', 'bagus', 'banget']</t>
  </si>
  <si>
    <t>['promo', '']</t>
  </si>
  <si>
    <t>['maaf', 'turunkan', 'bintangnya', 'coba', 'uninstal', 'reinstal', 'berkali', 'kali', 'karna', 'dibuka', 'tampilan', 'putih']</t>
  </si>
  <si>
    <t>['aplikasi', 'blank', 'putih', 'bsa', 'dibuka', 'update']</t>
  </si>
  <si>
    <t>['hbs', 'update', 'telkomsel', 'buka']</t>
  </si>
  <si>
    <t>['semoga', 'dapet', '']</t>
  </si>
  <si>
    <t>['kemudahan', 'anak', 'sekolah', 'ekonomi', 'pas', 'pasan', '']</t>
  </si>
  <si>
    <t>['udah', 'seminggu', 'aplikasi', 'uninstal', 'kebuka', 'eror']</t>
  </si>
  <si>
    <t>['semoga', 'dpt', 'undian']</t>
  </si>
  <si>
    <t>['aplikasinya', 'berat', 'login', 'membutuhkan', 'menit', 'login', '']</t>
  </si>
  <si>
    <t>['telkomsel', 'aplikasi', 'bobrok', 'sinyal', 'ilang', 'ilangan', 'molo', 'telkomsel', 'blom', 'bayar', 'pajak', 'jdi', 'lemottt', 'telkomsel', 'harap', '']</t>
  </si>
  <si>
    <t>['aplikasi', 'beli', 'paket', 'sms', 'keterangan', 'sukses', 'pokonya', 'beli', 'paket', '']</t>
  </si>
  <si>
    <t>['', 'kak', 'maaf', 'kakak', 'nyaman', 'keluhan', 'aplikasi', 'telkomsel', 'silakan', 'konfirmasi', 'akun', 'twitter', 'telegram', 'official', 'bot', 'facebook', 'messenger', 'telkomsel', 'whatsapp', 'telkomsel', 'virtual', 'asisten', 'mimin', 'tunggu', 'kaka', 'ganteng', 'manis', 'hati', 'sombong', '']</t>
  </si>
  <si>
    <t>['semoga', 'sinyalnya', 'lelet', 'diperbaiki', 'diperbanyak', 'pilihan', 'paket', 'internet', 'murahnya', 'mahal', 'lelet', 'aneh', 'kadang', 'terpakai', 'kuotanya', 'isi', 'pulsa', 'beli', 'paket', 'gangguan', 'terkadang', 'sia', 'sia', 'tolong', 'diperhatikan', 'fitur', 'donasi', 'app', 'telkomsel', 'open', 'donasi', 'wilayah', 'indonesia', '']</t>
  </si>
  <si>
    <t>['jaringan', 'tolong', 'tingkat', 'suka', 'lemot']</t>
  </si>
  <si>
    <t>['suka', 'telkomsel', 'menang', 'undian', 'wlaupun', 'telkomsel', 'jaya', 'amiin']</t>
  </si>
  <si>
    <t>['aplikasi', 'buka', 'knpa', '']</t>
  </si>
  <si>
    <t>['mohon', 'secepatnya', 'perbaiki', 'aplikasi', 'susah', 'banget', 'dibuka']</t>
  </si>
  <si>
    <t>['kecewa', 'jaringan', 'telkomsel', 'kelebihan', 'telkomsel', 'fikir', 'mempermudah', 'aktivitas', 'jaringan', 'stabil', 'kali', 'error', 'lemot', '']</t>
  </si>
  <si>
    <t>['buka', 'aplikasi', 'kuota', 'emang', 'kuota', 'ngapain', 'beli', 'trus', 'fungsinya', 'aplikasi', '']</t>
  </si>
  <si>
    <t>['sinyal', 'jelek', 'paket', 'mahal', 'bandung', 'lup', 'lep', 'kayak', 'telkomsel', 'byu']</t>
  </si>
  <si>
    <t>['semoga', 'success']</t>
  </si>
  <si>
    <t>['', 'maklum', 'perdana', 'transaksi', 'kota', 'internet']</t>
  </si>
  <si>
    <t>['mmbantu', 'keseharian']</t>
  </si>
  <si>
    <t>['mohon', 'sediakan', 'paketan', 'murah', 'merakyat']</t>
  </si>
  <si>
    <t>['membantu', 'top', 'deh']</t>
  </si>
  <si>
    <t>['membantu', 'sya', 'apilikasinya']</t>
  </si>
  <si>
    <t>['kuota', 'internet', 'cuman', 'murahkan']</t>
  </si>
  <si>
    <t>['fitur', 'kirim', 'paket', 'udh', 'kecewa']</t>
  </si>
  <si>
    <t>['bagus', 'jaringan']</t>
  </si>
  <si>
    <t>['kemudahan', 'cek', 'pulsa', 'data', 'internet', 'perbanyak', 'promo', 'paket', 'internet', 'murah', 'mencerdaskan', 'bangsa', 'dll']</t>
  </si>
  <si>
    <t>['apk', 'mntap', 'puas']</t>
  </si>
  <si>
    <t>['aplikasi', 'dibuka', 'kontak', 'telegram', 'solusi', 'aplikasi', 'sialan']</t>
  </si>
  <si>
    <t>['log', 'aplikasi', 'susah']</t>
  </si>
  <si>
    <t>['aplikasi', 'mytelkomselnya', 'dibuka', 'ngeblank', 'putih', 'tolong', 'diperbaiki', 'sekelas', 'telkonsel', 'mengalami', 'kendala', 'diupdate', 'kinerja', 'aplikasinya', 'buruk', '']</t>
  </si>
  <si>
    <t>['aplikasinya', 'masuk', 'aplikasi', 'banget', 'eror', 'harap', 'diperbaiki']</t>
  </si>
  <si>
    <t>['aplikasi', 'buka', 'layar', 'putih', 'telkomsel', 'provider', 'terkeren', 'menyesal', 'gangguan', 'tolong', 'perbaiki', 'secepetnya']</t>
  </si>
  <si>
    <t>['susah', 'masuk', 'jelek']</t>
  </si>
  <si>
    <t>['aplikasi', 'buka', 'aplikasi', 'buka', 'aplikasi', '']</t>
  </si>
  <si>
    <t>['klau', 'cek', 'telkom', 'tampil', '']</t>
  </si>
  <si>
    <t>['chat', 'customer', 'service', 'pulsa', 'terpotong', 'habis', 'membantu', 'bad', 'service', 'mengecewakan', 'sistem', 'ribet', 'berbelit', '']</t>
  </si>
  <si>
    <t>['mytelkomsel', 'enak', 'murah', 'lemot']</t>
  </si>
  <si>
    <t>['sinyal', 'telkomsel', 'jngan', 'mahalnya', 'kualitas', 'perbaikin']</t>
  </si>
  <si>
    <t>['sebulan', 'sinyalnya', 'mulu', 'semenjak', 'isi', 'paket', 'data', 'full', 'sinyal', 'jam', 'semenjak', 'update', 'apk', 'gunain', 'paket', 'datanya', '']</t>
  </si>
  <si>
    <t>['apk', 'bug', 'bug', 'terkadang', 'eror', 'jugaa']</t>
  </si>
  <si>
    <t>['suka', 'app', 'telkomsel', 'app', 'isi', 'plsa', 'cek', 'pulsa', 'beli', 'kuota', 'cek', 'kuota', 'msih', 'bnyk', 'terimakasih', 'telkomsel']</t>
  </si>
  <si>
    <t>['alah', 'jls', 'isi', 'pulsa', 'tpi', 'kesedot', 'utang', 'isi', 'tpi', 'kesedot', 'isi', 'kesedot', 'habis', 'jls']</t>
  </si>
  <si>
    <t>['jaman', 'baheula', 'pakai', 'telkomsel', 'isi', 'pulsa', 'poin', 'kiwari', 'teu', 'menang', 'hadiah', 'cuman', 'php', 'bos']</t>
  </si>
  <si>
    <t>['telkomsel', 'bagus', 'bingung', 'beli', 'paket', 'banget', 'jenisnya', 'paket', 'paket', 'kepake', 'aplikasi', 'dibuka', 'udah', 'uninstall', 'instal', 'dibuka', 'kecewa', '']</t>
  </si>
  <si>
    <t>['sukses', 'telkomsel']</t>
  </si>
  <si>
    <t>['seandainya', 'kartu', 'telkomsel', 'beralih', 'jaringan', 'mahal', 'paket', 'jarinngan', 'asli', 'jeleeekkk', 'banget', 'ampun', 'yaaa', 'gimana', 'cuman', 'telkomsel', 'tolong', 'ribuan', 'org', 'telkomsel', 'koq', 'kek', 'gini', 'jaringan', 'lelet', 'banget']</t>
  </si>
  <si>
    <t>['download', 'drdl', 'kali', 'buka', 'aplikasinya', 'susah']</t>
  </si>
  <si>
    <t>['bang', 'tolong', 'murahin', 'dikit', 'kuata', 'bang', 'mahal', 'tolong', 'benarin', 'sinyal', 'gangguan', 'trus', 'main', 'game', 'hilang', 'kesal', 'gua', '']</t>
  </si>
  <si>
    <t>['apk', 'telkomsel', 'kaga', 'buka', 'hapus', 'data', 'kaga', 'beli', 'paket', 'data', 'kaga', 'klu', 'apk', 'kendala', 'kasih', 'pelanggan', 'telkomselnya', 'telkomsel', 'canggih', '']</t>
  </si>
  <si>
    <t>['maaf', 'min', 'jaringan', 'telkomsel', 'lemot', 'patah', 'patah', 'jaringan', 'lamabat', 'connec', 'pokoknya', 'jaringan', 'rusak', 'aplikasi', '']</t>
  </si>
  <si>
    <t>['sinyalnya', 'buruk', 'skarang', 'pdahal', 'kota', 'kecuali', 'low', 'desa', 'terpencil', 'maklum', 'msak', 'sma', 'smartfren', 'bagus', 'smarfren', 'sinyalnya', '']</t>
  </si>
  <si>
    <t>['amit', 'amit', 'beli', 'paket', 'sehari', 'jam', 'jam', 'abis', 'itung', 'jam', 'bener', 'gitu']</t>
  </si>
  <si>
    <t>['signal', 'buruk', 'koneksi', 'internet']</t>
  </si>
  <si>
    <t>['kecewa', 'telkomsel', 'desember', 'memuaskan', '']</t>
  </si>
  <si>
    <t>['buruk', 'sinyal', 'mahal', 'belain', 'paket', 'pakai', 'simpati', 'mendukung', 'sinyalnya', '']</t>
  </si>
  <si>
    <t>['kadang', 'susah', 'masuk', 'lemot']</t>
  </si>
  <si>
    <t>['memuasakan']</t>
  </si>
  <si>
    <t>['aplikasi', 'ngawur', 'seminggu', 'terbuka', '']</t>
  </si>
  <si>
    <t>['berguna', 'bermanfaat']</t>
  </si>
  <si>
    <t>['kasi', 'bintang']</t>
  </si>
  <si>
    <t>['telkomsel', 'contoh', 'kali', 'tukar', 'poin', 'telkomsel', 'hasilnya', 'nol', 'sesui', 'harapkan', 'minggu', 'tukar', 'poin', 'dpt', 'pulsa', 'ribu', 'masuk', 'parah', 'betuuul', '']</t>
  </si>
  <si>
    <t>['pelayan', 'stabil']</t>
  </si>
  <si>
    <t>['banyakin', 'promo', 'min', '']</t>
  </si>
  <si>
    <t>['apps', 'buka']</t>
  </si>
  <si>
    <t>['kuota', 'gratis', 'pas', 'pakai', 'pulsa', 'kesedot', 'gimana', 'tolong', 'diperbaiki', 'operator', 'nggak', 'kaya', 'gitu', 'cari', 'untungnya', 'telkomsel', 'nggak', 'kaya', 'telkomsel', 'cuman', 'mahal', 'sinyalnya', 'jelek', 'woi', 'tolong', 'benerin', 'sinyalnya', 'main', 'game', 'lag', 'internetan', 'loading', 'maunya', 'udah', 'gitu', 'harganya', 'harga', 'sinyal', 'bagus', 'jelek']</t>
  </si>
  <si>
    <t>['telkomsel', 'hancur', 'gini', 'login', 'apl', 'tolong', 'perbaikin', 'kecewain', 'pelanggan', 'tolong', 'banget', '']</t>
  </si>
  <si>
    <t>['ngeblank', 'putih', 'log', 'update', 'tolong', 'perbaiki', 'pelanggan', 'telkomsel', 'skr']</t>
  </si>
  <si>
    <t>['bagis', 'buka', 'apl', 'kuota']</t>
  </si>
  <si>
    <t>['telkomsel', 'mencuri', 'pulsa', 'memuaskan', 'pulsa', 'terpotong', 'ambil', 'aplikasi', 'berbayar', 'urus', 'gra', 'pari', 'memalukan', '']</t>
  </si>
  <si>
    <t>['tolong', 'diperbaiki', 'berfungsi', 'hnya', 'layar', 'putih', '']</t>
  </si>
  <si>
    <t>['hadehh', 'sok', 'berkelas', 'sok', 'mahal', 'sok', 'kuat', 'sinyal', 'kota', 'sinyal', 'jdi', 'males', 'berlangganan', 'udh', 'thunan', 'mke', 'tmbah', 'cpet', 'perbaiki', 'rinci', 'keluhannya']</t>
  </si>
  <si>
    <t>['kasih', 'penjelasan', 'pulsa', 'isi', 'rupiah', 'sampe', 'pulsa', 'sisa', 'kasi', 'penjelasan', 'telkomsel', '']</t>
  </si>
  <si>
    <t>['telkomsel', 'kuotanya', 'mahal', 'pelanggan', 'setia', 'kecewa']</t>
  </si>
  <si>
    <t>['halo', 'min', 'paket', 'unlimax', 'gemes', 'free', 'fre', 'sinyal', 'susah', 'mohon', 'bantuannya', 'nambah', 'beli', 'paket', 'unlimax', 'sinyal', 'gemes', 'leg']</t>
  </si>
  <si>
    <t>['kecewa', 'telkomsel', 'jaringan', 'bagus', 'paket', 'udah', 'mahal', 'jaringan', 'barkot', 'signal', 'full', 'nonton', 'bufring', 'muter', 'mulu', 'jalan', 'engga', 'main', 'game', 'lag', 'stabil', '']</t>
  </si>
  <si>
    <t>['mengecekan', 'berat', 'sinyalnya', 'tertinggal', 'profider']</t>
  </si>
  <si>
    <t>['bener', 'bener', 'kapok', 'telkomsel', 'lemah', 'sinyalnya', 'tolong', 'min', 'diperbaiki', 'dikalidoni', 'kota', 'palembang', 'sinyal', 'jelek', 'parah', 'perubahan', 'mending', 'pakek', '']</t>
  </si>
  <si>
    <t>['memuaskan', 'memudahkan', 'membeli', 'paket', 'infonya', 'lengkap', '']</t>
  </si>
  <si>
    <t>['masuk', 'aplikasi', 'susah', 'biaya', 'mahal', 'pelayanan', 'knp', 'susah', 'bukanya', 'loading']</t>
  </si>
  <si>
    <t>['ngebleng', 'putih', 'akses', 'gimana', 'perbaiki', '']</t>
  </si>
  <si>
    <t>['turun', 'bintang', 'aplikasi', 'blank', 'putih', 'masuk', 'menu', 'layar', 'mati', 'dihidupin', 'hapus', 'data', 'cache', 'kendala', '']</t>
  </si>
  <si>
    <t>['terimakasih', 'telkomsel', 'membersamai', 'beralih', 'layanan', 'semoga']</t>
  </si>
  <si>
    <t>['susah', 'masuk', 'apps', 'telkomsel', '']</t>
  </si>
  <si>
    <t>['update', 'terbuka', '']</t>
  </si>
  <si>
    <t>['aplikasi', 'sampah', 'dibuka']</t>
  </si>
  <si>
    <t>['mytelkomsel', 'dibuka', 'muncul', 'layar', 'putih', 'tolong']</t>
  </si>
  <si>
    <t>['slalu', 'kesedot', 'pulsa', 'sms', 'masuk', 'bebankan', 'paket', 'aktif']</t>
  </si>
  <si>
    <t>['sinyal', 'jelek', 'unlimited', 'terbatas', 'cuman', 'sampe', '']</t>
  </si>
  <si>
    <t>['pengguna', 'setia', 'telkomsel', 'aplikasi', 'pakai', 'penukaran', 'poin', 'poin', 'lumayan', 'tukar', 'kupon', 'undian', 'persoalannya', 'diundi', 'platform', 'disediakan', 'pengguna', 'langsung', 'proses', 'pengundian', 'gagal', 'menang', 'hadiah', 'undiannya', '']</t>
  </si>
  <si>
    <t>['kurangi', 'bintang', 'buka', 'udh', 'update', 'kebuka', 'uninstall', 'reinstall', 'dibuka', 'pdhl', 'kuota', 'peringatan', 'habis', 'buka', 'web', 'paketan', 'dibeli', 'iya', 'sekelas', 'telkomsel', 'aplikasi', '']</t>
  </si>
  <si>
    <t>['', 'buka', 'parah', 'aplikasi', 'cape', 'hapus', 'download', 'clear', 'data', '']</t>
  </si>
  <si>
    <t>['bagus', 'bget', 'membantu']</t>
  </si>
  <si>
    <t>['asuu', 'bener', 'monyet', 'udah', 'mahal', 'jaringan', 'kek', 'taik']</t>
  </si>
  <si>
    <t>['membantu', 'lupa', 'paket', 'murah', 'perbanyak', 'knapa', 'aplikasinya', 'susah', 'buka', 'lelet', 'telkomsel', 'maaf', 'blum', 'masuk', 'layanan', 'keluhan']</t>
  </si>
  <si>
    <t>['buka', 'aplikasinya', 'bnr']</t>
  </si>
  <si>
    <t>['masuk', 'login']</t>
  </si>
  <si>
    <t>['aplikasih', 'masuk', 'app', 'mengecewakan', 'pelanggan', 'halo', 'kasih', 'bintang', '']</t>
  </si>
  <si>
    <t>['telkomsel', 'nge', 'leg', 'parah', 'main', 'game', 'moba', 'gili', 'trawangan']</t>
  </si>
  <si>
    <t>['main', 'game', 'pakai', 'kartu', 'kalah', 'karna', 'skill', 'jaringan', 'internetnya', 'pengguna', 'setia', 'tekomsel', 'feedback', 'bagus', '']</t>
  </si>
  <si>
    <t>['hati', 'emang']</t>
  </si>
  <si>
    <t>['tolong', 'kak', 'masuk', 'telkomsel', 'warna', 'putih', 'tolong', 'diperbaiki', 'apk', '']</t>
  </si>
  <si>
    <t>['aplikasi', 'update', 'update', 'alhasil', 'layar', 'putih', 'solusi', 'hasil', 'nihil', '']</t>
  </si>
  <si>
    <t>['aplikasi', 'diupdate', 'blank', '']</t>
  </si>
  <si>
    <t>['apapun', 'jaringannya', 'telkomsel', 'koneksi', 'jaringan', 'terbaik', '']</t>
  </si>
  <si>
    <t>['aplikasinya', 'dibuka', 'development']</t>
  </si>
  <si>
    <t>['efektitas', 'membeli', 'kouta', 'paket', 'memudahkan', 'pelanggan', 'konsumen', 'membeli', 'pelanggan', 'mencari', 'konter', 'gerai', 'kios', 'tinggal', 'membantu', 'telkomsel', 'berkomunikasi', 'keluarga', 'kota', 'gerai', 'ato', 'kios', 'menjual', 'pulsa', 'tutup', 'mengabarkan', 'berita', 'senang', 'duka', 'telkomsel', 'membantu', 'pelan', 'gan', 'dlm', 'informasi', '']</t>
  </si>
  <si>
    <t>['aplikasi', 'apdet', 'gabisa', 'dibuka']</t>
  </si>
  <si>
    <t>['kenpa', 'susah', 'masuk', 'aplikasinya', '']</t>
  </si>
  <si>
    <t>['tolong', 'perbaiki', 'masuk']</t>
  </si>
  <si>
    <t>['tolong', 'paket', 'combo', 'sakti', 'murah', 'admin', '']</t>
  </si>
  <si>
    <t>['aplikasi', 'susah', 'buka', 'lemot', 'akses', '']</t>
  </si>
  <si>
    <t>['harga', 'berubah', 'konsisten']</t>
  </si>
  <si>
    <t>['notif', 'lgi', 'event', 'kesorean', 'kadang', 'gatau', 'ads', 'event', 'gitu']</t>
  </si>
  <si>
    <t>['susah', 'akses']</t>
  </si>
  <si>
    <t>['untung', 'untung', 'memuaskan']</t>
  </si>
  <si>
    <t>['kembalikan', 'pulsa', 'berkurang', '']</t>
  </si>
  <si>
    <t>['telkomsel', 'mahal', 'doang', 'sinyal', 'orang', 'naek', 'darah', 'emosi', '']</t>
  </si>
  <si>
    <t>['tolong', 'perbaiki', 'jaringan', 'hilang', 'jaringan', 'teruntuk', 'telkomsel', '']</t>
  </si>
  <si>
    <t>['paket', 'spesialnya', 'ngk']</t>
  </si>
  <si>
    <t>['senang', 'telkomsel']</t>
  </si>
  <si>
    <t>['apilkasi', 'bagus', 'karna', 'paket', 'mura', '']</t>
  </si>
  <si>
    <t>['tolong', 'kualitas', 'sinyal', 'perkuat']</t>
  </si>
  <si>
    <t>['min', 'date', 'ngga', 'dibuka', 'apl']</t>
  </si>
  <si>
    <t>['tunggu', 'dmn', 'mimin', 'bodoh', 'udh', 'telkomsel', 'gila', 'kau', 'nee']</t>
  </si>
  <si>
    <t>['anjaiiii', 'mantap', 'murah']</t>
  </si>
  <si>
    <t>['login', 'susah', 'harga', 'berubah', 'kecewa', 'berat', 'telkomsel']</t>
  </si>
  <si>
    <t>['suka', 'cashback']</t>
  </si>
  <si>
    <t>['app']</t>
  </si>
  <si>
    <t>['aplikasi', 'mantul']</t>
  </si>
  <si>
    <t>['kasih', 'bintang', 'aplikasi', 'telkom', 'beda', 'bedaya', 'pilihan', 'kuotanya', 'satunya', 'hotpromo', 'alasannya', '']</t>
  </si>
  <si>
    <t>['sekelas', 'telkomsel', 'aplikasi', 'maintence', 'log', 'trus', 'aplikasinya', 'bicara', 'jaringan', 'koneksi', 'apalah', 'pakai', 'wifi', 'login', 'mohon', 'konfirmasinya', 'team', 'telkomsel', '']</t>
  </si>
  <si>
    <t>['paket', 'data', 'unlimited', 'murah']</t>
  </si>
  <si>
    <t>['telkomsel', 'tolol', 'lag', 'lag', 'mulu', 'tolol']</t>
  </si>
  <si>
    <t>['', 'aplikasi', 'bermasalah', 'respon', 'aplikasi', 'lambat', '']</t>
  </si>
  <si>
    <t>['knpa', 'aplikasi', 'terbuka', 'beli', 'data', 'mahal', 'jaringan', 'kayak', 'laut']</t>
  </si>
  <si>
    <t>['kejadian', 'buruk', 'gunanya', 'paket', 'unlimited', 'youtube', 'paket', 'data', 'bocor', 'masak', 'iya', 'paketan', 'gb', 'unlimited', 'youtube', 'paketan', 'reguler', 'habis', 'unlimited', 'youtube', 'nggak', 'berguna', 'pakai', 'sel', 'mengecewakan']</t>
  </si>
  <si>
    <t>['negri', 'pas', 'udah', 'update']</t>
  </si>
  <si>
    <t>['undianya', 'akau']</t>
  </si>
  <si>
    <t>['senang', 'memakai', 'mytelkomsel']</t>
  </si>
  <si>
    <t>['kenapasih', 'paket', 'beli', 'hilangkan', 'trus', 'pas', 'beli', 'mailbox', 'gabisa', 'sengaja', 'beli', 'paket', 'mahal', 'trus', 'untung', '']</t>
  </si>
  <si>
    <t>['stlh', 'upgrade', 'buka', 'knp', '']</t>
  </si>
  <si>
    <t>['bilangin', 'telkomsel', 'harga', 'sesuai', 'kekuatan', 'jaringan', 'hidup', 'kota', 'jaringan', 'kaya', 'kebun', '']</t>
  </si>
  <si>
    <t>['susahnya', 'ampun', 'kebuka', 'aplikasi', 'telkomselnya', 'beginiiii']</t>
  </si>
  <si>
    <t>['tukar', 'poin', 'gimn', 'hubungi', 'brp', '']</t>
  </si>
  <si>
    <t>['harga', 'paket', 'sakti', 'combo', 'tolong', 'diturunkan', 'harga', 'beli', 'harga', 'paket', 'sakti', 'combo', 'gb', 'rb', 'seminggu', 'mohon', 'diperbaiki', '']</t>
  </si>
  <si>
    <t>['sya', 'bsa', 'login', 'app', 'telkomsel', 'seminggu', 'lbh', 'knp', 'yaa']</t>
  </si>
  <si>
    <t>['jaringan', 'telkomsel', 'jelek', 'hujan', 'kadang', 'jaringan', 'diandalkan', 'mengalami', 'lag', 'bermain', 'game', '']</t>
  </si>
  <si>
    <t>['aplikasi', 'buka', 'pas', 'buka', 'blank']</t>
  </si>
  <si>
    <t>['mahal', 'lag', '']</t>
  </si>
  <si>
    <t>['aneh', 'telkomsel', 'mahal', 'doank', 'ngelag']</t>
  </si>
  <si>
    <t>['kouta', 'ketengan', 'youtube', 'lelet', 'ampun', 'rilis', 'kenceng', 'banget', 'udah', 'mahal', 'lelet', 'pulak', 'kouta', 'ketengan', 'youtube', 'harganya', 'udah', 'lelet', 'kek', 'siput', 'tower', 'telkomsel', 'ama', 'rumah', '']</t>
  </si>
  <si>
    <t>['simpati', 'jaringan', 'buruk', 'hera', 'sinyal', 'trus', 'tpi', 'knpa', 'pas', 'game', 'gada', 'sinyal', 'min']</t>
  </si>
  <si>
    <t>['masuk', 'masak', 'gangguan']</t>
  </si>
  <si>
    <t>['masuk', 'susah', 'kali', 'udah', 'kayak', 'nenek', 'nenek', 'masukkan', 'benang', 'jarum', 'susah']</t>
  </si>
  <si>
    <t>['mengisi', 'paket', 'mudah', 'promo', 'promo']</t>
  </si>
  <si>
    <t>['aplikasi', 'tekomsel', 'bukak', '']</t>
  </si>
  <si>
    <t>['apilkasinya']</t>
  </si>
  <si>
    <t>['woi', 'telkomsel', 'tolong', 'perbaiki', 'jaringannya', 'lgi', 'malam', 'jelek']</t>
  </si>
  <si>
    <t>['suram', 'telkomsel', 'eror', 'mulu', 'buka']</t>
  </si>
  <si>
    <t>['nomor', 'telpon', 'diatas', 'promo', 'koata', 'murah', '']</t>
  </si>
  <si>
    <t>['mudah', 'repot', 'bli', 'kuota', 'tow', 'pulsa']</t>
  </si>
  <si>
    <t>['tolong', 'perbaiki', 'jaringan', 'knapa', 'stiap', 'lampu', 'mati', 'tmpat', 'sinyal', 'ikutan', 'hilang', 'skarang', 'nge', 'game', 'jringan', 'hilang', 'tolong', 'perbaiki', 'jaringan', 'kmpung', 'sungai', 'sariak', 'padang', 'pariaman', 'sumatera', 'barat', '']</t>
  </si>
  <si>
    <t>['update', 'parah', 'cek', 'kuota', 'aplikasinya', 'layar', 'putih', 'doang', 'nyesel', 'habis', 'update', '']</t>
  </si>
  <si>
    <t>['burukkkk', 'sinyal']</t>
  </si>
  <si>
    <t>['cuk', 'berat', 'batt', 'link', 'mending', 'kartu', 'cuk', 'tingal', 'masukin', 'kode', 'verifikasi', 'link']</t>
  </si>
  <si>
    <t>['mahal', 'nomor', 'lemot', 'nomor', 'jabodetabek', 'udah', 'kayak', 'gini', 'gimana', 'daerah', 'daerah', 'data', 'udah', 'kayak', 'gini', 'gratisan', 'minus', 'bintang', 'kasih', 'telkomsel', '']</t>
  </si>
  <si>
    <t>['lemot', 'update', 'datanya', 'nunggu', 'sampe', 'paketan', 'pulsa', 'regulernya', 'habis', '']</t>
  </si>
  <si>
    <t>['paket', 'gratis', '']</t>
  </si>
  <si>
    <t>['aplikasi', 'telkomsel', 'dak', 'dibuka', 'mohon', 'bantuannya']</t>
  </si>
  <si>
    <t>['bagus', 'mudah', 'beli', 'paketan', 'semoga', 'hadiah', 'mobil', 'tukar', 'poin', '']</t>
  </si>
  <si>
    <t>['pemula']</t>
  </si>
  <si>
    <t>['aplikasi', 'sampah', 'menyebalkan', 'masuk', 'nomer', 'susahnya', 'kayak', 'bobol', 'brankas', 'bank', 'link', 'abis', 'diklik', 'masuk', 'payah', '']</t>
  </si>
  <si>
    <t>['tolong', 'sinyal', 'telkomsel', 'perbaiki', 'minggu', 'sinyal', 'down', 'telkomsel', 'tanda', 'tutup', 'server', 'telkomsel', 'mohon', 'tindak', 'lanjuti', 'jejaringan', 'telkomsel']</t>
  </si>
  <si>
    <t>['terimakasih']</t>
  </si>
  <si>
    <t>['apk', 'telkomselnya', 'blank', 'putih', 'saranin', 'telkomsel', 'versi', 'diyt']</t>
  </si>
  <si>
    <t>['buka', 'aplikasinya', 'susah', 'kemarin', 'gampang']</t>
  </si>
  <si>
    <t>['masuk', 'appnya']</t>
  </si>
  <si>
    <t>['perbaiki', 'signal', 'jaringan', 'khusus', 'wil', 'luwung', 'mundu', 'kab', 'cirebon', 'jawa', 'barat', 'lemot', 'sekelas', 'telkomsel', 'signal', '']</t>
  </si>
  <si>
    <t>['ksini', 'jdi', 'ngaco', 'aplikasi', 'iya', 'tbtb', 'gabisa', 'masuk', 'trus', 'jringan', 'telkomsel']</t>
  </si>
  <si>
    <t>['berat', 'masuk', 'aplikasinya', 'maaf', 'bintang', 'semoga', 'kedepannya', 'bintang', '']</t>
  </si>
  <si>
    <t>['memudahkan', 'terimakasih']</t>
  </si>
  <si>
    <t>['jaringan', 'hancur', 'telkomsel', 'simpati', 'jaringan', 'hancur', 'terang', 'kecewa', 'jaringan', 'telkomsel', '']</t>
  </si>
  <si>
    <t>['paket', 'mahal', 'sinyal', 'murahan']</t>
  </si>
  <si>
    <t>['parah', 'jaringan', 'telkomsel', 'harga', 'selangit', 'banding', 'jaring', 'sebelah', 'pikirkan', 'peguna', 'kayak', 'gini', 'mending', 'pindah', 'jaringan', 'sebelah', 'beli', 'mahal', 'jaringan', 'lelet', 'gula', '']</t>
  </si>
  <si>
    <t>['jaringan', 'telkom', 'kaya', 'lancar', 'ngeleg', 'cepat', 'perbaiki', 'kak', 'senang', 'kartu', 'telkom', '']</t>
  </si>
  <si>
    <t>['nyesel', 'pindah', 'provider', 'haduhh', 'push', 'rank', 'sinyal', 'ngedown', 'teros']</t>
  </si>
  <si>
    <t>['masuk', 'aplikasi', 'ribet', 'paket', 'lumayan', 'mahal']</t>
  </si>
  <si>
    <t>['jaringan', 'lemot', 'kayak', '']</t>
  </si>
  <si>
    <t>['apk', 'eror', 'knpa', 'login']</t>
  </si>
  <si>
    <t>['', 'tolong', 'benerin', 'aplikasinya', 'gini', 'dibuka', 'putih']</t>
  </si>
  <si>
    <t>['aplikasi', 'telkomsel', 'dibuka', 'kali', 'download', 'buka']</t>
  </si>
  <si>
    <t>['provider', 'niat', 'coba', 'sinyal', 'telkomsel', 'cocok', 'nurunin', 'rank', 'game', 'btw', '']</t>
  </si>
  <si>
    <t>['bagus', 'jdi', 'simple', 'cek', 'kuota', 'pls']</t>
  </si>
  <si>
    <t>['optimalkan', 'signalnya', '']</t>
  </si>
  <si>
    <t>['hai', 'kak', 'apk', 'kebuka']</t>
  </si>
  <si>
    <t>['jaringan', 'benerin', 'kartu', 'doang', 'mahal']</t>
  </si>
  <si>
    <t>['bagus', 'kondisi', 'sinyal', 'kebanykn', 'lemot']</t>
  </si>
  <si>
    <t>['update', 'aplikasi', 'terbuka', 'layar', 'putih', '']</t>
  </si>
  <si>
    <t>['app', 'telkomsel', 'kebuka']</t>
  </si>
  <si>
    <t>['pokoknya', 'telkomsel', 'bangettt', 'tingkatkan', 'pelayanannya', '']</t>
  </si>
  <si>
    <t>['kuota', 'unlimited', 'youtube', 'kesedot', 'kuota', 'utama', 'gimana', '']</t>
  </si>
  <si>
    <t>['aplikasi', 'jelek', 'log', 'tampilannya', 'putih']</t>
  </si>
  <si>
    <t>['telkomsel', 'susah', 'bgtz', 'masuk', 'aplikasi', 'sinyal', 'susah', 'bkin', 'emosi']</t>
  </si>
  <si>
    <t>['suka', 'aplikasi', 'telkomsel', 'karna', 'paketan', 'pulsa', 'bermacem', 'macem']</t>
  </si>
  <si>
    <t>['sinyal', 'telkomsel', 'lemot']</t>
  </si>
  <si>
    <t>['turunin', 'bintang', 'point', 'tukar', 'ribet', 'menang']</t>
  </si>
  <si>
    <t>['jaringan', 'ngelek', 'main', 'game', 'mobile', 'legend', 'parah', 'kecewa', 'gua', 'kuota', 'game', 'gunannya']</t>
  </si>
  <si>
    <t>['cuman', 'mementingkan', 'harga', 'kualitas', 'jaringan', 'urus', 'tolol', '']</t>
  </si>
  <si>
    <t>['jaringan', 'jelek', 'bermain', 'game', 'tolong', 'perbaiki', 'banyan', 'komplain', 'tolong', 'ditindak', 'lanjuti']</t>
  </si>
  <si>
    <t>['maaf', 'kecewa', 'make', 'telkomsel', 'turuni', 'bintang', 'telkomsel', 'buruk', '']</t>
  </si>
  <si>
    <t>['mahal', 'paket', 'nelponmya']</t>
  </si>
  <si>
    <t>['aplikasi', 'telkomsel', 'dak', 'dibuka', 'kenapaya', '']</t>
  </si>
  <si>
    <t>['telkomsel', 'dibuka', 'warna', 'putih', 'ajah', 'udah', 'uninstal', 'tetep', 'ajah']</t>
  </si>
  <si>
    <t>['parah', 'telkomsel', 'kagak', 'kayak', 'suruh', 'hub', 'apapun', 'sma', 'nggak', 'respon', 'telpon', 'patah', 'internet', 'mending', 'ganti', 'cardnya', 'hadeehhh', '']</t>
  </si>
  <si>
    <t>['bermamfaat', 'kehidupan', 'sehari', '']</t>
  </si>
  <si>
    <t>['susah', 'instal', 'pdahal', 'download', 'tolong', 'perbaiki', 'kouta', 'termakan', 'men', 'download', '']</t>
  </si>
  <si>
    <t>['', 'perbarui', 'nga', 'buka']</t>
  </si>
  <si>
    <t>['udah', 'kali', 'coba', 'dowload', 'buka', 'menu', 'aplikasi', 'telkomsel', 'mohon', 'solusinya', 'terima', 'kasih']</t>
  </si>
  <si>
    <t>['aplikasi', 'bangus', 'harga', 'terjangkau', 'suka', 'banget', 'aplikasi', 'mytelkoksel', 'good', 'job']</t>
  </si>
  <si>
    <t>['puas', 'makai', 'mytelkomsel']</t>
  </si>
  <si>
    <t>['apk', 'jelek', 'bsa', 'bukak', 'emng']</t>
  </si>
  <si>
    <t>['mudah', 'bermanpaat', 'semoga', 'kedepan', 'sukses', 'lov', 'telkomsel', '']</t>
  </si>
  <si>
    <t>['jaringan', 'buruk', 'dikembangkan', 'jangkauan', 'kualitas', 'jaringan', 'buruk', 'nonton', 'youtube', 'ngadat']</t>
  </si>
  <si>
    <t>['dasar', 'setan', 'sinyal', 'lemot', 'babi']</t>
  </si>
  <si>
    <t>['semuga', 'sya', 'dpt', 'pket', 'gratis', 'telkomsel', 'amin', '']</t>
  </si>
  <si>
    <t>['beli', 'paket', 'internetnya', 'mesti', 'chat', '']</t>
  </si>
  <si>
    <t>['jaringan', 'telkomsel', 'paraaaaaaaah', 'tinggal', 'tower', 'tsl', 'turun', 'ujan', 'asli', 'kaya', 'jadul', 'ngakses', 'internet', 'game', 'online', 'kaya', 'tinggal', 'pegungan', 'kartu', 'udah', 'migrasi', 'kartu', 'halo', 'tolong', 'mytelkomsel', 'bantu', 'solusinya', '']</t>
  </si>
  <si>
    <t>['jaringan', 'mohon', 'diperbaiki', 'anjimg']</t>
  </si>
  <si>
    <t>['telkomsel', 'kemudahan', 'dpt', '']</t>
  </si>
  <si>
    <t>['aman']</t>
  </si>
  <si>
    <t>['tsel', 'lemot', 'sinyal', 'stabil', 'buka', 'ngak', 'sulit', 'game', 'tolong', 'benahi', 'pelanggan', 'kecewakan', 'merugikan', 'konsumenya']</t>
  </si>
  <si>
    <t>['paket', 'data', 'mahal', 'pantes', 'tower', 'telkom', 'negri', 'turun', 'harga', 'paket', 'data', 'admin', '']</t>
  </si>
  <si>
    <t>['sinyal', 'ngadat', 'macet', 'truss', 'parah', 'bgtttt', 'telkomsel']</t>
  </si>
  <si>
    <t>['udah', 'sinyal', 'gajelas', 'app']</t>
  </si>
  <si>
    <t>['unlimited', '']</t>
  </si>
  <si>
    <t>['ribet', 'app', 'masuk', 'perasaan', 'nomor', 'udah', 'bener', 'ttp', 'masuk', 'masukan', 'nomor', 'woy']</t>
  </si>
  <si>
    <t>['masukkan', 'nomor', 'masuk']</t>
  </si>
  <si>
    <t>['memudahkan', 'ngecek', 'beli', 'kuota']</t>
  </si>
  <si>
    <t>['harga', 'mahal', 'kualitas', 'internetnya', 'mengecewakan', 'bintang', 'versi', 'lawas']</t>
  </si>
  <si>
    <t>['telkom', 'signalnya', 'bagus', 'susah', 'signal', 'parah', 'kartu', 'daerah', 'bagus', 'aplikasi', 'sii', 'buka', 'susah', 'lelet', 'parah', 'signal', 'bagus', 'download', 'najis']</t>
  </si>
  <si>
    <t>['mantap', 'epribadi']</t>
  </si>
  <si>
    <t>['udh', 'bagus', 'aplikasinya']</t>
  </si>
  <si>
    <t>['aplikasi', 'buka', 'payah', '']</t>
  </si>
  <si>
    <t>['suka', 'kartu', 'telkomsel', 'jaringanggannya', 'luas', '']</t>
  </si>
  <si>
    <t>['pas', 'huka', 'aplikasinya', 'layar', 'warna', 'putih', 'giamana', 'solusinya', '']</t>
  </si>
  <si>
    <t>['harga', 'paket', 'kuotany', 'emang', 'murah', 'sinyalnya', 'jelek', 'banget', 'buka', 'aplikasi', 'market', 'place', 'loading', 'murah', 'emosi', 'sinyalnya', '']</t>
  </si>
  <si>
    <t>['bonus', 'kuota', 'danlebih', 'murah', 'harganya', 'respon', 'mind']</t>
  </si>
  <si>
    <t>['beli', 'paket', 'internet', 'aplikasi']</t>
  </si>
  <si>
    <t>['telkomsel', 'udah', 'mahal', 'skrg', 'jelek', 'buka', 'aplikasi', 'pol', 'hadeuh', 'kayak']</t>
  </si>
  <si>
    <t>['bznyak', 'pitur', 'menarik', 'mdmberi', 'mznpaag', 'maju', 'trus', 'telkomsel']</t>
  </si>
  <si>
    <t>['', 'buka', 'apk', 'cma', 'loading', 'doang', 'knpa', 'bgni', 'udah', 'minggu', 'smpe', 'smpet', 'unistal', 'dowload', 'lgi', 'ttp', 'ksih', 'bintang', '']</t>
  </si>
  <si>
    <t>['apk', 'bagus', 'gapain', 'liat', 'kebawa']</t>
  </si>
  <si>
    <t>['sengaja', 'ngidupin', 'data', 'sedetik', 'langsung', 'dimatiin', 'cek', 'pemakaian', 'pulsa', 'terpotong', 'pulsa', 'sadisss', 'laporkan', 'layanan', 'konsumen', 'indonesia', 'mahalllnya', 'bayangkan', 'pakai', 'gb', 'tarifnya', 'edan']</t>
  </si>
  <si>
    <t>['jaringan', 'rusak', 'udh', 'sia', 'sia', 'paket', 'gue', 'gue', 'beli', 'mahal']</t>
  </si>
  <si>
    <t>['parah', 'kadang', 'aplikasi', 'buka']</t>
  </si>
  <si>
    <t>['semoga', 'promo', 'kuotanya']</t>
  </si>
  <si>
    <t>['mantep', 'repot', 'ngecek', '']</t>
  </si>
  <si>
    <t>['naap', 'lemot', 'turun', 'bintang', 'yak', 'maap']</t>
  </si>
  <si>
    <t>['bagus', 'memudahkan', 'membeli', 'paket', 'harian', 'bulanan', '']</t>
  </si>
  <si>
    <t>['mahal', 'doang', 'sinyal', 'ndut', 'ndutan', 'cari', 'orderan', 'mati', 'bayar', 'paketan', 'sinyalnya', 'ilang', 'ilangan']</t>
  </si>
  <si>
    <t>['jaringan', 'telkomsel', 'jelek', 'kaga', 'akhlak', 'tower', 'jaringan', 'kaga', 'gunanya', 'lokasi', 'sulawesi', 'tenggara', 'buton', 'sampolawa', 'desa', 'wawoangi', 'dusun', 'kangkele', 'untung', 'jaringan', 'daerah', 'sampolawa', 'klw', 'udah', 'sekecamatan', 'ganti', 'kartu', 'mohon', 'maaf', 'menyinggung', 'mohon', 'maaf', 'udah', 'nggak', 'sya', 'dimana', '']</t>
  </si>
  <si>
    <t>['kecepatan', 'unlimited', 'kbps', 'ngotak', 'untung', 'pakai', 'vpn', 'mampus']</t>
  </si>
  <si>
    <t>['tolong', 'donk', 'telkomsel', 'lemot', 'sinyal', 'udah', 'lemot', 'tolong', 'donk', 'perbaikin', 'ntar', 'kasih', 'bintang', 'deh', 'udah', 'bagus', 'tolong', 'donk', 'telkomsel', 'sinyal', 'perbaikin', 'kuota', 'bnyk', 'lemot']</t>
  </si>
  <si>
    <t>['akses', 'apl', '']</t>
  </si>
  <si>
    <t>['sinyal', 'kawasan', 'desa', 'bagus', 'kesini', 'buruk', 'diperbaiki']</t>
  </si>
  <si>
    <t>['telkomsel', 'tolong', 'jaringan', 'sinyalnya', 'diperbaiki', 'upgrade', 'perbaiki', 'tolong', 'telkom', 'tolong', 'dengar', '']</t>
  </si>
  <si>
    <t>['knpa', 'kesini', 'sinyal', 'telkomsel', 'melemah', 'dulumh', 'kuat', 'kesini', 'melehoy']</t>
  </si>
  <si>
    <t>['nda', 'dibuka']</t>
  </si>
  <si>
    <t>['tlg', 'aplikasi', 'offline', 'buka', 'aplikasi', 'kouta', 'internetnya', 'beli', '']</t>
  </si>
  <si>
    <t>['tukar', 'poin', 'ngak', 'bisah', 'telkomsel', '']</t>
  </si>
  <si>
    <t>['kasih', 'star', 'upgrade', 'buka', 'sesuai', 'versi', 'android', 'upgrade', 'buka', 'upgrade', 'kebuka', 'cek', 'apapun', 'manual', 'minimal', 'info', 'upgrade', 'aplikasi', 'sesuai', 'versi', 'android', 'upgrade', 'sesuai', 'versi', 'aplikasi', 'normal', 'komen', 'sehabis', 'upgrade', 'buka', 'tolong', 'kembalikan', 'versi', 'terimakasih']</t>
  </si>
  <si>
    <t>['kadang', 'kadang', 'beli', 'paket', 'ketengan']</t>
  </si>
  <si>
    <t>['upgrade', 'buka', 'kecewa']</t>
  </si>
  <si>
    <t>['apikasi', 'telkomsel', 'masuk', 'apikasi', 'erro']</t>
  </si>
  <si>
    <t>['unlimited', 'jalan', 'ong']</t>
  </si>
  <si>
    <t>['harganya', 'mahal', 'signal', 'lemot']</t>
  </si>
  <si>
    <t>['tolong', 'telkomsel', 'perbaiki', 'pembayaran', 'via', 'dana', '']</t>
  </si>
  <si>
    <t>['smg', 'sinyal', 'kuat', 'pelosok', 'negeri']</t>
  </si>
  <si>
    <t>['langgan', 'bertahun', 'sinyalnya', 'buruk', 'disurabaya', 'kota', 'kayak', 'gini', 'sinyalnya', 'didesa', 'gkk', 'sinyal', 'dinamakan', 'pelayanan', 'terbaik', 'percaya', 'sinyalnya', 'ancur', 'paketan', 'mahal', 'pelayanan', 'gkk', 'bermutuh', 'tolong', 'diperbaiki']</t>
  </si>
  <si>
    <t>['ngga', 'dibuka']</t>
  </si>
  <si>
    <t>['emang', 'telkomsel', 'utungnya', 'data', 'gb', 'rb', 'rb', 'harga', 'peminat', 'naikin', 'harga', 'monyet', '']</t>
  </si>
  <si>
    <t>['bintang', 'sinyal', 'gajelas', 'naikin', 'bintang', '']</t>
  </si>
  <si>
    <t>['membantu', 'mudah', 'murah']</t>
  </si>
  <si>
    <t>['perbaikan', 'jaringan', 'internet', 'tolong', 'ayo', 'daerah', 'pinggiran', 'merasakan', 'kecepatan', 'internet', 'cepat', 'terimakasih']</t>
  </si>
  <si>
    <t>['login', 'sesi', 'kedaluwarsa', 'login', 'perbaiki', 'aplikasi', 'mempersulit']</t>
  </si>
  <si>
    <t>['', 'login']</t>
  </si>
  <si>
    <t>['perbaiki', 'jaringanya']</t>
  </si>
  <si>
    <t>['mohon', 'diperbaiki', 'harga', 'paket', 'data', 'kesini', 'mahal', 'harganya', 'diatas', 'gaji', 'nguli', 'mohon', 'dikembalikan', 'harga', 'paket', 'datanya', 'terimakasih', '']</t>
  </si>
  <si>
    <t>['jelek', 'mahal', 'sinyal', 'buruk', 'lemot']</t>
  </si>
  <si>
    <t>['aplikasi', 'internet', 'buruk', 'temui', 'bumn', 'kayak', 'gini']</t>
  </si>
  <si>
    <t>['', 'ditambah']</t>
  </si>
  <si>
    <t>['aplikasi', 'susah', 'buka']</t>
  </si>
  <si>
    <t>['', 'telkomsel', 'paket', 'kualitas', 'hancur', 'jarang', 'beli', 'pulsa', 'paket', 'internet', 'telpon', 'mending', 'operator', 'sebelah', 'murah', 'kualitas', 'mulus', 'comment', 'edit', 'terbaru', 'komen', 'diatas', 'telkomsel', 'kirim', 'pulsa', 'berlaku', 'contoh', 'sperti', 'masuk', 'akal', 'dikasih', 'combinasi', 'jengkel', 'malas', 'isi', 'pulsa', 'paket', 'telpon', 'internet']</t>
  </si>
  <si>
    <t>['download', 'buka', 'beli', 'pulsa', 'telepon']</t>
  </si>
  <si>
    <t>['', 'hapeku', 'kebuka', '']</t>
  </si>
  <si>
    <t>['tolong', 'susah', 'bukak', 'aplikasinya', 'beli', 'paket']</t>
  </si>
  <si>
    <t>['pas', 'update', 'kebuka', 'nge', 'loading', 'minat', 'telkomsel', 'tolong', 'segara', 'perbaiki', 'payah', 'update', 'stack', 'layar', 'putih']</t>
  </si>
  <si>
    <t>['aplikasi', 'telkomsel', 'buka', 'tolong', 'dibantu', 'telkomsel', '']</t>
  </si>
  <si>
    <t>['', 'telkomsel', 'masuk', 'gambar', 'putih', 'gimana']</t>
  </si>
  <si>
    <t>['knp', 'dipakai', 'beli', 'goldpas', 'game', 'playrix', 'township']</t>
  </si>
  <si>
    <t>['poin', 'yng', 'dberikan', 'ngak', 'gunanya', 'ngk', 'dgunakan', 'sampah', '']</t>
  </si>
  <si>
    <t>['apk', 'gabisa', 'buka', 'sulit', 'membeli', 'mengecek', 'kouta', 'udh', 'gitu', 'harganya', 'mahal', 'memakai', 'apk', 'telkomsel', 'tolong', 'perbaiki', 'kebutuhan', '']</t>
  </si>
  <si>
    <t>['promonya', 'perbanyak', 'dihitung', 'membeli', 'paket', 'bkn', 'jam']</t>
  </si>
  <si>
    <t>['koq', 'lemot', '']</t>
  </si>
  <si>
    <t>['sekrng', 'udh', 'lumayan', 'mudahny']</t>
  </si>
  <si>
    <t>['apk', 'akses', '']</t>
  </si>
  <si>
    <t>['', 'dibuka', 'udah', 'uninstal', 'install', 'ulang']</t>
  </si>
  <si>
    <t>['muanya', 'apasih', 'telkomsel', 'kuota', 'harga', 'unlimited', 'unlimitednya', 'dibatasi', 'harganya', 'udah', 'aplikasi', 'ngelag']</t>
  </si>
  <si>
    <t>['masuk', 'ayo', 'dibenerin', 'lemot', 'pengguna', 'stia', 'upgrate', 'pakek', 'kartu', 'hallo', 'huhuhu', '']</t>
  </si>
  <si>
    <t>['gimana', 'telkomsel', 'buka', 'aplikasi', 'gabisa', 'bisaa', 'bgttt', 'nihhh', 'perbarui', 'bersihkan', 'cache', 'knp', 'bisaa', '']</t>
  </si>
  <si>
    <t>['pulsa', 'hilang', 'memakainya', 'membeli', 'paket', 'tolong', 'telkomsel', 'perbaiki']</t>
  </si>
  <si>
    <t>['ahir', 'ahir', 'telkomsel', 'lemot']</t>
  </si>
  <si>
    <t>['assalamualaikum', 'may', 'telkomsel', 'gimana', 'masuk']</t>
  </si>
  <si>
    <t>['tolong', 'permurah', 'harganya']</t>
  </si>
  <si>
    <t>['jelek', 'diuduh', 'masukin', 'nomer', 'susah', 'jengkel', 'buka', 'layar', 'warna', 'putih', 'kali', 'buka', 'buka']</t>
  </si>
  <si>
    <t>['suka', 'telkomsel', 'biarpun', 'mahal', 'jaringannya', 'mahal', 'jaringannya', 'buruk', 'menganggu', 'pindah', 'jaringan', 'sekian', 'terima', 'kasih']</t>
  </si>
  <si>
    <t>['knp', 'abis', 'isi', 'pulsa', 'beli', 'paket', 'trus', 'beli', 'apk', 'pulsa', 'terpotong', 'datanya', 'masuk', 'rugilah']</t>
  </si>
  <si>
    <t>['bbrpa', 'aplikasi', 'tsel', 'buka', 'habpus', 'data', 'hapus', 'aplikasi', 'instal', 'msh', 'ttp', 'buka', '']</t>
  </si>
  <si>
    <t>['update', 'harian', 'skrg', 'dibuka', 'layar', 'putih', 'ngeblank', 'restart', 'uninstal', 'instal', 'hapus', 'cache', 'hasilnya', 'nihil', 'app', 'telkomsel', 'terimakasih']</t>
  </si>
  <si>
    <t>['sangan', 'jon']</t>
  </si>
  <si>
    <t>['knpa', 'dibuka', '']</t>
  </si>
  <si>
    <t>['knpa', 'tdak', 'update', 'uninstal', 'trus', 'instal', 'ulang', 'aplikasi', 'anjiggg', 'uda', 'mahal', 'lemot', 'apk', 'setan', 'maunya', 'nipu', 'doang', 'monyet']</t>
  </si>
  <si>
    <t>['update', 'kgak', 'buka', 'berat', 'ampun', 'payaaah', 'payah', 'ketinggalan', '']</t>
  </si>
  <si>
    <t>['iritin', 'jaringan', 'mendukung']</t>
  </si>
  <si>
    <t>['', 'pilihan', 'paket', 'sakti']</t>
  </si>
  <si>
    <t>['mytelkomsel', 'akses', '']</t>
  </si>
  <si>
    <t>['operator', 'sampah', 'ngelagnya', 'maen', 'jakarta']</t>
  </si>
  <si>
    <t>['cek', 'plza', 'telkomsel', 'buka']</t>
  </si>
  <si>
    <t>['bagus', 'harga', 'paketnya', 'mahal']</t>
  </si>
  <si>
    <t>['aplikasi', 'susah', 'bukanya', 'bro', 'telkomsel', '']</t>
  </si>
  <si>
    <t>['susah', 'susah', '']</t>
  </si>
  <si>
    <t>['telkomsel', 'mahal', 'bagus', 'buruk', 'aplikasi', 'white', 'screen', 'doang', 'mengecewakan', '']</t>
  </si>
  <si>
    <t>['aplikasinya', 'baguss', '']</t>
  </si>
  <si>
    <t>['aplikasinya', 'terbuka', 'beli', 'pulsa', 'tlp']</t>
  </si>
  <si>
    <t>['oooh', 'telkomsel', 'app', 'buka', 'layar', 'putih', 'kebuka', 'udah', 'minggu', 'mohon', 'perbaiki']</t>
  </si>
  <si>
    <t>['harga', 'naek', 'kualitas', 'jaringan', 'buruk']</t>
  </si>
  <si>
    <t>['mantap', 'app', 'perbarui', 'saran', 'adm', 'paketan', 'mahal', 'diskon', 'saran', 'seh', '']</t>
  </si>
  <si>
    <t>['gimana', 'telkomsel', 'jaringan', 'macet', 'trs', 'kecewa', 'jarigan', 'telkomtol']</t>
  </si>
  <si>
    <t>['', 'tingkatkan']</t>
  </si>
  <si>
    <t>['', 'aplikasinya', 'dibuka', 'semingguan', 'ngeblank', 'mulu', 'wrna', 'putih', 'support', 'smsung', 'app', '']</t>
  </si>
  <si>
    <t>['membuka', 'apk', 'telkomsel', 'uninstall', 'install', 'dibuka', 'mohon', 'secepatnya', 'diperbaiki', '']</t>
  </si>
  <si>
    <t>['udah', 'seminggu', 'aplikasi', 'dibuka', 'beli', 'kuota', 'mahal', 'gangguan', 'jaringan', 'suka', 'hilang', 'aneh', 'perusahaan', 'negara', 'tpi', 'kalah', 'kualitas', 'swasta']</t>
  </si>
  <si>
    <t>['sinyalnya', 'putus', '']</t>
  </si>
  <si>
    <t>['aplikasih', 'bagus', 'bisah', 'masuk', 'login', 'selesai', 'download', 'aplikasih', 'masuk', 'jam', 'gitu', 'masuk', 'masuk', 'masuk', 'tolong', 'perbaiki', '']</t>
  </si>
  <si>
    <t>['promo', 'bagus', 'tingkatkan', 'perfoma', '']</t>
  </si>
  <si>
    <t>['detail', 'membantu', 'baguslah', 'pokoknya', 'sia', 'sia', 'apk', '']</t>
  </si>
  <si>
    <t>['', 'donlod', 'mytelkomsel', 'applikasi', 'dibuka', 'blank', 'putih', '']</t>
  </si>
  <si>
    <t>['jaringan', 'bagusin', '']</t>
  </si>
  <si>
    <t>['habis', 'update', 'mytelkomselnya', 'koq', 'dibuka', 'aplikasi', 'kepiye', 'iki', 'jan']</t>
  </si>
  <si>
    <t>['buka', 'apk', 'telkomsel', 'layarnya', 'putih', 'pdhl', 'udah', 'uninstal', 'download', 'perubahan', 'tolong', 'perbaiki', '']</t>
  </si>
  <si>
    <t>['jaringan', 'putus', 'koneksi']</t>
  </si>
  <si>
    <t>['diperbanyak', 'gratisannya', 'min']</t>
  </si>
  <si>
    <t>['aplikasinya', 'update', 'buka', 'ngeblank', 'sya', 'pikir', 'error', 'seminggu', 'buka', 'payah', '']</t>
  </si>
  <si>
    <t>['bonus', 'pengguna', 'asyikkkk']</t>
  </si>
  <si>
    <t>['telkomsel', 'taik', 'jaringan', 'putus', '']</t>
  </si>
  <si>
    <t>['variatif', 'pilihan', 'ketik', 'ribet', '']</t>
  </si>
  <si>
    <t>['tdinya', 'ksih', 'bintng', 'tpi', 'kurangi', 'krna', 'skrng', 'susah', 'bngt', 'msuk', 'aplikasi', 'msuk', 'mlah', 'hrian', 'blank', 'putih', 'trus', '']</t>
  </si>
  <si>
    <t>['sinyal', 'jelek', 'pas', 'hujan', 'sinyal', 'sinyal', 'tolong', 'diperbaiki']</t>
  </si>
  <si>
    <t>['maaf', 'telkomsell', 'jujur', 'bangga', 'dwngan', 'signal', 'setabil']</t>
  </si>
  <si>
    <t>['dibuka', 'aplikasinya', 'udah', 'berat', 'banget', 'dibukanya', 'ayolah', 'berbenah', 'masak', 'sekelas', 'telkomsel', 'kek', 'gini', 'kinerjanya', '']</t>
  </si>
  <si>
    <t>['telkomsel', 'eror', 'kah', 'membuka', 'apk', '']</t>
  </si>
  <si>
    <t>['kartu', 'aneh', 'top', 'pulsa', 'apain', 'data', 'nyala', 'angus', 'perlahan', 'lahan', 'nipu', 'gmn', 'telkomsel', 'rugi', 'banget', 'kecewa', 'berat', 'telkomtod', 'anjg', '']</t>
  </si>
  <si>
    <t>['kuota', 'mahal', 'ditempat', 'sinyalnya', 'telkomsel', 'ngelag', 'harga', 'doang', 'mahal', 'sesuai', 'harga']</t>
  </si>
  <si>
    <t>['udah', 'lemot', 'lemot', 'kaya', 'siput', 'lihat', 'short', 'youtube', 'muter', 'muter', 'doang']</t>
  </si>
  <si>
    <t>['', 'bsa', 'dibuka']</t>
  </si>
  <si>
    <t>['aplikasi', 'ngebug', 'diupdate', 'pas', 'dibuka', 'white', 'screen', '']</t>
  </si>
  <si>
    <t>['kesini', 'sinyal', 'lemot']</t>
  </si>
  <si>
    <t>['versi', 'sulit', 'banget', 'masuk', 'aplikasi', '']</t>
  </si>
  <si>
    <t>['telkomsel', 'kesini', 'males', 'dri', 'pulsa', 'tersedot', 'ngrti', 'lgi', 'penyebabnya', 'fitur', 'veronika', 'jga', 'jlk', 'jls', 'aplikasinya', 'jga', 'berat', 'ngrti', 'lgi', 'sma', 'telkomsel']</t>
  </si>
  <si>
    <t>['sekelas', 'telkomsel', 'buruk', 'gini']</t>
  </si>
  <si>
    <t>['telkomsel', 'trouble', 'min', 'jaringan', 'stabil', 'kuota', 'tolong', 'penjelasannya']</t>
  </si>
  <si>
    <t>['udah', 'paket', 'mahal', 'jaringan', 'burik', 'kartu', 'taik', 'telkomsel']</t>
  </si>
  <si>
    <t>['semoga', 'hadiah', 'pulsa']</t>
  </si>
  <si>
    <t>['ndak', 'jls', 'apk', 'masak', 'pulsa', 'bnyk', 'tawarin', 'paket', 'rekomendasi', 'murah', 'pulsa', 'tinggal', 'dikit', 'tawarin', 'rekomendasi', 'mahal', 'murah', 'mlh', 'jls', 'bnget', 'sumpahhh', 'benerin', 'lahh', 'telkom']</t>
  </si>
  <si>
    <t>['signyal', 'lancar', 'jaya']</t>
  </si>
  <si>
    <t>['buka', 'telkomsel', 'skg', '']</t>
  </si>
  <si>
    <t>['sore', 'masuk', 'aplikasi', 'telkomsel', 'seharian', 'masuk', '']</t>
  </si>
  <si>
    <t>['temen', 'beli', 'paket', 'harga', 'murah', 'kuota', 'ketengan', 'pikir', 'yaa', 'jujur', 'coba', 'beli', 'paket', 'ketengan', 'yutup', 'twitter', 'zoom', 'dipake', 'mending', 'beli', 'paket', 'mubazir', 'uangnya', 'udah', 'coba', 'komplain', 'jawabannya', 'mohon', 'maaf', 'hehehe', 'miris', 'perusahaan', 'plat', 'merah', 'beresin', 'gitu', 'semoga', 'bahan', 'evaluasi', 'iya', 'kalah', 'provider', 'swasta', '']</t>
  </si>
  <si>
    <t>['harga', 'paket', 'data', 'internet', 'apk', 'mahal', 'harga', 'promo', 'murah', 'kemarin', 'hilang', 'mengecewakan', 'tunggu', 'pengguna', 'beralih', 'kartu', 'ponsel', 'kartu', 'mengecewakan']</t>
  </si>
  <si>
    <t>['susah', 'masuk', 'aplikasi']</t>
  </si>
  <si>
    <t>['ribet', 'masuk', 'konfirmasi', 'susah', 'aplikasi', 'long', 'masuk', '']</t>
  </si>
  <si>
    <t>['', 'fungsi', 'eror', 'kmarin', 'giman', 'nich', 'prusahaan', 'plat', 'merah']</t>
  </si>
  <si>
    <t>['update', 'sudh', 'tidk', 'login', '']</t>
  </si>
  <si>
    <t>['mudah', 'prosesnya', 'terima', 'kasih', 'telkomsel', '']</t>
  </si>
  <si>
    <t>['kasih', 'bintang', 'mengontrol', 'riwayat', 'penggunaan', 'data', 'internet', 'pulsa', 'trimakasih', 'telkomsel', '']</t>
  </si>
  <si>
    <t>['', 'blank', 'putih']</t>
  </si>
  <si>
    <t>['', 'telkomsel', 'kebuka', 'layar', 'putih', 'muncul', '']</t>
  </si>
  <si>
    <t>['app', 'crash', 'dibuka', 'tolong', 'diperbaiki', 'ajukan', 'keluhan', '']</t>
  </si>
  <si>
    <t>['telkomsel', 'ngeleg', 'ngeleeeg', 'bales', 'chat', 'ngakak', 'wkwkwkwj']</t>
  </si>
  <si>
    <t>['rekomended', 'banget', 'pengguna']</t>
  </si>
  <si>
    <t>['tolong', 'fast', 'respon', 'pulsa', 'gamasuk', 'makan', 'perkembangan', 'infonya', 'lelet', '']</t>
  </si>
  <si>
    <t>['kak', 'aplikasi', 'telkomsel', 'buka', 'udah', 'kemaren', 'udah', 'apdet', 'buka', 'pakai', 'samsung', 'mohon', 'bantuanya', 'nawarin', 'beli', 'aplikasinya', 'gambarnya', 'bleng']</t>
  </si>
  <si>
    <t>['telkom', 'sinyalnya', 'ngelag', '']</t>
  </si>
  <si>
    <t>['', 'ngomong', 'telkomsel', 'kuota', 'mahal', 'sinyal', 'jelek', 'tolong', 'perbaiki', '']</t>
  </si>
  <si>
    <t>['tolong', 'perbaiki', 'aplikasinya', 'aplikasi', 'dibuka', 'tampilan', 'layar', 'putih']</t>
  </si>
  <si>
    <t>['sore', 'buka', 'telkomsel', 'tolong', 'bantu', 'isi', 'paket', 'bulanan', 'langsung', 'disn', 'memotong', 'pulsa', 'trims']</t>
  </si>
  <si>
    <t>['bgus', 'promo', '']</t>
  </si>
  <si>
    <t>['aplikasi', 'ngeblank', 'mulu', 'buka', 'susah', 'bener', 'ampe', 'uninstall', 'install', 'berkali', 'bgitu', 'buka', '']</t>
  </si>
  <si>
    <t>['', 'apl', 'buka', 'buka']</t>
  </si>
  <si>
    <t>['', 'buka', 'parah']</t>
  </si>
  <si>
    <t>['knp', 'aplikasi', 'telkom', 'buka', 'tolong', 'bantu']</t>
  </si>
  <si>
    <t>['semoga', 'setianya', 'telkomsel', 'beruntung', 'pemenang', 'penukaran', 'poin', 'lucky', 'draw', '']</t>
  </si>
  <si>
    <t>['telkom', 'tolong', 'donk', 'benerin', 'apl', 'aneh', 'udh', 'susah', 'buka', 'beli', 'paket', 'kebeli', 'paket', 'tolong', 'benerin', 'whooii', '']</t>
  </si>
  <si>
    <t>['tolong', 'jaringan', 'diperbaiki', '']</t>
  </si>
  <si>
    <t>['sulit', 'masuk', 'ribet']</t>
  </si>
  <si>
    <t>['dibuka', 'malu', 'maluin', 'perusahaan', 'teknologi', 'ecek', 'ecek', 'dasar', 'emang', 'bumn', 'coba', 'swasta', 'canggih']</t>
  </si>
  <si>
    <t>['aduh', 'membingungkan', 'sudh', 'beli', 'pulsa', 'app', 'buka', 'beli', 'paket', 'tlg', 'kasi', 'info', 'knp']</t>
  </si>
  <si>
    <t>['woi', 'sinyal', 'tolonglah', 'diperbaiki', 'kawasan', 'lampung']</t>
  </si>
  <si>
    <t>['udah', 'bagus', 'trimakasih']</t>
  </si>
  <si>
    <t>['bagus', 'cuman', 'user', 'loop', 'loopers', 'mahal', 'kuota', 'internet', 'kartu', 'telkomsel', 'murah']</t>
  </si>
  <si>
    <t>['tingkatkan', 'terima', 'kasih', 'aktivasi', 'kartu', 'halo', '']</t>
  </si>
  <si>
    <t>['terimakasih', 'aplikasi', 'urusan', 'pulsa', 'paket', 'data', 'lancar', 'cuman', 'promonya', 'aggk', 'mahal', '']</t>
  </si>
  <si>
    <t>['bonos', 'pakettan', 'jngan', 'mahal', 'mahal']</t>
  </si>
  <si>
    <t>['gunain', 'telkomsel', 'gimana', 'pulsa', 'hilang', 'sikit', 'sudh', 'cek', 'berlangganan', 'nsp', 'pakaet', 'data', 'paket', 'nelpon', 'pulsa', 'hilang', '']</t>
  </si>
  <si>
    <t>['tolong', 'aplikasinya', 'buka', 'perbaharui', 'masuk', 'seklai']</t>
  </si>
  <si>
    <t>['telkomsel', 'point', 'berguna', 'dunia']</t>
  </si>
  <si>
    <t>['harganya']</t>
  </si>
  <si>
    <t>['telkomsel', 'bener', 'bener', 'bagus', 'banget', 'jaringan', 'jelek', 'daerah', 'sampe', 'baca', 'cepet', 'pulib', 'telkomsel']</t>
  </si>
  <si>
    <t>['ngga', 'dibuka', 'woy', 'maksudnya', 'dhp', 'oppo', 'samsung', 'knp', 'ngga', 'beda', 'in', 'pilih', 'kasih', 'rasis', '']</t>
  </si>
  <si>
    <t>['membantu', 'bngt']</t>
  </si>
  <si>
    <t>['abis', 'isi', 'pulsa', 'trus', 'nggak', 'paket', 'data', 'nggak', 'saldo', 'pulsanya', 'abis']</t>
  </si>
  <si>
    <t>['dibuka', 'samsung']</t>
  </si>
  <si>
    <t>['aplikasinya', 'susah', 'login', 'ditambah', 'jaringan', 'lag', 'bget', 'padahl', 'harganya', 'mahal', 'kartu', '']</t>
  </si>
  <si>
    <t>['diupgrade', 'pas', 'dibuka', 'blank', 'putih', 'dibuka', '']</t>
  </si>
  <si>
    <t>['update', 'dibuka', 'alias', 'stuck', 'mohon', 'diperbaiki', 'optimal', 'ratingnya', 'terima', 'kasih']</t>
  </si>
  <si>
    <t>['buka', 'aplikasinya', 'sayang', 'bangett']</t>
  </si>
  <si>
    <t>['sinyalnya', 'jelek', 'mulu']</t>
  </si>
  <si>
    <t>['apk', 'bagus', 'kali', 'bah']</t>
  </si>
  <si>
    <t>['telkomsel', 'buka', 'update', 'mohon', 'bantuannya', 'masuk', 'kasih', 'bintang', '']</t>
  </si>
  <si>
    <t>['maksudnya', 'koq', 'pulsa', 'potong', 'ribu', 'rupiah', 'tolong', '']</t>
  </si>
  <si>
    <t>['yaa', 'telkomsel', 'minggu', 'buka', '']</t>
  </si>
  <si>
    <t>['habis', 'update', 'buka', 'bngt']</t>
  </si>
  <si>
    <t>['sya', 'coba', 'instal', 'ulang', 'ttap', 'tdak', 'kebuka', '']</t>
  </si>
  <si>
    <t>['harga', 'paketan', 'internet', 'mahal']</t>
  </si>
  <si>
    <t>['tolong', 'jaringan', 'main', 'game', 'nge', 'lag', 'mulu']</t>
  </si>
  <si>
    <t>['aplikasi', 'telkomsel', 'buka', 'kemarin', 'masuk', 'beli', 'kuota', 'telkomsel', '']</t>
  </si>
  <si>
    <t>['', 'bagus', 'membantu']</t>
  </si>
  <si>
    <t>['pulsa', 'berkurang', 'telkomsel', 'gajelas', 'telkomsel', 'udh', 'knp', 'pulsa', 'berkurang', 'kecewa', '']</t>
  </si>
  <si>
    <t>['kwalitas', 'jaringan', 'jelek', 'jaringan', 'maksimal', 'fungsinya', 'telkomsel', 'ketinggalan', 'telkomsel', 'cuek', '']</t>
  </si>
  <si>
    <t>['ngk', 'masuk', 'aplikasinya', 'saaat', 'gua', 'masuak', 'gimana']</t>
  </si>
  <si>
    <t>['woi', 'kali', 'main', 'ngeleg']</t>
  </si>
  <si>
    <t>['mudah', 'cepat', 'apps', 'diupgrade', 'akses', 'kuota', 'data', 'offline', '']</t>
  </si>
  <si>
    <t>['bintang', 'aplikasi', 'buka', 'updaye', 'versi', 'terbaru']</t>
  </si>
  <si>
    <t>['aplikasi', 'terbuka', 'iya', 'perbaruhi', 'tolong', 'bantuannya', 'kak']</t>
  </si>
  <si>
    <t>['knp', 'masuk', 'aplikasi']</t>
  </si>
  <si>
    <t>['', 'memori', 'jadul', 'telkomsel', 'aplikasi', 'dibuka', '']</t>
  </si>
  <si>
    <t>['telkomsel', 'ilang', 'jaringan', 'pas', 'war']</t>
  </si>
  <si>
    <t>['aplikasi', 'terlemot', 'dunia', 'tolong', 'tindak', 'lanjuti', 'login', 'susah', 'banget', '']</t>
  </si>
  <si>
    <t>['turunin', 'harga', 'paket']</t>
  </si>
  <si>
    <t>['aplikasi', 'telkomsel', 'hbs', 'update', 'buka', '']</t>
  </si>
  <si>
    <t>['pengguna', 'telkomsel', 'kecewa', 'telkomsel', 'harga', 'mahal', 'harga', 'cepat', 'bertambah', 'contoh', 'beli', 'paket', 'harga', 'rb', 'rb', 'mudian', 'rb', 'harga', 'cepat', 'kendala', 'sinyal', 'kadang', 'error', 'mohon', 'perbaiki', 'daerah', 'terpencil', 'harap', 'harga', 'paket', 'telkomsel', 'murah', 'kedepannya', '']</t>
  </si>
  <si>
    <t>['', 'aplikasi', 'interntenya', 'rusak']</t>
  </si>
  <si>
    <t>['sisa', 'pulsa', 'hilang', 'jls', 'kmn', 'kali', 'pulsa', 'lenyap', 'cek', 'pulsa', 'malam', 'sisa', 'rb', 'cek', 'paginya', 'tersisa', 'nol', '']</t>
  </si>
  <si>
    <t>['parah', 'jaringan', 'lelet', 'hubungi', 'operator', 'dikenakan', 'biaya', 'rupiah', 'perbaikan', 'mending', 'tri', '']</t>
  </si>
  <si>
    <t>['telkomsel', 'buka', 'layar', 'putih', 'white', 'scren', 'membuka', 'apl', 'telkomsel', 'memperbaiki', 'telkomsel', 'white', 'scren', '']</t>
  </si>
  <si>
    <t>['kecewa', 'berat', 'telkomsel', 'bantu', 'nyusahin', 'pelanggan', 'mahal', 'doang', 'error', 'kelar', 'komplain', '']</t>
  </si>
  <si>
    <t>['pulsa', 'terpotong', 'dilaporkan', 'terpotong']</t>
  </si>
  <si>
    <t>['promo', 'permurah', '']</t>
  </si>
  <si>
    <t>['sya', 'kasih', 'bintang', 'sya', 'suka', 'telkomsel', 'beli', 'kuota', 'sel', 'ndk', 'dipakai']</t>
  </si>
  <si>
    <t>['proses', 'jam', 'jam', 'masuk', 'komplain', 'telkomsel', 'habis', 'pulsa', 'ulang', 'pengecekan', 'notifikasi', 'paket', 'habisnya', 'udah', 'beres', 'telkomsel', '']</t>
  </si>
  <si>
    <t>['jelek', 'jaringannya']</t>
  </si>
  <si>
    <t>['telkomsel', 'tukang', 'sedot', 'pulsa', 'paket', 'abis', 'pulsa', 'berkurang', 'masuk', 'akal', '']</t>
  </si>
  <si>
    <t>['apk', 'ribet', 'jaringan', 'telkomsel', 'skrg', 'parah', '']</t>
  </si>
  <si>
    <t>['mantap', 'telkomsel', 'thn', 'ganti', 'kartu', 'skrg', 'hati', 'laen', '']</t>
  </si>
  <si>
    <t>['min', 'kasih', 'bintang', 'jaringan', 'sush', 'udh', 'tower', 'main', 'jaringan', 'sush', 'mohon', 'diperbaiki']</t>
  </si>
  <si>
    <t>['jujur', 'kecewa', 'banget', 'telkomsel', 'isi', 'pulsa', 'drikemarin', 'sampe', 'skrg', 'blm', 'masuk', 'laporan', 'call', 'canternya', 'call', 'centernya', 'bodoh', 'kerja', 'sia', 'komplen', '']</t>
  </si>
  <si>
    <t>['paket', 'mahal', 'jaringannya', 'susahh']</t>
  </si>
  <si>
    <t>['layanan', 'bagus']</t>
  </si>
  <si>
    <t>['', 'desember', 'jan', 'kartu', 'asli', 'kek', 'kontol', 'banget', 'anjink', 'lag', 'doang', 'isi', 'babi']</t>
  </si>
  <si>
    <t>['', 'pembelian', 'paket', 'internet', 'telpon', 'mahal']</t>
  </si>
  <si>
    <t>['sayang', 'instal', 'aplikasi', 'dibuka', '']</t>
  </si>
  <si>
    <t>['aplikasi', 'mudah', 'beli', 'pulsa', 'data', 'respon', 'cepat']</t>
  </si>
  <si>
    <t>['udh', 'aplikasinya', 'buka', 'pdhl', 'update']</t>
  </si>
  <si>
    <t>['kasih', 'bintang', 'sbelumnya', 'aplikasi', 'login', 'enak', 'kendala', 'susah', 'untk', 'dibuka', 'pengguna', 'telkomsel', 'udah']</t>
  </si>
  <si>
    <t>['paket', 'cepet', 'abis', 'nihh', 'kaya', 'nyedot', 'nonton', 'youtube']</t>
  </si>
  <si>
    <t>['berharap', 'aplikasi', 'telkomsel', 'udian', 'bonus', 'pengisian', '']</t>
  </si>
  <si>
    <t>['aplikasi', 'telkomsel', 'aneh', 'telkomsel', 'pinjaman', 'kuota', 'gb', 'pungut', 'biaya', 'apapun', 'coba', 'kenakan', 'denda', 'pungut', 'biaya', 'pajak', 'apapun', 'kena', 'denda', 'hadeh', '']</t>
  </si>
  <si>
    <t>['undiannya', 'diperpanjang']</t>
  </si>
  <si>
    <t>['pindah', 'smartfren', 'bertanggung', 'pulsa', 'membeli', 'paket', '']</t>
  </si>
  <si>
    <t>['telkomsel', 'paket', 'data', 'ribet', 'banget', 'aneh', 'dipake', 'paket', 'mbok', 'simple', 'kuota', 'penggunaan', 'data', 'internet', 'app', 'video', 'musik', 'dll', 'dipisah', 'pusing', 'kayak', 'sinyal', 'bagus', 'wongvya', 'sinyal', 'jelek', 'gitu', 'sok', 'sokan']</t>
  </si>
  <si>
    <t>['jaringannya', 'ngelag', 'mulu', 'jaringan', 'hilang', 'hilang']</t>
  </si>
  <si>
    <t>['telkomsel', 'bertahun', 'matisuri', 'standby', 'dipertahanin', 'nomor', 'dipakai', 'whatsapp', 'aktif', 'promo', 'internet', 'besok', 'mahal', 'pindah', 'operator', 'sebelah', '']</t>
  </si>
  <si>
    <t>['salah', 'aplikasi', 'mytelkomsel', 'aplikasi', 'dibuka', 'stuck', 'jendela', 'berwarna', 'putih', 'ditunggu', 'menit', 'tolong', 'diperbaiki', 'terima', 'kasih']</t>
  </si>
  <si>
    <t>['liat', 'liat', 'kebawah', 'udah', 'bagus', 'cepet', 'tan', 'download']</t>
  </si>
  <si>
    <t>['halo', 'halo', 'apknya', 'gabisa', 'kebukanya', 'udh', 'sya', 'hps', 'data', 'kali', 'download', 'instal', 'ulang', 'ulang', 'msi', 'gabisa', 'kebuka', 'tlong', 'rspn']</t>
  </si>
  <si>
    <t>['telkomsel', 'aplikasi', 'error', 'layarnya', 'putih']</t>
  </si>
  <si>
    <t>['menarik', 'mudah']</t>
  </si>
  <si>
    <t>['jelek', 'minggu', 'apk', 'dibuka', 'sinyal', 'bagus', 'udah', 'instal', 'ulang']</t>
  </si>
  <si>
    <t>['menukar', 'poin', 'paket', 'internet', 'gagal', 'sinyal', 'lemot', '']</t>
  </si>
  <si>
    <t>['aplikasi', 'ssah', 'buka']</t>
  </si>
  <si>
    <t>['', 'telkomsel', 'upgrade', 'stlh', 'upgrade', 'kebuka', 'telkomselnya', 'tolong', 'gmn', 'min']</t>
  </si>
  <si>
    <t>['', 'bos', 'jaringan', 'knapa', 'aplikasi', 'lambat', 'bngat', '']</t>
  </si>
  <si>
    <t>['', 'anjg', 'pulsa', 'gua', 'kepotong', 'dta', 'sim', 'bisalak', 'tukar', 'sndiri', 'telkomsel', 'karna', 'nomor', 'udh', 'buang', 'jaman', 'kmrn']</t>
  </si>
  <si>
    <t>['abiss', 'perbarui', 'apk', 'buka', 'lagii', 'anehh']</t>
  </si>
  <si>
    <t>['lelet', 'sulit', 'masuk', '']</t>
  </si>
  <si>
    <t>['suka', 'banget', 'aplikasinya', 'beli', 'paket', 'gampang', 'pokonya', 'suka', 'banget']</t>
  </si>
  <si>
    <t>['cpt', 'prosesnya']</t>
  </si>
  <si>
    <t>['koc', 'buka', '']</t>
  </si>
  <si>
    <t>['mytelkomsel', 'mantap', '']</t>
  </si>
  <si>
    <t>['', 'tsel', 'ufdate', 'masuk', 'jelek', 'kedepan', 'terpaksa', 'uninstall', 'nyebelin']</t>
  </si>
  <si>
    <t>['harga', 'mahal', 'gb', 'ngerti']</t>
  </si>
  <si>
    <t>['membaik', 'promo', 'terimakasih', '']</t>
  </si>
  <si>
    <t>['ngeluh', 'telkomsel', 'yng', 'masuk', 'komen', 'rasakan', 'kasih', 'dlu', 'ntar', 'udah', 'pulih', 'kasih', 'full', 'cepat', 'sembuh', 'telkomsel', 'membutuhkan', '']</t>
  </si>
  <si>
    <t>['pembelian', 'paket', 'data', 'via', 'aplikasi', 'karna', 'error', 'gimana', 'andalkan', 'pembelian', 'paket', 'data', 'via', 'aplikasi', 'cepat', 'via', 'layanan', 'terbaik', 'pelanggan', 'telkomsel', 'kecewa', '']</t>
  </si>
  <si>
    <t>['tumben', 'telkomsel', 'sinyal', 'nye', 'rusak', 'paket', 'ambil', 'sinyal', 'ndut', 'minggu', 'bayar', 'doank', 'mahal']</t>
  </si>
  <si>
    <t>['tolong', 'aplikasinya', 'benerin', 'bug', 'susah', 'masuk']</t>
  </si>
  <si>
    <t>['update', 'aplikasi', 'mytelkomsel', 'buka', 'jaringan', 'lemot', 'signal', 'turun', 'menurun', 'kualitas', 'telkomsel', '']</t>
  </si>
  <si>
    <t>['maen', 'game', 'sinyal', 'parah', 'kaya', 'pol', 'trus', 'skrang', 'lola']</t>
  </si>
  <si>
    <t>['min', 'beli', 'pulsa', 'kasih', 'bonus', 'paket', 'data', 'gitu']</t>
  </si>
  <si>
    <t>['sinyal', 'emosi', 'buka', 'apk', 'lemot']</t>
  </si>
  <si>
    <t>['update', 'masuk', 'app', 'blank', 'putih', 'doang', '']</t>
  </si>
  <si>
    <t>['jaringan', 'telkomsel', 'wilayah', 'mandailing', 'natal', 'buruk', 'jelek', 'jaringan', 'stabil', 'niat', 'perbaikan', 'layanan', 'jaringan', 'gimana', 'paket', 'mahal', 'jaringan', 'jelek', 'mengecewakan', 'tolong', 'pelayanan', 'telkomsel']</t>
  </si>
  <si>
    <t>['white', 'screen', 'update', 'samsung', 'tolong', 'diperbaiki', 'gan', '']</t>
  </si>
  <si>
    <t>['susah', 'masuk', 'apk']</t>
  </si>
  <si>
    <t>['knpa', 'tukar', 'poin', 'ribet', 'bnyak', '']</t>
  </si>
  <si>
    <t>['bintang', 'deh', 'update', 'aplikasi', 'white', 'screen', 'dibuka', 'udh', 'coba', 'kali', 'instal', 'kompatible', 'jalan', '']</t>
  </si>
  <si>
    <t>['kali', 'beli', 'paket', 'internet', 'saldo', 'terpotong', 'kuota', 'ngga', 'bingung', 'telkomsel', 'kaya', 'gini', 'aman', 'komplen', 'bales']</t>
  </si>
  <si>
    <t>['buruk', 'jaringannya']</t>
  </si>
  <si>
    <t>['maaf', 'login', 'telkomsel', 'masukin', 'nomor', 'telkomsel']</t>
  </si>
  <si>
    <t>['aplikasi', 'buka', 'beli', 'kuota', 'kali', 'bintang', 'kecuali', 'aplikasi', 'benerin', 'kasih', 'bintang']</t>
  </si>
  <si>
    <t>['lelet', 'ndak', '']</t>
  </si>
  <si>
    <t>['jaringan', 'telkomsel', 'lelet', 'pening', 'orderan', 'bos', 'tolong', 'perbaiki', 'jaringan', 'telkomsel', 'sekian', 'terimakasih', '']</t>
  </si>
  <si>
    <t>['enak', 'murah', 'praktis']</t>
  </si>
  <si>
    <t>['telkomsel', 'buka', 'layar', 'putih']</t>
  </si>
  <si>
    <t>['jaringan', 'ngelag', 'paket', 'mahal']</t>
  </si>
  <si>
    <t>['banyakin', 'promonya', '']</t>
  </si>
  <si>
    <t>['masuk', 'aplikasinya', '']</t>
  </si>
  <si>
    <t>['aplikasi', 'telkomsel', 'dibuka', 'udah', 'hapus', 'cache', 'hapus', 'data', 'tetep', 'logonya', 'nongol']</t>
  </si>
  <si>
    <t>['', 'telkomsel', 'signal', 'gangguan', 'app', 'buka', 'samsung', 'enak', 'lho', 'buka', 'skrang', 'mlah', 'lho', 'hapus', 'chace', 'download', 'ujung', 'zonk', 'ayo', 'dibenerin', 'customer', 'telkomsel', 'puas', '']</t>
  </si>
  <si>
    <t>['telkomsel', 'buka', 'buka', 'muncul', 'layar', 'putih']</t>
  </si>
  <si>
    <t>['beli', 'kuota', 'murah', '']</t>
  </si>
  <si>
    <t>['aplikasi', 'izinkan', 'perangkat', 'google', 'kendala', 'mohon', 'bantuannya', '']</t>
  </si>
  <si>
    <t>['dibuka', 'error', '']</t>
  </si>
  <si>
    <t>['', 'buka', 'merespon', 'update', 'apl', 'buruk', 'tolong', 'perbaiki']</t>
  </si>
  <si>
    <t>['memudahkan', 'komunikasi', 'keluarga', 'sahabat']</t>
  </si>
  <si>
    <t>['usaha', 'apk', 'telkomsel', 'paket', 'internet', 'tlpon', 'murah']</t>
  </si>
  <si>
    <t>['enak', 'dipakainyaa']</t>
  </si>
  <si>
    <t>['mudah', 'pemanfatannya']</t>
  </si>
  <si>
    <t>['cepat', 'pelayanannya', 'praktis', '']</t>
  </si>
  <si>
    <t>['tampilannya', 'dipermudah']</t>
  </si>
  <si>
    <t>['daftar', 'ngak', 'masuk', 'aplikasi', 'ngak', 'kayak', 'aplikasi', 'exis', 'indosat', 'mudah', 'masuk', 'malu', 'telkomsel', 'udah', 'puluhan', 'dimana', 'orang', 'makai', 'telkomsel', 'jaringa', 'telkomsel', 'ajar', 'ngak', 'gunanya', 'paket', 'tsel', 'mohon', 'diperbaiki', 'telkomsel', 'kirangajar']</t>
  </si>
  <si>
    <t>['aplikasinya', 'dibuka', 'ngeblank', 'layar', 'putih', 'kadang', 'membukanya', 'coba', 'aplikasinya', 'diperhatikan', 'dimaintenance', '']</t>
  </si>
  <si>
    <t>['ok', 'daerah', 'sinyal', 'kadang', 'lemot', '']</t>
  </si>
  <si>
    <t>['kemudahan', 'penjelasannya', 'membantu']</t>
  </si>
  <si>
    <t>['aplikasi', 'white', 'screen', 'teruss', 'capek', 'instal', 'aplikasinya', '']</t>
  </si>
  <si>
    <t>['harga', 'mahal', 'kualitas', 'jaringan', 'buruk', 'sinyal', 'setabil', 'sesuai', 'mengecewakan', '']</t>
  </si>
  <si>
    <t>['habis', 'update', 'aplikasinya', 'buka', 'hpku']</t>
  </si>
  <si>
    <t>['aplikasi', 'jelek', 'dibuka']</t>
  </si>
  <si>
    <t>['bitang', 'dlu', 'nyusul', 'bitang']</t>
  </si>
  <si>
    <t>['membantu', 'langkah', '']</t>
  </si>
  <si>
    <t>['buka', 'aplikasi', 'mytelkomsel', 'kecewa', 'banget']</t>
  </si>
  <si>
    <t>['sinyal', 'bagus', 'diseluruh', 'pelosok', 'wilayah', 'harga', 'lumayan', 'mahal', 'paketan', 'dibanding', 'kompetitor', 'nilai', 'bintang', 'sinyal', 'bagus', 'kategori', 'mahal', 'terima', 'kasih', '']</t>
  </si>
  <si>
    <t>['telkomsel', 'kanapa', 'gangguan', 'nda', 'masuk', 'aplikasi', 'telkomsel']</t>
  </si>
  <si>
    <t>['telkomsel', 'rusak', 'pas', 'masuk', 'telkomsel', 'rusak', 'putih', 'putih', 'tolong', 'telkomselnya', 'perbaiki']</t>
  </si>
  <si>
    <t>['memanfaatkan', 'investor', 'meraup', 'modal', 'trilyunan', 'nggak', 'peduli', 'harga', 'saham', 'jeblok', 'hati', 'pelanggan', 'migrasi', 'operator', 'nggak', 'niat', 'menaikkan', 'harga', 'saham', '']</t>
  </si>
  <si>
    <t>['memudahkan', 'mengecek', 'salda', 'membeli', 'paket', '']</t>
  </si>
  <si>
    <t>['membantu', 'mudah', 'paket', 'data']</t>
  </si>
  <si>
    <t>['masuk', 'drtdi', 'putih', 'masuk', 'masuk', 'beli', 'paket', 'data', 'gmn']</t>
  </si>
  <si>
    <t>['masuk', 'banget', 'cek', 'menang', 'poin', 'gimana', 'kelanjutannya', 'gini', 'mohon', 'diperbaiki', 'ditunggu', 'pemenangnya', 'poinnya', '']</t>
  </si>
  <si>
    <t>['bagus', 'aplikasi', 'perbaruhi', 'lancarrr', 'jaringan', 'telkomsel', 'kuat', 'plosok', 'trimakasih', 'telkomsel', '']</t>
  </si>
  <si>
    <t>['tolong', 'aplikasinya', 'mytelkomselnya', 'diperbaiki', 'masuk', 'aplikasinya', 'jaringannya', 'diperbaiki', 'bingung', 'lihat', 'kuota', 'internet', 'aplikasi']</t>
  </si>
  <si>
    <t>['nice', 'tingkatkan', '']</t>
  </si>
  <si>
    <t>['', 'telkomsel', 'mmbantu', 'mmebeli', 'pulasa', 'data', 'pilihan']</t>
  </si>
  <si>
    <t>['parah', 'diperbarui', 'dibuka', 'blank', 'page']</t>
  </si>
  <si>
    <t>['maaf', 'def', 'mengeluh', 'perihal', 'login', 'login', 'aplikasi', 'kendala', 'perihal', 'login']</t>
  </si>
  <si>
    <t>['tolong', 'benerin', 'donk', 'aplikasi', 'telkomsel', 'masuk', 'kesel', 'lihat', 'kuota', 'tinggal', 'brapa', 'beli', 'paket', 'dll']</t>
  </si>
  <si>
    <t>['bgs']</t>
  </si>
  <si>
    <t>['aplikasi', 'lancar', 'bagus', 'nambahin', '']</t>
  </si>
  <si>
    <t>['dibuja', '']</t>
  </si>
  <si>
    <t>['masuk', 'apk', 'isi', 'paket', '']</t>
  </si>
  <si>
    <t>['sinyal', 'telkomsel', 'lemah']</t>
  </si>
  <si>
    <t>['tolong', 'benerin', 'jaringan', 'telkomsel', 'daerah', 'riau', 'balam', 'jaringan', 'lelet', 'mulu', 'mohon', 'baca', '']</t>
  </si>
  <si>
    <t>['ancur', 'masuk', 'aplikasinya', 'kecewa']</t>
  </si>
  <si>
    <t>['buka', 'aplikasi', 'sekelas', 'telkomsel', 'lemotnya', 'ampun', 'mudah', 'cepat']</t>
  </si>
  <si>
    <t>['ribet', 'beli', 'data', 'error', '']</t>
  </si>
  <si>
    <t>['gmn', 'telkomsel', 'dibuka', '']</t>
  </si>
  <si>
    <t>['paketan', 'mahal', 'jaringan', 'stabil', 'kocak', 'wkwkwk', '']</t>
  </si>
  <si>
    <t>['gimana', 'aplikasinya', 'update', 'tpi', 'nggk', 'download', 'otomatis', 'beli', 'paket', 'data', 'nggk', '']</t>
  </si>
  <si>
    <t>['telkomsel', 'buka', 'kirim', 'email']</t>
  </si>
  <si>
    <t>['promo', 'app']</t>
  </si>
  <si>
    <t>['barusan', 'download', 'masuknya', 'banget', 'tolong', 'diperbaiki', '']</t>
  </si>
  <si>
    <t>['ngasih', 'bintang', 'diupdate', 'buruk', 'aplikasi', 'buka', 'beranda', 'loadingnya', 'putih', 'nampil', 'berandanya', 'update', 'bagus', 'buruk', 'nyesel', 'update', 'aplikasi', '']</t>
  </si>
  <si>
    <t>['update', 'dibuka', 'layar', 'putih', '']</t>
  </si>
  <si>
    <t>['aplikasi', 'perbaharui', 'laaaahhhh', 'masuk', 'tolong', 'perhatikan', 'pelanggan', 'telkomsel']</t>
  </si>
  <si>
    <t>['telkomsel', 'membeli', 'paket', 'internet', '']</t>
  </si>
  <si>
    <t>['pembaruan', 'masuk', 'aplikasi']</t>
  </si>
  <si>
    <t>['siip', 'iklannya', 'ganggu', 'kali', 'buka', 'aplikasi', 'ngeblang', 'putih', 'loading', 'lamaaa', 'banget', 'unistal', '']</t>
  </si>
  <si>
    <t>['gangguan', 'mohon', 'dibperbaiki', 'kelancaran', 'internetnya', 'terima', 'kasih']</t>
  </si>
  <si>
    <t>['semenjak', 'update', 'aplikasinya', 'merespons', 'trusss', '']</t>
  </si>
  <si>
    <t>['detil', 'layanan', 'nyangkut', 'simcard', 'ditampilkan', 'olah', 'sengaja', 'dibiarkan', 'nyedot', 'pulsa', 'layanan', 'nsp', 'ads', 'sengaja', 'dsembunyikan', 'detil', 'berlangganannya', 'menggerus', 'isi', 'pulsa', 'memberhentikan', 'kesusahan', 'mencari', 'menunya', 'pilihannya', 'dimana', 'aplikasi', 'penggunaannya', 'kalah', 'aplikasi', 'sikuning', 'detail', 'bnget', 'layanan', 'histori', 'penggunaanny']</t>
  </si>
  <si>
    <t>['mantap', 'jarang', 'paket', 'murah', 'kartu']</t>
  </si>
  <si>
    <t>['', 'telkomsel', '']</t>
  </si>
  <si>
    <t>['aplikasi', 'telkomsel', 'dbuka', 'unisntal', 'trus', 'instal', 'knp', 'ama', 'dbuka', 'dbuka', 'cma', 'layar', 'putih', 'mohon', 'penjelasan', 'min', 'jga', 'menghubungi', 'call', 'center', 'hasil', 'nihil']</t>
  </si>
  <si>
    <t>['saran', 'tolong', 'lampirkan', 'diteil', 'pemenang', 'undian', 'terimakasih']</t>
  </si>
  <si>
    <t>['maaf', 'apk', 'mytelkomsel', 'bsa', 'buka', 'direstart', 'instal', 'ulang', 'ttep', 'kebuka', 'tampilan', 'layar', 'putih', 'gtu', '']</t>
  </si>
  <si>
    <t>['buka', 'buka']</t>
  </si>
  <si>
    <t>['bintang', 'karna', 'skrng', 'kebuka', 'apps', 'telkomoselny', 'beli', 'kuota']</t>
  </si>
  <si>
    <t>['susah', 'dibuka', 'emg', 'bagus', '']</t>
  </si>
  <si>
    <t>['bnyak', 'promo', 'menarik', 'terimakasih', 'telkomsel']</t>
  </si>
  <si>
    <t>['signal', 'lemah', 'bangettttttt']</t>
  </si>
  <si>
    <t>['mudah', 'transaksi']</t>
  </si>
  <si>
    <t>['berat', 'buka', 'aplikasinya']</t>
  </si>
  <si>
    <t>['membantu', 'sayangnya', 'menu', 'pembatalan', 'berlangganan', '']</t>
  </si>
  <si>
    <t>['knp', 'habis', 'pembaharui', 'buka', 'hmm']</t>
  </si>
  <si>
    <t>['diupdate', 'akses', 'apk', 'mytelkomselnya', 'layar', 'putih', 'force', 'close', 'layanan', 'buruk']</t>
  </si>
  <si>
    <t>['telkomsel', 'sinyal', 'lemot', 'ancuuurrr', '']</t>
  </si>
  <si>
    <t>['update', 'telkomsel', 'buka', 'muncul', 'layar', 'warna', 'putih', 'solusinya', 'min']</t>
  </si>
  <si>
    <t>['', 'telkomsel', 'beli', 'kuota', 'tsel', 'udah', 'bbrpa', 'koq', 'yaa', 'udah', 'reboot', 'uninstal', 'app', 'dll', 'ttp', 'dibuka', '']</t>
  </si>
  <si>
    <t>['semoga', 'menang', '']</t>
  </si>
  <si>
    <t>['kali', 'date', 'aplikasinya', 'buka', 'tampilan', 'layar', 'putih', 'gimana', 'cek', 'sldo', 'beli', 'paket', 'promonya', '']</t>
  </si>
  <si>
    <t>['bagus', 'memudahkan', 'penggunan']</t>
  </si>
  <si>
    <t>['mahal', 'pembukaan', 'aplikasi', 'lelet']</t>
  </si>
  <si>
    <t>['sampe', 'pulsanya', 'internetan', 'pulsa', 'dikuras', '']</t>
  </si>
  <si>
    <t>['aplikasi', 'dibuka', 'stuck', 'layar', 'putih', 'berat', 'dibuka']</t>
  </si>
  <si>
    <t>['membantu', 'pelayanan', 'kemudahan']</t>
  </si>
  <si>
    <t>['knp', 'aplikasi', 'tlkomsel', 'jdi', 'susah', 'buka', '']</t>
  </si>
  <si>
    <t>['', 'buka', 'telkomsel', 'ngak', '']</t>
  </si>
  <si>
    <t>['hay', 'telkomsel', 'beli', 'kuota', 'apk', 'pakai', 'pulsa', 'stelah', 'kuota', 'pulsa', 'sisa', 'pulsa', 'hangus', 'beli', 'pulsa', 'telponan', 'besoknya', 'hangus', 'sinyal', 'buruk', 'gaada', 'promo', 'kuota', 'tolong', 'diperbaiki', 'dikemanain', 'pulsa', 'tunggu', 'admin', '']</t>
  </si>
  <si>
    <t>['bentar', 'bentar', 'suruh', 'memperbarui', 'gitu']</t>
  </si>
  <si>
    <t>['bagus', 'membantu', 'harga', 'paketan', 'kategorialnya', 'mahal', 'kali', 'update', 'apk', 'kenaikan', 'harga', 'paket', 'potongan', 'harga', '']</t>
  </si>
  <si>
    <t>['bertambah', 'jelek', 'jaringan', 'kuota', 'mahal']</t>
  </si>
  <si>
    <t>['buka', 'aplikasi', 'kecewa', 'telkomsel', 'kecewa', 'pelanggan', 'kasih', 'bintang', 'lgi']</t>
  </si>
  <si>
    <t>['semrnjak', 'update', 'ngg', 'buka', 'udah', 'coba', 'instal', 'berulangkali', 'tetep', 'ngg', 'buka']</t>
  </si>
  <si>
    <t>['ngga', 'diakses', 'parah', 'sekelas', 'telkomsel', 'kek', 'gini']</t>
  </si>
  <si>
    <t>['mohon', 'dibantu', 'update', 'aplikasinya', 'terbaru', 'aplikas', 'dibuka', 'samsung', 'layar', 'blank', 'putih', 'open', 'aplikasi']</t>
  </si>
  <si>
    <t>['senang', 'berbelanja', 'semoga', 'bnyak', 'diskon']</t>
  </si>
  <si>
    <t>['knp', 'udah', 'ngga', 'log', 'kuota', 'jaringan', 'bagus']</t>
  </si>
  <si>
    <t>['isi', 'pulsa', 'tpi', 'masuk', 'skrg', 'buka', 'apk', 'kebuka', 'cek', 'pulsa', 'saldo', 'bertambah', 'tpi', 'rekening', 'sya', 'udah', 'kepotong', 'nich', '']</t>
  </si>
  <si>
    <t>['parah', 'bet', 'uyy', 'masuk', 'aplikasi', 'telkomsel', 'bener', 'udah', 'upgrade', 'pas', 'masuk', 'hadeeuuhh', '']</t>
  </si>
  <si>
    <t>['aplikasi', 'simpel', 'mudah', 'promo', 'combo', 'sakti', 'suka']</t>
  </si>
  <si>
    <t>['telkomsel', 'signalnya', 'buruk', 'sul', 'bar', 'pemakai', 'tsel', 'lari', 'krna', 'bagus', 'signalnya', 'singgah', 'tidk', 'sperti', 'tsel', '']</t>
  </si>
  <si>
    <t>['menguntungkan', 'memanjakan', 'pelanggan']</t>
  </si>
  <si>
    <t>['telkomsel', 'gimana', 'jaringanny', 'mati', 'lampu', 'hujan', 'lelet', 'bngt', 'kesel', 'harga', 'udah', 'mahal', 'lelet', 'kadang', 'engga', 'sinyal', 'ditempat', 'kek', 'desa', 'pohonny']</t>
  </si>
  <si>
    <t>['terima', 'telkomsel']</t>
  </si>
  <si>
    <t>['beli', 'paket', 'apk', 'telkomsel', 'murah', '']</t>
  </si>
  <si>
    <t>['harga', 'kuota', 'telkomsel', 'combo', 'sakti', 'mahal', 'kualitas', 'jaringan', 'menurun', 'daerah', 'tolong', 'dimaintenance', 'kecepatan', 'kestabilan', 'jaringan', 'menurun', 'mengganggu', 'terkadang', 'terima', 'kasih', '']</t>
  </si>
  <si>
    <t>['aplikasi', 'taiik', 'ngga', 'buka']</t>
  </si>
  <si>
    <t>['pengalaman', 'jaringan', 'buruk', 'mahal', 'mahal', 'beli', 'paket', 'jaringan', 'bagus', 'kecewa', 'telkomsel', 'kek', 'gitu', 'jaringan', 'udah', 'berlangganan', 'telkomsel', 'jaringan', 'kecewa', 'berat', 'telkomsel']</t>
  </si>
  <si>
    <t>['paket', 'murah', 'combo', 'sakti', 'telkomsel', 'jaringan', 'mantap', '']</t>
  </si>
  <si>
    <t>['apk', 'nga', 'beli', 'paket', 'mesti', 'kendala', 'eror', 'tolong', 'developer', 'perbaiki', 'nyesel', '']</t>
  </si>
  <si>
    <t>['', 'dipake', 'aplikasinya', 'layar', 'putih', 'tok', '']</t>
  </si>
  <si>
    <t>['lbh', 'bnyak', 'lgi', 'bunus', 'lbh', 'bgus']</t>
  </si>
  <si>
    <t>['aplikasi', 'susah', 'dibuka', 'blank', 'layar', 'putih', 'diuninstall', 'diinstall', 'ulang', '']</t>
  </si>
  <si>
    <t>['diupdate', 'terbaru', 'error']</t>
  </si>
  <si>
    <t>['kemarin', 'app', 'knp', 'dibuka', 'kndala', '']</t>
  </si>
  <si>
    <t>['susah', 'masuk', 'app', 'tlong', 'telkom', 'perbaiki', 'maaf', 'makasih']</t>
  </si>
  <si>
    <t>['jaringan', 'bagus', 'kuat', 'telkomsel', 'mnjadi', 'langganan', 'kluarga']</t>
  </si>
  <si>
    <t>['udah', 'seminggu', 'masuk', 'telkomsel', 'muncul', 'layar', 'putih', '']</t>
  </si>
  <si>
    <t>['nggak', 'dibuka', '']</t>
  </si>
  <si>
    <t>['payah', 'habis', 'update', 'gabisa', 'buka', 'ngblank', 'kirain', 'doang', '']</t>
  </si>
  <si>
    <t>['knapa', 'yaa', 'apk', 'telkomsel', 'nga', 'kebuka', 'kemarin', 'sisa', 'kouta', 'gb', 'knapa', 'sms', 'sisa', 'gb', 'apk', 'blm', 'kebuka', 'tolong', 'keluhan', 'tanggapi', 'bayar', 'prabayar', 'aplikasi', 'nga', 'kebuka', 'kouta', 'kemakan', 'gb', 'gitu', 'nga', 'terpaksa', 'pindah', 'jaringan']</t>
  </si>
  <si>
    <t>['', 'mengeluh', 'masuk', 'samsekali', 'gabisa', 'masuk', 'berhari', 'udah', 'mahal', 'jelek']</t>
  </si>
  <si>
    <t>['paham', 'kasi', 'bintang']</t>
  </si>
  <si>
    <t>['update', 'mulu', 'ribet']</t>
  </si>
  <si>
    <t>['maaf', 'kasih', 'bintang', 'aplikasi', 'login', 'via', 'link', 'efisien', 'enak', 'pakai', 'otp', 'alternatif', '']</t>
  </si>
  <si>
    <t>['okeoke', 'knpa', 'dibuka', 'layar', 'putih', 'teruss', '']</t>
  </si>
  <si>
    <t>['aplikasi', 'bsa', 'dibuka', 'bolak', 'instal', 'hapus', 'instal', 'ttp', 'bsa', 'dibuka']</t>
  </si>
  <si>
    <t>['parah', 'telkomsel', 'susah', 'masuk', 'aplikasi', '']</t>
  </si>
  <si>
    <t>['nonor', 'pulsa', 'kirim', '']</t>
  </si>
  <si>
    <t>['pelayanannya', 'memuaskan', 'loadingnya', 'kayak', 'apliaksi']</t>
  </si>
  <si>
    <t>['tolong', 'penjelasan', 'pulsa', 'berkurang', 'otomatis', 'sms', 'telpon', 'data', 'telkomsel', 'miskinnya', 'cari', 'keuntungan', 'mencuri', 'pulsa', 'pelanggan', '']</t>
  </si>
  <si>
    <t>['ndk', 'masuk', 'aplikasinya', 'bet', '']</t>
  </si>
  <si>
    <t>['aplikasi', 'berat', 'dibuka', 'dibuka', 'harga', 'kouta', 'mahal', 'orang', 'menengah', 'kebawah', 'udah', 'nyolong', 'pulsa', 'data', 'seluler', 'dihupkan', 'akui', 'sinyal', 'bagus', 'stabil', 'daerah', 'pedesaan', 'kalin', 'pintar', 'licik', 'memanfaatkan', 'kelebihan', 'sinyal', 'kuat', 'indonesia', 'pengalaman', 'profider', 'lumayan', 'mengecewakan', '']</t>
  </si>
  <si>
    <t>['', 'suka', 'mytelkomsel', 'memudahkan', 'bnyak', 'hadiahnya', 'mudah', 'mendapatkannya', 'success', 'telkomsel']</t>
  </si>
  <si>
    <t>['', 'lelet', 'buka', 'gag', 'gimna', 'udah', 'telkomsel', 'kasih', 'bintang', 'gag', 'perubahan', 'gini', 'kacau']</t>
  </si>
  <si>
    <t>['ewallet', 'nggak', 'aplikasi', 'pakai', 'blm', 'kegunaannya', 'ngisi', 'data', 'ngecek', 'data']</t>
  </si>
  <si>
    <t>['aplikasi', 'mytelkomsel', 'dibuka', 'min', 'uninstal', 'didownload', 'ulang']</t>
  </si>
  <si>
    <t>['sedot', 'pulsa', 'sedot', 'masuk', 'neraka']</t>
  </si>
  <si>
    <t>['', 'telkomsel', 'error', 'dibuka', 'putih', 'muncul', 'gmbar', 'udh', 'coba', 'unnistall', 'install', 'lgi', 'tqpi', 'tetep', '']</t>
  </si>
  <si>
    <t>['omg', 'sisa', 'pulsa', 'hilang', 'penggunaan', 'ribet', 'teralu', 'gaya', 'apk', 'lemot', 'pokoknya', 'tolong', 'dibenahi', 'rin', 'pulsa', 'diganti', 'diperbaiki', '']</t>
  </si>
  <si>
    <t>['aplikasinya', 'dibuka', 'diupdate', '']</t>
  </si>
  <si>
    <t>['promonya']</t>
  </si>
  <si>
    <t>['kualitas', 'internet', 'lemot', 'mahal', 'dikota', 'bau', 'bau', 'sulawesi', 'tenggara', 'tolong', 'ditindak', 'lanjutkan']</t>
  </si>
  <si>
    <t>['download', 'aplikasinya', 'kuota', 'aneh', '']</t>
  </si>
  <si>
    <t>['aplikasi', 'dibuka', 'dibuka', 'layar', 'putih', 'dihp', 'lemes']</t>
  </si>
  <si>
    <t>['cepat', 'tanggapi', '']</t>
  </si>
  <si>
    <t>['aplikasi', 'maytelkom', 'buka', 'berat', 'nomor', 'pascabayar', 'hadeuuuuuh', '']</t>
  </si>
  <si>
    <t>['complain', 'masuk', 'aplikasi', 'trs', 'kemaren', 'dasar', 'telkom', 'bener', 'emosi', 'gara', 'gara', 'aplikasi', 'dibetulin', 'aplikasinya', 'tutup', 'usahanya', '']</t>
  </si>
  <si>
    <t>['najis', 'bagus', 'jaringannya', 'bagusan', 'tri', 'sinyal', 'jaringan', 'ilang', 'gajelas', 'email', 'tanggepan', 'rekomen', 'deh', 'kartu']</t>
  </si>
  <si>
    <t>['aplikasi', 'lemot', 'berat', 'penampilan', '']</t>
  </si>
  <si>
    <t>['dibuka', 'layar', 'putih', 'doang', 'semingguan', '']</t>
  </si>
  <si>
    <t>['kali', 'download', 'hapus', 'download', 'hapus', 'download', 'aplikasi', 'dibuka']</t>
  </si>
  <si>
    <t>['sinyal', 'bagus', 'tanding']</t>
  </si>
  <si>
    <t>['telkomsel', 'dianggap', 'oke', 'operator', 'apk', 'beres', 'unistal', 'ulang', 'download', 'kali', 'coba', 'dpt', 'dibuka', 'tolong', 'diperbaiki', 'pelayanan', 'rating', 'menurun']</t>
  </si>
  <si>
    <t>['aplikasi', 'telkomsel', 'dibuka', 'buka', 'aplikasi']</t>
  </si>
  <si>
    <t>['kesel', 'deh', 'dibuka', 'appsnya', 'dibutuhkan', 'perbaiki', 'donk', 'kinerja', 'sistem', 'kerja', 'nyata', 'donk']</t>
  </si>
  <si>
    <t>['bagus', 'membantu', 'pelayanan']</t>
  </si>
  <si>
    <t>['puas', 'pelayan', 'paket', 'internet', 'gangguan', 'sistem']</t>
  </si>
  <si>
    <t>['upgrade', 'susah', 'masuk', 'aneh']</t>
  </si>
  <si>
    <t>['min', 'msk', 'beli', 'combo', 'sakti', 'tgl', 'berlaku', 'sampe', 'tgl', 'ktnya', '']</t>
  </si>
  <si>
    <t>['kuota', 'internet', 'mahal']</t>
  </si>
  <si>
    <t>['lumayan', 'mudah', 'cek', 'kuota', 'ngetik', 'hadiah', 'cekin', 'harian', 'ditingkatkan', 'pakai', 'pulsa', 'rupiah', 'gratis', 'trmksh']</t>
  </si>
  <si>
    <t>['buka', 'blank', 'putih', 'doang', 'layarnya', 'ditunggu', 'masuk', 'masuk', 'coba', 'hapus', 'data', 'uninstall', 'install', 'ulang', 'speed', 'internet', 'mbps', 'buka']</t>
  </si>
  <si>
    <t>['jaringan', 'telkomsel', 'kampar', 'riau', 'bagus']</t>
  </si>
  <si>
    <t>['nyobain', 'semoga', 'lancar']</t>
  </si>
  <si>
    <t>['kenawhy', 'apk', 'nomer', 'dimasukan', 'muter', 'lagiii', '']</t>
  </si>
  <si>
    <t>['semoga', 'sistem', 'bug', 'udh', 'beli', 'paket', 'terpotong', 'pulsanya', 'paket', 'masuk', 'beli', 'app', 'langsung', 'dial', 'kode', 'semoga', 'trus', 'berbenah', 'yaa']</t>
  </si>
  <si>
    <t>['buka', 'telkomsel', 'tolong', 'dibantu']</t>
  </si>
  <si>
    <t>['jaringan', 'internet', 'tolong', 'dtingkatkan', 'terimakasih']</t>
  </si>
  <si>
    <t>['memudahkan', 'pelayanan']</t>
  </si>
  <si>
    <t>['telkomsel', 'payah', 'aplikasi', 'telkomsel', 'ngga', 'buka', 'update', 'hasilnya', 'kaya', 'gini', 'jengkel', 'jaringan', 'lelet', 'aplikasi', 'telkomsel', 'ngga', 'buka', 'ngga', 'ngasih', 'layanan', 'berhenti', 'maaf', 'ngga', 'ngasih', 'bintang', 'sesuai', 'normal', 'kasih', 'bintang', '']</t>
  </si>
  <si>
    <t>['seminggu', 'app', 'telkomsel', 'dibuka', 'diklik', 'tampilannya', 'putih', 'app', 'kasih', 'kyaknya', 'komputer', 'koneksi', 'paket', 'data', 'buka', 'jaringan', 'wifi', 'tolong', 'bantuannya', 'app', 'telkomsel']</t>
  </si>
  <si>
    <t>['jaringan', 'gnya', 'mntb', 'abiz', 'top', '']</t>
  </si>
  <si>
    <t>['paketan', 'mahal', 'cok', 'berbanding', 'terbalik', 'rekan', 'pilihan', 'paketannya', 'murah', 'sekalas', 'telekomsel', 'membeda', 'bedakan', 'sesuai', 'kebutuhan', 'telek', '']</t>
  </si>
  <si>
    <t>['jaringan', 'ngga', 'terkuat', 'error', 'loading', 'aplikasi', 'telkomsel', 'ngga', 'dibuka', 'ngeluh', 'ngga', 'nyuruh', 'keluhan', 'twitter', 'ngga', 'orang', 'twitter', 'gunanya', 'nulis', 'tolong', 'diperbaiki', '']</t>
  </si>
  <si>
    <t>['mantap', 'connect', 'wallet']</t>
  </si>
  <si>
    <t>['memudahkan', 'pembelian', 'pulsa', 'paket']</t>
  </si>
  <si>
    <t>['nggak', 'error', 'bund']</t>
  </si>
  <si>
    <t>['sesuai', 'fungsinya', 'kemampuan']</t>
  </si>
  <si>
    <t>['aplikasi', 'oke', 'memudahkan', 'banget', 'top', 'deh']</t>
  </si>
  <si>
    <t>['telkomsel', 'tdak', 'buka', 'sdah', 'kemarin', 'hrs', 'beli', 'kouta']</t>
  </si>
  <si>
    <t>['jaringan', 'buruk', 'tinggal', 'sisa', 'kuota', 'youtube', 'sosmed', 'kantahi', 'kek', 'gitu', 'mending', 'ngga', 'beli', 'paket', 'jancuuk', '']</t>
  </si>
  <si>
    <t>['tambahkan', 'paket', 'murah', 'telkomsel']</t>
  </si>
  <si>
    <t>['dibuka', 'berat', 'banget', 'kayanya', 'aplikasi', 'dibuka', 'kecewa']</t>
  </si>
  <si>
    <t>['promo', 'menarik', 'good', '']</t>
  </si>
  <si>
    <t>['error', 'dibuka', 'aplikasi', 'melaz', 'kecewa']</t>
  </si>
  <si>
    <t>['aplikasi', 'keren', 'semoga', 'menangkan', 'undian', 'mobil', '']</t>
  </si>
  <si>
    <t>['masuk', 'telkomsel', 'layar', 'putih', 'update', 'normal', 'update', 'error', 'akses', 'telkomsel', 'tlg', 'perbaiki', 'donk', 'bug', '']</t>
  </si>
  <si>
    <t>['sekarng', 'paket', 'internet', 'mahal', '']</t>
  </si>
  <si>
    <t>['lumayan', 'membantu', 'aktifitas', 'kerjaan']</t>
  </si>
  <si>
    <t>['puas', 'sayang', 'snyalnya', 'suka', 'ngilang']</t>
  </si>
  <si>
    <t>['murah', 'harga', 'kuotanya', 'memakai', 'telkomsel']</t>
  </si>
  <si>
    <t>['jaringan', 'ngeleg', 'ngeleg', 'udah', 'gitu', 'paketnya', 'mahal']</t>
  </si>
  <si>
    <t>['diskon', 'isi', 'ulang', 'paket', 'internet', '']</t>
  </si>
  <si>
    <t>['blm', 'dpt', 'hadiah', 'poin', 'gus']</t>
  </si>
  <si>
    <t>['info', 'fitur', 'bagus', 'membedakan', 'pelanggan', 'pasca', 'prabayar', 'masuk', 'penawaran', 'data', 'promo', 'prabayar', 'pasca', 'bayar', 'terima', 'kasih', 'telkomsel', '']</t>
  </si>
  <si>
    <t>['idiot', 'gua', 'make', 'telkom', 'sinyal', 'lemot', 'harga', 'paket', 'mahal', 'paket', 'habis', 'nyedot', 'pulsa', 'kasih', 'notif', 'telat', 'habis', 'pulsa', 'ngapain', 'mke', 'telkomtot', '']</t>
  </si>
  <si>
    <t>['kasih', 'bintang', 'aplikasi', 'bagus', 'fitur', 'fitur', 'buang', 'didalamnya', 'diutamakan', 'pengguna', 'area', 'jawa', 'sumatra', 'pulau', 'indonesia', 'barat', 'contohnya', 'check', 'harian', 'voucher', 'zalora', 'dsb', 'disarankan', 'indonesia', 'timur', '']</t>
  </si>
  <si>
    <t>['aplikasi', 'maaf', 'maafkan', '']</t>
  </si>
  <si>
    <t>['diupdate', 'telkomselnya', 'terbuka', 'layar', 'putih', 'doang', 'muncuj', 'checkinnya', 'kelewat', 'sehari', 'deh', 'ttp', 'tolong', 'diperbaiki', 'apknya', '']</t>
  </si>
  <si>
    <t>['', 'masuk', 'apk', 'udh', 'uninstal', 'instal', 'masuk', 'telkomsel', '']</t>
  </si>
  <si>
    <t>['telkomsel', 'buka', 'parah', 'tolong', 'perbaiki', '']</t>
  </si>
  <si>
    <t>['instal', 'uninstal', 'berkali', 'aplikasi', 'blank', 'putih']</t>
  </si>
  <si>
    <t>['mengerti', 'belajar', 'pemula']</t>
  </si>
  <si>
    <t>['tuk', 'buka', 'aplikasi', 'telkomsel', 'telkomsel', 'smp', 'cek', 'data', 'susah', 'bli', 'paket', 'susah', 'sngat', 'kecewa', '']</t>
  </si>
  <si>
    <t>['habis', 'update', 'buka', 'aplikasi', 'udah', 'restart', 'udah', 'hapus', 'sampah', 'udah', 'hapus', 'download', 'ulang', 'buka', 'aplikasi', 'suami', 'sya', 'buka', 'knp', 'ngeselin', 'banget', 'kau', '']</t>
  </si>
  <si>
    <t>['memudahkan', 'promo', 'yaa']</t>
  </si>
  <si>
    <t>['puas', 'sma', 'telkomsel', 'halo', 'ditlpon', 'menawarkan', 'peralihan', 'simpati', 'halo', 'jujur', 'ngerasanya', 'ribet', 'byar', 'bulannya', 'nomer', 'diblokir', 'pemakaian', 'buln', 'puas', 'banget', 'tlpon', 'smsnya', 'unlimited', 'kuota', 'internetnya', 'pas', 'bwt', 'pemakaian', 'sebulan', 'sinyal', 'bagus', 'biarpun', 'ujan', 'gluduk', 'petir', 'angin', 'kayak', 'kuota', 'multimedianya', 'unlimited', 'makasih', 'telkomsel', 'halo', 'depannya', 'smoga', 'puas', '']</t>
  </si>
  <si>
    <t>['buruk', 'banget', 'dipake', 'aplikasinya', 'layar', 'putih', 'doang', 'loading', 'iya', 'install', 'uninstall', 'tetep', 'berfungsi', 'milih', 'beli', 'pulsa', 'paket', 'ecommerce', 'mendingan', '']</t>
  </si>
  <si>
    <t>['kualitas', 'bagus', 'tpi', 'tlong', 'perbaiki', 'kecepatan', 'login', 'sukses']</t>
  </si>
  <si>
    <t>['aplksi', 'kebuka', 'support', 'pas', 'ganti']</t>
  </si>
  <si>
    <t>['barokallah', 'semoga', 'amanah', 'kakk', '']</t>
  </si>
  <si>
    <t>['maju', 'sukses']</t>
  </si>
  <si>
    <t>['apl']</t>
  </si>
  <si>
    <t>['login', 'parah', 'telkomsel']</t>
  </si>
  <si>
    <t>['dibuka', 'habis', 'update']</t>
  </si>
  <si>
    <t>['dibuka', 'aplikasinya', 'mohon', 'penjelasan']</t>
  </si>
  <si>
    <t>['mahal', 'sekaliiii', 'jaringan', 'lemot', 'jaringan', 'error', 'kartu', 'barunya', 'kmhalan', '']</t>
  </si>
  <si>
    <t>['aplikasi', 'telkomsel', 'payah', 'dibuka', 'layar', 'putih', 'sya', 'coba', 'uninstall', 'llu', 'install', 'hasil', 'sekelas', 'telkomsel', 'perusahaan', 'kayak', 'gini', 'tolong', 'diperbaiki', 'aplikasinya', '']</t>
  </si>
  <si>
    <t>['teliti', 'beli', 'kuota', 'aplikasi', 'baca', 'syarat', 'ketentuannya', 'tergiur', 'iklannya']</t>
  </si>
  <si>
    <t>['perbanyak', 'bonus', 'bod']</t>
  </si>
  <si>
    <t>['', 'mimin', 'kakak', 'mimin', 'gimna', 'matikan', 'pinjaman', 'telkomsel', 'kali', 'salah', 'pencet', 'pas', 'buka', 'gunain', 'wifi', 'sia', 'pinjaman', 'buang', 'matiin', 'karna', 'mahal', 'gimana', 'min', 'buang', 'kartu', 'ganti', 'exis']</t>
  </si>
  <si>
    <t>['sinyal', 'susah', 'ditarik', 'kaya', 'antena', 'sinyal', 'mohon', 'bantuannya', '']</t>
  </si>
  <si>
    <t>['sinyal', 'stabil', 'daerah', 'susah', 'masuk', 'aplikasi', 'telkomsel']</t>
  </si>
  <si>
    <t>['harga', 'paket', 'kuota']</t>
  </si>
  <si>
    <t>['kemarin', 'beli', 'pulsa', 'rb', 'trus', 'kugunain', 'beli', 'kuota', 'whatsapp', 'seharga', 'rb', 'besoknya', 'cek', 'sisa', 'pulsanya', 'yaaa', 'jahat', 'banget', 'keberapa', 'kalinya', 'pulsa', 'habis', 'menguras', 'duit', 'kit', 'ati', 'adhhh', 'telkomsel', 'kapok']</t>
  </si>
  <si>
    <t>['apk', 'telkomsel', 'buka', 'mohon', 'penjelasannya', '']</t>
  </si>
  <si>
    <t>['aplikasi', 'telkomsel', 'susah', 'kebuka', 'semoga', 'cepat', 'diselesaikan', '']</t>
  </si>
  <si>
    <t>['aneh', 'knpa', 'telkomsel', 'buka', 'tlng', 'penjelasannya', '']</t>
  </si>
  <si>
    <t>['mantap', 'layanannya', '']</t>
  </si>
  <si>
    <t>['masuk', 'mytelkomsel', 'kali', 'masuk', 'layar', 'blank', 'berwarna', 'putih']</t>
  </si>
  <si>
    <t>['download', 'telkomsel', 'pas', 'baca', 'reviewnya', 'komplen', 'yaa', 'aghh', 'download', '']</t>
  </si>
  <si>
    <t>['beli', 'paket', 'murah']</t>
  </si>
  <si>
    <t>['ngeled', 'lola', 'buka', 'aplikasinya', 'telkomsel', 'ite', 'ngambek', 'gara', 'umk', 'dikit']</t>
  </si>
  <si>
    <t>['hobi', 'nyolong', 'pulsa', 'beralih', 'sibiru', 'goodbye', 'telkomsel', 'nama', 'doang', 'pelayanan', 'publik', 'minus', '']</t>
  </si>
  <si>
    <t>['pls', 'balas', 'ulasan', 'paket', 'unlimited', 'pls', 'balikin']</t>
  </si>
  <si>
    <t>['mimin', 'pket', 'murahin', 'dikit', '']</t>
  </si>
  <si>
    <t>['aplikasi', 'sampahhh', 'sumpah', 'aplikasi', 'jelek', 'banget', 'bentar', 'update', 'loading', 'mulu', 'pdhl', 'sinyal', 'full', '']</t>
  </si>
  <si>
    <t>['merekomendasikan', 'memalukan', 'merekomendasikan', 'provider', 'kapitalis', 'harga', 'manusiawi', 'kecepatan', 'tergolong', 'standar', '']</t>
  </si>
  <si>
    <t>['gimana', 'sihhh', 'sinyal', 'ngapa', 'ngapain', 'kuota', 'tolong', 'pengertiannya', 'ngerasain', 'telkomsel', 'burukk', 'beli', 'paket', 'datanya', 'mahal', 'lagiii', 'nguras', 'duit', 'gunaaa']</t>
  </si>
  <si>
    <t>['diperbarui', 'telkomsel', 'tampilan', 'warna', 'putih', 'doang', 'payah']</t>
  </si>
  <si>
    <t>['', 'buka', 'appknya', 'mendukung', 'samsung', '']</t>
  </si>
  <si>
    <t>['aplikasi', 'buka', 'ngecek', 'kuota', 'payah', '']</t>
  </si>
  <si>
    <t>['aplikasi', 'samsung']</t>
  </si>
  <si>
    <t>['menyenangkan', 'sinyal', 'kuat', 'kemana', 'data', 'lancar', 'titik', 'mantap', 'keren', '']</t>
  </si>
  <si>
    <t>['membantu', 'mempermudah', 'pengecekan', 'paket', 'mendaftarkan', 'paket', 'data', 'opsi', 'hadiah', 'dapatkan', 'undi', 'keren', 'deh']</t>
  </si>
  <si>
    <t>['beli', 'vocer', 'gb', 'dipakai', 'tulisan', 'region', 'gitu']</t>
  </si>
  <si>
    <t>['signal', 'bagus', 'jelek']</t>
  </si>
  <si>
    <t>['kena', 'nggak', 'buka', 'tolong', 'jawabannya']</t>
  </si>
  <si>
    <t>['apdet', 'buka', 'membleh', 'mending', 'aplikasi', '']</t>
  </si>
  <si>
    <t>['jaringan', 'suka', 'pulsa', 'hilang', 'paket', 'pulsa', 'berkurang', 'trus', 'kecewa', 'layanan']</t>
  </si>
  <si>
    <t>['aplikasi', 'abal', 'pas', 'cek', 'undian', 'point', 'brhadiah', 'suruh', 'update', 'setlah', 'sampe', 'skrng', 'ngga', 'buka', 'aplikasinya', '']</t>
  </si>
  <si>
    <t>['kasih', 'paket', 'hemat', 'kuota', 'nomor', 'th']</t>
  </si>
  <si>
    <t>['ngasi', 'bintang', 'apk', 'alhamdulillah', 'masi', 'normal', 'tambahan', 'promo', 'salah', 'promo', 'tukar', 'poin', 'hadiahnya', 'menarik', 'mudahan', 'kali', 'terpilih', 'salah', 'pemenang', 'undi', 'undi', 'poin', 'festival', 'pdahal', 'udah', 'tahunan', 'pelanggan', 'setia', 'telkomsel', 'dapet', 'hadiah', 'dri', 'telkomsel', 'gapapa', 'sabar', 'setia', 'padamu', 'telkomsel', 'hati', '']</t>
  </si>
  <si>
    <t>['', 'telkomsel', 'bingung', 'inimah', 'ganti', 'kartu', '']</t>
  </si>
  <si>
    <t>['mantap', 'maju', 'telkomsel']</t>
  </si>
  <si>
    <t>['parah', 'telkomsel', 'borosss', '']</t>
  </si>
  <si>
    <t>['mytelkomsel', 'buka', 'udah', 'bolak', 'uninstal', 'download', 'latar', 'putih', 'doank', 'emang', 'error', 'gimana', 'telkomsel', 'jdi', 'payah', 'nelpon', 'suara', 'kuota', 'jdi', 'mahal', 'mengecewakan', '']</t>
  </si>
  <si>
    <t>['', 'update', 'muncul', 'layar', 'putih', 'doang', 'payah', 'banget']</t>
  </si>
  <si>
    <t>['susah', 'dibukanya', 'aplikasi']</t>
  </si>
  <si>
    <t>['parah', 'apknya', 'ngak', 'buka']</t>
  </si>
  <si>
    <t>['gabisa', 'dibuka', 'pas', 'upgrade', '']</t>
  </si>
  <si>
    <t>['mahal', 'semain', 'harganya', 'tolong', 'operator', 'telkomsell', 'perbaiki']</t>
  </si>
  <si>
    <t>['date', 'app', 'telkomsel', 'bsa', 'buka', 'pdhl', 'sblmnya', 'kndla', '']</t>
  </si>
  <si>
    <t>['lumayanlah', 'ditempat', 'jaringan', 'bagus', 'lancar']</t>
  </si>
  <si>
    <t>['update', 'dibuka', 'aplikasi', 'rusak', 'ngapain', 'dipajang', 'playstore']</t>
  </si>
  <si>
    <t>['burik', 'bug', 'telkomsel', 'lite', 'telkomsel', 'burik', 'bug']</t>
  </si>
  <si>
    <t>['gue', 'kasi', 'bintang', 'dlu', '']</t>
  </si>
  <si>
    <t>['muncul', 'aplikasi']</t>
  </si>
  <si>
    <t>['aplnya', 'banget']</t>
  </si>
  <si>
    <t>['', 'banget', 'aplikasinya']</t>
  </si>
  <si>
    <t>['aplikasi', 'bagus', 'cuman', 'kartu', 'beli', 'paket', 'murah']</t>
  </si>
  <si>
    <t>['paketan', 'mahal', 'sinyalnya', 'burik', 'kayak', 'mahal', 'kualitas', 'sinyal', 'bagus', 'sinyal', 'telkomsel', 'taik', 'ganti', 'profersi', 'wae', 'sinyal', 'taik', 'taik']</t>
  </si>
  <si>
    <t>['mudah', 'layanannya']</t>
  </si>
  <si>
    <t>['susah', 'masuk', 'elor', 'mulu']</t>
  </si>
  <si>
    <t>['masak', 'aplilkasi', 'provider', 'terbesar', 'indonesia', 'dibuka', '']</t>
  </si>
  <si>
    <t>['speed', 'lumayan', 'bagus', 'cuman', 'sayang', 'harga', 'paket', 'internet', 'mahall']</t>
  </si>
  <si>
    <t>['telkomsel', 'terimakasih']</t>
  </si>
  <si>
    <t>['jaringan', 'suka', 'ilang', 'dipake', 'udah', 'ilang', 'sinyal', 'restart', 'diapapun', 'teteo', 'merugikan', 'banget']</t>
  </si>
  <si>
    <t>['abis', 'update']</t>
  </si>
  <si>
    <t>['bagus', 'cek', 'kuota', 'praktis', 'bnget']</t>
  </si>
  <si>
    <t>['mantap', 'suka', 'aplikasi']</t>
  </si>
  <si>
    <t>['jaringan', 'lemot', 'harga', 'kuota', 'combo', 'sakti', 'sekaranh', 'hmm']</t>
  </si>
  <si>
    <t>['paket', 'mahal', 'enak', 'enak', 'jaringan', 'telkom', 'menurunn', 'kualitas', '']</t>
  </si>
  <si>
    <t>['fungsi', 'signal', 'jaringan', 'stabil', 'suka', 'gangguan', '']</t>
  </si>
  <si>
    <t>['jaringan', 'telkomsel', 'jernih', 'terjangkau', 'manapun', 'kuat', 'sinyalnya', 'terima', 'kasih', 'lbh', 'gacor', 'orderannya']</t>
  </si>
  <si>
    <t>['parah', 'beli', 'paketan', 'pembayaran', 'via', 'shopeepay', 'tulisan', 'gagal', 'membeli', 'paket', 'saldo', 'shopeepay', 'terpotong']</t>
  </si>
  <si>
    <t>['semoga', 'murah', 'harga', 'paket', 'internet', '']</t>
  </si>
  <si>
    <t>['aplikasinya', 'trouble', 'gimana', 'kemarin', 'buka', 'hapus', 'download', 'udh', 'berkali', 'langganan', 'telkomsel', '']</t>
  </si>
  <si>
    <t>['update', 'appk', 'dibuka', 'layar', 'putih', 'parahnya', 'harga', 'pembelian', 'paket', 'combo', 'saktinya', 'udah', 'murah', 'cek', 'harga', 'paket', 'datanya', 'telkomsel', 'parahhhhhhhhhh']</t>
  </si>
  <si>
    <t>['jaringan', 'terluas', 'daerah', 'susukan', 'bojong', 'gede', 'bgs', 'signal', 'ilang']</t>
  </si>
  <si>
    <t>['biasaaa']</t>
  </si>
  <si>
    <t>['dapet', 'kuota', 'gratissss']</t>
  </si>
  <si>
    <t>['dapet', 'paket', '']</t>
  </si>
  <si>
    <t>['aplikasi', 'mudah', 'membantu']</t>
  </si>
  <si>
    <t>['jaringan', 'buruk', 'suka', 'ngilang', 'perubahan', 'thanks', 'telkomsel']</t>
  </si>
  <si>
    <t>['hebat', 'telkomsel', 'paketnya', 'mahal', 'pakai', 'paket', 'telkomsel', 'promo', 'harga', 'paketnya', 'mahal', 'pandemi', 'gini', 'susah', 'susah', 'cari', 'kartu', 'kali', '']</t>
  </si>
  <si>
    <t>['pembayaran', 'saldo', 'shopeepay', 'aplikasi', 'telkomsel', 'saldo', 'shopeepay', 'terpotong', 'paket', 'masuk', 'gimana', 'penjelasannya', '']</t>
  </si>
  <si>
    <t>['semoga', 'pemenang', 'undian', 'hadiah', 'berkah']</t>
  </si>
  <si>
    <t>['pas', 'udah', 'install', 'aplikasi', 'login', 'tampilannya', 'blank', 'apk', 'uninstall']</t>
  </si>
  <si>
    <t>['apasih', 'kuota', 'tersedia', 'daerah', 'jateng', 'beli', 'kuota', 'malem', 'jateng', 'btw', 'indo']</t>
  </si>
  <si>
    <t>['daftar', 'murah', 'prabayar']</t>
  </si>
  <si>
    <t>['suka', 'ilang', 'pulsa', 'cek', 'riwayat', 'pembelian', 'berkurang', 'pulsa', '']</t>
  </si>
  <si>
    <t>['telkomsel', 'eror', 'khhh', 'top', 'pulsa', 'udah', 'trasfers', 'pulsa', 'masuk']</t>
  </si>
  <si>
    <t>['kualitas', 'jaringgan', 'sungguh', 'buruk', 'daerah']</t>
  </si>
  <si>
    <t>['jelek', 'nyimpen', 'pulsa', 'pemberitahuan']</t>
  </si>
  <si>
    <t>['mudah', 'pulsa', 'kuato', 'internet']</t>
  </si>
  <si>
    <t>['parah', 'upgrade', 'dibuka', 'kali', 'uninstall', 'trus', 'dowload']</t>
  </si>
  <si>
    <t>['pikir', 'beli', 'duit', 'daun', 'udah', 'paket', 'mahal', 'sinyal', 'jelek', 'gangguan', 'mlu', 'ngentd', '']</t>
  </si>
  <si>
    <t>['parah', 'aplikasi', 'dibuka', 'alias', 'blank', 'putih', 'gtu', 'sah', 'gitu', 'harga', 'paket', 'data', 'mahal', 'kualitas', 'menurun', 'realitanya', 'sekelas', 'telkomsel', 'jaringan', 'lelet', '']</t>
  </si>
  <si>
    <t>['tolong', 'koutanya', 'habis', 'pulsanya', 'jagan', 'sedot', 'pulsanya', 'kasihan', 'ngak', 'bau', 'cek', 'pulsa', 'ikutan', 'habis', 'kesedot']</t>
  </si>
  <si>
    <t>['sinyal', 'telkomsel', 'cak', 'anak', 'kampang', 'putus', 'harga', 'mahal', 'sinyal', 'kayak', 'anjing']</t>
  </si>
  <si>
    <t>['ribet', 'mahal']</t>
  </si>
  <si>
    <t>['knapa', 'telkomsel', 'udah', 'kartu', 'jam', 'malem', 'sinyal', 'nentu', 'kadang', 'banget']</t>
  </si>
  <si>
    <t>['buka', 'appnya', 'layarnya', 'putih', 'trus', 'perubahan']</t>
  </si>
  <si>
    <t>['koneksi']</t>
  </si>
  <si>
    <t>['susah', 'masuk', 'apknya', 'akses', 'data', 'file', 'infonya', 'update', 'ehhh', 'parahhhh', '']</t>
  </si>
  <si>
    <t>['sedot', 'teroooos', 'pulsa', 'ampe', 'beli', 'paket', 'internet']</t>
  </si>
  <si>
    <t>['telkomsel', 'bagus', 'pakai', 'seminggu', 'layanan']</t>
  </si>
  <si>
    <t>['kuota', 'beli', 'mahal', 'sinyal', 'ampas', 'malulah', 'customer', 'dipikirin', 'untung', 'dipikirin']</t>
  </si>
  <si>
    <t>['kartu', 'telkomsel', 'prabayar', 'update', 'telkomsel', 'halo', 'jaringan', 'subhanallah', 'bagus', 'buangeetttt', 'cuman', 'main', 'game', 'kirain', 'update', 'telkomsel', 'halo', 'mahal', 'sinyal', 'nambah', 'bagus', 'tolong', 'diperbaiki', 'mahal', 'beli', 'paket', 'telkomsel', 'jaringan', 'bagus', 'dibikin', 'jaringannya', 'nambah', 'jelek', 'kartu', 'halo', 'jaringan', 'jelek', '']</t>
  </si>
  <si>
    <t>['jaringanya', 'udah', 'ampas', 'woii', 'beli', 'delay', 'bnget', 'pulsa', 'kepotong', 'ngak', 'make', 'veronika', 'kagak', 'veronika', 'fitur', 'ngak', 'woii', 'manding', 'bagusin', 'jaringan', 'ama', 'ngak', 'delay', 'beli', 'paketnya', 'hapus', 'fitur', 'ngak']</t>
  </si>
  <si>
    <t>['pketan', 'larang', 'troble', 'trus', 'kyo', 'jembot']</t>
  </si>
  <si>
    <t>['keluhan', 'respon', 'jaringan', 'stabil', 'mahal', 'doang', 'telkomsel', 'drpd', 'loe', 'kecewa', 'keluhan', 'cmn', 'iyain', 'sampe', 'skrg', 'gaada', 'perbaikan', 'suka', 'game', 'fix', 'perdana', 'udh', 'buruk', 'jaringanya', 'jumping', 'enak', 'main', '']</t>
  </si>
  <si>
    <t>['', 'suka', 'apk', 'telkomsel', 'membantu']</t>
  </si>
  <si>
    <t>['pinjam', 'beli', 'pulsa', 'bayar']</t>
  </si>
  <si>
    <t>['paket', 'terkadang', 'sesuai', 'peraturan', 'ketentuan', 'jaringan', 'suka', 'macet', 'ngga']</t>
  </si>
  <si>
    <t>['jaringan', 'parah', 'hilang', 'main', 'game', 'auto', 'afk', 'nge', 'leg', 'hilang', 'jaringan', 'sinyal', 'parah']</t>
  </si>
  <si>
    <t>['wahh', 'dapet', 'kuota', 'gratis', 'telkomsel']</t>
  </si>
  <si>
    <t>['udah', 'paket', 'mahal', 'jaringan', 'bentar', 'hilang', 'ngelag', 'kek', 'taiikk', 'pakek', 'telkomsel', 'provider', 'terbaik', 'kendala', 'jaringan', 'diperbaiki']</t>
  </si>
  <si>
    <t>['internet', 'mantappp', 'leq', 'tpi', 'parah', 'kaya', 'tetangga', 'joss', 'gandoss', 'poin', 'mudah', 'dapet', 'luky', 'allah']</t>
  </si>
  <si>
    <t>['semoga', 'manfaat', 'pengguna', '']</t>
  </si>
  <si>
    <t>['aplikasi', 'telkomsel', 'dibuka', 'mohon', 'solusinya']</t>
  </si>
  <si>
    <t>['pas', 'seru', 'nge', 'game', 'internetnya', 'lemot', 'pelayanannya', 'coba', 'check', 'jaringan', 'pas', 'jam', 'jam', 'internetnya', 'lemot', 'berulang', 'payahhhh', 'telkomsel', 'terpaksa', '']</t>
  </si>
  <si>
    <t>['seminggu', 'apk', 'dibuka', 'layar', 'putih', 'jaringan', 'stabil', 'pelayanan', 'optimal', 'konsumen']</t>
  </si>
  <si>
    <t>['telkomsel', 'kuota', 'data', 'mahal', 'signal', 'parah', 'lemot', 'dibandingkan', 'exis', 'mendingan', 'exis', 'maklum', 'lemot', 'emang', 'kuota', 'datany', 'murah', 'merah', '']</t>
  </si>
  <si>
    <t>['hancur', 'inj', 'kartu', 'bgsat', 'emosi', 'kartu', 'mahal', 'mahal', 'jaringan', 'bbi', 'cuih', 'mending', 'berali', 'kartu', 'gini', '']</t>
  </si>
  <si>
    <t>['bagusan', 'dikit']</t>
  </si>
  <si>
    <t>['', 'deh', 'kak', 'tolong', 'ditingkatkan', 'aplikasi', 'eror', 'tolong', 'tingkatkan', 'sinyal', 'telkomsel', 'merata', 'pelosok', 'desa', 'terpecil', '']</t>
  </si>
  <si>
    <t>['update', 'ngak', 'ngak', 'buka', 'jaga']</t>
  </si>
  <si>
    <t>['woi', 'telkomsel', 'kentod', 'napa', 'kouta', 'boros', 'banget', 'asw', 'kouta', 'unlimited', 'youtube', 'dipake', 'paket', 'utama', 'habis', 'mendingan', 'ganti', 'kartu', 'download', 'mytelkomsel', 'kek', 'anjg', 'telkomsel', '']</t>
  </si>
  <si>
    <t>['', 'sotot', 'negntod', 'anak', 'panti', 'asuhan', 'kau', 'ajig', 'lag', 'org', 'main', 'sotot', 'anak', 'haram', 'anak', 'ytim']</t>
  </si>
  <si>
    <t>['paya', 'jaringan', 'telkomsel', 'trlalu', 'bruk', 'bangt', 'telkomsel', 'tolong', 'jringan', 'telkomsel', 'perbaiki', 'sperti', 'trus', '']</t>
  </si>
  <si>
    <t>['update', 'terbaru', 'november', 'aplikasinya', 'kebuka', 'blank', 'putih', 'bug', '']</t>
  </si>
  <si>
    <t>['parah', 'sinyalnya', 'hilang', 'dadakan']</t>
  </si>
  <si>
    <t>['jaringan', 'parah', 'main', 'game', 'lag', 'parah', 'telkomsel']</t>
  </si>
  <si>
    <t>['kualitas', 'jaringan', 'lemah']</t>
  </si>
  <si>
    <t>['apknya', 'pas', 'udah', 'update', 'buka', 'update', 'buka', 'kesalahan', 'apk', 'aatu', 'jaringan']</t>
  </si>
  <si>
    <t>['mengunci', 'fitur', 'safesearch', 'nyaman']</t>
  </si>
  <si>
    <t>['buka', 'aplikasi', 'lambat', 'perusahaan', 'telekomunikasi', 'aplikasi', 'lemot', 'banget', 'liat', 'kuota', 'berlaku', '']</t>
  </si>
  <si>
    <t>['tunggu']</t>
  </si>
  <si>
    <t>['knp', 'aplikasinya', 'dibuka', 'yaa', 'pdhal', 'kmren']</t>
  </si>
  <si>
    <t>['nikin', 'harganya', 'sampe', 'edaan', '']</t>
  </si>
  <si>
    <t>['', 'yaaa']</t>
  </si>
  <si>
    <t>['habis', 'update', 'ngga', 'dibuka', 'inii']</t>
  </si>
  <si>
    <t>['minggu', 'kmrn', 'aplikasi', 'telkomsel', 'skrg', 'blank', 'kali', 'instal', 'ttp', 'gmna', 'telkomsel']</t>
  </si>
  <si>
    <t>['aplikasi', 'telkomsel', 'emang', 'akses', 'uda', 'buka', 'pnjlsan', 'dri', 'telkomsel', '']</t>
  </si>
  <si>
    <t>['ribet', 'tukar', 'poin', 'hrs', 'otp', 'lom', 'tukar', 'kuota', 'abis', 'atu']</t>
  </si>
  <si>
    <t>['asik', 'gua', 'make', 'wifi', 'trus', 'data', 'mati', 'sms', 'gua', 'make', 'internet', 'non', 'paket', 'trus', 'pulsa', 'kesedot', 'tebaik', 'provider', 'hebat', 'banget', 'nyedot', 'pulsanya', 'elegan', 'provider', 'asik', 'sedunia', 'asli', 'hebat', 'telkomsel', 'terbaik', 'pemborosan', 'terimakasih', 'mebuat', 'hidup', 'boros', 'teruslah', 'memperkaya', 'selamat', 'yaa', 'pulsa', 'gua', 'sedot', 'gua', 'anggep', 'sedekah', 'deh']</t>
  </si>
  <si>
    <t>['dibuka', 'kali', 'download', 'hasilnya', 'blank', '']</t>
  </si>
  <si>
    <t>['telkomsel', 'jembuttttt', 'ngelag', 'normal', 'bangsad']</t>
  </si>
  <si>
    <t>['kouta', 'mb', 'dri', 'gb', 'pdhl', 'cuman', 'buka', 'google', 'classroom', 'pembelajaran', 'bantu', 'data', '']</t>
  </si>
  <si>
    <t>['update', 'nob', '']</t>
  </si>
  <si>
    <t>['minggu', 'aplikasi', 'terbuka', 'stelah', 'update']</t>
  </si>
  <si>
    <t>['pelanggan', 'pakai', 'telkomsel', 'promo', 'kalah', 'dng', 'kartu', '']</t>
  </si>
  <si>
    <t>['igin', 'membeli', 'paket', 'tulisan', 'mohon', 'maaf', 'kesalahan', 'tolong', 'diperbaiki', 'takut', 'pulsa', 'hagus']</t>
  </si>
  <si>
    <t>['menit', 'aplikasinya', 'layar', 'kosong']</t>
  </si>
  <si>
    <t>['mahal', 'gitu']</t>
  </si>
  <si>
    <t>['tolong', 'pelanggan', 'setia', 'telkomsel', 'msh', 'beranjak', 'smp', 'semenjak', 'udate', 'pascabayar', 'knp', 'jaringan', 'selalunya', 'lemot', 'bayar', 'jatuh', 'tempo', 'tgl', 'pembayaran', 'tolong', 'bener', 'bener', 'kecewa', 'berat', 'seberat', 'beratnya', 'rugi']</t>
  </si>
  <si>
    <t>['', 'isi', 'pulsa', 'via', 'link', 'masuk', 'browser', 'crome']</t>
  </si>
  <si>
    <t>['cocok', 'teman', 'memiliki', 'telkomsel']</t>
  </si>
  <si>
    <t>['dipakai', 'dimanapun', 'mantap']</t>
  </si>
  <si>
    <t>['pembelian', 'paket', 'smkin', 'mahal']</t>
  </si>
  <si>
    <t>['semoga', 'undian', '']</t>
  </si>
  <si>
    <t>['update', 'apk', 'telkomsel', 'bermasalah', 'update', 'terbaru', 'apk', 'telkomsel', 'dibuka', 'hubungi', 'email', 'telkomsel', 'facebook', 'messenger', 'telkomsel', 'tindak', 'sungguh', 'mengecewakan', '']</t>
  </si>
  <si>
    <t>['jaringan', 'merata', 'rumah', 'sinyal', 'lemot', 'banget', 'udh', 'bertahun', 'kek', 'gitu', 'coba', 'jalan', 'seratus', 'meter', 'rumah', 'toko', 'lorong', 'rumah', 'sinyal', 'kenceng', 'beli', 'mahal', 'sinyal', 'lelet', 'pulsa', 'kemakan', 'hadehhhh']</t>
  </si>
  <si>
    <t>['gimana', 'isi', 'pulsa', 'gratis']</t>
  </si>
  <si>
    <t>['udah', 'cpek', 'seting', 'aplikasi', 'msih', 'ttp', 'bdhl', 'plnggn', 'paket', 'halo']</t>
  </si>
  <si>
    <t>['buka', 'layarnya', 'putih']</t>
  </si>
  <si>
    <t>['telkomsel', 'senang', 'menjebak', 'pelanggan', 'sengaja', 'mengaktifkan', 'answering', 'machine', 'berbayar', 'pelanggan', 'kuota', 'habis', 'main', 'colong', 'pulsa', 'pelanggan', 'rugi']</t>
  </si>
  <si>
    <t>['parah', 'jaringan', 'telkomsel', 'kadang', 'kadang', 'turun', 'buka', 'aplikasinya', 'lelet', 'banget', 'pakek', 'internet', 'tetep', 'buka', 'hancur', 'telkomsel', 'jaringan', 'sampah']</t>
  </si>
  <si>
    <t>['aplikasi', 'membantu', 'baget', '']</t>
  </si>
  <si>
    <t>['jaringan', 'lemot', 'banget']</t>
  </si>
  <si>
    <t>['sinyal', 'bener', 'ancur', 'seancur']</t>
  </si>
  <si>
    <t>['paket', 'saktiny', 'jng', 'ubah', 'ubah', 'prthnin', 'pnguna', 'lma', 'bermain', 'faat', 'bngt', 'pke', 'paket', 'saktiny']</t>
  </si>
  <si>
    <t>['aplikasi', 'sampah', 'skrg', 'ngak', 'dibuka', 'aplikasinya', '']</t>
  </si>
  <si>
    <t>['halooooo', 'sampe', 'white', 'blank', 'screen', 'sist', 'bro', 'buang', 'kuota', 'apus', 'trus', 'install', 'tetep', 'kek', 'gini', 'perbaikin', 'pengguna', 'org', 'telkom', 'sayanglah', 'samoe', 'complaint', 'gini', 'gangguan', 'sampe', '']</t>
  </si>
  <si>
    <t>['babi', 'sinyalnya', 'jdi', 'jelek', 'bngt', 'kapok']</t>
  </si>
  <si>
    <t>['mohon', 'maaf', 'telkomsel', 'kabar', 'sinyal', 'telkomsel', 'sinyal', 'jelek', 'banget', 'mohon', 'telkomsel', 'kenyaman', 'sinyal', 'super', 'terbaik', 'pelanggan', 'setiamu', 'pelanggan', 'berpindah', 'hati', 'ayok', 'telkomsel', 'please', 'deh', 'terbaik', 'mohon', 'maaf', 'besarnya', 'thanks']</t>
  </si>
  <si>
    <t>['lumayan', 'pulsa', 'berkurang', 'beli', 'kuota']</t>
  </si>
  <si>
    <t>['bermanfaat', 'orang']</t>
  </si>
  <si>
    <t>['min', 'kasih', 'perangkat', 'device', 'suport', 'pembaruan', 'update', 'aplikasi', 'versi', 'terbaru', 'tampilan', 'mytelkomsel', 'white', 'screen', 'layar', 'putih', 'bebrapa', 'perangkat', 'seluler', 'admin', 'perbaiki', 'updatean', 'versi', 'berhasil', 'kebuka', 'mohon', 'segara', 'perbaiki', 'fix', 'terima', 'kasih']</t>
  </si>
  <si>
    <t>['puas', 'aplikasi', 'telkomsel', 'mempermuda', 'pembelian', 'pulsa', 'data', 'seluler', 'pokoknya', 'telkomsel', 'mantap']</t>
  </si>
  <si>
    <t>['pengalaman', 'pemakaian', 'buruk', 'paket', 'mahal', 'jaringan', 'sesuai', 'harga', 'paket', 'indosat', 'jaringannya', 'udh', 'luas', 'berpindah', 'provider', '']</t>
  </si>
  <si>
    <t>['aplikasinya', 'rusak']</t>
  </si>
  <si>
    <t>['gabisa', 'buka', 'aplikasinya', 'buka', 'aplikasi', 'telkomselnya', 'udah', 'benerin', 'gua', 'kasih', 'bintang', '']</t>
  </si>
  <si>
    <t>['jaringan', 'mohon', 'tingkatkan']</t>
  </si>
  <si>
    <t>['parah', 'sekrang', 'bda', 'sma', 'dlu', 'jringan']</t>
  </si>
  <si>
    <t>['rusak', 'telkom', 'beres', 'manajemen', 'terlambat', 'pelanggan', 'kabur', 'perbaiki', 'sistemnya', '']</t>
  </si>
  <si>
    <t>['aplikasi', 'telkomsel', 'bugus', '']</t>
  </si>
  <si>
    <t>['lemot', 'lambat', 'kualitas', 'internet', 'gnya', '']</t>
  </si>
  <si>
    <t>['kak', 'habis', 'update', 'telkom', 'pas', 'login', 'ngeblank', '']</t>
  </si>
  <si>
    <t>['sumpah', 'telkom', 'leg', 'parah', 'ganti', 'kartu', 'bro', 'tri', 'lancar', 'tolong', 'telkom']</t>
  </si>
  <si>
    <t>['saldo', 'pulsa', 'terpotong', 'tanla', 'notifikasi', 'kuota', 'internet', 'pakai', 'tekomsel', 'all', 'operator']</t>
  </si>
  <si>
    <t>['kpd', 'terhormat', 'telkomsel', 'pelanggan', 'telkomsel', 'sebulan', 'telkomsel', 'gangguan', 'sinyal', 'beli', 'paket', 'bulanan', 'mahal', 'sulit', 'tindakan', 'berhenti', 'telkomsel', '']</t>
  </si>
  <si>
    <t>['simpati', 'kaya', 'udah', 'mahal', 'sinyal', 'gada', 'ujan', 'pasahal', 'kota', 'bogor', 'parah', 'good', 'bye', 'telkomsel', 'kluarga', 'fix', 'pindah', 'laen', 'provider']</t>
  </si>
  <si>
    <t>['', 'telkomsel', 'kesan', 'waaaahhhh', 'beli', 'paket', 'data', 'bayar', 'ovo', 'data', 'nggak', 'nambah', 'saldo', 'ovo', 'amblas', 'kapok', 'nanya', 'telkomsel', 'syarat', 'nanya', 'ovo', 'nyuruh', 'nanya', 'telkomsel', 'gua', 'nanya', 'dukun', '']</t>
  </si>
  <si>
    <t>['parah', 'telkomselku', 'gabsa', 'buka']</t>
  </si>
  <si>
    <t>['jaringannya', 'tolong', 'stabil']</t>
  </si>
  <si>
    <t>['internet', 'lumayan', 'gercep', 'habis', 'update', 'aplikasi', 'telkomsel', 'dipake', 'alias', 'blank']</t>
  </si>
  <si>
    <t>['banget', 'sales', 'bilangnya', 'ganti', 'kartu', 'halo', 'gacocok', 'kartunya', 'jaringan', 'jelek', 'dahlah', 'nipu', 'orang', 'berkah', '']</t>
  </si>
  <si>
    <t>['telkomsel', 'jaringanya', 'super', 'mntp']</t>
  </si>
  <si>
    <t>['telkomsel', 'taik', 'jaringanya', 'ngelek', 'paketnya', 'mahal', 'didiskon', 'dimahalin', 'ngakak', 'dpkir', 'kartunya', 'doang', 'bgus', 'pindah', 'kartu', 'axis', 'mah', 'gb', 'snyalnya', 'ama', 'tlkom', 'dri', 'tlkom', 'taik', 'mahal', 'tpi', 'berkualitas']</t>
  </si>
  <si>
    <t>['min', 'tolong', 'perbaiki', 'keluhan', 'antrian', 'oke', 'tunggu', 'nunggu', 'tunggu', 'chat', 'bales', '']</t>
  </si>
  <si>
    <t>['suka', 'banget', 'aplikasi', 'beli', 'pulsa', 'beli', 'paket', 'gampang', 'pilihan', 'promo', '']</t>
  </si>
  <si>
    <t>['kualitas', 'sesuai', 'bintang', 'kasih', 'awokawok', '']</t>
  </si>
  <si>
    <t>['updet', 'buka', 'updet', 'buka', 'gimana', '']</t>
  </si>
  <si>
    <t>['mohon', 'maaf', 'berasa', 'maen', 'dalem', 'goa', 'yeee', 'kota', 'besarr', 'lohh', 'signal', 'dapet', 'emang', 'telkomsel', 'jelek', '']</t>
  </si>
  <si>
    <t>['sinyalnya', 'bagus', 'lemot', 'banget']</t>
  </si>
  <si>
    <t>['hancur', 'sekeluarga', 'berpaling', 'kartu', 'perdana', 'sebelah', 'selamat', 'tinggal', 'jaringan', 'jelassssss']</t>
  </si>
  <si>
    <t>['senang', 'banget', 'aplikasi', 'telkomsel', 'membeli', 'paket', 'ngecek', 'pulsa', 'paket', 'tolong', 'diubah', 'ubah', 'paketnya', 'murah', 'orang', 'orang', 'mohon', 'maaf', 'developers', 'semenjak', 'mytelkomsel', 'diperbarui', 'nggak', 'nginstal', 'perbarui', 'nggak', 'tampil', 'menunya', 'tolong', 'dibenerin', 'developers']</t>
  </si>
  <si>
    <t>['knpa', 'pas', 'buka', 'warna', 'putih', 'ajh', 'pdhl', 'paket', 'internet', 'msh', 'byk', 'jga', 'bsa', 'tpi', 'perbaharui', 'nggk', 'masuk', 'tolong', 'perbaiki', '']</t>
  </si>
  <si>
    <t>['telkomsel', 'parah', 'jaringan', 'internet', 'ngadat', 'mulu', 'gedek', 'mlahh', 'bagusan', 'paketnya', '']</t>
  </si>
  <si>
    <t>['sipp', 'bintang', 'bicara', 'bintang', 'menilai', '']</t>
  </si>
  <si>
    <t>['layar', 'apk', 'putih', 'udh', 'gini', 'tolong', 'respon']</t>
  </si>
  <si>
    <t>['setia', 'pakai', 'kartu', 'hallo']</t>
  </si>
  <si>
    <t>['maaf', 'sinyal', 'telkomsel', 'hilang', 'hilangan', 'beli', 'paket', 'mahal', 'mahal', 'fup', 'berguna', 'terima', 'kasih', 'telkomsel', 'ganti', 'sim']</t>
  </si>
  <si>
    <t>['tolonglah', 'paketan', 'kuota', 'pulsa', 'ludesin', 'buka', 'apps', 'telkomsel', 'sampe', 'habis', 'sisa', 'pulsa', 'dilahap', 'parah', 'banget', 'paketin', 'kuota', 'gagal', 'pulsanya', 'potong', 'tolonglah', 'aktifin', 'paket', 'doang', 'gratisin', '']</t>
  </si>
  <si>
    <t>['apl', 'telkomsel', 'buka', '']</t>
  </si>
  <si>
    <t>['tingkat', 'kualitas', 'jaringan']</t>
  </si>
  <si>
    <t>['telkomsel', 'maling', 'pulsa', 'yaa', 'good', 'job']</t>
  </si>
  <si>
    <t>['maaf', 'blank', 'putih', 'minggu', 'mohon', 'diperbaiki', 'susah', 'paketin', 'data', '']</t>
  </si>
  <si>
    <t>['jaringan', 'ngotak', 'butut', 'ampun', 'sinyal', 'fake', 'penuh', 'tpi', 'jaringan', 'kek', 'udah', 'dibayarin', 'mahal', 'paket', 'bela', 'belain', 'krna', 'bagus', 'dikecewain']</t>
  </si>
  <si>
    <t>['', 'isi', 'pulsa', 'masuk', 'masuk', 'cok']</t>
  </si>
  <si>
    <t>['adminnya', 'goblokkkkkk', 'doain', 'cepet', 'bangkrut', 'telkomsel', 'donlod', 'aplikasi', 'mlh', 'blsan', 'sms', '']</t>
  </si>
  <si>
    <t>['', 'mqntap']</t>
  </si>
  <si>
    <t>['', 'masuk', 'telkom', 'tolong']</t>
  </si>
  <si>
    <t>['jaringan', 'lelet', 'harga', 'kuotanya', 'mahal', '']</t>
  </si>
  <si>
    <t>['', 'mytelkomsel', 'gua', 'kaga', 'login', 'sihhhhhhhhhhhhhhhh']</t>
  </si>
  <si>
    <t>['indah']</t>
  </si>
  <si>
    <t>['mahal', 'harga', 'paketnya']</t>
  </si>
  <si>
    <t>['dibuka', 'aneh']</t>
  </si>
  <si>
    <t>['min', 'aplikasi', 'mytelkomsel', 'dibuka', 'mohon', 'bantuannya']</t>
  </si>
  <si>
    <t>['aplikasinya', 'pas', 'buka', 'cuman', 'layar', 'putih', 'doang']</t>
  </si>
  <si>
    <t>['lemot', 'sinyal', '']</t>
  </si>
  <si>
    <t>['kecewa', 'siyal', 'telkomsel', 'telkomsel', 'tolong', 'siyal', 'jangn', 'dtk', 'ngpain', 'klau', 'kekuatan', 'siyal', 'sprti', 'andai', 'siyal', 'daeraku', 'bernti', 'memakai', 'siyal', 'telkomsel', 'kecewa']</t>
  </si>
  <si>
    <t>['telkomsel', 'sinyal', 'lemot']</t>
  </si>
  <si>
    <t>['tingkatkan', 'kualitas', 'perbanyak', 'berbagi', 'rezeki', 'paket', 'kuota', 'pulsa', 'hadiah', 'dll', 'pelanggan', 'statusnya', 'mbr', 'telkomsel', 'wajib', 'berbenah', 'aplikasi', 'karna', 'lelet', 'buka', 'lelet', 'pindah', 'menu', 'lelet', 'provider', 'lelet', 'aplikasinya', 'salam', '']</t>
  </si>
  <si>
    <t>['aplikasi', 'berguna', 'buka', 'sehari', 'dibuka', 'sehari', 'buka', 'update', 'bermutu', 'kuota', 'habis', 'pulsa', 'habis', 'termakan', 'paketan', 'merugikan', 'pelanggan', 'tolong', 'tinjau', 'kebijakan', 'merugikan', 'pelanggan']</t>
  </si>
  <si>
    <t>['apk', 'dibuka', 'uninstal', 'instal', 'kebuka', '']</t>
  </si>
  <si>
    <t>['telkomsel', 'serba', 'merugikan', 'castemer', 'nguras', 'kouta', 'internet', 'pulsa', 'efisien', 'serba', 'syistem', 'telkomsel', 'pulsa', 'ambil', 'menggantikan', 'kerugian', 'klaim', 'penguna', 'telkomsel', '']</t>
  </si>
  <si>
    <t>['alhamdulillah', 'udah', 'kasih', 'poin', 'tdak', 'masuk', 'tdik', 'sya', 'udah', 'tkar', 'semoga', 'sya', 'beruntung', 'hadiahnya', 'amin', 'terima', 'kasih', '']</t>
  </si>
  <si>
    <t>['parah', 'banget', 'telkomsel', 'kalah', 'smartfren', 'udah', 'kaya', 'lancar']</t>
  </si>
  <si>
    <t>['tolong', 'perbaiki', 'sinyal', 'wilayah', 'bengkulu', 'kota', 'stabil']</t>
  </si>
  <si>
    <t>['kayak', 'trus', 'harga', 'paket', 'internety']</t>
  </si>
  <si>
    <t>['memuaskan', 'karna', 'oakai', 'kartu', 'telkomsel', '']</t>
  </si>
  <si>
    <t>['parah', 'telkomsel', 'harganya', 'mahalin', 'sinyalnya', 'kesini', 'ngotak', 'jeleknya']</t>
  </si>
  <si>
    <t>['paket', 'mahal', 'jaringan', 'bagus', 'berguna', 'pantesan', 'bumn', 'bangkrut', 'sdm', 'rendah', 'majunya', 'negara', 'klw', 'bumn', 'letoy']</t>
  </si>
  <si>
    <t>['tertipu', 'rayuan', 'speed', 'kencang', 'buktikan', 'kota', 'sampe', 'desa', 'milih', 'speed', 'keong', 'speed', 'telkomsel']</t>
  </si>
  <si>
    <t>['peningkatan', 'org', 'gampang', 'masuk', 'gampang', 'beli', 'data']</t>
  </si>
  <si>
    <t>['parah', 'banget', 'update', 'buka']</t>
  </si>
  <si>
    <t>['update', 'aplikasi', 'jadiscren', 'putih', 'buka', 'habis', 'update', 'pembaharuan', 'aplikasi', 'kadus', 'liat', 'responnya', 'kejelasan', '']</t>
  </si>
  <si>
    <t>['mengunakan', 'kartu', 'simpati', 'lma', 'digunakn', 'kemaren', 'tlpn', 'mengatasnamakan', 'kartu', 'hello', 'pindah', 'kartu', 'kartu', 'simpati', 'tindakan', 'telkomsel', 'fasilitas', 'cabut', 'pindah', 'kartu', 'hallo', 'tolong', 'kasih', 'info', 'bawahannya', 'bener', 'simpati', 'nonaktifkan', 'pakai', 'pkai', 'trkoneksi', 'kegiatan', 'dri', 'perbankan', 'dll']</t>
  </si>
  <si>
    <t>['aplikasi', 'dibuka', 'samsung', 'mohan', 'developer', 'bertanggung', 'atasi', 'apk', 'buka', 'warna', 'putih', 'tampil', 'layar', '']</t>
  </si>
  <si>
    <t>['puas', 'app', 'telkomsel']</t>
  </si>
  <si>
    <t>['menarik', 'hadiah', 'check', 'harian']</t>
  </si>
  <si>
    <t>['magic', 'link', 'gimana', 'coba', 'login', 'susah', 'pas', 'dibuka', 'linknya', 'pilihan', 'aplikasi', 'buka', 'tolong', 'fitur', 'multi', 'akun', 'double', 'login', 'nomor', 'telkomsel', 'iya', 'aplikasi', 'nomor', 'telkomsel', 'fitur', 'kaya', 'gini', 'kagak', 'dihubungi', 'via', 'bot', 'doang', 'orangnya', 'gatau', 'kemana', '']</t>
  </si>
  <si>
    <t>['', 'dibuka', 'diupdet']</t>
  </si>
  <si>
    <t>['sinyal', 'gajelas', 'babi', 'masuk', 'lancar', 'ngegame', 'ngelag', 'habis', 'ijo', 'merah', 'merah', 'ijo']</t>
  </si>
  <si>
    <t>['pagi', 'siang', 'sore', 'malam', 'beli', 'paketan', 'disuruhnya', 'ulangi', 'menit', 'beli', 'paparkan', 'beranda', '']</t>
  </si>
  <si>
    <t>['jaringan', 'telkomsel', 'kena', 'virus', 'corona', 'jaringan', 'telkomsel', 'kota', 'kampung', 'lelet', 'tutup', 'telkomsel', '']</t>
  </si>
  <si>
    <t>['gimana', 'aplikasinya', 'udah', 'buka', 'udah', 'hapus', 'donlot', 'buka', 'app']</t>
  </si>
  <si>
    <t>['bagus', 'risih', 'buka', 'kaya', 'suara', 'radio', 'sinyal', 'gitu', 'nth', 'emng', 'bug', 'fiturnya', 'karna', 'udh', 'cari', 'tetep', 'nemu', 'hilanginnya']</t>
  </si>
  <si>
    <t>['recomended', 'keluarga']</t>
  </si>
  <si>
    <t>['tingkatkan', 'pemerataan', 'promo']</t>
  </si>
  <si>
    <t>['aplikasi', 'dibuka', 'koneksi', 'internet', 'terganggu', 'harap', 'diatasi', 'mengganggu', '']</t>
  </si>
  <si>
    <t>['daftar', 'paket', 'combo', 'saktinya', 'daftar', 'kalinya', 'combo', 'saktinya', 'harga', 'paketnya', 'mahal', 'mahal', 'susah', 'buka', 'youtube', 'kirim', 'whatsapp', 'susah', 'terkirim']</t>
  </si>
  <si>
    <t>['aplikasi', 'buka', 'habis', 'update', 'knp', '']</t>
  </si>
  <si>
    <t>['aplikasi', 'membantu', 'pelanggan', 'telkomsel', 'paketanya', 'terjangkau']</t>
  </si>
  <si>
    <t>['membantu', 'banget']</t>
  </si>
  <si>
    <t>['update', 'aplikasinya', 'buka', '']</t>
  </si>
  <si>
    <t>['paket', 'membantu', 'driver', 'ojol']</t>
  </si>
  <si>
    <t>['knp', 'kacamatan', 'segeri', 'kab', 'pangkep', 'sulsel', 'jaringannya', 'tekomsel', 'jelek', 'banget', 'njing', 'goblok', 'udah', 'isi', 'data', 'mahal', 'njing', 'jaringannya', 'nggak', 'bagus', 'bintang', 'nyesel', 'ksh', 'jaringannya', 'asssuuuu']</t>
  </si>
  <si>
    <t>['setia', 'pakai', 'telkomsel', '']</t>
  </si>
  <si>
    <t>['ngirim', 'email', 'masuk', 'buka', 'telkomsel']</t>
  </si>
  <si>
    <t>['telkomsel', 'bangkruttttt', '']</t>
  </si>
  <si>
    <t>['semoga', 'lancar', 'pelosok']</t>
  </si>
  <si>
    <t>['terima', 'kasih', 'telkomsel', 'kasih', 'promo', 'kuota']</t>
  </si>
  <si>
    <t>['aplikasi', 'telkomsel', 'loading', 'nge', 'blank', 'bantuin', 'tel']</t>
  </si>
  <si>
    <t>['perbarui', 'aplikasi', 'dibuka', '']</t>
  </si>
  <si>
    <t>['paraaaaaaah', 'buka', 'udah', 'download', 'hapus', 'apk']</t>
  </si>
  <si>
    <t>['menyenangkan']</t>
  </si>
  <si>
    <t>['knapa', 'min', 'beli', 'voucher', 'tpi', 'disitunya', 'pke', 'regional', 'tpi', 'seblum', 'min', 'mohon', 'info', 'min']</t>
  </si>
  <si>
    <t>['apk', 'bgus', 'sinyalnya', 'ngebut', 'bget', 'joos', 'dech', 'telkomsel']</t>
  </si>
  <si>
    <t>['dibuka', 'jeleeek', 'banget']</t>
  </si>
  <si>
    <t>['kirain', 'doank', 'bermaslah', 'update', 'tolong', 'diperbaiki', 'pelanggan', 'setia', 'telkomsel']</t>
  </si>
  <si>
    <t>['vampir', 'pulsa', 'kuota']</t>
  </si>
  <si>
    <t>['buruk', 'aplikasi', 'nggak', 'buka', 'udah', 'berkali', 'unistal', 'instal', 'ulang', 'ttp', 'buka', '']</t>
  </si>
  <si>
    <t>['kuota', 'multimedia', 'slalu', 'lelet', 'cok', 'tolong', 'diperbaiki', 'anjenkkkk', 'pengguna', 'gue', 'kecewa', 'telkomnyet', '']</t>
  </si>
  <si>
    <t>['abis', 'update', 'aplikasinya', '']</t>
  </si>
  <si>
    <t>['lemot', 'mahal']</t>
  </si>
  <si>
    <t>['daily', 'chek', 'gabisa', 'klaim', 'mohon', 'bantuannya', 'telkomsel']</t>
  </si>
  <si>
    <t>['harga', 'paket', 'data', 'mahal', 'jaringan', 'leemotttt', 'tolong', 'donk', 'jaringan', 'daerah', 'perkotaan', 'lemot', '']</t>
  </si>
  <si>
    <t>['dak', 'buka', 'gimana', '']</t>
  </si>
  <si>
    <t>['minggu', 'error', 'layar', 'putih', 'coba', 'uninstall', 'download', 'ulang', 'miris']</t>
  </si>
  <si>
    <t>['loading', 'blank', 'putih', 'pas', 'buka', 'sampe', 'menit', 'tetep', 'aaja']</t>
  </si>
  <si>
    <t>['jaringan', 'kayak', 'paketan', 'mahal', 'kota', 'udah', 'kayak', 'hutan']</t>
  </si>
  <si>
    <t>['kenap', 'harga', 'kuotax', 'trus', 'trus', 'jaringan', 'limitedx', 'hancur', 'banget', 'paksa', 'pinda', 'smartfren', 'bgni', 'kasih', 'bintang', 'karna', 'memuaskan', 'hancur', 'banget', 'jaringan', 'hancur']</t>
  </si>
  <si>
    <t>['kartu', 'anjg', 'telkomsel', 'babi', 'giliran', 'push', 'leg', 'anjg', 'yatim', 'tll']</t>
  </si>
  <si>
    <t>['beli', 'paket', 'internet', 'mahal', 'yaa', 'beli', 'murah']</t>
  </si>
  <si>
    <t>['parah', 'habis', 'update', 'pagi', 'dibuka', '']</t>
  </si>
  <si>
    <t>['mengecewakan', 'paket', 'mahal', 'jaringan', 'lemot', 'parah', 'angin', 'hujan', '']</t>
  </si>
  <si>
    <t>['min', 'telkomselku', 'buka', 'udah', 'wifi']</t>
  </si>
  <si>
    <t>['telkomsel', 'semoga', 'lancar', 'jaya', 'memunculkan', 'promo', 'istimewa']</t>
  </si>
  <si>
    <t>['aplikasi', 'tolol']</t>
  </si>
  <si>
    <t>['bagus', 'apk']</t>
  </si>
  <si>
    <t>['semenjak', 'pindah', 'hallo', 'pas', 'disalesin', 'ngomong', 'sekian', 'regular', 'trs', 'sinya', 'local', 'kyk', 'pdahal', 'flexi', 'pakai', 'produkny', 'tlkm', 'pengin', 'pakai', 'regular', 'nomor', 'kagak', 'sistemnya', 'bagus', 'kaku', 'beud', 'trlalu', 'profit', 'oriented', 'nomor', 'regular', 'hangus', 'kasih', 'bintang', 'plus', 'ajak', 'keluarga', 'hrsnya', 'win', 'win', 'enak', 'pelanggan']</t>
  </si>
  <si>
    <t>['tolong', 'jaringan', 'diperbaiki', 'jaringan', 'jelek', 'udah', 'makai', 'telkomsel', 'jelek', 'harga', 'kuotanya', 'mahal', 'aplikasi', 'kadang', 'buka', 'blank']</t>
  </si>
  <si>
    <t>['udah', 'aplikasi', 'buka', '']</t>
  </si>
  <si>
    <t>['ngakak', 'kouta', 'nggak', 'main', 'facebook', '']</t>
  </si>
  <si>
    <t>['update', 'dibuka', 'tolong', 'diperbaiki', 'sinyal', 'bagus']</t>
  </si>
  <si>
    <t>['bintang', 'ajah', 'dlu', '']</t>
  </si>
  <si>
    <t>['harga', 'paket', 'mahal', 'parah', 'suka', '']</t>
  </si>
  <si>
    <t>['telkomsel', 'kartu', 'sultan', 'harga', 'paket', 'mahal', 'mahal', 'kualitas', 'jaringan', 'buruk', 'ngelag', 'stabil', '']</t>
  </si>
  <si>
    <t>['', 'bagus']</t>
  </si>
  <si>
    <t>['apk', 'dipakai', 'tolong', 'operatorny', 'dikondisikan', 'aplikasinya']</t>
  </si>
  <si>
    <t>['min', 'udh', 'kali', 'isi', 'pulsa', 'pulsanya', 'msuk', 'isi', 'pulsanya', 'bebeda', 'pdhal', 'laporannya', 'penjual', 'berhasil', 'pulsanya', 'gitu', '']</t>
  </si>
  <si>
    <t>['koneksinya', 'lag', 'bet']</t>
  </si>
  <si>
    <t>['buruk', 'abdet', 'tidsk', 'pakai', 'rusak', 'emang', '']</t>
  </si>
  <si>
    <t>['gimana', 'min', 'jaringan', 'internet', 'lag', 'bangett', 'beli', 'paket', 'tapii', 'udh', 'ngelag', 'banget', 'buka', '']</t>
  </si>
  <si>
    <t>['iya', 'bersahabat', 'tulisan', 'unlimited', 'paket', 'multimedia', 'lelet']</t>
  </si>
  <si>
    <t>['fungsinya', '']</t>
  </si>
  <si>
    <t>['mudah', 'app', 'seeppp', 'tingkatkan', '']</t>
  </si>
  <si>
    <t>['habis', 'update', 'nggak', 'dibuka', 'buka', 'bolak', 'ttp', 'nggak', 'warna', 'putih', 'trs', 'beli', 'kuota', 'nggak']</t>
  </si>
  <si>
    <t>['berabad', 'gue', 'pke', 'telkomsel', 'tpi', 'jaringan', 'perubahan', 'sllu', 'lemot', 'lag', 'sbagainya', 'dirumah', 'gua', 'deket', 'tower', 'telkomsel', 'tetep', 'lemot', 'sebenernya', 'niat', 'seh', 'telkomsel', 'ngasih', 'jaringan', 'cba', 'naikin', 'kwalitas', 'telkomsel', 'smakin', 'bukanya', 'lemot']</t>
  </si>
  <si>
    <t>['update', 'dibuka', 'stuck', 'layar', 'putih', 'semoga', 'telkomsel', 'cepat', 'memperbaikinya', 'terima', 'kasih', '']</t>
  </si>
  <si>
    <t>['memuaskan', 'tingkat']</t>
  </si>
  <si>
    <t>['eror', 'cek', 'kuota', 'unibstal', 'instal']</t>
  </si>
  <si>
    <t>['suka', 'lemot', 'bulak', 'log', '']</t>
  </si>
  <si>
    <t>['kecewa', 'jaringan', 'telkomsel', 'lelet', 'parah', 'kalah', 'jaringan', '']</t>
  </si>
  <si>
    <t>['', 'jaringanny', 'telkomsel', 'sekarangvtidak', 'stabil', 'sinyl', 'kalah', 'axis']</t>
  </si>
  <si>
    <t>['promo', 'poin', 'hilangkan', 'ngak', 'hadiah', 'telkomsel']</t>
  </si>
  <si>
    <t>['lunas', 'utang', 'pulsa', 'tagihan', 'menerus', 'tolong', 'tindak', '']</t>
  </si>
  <si>
    <t>['kemudahan', 'informasi', 'bermanfaat']</t>
  </si>
  <si>
    <t>['aplikasinya', 'pas', 'dibuka', 'muncul', 'tolong', 'aplk', 'diperbarui', 'eror', 'mulu']</t>
  </si>
  <si>
    <t>['koq', 'kebuka', 'blenk', 'putih']</t>
  </si>
  <si>
    <t>['diupdate', 'memuat', 'halaman', '']</t>
  </si>
  <si>
    <t>['jaringannya', 'suka', 'mati', 'bar', 'sinyal', 'penuh', 'tulisan', 'hilang', 'lokasi', 'kota', 'sinyalnya', 'bagus', 'lumayan', 'mengganggu', 'main']</t>
  </si>
  <si>
    <t>['', 'msh', 'dibuka', 'abis', 'diupdet', 'kaga', 'kebuka', 'yaa', 'tolong', '']</t>
  </si>
  <si>
    <t>['aplikasinya', 'dipakai', 'screen', 'putih', 'doang']</t>
  </si>
  <si>
    <t>['knpa', 'sush', 'masuk', 'login', 'tkmsel', '']</t>
  </si>
  <si>
    <t>['tlong', 'telkomsel', 'buka']</t>
  </si>
  <si>
    <t>['uda', 'mlas', 'kartu', 'telkomsel', 'harga', 'paketnya', 'mahal', 'smua', 'promo', 'paket', 'data', 'harganya', 'mahal', 'tmbah', 'sinyalnya', 'tolong', 'pertmbgkan', 'harganya', 'slm', 'ntt']</t>
  </si>
  <si>
    <t>['tolong', 'bantu', 'perbaiki', 'sinyal', 'internet', 'ditempat', 'andalkan', 'telkomsel', 'terimakasih', '']</t>
  </si>
  <si>
    <t>['mytelkomsel', 'terbaik', 'dlm', 'pelayanan']</t>
  </si>
  <si>
    <t>['update', 'mulu', 'kadang', 'minggu', 'bln', 'udah', 'update', 'kadang', 'telponan', 'suka', 'ilang', 'jaringannya', 'rumah', 'udah', 'ditengah', 'kota', '']</t>
  </si>
  <si>
    <t>['tolong', 'upgrade', 'lagii', 'akuu', 'pengguna', 'setia', 'telkomsel', 'habis', 'upgrade', 'jade', 'putih', 'ajaaa', 'sedihhh', 'tolonh', 'perbaiki']</t>
  </si>
  <si>
    <t>['sinyal', 'telkomsel', 'parah', 'tolong', 'perbaiki', 'peminat', 'sinyal', 'buruk', 'sinyal', 'bagus', 'tower', 'jangkaun', 'susah']</t>
  </si>
  <si>
    <t>['tolong', 'aplikasi', 'aptude', 'trs', 'iya', 'seminggu', 'kali', 'tolong', 'aptude', 'minggu', 'aptude', 'trs', 'kasihan', 'penggunaan', 'telkomsel', 'ngabdet', 'trs', 'hadeh', 'kasih', 'bintang', '']</t>
  </si>
  <si>
    <t>['tolong', 'mode', 'gelap']</t>
  </si>
  <si>
    <t>['mananih', 'paketnya', 'dapet']</t>
  </si>
  <si>
    <t>['kasih', 'bintang', 'bru', 'didownload']</t>
  </si>
  <si>
    <t>['parah', 'telkomsel', 'gangguan', 'paketannya', 'mahal', 'pas', 'enak', 'maen', 'game', 'sinyal', 'ilang', 'ngeselin', 'harga', 'sesuai', 'kualitas']</t>
  </si>
  <si>
    <t>['telkomsel', 'bagus', 'uni', 'versitasi']</t>
  </si>
  <si>
    <t>['telkomsel', 'lemot', 'jaringan', 'ilang']</t>
  </si>
  <si>
    <t>['aplikasi', 'initidak', 'buka', 'kecewa', 'mohon', 'perbaiki', 'knp', 'masinh', 'ngeblang']</t>
  </si>
  <si>
    <t>['membantu', 'terimakasih', '']</t>
  </si>
  <si>
    <t>['peraktis', 'bangets', 'paket', 'murah']</t>
  </si>
  <si>
    <t>['wagela', 'telkom', 'bagus', 'jaringannya']</t>
  </si>
  <si>
    <t>['bagus', 'menyukai']</t>
  </si>
  <si>
    <t>['wihh', 'enak', 'tinggal', 'pulsa', 'tinggal', 'beli', 'pulsa', 'beli', 'paket', 'trims', 'telkomsell', 'semangat', 'negara', 'tercinta', 'negara', 'maju', 'teknologi']</t>
  </si>
  <si>
    <t>['', 'update', 'erroorrr']</t>
  </si>
  <si>
    <t>['tes', 'dlu', 'kali', 'moga', 'memuaskan', '']</t>
  </si>
  <si>
    <t>['sinyal', 'simpati', 'mengecewakan', 'klp', 'gading', 'pulogadung', 'priok', 'bandung', 'asli', 'jelek', 'kalah', 'dipake', 'anak', 'abg', 'kuotanya', 'mahal', 'sinyal', 'jamin', '']</t>
  </si>
  <si>
    <t>['parah', 'telkomsel', 'udah', 'mahal', 'sinyal', 'lemot', 'herankan', 'poin', 'telko', 'nukar', 'tetep', 'pakai', 'prabayar', 'gitu', 'aktif', 'semingguan', 'mahal', 'murah', 'karna', 'korona', 'mahal', 'tolong', 'koreksi', 'sinyal', 'poin', 'murah', 'dikit', '']</t>
  </si>
  <si>
    <t>['koneksi', 'internet', 'buruk']</t>
  </si>
  <si>
    <t>['minggunya', 'paket', 'gratis', 'kak', 'menukar', 'poin', 'udah', 'berlangganan', 'telkomsel', 'ngak', 'bonus', 'exsis', 'minggunya', 'paket', 'hri', 'gratis']</t>
  </si>
  <si>
    <t>['sgt', 'membantu']</t>
  </si>
  <si>
    <t>['layanan']</t>
  </si>
  <si>
    <t>['ndak', 'buka', 'seminggu', 'lancar', 'update', 'ndak', 'perubahan', 'cek', 'pulsa', 'manual', 'ndak', 'pulsa', 'habis', 'disedot', 'mohon', 'ditindak', 'pakai', 'telkomsel', 'kali', 'komplain']</t>
  </si>
  <si>
    <t>['maintenance', 'aplikasinya', 'ngeblank', 'putih', 'bbrp', '']</t>
  </si>
  <si>
    <t>['masuk', 'apk', 'mytelkomsel', '']</t>
  </si>
  <si>
    <t>['rusakkkk', 'paket', 'mahal', 'sinyal', 'susahhhhhh']</t>
  </si>
  <si>
    <t>['telkomsel', 'udah', 'mingguan', 'dibuka', 'dibuka', 'cuman', 'white', 'screen', 'udah', 'cobak', 'uninstall', 'install', 'ulang', 'tetep', 'dibuka', '']</t>
  </si>
  <si>
    <t>['mohon', 'jaringan', 'perbaiki', 'lagii', '']</t>
  </si>
  <si>
    <t>['senang', 'telkomsel', 'mudah', 'bonus', 'poin', '']</t>
  </si>
  <si>
    <t>['tolong', 'kasih', 'murah', 'dunk', 'promo', 'promonya', 'puluhan', 'langganan']</t>
  </si>
  <si>
    <t>['update', 'buka', 'apk', 'trus', 'sya', 'hapus', 'downlod', 'tetep', 'work']</t>
  </si>
  <si>
    <t>['parah', 'mahal', 'skrg', 'telkomsel', 'jaringan', 'ilang', 'memuaskan', 'telkomsel', 'skrg', 'beli', 'paket', 'mahal', 'memuaskan', 'pelanggan', 'enakin', 'pejabat', 'telkomsel', 'bkn', 'muasin', 'rakyat', 'cekik', 'gini', '']</t>
  </si>
  <si>
    <t>['pulsa', 'hilang', 'kemana', 'tidk', 'pemberitahuan', 'transaksi']</t>
  </si>
  <si>
    <t>['update', 'aplikasi', 'diakses', 'menampilkan', 'white', 'screen', 'kemidian', 'aplikasi', 'tertutup', 'user', 'keluhan', 'update', 'desember', 'tolong', 'diperbaiki', 'terima', 'kasih', '']</t>
  </si>
  <si>
    <t>['', 'minggu', 'aplikasi', 'telkomsel', 'buka', 'gimana', 'perusahaan', 'telkom', 'blm', 'progres', 'terkait', 'gangguan', 'aplikasinya', 'aneh']</t>
  </si>
  <si>
    <t>['kuota', 'mahal', 'jaringan', 'lelet', 'telkomsel', 'promo', 'jaringan', 'lelet', 'kayak', 'siput', 'komen', 'kayak', 'gini', 'tanggepin']</t>
  </si>
  <si>
    <t>['kuotanya', 'murahin']</t>
  </si>
  <si>
    <t>['hbs', 'update', 'aplikasi', 'kebuka']</t>
  </si>
  <si>
    <t>['semenjak', 'jaringan', 'indihome', 'masuk', 'jaringan', 'ancur', 'harga', 'mahal', 'quality', 'peningkatan', 'dikit', 'gangguan', 'pindah', 'kartu', 'ajalah', '']</t>
  </si>
  <si>
    <t>['cok', 'ngulang', 'mulu', 'download', 'susah', 'banget']</t>
  </si>
  <si>
    <t>['aplikasi', 'telkomsel', 'buka', 'aplikasinya', 'gaada', 'layar', 'putih', 'udah', 'coba', 'unistal', 'instal', 'berkali', 'kali', 'tetep', 'gabisa', 'tolong', 'telkomsel', 'diperbaiki', 'butuh', 'banget', 'aplikasi', '']</t>
  </si>
  <si>
    <t>['sukses']</t>
  </si>
  <si>
    <t>['knpa', 'dibuka', 'berulang', 'kali', 'install', 'tetep']</t>
  </si>
  <si>
    <t>['woii', 'diambilin', 'pulsa', 'gua', 'gua', 'ngisi', 'pulsa', 'sengaja', 'isi', 'ulang', 'kuota', 'sedot', 'pulsa', 'gua', 'bangke', 'kaya', 'gitu', 'gua', 'gua', 'buang', 'kartu', 'telkomsel', 'gua', 'ganti', 'kartu', 'perdana', '']</t>
  </si>
  <si>
    <t>['', 'telkomsel', 'terimakasih', 'kouta', 'murah']</t>
  </si>
  <si>
    <t>['', 'update', 'hancur']</t>
  </si>
  <si>
    <t>['apknya', 'bsa', 'buka', 'error', 'blank', 'putih', '']</t>
  </si>
  <si>
    <t>['apk', 'dibuka', 'layar', 'putih', 'download', 'hapus', 'perubahan']</t>
  </si>
  <si>
    <t>['', 'dlu', 'hehehe']</t>
  </si>
  <si>
    <t>['parah', 'eror', 'dibuka', '']</t>
  </si>
  <si>
    <t>['payah', 'pemberhentian', 'paket', 'internet', 'gerai', '']</t>
  </si>
  <si>
    <t>['', 'pulsa', 'gua', 'kesedot', 'bajing', 'kaga', 'setting', 'pulsa', 'kuota', 'gua', 'abis', '']</t>
  </si>
  <si>
    <t>['pulsanya', 'kesedot', 'beli', 'kuota', 'utang', 'pulsa', 'daruratnya', 'kecewa', '']</t>
  </si>
  <si>
    <t>['abis', 'download', 'ngga', 'buka', 'aneh']</t>
  </si>
  <si>
    <t>['telkom', 'jaringanya']</t>
  </si>
  <si>
    <t>['parah', 'banget', 'telkomsel', 'tekomsel', 'buka', 'cek', 'kuota', 'udah', 'lapor', 'ajah', 'pindah', 'provider']</t>
  </si>
  <si>
    <t>['telkomsel', 'paket', 'otomatis', 'terbayarkan', 'tampa', 'diklik', 'pembelian', 'perpanjangan', 'otomatis', 'dicek', 'history', 'pembelian', 'cek', 'deskripsi', 'pembelian', 'peket', 'sesuai', 'harga', 'gb', 'gila', 'telkomsel', 'mentang', 'mentang', 'jaringan', 'telkomsel', 'tersedia', '']</t>
  </si>
  <si>
    <t>['transparan', 'puas']</t>
  </si>
  <si>
    <t>['minus', 'nilainya', 'kasih', 'minus', 'komplain', 'sinyal', 'perbaikan', 'keunggulan', 'telkomsel', 'harga', 'paket', 'mahal']</t>
  </si>
  <si>
    <t>['harga', 'paketnya', 'stabilin', 'mentang', 'taun', 'paketnya', 'mahalin', '']</t>
  </si>
  <si>
    <t>['sinyal', 'jelek', 'paket', 'mahal', 'hadooh']</t>
  </si>
  <si>
    <t>['mahal', 'harganya', 'gara', 'gara', 'tinggal', 'pelosok', 'telkomsel', 'udah', 'ganti', 'kartu']</t>
  </si>
  <si>
    <t>['hallo', 'admin', 'telkomsel', 'diakses', 'white', 'screen']</t>
  </si>
  <si>
    <t>['kepelosok', 'negeri', 'ngga', 'susah', 'telkomsel', '']</t>
  </si>
  <si>
    <t>['', 'telkomsel', 'knpa', 'putih', 'layar', 'buka', 'menunya', 'skrg']</t>
  </si>
  <si>
    <t>['simpel', 'mudah', 'sellu', 'paket', 'promo', 'pokonya', 'jos', 'telcomsel']</t>
  </si>
  <si>
    <t>['admin', 'telkomsel', 'tarif', 'pulsa', 'non', 'paket', 'gua', 'beli', 'pulsa', 'ribu', 'kena', 'tarif', 'pulsa', 'non', 'paket', 'ribu', 'ribu', 'pulsa', 'gua', 'ribu', 'gua', 'beli', 'kuota', 'sek', 'harga', 'ribu', 'aktifin', 'tarif', 'pulsa', 'non', 'paket', 'tolong', 'admin', 'telkomsel', 'dibenerin', 'isi', 'pulsa', 'gitu', 'gini', 'hadeh']</t>
  </si>
  <si>
    <t>['sinyal', 'telkom', 'jelek']</t>
  </si>
  <si>
    <t>['astaga', 'jaringan', 'telkomsel', 'beli', 'paket', 'mahal', 'jaringan', 'bagus', 'telkomsel', 'jaringan', 'low', 'mohon', 'bantu', 'main', 'game', 'nonton', 'dll', 'loading', 'loadingnya', 'jam', 'main', 'game', 'sampe', 'orang', 'orang', 'dulunya', 'suka', 'telkomsel', 'pindah', 'tindak', 'lanjutti']</t>
  </si>
  <si>
    <t>['satunya', 'provider', 'telkomsel', 'beli', 'kuota', 'sinyal', 'penuh', 'kebanyakan', 'makan', 'kuota', 'haram', 'telkomsel']</t>
  </si>
  <si>
    <t>['semoga', 'sinyall', 'nge', 'game']</t>
  </si>
  <si>
    <t>['paket', 'mahal', 'speed', 'lemot']</t>
  </si>
  <si>
    <t>['kemudahan', 'transaksi']</t>
  </si>
  <si>
    <t>['pulsa', 'tinggal', 'sisa', 'penukaran', 'poin', 'poin', 'paket', 'gb', 'mah', 'poin', 'hilang', 'pulsa', 'hilang', '']</t>
  </si>
  <si>
    <t>['mytelkomsel', 'transaksi', 'mudah', 'cepat', 'terpercaya', '']</t>
  </si>
  <si>
    <t>['turunin', 'karna', 'perubahan', 'skali', 'wilayah', 'papua', 'wamena', 'telkomsel', 'mahal', 'penukaran', 'paket', 'jaringan', 'buruk', 'klau', 'petugas', 'telkomsel', 'alasan', 'bau', 'politik', 'dalamnya', 'telkomsel', 'perubahan', 'skali', 'kedepanya', 'ribut', 'telkomsel', 'lapor', 'berwajib', 'cabut', 'usahanya', '']</t>
  </si>
  <si>
    <t>['', 'telkomsel', 'update', 'dibuka', '']</t>
  </si>
  <si>
    <t>['telkomsel', 'jaringan', 'susah', 'baget', 'kirain', 'puya', 'doang', 'laen', 'iya', 'tolong', 'perbaiki']</t>
  </si>
  <si>
    <t>['masuk', 'aplikasi', 'telkomsel', 'ngeblank', 'update', '']</t>
  </si>
  <si>
    <t>['bsa', 'layarnya', 'putih', 'putih', 'beli', 'paket', 'suka', 'lelet', 'telkomsel', 'main', 'game', 'pengguna', '']</t>
  </si>
  <si>
    <t>['apk', 'telkomsel', 'bagus', 'membantu']</t>
  </si>
  <si>
    <t>['update', 'telkomsel', 'dipakai', 'update', 'tolong', 'min', 'perbaikan', 'kasih', 'solusi', 'telkomsel']</t>
  </si>
  <si>
    <t>['sngat', 'membantu']</t>
  </si>
  <si>
    <t>['apk', 'kebuka', 'gmn', 'nie', 'telkomsel', 'perbarui', 'kebuka']</t>
  </si>
  <si>
    <t>['lucu', 'nait', 'isi', 'pulsa', 'beli', 'paket', 'paketnya', 'ilang', 'sehabis', 'isi', 'pulsa', 'mohon', 'perbaiki', 'dev']</t>
  </si>
  <si>
    <t>['tolong', 'permurah', 'harga', 'kuota', 'datanya']</t>
  </si>
  <si>
    <t>['yak', 'telkomsel', 'samsung', 'buka', 'udah', 'hapus', 'instal', 'sampe', 'jaringan', 'normal', 'paketin', 'susah', 'tolong', 'perbaiki', 'keluhan', 'customer', 'tolong', 'baca', 'gaji', 'customer', 'sekian', 'demoga', 'tanggapan']</t>
  </si>
  <si>
    <t>['abdet', 'udah', 'buka', 'telkomselnya', 'parah']</t>
  </si>
  <si>
    <t>['telkomsel', 'semoga', 'maju', 'kebutuhan', 'kuota', 'saudara', 'diluar', 'makasi', 'telkomsel', 'balas', 'mimin']</t>
  </si>
  <si>
    <t>['udah', 'sinyal', '']</t>
  </si>
  <si>
    <t>['apk', 'kgk', 'dibuka', '']</t>
  </si>
  <si>
    <t>['update', 'buka', 'apk', 'sya', 'pakai', 'samsung', '']</t>
  </si>
  <si>
    <t>['mudah', 'pembelian', 'paket', 'data']</t>
  </si>
  <si>
    <t>['kuato', 'murah']</t>
  </si>
  <si>
    <t>['', 'telkom', 'tanyak', 'paket', 'combo', 'knp', 'jaringan', 'ngelak', 'perubahan', 'poin', 'gua', 'hilang', 'udah', 'platinum', 'gua', 'kelebihanya', 'patinum', 'gold', 'silver', 'taik', 'intinya', 'bukanya', 'prioritasin', 'mahalin', 'paketan']</t>
  </si>
  <si>
    <t>['jaringannya', 'tolong', 'setolong', 'tolongnya', 'perbaiki', 'kadang', 'main', 'game', 'ngelag', 'tolong', 'telkomsel', 'jaringan', 'bagus']</t>
  </si>
  <si>
    <t>['error', 'susah', 'masuk', 'ngeblank', 'reinstall', 'capekk', 'tlg', 'maintenance', 'softwarenya', '']</t>
  </si>
  <si>
    <t>['pas', 'perbaharui', 'buka', 'gua', 'hapus', 'gua', 'download', 'kebukak', 'jga', 'ntah']</t>
  </si>
  <si>
    <t>['tolong', 'kasih', 'penjelasan', 'beli', 'kuota', 'menghabiskan', 'kuota', 'buka', 'sms', 'mengunakan', 'akses', 'tarif', 'non', 'paket', '']</t>
  </si>
  <si>
    <t>['terbilang', 'mahal', 'paketnya']</t>
  </si>
  <si>
    <t>['telkomsel', 'semangkin', 'mahal', 'paket', 'internet', 'serba', 'mahal', 'kualitas', 'ttp', 'buruk', 'pelanggan', 'boss']</t>
  </si>
  <si>
    <t>['sya', 'menabahkan', 'bintang', 'undiannya', 'palsu', 'bohong']</t>
  </si>
  <si>
    <t>['manteblah', 'pokok', '']</t>
  </si>
  <si>
    <t>['beli', 'kuota', 'internet', 'aktif', 'terkadang', 'tarif', 'pulsa', 'internet']</t>
  </si>
  <si>
    <t>['kuota', 'mahal', 'kecepatan', 'minim', 'signal', 'buruk']</t>
  </si>
  <si>
    <t>['parah', 'jaringan']</t>
  </si>
  <si>
    <t>['jaringan', 'lelet', 'kouta', 'telkomsel', 'mahal', 'harganya', 'gax', 'kaya', 'dlu', 'harga', 'murah', 'jaringan', 'ngebut', 'tolong', 'kondisikan']</t>
  </si>
  <si>
    <t>['pelayanan', 'buruk', 'lapor', 'pusat', 'telkomsel', 'respon', 'kecepatan', 'kb', 'udah', 'gitu', 'paketannya', 'mahal']</t>
  </si>
  <si>
    <t>['gayanya', 'jaringan', 'main', 'game', 'lelet', 'sihh', 'iklan', 'knapa', 'jaringannya', 'gituuu', 'ayolah', 'perbaiki', 'jaringannya', 'maunya', 'usaha', 'lancar', 'kualitasnya', 'ginii', 'payah', '']</t>
  </si>
  <si>
    <t>['ngasih', 'birang', 'hadiah', 'mobil', 'mytelkomsel']</t>
  </si>
  <si>
    <t>['telkomsel', 'error', 'kemarin', 'aplikasi', 'blank', 'putih', 'mengecewakan', '']</t>
  </si>
  <si>
    <t>['pulsaku', 'hilang', 'top', 'koin', 'sisa', 'knpa', 'tolong', 'pencerahan']</t>
  </si>
  <si>
    <t>['pengguna', 'setia', 'telkomsel', 'telkomsel', 'apps', 'buka', 'ngebleng', 'white', 'screen', 'jeda', '']</t>
  </si>
  <si>
    <t>['mantap', 'beli', 'paket', 'nelpon', 'sepuasnya', 'harga', 'terjangkau', 'maksih', 'telkomsel']</t>
  </si>
  <si>
    <t>['apps', 'bgs', 'debat', '']</t>
  </si>
  <si>
    <t>['daily', 'check', 'error', 'check', 'desember', 'januari']</t>
  </si>
  <si>
    <t>['tambahkan', 'promo', 'promo', 'spesial', 'mimin', 'terimakasi', 'kasih', 'bintang', 'puas', '']</t>
  </si>
  <si>
    <t>['mantap', 'paket', 'internetnya', 'turunin', 'harganya', 'rb', 'nomer', 'sebelah', 'yaaa', 'jooss']</t>
  </si>
  <si>
    <t>['hallo', 'selamat', 'malam', 'admin', 'tolong', 'aplikasi', 'telkomsel', 'buka', '']</t>
  </si>
  <si>
    <t>['woy', 'bener', 'jaringan', 'masuk', 'akal', 'jaringan', 'tetep', 'ngeleg', 'kuota', 'kek', 'suruh', 'apalah', 'langsung', 'ngeleg', 'kesel', 'kali', 'udah', 'kali', 'komentar', 'jaringannya', 'ngeleg', 'tetep', 'bales', 'ahh', 'usahlah', 'pakek', 'telkomsel', 'jaringannya']</t>
  </si>
  <si>
    <t>['sdah', 'kualitas', 'jaringan', 'buruk', 'harga', 'recommended', '']</t>
  </si>
  <si>
    <t>['jdi', 'poin', 'tukar', 'cuman', 'tukar']</t>
  </si>
  <si>
    <t>['mantap', 'responnya']</t>
  </si>
  <si>
    <t>['kali', 'beli', 'pulsa', 'cashback', 'isi', 'gimana', 'sihh', '']</t>
  </si>
  <si>
    <t>['telkomsel', 'ngelag', 'buka', 'lag', 'buka', 'game', 'lag', 'buka', 'sosmed', 'lag', 'kasi', 'bintang', '']</t>
  </si>
  <si>
    <t>['minto', 'tolong', 'telkomsel', 'jaringannya', 'diperbaiki', 'pengguna', 'telkomsel', 'jaringannya', 'susah', 'banget', 'telpon', 'vidio', 'call', 'bunyi', 'tut', 'tut', 'jaringannya', 'bagus', 'kartu', 'telkomsel', 'layanan', 'daripagi']</t>
  </si>
  <si>
    <t>['aplikasi', 'bagus', 'memudahkan', 'pengguna', 'telkomsel', 'loading', 'data', 'kuata', 'wifi', '']</t>
  </si>
  <si>
    <t>['udah', 'diinstal', 'dibuka', '']</t>
  </si>
  <si>
    <t>['paket', 'mahaal', 'kntl']</t>
  </si>
  <si>
    <t>['parah', 'telkomsel', 'harga', 'paket', 'kesini', 'kartu', 'udah', 'murah', 'mahal', 'fixs', 'ganti', 'operator', 'paket', 'data', '']</t>
  </si>
  <si>
    <t>['telkomsel', 'buka', 'layar', 'putih', 'tolong', 'dibenerin', 'apknya']</t>
  </si>
  <si>
    <t>['bermanfaat', 'membantu', '']</t>
  </si>
  <si>
    <t>['', 'mantap', 'tingkatkan', 'murah']</t>
  </si>
  <si>
    <t>['uninstal', 'instal', 'ulang', 'dibuka', 'tolong', 'diperbaiki', 'aplikasi', 'tellomsel', 'thanks', '']</t>
  </si>
  <si>
    <t>['update', 'pakai', 'update']</t>
  </si>
  <si>
    <t>['samaaa', 'pngguna', 'samsung', 'update', 'kemarin', 'aplikasi', 'telkomsel', 'eror', 'blank', 'trs', 'mohon', 'tindak', 'terimakasih']</t>
  </si>
  <si>
    <t>['jaringan', 'suka', 'hilang', 'stabil']</t>
  </si>
  <si>
    <t>['sinyal', 'burik', 'parah', 'harga', 'mahal', 'kualitas', 'rendah', '']</t>
  </si>
  <si>
    <t>['dibuka', 'mending', 'hapus', 'play', 'store']</t>
  </si>
  <si>
    <t>['membantu', 'dngn', 'telkomsel', 'mengisi', 'data', 'internet', '']</t>
  </si>
  <si>
    <t>['alhamdulillah', 'mantul', 'telkomsel', 'merasakan', 'hadiah', 'telkomsel']</t>
  </si>
  <si>
    <t>['knpa', 'selatah', 'update', 'nii', 'apk', 'dibuka', 'cek', 'kouta', 'perbaiki', 'hapus', 'apk', 'dri', 'playstore', 'jaringannya', 'tmbh', 'jelek']</t>
  </si>
  <si>
    <t>['membantu', 'mantap', 'smoga', 'redem', 'poin', 'dpat', 'hadiah']</t>
  </si>
  <si>
    <t>['asli', 'tolol', 'jaringan', 'lemot', 'karuan', 'gerakin', 'tangan', 'dikit', 'ilang', 'jaringan', 'gabisa', 'masuk', 'sim', 'alesan', 'sesi', 'sesi', 'woy', 'cek', 'kuota', 'doang', 'ampe', 'emosi', 'gblk', 'emang', 'telkomnyet']</t>
  </si>
  <si>
    <t>['mudah', 'transaksi', '']</t>
  </si>
  <si>
    <t>['pakok', 'mantap', 'banget']</t>
  </si>
  <si>
    <t>['aplikasi', 'lemot', 'masuk', '']</t>
  </si>
  <si>
    <t>['update', 'versi', 'aplikasi', 'blank', 'terpaksa', 'instal', 'versi', 'hadeuhhh', 'mohon', 'diperbiki']</t>
  </si>
  <si>
    <t>['jaringan', 'telkomsel', 'kualitas', 'buruk', 'paket', 'mahal', 'kualitas', 'jaringan', 'sampah', '']</t>
  </si>
  <si>
    <t>['akses', 'telkomsel', 'area', 'pasaman', 'barat']</t>
  </si>
  <si>
    <t>['susah', 'beli', 'pulsa', 'beli', 'paket', 'keterangan', 'gangguan', 'koneksi', 'berkali', 'kali', 'slalu', '']</t>
  </si>
  <si>
    <t>['tarif', 'mahal', 'pro', 'rakyat', 'signal', 'jelek', '']</t>
  </si>
  <si>
    <t>['tingkatkan', 'jaringan']</t>
  </si>
  <si>
    <t>['bagus', 'responya']</t>
  </si>
  <si>
    <t>['kuota', 'mahal', 'jaringan', 'lemod']</t>
  </si>
  <si>
    <t>['', 'buka', 'sia', 'sia', 'download', 'bukaaaaa']</t>
  </si>
  <si>
    <t>['beli', 'pulsa', 'gopay', 'gagal', 'mulu', '']</t>
  </si>
  <si>
    <t>['parah', 'nggak', 'buka', 'aplikasinya', 'tolonglah', 'hargai', 'pelanggan', '']</t>
  </si>
  <si>
    <t>['update', 'dibuka', 'mohon', 'diperbaiki', '']</t>
  </si>
  <si>
    <t>['kembangkan', 'tranfer', 'pulsa', 'kuota']</t>
  </si>
  <si>
    <t>['knp', 'telkomsel', 'dibuka', 'coba', 'dng', 'dibuka', 'coba', 'uninstal', 'donwload', 'ulang', 'ttp', 'dibuka', '']</t>
  </si>
  <si>
    <t>['sipp', 'internetnya', 'cepat']</t>
  </si>
  <si>
    <t>['kecewa', 'telkomsel']</t>
  </si>
  <si>
    <t>['abis', 'update', 'isa', 'buka', 'parah', 'bat', '']</t>
  </si>
  <si>
    <t>['bagus', 'banget', 'murah', 'kode', 'dial']</t>
  </si>
  <si>
    <t>['singal', 'suka', 'ngilang']</t>
  </si>
  <si>
    <t>['', 'gtu']</t>
  </si>
  <si>
    <t>['pecuma', 'tlkomsel', 'kalou', 'gini', 'pondah', 'jngan', 'pke', 'telkomsel', 'gua', 'trakhir', 'pke', 'telkomsel', 'beban', 'telkomsel', 'jaringn', 'jelek', 'dusah', 'masuk', 'paket', 'tutup', 'skalian', 'telkomsel']</t>
  </si>
  <si>
    <t>['paket', 'gb', 'cepet', 'abis', 'paket', 'murah', 'rating', 'bintang', '']</t>
  </si>
  <si>
    <t>['baguss', 'kenpa', 'ngga', 'kbukaa']</t>
  </si>
  <si>
    <t>['harga', 'paket', 'mohon', 'turunin']</t>
  </si>
  <si>
    <t>['sayang', 'lelet']</t>
  </si>
  <si>
    <t>['banget', '']</t>
  </si>
  <si>
    <t>['pulsa', 'habis', 'sekejap', 'paket', 'utama', 'habis', 'coba', 'contoh', 'provider', 'kuota', 'habis', 'memakan', 'pulsa', '']</t>
  </si>
  <si>
    <t>['hei', 'developer', 'aplikasi', 'gabisa', 'dibuka', 'update', 'terbaru', 'memperbaiki', 'memperburuk']</t>
  </si>
  <si>
    <t>['bagus', 'banget', 'pengguna', 'kartu', 'telkomsel']</t>
  </si>
  <si>
    <t>['tolong', 'systemnya', 'perbaiki', 'udh', 'isi', 'pulsa', 'masuk', 'isinya', 'shopee', 'satunya', 'knpa', 'pas', 'masuk', 'apk', 'layar', 'jdi', 'putih']</t>
  </si>
  <si>
    <t>['aplikasi', 'beli', 'paket', 'apapun', 'coba', 'coba', 'ngadain', 'promo', 'ujung', 'beli', 'aplikasi', 'buruk', 'download', 'mending', 'deh', 'buang', '']</t>
  </si>
  <si>
    <t>['mantap', 'promo', 'murah']</t>
  </si>
  <si>
    <t>['sinyalnya', 'ditingkatkan']</t>
  </si>
  <si>
    <t>['pusing', 'apgret', 'tamba', 'bagus', 'tamba', 'pusing', 'masuk', 'aplikasi', 'trabisa', 'telpon', 'call', 'center', 'tamba', 'pusing', 'suruh', 'pengaturan', 'coba', 'trabisa', 'baek', 'pinda', 'pilian', 'tra', 'kasi', 'bintang', 'pilih', 'karna', 'puas']</t>
  </si>
  <si>
    <t>['aplikasinya', 'update', 'dibuka', 'hapus', 'cache', 'instal', 'ulang', 'tetep']</t>
  </si>
  <si>
    <t>['tolong', 'perbaiki', 'pelanggan', 'kecewa', 'kak', 'jaringan', 'jelek', 'harga', 'paket', 'membutuhkan', 'harga', 'bingung', 'beli', 'telkomsel', 'daerah', 'tolong', 'banget', 'kak', 'selesaikan', 'tuntas', 'menyuruh', 'chat', 'tpi', 'respon', 'lambat', 'ksh', 'bntang', 'memperbaiki', 'sprti', 'bntang', '']</t>
  </si>
  <si>
    <t>['kemudahhan', 'pengguna', 'aplikasinya', 'oke']</t>
  </si>
  <si>
    <t>['', 'updete', 'dibuka', 'putih', 'trus', 'layarnya', 'updete', 'aman', 'nyesel', 'gue', 'updete', 'tolong', 'perbaiki']</t>
  </si>
  <si>
    <t>['knp', 'skrng', 'leg', 'tlng', 'leg']</t>
  </si>
  <si>
    <t>['', 'perbarui', 'dibuka', 'hadeh']</t>
  </si>
  <si>
    <t>['abis', 'diupdate', 'nggak', 'dibuka', 'payah', 'app', '']</t>
  </si>
  <si>
    <t>['provider', 'indonesia', 'apk', 'knp', 'sampah', 'udah', 'hapus', 'instal', 'ulang', 'bbrp', 'ttp', 'masuk', 'paket', 'mahal', 'expektasi', 'harga', 'kualitas', 'alasan', 'jaringan', 'even', 'kota', 'ttp', 'lemot', 'apk', 'upgrade', 'ngeblank', 'solusi', '']</t>
  </si>
  <si>
    <t>['telkom', 'ngeleg']</t>
  </si>
  <si>
    <t>['dibuka', 'parah', 'banget', 'sekelas', 'telkomsel', 'kaya', 'gini', '']</t>
  </si>
  <si>
    <t>['', 'taikkk', 'belih', 'paket', 'mahal', 'lelet', 'mintak', 'ampun', 'mending', 'pakai', 'kartu', 'lancar', 'jaya', 'telkomsel', 'lelet', 'ampuuuuu', 'banget', 'emosi', 'terkadang', '']</t>
  </si>
  <si>
    <t>['', 'buka', 'app', 'rusak']</t>
  </si>
  <si>
    <t>['gag', 'dibuka']</t>
  </si>
  <si>
    <t>['bagus', 'nyaman']</t>
  </si>
  <si>
    <t>['', 'bintang']</t>
  </si>
  <si>
    <t>['telkomsel', 'sinyal', 'bagus', 'beli', 'kuota']</t>
  </si>
  <si>
    <t>['apk', 'membantu', 'terimakasih', 'telkomsel']</t>
  </si>
  <si>
    <t>['apk', 'dibuka', 'udah', 'nunggu', 'jam', 'dibuka', 'tolong', 'diperbaiki']</t>
  </si>
  <si>
    <t>['tanggal', 'lag', 'masuk', 'mytelkomsel']</t>
  </si>
  <si>
    <t>['kesini', 'maju', 'hancur', 'sinyalnya', 'normal', 'kuota', 'dimurahin', 'kuota', 'mahal', 'sinyal', 'kayak', 'namanya', 'merigukian', 'orang', 'gampang', 'nyari', 'uang', 'tinggal', 'ngomong', 'bkln', 'dateng', 'gitu', 'kagak', 'segini', 'tolong', 'diperbaiki', 'sinyalnya', 'kuotanya', 'murahkan']</t>
  </si>
  <si>
    <t>['aplikasi', 'telkomsel', 'nga', 'buka', 'udah', 'downlod', 'msh', 'nga', 'kebuka', '']</t>
  </si>
  <si>
    <t>['gimana', 'telkomsel', 'terluas', 'terkuat', 'jaringan', 'kenyataan', 'jakarta', 'suka', 'hilang', 'jaringannya', 'telkomsel', 'payah']</t>
  </si>
  <si>
    <t>['buka', 'apk', 'ppaakkkk', '']</t>
  </si>
  <si>
    <t>['butut', 'minggu', 'beli', 'gb', 'rb', 'nambah', 'seribu', 'dasar', 'licik', 'untung', 'doang']</t>
  </si>
  <si>
    <t>['', 'denger', 'telkomsel', 'dipegang', 'pemerintah', 'pantes', 'layannannya', 'jelek', 'parah', 'kayak', 'pom', 'bensin', 'pertamina', 'carut', 'marut', 'kayak', '']</t>
  </si>
  <si>
    <t>['update', 'buka', 'blank', 'putih', 'awas', 'solusi', 'hubungi', 'bla', 'bla', 'ulasan', 'solusi']</t>
  </si>
  <si>
    <t>['lemot', 'banget', 'buka']</t>
  </si>
  <si>
    <t>['pas', 'update', 'buka', 'gimana', 'terkomsel']</t>
  </si>
  <si>
    <t>['diupdate', 'mlh', 'dibuka']</t>
  </si>
  <si>
    <t>['bintangnya']</t>
  </si>
  <si>
    <t>['update', 'aplikasi', 'update', 'dibuka', 'aplikasinya', 'parah', 'banget', 'gini', 'dowload', 'dibuka']</t>
  </si>
  <si>
    <t>['lemmmooot', 'hadeuh', 'mending', 'tetangga', 'sebelah', 'ajah']</t>
  </si>
  <si>
    <t>['halo', 'telkomsel', 'isi', 'kuota', 'mytelkomsel', 'masuk', 'kuotanya', 'barusan', 'isi', 'kuota', 'ceria', 'gb', 'tunggu', 'jam', 'kunjung', 'masuk', 'sinyal', 'lancar', 'jaya', 'tempatku', 'mohon', 'perbaikannya', 'telkomsel', 'pelanggan', 'nyaman', 'telkomsel', 'semoga', 'kedepannya', 'kuota', 'cepat', 'masuk', 'transaksi', 'berhasil', 'menunggu', 'terima', 'kasih', '']</t>
  </si>
  <si>
    <t>['habis', 'update', 'suka', 'kluar', 'beli', 'paketan', 'blm', 'smp', 'beli', 'udah', 'kluar', '']</t>
  </si>
  <si>
    <t>['', 'beli', 'ketengan', 'youtube', 'gb', '']</t>
  </si>
  <si>
    <t>['parah', 'telkomsel', 'jaringan', 'stabil', 'mohon', 'perbaiki']</t>
  </si>
  <si>
    <t>['beli', 'paket', 'internet', 'mahal', 'jaringan', 'jelek', 'mulu', 'kek', 'telkomsel']</t>
  </si>
  <si>
    <t>['duh', 'ampun', 'deh', 'kendala', 'jaringan', 'konfirmasi', 'nyenyenye', 'udah', 'coba', 'hasil', 'sampe', 'sekarangpun', 'belom', 'tanggapan', 'team', 'tsel']</t>
  </si>
  <si>
    <t>['paket', 'combo', 'unlimited', 'fup', 'hilang', 'mulu', 'kadang', 'kadang', 'hilang', 'malas', 'kartu', 'telkomsel']</t>
  </si>
  <si>
    <t>['telkomsel', 'taik', 'paket', 'mahal', 'kualitas', 'jaringan', 'kayak', 'taik', 'pakai', 'telkomsel', 'kekecewaan', 'terbesar', '']</t>
  </si>
  <si>
    <t>['oyy', 'telkomsel', 'puas', 'jaringan', 'telkomsel', 'harga', 'mahal', 'kualitas', 'jaringan', 'buruk', 'jaringan', 'buruk', 'mengecewakan', 'nonton', 'youtube', 'main', 'game', 'lag', 'sesuaikan', 'harga', 'jaringan', '']</t>
  </si>
  <si>
    <t>['aplikasi', 'bagus', 'memakai', 'kartu', 'telkomsel']</t>
  </si>
  <si>
    <t>['', 'telkomsel', 'dibuka', 'coba', 'reinstall', 'restard', 'android', 'dibuka', 'ditanggapi', 'aplikasi', 'hapus', '']</t>
  </si>
  <si>
    <t>['aplikasi', 'telkomsel', 'buka', 'udah', 'mingguan', 'buka', 'trims']</t>
  </si>
  <si>
    <t>['kwalitas', 'mutu', 'dipertahankan']</t>
  </si>
  <si>
    <t>['upgrade', 'total', 'menu', 'utama', '']</t>
  </si>
  <si>
    <t>['notif', 'update', 'ganggu', 'update', 'nambah', 'ngebantu']</t>
  </si>
  <si>
    <t>['provider', 'menyediakan', 'harga', 'paket', 'murah', 'jaringan', 'cepat', '']</t>
  </si>
  <si>
    <t>['keren', 'skalii', '']</t>
  </si>
  <si>
    <t>['paketnya', 'mahal', 'mahal', 'konsisten']</t>
  </si>
  <si>
    <t>['kali', 'nyoba', 'aplikasi', 'koq', 'dibuka', 'mudah', 'buka', '']</t>
  </si>
  <si>
    <t>['variannya', 'bingung']</t>
  </si>
  <si>
    <t>['kasih', 'bintang', 'dlu', 'buka', 'aplikasinya', 'ngisi', 'tolong', 'benerin', 'susah']</t>
  </si>
  <si>
    <t>['apps', 'telkomsel', 'gua', 'bsa', 'terbuka']</t>
  </si>
  <si>
    <t>['kali', 'gua', 'tes', 'telkomsel', 'sengaja', 'isi', 'pulsa', 'rb', 'log', 'mbanking', 'bca', 'kali', 'sms', 'bca', 'log', 'mbanking', 'niaga', 'kali', 'sms', 'total', 'pakai', 'internet', 'kartu', 'quota', 'pakai', 'simpati', 'notif', 'sms', 'menggunakn', 'paket', 'internet', 'tarif', 'bla', 'bla', 'bla', 'apalah', 'pulsa', 'gua', 'habis', 'rb', 'sekian', 'pulsa', 'gila', 'gua', 'internet', 'gitu', 'kaya', 'hasil', 'rampog', 'pulsa', 'pelanggan', 'elu', '']</t>
  </si>
  <si>
    <t>['rusak', 'rusak', 'jaringannya']</t>
  </si>
  <si>
    <t>['mahal', 'paketan', 'combo', 'sakti', 'harganya', 'menerus', 'dinaikin', 'sinyalpun', 'kadang', 'lemot', 'lemotan', '']</t>
  </si>
  <si>
    <t>['tambahin', 'fiture', 'jualan', 'pulsa', 'harga', 'dibawah', 'pasaran']</t>
  </si>
  <si>
    <t>['aplikasi', 'telkomsel', 'buka', 'situs', 'telkomsel', 'buka', 'aneh', 'banget', 'aplikasi', 'milik', 'bumn', '']</t>
  </si>
  <si>
    <t>['suka', 'banget', 'apk', 'mudah', '']</t>
  </si>
  <si>
    <t>['sinyaaal', 'buruk', 'diperbaiki', 'layanannya', 'nyari', 'untung', 'bumn', '']</t>
  </si>
  <si>
    <t>['jelek', 'update', 'buka', 'langsung']</t>
  </si>
  <si>
    <t>['apk', 'gabisa', 'dibuka', 'layar', 'putih', 'ditunggu', 'jam', 'kebuka', 'jaringan', 'lancar', 'perbaiki', 'telkomselnya']</t>
  </si>
  <si>
    <t>['terima', 'kasih', 'allah', 'menang', 'hadiah', 'mobil']</t>
  </si>
  <si>
    <t>['ribet', 'skl', 'membantu', 'tuk', 'beli', 'paket', 'pulsa']</t>
  </si>
  <si>
    <t>['jaringan', 'mantaap', '']</t>
  </si>
  <si>
    <t>['bagus', 'tower']</t>
  </si>
  <si>
    <t>['paraah', 'niih', 'login', 'ribet', '']</t>
  </si>
  <si>
    <t>['subhanallah', 'alhamdulillah', 'mantul', 'semoga', 'berkah', 'semoga', 'reward', 'mobil', 'telkomsel']</t>
  </si>
  <si>
    <t>['bagus', 'apknya', 'mantaaap', '']</t>
  </si>
  <si>
    <t>['hbs', 'pembaruan', 'dibuka', 'screen', 'putih', 'udh', 'perubahan', 'lapor', 'telkomsel', 'ttp', 'msh', '']</t>
  </si>
  <si>
    <t>['kasih', 'bintang', 'apk', 'telkomselnya', 'nggak', 'masuk', 'apk', 'gimana', 'min', 'tolong', 'renspon']</t>
  </si>
  <si>
    <t>['rugikan', 'telkomsel', 'memanfaatkan', 'sosial', 'media', 'iklan', 'paket', 'darurat', 'penawaran', 'paket', 'darurat', 'tampilkan', 'pengguna', 'quota', 'salah', 'klik', 'paket', 'darurat', 'aktif', 'otomatis', 'merugikan', 'pengguna', '']</t>
  </si>
  <si>
    <t>['kena', 'mendung', 'jaringan', 'langsung', 'kartu', 'rekomendasi', 'pakai', 'kartu', 'harga', 'paketan', 'mahal', 'jaringan', 'murahan', 'buruk', 'buruk', 'buruk', 'gara', 'kartu', 'aing', 'kalah', 'turnamen', 'game', 'online']</t>
  </si>
  <si>
    <t>['membantu', 'pengguna', 'telkomsel', 'tarif', 'pembelian', 'pulsa', 'memakai', 'biaya', 'admin', 'banget', 'pilihan', 'kuota', 'internetnya', 'menu', 'menunya']</t>
  </si>
  <si>
    <t>['niat', 'apk', 'masuk', 'gabisa', 'gqjleas']</t>
  </si>
  <si>
    <t>['gangguan', 'udah', 'mahal', 'gangguan', 'mulu']</t>
  </si>
  <si>
    <t>['memuaskan', 'isi', 'paket', 'data', 'tlfon', 'mudah']</t>
  </si>
  <si>
    <t>['aplikasi', 'barguna']</t>
  </si>
  <si>
    <t>['aplikasi', 'sanggat', 'membantu', 'tpi', 'terkadang', 'piturnya', 'berubah', 'ubah']</t>
  </si>
  <si>
    <t>['maaf', 'min', 'buka', 'aplikasi', 'telkomsel', 'android', 'knp', 'yaa', '']</t>
  </si>
  <si>
    <t>['kecewa', 'jaringan', 'telkomsel', 'kesini', 'jaringan']</t>
  </si>
  <si>
    <t>['abis', 'install', 'ngeblank', 'putih', 'doang', 'android', 'versi', 'terbaru', '']</t>
  </si>
  <si>
    <t>['kualitas', 'pelayanan', '']</t>
  </si>
  <si>
    <t>['aplikasi', 'jlk', 'tpi', 'boong', '']</t>
  </si>
  <si>
    <t>['transaksi', 'paket', 'combo', 'sakti', 'unlimitid', 'sistem', 'mengalami', 'gangguan', '']</t>
  </si>
  <si>
    <t>['susah', 'cek', 'pulsa', '']</t>
  </si>
  <si>
    <t>['kartu', 'pepek', 'sinyal', 'woi', 'benerin', 'maunya', 'duit', 'doang', '']</t>
  </si>
  <si>
    <t>['kli', 'beli', 'kuota', 'harganya', 'nambah', 'trus', '']</t>
  </si>
  <si>
    <t>['mantap', 'surantap']</t>
  </si>
  <si>
    <t>['gabisa', 'buka']</t>
  </si>
  <si>
    <t>['telkom', 'telkom', 'harga', 'sinyal', 'turun', 'mulu', 'cape', 'aing']</t>
  </si>
  <si>
    <t>['telkomsel', 'cek', 'pulsa', 'kadang', 'isi', 'pulsa', 'deh', 'tolong', 'perbaiki', 'jaringan', 'telkomsel']</t>
  </si>
  <si>
    <t>['membantu', 'pembaharuannya', 'lumayan', 'rajin', '']</t>
  </si>
  <si>
    <t>['peningkatan', 'jaringan', 'lancar', 'pajak', 'naikan']</t>
  </si>
  <si>
    <t>['bagus', 'knp', 'nyedot', 'pulsa', 'kemendikbud', 'tolong', 'trs', 'tolong', 'buatin', 'notifikasi', 'nyedot', 'pulsa', 'mksh']</t>
  </si>
  <si>
    <t>['bagus', 'baget', 'aplikasinya', 'makasih', 'telkomsel']</t>
  </si>
  <si>
    <t>['pelanggan', 'setia', 'dikasih', 'paketan', 'mahal', 'telkomnyet', 'cweleng']</t>
  </si>
  <si>
    <t>['minggu', 'kemarin', 'terbuka', 'nyaman', 'telkomsel', 'cek', 'pulsa', 'beli', 'paket', 'data', 'mesti', 'nunggu', 'konfirmasi', 'tinggal', 'buka', 'aplikasi', '']</t>
  </si>
  <si>
    <t>['buka', 'udah', 'dasar', 'lelet', '']</t>
  </si>
  <si>
    <t>['aplikasinya', 'dibuka', 'butuh', 'banget', 'iniii', '']</t>
  </si>
  <si>
    <t>['telkomsel', 'tolong', 'aplikasi', 'pengganti', '']</t>
  </si>
  <si>
    <t>['appsnya', 'kebuka', 'terpaksa', 'uninstall']</t>
  </si>
  <si>
    <t>['apk', 'telkomsel', 'nda', 'bermutu', 'cek', 'kuota', 'nda', '']</t>
  </si>
  <si>
    <t>['parah', 'jaringan', 'telkomsel', 'didaerah', 'ciapus', 'kabandungan', 'bogor', 'jaringan', 'stabil', 'telkomsel', 'kali', 'jaringan', 'udah', 'lemot', 'kecewa']</t>
  </si>
  <si>
    <t>['kepuasan', 'pelanggan', 'utama']</t>
  </si>
  <si>
    <t>['', 'perbaharui', 'buka']</t>
  </si>
  <si>
    <t>['pulsa', 'kepotong', 'yaaaa', 'kali', 'adain', 'vitur', 'kunci', 'pulsa', 'kepotong', 'apk', 'niiii']</t>
  </si>
  <si>
    <t>['', 'telkomsel', 'dibuka', 'download', 'bgmna']</t>
  </si>
  <si>
    <t>['simpati', 'isi', 'kuota', 'mudah', 'banget', '']</t>
  </si>
  <si>
    <t>['min', 'gimana', 'paket', 'tarif', 'non', 'aktif', 'paket', 'tenggat', 'habisnya', 'peke', 'kesedot', 'pulsanya', 'gimana', 'min']</t>
  </si>
  <si>
    <t>['buka', 'apkny', 'putih', 'apk', 'konslet', 'otaknya', 'tangan', 'perbaikin', 'apkny', 'emang', 'tangannya', 'cacad']</t>
  </si>
  <si>
    <t>['sinyal', 'telkomsel', '']</t>
  </si>
  <si>
    <t>['makasih', 'may', 'telkomsel']</t>
  </si>
  <si>
    <t>['habis', 'updete', 'knp', 'dibuka']</t>
  </si>
  <si>
    <t>['aplikasi', 'telkomsel', 'dibuka', 'kemarin', 'uninstall', 'instal', 'ulang', 'tetep', 'dibuka', 'please', 'provider', 'harga', 'mahal', 'pelayanan', 'bagus', 'pelanggan']</t>
  </si>
  <si>
    <t>['telkomsel', 'kembalikan', 'uang', 'rupiah', 'kirim', 'paket', 'data', 'sampe', 'peletnya', 'masuk', 'tanggal', 'desember', 'dasar', 'telkomsel', 'sampah', 'lelet', 'penipuan', 'konsumen', '']</t>
  </si>
  <si>
    <t>['beli', 'paket', 'data', 'linkaja']</t>
  </si>
  <si>
    <t>['pakai', 'wifi', 'pulsa', 'utama', 'kena', 'potong', 'telkomsel', 'potong', 'pulsa', 'konsumen', '']</t>
  </si>
  <si>
    <t>['ksih', 'bintang', 'lgi']</t>
  </si>
  <si>
    <t>['memudahkan', 'consumen', 'tukar', 'poin']</t>
  </si>
  <si>
    <t>['pulsa', 'hilang', 'akses', 'internet', 'hebatnya', 'paket', 'data', 'wifi', 'hub', 'pulsa', 'sedot', '']</t>
  </si>
  <si>
    <t>['mantap', 'bagus', 'asyik']</t>
  </si>
  <si>
    <t>['telkomsel', 'tolloll', 'beli', 'sinyal', 'udah', 'lag', 'banget', 'udah', 'lapor', 'customer', 'servicenya', 'ehhh', 'tolong', 'diperbaiki', 'sia', 'sia', 'beli', 'lag', 'anehhhh']</t>
  </si>
  <si>
    <t>['pelayanan', 'lambat', 'memuaskan']</t>
  </si>
  <si>
    <t>['jaringan', 'suka', 'lemot', 'pas', 'main', 'game', 'pulsa', 'suka', 'dipotongin', 'jdi', 'rugi', 'hmmm', 'ganti', 'ganti']</t>
  </si>
  <si>
    <t>['mantap', 'proses', 'cepat', 'ribet']</t>
  </si>
  <si>
    <t>['nyuruh', 'update', 'memaksimalkan', 'sudqh', 'update', 'kebuka', 'aplikasinya', 'layar', 'full', 'warna', 'putih', 'namanya', 'maksimal', '']</t>
  </si>
  <si>
    <t>['download', 'berulang', 'dibuka', 'gimana', '']</t>
  </si>
  <si>
    <t>['lemot', 'banget', 'apk', '']</t>
  </si>
  <si>
    <t>['kartu', 'doang', 'mahal', 'jaringan', 'lemot', 'aso']</t>
  </si>
  <si>
    <t>['asuu', 'ngelag', 'mulu', 'bgstt']</t>
  </si>
  <si>
    <t>['nggak', 'buka', 'layar', 'putih']</t>
  </si>
  <si>
    <t>['membantu', 'pengecekan', 'pulsa']</t>
  </si>
  <si>
    <t>['susah', 'log', 'harga', 'paket', 'internet', 'sungguh', 'sungguh', 'teramat', 'mahal']</t>
  </si>
  <si>
    <t>['paket', 'data', 'mahal', 'jaringan', 'konsisten', 'gimana']</t>
  </si>
  <si>
    <t>['', 'telkomselnya', 'blank', 'eror', 'download', 'cek', 'kouta', 'pulsa', '']</t>
  </si>
  <si>
    <t>['kemarin', 'isi', 'paket', 'rbu', 'pulsa', 'nyh', 'hilang']</t>
  </si>
  <si>
    <t>['mantap', 'membantu', 'mudah', 'cepat', 'proses', 'pembelian', 'paket', 'pulsa']</t>
  </si>
  <si>
    <t>['kepotong', 'kuota', 'utama', 'kuota', 'games', 'max', 'ampe', 'abis', 'pulsanya']</t>
  </si>
  <si>
    <t>['login', 'gimna', '']</t>
  </si>
  <si>
    <t>['ngp', 'akun', 'telkomsel']</t>
  </si>
  <si>
    <t>['min', 'penyelesaian', 'terkait', 'aplikasi', 'telkomsel', 'sdah', 'kirim', 'email']</t>
  </si>
  <si>
    <t>['lemot', 'hallo', 'priolitas']</t>
  </si>
  <si>
    <t>['parah', 'telkomsel', 'apk', 'update', 'mulu', 'jaringan', 'benerin', 'nggggtd']</t>
  </si>
  <si>
    <t>['knapa', 'aplikasi', 'telkomsel', 'login', 'muncul', 'layar', 'putih', 'trus', 'kluar', 'jaringan', 'parah']</t>
  </si>
  <si>
    <t>['jelek', 'buka', 'aplikasinya']</t>
  </si>
  <si>
    <t>['bermanfaat', 'menguntungkan']</t>
  </si>
  <si>
    <t>['jaringan', 'terluas', 'indonesia', 'mantabbb', '']</t>
  </si>
  <si>
    <t>['gmna', 'aplikasi', 'kebuka', 'tlng', 'perbaiki', 'aplikasi', '']</t>
  </si>
  <si>
    <t>['parah', 'banget', 'nihh', 'telkomsel', 'telp', 'call', 'cantre', 'nawarin', 'kartu', 'hallo', 'pas', 'dijelasin', 'kuota', 'anlimitid', 'aplikasi', 'doang', 'pas', 'ngga', 'dibayar', 'tagihan', 'tetep', 'nunggak', 'kuota', 'ngga', 'dipake', 'kali', 'nawarin', 'kartu', 'hallo', 'dijelasin', 'dijelasin', 'ngga', 'sesuai', 'kenyataan', 'ngga', 'rugi', 'nunggak', 'ngga', 'dipake', 'kuotanya']</t>
  </si>
  <si>
    <t>['mudah', 'semoga', 'manfaat', 'mudah', 'pelayanannya']</t>
  </si>
  <si>
    <t>['bintang', 'jaringan', 'kacau', 'hujan', 'hujan', 'parah', 'dapet', 'batang', 'internet', 'sampe', 'mentok', 'segini', 'kota', 'jakarta', 'gimana', 'pedalaman', 'kampung', 'kaya', 'gini', 'ganti', 'operator', 'kartu', 'tsel', 'udah', 'th']</t>
  </si>
  <si>
    <t>['bagus', 'terimakasih', 'telkomsel', 'pulsa', 'ribunya']</t>
  </si>
  <si>
    <t>['aplikasi', 'bagus', 'membantu', 'simple', 'rumit', 'like']</t>
  </si>
  <si>
    <t>['mohon', 'maaf', 'admin', 'telkomsel', 'telkomsel', 'berat', 'hati', 'menyesal', 'update', 'aplikasi', 'masuk', 'update', 'update', 'aplikasi', 'berjalan', 'lancar', 'ngefreze', 'layar', 'putih', 'mohon', 'perbaiki', 'bug', 'terimakasih', '']</t>
  </si>
  <si>
    <t>['aplikasi', 'bagus', 'memudahkan', 'pembelian', 'pulsa', 'kuota', 'sayang', 'beberapakali', 'instal', 'buka', '']</t>
  </si>
  <si>
    <t>['signal', 'the', 'best', 'mohon', 'harganya', 'turunin', '']</t>
  </si>
  <si>
    <t>['provider', 'cacat', 'indonesia', 'cek', 'pulsa', 'susah', 'ampun', 'jaringan', 'otp', 'microsoft', 'kode', 'masuk', 'harga', 'kuota', 'nggak', 'ngotak', 'mahalnya', 'sungguh', 'super', 'cacat', 'kau']</t>
  </si>
  <si>
    <t>['top', 'emang', 'terbaik', 'telkomsel']</t>
  </si>
  <si>
    <t>['tukar', 'poin', 'mencukupi', 'batas', 'poin', 'ditentukan', 'alasannya', 'sistem', 'sibuk']</t>
  </si>
  <si>
    <t>['paketnya', 'mahal', 'min', 'karna', 'desa', 'jaringanya', 'telkomsel', 'laen', '']</t>
  </si>
  <si>
    <t>['udah', 'paket', 'mahal', 'jaringan', 'lalot', 'ngelag', 'anjinglah', '']</t>
  </si>
  <si>
    <t>['bagus', 'cma', 'aplikasi', 'harga', 'kasih', 'discon', 'gtu', '']</t>
  </si>
  <si>
    <t>['pulsa', 'terpotong', 'data', 'aktif', 'aplikasinya', 'error', 'suka', 'nyolong', 'pulsa', 'nomor', 'instal', 'app', 'aman', 'pulsanya']</t>
  </si>
  <si>
    <t>['mantap', 'buruk', 'paket', 'data', 'gb', 'gabisa', 'kepake', 'sinyal', 'buruk', '']</t>
  </si>
  <si>
    <t>['beli', 'paket', 'bayar', 'pulsa', 'pulsa', 'kouta', 'klu', 'tanggung', 'bintang']</t>
  </si>
  <si>
    <t>['semoga', 'sinyal', 'bagus', 'iklan', 'menonton', 'hotstar', 'sesuai', 'pembelian', 'pelanggan', 'penggunaannya']</t>
  </si>
  <si>
    <t>['puas', 'pelayanan', 'dapet', 'kuota', 'gratis', 'lumayan']</t>
  </si>
  <si>
    <t>['gue', 'tolong', 'info', 'donk', 'gue', 'buka', 'aplikasi', 'lngsung', '']</t>
  </si>
  <si>
    <t>['memakai', 'telkomsel', 'slalu', 'dikecewakan', 'memakai', 'telkomsel', 'perbaikan', 'perbaikan', 'beli', 'kouta', 'dipakai', 'telkomsel', 'slalu', 'mengecewakan', '']</t>
  </si>
  <si>
    <t>['aneh', 'banget', 'telkomnyet', 'pulsa', 'kesedot', 'pas', 'isi', 'pulsa', 'data', 'matiin', 'pas', 'idupin', 'pas', 'sms', 'memakai', 'pulsa', 'akses', 'internet', 'non', 'paket', 'update', 'aplikasi', 'device', 'rugi', 'banget', 'telkomsel']</t>
  </si>
  <si>
    <t>['terima', 'kasih', 'akun']</t>
  </si>
  <si>
    <t>['mengecewakan', 'kuota', 'unlimited', 'apps', 'pembelian', 'tertera', 'aplikas', 'sosialmedia', 'instagram', 'memasuki', 'instagram', '']</t>
  </si>
  <si>
    <t>['sinyalnya', 'kuat', 'bagus']</t>
  </si>
  <si>
    <t>['cepat', 'mudah', 'dlm', 'apl', 'telkomsel']</t>
  </si>
  <si>
    <t>['bagus', 'banget', 'dapet', 'poin', 'download', 'aplikasi', '']</t>
  </si>
  <si>
    <t>['paket', 'internet', 'combo', 'banget']</t>
  </si>
  <si>
    <t>['tong', 'harga', 'mahal', 'kualis', 'perbaiki']</t>
  </si>
  <si>
    <t>['udh', 'hri', 'jaringan', 'signal', 'internet', 'jelek', 'wilayah', 'bekasi', 'tolong', 'perbaiki']</t>
  </si>
  <si>
    <t>['ribet', 'beli', 'paket', 'susah', 'lemot', 'banget']</t>
  </si>
  <si>
    <t>['', 'aplikasi', 'benerin', 'kek', 'udah', 'update', 'pas', 'buka', 'layar', 'putih', 'udah', 'tunggu', 'menit', '']</t>
  </si>
  <si>
    <t>['habis', 'download', 'dibuka', '']</t>
  </si>
  <si>
    <t>['aplikasi', 'kaya', 'berat', 'loading', 'manu', 'menu', 'lumayan', 'ram', 'koneksi', 'internet', 'ngebut', 'mohon', 'ditangggulangi', '']</t>
  </si>
  <si>
    <t>['gila', 'harga', 'paket', 'data', 'mahal', 'mikirin', 'perasaan', 'orang', 'perkotaan', 'jaringan', 'telkomsel', 'daerah', 'jadiin', 'kesempatan', 'naikin', 'harga', 'tolong', 'ekonomi', 'stabil', 'ngotak', 'dikit', 'kalok', 'naikin', 'harganya']</t>
  </si>
  <si>
    <t>['app', 'buka', 'ngeblank', 'trus']</t>
  </si>
  <si>
    <t>['kartu', 'pepek', 'kontol', 'ngentod', 'haram', 'anjeng', 'biadab', 'bangsat', 'gara', 'gara', 'telkomsel', 'pepek', 'turun', 'rank', 'kontol', 'semoga', 'meledak', 'kantor', 'kelen', 'pepek']</t>
  </si>
  <si>
    <t>['transaksi', 'dana']</t>
  </si>
  <si>
    <t>['good', 'tambahin', 'promo', 'paket', 'internetnya', 'yoo', 'joss']</t>
  </si>
  <si>
    <t>['telkomsel', 'aplikasi', 'dibuka', '']</t>
  </si>
  <si>
    <t>['knapa', 'apk', 'ngga', 'masuk', 'ssh', 'loging', '']</t>
  </si>
  <si>
    <t>['mengaktifkan', 'paket', 'data', 'pulsa', 'mengurang', 'tulis', 'non', 'paket', 'mengecewakan']</t>
  </si>
  <si>
    <t>['suka', 'susah', 'masuk', 'aplikasi']</t>
  </si>
  <si>
    <t>['', 'masuk', 'aplikasi', '']</t>
  </si>
  <si>
    <t>['tolong', 'lancarkan', 'donk', 'telkomsel', 'legh', 'banget', 'main', 'lancar', 'mulu', 'kartu', 'telkom', 'legh', 'main', 'ping', 'merah', 'screen', 'skrng', 'putih', 'dikirain', 'eror', 'coba', 'game', 'apk', 'aman', 'rating', 'tolong', 'megang', 'system', 'perbaiki', 'udah', 'kyk', 'gini', 'tpi', 'belom', 'diperbaiki']</t>
  </si>
  <si>
    <t>['memuaskan', 'aplksi', 'dibuka', 'putih', 'lyar', 'dbuatnya', 'cpek', 'download', 'hapus', 'smpe', 'berulang', 'kali', '']</t>
  </si>
  <si>
    <t>['kecewa', 'kinerja', 'jaringan', 'diperawang', 'riau', 'sangatlelet', '']</t>
  </si>
  <si>
    <t>['aplikasi', 'bagu', 'paket', 'murah', '']</t>
  </si>
  <si>
    <t>['error', 'masuk']</t>
  </si>
  <si>
    <t>['sumpah', 'apk', 'nyeblin', 'beli', 'paket', 'pulsa', 'tidk', 'otomatis', 'menyedot', 'pulsa', 'pulsa', 'habis', 'bentar', 'zoom', 'peljaran', 'ketinggal', 'peljaran', 'kecwa', 'sma', 'tlkomsel', '']</t>
  </si>
  <si>
    <t>['', 'suruh', 'update', 'bgitu', 'update', 'bsa', 'dibuka', 'orjes', 'lahh', '']</t>
  </si>
  <si>
    <t>['sinyal', 'parah', 'banget', 'chat', 'eror', 'kecewa', 'telkomsel', 'pelayanan', 'turun']</t>
  </si>
  <si>
    <t>['pas', 'lancar', 'lancar', 'buka', 'apk', 'layar', 'putih', 'masuk', 'tolong', 'diperbaiki', 'developer', '']</t>
  </si>
  <si>
    <t>['kecewa', 'banget', 'langganan', 'dibuka', 'sampe', 'unintal', 'intal', 'tetep', 'perbaiki', 'lari', 'oprator', 'laen']</t>
  </si>
  <si>
    <t>['habis', 'update', 'apk', 'nggak', 'kebuka']</t>
  </si>
  <si>
    <t>['senang', 'telkomsel', 'promonya']</t>
  </si>
  <si>
    <t>['tolong', 'sinyalnya', 'perbaiki', 'harganya', 'mahal', 'kualitas', 'rendah']</t>
  </si>
  <si>
    <t>['apelikasi', 'bagus']</t>
  </si>
  <si>
    <t>['jaringan', 'susah', 'akses', 'internet', 'main', 'game', 'online', '']</t>
  </si>
  <si>
    <t>['ngasih', 'promo', 'bener', 'banget', 'pas', 'dikasih', 'sms', 'combo', 'sakti', 'rb', 'pas', 'cek', 'gaada', 'combo', 'sakti', 'unlimited', 'harga', 'rb', 'diganti', 'unlimited', 'harga', 'mendekati', 'rb', 'worth', 'dibeli', 'tolong', 'telkomsel', 'menyediakan', 'promo', 'penggunanya']</t>
  </si>
  <si>
    <t>['bagus', 'dam', 'mudah', 'mengunakan', 'fitur', 'log', 'cepat', '']</t>
  </si>
  <si>
    <t>['kemarin', 'aplikasi', 'mytelkomsel', 'cmn', 'putih', 'doang', 'tampilannya', 'pdhal', 'kyk', 'gini', 'smpe', 'udah', 'uninstall', 'trus', 'install', 'tetep', 'putih', 'doang', 'gimana', 'solusinya', 'terimakasih']</t>
  </si>
  <si>
    <t>['pulsaku', 'berkurang', 'nol', 'rupiah', 'pakai', 'sms', 'telpon', 'kuota', 'internet', 'aneh', 'rugi', 'banget']</t>
  </si>
  <si>
    <t>['aplikasi', 'telkomsel', 'akses', 'dibuka', 'tampilan', 'blank', 'white', 'kecewa', 'mohon', 'diperbaiki', 'secepatnya', 'varian', 'nominal', 'kuota', 'internet', 'dipermurah', 'kalangan', 'menikmatinya', 'harga', 'kuota', 'bulanan', 'murah', 'ribu', 'kalangan', 'tolong', 'respon', 'laksanakan', 'semoga', 'aplikasi', 'dinikmati', 'kalangan', 'bwh', 'provider', 'prioritas', 'indonesia', 'makasih', '']</t>
  </si>
  <si>
    <t>['kasih', 'bintang', 'karna', 'lambat']</t>
  </si>
  <si>
    <t>['bayar', 'kuota', 'data', 'mahal', 'signal', 'tetep', 'lemot', 'banget', 'perbaikan']</t>
  </si>
  <si>
    <t>['apknya', 'kebukak', 'pdhl', 'jaringan', 'kuota', 'gmna', 'yaa']</t>
  </si>
  <si>
    <t>['kasi', 'bonus', 'paket', 'internet', 'utama', 'dibanyakin', 'pelanggan', 'setia', 'telkomsel']</t>
  </si>
  <si>
    <t>['perbaikan', 'jaringan', 'surabaya', 'utara', 'lemot', 'harga', 'pulsa', 'mahal', 'aplikasi', 'pulsa', 'baguss', '']</t>
  </si>
  <si>
    <t>['aplikasi', 'telkomsel', 'kesel', 'banget', 'pengguna', 'sedih', 'kecewa']</t>
  </si>
  <si>
    <t>['aplikasinya', 'mantul', 'banget']</t>
  </si>
  <si>
    <t>['update', 'tpi', 'buka']</t>
  </si>
  <si>
    <t>['signal', 'laut', 'mohon', 'tingkatkan', '']</t>
  </si>
  <si>
    <t>['paket', 'murah', 'harga', 'terjangkau', 'suka', 'cuman', 'sinyal', 'suka', 'luplep', 'telkomsel', 'bagus', 'daerah', '']</t>
  </si>
  <si>
    <t>['lumayan', 'stabil', 'aplikasinya', 'fungsinya', 'maksimal', 'beli', 'paket', 'grapari']</t>
  </si>
  <si>
    <t>['nggak', 'buka', 'aplikasinya']</t>
  </si>
  <si>
    <t>['mantap', 'mudah', 'mudahan', 'undian', 'mobil', 'kepingin', 'mobil', 'tpi', 'daya', 'membeli', '']</t>
  </si>
  <si>
    <t>['heran', 'beli', 'paket', 'tertulis', 'situ', 'gratis', 'youtube', 'dll', 'anehnya', 'kuota', 'utama', 'habis', 'kuota', 'youtube', 'tetep', 'sueeeeee']</t>
  </si>
  <si>
    <t>['membantu', 'internet', 'menelfon']</t>
  </si>
  <si>
    <t>['kontoolllll', 'telkomsel', 'kartu', 'kontolllllll', 'beli', 'mahal', 'sinyal', 'ngeleg', 'kontolll']</t>
  </si>
  <si>
    <t>['pulsa', 'ilang', 'mulu', 'naro', 'pulsa', 'potong']</t>
  </si>
  <si>
    <t>['', 'coba', 'pasang', 'paket', 'ceria', '']</t>
  </si>
  <si>
    <t>['kasih', 'promo', 'murah']</t>
  </si>
  <si>
    <t>['keren', 'gampang', 'praktis']</t>
  </si>
  <si>
    <t>['app', 'ter', 'instal', 'tpi', 'ngeblang', 'kebuka', 'sdng', 'gangguan', 'mohon', 'bantuannya', 'terimakasih']</t>
  </si>
  <si>
    <t>['apk', 'jelek', 'jaringan', 'lag', 'harga', 'mahal', 'anjingg', '']</t>
  </si>
  <si>
    <t>['samgat', 'puan']</t>
  </si>
  <si>
    <t>['memudahkan', 'praktis']</t>
  </si>
  <si>
    <t>['', 'tgl', 'skrg', 'aplikasinya']</t>
  </si>
  <si>
    <t>['sinyal', 'bagus', 'semangat', 'semoga', 'telkomsel', 'cepat', 'bangkrut', 'amin', 'kartu']</t>
  </si>
  <si>
    <t>['jaringan', 'berpindah', '']</t>
  </si>
  <si>
    <t>['mencoba', 'semoga', 'komitmenya', 'jalani', 'menyusahkan', '']</t>
  </si>
  <si>
    <t>['mudah', 'prktis']</t>
  </si>
  <si>
    <t>['jaringannya', 'bagus', 'bonus', 'kuota', 'bebas', 'berlangganan', 'disney', 'hotstar', 'aplikasi', 'mudah', 'dipahami']</t>
  </si>
  <si>
    <t>['memuaskan', 'pelayanan', 'telkomsel']</t>
  </si>
  <si>
    <t>['mohon', 'paket', 'jgan', 'dihilangin', 'entar', 'udah', 'ilangin', 'entar', 'ditambahi', 'bintangnya', '']</t>
  </si>
  <si>
    <t>['knpa', 'mhal', 'hrga', 'pketan', 'kmren', 'msih', 'sekrang', 'sudh', 'sungguh', 'tekomsel', 'semkin', '']</t>
  </si>
  <si>
    <t>['telkomsel', 'lumrahnya', 'kasih', 'bintang', 'istimewa', 'mengecewakan', 'pengguna', 'buka', 'telkomsel', 'skrg', 'buka', 'gembok', 'kunci', 'mahal', 'sebentar', 'error', 'telkomsel', '']</t>
  </si>
  <si>
    <t>['handphone', 'download', 'telkomsel', '']</t>
  </si>
  <si>
    <t>['malas', 'pakek', 'telkomsel']</t>
  </si>
  <si>
    <t>['buka', 'aplikasi', 'knp', '']</t>
  </si>
  <si>
    <t>['tingkatkan', 'signal', 'telkomselnya']</t>
  </si>
  <si>
    <t>['semoga', 'promo']</t>
  </si>
  <si>
    <t>['tarif', 'harga', 'paket', 'langganan']</t>
  </si>
  <si>
    <t>['sinyal', 'lemah', 'harga', 'mahal']</t>
  </si>
  <si>
    <t>['aplikasi', 'dpt', 'dbuka', 'mohon', 'perbaikan']</t>
  </si>
  <si>
    <t>['bagus', 'banget', 'aplikasinya', 'mudah']</t>
  </si>
  <si>
    <t>['kali', 'kena', 'beli', 'paket', 'masuk', 'masuk', 'saldo', 'kepotong', 'telpon', 'call', 'center', 'diproses', 'memakan', 'beli', 'pulsa', 'masuk', 'masuk', 'saldo', 'kepotong', 'jera', 'beli', 'paket', 'pulsa', 'aplikasi', '']</t>
  </si>
  <si>
    <t>['membantu', 'pembelian', 'data']</t>
  </si>
  <si>
    <t>['provider']</t>
  </si>
  <si>
    <t>['halo', 'telkomselll', 'apknya', 'nda', 'dibuka', 'serius', 'masuknya', 'putih', 'gitu', 'ngestuck']</t>
  </si>
  <si>
    <t>['screen', 'white', 'cepat', 'perbaiki', 'beli', 'paket', 'kuotaaa', 'udh', 'minggu']</t>
  </si>
  <si>
    <t>['mudah', 'aplikasinya']</t>
  </si>
  <si>
    <t>['mudah', 'pembembelian', 'diskonya']</t>
  </si>
  <si>
    <t>['membuka', 'tampilan', 'web']</t>
  </si>
  <si>
    <t>['pelayanan', 'payah', 'dipakai', 'intenetan', 'kuota', 'cepat', 'habis', 'ngerampok', '']</t>
  </si>
  <si>
    <t>['aplikasi', 'telkomsel', 'dibuka', 'kecewa']</t>
  </si>
  <si>
    <t>['bintang', 'menilai']</t>
  </si>
  <si>
    <t>['sampe', 'kesini', 'mahal', 'paketx', 'tpi', 'kasi', 'bintang', '']</t>
  </si>
  <si>
    <t>['apk', 'keren', 'membantu', 'mendaftar', 'paket', 'internet']</t>
  </si>
  <si>
    <t>['gimana', 'login', 'tampilan', 'login', 'blank', 'putih', 'udah', 'hapus', 'download', 'tetep', 'komplain', 'slow', 'respon', 'tindak']</t>
  </si>
  <si>
    <t>['pengumuman', 'undian', 'telkomsel', 'poinnya', 'transparan', 'kejelasan', 'data', 'menang', 'rugi', '']</t>
  </si>
  <si>
    <t>['admin', 'jaringan', 'kampung', 'buruk', 'tolong', 'perbaiki', 'alamat', 'desa', 'tebing', 'lestari', 'kecamatan', 'tapung', 'hilir', 'kabupaten', 'kampar', 'riau']</t>
  </si>
  <si>
    <t>['membantu', 'promonya', 'semoga', 'promo', '']</t>
  </si>
  <si>
    <t>['aplikasinya', 'dibuka', 'layar', 'putih', 'doang', '']</t>
  </si>
  <si>
    <t>['update', 'lemot', '']</t>
  </si>
  <si>
    <t>['nggak', 'buka', 'aplikasinya', 'dlm']</t>
  </si>
  <si>
    <t>['', 'paket', 'murah', 'daerah', 'papua']</t>
  </si>
  <si>
    <t>['mempermudah', 'pengguna']</t>
  </si>
  <si>
    <t>['bintang', 'kasih', 'bintang', 'komen', 'aplikasi', 'akses', 'dibuka', 'aplikasinya', 'payah', 'beli', 'paket', 'rb', 'rb', 'udah', 'gitu', 'rb', 'sekaeang', 'udah', 'rb', 'naikin', 'ampe', 'puas', 'udah', 'mahal', 'jaringannya', 'kayak', 'taik', 'udah', 'aplikasinya', 'ditambah', 'ngecek', 'sms', 'balasannya', 'setahun', 'masuk', '']</t>
  </si>
  <si>
    <t>['screen', 'white', 'buka', 'gimana', 'min', 'kayak', 'gini', '']</t>
  </si>
  <si>
    <t>['parah', 'susah', 'akses', 'beli', 'paket', 'kuota', 'paket', 'combo', 'bulanan', 'pesan', 'tingkatkan', 'kinerjamu', 'telkomsel', 'terima', 'kasih']</t>
  </si>
  <si>
    <t>['kasi', 'star', '']</t>
  </si>
  <si>
    <t>['aplikasi', 'membantu', 'mengguna', 'kartu', 'telkomsel', 'mengecek', 'penggunaan', 'pulsa', 'kuota']</t>
  </si>
  <si>
    <t>['update', 'putih', 'doank', 'ampe', 'jam', 'jam', 'kemprul']</t>
  </si>
  <si>
    <t>['telkomsel', 'skrg', 'boros', 'kota', 'cepet', 'habis', 'isi', 'belom', 'seminggu', 'tolong', 'benahi', 'korupsi']</t>
  </si>
  <si>
    <t>['provider', 'pulsa', 'beli', 'paket', 'combo', 'sakti', 'harga', 'metode', 'pembayaran', 'pakai', 'pulsa', 'dibilang', 'pulsa', '']</t>
  </si>
  <si>
    <t>['buruk', 'aplikasi', 'merespon', 'gambar', 'muncul', 'gambar', 'warna', 'putih']</t>
  </si>
  <si>
    <t>['fitur', 'menarik', 'mudah', 'aplikasikan']</t>
  </si>
  <si>
    <t>['yth', 'telkomsel', 'knp', 'aplikasi', 'telkomsel', 'dibuka', '']</t>
  </si>
  <si>
    <t>['aplikasi', 'aneh', 'segini', 'bumn', 'layanan', 'ganti', 'kartu', 'sulitnya', 'mati', 'kaya', 'usir', 'penjajah', 'negri', 'paket', 'mahal', 'internet', 'bapuk', 'mah', 'udah', 'tsel', 'dimana', 'wkwkw', 'keren', 'bet', 'keluarin', 'sinyalpun', 'kaga', 'beda', 'tsel', 'udah', 'gitu', 'selamat', 'sarapan', 'nasi', 'kemaren']</t>
  </si>
  <si>
    <t>['mohon', 'menu', 'penukaran', 'poin', 'dikasih', 'pilihan', 'poin', 'ditukar', '']</t>
  </si>
  <si>
    <t>['mantap', 'ditingkatkan', 'kualitas', 'sinyal', 'dipelosok', 'desa', 'pegunungan']</t>
  </si>
  <si>
    <t>['memuaskan', 'terimakasih', 'mytelkomsel', '']</t>
  </si>
  <si>
    <t>['lambat', 'pas', 'buka', 'aplikasi', 'cek', 'kuota']</t>
  </si>
  <si>
    <t>['signal', 'jelek', 'mahal']</t>
  </si>
  <si>
    <t>['banyakan', 'promo', 'cuy']</t>
  </si>
  <si>
    <t>['tolong', 'perbaikin', 'bug', 'buka', 'apk', '']</t>
  </si>
  <si>
    <t>['kecewa', 'telkomsel', 'gangguan', 'ngisi', 'voucher', 'sibuk']</t>
  </si>
  <si>
    <t>['berbenah', 'ditinggal', 'pelanggan', 'komentar', 'jelek']</t>
  </si>
  <si>
    <t>['kuota', 'malam', 'suka', 'hilang', 'rating', 'jaringannya', 'jelek', 'busuk', 'mendung', 'hujan', 'langsung', 'ancur', 'ping', 'pas', 'main', 'game', '']</t>
  </si>
  <si>
    <t>['jual', 'data', 'bang', 'mahal', '']</t>
  </si>
  <si>
    <t>['potongan', 'transfer', 'pulsanya']</t>
  </si>
  <si>
    <t>['kemudahan', 'dlm', 'pemakaiannya']</t>
  </si>
  <si>
    <t>['tagihan', 'pascabayar', 'bengkak', 'paket', 'non', 'aktifkan', 'penyelesaian', 'telkomsel', '']</t>
  </si>
  <si>
    <t>['', 'jaringan', 'hpk', 'mendukung']</t>
  </si>
  <si>
    <t>['', 'suka', 'bngt', 'aplikasi', 'mempermudah', 'cek', 'pulsa', 'kuota']</t>
  </si>
  <si>
    <t>['parah', 'baget', 'seteah', 'update', 'aplkasibga', 'dibuk', 'screen', 'white', 'mohon', 'diperbaki', 'update', 'aplikasiya', 'dibuka', 'kao', 'jain', 'pelanggan', 'menghapus', 'apikasi', '']</t>
  </si>
  <si>
    <t>['layar', 'putih', 'doang', 'aplikasi', 'sampah', 'najis']</t>
  </si>
  <si>
    <t>['knp', 'skrg', 'masuk', 'yaa', 'aplikasinya', 'pdhl', 'jaringan', 'uda', 'bagus', 'update', 'versi', 'trbaru', 'hnya', 'screen', 'white']</t>
  </si>
  <si>
    <t>['aplikasi', 'mytelkomsel', 'buka', 'heran', 'harga', 'mahal', 'banget', 'eror']</t>
  </si>
  <si>
    <t>['membantu', 'tuk', 'paker', 'murah', 'telkomsel']</t>
  </si>
  <si>
    <t>['jelek', 'telkomsel', 'kuota', 'mahal', 'jaringan', 'upgrade', '']</t>
  </si>
  <si>
    <t>['cuman', 'layar', 'putih', 'buka', 'kecewa', 'udah', 'harian']</t>
  </si>
  <si>
    <t>['moga', 'menang']</t>
  </si>
  <si>
    <t>['mantap', 'lancar', 'jaya', 'masukan', 'beli', 'pulsa', 'cashback', 'diskon', '']</t>
  </si>
  <si>
    <t>['menu', 'dibuka', 'loading', 'terusmenerus', 'support', 'min', '']</t>
  </si>
  <si>
    <t>['buka', 'putih', 'muncul', '']</t>
  </si>
  <si>
    <t>['knapa', 'aplikasi', 'telkomsel', 'ngeblank', 'halaman', 'kebuka', 'mentok']</t>
  </si>
  <si>
    <t>['pelayanan', 'sediakan', 'paket', 'unlimited', 'bulanan', 'batas', 'telkomsel', 'cintai', 'warga', 'indonesia', 'terimakasih']</t>
  </si>
  <si>
    <t>['sanagt', 'membantu']</t>
  </si>
  <si>
    <t>['aplikasi', 'mytelkomsel', 'kebuka', 'hapus', 'instal', 'ulang', '']</t>
  </si>
  <si>
    <t>['aplikasi', 'gabisa', 'dibuka', 'min', 'udah', 'seminggu', 'buka', 'gabisa', 'langsung', 'out', 'gimana', 'gabisa', 'cek', 'kuota', 'sms', 'dikirim', 'kirim', 'udah', 'uninstal', 'instal', 'tetep', 'gabisa', '']</t>
  </si>
  <si>
    <t>['aplikasi', 'mantap']</t>
  </si>
  <si>
    <t>['telkomsel', 'buruk', 'pulsa', 'beli', 'langsung', 'habis', 'beli', 'paket', 'jaringan', 'lemot', 'mending', 'ganti', 'kartu', 'buruk', 'banget', 'kesel']</t>
  </si>
  <si>
    <t>['diupdate', 'dibuka']</t>
  </si>
  <si>
    <t>['screen', 'white', 'menyebalkan', '']</t>
  </si>
  <si>
    <t>['gada', 'perbaikan', 'fiks', 'ganti', 'kartu', 'data', 'besok', 'udh', 'terlanjur', 'kecewa', '']</t>
  </si>
  <si>
    <t>['brengsek', 'beli', 'paket', 'seharga', 'rb', 'beli', 'pulsa', 'harga', 'paket', 'nambah', 'mahal', 'jngn', 'maenin', 'harga', 'pelanggan', 'tahunan']</t>
  </si>
  <si>
    <t>['aplikasi', 'tampilan', 'layar', 'putih', 'diuninstal', 'diinstal', '']</t>
  </si>
  <si>
    <t>['bagus', 'hadiahnya']</t>
  </si>
  <si>
    <t>['apk', 'dibuka', 'suda']</t>
  </si>
  <si>
    <t>['aplikasi', 'lag', 'dibuka', 'komplain', 'ditangani', 'data', 'admin', 'telkomsel', 'membaca', 'membalas', 'keluhan', 'hadapi', 'telkomsel', 'kecewa']</t>
  </si>
  <si>
    <t>['operator', 'seluler', 'indonesia']</t>
  </si>
  <si>
    <t>['suwekkk', 'buka', 'udh', 'coba', 'kecewa', 'mutu', 'layanan']</t>
  </si>
  <si>
    <t>['signal', 'telkomsel', 'aut', 'sekaran']</t>
  </si>
  <si>
    <t>['terimakasih', 'mempermudah']</t>
  </si>
  <si>
    <t>['telkomsel', 'bener', 'bener', 'udah', 'kali', 'uninstall', 'install', 'apk', 'udah', 'tgl', 'desember', 'layarnya', 'putih', 'doang', 'mohon', 'tanggapannya', 'liat', 'ulasan', 'ngeluh', 'white', 'screen', 'telkomsel', 'karna', 'telkomsel', 'memudahkan', 'mah', 'namanya', 'nyusahin']</t>
  </si>
  <si>
    <t>['mudah', 'ringan', 'cepat']</t>
  </si>
  <si>
    <t>['membantu', 'proses', 'membeli']</t>
  </si>
  <si>
    <t>['terbagus', 'mudah', 'banget']</t>
  </si>
  <si>
    <t>['gua', 'kasih', 'reviewww', 'bacot']</t>
  </si>
  <si>
    <t>['maaf', 'upgrade', 'mencari', 'keuntungan', 'aplikasi', 'nyaman', 'pakainya', '']</t>
  </si>
  <si>
    <t>['mohon', 'maaf', 'min', 'harga', 'kuota', 'telkomsel', 'daerah', 'kesini', 'udah', 'gitu', 'sinyal', 'sebagus', 'kaya', 'please', 'min', 'tolong', 'diperbaiki']</t>
  </si>
  <si>
    <t>['', 'update', 'buka', 'apk', 'buruk']</t>
  </si>
  <si>
    <t>['telkomsel', 'menjangkau', 'daerah', 'mempermudah', 'komunikasi', 'bangsa', 'jaringan', 'menghasilkan', 'suara', 'harga', 'terjangkau']</t>
  </si>
  <si>
    <t>['pelayanan', 'telkomsel', 'gangguan', 'sinyal', 'cuaca', 'mendung', 'mengganggu', 'aktivitas', 'online', 'mohon', 'ditingkatkan', 'kekuatan', 'sinyalnya', 'terima', 'kasih', 'telkomsel', '']</t>
  </si>
  <si>
    <t>['perbarui', 'ngebug', 'buka']</t>
  </si>
  <si>
    <t>['app', 'burik', 'penipuan', 'dibuka', 'jaringan', '']</t>
  </si>
  <si>
    <t>['metode', 'pembayaran', 'dana', 'tolong', 'kembalikan', 'sekrang', 'sisa', 'indomart', 'mempersulit', 'sinyal', 'udah', 'bnyak', 'keluhan', 'bagus', 'kesini', 'kyak', 'gini']</t>
  </si>
  <si>
    <t>['lancar', 'tarif', 'mahal', 'vendor']</t>
  </si>
  <si>
    <t>['mantul', 'pokok']</t>
  </si>
  <si>
    <t>['kuota', 'mahal', 'kualitas', 'rusak', '']</t>
  </si>
  <si>
    <t>['aplikasinya', 'bermanfaat', '']</t>
  </si>
  <si>
    <t>['habis', 'update', 'nggk', 'beli', 'paket', 'wallet', 'sangt', 'disayabgkan']</t>
  </si>
  <si>
    <t>['telkomsel', 'juara', 'obat']</t>
  </si>
  <si>
    <t>['mantab', 'aplikasi', 'telkomsel']</t>
  </si>
  <si>
    <t>['min', 'kuota', 'gamesmax', 'main', 'pubg', 'kecewa', 'pas', 'beli', 'paket', 'gamemax', 'diamond', 'game', 'pubg', 'mobilevtidak', 'tertera', '']</t>
  </si>
  <si>
    <t>['harga', 'kartu', 'hallo', 'pascabayar', 'mahal', 'sinyal', 'jelek', 'mending', 'bubarkan', 'telkomsel', 'melebihi', 'systemnya', 'rentenir', '']</t>
  </si>
  <si>
    <t>['bagus', 'buka', 'aplikasinya']</t>
  </si>
  <si>
    <t>['top', 'markotop', 'sinyal', 'mantap', 'walupun', 'mati', 'lampu', 'data', 'telpon', 'pokoknya', 'jos', 'terimakasih', 'tim', 'telkomsel', 'salam', 'sukses', 'mengudara', '']</t>
  </si>
  <si>
    <t>['metode', 'pembayaran', 'app', 'mytelkomsel', 'hilang', 'min', 'gimna', 'memunculkan', 'cmn', 'pembayaran', 'via', 'pulsa', '']</t>
  </si>
  <si>
    <t>['perasaan', 'harga', 'mulu', 'harga', 'terusss', 'mengkeren', 'uda', 'semoga', 'sehat', 'terusss', 'yaa', 'massa', 'pandemi', 'gini', 'mahal', 'mengsedih', 'hadehhhh', '']</t>
  </si>
  <si>
    <t>['telkomsel', 'internetan', 'lancar', '']</t>
  </si>
  <si>
    <t>['gimana', 'wooiii', 'top', 'pulsa', 'ribu', 'masuk', 'wooiiiiii', '']</t>
  </si>
  <si>
    <t>['pacth', 'pembayaran', 'metode', 'update', 'coba', 'fix', 'pacth', '']</t>
  </si>
  <si>
    <t>['aplikasi', 'dibika']</t>
  </si>
  <si>
    <t>['knp', 'beli', 'pulsa', 'kredivo', '']</t>
  </si>
  <si>
    <t>['susah', 'bukanya', 'tunggu', 'buka', '']</t>
  </si>
  <si>
    <t>['mantapppp', 'bos', '']</t>
  </si>
  <si>
    <t>['komunikasi', 'lancar', 'telkomsel', 'ayo', 'bergabung', 'telkomsel']</t>
  </si>
  <si>
    <t>['paket', 'gamemax', 'maen', 'game', 'gunanya', 'beli', 'paket', '']</t>
  </si>
  <si>
    <t>['paket', 'internet', 'jebakan', 'hati', 'beli']</t>
  </si>
  <si>
    <t>['knp', 'telkomsel', 'dibuka', 'koq', 'ngblank', 'white', 'screen', 'tampilannya', 'provider', 'mahal', 'teh', 'aneh', '']</t>
  </si>
  <si>
    <t>['berhenti', '']</t>
  </si>
  <si>
    <t>['login', 'telkomsel', 'kasih', 'bintang', '']</t>
  </si>
  <si>
    <t>['harga', 'data', 'mahal', 'jaringan', 'buruk', 'sikian', 'terimakasih']</t>
  </si>
  <si>
    <t>['aplikasi', 'habis', 'update', 'screen', 'putih', 'nggak', 'app', 'cek', 'status', 'check', 'tolong', 'konfirmasi', 'solisinua']</t>
  </si>
  <si>
    <t>['mantap', 'kali', 'dapet', 'rezeki', 'telkomsel', '']</t>
  </si>
  <si>
    <t>['mantap', 'paketnya', '']</t>
  </si>
  <si>
    <t>['telkomsel', 'mahal', 'jaringan', 'tpi', 'kualitas', 'buruk', 'bentarw', 'lelet', 'telkomsel', 'ngambil', 'keuntungan', 'bablah']</t>
  </si>
  <si>
    <t>['pilihan', 'metode', 'pembayaran', 'akun', 'pulsa', 'mandiri', 'tolong', 'atasi']</t>
  </si>
  <si>
    <t>['buka', 'aplikasi', 'lemot', 'banget', 'update', 'berat', '']</t>
  </si>
  <si>
    <t>['', 'tgl', 'dsmber', 'mlm', 'knpa', 'sinyal', 'mendadak', 'hilang', 'telkomsel', '']</t>
  </si>
  <si>
    <t>['aje', 'jaringan', 'parah', 'mahal', 'mahal', 'mahal', 'mahal', 'sinyal', 'ampas', '']</t>
  </si>
  <si>
    <t>['pembelian', 'pulsa', 'pemeliharaan', 'proses', 'mengeluar', 'bukti', 'transaksi', '']</t>
  </si>
  <si>
    <t>['memilih', 'metode', 'pembayaran', 'metode', 'pembayaran', 'via', 'pulsa', 'mengisi', 'pulsa', 'metode', 'pembayaran', '']</t>
  </si>
  <si>
    <t>['tolong', 'kasih', 'bonus']</t>
  </si>
  <si>
    <t>['error', 'error', 'error', 'udah', 'gabisa', 'buka', 'menu', 'cek', 'pulsa', 'kuota', 'play', 'store', 'ribet', 'gini', '']</t>
  </si>
  <si>
    <t>['habis', 'update', 'pembayaran', 'via', 'dana', 'min']</t>
  </si>
  <si>
    <t>['bener', 'buruk', 'jaringan', 'telkomsel', 'pdahal', 'telkomsel', 'jaringanbternama', 'terkenal', 'kualitas', 'knapa', 'skrg', 'buruk', 'kecewa', 'berat', '']</t>
  </si>
  <si>
    <t>['update', 'mulu', 'ngntd']</t>
  </si>
  <si>
    <t>['harga', 'daerah', 'kecepatan', 'intrnet', 'beda', 'daerah', 'apakh', 'keadilan', '']</t>
  </si>
  <si>
    <t>['aplikasi', 'udah', 'donlot', 'dibuka', 'kecewa', 'pindah', 'operator', '']</t>
  </si>
  <si>
    <t>['sinyal', 'jelek', 'jaringan', 'lemot']</t>
  </si>
  <si>
    <t>['sinyal', 'telkomsel', 'telek']</t>
  </si>
  <si>
    <t>['mahal', 'bos', 'harga', 'paketan']</t>
  </si>
  <si>
    <t>['bagus', 'murah', 'kurangin', 'dapet', 'keluhan', 'sinyal', 'malu', 'laen', 'karna', 'nomer', 'kluarga', 'udah', 'pindah', 'haluan']</t>
  </si>
  <si>
    <t>['ngentoooodh', 'metode', 'pay', 'ovo', 'dll', 'bubarkan', 'telkomsel', 'bubar', 'bubar', 'jaringan', 'silemot', 'ngenthooddd', '']</t>
  </si>
  <si>
    <t>['gue', 'kasih', 'bintang', 'apk', 'mantap', 'kali']</t>
  </si>
  <si>
    <t>['membeli', 'paket', 'mengunakan', 'ovo']</t>
  </si>
  <si>
    <t>['skrg', 'telkomsel', 'modus', 'combo', 'sakti', 'unlimited', 'pas', 'kouta', 'utama', 'abis', 'multimedia', 'abis', 'buka', '']</t>
  </si>
  <si>
    <t>['kecewa', 'bnr', 'kecewa', 'singnal', 'simpati', 'malam', 'gara', 'gara', 'signal', 'hilang', 'customer', 'marah', 'marah', 'terpaksa', 'beli', 'paketan', 'payah', 'telkomsel', 'kesini', 'bagus']</t>
  </si>
  <si>
    <t>['mhal', 'paket', 'internet', 'unlimited', 'boros', 'banget', 'lgi']</t>
  </si>
  <si>
    <t>['golongan', 'orang', 'orang', 'kaya', 'memakai', 'telkomsel', 'tolong', 'murah', 'harga', 'paket', 'bulanan', 'terimakasih']</t>
  </si>
  <si>
    <t>['', 'sekian', 'costumer', 'mengelukan', 'layanan', 'kualitas', 'buruk', 'tolong', 'perbaikilah', 'app', 'beban', 'gua', 'download', 'app', 'nukar', 'poin', 'karna', 'kode', 'deal', 'penukaran', 'mesti', 'lwt', 'app', 'payah', 'telkomsel', 'ngak', 'kya', '']</t>
  </si>
  <si>
    <t>['bayangin', 'bro', 'beli', 'paket', 'gb', 'unlimited', 'gb', 'internet', 'gb', 'video', 'youtube', 'sosmed', 'tiktok', 'dll', 'tertulis', 'dideskripsi', 'gb', 'yutub', 'emang', 'udah', 'bulanan', 'paket', 'nyisa', 'gb', 'sosmed', 'sosmed', 'lancar', 'yutub', 'ngeloading', 'intinya', 'gabisa', 'yutub', 'kecewa', 'kemarin', 'kuota', 'nyisa', 'gb', 'yutub', 'gabisa', 'udah', 'nganggur', '']</t>
  </si>
  <si>
    <t>['agghhrrrr', 'gangguan', 'banget', 'gangguan', 'mahalnya', 'kwalitas', 'disesuaikan', '']</t>
  </si>
  <si>
    <t>['terkutuklah', 'malem', 'kuota', 'abis', 'beli', 'app', 'pembayaran', 'via', 'shopeepay', 'ndak', 'beli', 'pulsa', 'via', 'app', 'telkomsel', 'bermasalah', 'niat', '']</t>
  </si>
  <si>
    <t>['harga', 'mahal', 'jakarta', 'jaringan', 'turun', 'kek', 'ingus', '']</t>
  </si>
  <si>
    <t>['paket', 'dipake', 'kecewa']</t>
  </si>
  <si>
    <t>['parah', 'paket', 'mlm', 'aktif', 'data', 'internet', 'wib', 'mlah', 'mnit', 'malh', 'pulsa', 'potong', 'sampe', 'abis', 'mlah', 'sms', 'opra', 'sdg', 'akses', 'internet', 'non', 'paket', 'udah', 'paket', 'mlm', 'pakenya', 'mlm', 'mlah', 'mnit', 'wib', '']</t>
  </si>
  <si>
    <t>['mohon', 'diperbaiki', 'untk', 'low', 'end', 'bnyak', 'start', 'aplikasi', 'hnya', 'blank', 'putih', '']</t>
  </si>
  <si>
    <t>['jaringan', 'kartu', 'lola', 'normal', '']</t>
  </si>
  <si>
    <t>['update', 'opsi', 'pembayaran', 'pilihan']</t>
  </si>
  <si>
    <t>['pas', 'update', 'gabisa', 'beli', 'kuota', 'data', 'nelfon', 'metode', 'banking', 'money', 'susah', 'banget']</t>
  </si>
  <si>
    <t>['paket', 'mahal', 'sinyal', 'lemot', 'lag', 'parah', 'main', 'game', 'gini', 'mendingan', 'ganti', 'kartu']</t>
  </si>
  <si>
    <t>['update', 'metode', 'pembayaran', 'pulsa', 'hilangkan', '']</t>
  </si>
  <si>
    <t>['terdepan']</t>
  </si>
  <si>
    <t>['selamat', 'malam', 'admin', 'metode', 'pembayaran', 'app', 'link', 'mohon', 'pencerahannya', '']</t>
  </si>
  <si>
    <t>['opsi', 'pembayarannya', 'kemana', 'kak', 'beli', 'paket', 'gada', 'opsi', 'pembayarannya', '']</t>
  </si>
  <si>
    <t>['jaringannya', 'buruk', 'suka', 'kayak', 'gini', '']</t>
  </si>
  <si>
    <t>['telkomsel', 'gangguan', 'udh', 'rank', 'mlbb', 'jdi', 'kalah']</t>
  </si>
  <si>
    <t>['boros']</t>
  </si>
  <si>
    <t>['kesini', 'nggk', 'nyaman', 'jaringan', 'tolong', 'perbaikin', 'ngk', 'harga', 'mahal', 'kualitas', 'tingkatkan', 'masak', 'kalah']</t>
  </si>
  <si>
    <t>['update', 'apk', 'nutup', 'parah']</t>
  </si>
  <si>
    <t>['aplikasi', 'terburuk', 'sedunia', 'update', 'aplikasi', 'buka', 'uninstal', 'ulang', 'hasilnya', 'nihil', 'hijrah', 'provider', 'signal', 'jeblek', 'sedunia', 'kasih', 'bintang', '']</t>
  </si>
  <si>
    <t>['coba', 'coba', 'kunjungi', 'maaf', 'cuman', 'kasih']</t>
  </si>
  <si>
    <t>['lumayan', 'muter', 'ngblank']</t>
  </si>
  <si>
    <t>['masuk', 'telkomsel', 'dri', 'hru', 'sabtu', 'kmren', 'smpe', 'skrg', 'masuk', 'layarnya', 'putih', 'liat', 'teman', 'masuk', 'unistall', 'install', 'jdi', 'gimana', 'beli', 'paket', 'susah', 'bener', 'tolong', 'respon', 'bsa', 'masuk', 'telkomsel', 'terima', 'kasih']</t>
  </si>
  <si>
    <t>['tingkatkan', 'pelayanan', 'utamakan', 'kepuasan', 'pelanggan', 'jaringan', 'promo', 'paket', 'murah', 'kualitas', 'jaringan']</t>
  </si>
  <si>
    <t>['hack', 'sentilan', 'telkom', 'parah', 'banget', 'pelayanannya', 'white', 'screen', 'terosssss', '']</t>
  </si>
  <si>
    <t>['beli', 'paket', 'masuk', 'masuk', 'nunggu']</t>
  </si>
  <si>
    <t>['apk', 'nggak', 'nggak', 'buka']</t>
  </si>
  <si>
    <t>['aplikasinya', 'buka', 'putih', 'karna', 'aplikasinya', '']</t>
  </si>
  <si>
    <t>['habis', 'diupdate', 'dibuka', 'tolong', 'penjelasannya', '']</t>
  </si>
  <si>
    <t>['hbs', 'update', 'buka', '']</t>
  </si>
  <si>
    <t>['aplikasi', 'ribet', 'tukang', 'sedooot', 'pulsaaa']</t>
  </si>
  <si>
    <t>['knapa', 'aplikasi', 'telkomsel', 'buka', '']</t>
  </si>
  <si>
    <t>['jaringan', 'jelek', 'tolong', 'beli', 'kuota', 'mahal', 'mahal', 'lancar', 'internet', 'kerjaan', 'internet', 'tolong', 'telkomsel', 'kaya', 'gini', 'ganti', 'kartu']</t>
  </si>
  <si>
    <t>['habis', 'update', 'ngak', 'buka']</t>
  </si>
  <si>
    <t>['pengumuman', 'pemenangnya', 'tolong', 'share', 'penukar', 'poin', 'pemenangnya']</t>
  </si>
  <si>
    <t>['apk', 'telkomsel', 'semejak', 'perbaharui', 'buka', '']</t>
  </si>
  <si>
    <t>['merah', 'berjaya', 'merah', 'parah', 'payah', 'update', 'aplikasi', 'mb', 'lelet', 'sungguh', 'jam', '']</t>
  </si>
  <si>
    <t>['jaringan', 'buruk', 'sosmed', 'pas', 'maen', 'game', 'online', 'ganti', 'kabag', 'kadang', 'sinyal', 'hilang', 'solusi', 'gimana', 'ganti', 'operator', 'seluler', 'jaringan', 'benerin', 'terimakasih']</t>
  </si>
  <si>
    <t>['slogannya', 'terluas', 'lemot', 'mahal']</t>
  </si>
  <si>
    <t>['beli', 'internet', 'susah', 'tolong', 'diperbaiki']</t>
  </si>
  <si>
    <t>['telkomsel', 'mahal', 'nyaman', 'deh', 'keringanan', 'keberatan']</t>
  </si>
  <si>
    <t>['promo', 'paket']</t>
  </si>
  <si>
    <t>['mudah', 'beli', 'paket', 'dada', 'mytelkomsel', 'mantap']</t>
  </si>
  <si>
    <t>['semoga', 'diakhir', 'dapet', 'lucky']</t>
  </si>
  <si>
    <t>['', 'telkomsel', 'penuh', 'kejutan', 'voucher', 'undian', '']</t>
  </si>
  <si>
    <t>['puas', 'pelayanan', 'telkomsel', '']</t>
  </si>
  <si>
    <t>['ngerti', 'udh', 'download', 'akses', 'apk', 'uninstall', 'download', 'tlg', 'telkomsel', 'apk', 'salah', 'memori', 'luas', '']</t>
  </si>
  <si>
    <t>['perbanyak', 'bonus', 'permurah', 'harga', 'paket', 'internet', '']</t>
  </si>
  <si>
    <t>['sinyal', 'muter', 'sinyal', 'down', 'stabil', 'sulit', 'paketan', 'mahal', 'kualitas', 'sebanding', 'tolong', 'diperbaiki', 'merugikan', '']</t>
  </si>
  <si>
    <t>['jaringannya', 'jelek', 'pulsanya', 'mahal', '']</t>
  </si>
  <si>
    <t>['top', 'pisan']</t>
  </si>
  <si>
    <t>['aplikasinya', 'berguna', 'tolong', 'perbaiki']</t>
  </si>
  <si>
    <t>['pelayanan', 'telkomsel', 'darintahun', 'pakai', 'telkomsel']</t>
  </si>
  <si>
    <t>['kalok', 'isi', 'pulsa', 'minimal', 'bos']</t>
  </si>
  <si>
    <t>['jaringan', 'dki', 'mantap']</t>
  </si>
  <si>
    <t>['paket', 'mahal', 'indonesia', 'terpaksa']</t>
  </si>
  <si>
    <t>['isi', 'telkomsel', 'gopay', 'link', 'kecewa']</t>
  </si>
  <si>
    <t>['maaf', 'habis', 'update', 'telkomsel', 'ndx', 'buka', 'layar', 'putih', 'mohon', 'solusinya', 'trima', 'kasih']</t>
  </si>
  <si>
    <t>['aplikasi', 'aplikasi', 'telkomsel', 'buka', 'parah', 'operatornya', 'jaringan', 'kesini', 'menurun', 'kwalitas', 'gmn', 'uninstalll', 'ampun', 'dech', 'makelll']</t>
  </si>
  <si>
    <t>['', 'buka', 'nyesel', 'updeat']</t>
  </si>
  <si>
    <t>['menjadikan', 'mudahlah', 'pokoknya']</t>
  </si>
  <si>
    <t>['dibuka', 'lancar', 'update', 'biaa', 'dibuka']</t>
  </si>
  <si>
    <t>['kecewa', 'hadiah', 'kunjung', 'dtg', 'nunggu', 'minggu']</t>
  </si>
  <si>
    <t>['halah', 'kuota', 'mahal', 'sinyal', 'tpi', 'sinyal', 'dibawah', '']</t>
  </si>
  <si>
    <t>['sinyal', 'ubah', 'kayak', 'indosat', 'pas', 'hujan', 'sinyal', 'goib', 'game', 'kalah']</t>
  </si>
  <si>
    <t>['layar', 'putih', 'kirain', 'jaringan', 'buruk', 'udah', 'uninstall', 'instal', 'tetep', '']</t>
  </si>
  <si>
    <t>['update', 'blank', 'putih', 'gimna', 'kasih', 'bintang']</t>
  </si>
  <si>
    <t>['mohon', 'perbaiki', 'jaringan', 'data', 'full', 'lelet', 'bin', 'lemot', 'ngeselin']</t>
  </si>
  <si>
    <t>['topup', 'pulsaku', 'masuk', 'gimana']</t>
  </si>
  <si>
    <t>['harga', 'paket', 'bintang', 'jaringan', 'kaki', 'hadehhhhhh']</t>
  </si>
  <si>
    <t>['susah', 'kebuka', '']</t>
  </si>
  <si>
    <t>['app', 'dibuka', 'zonk', 'putih', 'login', '']</t>
  </si>
  <si>
    <t>['aplikasi', 'cacat', 'update', 'lemot', 'layar', 'putih', 'tampilan', '']</t>
  </si>
  <si>
    <t>['jaringan', 'telkomsel', 'buruk', 'tolong', 'perbaiki', 'rugi', 'beli', 'paket', 'mahal', '']</t>
  </si>
  <si>
    <t>['sumpah', 'parah', 'banget', 'jaringan', 'serasa', 'make', 'kartu', 'kayak', 'lancar', 'jaya', 'wuihh', 'nyesal', 'gua', 'beli', 'malas', 'gua', 'make', 'kartu', 'bye']</t>
  </si>
  <si>
    <t>['jaringan', 'hancur', 'lebur', 'telkomsel', 'hancur', 'payah', 'paket', 'mahal', 'jaringan', 'ndk', 'karu', 'karuan', 'tolong', 'beli', 'paket', 'pakai', 'duit', 'pakai', 'daun']</t>
  </si>
  <si>
    <t>['sinyal', 'kuat', 'telkomsel', 'kereen']</t>
  </si>
  <si>
    <t>['apk', 'diupdate', 'macet', 'kuota', 'sosmed', 'paket', 'kombo', 'kuota', 'utama', 'habis', 'bersamaan', 'efektif', 'kuota', 'nasional', 'lokal', 'dibawah', 'bendera', 'merah', 'putih', 'wilayah', 'indonesia', 'sinyal', 'hilang', 'lumayan', 'stabil', 'hilang', 'sekedar', 'saran', 'paket', 'kombo', 'bersamaan', 'kuota', 'utama', 'sekian', 'terima', 'gaji']</t>
  </si>
  <si>
    <t>['buka', 'stlh', 'updet', 'telkomseell']</t>
  </si>
  <si>
    <t>['assalamualaikum', 'maaf', 'bang', 'update', 'apilkasi', 'telkomsel', 'oppo', 'buka']</t>
  </si>
  <si>
    <t>['jaringan', 'telkomsel', 'lancar']</t>
  </si>
  <si>
    <t>['jaringan', 'restart', 'jaringan', 'jaringan', 'lancar', 'kasih', 'rating', 'harga', 'paket', 'mahal', 'udah', 'gitu', 'kasih', 'kuota', 'dikit', 'kartu', 'telkomsel', 'isi', 'harga', 'paket', 'murah', 'gini', 'mah', 'telkomsel', 'cari', 'keuntungan']</t>
  </si>
  <si>
    <t>['masuk', 'apk', 'mytelkomsel', 'copot', 'pasang', 'apk', 'tolong', 'mytelkomsel', '']</t>
  </si>
  <si>
    <t>['pembaruan', 'upgrade', 'buka', 'aplikasi', 'bgaimana', 'solusi', 'app', 'mempermudh', 'pas', 'pembelian', 'paket', 'dimudahkan', 'pembayarannya', 'sistm', 'app', 'mlah', 'screenwhite', 'bgini', 'duuuh', 'repoot', 'tolong', 'diperbaiki', 'app', 'sungguh', 'butuhkan', '']</t>
  </si>
  <si>
    <t>['puas', 'produk', 'telkomsel', 'tlong', 'maluku', 'areal', 'ambon', 'resah', 'krna', 'perbedaan', 'harga', 'paket', 'harga', 'daerah', 'jawa', 'padahaldi', 'daerah', 'barang', 'mahal', 'dibandingkan', 'daerah', 'jawa', 'seputaran', 'indonesia', 'barat']</t>
  </si>
  <si>
    <t>['paketnya', 'mahal', 'gamasuk', 'akal', 'paket', 'provider', 'pulsanya', 'kepotong']</t>
  </si>
  <si>
    <t>['update', 'bug', '']</t>
  </si>
  <si>
    <t>['proses', 'layanan', 'pembelian', 'paket', 'data', 'mudah', 'cepat', '']</t>
  </si>
  <si>
    <t>['jaringan', 'telkomsel', 'buruk', 'mahalnya', 'tpi', 'kualitas', 'terbaik', 'pelanggan', 'mahal', 'sesuai', 'kualitas', 'internetnya']</t>
  </si>
  <si>
    <t>['jaringan', 'internetnya', 'sadis', 'lambat', 'stabil', 'parah', '']</t>
  </si>
  <si>
    <t>['yth', 'dirut', 'telkomsel', 'nakal', 'isi', 'pulsa', 'darurat', 'berlaku', 'pemaksaan', 'pengisian', 'pulsa', 'pulsa', 'darurat', 'tolong', 'diperhatikan', 'pulsa', 'dirimkan', 'telkomsel', 'kali', 'pelajari', 'andai', 'juta', 'pelanggan', 'diperlakukan', 'nilai', 'telkomsel', 'ambil', 'konsumen', 'trilyun', 'bln', 'smart', 'file', 'lembaga', 'konsumen', '']</t>
  </si>
  <si>
    <t>['kartu', 'halo', 'pra', 'bayar', 'membantu']</t>
  </si>
  <si>
    <t>['aplikasi', 'error', 'muncul', 'layar', 'putih', 'kosong', 'stelah', 'proses', 'instal', 'selesai', 'mohon', 'solusinya']</t>
  </si>
  <si>
    <t>['aplikasinya', 'eror', 'buka', 'tolong', 'perbaiki', '']</t>
  </si>
  <si>
    <t>['ribet', 'log', 'appnya', 'nggak', 'jelek', 'update', 'blank', 'layar', 'putih', 'nggak', 'mbuka', 'apknya', 'diuninstal', 'donlot', 'tetep', 'blank', 'wis', 'buruk', '']</t>
  </si>
  <si>
    <t>['pemberitahuan', 'aplikasi', 'update', 'update', 'kelancaran', 'kenyamanan', 'dibuka', 'muncul', 'white', 'screen', 'menerus', 'mengecewakan', '']</t>
  </si>
  <si>
    <t>['really', 'good', 'app', 'thanks', 'telkomsel', 'murahin', 'pembelian', 'pulsa', '']</t>
  </si>
  <si>
    <t>['maaf', 'turunin', 'bintang', 'sinyal', 'parah', 'siang', 'malam', 'indokator', 'daerah', 'tinggal', 'kota', 'pinggiran', 'jakarta', 'gunung', 'sinyal', 'internet', 'tolonglah', 'diperbaiki', 'porvider', 'sekelas', 'elit', 'mahal', 'paket', 'pelayanan', 'kualitas', 'internet', 'malu', 'provider', 'sebelah', 'murmer', 'sinyal', 'bagus', '']</t>
  </si>
  <si>
    <t>['apk', 'nggak', 'buka', '']</t>
  </si>
  <si>
    <t>['update', 'versi', 'terbaru', 'tampilannya', 'screen', 'putih', 'siyal', 'emang', 'sananya', 'mohon', 'udate', 'versi', 'terbaruya', 'diperbaiku']</t>
  </si>
  <si>
    <t>['wkwkwkw', 'klu', 'dkasih', 'reting', 'dkit', 'dkomen']</t>
  </si>
  <si>
    <t>['kemarin', 'sehabis', 'mnta', 'update', 'kbuka', 'buka', 'aplikasi', 'herannya', 'solusinya', 'min']</t>
  </si>
  <si>
    <t>['taiiii', 'jaringan', 'lemotttt', 'nonton', 'buffering', 'main', 'game', 'sinyal', 'merah', 'download', 'cmn', 'mb', 'menitan', 'tutup', 'telkomsellll', 'jaringan', 'buruk', 'iseng', 'jajal', 'beli', 'kuota', 'telkomsel', 'karna', 'dikirim', 'pulsanya', 'bulek', 'telkomsel', 'coba', 'beli', 'paket', 'pakai', 'anjirrrrr', 'cuihhh', 'kenceng', 'kencengnyaaaa', 'saran', 'perbaiki', 'jaringan', 'udah', 'mahal', 'pulsa', 'suka', 'kesedot', 'gaje', 'pokoknya', 'telkomsel', '']</t>
  </si>
  <si>
    <t>['telkom', 'sinyal', 'tol', 'gobl', 'tolong', 'perbaiki', 'telkom', 'setan', 'ancur', 'mmr', 'mlbb', 'gua']</t>
  </si>
  <si>
    <t>['parah', 'update', 'masuk', 'udh', 'klik', 'apk', 'mlah', 'putih', 'layar']</t>
  </si>
  <si>
    <t>['mohon', 'perbaiki', 'jaringan', 'game', 'main', 'mobile', 'legend', 'ping', 'ngga', 'setabil', 'bagussss', 'kau', 'terpaksa', 'ganti', 'kartu', 'murah', 'bagus', 'sinyal', 'gamenya']</t>
  </si>
  <si>
    <t>['butuh', 'pelayanan', 'terbaik', 'isi', 'paket', 'cadangan', 'sia', 'sia', 'beli', 'paket', 'beli', 'paket', 'uang', 'daun', 'taikk', 'jaringan', 'internet', 'perbaiki']</t>
  </si>
  <si>
    <t>['mai', 'masuk', 'udah', 'nggak', 'krna', 'pas', 'klik', 'apknya', 'layar', 'putih', 'bioskop', '']</t>
  </si>
  <si>
    <t>['udh', 'kyk', 'pejabat', 'negara', 'min', 'udh', 'mahal', 'beli', 'paketan', 'jaringan', 'buruk', 'buruk', 'kecewa', 'kecewa', '']</t>
  </si>
  <si>
    <t>['jaringan', 'telkomsel', 'burik', 'harga', 'mahal', 'kualitas', 'gmn', 'telkomsel', 'tolonglah', 'perbaiki', 'ulang', 'jaringannya', 'pengguna', 'puas', '']</t>
  </si>
  <si>
    <t>['banyakin', 'promo', 'murah']</t>
  </si>
  <si>
    <t>['kasih', 'hadiah', 'trus', 'undian', 'menang', '']</t>
  </si>
  <si>
    <t>['telkomsel', 'lemot', 'skarang', 'kyk', 'dlu', 'jaringan', 'ampun', 'biara', 'lelet', 'telkomsel', 'tolong', 'perhatikan', 'lgi', 'kualitas', 'jaringan', '']</t>
  </si>
  <si>
    <t>['buruk', 'apk', 'udah', 'buka', 'uninstall', 'install', 'buka', 'parah', 'telkomsel', 'jelek', '']</t>
  </si>
  <si>
    <t>['komplain', 'perbaiki', 'ssore', 'sampe', 'larut', 'malam', 'dapet', '']</t>
  </si>
  <si>
    <t>['sinyal', 'bagus', 'internetan', 'sosmed', 'lancar', 'alias', 'zonk', 'iya', 'nggak', 'towernya', 'adasolusinya', '']</t>
  </si>
  <si>
    <t>['hilang', 'game']</t>
  </si>
  <si>
    <t>['mempermuda', 'hemat', 'biaya']</t>
  </si>
  <si>
    <t>['', 'promo']</t>
  </si>
  <si>
    <t>['sangta', 'irit', 'trimakasih', 'telkomsel', '']</t>
  </si>
  <si>
    <t>['acces', 'telkomsel', 'download', 'ulang', 'dpt', 'pakai', 'mohon', 'bantuannya']</t>
  </si>
  <si>
    <t>['beli', 'paketan', 'telkomsel', 'murah']</t>
  </si>
  <si>
    <t>['sad', 'pas', 'update', 'aplikasinya', 'dibuka', '']</t>
  </si>
  <si>
    <t>['harga', 'mahal', 'jaringan', 'ancur', 'kecewa', 'berat', 'telkomsel', 'jaringan', 'busuk', 'bener', 'mending', 'sebelah', 'kualitas', 'harga', 'murah', 'perbedaan', 'kecepatan', 'download', 'telkomsel', 'streaming', 'buka', 'app', 'lelet', 'jaringan', 'angka', 'mending', 'sehari', 'minggu', 'kecepatan', 'browsing', 'turun', 'banget', 'tulisan', 'kbps', 'berasa', 'kecepatan', 'perbaikan', 'ganti', 'kartu']</t>
  </si>
  <si>
    <t>['kuota', 'mahal', 'jaringan', 'kayak', 'kambing']</t>
  </si>
  <si>
    <t>['udah', 'seminggu', 'akses', 'tlkomsel', '']</t>
  </si>
  <si>
    <t>['pulasa', 'habis', 'kuota', 'napa', 'kom']</t>
  </si>
  <si>
    <t>['aplikasi', 'keren', '']</t>
  </si>
  <si>
    <t>['tolong', 'provider', 'nomer', 'indonesia', 'perbaiki', 'dlu', 'jaringannya', 'jaringan', 'dirumah', 'lemot', 'banget', 'tinggal', 'kota', 'udah', 'lag', 'streaming', 'browser']</t>
  </si>
  <si>
    <t>['kayak', 'layar', 'putih', 'masok', 'betol', 'aplikasi', 'peminat', 'sukak', 'ati', 'operator', 'skrng', '']</t>
  </si>
  <si>
    <t>['', 'ngk', 'papa', 'jaringan', 'jelek', 'paket', 'mahal']</t>
  </si>
  <si>
    <t>['aplikasi', 'delay', 'bngt', 'aplikasi', 'anak', 'magang', 'sma', 'aplikasi', 'sampah']</t>
  </si>
  <si>
    <t>['abis', 'update', 'ngapa', 'buka', 'apk', 'gua', 'apus', 'apk', 'trus', 'gua', 'download', 'lgi', 'pas', 'gua', 'buka', 'putih', 'plong', 'layar', 'gua', 'gena', '']</t>
  </si>
  <si>
    <t>['kualitas', 'jaringannya', 'tolong', 'diperbaiki']</t>
  </si>
  <si>
    <t>['offline', 'kuota', 'logika', 'gimana', 'beli', 'paketan', 'aplikasi', 'kuota', 'membeli', 'paketan', 'licik', 'mengharuskan', 'pengguna', 'mengaktifkan', 'data', 'otomatis', 'pulsa', 'terpotong', 'membuka', 'aplikasi', '']</t>
  </si>
  <si>
    <t>['apk', 'buka', 'upgrade']</t>
  </si>
  <si>
    <t>['woi', 'juragan', 'telkomsel', 'knapa', 'ngleg', 'trus', '']</t>
  </si>
  <si>
    <t>['cakep', 'mudah']</t>
  </si>
  <si>
    <t>['kartu', 'telkomntol', 'paket', 'mahal', 'jaringan', 'kek', 'anjeng', 'membagongkan', '']</t>
  </si>
  <si>
    <t>['pakai', 'telkomsel', 'suka', 'menggunakannya', 'daftar', 'paket', 'internetnya', 'hilang', 'cuman', 'paket', 'pendidikan', 'kesal', 'beli', 'paket', 'internet', 'beli', '']</t>
  </si>
  <si>
    <t>['jaringan', 'telkomsel', 'emang', 'jelek']</t>
  </si>
  <si>
    <t>['waaahhhhhh', 'bagussssss']</t>
  </si>
  <si>
    <t>['laah', 'trnyata', 'bnyak', 'kjadian', 'schreen', 'white', 'stlah', 'update', 'apk', 'versi', 'smpe', 'tlpon', 'operator', 'ktanya', 'bntuk', 'tim', 'mgtasi', 'durasi', 'jm', '']</t>
  </si>
  <si>
    <t>['knpa', 'dibuka']</t>
  </si>
  <si>
    <t>['bagus', 'dikasih', 'unlimited']</t>
  </si>
  <si>
    <t>['', 'bagus', 'terima', 'kasih', '']</t>
  </si>
  <si>
    <t>['iiih', 'gini', 'gue', 'update', 'akku', 'fikir', 'akku', 'eror', 'dibuka', 'apk', 'telkomtel', 'akku', 'update', 'dibuka', 'diupdate', 'update', 'dibuka', '']</t>
  </si>
  <si>
    <t>['mantep', 'suka', 'banget', 'telkomsel', 'kerennn', '']</t>
  </si>
  <si>
    <t>['', 'masuk', 'akun']</t>
  </si>
  <si>
    <t>['lumayan', 'membantu', 'trumaksih', 'telkomsel']</t>
  </si>
  <si>
    <t>['kali', 'ngak', 'dibuka', 'udah', 'diinstal', 'udah', 'diupdate', '']</t>
  </si>
  <si>
    <t>['udh', 'harga', 'jaringan', 'kek', 'siput', 'bussut', 'bet', 'telkom', 'pindah', 'sebelah', 'udh']</t>
  </si>
  <si>
    <t>['jaringan', 'telkomsel', 'perbaiki', 'area', 'kab', 'tapanuli', 'selataan', 'sipirok', 'percumamahal', 'jaringan', 'lelet', 'waterbummen']</t>
  </si>
  <si>
    <t>['ngga', 'buka', 'aplikasi', 'sel']</t>
  </si>
  <si>
    <t>['trima', 'kasih', 'aplikasi', 'membantu', 'skali']</t>
  </si>
  <si>
    <t>['membanti']</t>
  </si>
  <si>
    <t>['apk', 'inih', 'bagus', 'membantu']</t>
  </si>
  <si>
    <t>['taun', 'telkomsel', 'taun', 'oktober', 'novemver', 'desember', 'jaringan', 'parah']</t>
  </si>
  <si>
    <t>['jaringan', 'tolol']</t>
  </si>
  <si>
    <t>['aplikasi', 'membantu', 'terimakasih']</t>
  </si>
  <si>
    <t>['sinyal', 'jelek', 'benerin']</t>
  </si>
  <si>
    <t>['harga', 'mahal', 'jaringan']</t>
  </si>
  <si>
    <t>['telkomsel', 'aneh', 'tlp', 'sms', 'doang', 'ttp', 'smsin', 'internet']</t>
  </si>
  <si>
    <t>['susah', 'buka', 'aplikasi', 'udah', 'update', 'buka', 'tolong', 'perbaiki', '']</t>
  </si>
  <si>
    <t>['jaringan', 'kanap', 'lelet', 'banget']</t>
  </si>
  <si>
    <t>['aplikasi', 'buka', 'chek', 'mohon', 'solusinya', 'terimakasih']</t>
  </si>
  <si>
    <t>['sinyal', 'kualitas', 'jaringannya', 'jelek', 'banget', 'daerah', 'kisaran', 'pikir', 'lemot', 'taunya', 'temen', 'ngerasain', 'please', 'telkomsel', 'kecewakan', 'pengguna', 'telkomsel']</t>
  </si>
  <si>
    <t>['mengecewakan', 'sumpah', 'kuota', 'cepat', 'boros', 'gb', 'ilang', 'ngak', 'buka', 'cuman', 'trus', 'kuota', 'bisanya', 'pisah', 'khusus', 'kuota', 'chat', 'sedot', 'kuota', 'utama', 'kuota', 'utama', 'cepat', 'abis', 'giman', 'kuota', 'omg', 'harga', 'gb', 'rusak', 'minggu', 'kuota', 'udah', 'abis', 'awet', 'sebulan', 'mengecewakan', 'mending', 'pindah', 'udah', 'telkomsel', 'nguras', 'bat', 'uang', 'edit', 'btw', 'enak', 'kartu', 'sebelah', 'pulsanya', 'kunci', 'aktif', 'data', 'masalh']</t>
  </si>
  <si>
    <t>['buka', 'blank', 'putih', '']</t>
  </si>
  <si>
    <t>['android', '']</t>
  </si>
  <si>
    <t>['mantap', 'telkomsel']</t>
  </si>
  <si>
    <t>['gabisa', 'masuk', 'kesalahan', 'sistem', '']</t>
  </si>
  <si>
    <t>['', 'buka', 'aplk']</t>
  </si>
  <si>
    <t>['masuk', 'eror', 'males', 'pakai', 'apk', 'loding', 'giliran', 'munjul', 'eror', 'payah']</t>
  </si>
  <si>
    <t>['tolong', 'diadain', 'fitur', 'save', 'pulsa', 'paket', 'internet', 'habis', 'rugi', 'kehilangan', 'pulsa']</t>
  </si>
  <si>
    <t>['diperbarui', 'aplikasinya', 'kebuka']</t>
  </si>
  <si>
    <t>['sinyal', 'lemott', 'parah', 'nonton', 'buffering', 'mending', 'provider', 'yng', '']</t>
  </si>
  <si>
    <t>['memuaskan', 'karna', 'bonusnya', 'bener', 'bener', 'mantullllll', '']</t>
  </si>
  <si>
    <t>['kecewa', 'kesini', 'parah', 'jaringan', 'lumayan', 'kartu']</t>
  </si>
  <si>
    <t>['memuaskan', 'aplikasinya', 'terimakasih']</t>
  </si>
  <si>
    <t>['aplikasi', 'susah', 'buka', 'memadai', 'hapus', 'instal', 'ulang', 'curang', '']</t>
  </si>
  <si>
    <t>['pulsa', 'ilang', 'beli', 'kuota', 'internet', 'gb', 'nyedot', 'pulsa', 'telkomsel', 'kayak', 'tuyul', 'nyuri', 'pulsa', 'konfirmasi']</t>
  </si>
  <si>
    <t>['gua', 'kasih', 'bintang', 'krna', 'jaringan', 'jelek']</t>
  </si>
  <si>
    <t>['bagus', 'aplikasi', 'mytelkomsel']</t>
  </si>
  <si>
    <t>['moga', 'telkomsel', 'promo', 'mantulllll', '']</t>
  </si>
  <si>
    <t>['perbaiki', 'jaringan', 'daerah', 'medan', 'johor', 'kontool', 'kau', 'suruh', 'melapor', 'uda', 'lapor', 'klen', 'proses', 'perbaikan', 'jaringannya', 'taik', '']</t>
  </si>
  <si>
    <t>['laris', 'telkomsel', 'paket', 'combo', 'sakti', 'harganya', 'tolong', 'normalin', 'piha', 'developer']</t>
  </si>
  <si>
    <t>['bintong', '']</t>
  </si>
  <si>
    <t>['payah', 'jaringan', 'telkomsel', 'ujan', 'udh', 'jaringan', 'ilang', 'trus', 'ilang', 'lagii', 'paket', 'mahal']</t>
  </si>
  <si>
    <t>['susah', 'akses', '']</t>
  </si>
  <si>
    <t>['aplikasi', 'bagus', 'memudahkan', 'moga', 'dpt', 'ditingkatkan']</t>
  </si>
  <si>
    <t>['keren', 'ptomo']</t>
  </si>
  <si>
    <t>['jir', 'login', 'banget', 'tolong', 'perbaiki', '']</t>
  </si>
  <si>
    <t>['jos', 'transaksi', 'gagal', 'trus']</t>
  </si>
  <si>
    <t>['harga', 'paket', 'mahal', 'kualitas', 'turun']</t>
  </si>
  <si>
    <t>['susah', 'buka', 'aplikasinya', 'lelet', 'lambaaaat', 'mohon', 'perbaiki', '']</t>
  </si>
  <si>
    <t>['pakai', 'kartu', 'halo', 'telkomsel', 'harga', 'mahal', 'internet', 'buruk', 'suka', 'error', 'kadang', 'udah', 'bayar', 'tetep', 'digunain', 'internetnya']</t>
  </si>
  <si>
    <t>['bintang', 'pakai', 'apl']</t>
  </si>
  <si>
    <t>['aplikasi', 'semoga', 'membawa', 'senyuman', 'amin', '']</t>
  </si>
  <si>
    <t>['pakai', 'kartu', 'telkomsel', 'jangkauannya', 'luas', 'suara']</t>
  </si>
  <si>
    <t>['isi', 'pulsa', 'paket', 'murah', 'isi', 'pulsa', 'berubah', 'mahal', 'mahal', 'saldo', 'kecewa', 'namanya', 'permainan', 'beli', 'saldo', 'pulsa', 'beli', 'paket', '']</t>
  </si>
  <si>
    <t>['mayan', 'membantu']</t>
  </si>
  <si>
    <t>['malam', 'telkom', 'bsa', 'buka', 'pagi', 'bener', 'kecewa', 'telkomsel']</t>
  </si>
  <si>
    <t>['app', 'telkomsel', 'eror', 'buka', 'layar', 'putih', 'hapus', 'instal']</t>
  </si>
  <si>
    <t>['pakek', 'white', 'sccreen', 'kak', 'tolong', 'diperbaiki', 'kak', 'sinyal', 'mengalaminya', 'tolong', 'kak', 'diperbaiki', '']</t>
  </si>
  <si>
    <t>['senang', 'mengunakan', 'jaringan', 'telkomsel']</t>
  </si>
  <si>
    <t>['aktif', 'nggk', 'brubah', 'udah', 'isi', 'pulsa', 'rb', 'aktifnya', 'sampi', 'tanggal', 'beli', 'pulsa', 'berubah', '']</t>
  </si>
  <si>
    <t>['mencoba', 'aplikasi']</t>
  </si>
  <si>
    <t>['sinyal', 'mantab', 'sikon', 'apapun', 'thank', 'telkomsel']</t>
  </si>
  <si>
    <t>['telkomsel', 'terbaik', 'paket', 'murah', 'salam', 'hati']</t>
  </si>
  <si>
    <t>['jaringan', 'lelet']</t>
  </si>
  <si>
    <t>['instal', 'telkomselnya', 'koq', 'buka', 'kendala', 'ngak', 'aplikasi', '']</t>
  </si>
  <si>
    <t>['update', 'pagi', 'masuk', 'aplikasinya', 'eror', 'mohon', 'dibantu']</t>
  </si>
  <si>
    <t>['telkomselku', 'indak', 'buka']</t>
  </si>
  <si>
    <t>['bagus', 'mantap', '']</t>
  </si>
  <si>
    <t>['force', 'close', 'vivo', 'android', 'knp', 'kaks', '']</t>
  </si>
  <si>
    <t>['aplikasi', 'suka', 'bermasalah', 'blank', 'putih']</t>
  </si>
  <si>
    <t>['bener', 'kecewa', 'bener', 'sesuai', 'jargon', 'provider', 'jaringan', 'terkuat', 'lanjutkan', 'konsistensinya']</t>
  </si>
  <si>
    <t>['aplikasi', 'standar', 'aplikasi', 'operator', 'jaringan', 'telkomsel', 'kesini', 'kacau', 'parah']</t>
  </si>
  <si>
    <t>['knp', 'tumben', 'akses', 'kayak', 'jaringan', 'sebelah', 'sinyal', 'jelek', 'perasaan', 'minggu', 'kemaren', 'oke', 'knp', 'parah', 'harga', 'mahal', 'sinyal', 'pusing']</t>
  </si>
  <si>
    <t>['provider', 'jaringan', 'terburuk', 'indo', 'apasi', 'lelet', 'mulu', 'sekian']</t>
  </si>
  <si>
    <t>['cepat', 'responnya', '']</t>
  </si>
  <si>
    <t>['cukum', 'puas']</t>
  </si>
  <si>
    <t>['jaringan', 'paraaahhhhhhh', 'hancur', '']</t>
  </si>
  <si>
    <t>['gampang', 'unk', 'tukar', 'poin', 'cek', 'kuota', 'internet', 'sms', 'telp', 'info', 'menarik', 'aplikasi', 'telkomsel', 'info', 'bnyk', '']</t>
  </si>
  <si>
    <t>['telkomsel', 'buruk', 'jaringanya', 'jaringan', 'luas', 'merugikan', 'sbgai', 'pekerja', 'telkomsel', 'makan', 'tidor', 'wooy', 'perbaiki', 'jaringan']</t>
  </si>
  <si>
    <t>['coab', 'hadiah', 'telkomsel']</t>
  </si>
  <si>
    <t>['knapa', 'dibuka', '']</t>
  </si>
  <si>
    <t>['hemat']</t>
  </si>
  <si>
    <t>['lemooottt', 'parah', 'screenwhite', 'sinyal', 'internet', 'bagusss', 'duh', 'bkin', 'emosi', '']</t>
  </si>
  <si>
    <t>['pket', 'habis', 'notif', 'telat', 'mulu', 'nunggu', 'pulsa', 'sedot', 'bru', 'notif', 'muncul', 'jng', 'sengaja', 'susahny', 'nerapin', 'logic', 'gituan', 'kcuali', 'emng', 'suruh', 'bos', 'mke', 'ank', 'magang', '']</t>
  </si>
  <si>
    <t>['membantu', 'banget', 'pemakaian', 'mudah']</t>
  </si>
  <si>
    <t>['telkomsel', 'ngak', 'bsa', 'buka', 'sdah', 'update']</t>
  </si>
  <si>
    <t>['terbaik', 'semoga', 'terpercaya']</t>
  </si>
  <si>
    <t>['', 'gedeg', 'sma', 'tlkomsel', 'kali', 'ngisi', 'pulsa', 'slalu', 'kepotong', 'mulu', 'anjgg', 'pulsa', 'hbis', 'krna', 'ptong', 'sma', 'tlkomsel', 'ihh', 'bakar', 'perusahaan', 'ituu', 'gedegg', '']</t>
  </si>
  <si>
    <t>['telkomsel', 'paketnya', 'mahal', 'jaringan', 'bercanda', 'nggak', 'paket', 'mahal', 'jaringannya', 'bagus', 'kalah', 'ama', 'sebelah', 'sebelah', 'jaringannya', 'stabil', 'main', 'game', 'lancar', 'pakai', 'telkomsel', 'deh', 'mending', 'provider']</t>
  </si>
  <si>
    <t>['telkomsel', 'gabisa', 'menjaga', 'reputasi', 'sinyal', 'hilang', 'gabisa', 'layanan', 'konsumen', '']</t>
  </si>
  <si>
    <t>['', 'login', 'parah', 'telkomsel', 'memburuk', '']</t>
  </si>
  <si>
    <t>['dimanapun', 'siyal', 'tetep']</t>
  </si>
  <si>
    <t>['streessss', 'sinyak', 'suka', 'hilang', '']</t>
  </si>
  <si>
    <t>['aplikasinya', 'buka', 'tolong', 'diperbaiki']</t>
  </si>
  <si>
    <t>['', 'ulasan', 'kemana', 'hapus', 'niat', 'jualan', 'ngisi', 'pulsa', 'sampe', 'masuk', 'masuk', 'sehari', 'mending', 'isi', 'konter', 'mempermudah', 'mempersulit']</t>
  </si>
  <si>
    <t>['apk', 'mytelkomsel', 'udah', 'dibuka', 'masuk', 'apk', 'layar', 'hape', 'putih', 'udah', 'dicoba', 'kali', 'hasilnya']</t>
  </si>
  <si>
    <t>['udah', 'update', 'engga', 'buka', 'warna', 'putih']</t>
  </si>
  <si>
    <t>['kesini', 'susah', 'buka', 'loading', 'ujung', 'gagal', 'kebuka', 'kebuka', 'kesini', 'kacau', 'telkomsel', 'mohon', 'perbaiki']</t>
  </si>
  <si>
    <t>['bagussssss', 'udah', 'gua', 'bagus', 'lihat']</t>
  </si>
  <si>
    <t>['sumpah', 'jelek', 'jaringan', 'telkomsel', 'uda', 'harga', 'mahal', 'jaringan', 'hilang', 'timbul', 'kayak', 'pindah', 'provider', 'dahh', '']</t>
  </si>
  <si>
    <t>['telkomsel', 'kecewa', 'pakai', 'kartu', 'telkomsel', 'sinyal', 'parah', 'mengecewakan']</t>
  </si>
  <si>
    <t>['beranda', 'telkomsel', 'blank', 'mimin', 'telkomsel', 'membantu', 'menghubungi', 'via', 'telegram', 'whatsapp', 'twit', 'insta', 'info', '']</t>
  </si>
  <si>
    <t>['harga', 'paket', 'mahal', 'kualitas', 'sinyal', 'murahan', 'ujan', 'mati', 'lampu', '']</t>
  </si>
  <si>
    <t>['suka', 'aplikasi', 'membantu']</t>
  </si>
  <si>
    <t>['paket', 'dikit', 'pilihannya', 'mahal', 'terjangkau', 'ngerti', 'update', 'gimana']</t>
  </si>
  <si>
    <t>['semenjak', 'pakai', 'mytekomsel', 'hemat', 'promo', 'lainnyaaa']</t>
  </si>
  <si>
    <t>['kepulauan', 'mentawai', 'hny', 'sel', 'bagus', 'sabar', 'operator', '']</t>
  </si>
  <si>
    <t>['eror', 'buka', 'berlangganan', 'tolong', 'benarin', 'kuota', 'nggak', 'cek', 'kuota', '']</t>
  </si>
  <si>
    <t>['sinyal', 'udah', 'lumayan', 'bagus', 'bagus', 'pembagian', 'kuota', 'buka', 'sosial', 'media', 'tersedot', 'kuota', 'sosial', 'medianya', 'kuota', 'utamanya', 'diperbaiki']</t>
  </si>
  <si>
    <t>['perbaiki', 'aplikasinya', 'dibuka', '']</t>
  </si>
  <si>
    <t>['mahal', 'doang', 'jaringan', 'jelek', 'banget', 'buka', 'game', 'online', 'susah', 'malam', 'macet', 'total']</t>
  </si>
  <si>
    <t>['tolong', 'paket', 'promo']</t>
  </si>
  <si>
    <t>['woy', 'screen', 'white', 'mulu', 'tolong', 'diperbaiki', 'kesel', 'banget', 'mentok', 'white', 'screen', 'mulu', 'ngent', '']</t>
  </si>
  <si>
    <t>['kasih', 'udah', 'seminggu', 'uninstall', 'install', 'tetep', 'kebuka', 'aplikasi', 'white', 'screen', 'doang', 'kirain', 'doang', 'pas', 'baca', 'komen', 'orang', 'kaya', 'gini', 'gitu', 'mah', 'update', '']</t>
  </si>
  <si>
    <t>['apk', 'dapad', 'buka', 'napa', '']</t>
  </si>
  <si>
    <t>['prank', 'terbaru', 'telkomsel', 'bayar', 'ovo', 'dapatkan', 'cashback', 'tunggu', 'lgi', 'kena', 'prank', '']</t>
  </si>
  <si>
    <t>['kayak', 'undian', 'telkomsel', 'riel', 'transparan', 'ngundi', 'pemenang', 'kecewa', 'gua', 'jgan', 'percaya', 'coba', 'poto', 'pemenang', 'brapa', 'tukar', 'kecewa', 'kyak', 'gua', '']</t>
  </si>
  <si>
    <t>['mudah', 'penggunaan', 'mantapp', '']</t>
  </si>
  <si>
    <t>['paketan', 'download', 'play', 'store', 'download', 'telkomsel', 'payah']</t>
  </si>
  <si>
    <t>['semoga', 'beruntung', 'telkomsel']</t>
  </si>
  <si>
    <t>['hadiah', 'tambahkan', 'bintang', '']</t>
  </si>
  <si>
    <t>['merugikan']</t>
  </si>
  <si>
    <t>['paket', 'internet', 'telpon', 'relatif', 'mahal', 'kualitas', 'jaringan', 'memuaskan']</t>
  </si>
  <si>
    <t>['parah', 'aplikasi', 'tampil', 'layar', 'putih', 'blank']</t>
  </si>
  <si>
    <t>['dlu', 'pas', 'pakek', 'telkomsel', 'bkm', 'updte', 'ngk', 'kyk', 'gni', 'pdhal', 'tukar', 'point', 'ribet', 'app', 'ndak', 'buka', 'menghbgi', 'veronika', 'ndak', 'maunya', 'telkomsel']</t>
  </si>
  <si>
    <t>['apk', 'dibuka', 'mahal', 'signal', 'jelek', 'putus', 'hank', 'habisin', 'kuota', 'krtu', 'murah', 'temen', 'temenku', 'ojol']</t>
  </si>
  <si>
    <t>['upgrade', 'login', 'screenya', 'putih', 'modon', 'perbaiki', 'lagilah']</t>
  </si>
  <si>
    <t>['jaringannya', 'bagus', 'lambat', 'loading', 'mengecewakan', 'pelanggan', '']</t>
  </si>
  <si>
    <t>['minggu', 'sinyal', 'buruk', 'sinyal', 'seringkali', 'hilang', 'telkomsel', 'dibuka', '']</t>
  </si>
  <si>
    <t>['buka', 'aplikasi', 'lelet', 'trusss']</t>
  </si>
  <si>
    <t>['terimakasih', 'telkomsel', 'terbaik', '']</t>
  </si>
  <si>
    <t>['maaph', 'apk', 'mytelkomsel', 'kug', 'nda', 'dibuka', 'knp', 'dibuka', 'sebenernya', 'menguntungkan', 'seh', 'apk', 'dibuka', 'gmna', '']</t>
  </si>
  <si>
    <t>['bagus', 'transaksi', 'lancar', '']</t>
  </si>
  <si>
    <t>['pintasan', 'mudah', 'telkomsel', '']</t>
  </si>
  <si>
    <t>['sinyal', 'bego', 'paket', 'doang', 'mahal', 'sinyal', 'nuajisss', 'cuihhh']</t>
  </si>
  <si>
    <t>['coba', 'ysa']</t>
  </si>
  <si>
    <t>['normalnya', 'belanja', 'voucher', 'berbelanja', '']</t>
  </si>
  <si>
    <t>['promonya', 'mahal', 'mahal']</t>
  </si>
  <si>
    <t>['jaringan', 'desa', 'kalisumur', 'bumiayu', 'buruk', 'mohon', 'tower', 'telkomsel', '']</t>
  </si>
  <si>
    <t>['jelek', 'banget', 'lemottttttt', 'ganti', 'kartu', 'dahhh', 'mls']</t>
  </si>
  <si>
    <t>['ngapain', 'harga', 'paketan', 'belakangnya', 'rb', 'rb', 'rb', 'rb', 'rb', 'rb', 'rb', 'rb', 'pas', 'ngisi', 'plznya', 'gitu', 'sisa', 'plz', 'ilang', '']</t>
  </si>
  <si>
    <t>['aplikasi', 'dibuka', 'android', 'samsung', 'blank', 'putih']</t>
  </si>
  <si>
    <t>['telkomsel', 'lancar', 'aman', 'terkendali', 'kemana', 'pakai', 'telkomsel', 'aman']</t>
  </si>
  <si>
    <t>['paket', 'murah', 'jadiin', 'permanen']</t>
  </si>
  <si>
    <t>['menyenangkan', 'karana', 'beli', 'paket', 'telkomsel', 'karna', 'membeli', 'membuka', 'data', 'rlebih', 'menghidupkan', 'data', 'pulsa', 'beli', 'tdi', 'membeli', 'paket', 'tersedot', 'atu', 'berkurang', 'mbeli', 'paker', 'pilih', '']</t>
  </si>
  <si>
    <t>['dri', 'simpati', 'pindah', 'hallo', 'pikir', 'sinyal', 'bagus', 'penawaran', 'janji', 'sinyal', 'kuat', 'super', 'lemot']</t>
  </si>
  <si>
    <t>['oke', 'bagus']</t>
  </si>
  <si>
    <t>['terkadang', 'sulit', 'login']</t>
  </si>
  <si>
    <t>['tolong', 'beli', 'pulsa', 'datanya', 'matiin', 'pas', 'beli', 'berkurang', 'korupsi', '']</t>
  </si>
  <si>
    <t>['aplikasi', 'eror', 'ngk', 'dibuka']</t>
  </si>
  <si>
    <t>['nomer', 'internet', 'lemot', 'kecewa', 'nasabat', '']</t>
  </si>
  <si>
    <t>['', 'update', 'buka']</t>
  </si>
  <si>
    <t>['bayu', 'jack', 'aplikasi', 'bermanfaat']</t>
  </si>
  <si>
    <t>['harga', 'anak', 'kost', 'kuota', 'bos', '']</t>
  </si>
  <si>
    <t>['update', 'update', 'blank', 'putih', 'banget', 'nggak', 'kelar', 'ksudnya', '']</t>
  </si>
  <si>
    <t>['apk', 'susah', 'buka', 'harga', 'koutanya', 'mahal', 'jaringannya', 'kalah', 'operator', 'harga', 'koutanya', 'murah', '']</t>
  </si>
  <si>
    <t>['update', 'aplikasi', 'nge', 'hang', 'dipakai', 'bintang', 'bintang', '']</t>
  </si>
  <si>
    <t>['telokmsel', 'blm', 'buka']</t>
  </si>
  <si>
    <t>['daftar']</t>
  </si>
  <si>
    <t>['aplikasi', 'eror', 'wkwkwkwk', 'blank', 'putih', 'doang', 'telkomsel', 'harap', 'ganti', 'kerja', '']</t>
  </si>
  <si>
    <t>['update', 'dibuka', 'langsung', 'uninstall', '']</t>
  </si>
  <si>
    <t>['memudah']</t>
  </si>
  <si>
    <t>['sinyal', 'telkomsel', 'jelek', 'pelangan', 'setia', 'telkomsel']</t>
  </si>
  <si>
    <t>['uhuy']</t>
  </si>
  <si>
    <t>['gabisa', 'masuk', 'apk', 'brapa', 'puluh', 'kali', 'coba', 'gabisa', 'masuk']</t>
  </si>
  <si>
    <t>['memuaskan', 'beli', 'paketan', 'langsung', 'masuk']</t>
  </si>
  <si>
    <t>['mytelkomel', 'bagus']</t>
  </si>
  <si>
    <t>['sinyalnya', 'luplep', 'buka', 'status', 'orang', 'muter', 'wae', '']</t>
  </si>
  <si>
    <t>['pulsa', 'telkomsel', 'sya', 'berkurang']</t>
  </si>
  <si>
    <t>['apk', 'perasaan', 'kemaren', 'apk', 'skrng', 'mlh', 'kek', 'gini', 'masuk', 'apk', 'blank', 'putih', 'sya', 'beli', 'kuota', 'tolonh', 'sgra', 'perbaikan', 'butuh', 'banget']</t>
  </si>
  <si>
    <t>['permurah']</t>
  </si>
  <si>
    <t>['beli', 'paketan', 'uda', 'berhasil', 'paketan', 'belom', 'aktif', '']</t>
  </si>
  <si>
    <t>['membantu', 'semoga', 'harga', 'murah', 'sinyal', 'kuat']</t>
  </si>
  <si>
    <t>['mantap', 'sukses']</t>
  </si>
  <si>
    <t>['udah', 'beli', 'mahal', 'jaringannya', 'suka', 'ilang', '']</t>
  </si>
  <si>
    <t>['kalu', 'kasih', 'bntang', 'nol', 'kadih', 'nol', 'apk', 'buka', 'layar', 'putih', 'gliran', 'cek', 'pulsa', 'motong', 'pulsa', 'apk', 'amazing', '']</t>
  </si>
  <si>
    <t>['update', 'ngga', 'dibuka', 'white', 'screen', 'install', 'tetep', 'dibuka', 'woooiiii', 'dibukaaaa']</t>
  </si>
  <si>
    <t>['bagus', 'tolong', 'harga', 'kouta', 'turunin', 'kuota', 'mb', 'rp', 'rb', '']</t>
  </si>
  <si>
    <t>['beruntung', 'penasaran', 'hadiahnya', 'tukar', 'poin', 'tpi', 'blum', 'undian', 'skrang', 'tgl', '']</t>
  </si>
  <si>
    <t>['jaringan', 'lelet', 'emang', 'bagus', 'indosat', 'telkomsel', '']</t>
  </si>
  <si>
    <t>['buka', 'aplikasi', 'instal', 'ulang', 'buka', 'android', '']</t>
  </si>
  <si>
    <t>['telkomsel', 'jaringan', 'lemot', '']</t>
  </si>
  <si>
    <t>['aplikasinya', 'bagus', 'suka', '']</t>
  </si>
  <si>
    <t>['pilihan', 'paket', 'telepon', 'internet']</t>
  </si>
  <si>
    <t>['', 'lemot', 'sinyal', 'telkomsel', 'lemot', 'super', 'parah']</t>
  </si>
  <si>
    <t>['jaringan', 'internet', 'stabil', '']</t>
  </si>
  <si>
    <t>['knpa', 'pakai', 'telkomsel', 'jaringan', 'hilang', 'hilang', 'tadang']</t>
  </si>
  <si>
    <t>['disaya', 'dbuka']</t>
  </si>
  <si>
    <t>['membantu', 'info', 'telkomsel']</t>
  </si>
  <si>
    <t>['developer', 'tolong', 'min', 'udah', 'langganan', 'beli', 'paket', 'internet', 'beli', 'paketnya', 'ditemukan', 'ganti', 'paket', 'mahal', '']</t>
  </si>
  <si>
    <t>['admin', 'tolong', 'apk', 'mytelkomsel', 'dibuka', 'diupdate', 'buka', 'tampilan', 'putih', 'muncul', 'min', '']</t>
  </si>
  <si>
    <t>['aplikasi', 'berat', 'buka', 'aplikasinya', 'screen', 'putih', 'update', 'perbaiki', 'provider', 'mahal', 'malu', 'pelayanannya', 'buruk']</t>
  </si>
  <si>
    <t>['trima', 'kasih', 'terbaik']</t>
  </si>
  <si>
    <t>['abis', 'update', 'pas', 'pengen', 'masuk', 'aplnya', 'withe', 'srceen', 'udah', 'update', 'pls', 'baikin', 'pengen', 'beli', 'kuota']</t>
  </si>
  <si>
    <t>['pulsa', 'paket', 'mahal']</t>
  </si>
  <si>
    <t>['membatu', 'banyakin', 'promonya', 'donk']</t>
  </si>
  <si>
    <t>['parah', 'ngeblank', 'uninstal', 'trus', 'reinstall', 'tetep', 'putih', 'bersihhhh']</t>
  </si>
  <si>
    <t>['mahal', 'bagus', 'iklan', 'banget', 'strategi', 'marketing', 'bodoh', 'kerja', 'serius', 'tante', '']</t>
  </si>
  <si>
    <t>['', 'update', 'mahal', 'paket', 'data']</t>
  </si>
  <si>
    <t>['gangguan', 'sinyal', 'stabil', 'kartu', 'hallo']</t>
  </si>
  <si>
    <t>['aplk', 'jaringan', 'uda', 'riset', 'tpi', 'ttp', 'pdhl', 'uda', 'bngt', 'pke', 'krtu', 'menemani', 'mpe', 'skrg', 'langganan', 'telokomsel', '']</t>
  </si>
  <si>
    <t>['mohon', 'diperbaiki', 'kuota', 'tenganan', 'ndak', 'digunaka', 'rugi', 'banget']</t>
  </si>
  <si>
    <t>['', 'nyesel', 'pokoknya', 'beli', 'paketan', 'dsni']</t>
  </si>
  <si>
    <t>['aplikasi', 'bagus', 'buatan', 'tsel']</t>
  </si>
  <si>
    <t>['apk', 'dibuka', 'lemot', 'yak', 'kecewa', 'pdhal', 'udah', 'langganan']</t>
  </si>
  <si>
    <t>['tolong', 'diperbaiki', 'jaringan', 'telkomsel', 'wilayah', 'pekanbaru', 'woy', 'kek', 'sampah', 'kali', 'lelet', 'kali', 'jaringannya', 'bangke', '']</t>
  </si>
  <si>
    <t>['aplikasinya', 'crash', 'beli', 'paket', 'via', 'telkomsel', 'metode', 'pembayaran', 'gopay', 'saldo', 'gopay', 'berkurang', 'paket', 'aktif', 'minim', 'fitur']</t>
  </si>
  <si>
    <t>['salam', 'admin', 'admin', 'aplikasi', 'cek', 'ngeblank', '']</t>
  </si>
  <si>
    <t>['bangat', 'error', 'masuk', 'telkomsel']</t>
  </si>
  <si>
    <t>['kak', 'ngga', 'buka', 'apk', 'layar', 'putih', 'kak', '']</t>
  </si>
  <si>
    <t>['astagfirullah', 'main', 'ranked', 'lag', 'telkomsel', 'lemot', 'kek', 'tolong', 'min', 'jaringan', 'perbaiki', 'push', 'rank', 'bagus', 'sya', 'kasih', '']</t>
  </si>
  <si>
    <t>['paket', 'murahin']</t>
  </si>
  <si>
    <t>['kasih', 'bintang', 'banget', 'kesalahan', 'teknis', 'coba', 'ulang']</t>
  </si>
  <si>
    <t>['', 'log', 'app', 'white', 'screen', 'udah', 'menghubungi', 'telkomsel', 'via', 'facebook', 'messenger', 'solusinya', 'fix', 'uninstal', '']</t>
  </si>
  <si>
    <t>['buka', 'aplikasinya', 'putih', 'gada', 'gambarnya', 'mohon', 'perbaiki']</t>
  </si>
  <si>
    <t>['tipu', 'telkomsel', 'poin', 'sring', 'bli', 'pulsa', 'pulsanya', 'kepotong', 'kuotany', 'kgk', 'muncul', 'thaii', 'ngasih', 'oesan', 'jan', 'bejibun', 'kek', 'lhaa', '']</t>
  </si>
  <si>
    <t>['aplikasi', 'modol', 'kebuka', 'ngebleng']</t>
  </si>
  <si>
    <t>['semoga', 'sukses', 'kedepannya']</t>
  </si>
  <si>
    <t>['sebulan', 'masuk', 'aplikasi', 'telkomsel', 'knp', 'update', 'kesal']</t>
  </si>
  <si>
    <t>['mmpermudah', 'konsumen']</t>
  </si>
  <si>
    <t>['perna']</t>
  </si>
  <si>
    <t>['min', 'koq', 'jaringan', 'kayak', 'kura', 'lelet', 'buffering', 'browsing', 'cape', 'deh', 'borosin', 'batere', '']</t>
  </si>
  <si>
    <t>['telkomsel', 'hatiiii']</t>
  </si>
  <si>
    <t>['tolong', 'dunk', 'perbaiki', 'susah', 'beli', 'paketan', 'telkomsel', 'terimkasih']</t>
  </si>
  <si>
    <t>['tolong', 'beli', 'paket', 'unlimited', 'youtube', 'udah', 'bayar', 'ampe', 'masuk', 'masuk', 'paket', 'maksudnya', 'gimana', 'morotin', 'saldo', 'kah', '']</t>
  </si>
  <si>
    <t>['jaringan', 'kesini', 'melelet', 'mati', 'lamu', 'signal', 'mati']</t>
  </si>
  <si>
    <t>['mohon', 'telkomsel', 'sinyal', 'perbaiki', 'laaaa', 'nyaman', 'makenya', '']</t>
  </si>
  <si>
    <t>['halo', 'dibuka', 'tolong', 'daftar', 'paket', 'internet', 'unlimited']</t>
  </si>
  <si>
    <t>['ngirim', 'kode', 'otp', 'bener', 'pulsa', 'ngasih', 'layanan', 'bagus', 'jual', 'prov', '']</t>
  </si>
  <si>
    <t>['diperbaharui', 'masuk', 'aplikasi', 'gimana', 'perangkat', 'muat', 'ulang', 'tetep', 'masuk', '']</t>
  </si>
  <si>
    <t>['ngblank', 'buka']</t>
  </si>
  <si>
    <t>['data', 'aktif', 'pulsa', 'kesedot']</t>
  </si>
  <si>
    <t>['login', 'bergambar', 'putih']</t>
  </si>
  <si>
    <t>['diupdate', 'kebuka', 'aplikasinya', '']</t>
  </si>
  <si>
    <t>['mytelkomsel', 'dibuka', '']</t>
  </si>
  <si>
    <t>['telkomsel', 'akses', 'maintenen', '']</t>
  </si>
  <si>
    <t>['mantap', 'langsung', 'kasih', 'bintang']</t>
  </si>
  <si>
    <t>['perbaikin', 'kepuasan', 'custamer', 'update', 'doang']</t>
  </si>
  <si>
    <t>['nggak', 'dibuka', 'download', 'gimana', 'telkomsel', 'tolong', 'mudah']</t>
  </si>
  <si>
    <t>['pilihan', 'paket', 'internet', 'dibeli', 'konsumen', 'diperbanyak', 'jaringan', 'internet', 'diperbaiki', 'maksimal', 'terima', 'kasih']</t>
  </si>
  <si>
    <t>['maaf', 'kasih', 'bintang', 'login', 'bisaaaa', '']</t>
  </si>
  <si>
    <t>['teruntuk', 'telkomyet', 'hahhh', 'paketan', 'mahal', 'jaringan', 'ngelag', 'cokkkkkkkkkkkkkkk']</t>
  </si>
  <si>
    <t>['full', 'bintang', 'sinyal', 'internetnya', 'ajur', 'bintangnya', 'tarik', 'pelangan', 'jare']</t>
  </si>
  <si>
    <t>['well', 'thanks', 'min', 'senang', 'memakai', 'telkomsel', 'terkadang', 'kendala', 'menghalang', 'nggak', 'parah', 'semangat', 'min']</t>
  </si>
  <si>
    <t>['habis', 'update', 'ngga', 'dibuka', 'aplikasi', 'layarnya', 'putih', '']</t>
  </si>
  <si>
    <t>['kah', 'kmaren', 'telkomsel', 'buka']</t>
  </si>
  <si>
    <t>['kecewa', 'aplikasi', 'telkomsel', 'udah', 'brp', 'buka', 'beli', 'kuota']</t>
  </si>
  <si>
    <t>['layanan', 'tercepat', 'termurah', 'sinyal', 'bagus', 'banget', '']</t>
  </si>
  <si>
    <t>['udah', 'minggu', 'apk', 'mytelkomsel', 'white', 'blank', 'knp', 'skrng', 'blm', 'perbaiki', 'mohon', 'penjelasannya', '']</t>
  </si>
  <si>
    <t>['knpa', 'apk', 'buka', 'udah', 'coba', 'hapus', 'trus', 'pasang', '']</t>
  </si>
  <si>
    <t>['bagus', 'ribet', 'beli', 'kuota', 'cek', 'kuota']</t>
  </si>
  <si>
    <t>['woy', 'operator', 'pakai', 'combo', 'sakti', 'ribu', 'paketan', 'multimedianya', 'game', 'tertulis', 'game', 'klau', 'kasih', 'keterangan', 'merugikan', 'konsumen', 'tampilkan', 'screenshot', 'gau', 'upload', 'sbgai', 'bukti', '']</t>
  </si>
  <si>
    <t>['aplikasi', 'diupdate', 'white', 'screen', 'dibuka', 'nyesel', 'update', 'deh', 'tolong', 'benerin', '']</t>
  </si>
  <si>
    <t>['ganti', 'bintang', 'kemari', 'screen', 'white', 'sinyal', 'full', 'wifi', 'oke', 'tolong', 'perbaiki', 'sistem', 'dayli', 'check', 'lancar', '']</t>
  </si>
  <si>
    <t>['bagus', 'harganya', 'mahal', 'buruan', 'download', 'download', 'ntar', 'kecewa', '']</t>
  </si>
  <si>
    <t>['apl', 'buka', 'padsh', 'update', 'buang', 'kuota', 'doang']</t>
  </si>
  <si>
    <t>['promo', 'sekalinya', 'promo', 'mahal', 'bet']</t>
  </si>
  <si>
    <t>['murah', 'ysng', 'murah', 'murahan', '']</t>
  </si>
  <si>
    <t>['knp', 'apknyaa', 'buka', 'putihh', 'semuaa', 'abistu', 'parahh', 'sii', 'liat', 'paket', 'beli', 'paket', 'susahh', '']</t>
  </si>
  <si>
    <t>['masuk', 'aplikasi', 'kasih', 'bintang', 'perusahan', 'telekomunikasi', 'terbesar', 'indonesia', 'becus', 'ngurusin', 'maintenance', 'aplikasi', 'masuk', 'lelet', 'parah', 'bersihkan', 'cache', 'dsb', 'rating', 'perbaiki', '']</t>
  </si>
  <si>
    <t>['mentang', 'terbesar', 'indonesia', 'tarif', 'mahal', 'kualitas', 'abal', 'belajar', 'nokia', 'boss', 'terjungkal', 'tunggu', '']</t>
  </si>
  <si>
    <t>['nyerot', 'kuotanya', 'gila', 'cepat', 'pemakaian', 'jaringan', 'ilang', 'app', 'dibuka', 'bodohnya', 'tetep', 'telkomsel', '']</t>
  </si>
  <si>
    <t>['versi', 'parah', 'banget', 'diupdate', 'tanggal', 'desember', 'sampe', 'skarang', 'blm', 'kebuka', 'tlng', 'diperbaiki', 'balikin', 'keversi']</t>
  </si>
  <si>
    <t>['beli', 'paket', 'ceria', 'pulsa', 'membeli', 'paket', '']</t>
  </si>
  <si>
    <t>['bagus', 'ganisa', 'dibuka']</t>
  </si>
  <si>
    <t>['hujan', 'apk', 'buka', 'ngeblank', 'warna', 'putih', '']</t>
  </si>
  <si>
    <t>['sinyalnya', 'mangprang', 'teruuusss', 'good', 'job', 'telkomsel', 'maju', 'sukses', '']</t>
  </si>
  <si>
    <t>['kartu', 'telkomsel', 'data', 'aktif', 'kuotaya', 'aplikasi', 'ngebleng', 'pas', 'buka', 'coba']</t>
  </si>
  <si>
    <t>['suka', 'ngambil', 'pulsa', 'ota', 'dibuka', 'langganan', 'buktinya', 'dibuka', 'payah', 'dibuka', 'hapus', 'google', 'operatornya', 'jelek', 'maksudnya', 'supay', 'gabisa', 'bli', 'paketan', 'kah', 'gitu', 'kasih', 'promo', 'telkomsel', 'bijak', 'susah', 'dibuka', 'kayanya', 'nomor', 'diblokir', 'gmn', 'telkosel']</t>
  </si>
  <si>
    <t>['telkomsel', 'paket', 'data', 'mahal', 'kmi', 'segenap', 'warga', 'kec', 'tohor', 'dll', 'mohon', 'jaringan', 'paket', 'mahal', 'lelet', 'kyk', 'wifi', 'dibayar', 'plis', 'perbaikannya', '']</t>
  </si>
  <si>
    <t>['aplikasi', 'merespon', 'tlg', 'perbaiki', 'sistemnya', 'smg', 'manfaat', 'trims']</t>
  </si>
  <si>
    <t>['sukses', 'jaya']</t>
  </si>
  <si>
    <t>['harga', 'promo', 'paket', 'internet', 'kemahalan']</t>
  </si>
  <si>
    <t>['kasih', 'bintang', 'sinyal', 'mudah', 'gratis', 'wlaupun', 'mahal', 'seneng', 'daily', 'chek', 'tolong', 'kualitas', 'apk', 'ditingkatin', 'apk', 'dusah', 'buka', 'bolak', 'instal', 'instal', 'uninstal', 'instal', 'ngabis', 'kuota', 'sebbel']</t>
  </si>
  <si>
    <t>['aplikasi', 'dibuka', 'instal', 'ulang']</t>
  </si>
  <si>
    <t>['pembaruan', 'langsung', 'perbarui', 'buka', 'apps', 'putih', 'layarnyaa', 'parah', 'banget', 'udah', 'install', 'ulang', 'kali', 'gabisa', 'gabisa', 'check', 'berhari', 'poin', 'udah', 'kekumpul', 'sebentar', 'aktifnya', 'habis', 'tolong', 'perbaiki', 'yaa', 'apps', 'nyaaa']</t>
  </si>
  <si>
    <t>['aplikasinya', 'dibuka', 'dlm', 'minggu', 'blank', 'putih', 'seblm', 'lancar', 'gimana', 'telkomsel', '']</t>
  </si>
  <si>
    <t>['menginstalnya', '']</t>
  </si>
  <si>
    <t>['inofasinya', 'kemudahan', 'bertransaksi', 'top', 'pulsa', 'ribet', 'jaman', 'dlu', '']</t>
  </si>
  <si>
    <t>['update', 'putih', 'doang', 'layarnya', 'min']</t>
  </si>
  <si>
    <t>['', 'bsa', 'buka', '']</t>
  </si>
  <si>
    <t>['screen', 'putih']</t>
  </si>
  <si>
    <t>['terimakasih', 'telkomsel', 'pelayanan', '']</t>
  </si>
  <si>
    <t>['telkomsel', 'kesini', 'aneh', 'pulsa', 'sms', 'bayarin', 'penerima', 'pulsa', 'berkurang', 'pemakaian', 'tlp', 'sms', 'tolong', '']</t>
  </si>
  <si>
    <t>['udah', 'buka', 'aplikasi', 'layar', 'putih', 'udah', 'coba', 'hapus', 'data', 'hapus', 'aplikasi', 'download', 'tetep']</t>
  </si>
  <si>
    <t>['nggak', 'alesannya', 'ngasih', 'bintang', 'udah', 'terwakilkan', 'teman', 'teman', 'rating', 'ulasan', '']</t>
  </si>
  <si>
    <t>['chat', 'balasnya', 'ampun', 'app', 'ama', 'twitter', 'slow', 'respon', 'sinyal', 'ilang', 'ilangan', 'dibilang', 'parah', 'pokoknya']</t>
  </si>
  <si>
    <t>['semoga', 'maju', 'telkomsel']</t>
  </si>
  <si>
    <t>['beli', 'kartu', 'perdana', 'telkomsel', 'konter', 'habis', 'kartu', 'murah', 'parah', 'habis', 'nelpon', 'mahal', 'internet', 'mahal', '']</t>
  </si>
  <si>
    <t>['oke', 'telkomsel', 'semoga', 'kedepannya', 'harga', 'kuota', 'murah', 'harga', 'kuota', 'promo', 'mahal', '']</t>
  </si>
  <si>
    <t>['bsa', 'dibuka', 'dha', 'download', 'cman', 'layar', 'putih']</t>
  </si>
  <si>
    <t>['semenjak', 'pkek', 'aplikasi', 'telkomsel', 'kebutuhan', 'online', 'terpenuhi', 'buang', 'duit', 'pokoknya', 'mantaaaaaappp', 'banget', 'deeeh', 'telkomsel', '']</t>
  </si>
  <si>
    <t>['eror', 'putih', 'gabisa', 'dibuka']</t>
  </si>
  <si>
    <t>['membantu', 'signal']</t>
  </si>
  <si>
    <t>['mohon', 'menangkan', 'undian', 'grand', 'prize', 'mobil', 'telkomsel', 'point']</t>
  </si>
  <si>
    <t>['berkelas', 'skrg', 'kualitas', 'jaringan', 'kompetitor', 'stabil', 'harga', 'kualitas', 'sebanding', 'perasaan', 'operator', 'sultan', 'skrg', 'diketawain', 'gua', 'ama', 'tmen', 'jaringan', 'sinyal', 'tolong', 'diperbaiki', 'setia', '']</t>
  </si>
  <si>
    <t>['bukti', 'penerimaan', 'undian', 'poin']</t>
  </si>
  <si>
    <t>['membantu', 'pembelian', 'paket', 'data']</t>
  </si>
  <si>
    <t>['', 'pelanggan', 'telkomsel', 'thn', 'tpi', 'berpikir', 'menggunakannya', 'jaringan', 'telkomsel', 'kabupaten', 'mamasa', 'buruk', 'ibukota', 'kabupaten', 'bts', 'dimana', 'tpi', 'koneksi', 'buruk', 'kedepan', 'beralih', 'provider', 'kuota', 'mahal', 'kualitas', 'buruk', 'buruk']</t>
  </si>
  <si>
    <t>['mantap', 'jaringan']</t>
  </si>
  <si>
    <t>['aplikasi', 'penjebak', 'aktif', 'paket', 'habis', 'langsung', 'sedot', 'pulsa']</t>
  </si>
  <si>
    <t>['ayo', 'ayo', 'kerja', 'kerja', 'aplikasinya', 'perbaiki', 'dibuka', 'update', 'apl', 'terbaru', 'desember', 'ngapain', 'update', 'gini', 'coba', 'uintsal', 'download', 'ngebug', 'gabisa', 'dibuka', 'kirain', 'ngeluh', 'bisanya', 'buka', 'aplikasinya', 'pulsa', 'kurangin', 'sampe', 'habis', 'hidup', '']</t>
  </si>
  <si>
    <t>['sayangnya', 'kuota', 'youtube', 'unlimited', 'tolong', 'kuota', 'unlimited', 'youtube']</t>
  </si>
  <si>
    <t>['hallo', 'tel', 'komplain', 'tel', 'cuman', 'utang', 'pulsa', 'darurat', 'ribu', 'tagih', 'abis', 'jaringanya', 'persulit', 'kembalikan', 'langsung', 'lancar', 'parah', 'bngt', 'tel', 'perasaan', 'produk', 'tetangga', 'nolong', 'customer', 'gitu', '']</t>
  </si>
  <si>
    <t>['masak', 'login', 'telkomsel']</t>
  </si>
  <si>
    <t>['bagus', 'sekalii', '']</t>
  </si>
  <si>
    <t>['', 'aplikasi', 'bsa', 'buka', 'lgi', 'pdhl', 'klw', 'bsa', 'buka', 'bsa', 'murah', 'bli', 'kota', '']</t>
  </si>
  <si>
    <t>['kenaph', 'leg', '']</t>
  </si>
  <si>
    <t>['mohon', 'jaringannya', 'perbaiki', 'jaringannya', 'setabil', 'main', 'game', 'ping', 'merah', 'ijo', 'mulu', 'mahal', 'doang', 'jaringan', 'ampas', 'tolong', 'perbaiki']</t>
  </si>
  <si>
    <t>['apk', 'diakses', 'screen', 'putih', 'pembaruan', '']</t>
  </si>
  <si>
    <t>['', 'sel', 'mantaap', '']</t>
  </si>
  <si>
    <t>['hati', 'app', 'telkomsel', 'buka', '']</t>
  </si>
  <si>
    <t>['isi', 'paket', 'masuk', 'sldo', 'shoppe', 'berkurang']</t>
  </si>
  <si>
    <t>['aplikasi', 'bagus', 'udah', 'aplikasi', 'bagus', 'lihat']</t>
  </si>
  <si>
    <t>['aplikasinya', 'bagus', 'mudah']</t>
  </si>
  <si>
    <t>['kasih', 'murah', 'pket', 'anlimitidnya', 'ksi', 'dri', 'rbu', 'lahh', '']</t>
  </si>
  <si>
    <t>['mohon', 'kerja', 'samanya', 'pelanggan', 'kecewa', 'koneksi', 'jaringan', 'telkomsel', 'stabil', 'pelanggan', 'geram', 'biaya', 'dikeluarkan', 'sesuai', 'pemakaian', 'koneksi', 'sinyal', 'jaringan', 'terimakasih']</t>
  </si>
  <si>
    <t>['sinyal', 'kecamatan', 'lanjutkan']</t>
  </si>
  <si>
    <t>['telkomsel', 'jelek', 'sinyal', 'udah', 'lemot', 'trs', 'gangguan', 'udah', 'mahal', 'sinyal', 'lemot', '']</t>
  </si>
  <si>
    <t>['menang', 'undian', 'kasih', 'bintang', '']</t>
  </si>
  <si>
    <t>['pakai', 'telkomsel', 'kali', 'telkomsel', 'dibuka', 'seminggu', 'telkomsel', 'nge', 'blank', 'putih', 'signal', 'turun', 'berulang', 'kali', 'download', 'ulang', 'hasilnya', 'tolong', 'diperbaiki', 'menyulitkan', 'mengecek', 'sisa', 'kuota', 'dll', 'tks', '']</t>
  </si>
  <si>
    <t>['error', 'jelek', 'kecewa']</t>
  </si>
  <si>
    <t>['knp', 'login', 'stack', 'layar', 'putih', 'buka', 'apknya', 'udh', 'coba', 'hapus', 'downld', 'berulang', 'kali']</t>
  </si>
  <si>
    <t>['diperbarui', 'dipakai', 'udah', 'uninstal', 'instal', 'tetep']</t>
  </si>
  <si>
    <t>['kecewa', 'aplikasi', 'karna', 'pulsa', 'dikurangi', 'pembelian', 'gagal']</t>
  </si>
  <si>
    <t>['notifikasi', 'serasa', 'spam', 'bot']</t>
  </si>
  <si>
    <t>['halo', 'admin', 'telkomsel', 'terhormat', 'memakai', 'telkomsel', 'jaringan', 'telkomsel', 'buruk', 'kasih', 'paham', 'gini', 'mending', 'ganti', 'provider', 'terimakasih', '']</t>
  </si>
  <si>
    <t>['install', 'bsa', 'kebuka', 'bangeeett', 'aplikasi']</t>
  </si>
  <si>
    <t>['sinyal', 'buruk', 'pelanggan', 'setia', 'telkom', 'sungguh', 'mengecewakan', 'hapus', 'post', 'sinyal', 'perbaiki', 'manajemen']</t>
  </si>
  <si>
    <t>['bagus', 'skali', 'membatu', 'sya', 'tukar', 'poin', 'sya', 'dri', 'pda', 'poinx', 'hngus', 'lbih', 'tukar', 'dngn', 'kupon', 'undian']</t>
  </si>
  <si>
    <t>['membantu', 'trimankasih', 'sel']</t>
  </si>
  <si>
    <t>['', 'susah', 'logon']</t>
  </si>
  <si>
    <t>['udah', 'update', 'ngga', 'selesai', 'seleai']</t>
  </si>
  <si>
    <t>['turunin', 'bintang', 'telkomsel', 'mahal', 'aktif', 'data', 'paket', 'data', 'mengalami', 'kenaikan', 'harga']</t>
  </si>
  <si>
    <t>['pas', 'beli', 'pulsa', 'disedot', 'beli', 'paket', 'combo', 'sakti', 'tolong', 'diperbaiki']</t>
  </si>
  <si>
    <t>['', 'aplikasi', 'dibuka', 'stuck', 'layar', 'putih', 'udah', 'coba', 'install', 'tetep']</t>
  </si>
  <si>
    <t>['operator', 'kerjanya', 'ngapain', 'jaringan', 'internet', 'stabil', 'nggak', 'becus']</t>
  </si>
  <si>
    <t>['aplikasinya', 'update', 'buka', 'tolong', 'perbaiki', 'aplikasinya', 'dibuka', 'muncul', 'layar', 'putih', 'sajaa', 'membatu', 'membatu', 'aplikasi']</t>
  </si>
  <si>
    <t>['hebat', 'hadiahnya', 'membutuhkan', 'terimakasih']</t>
  </si>
  <si>
    <t>['update', 'trus', 'dibuka']</t>
  </si>
  <si>
    <t>['jelek', 'tbtb', 'pas', 'buka', 'white', 'screen', 'doang']</t>
  </si>
  <si>
    <t>['mempermudah', 'rumah']</t>
  </si>
  <si>
    <t>['data', 'pulsanya', 'habis', 'log', 'out', 'pas', 'daftar', 'susah', 'masuk', '']</t>
  </si>
  <si>
    <t>['buka', 'aplikasi', 'mytelkomsel', 'banget', 'buka', 'uninstall', 'dlu', 'download', 'buka']</t>
  </si>
  <si>
    <t>['membantu', 'murah']</t>
  </si>
  <si>
    <t>['nyaman', 'menggunakannya']</t>
  </si>
  <si>
    <t>['', 'plsa', 'gratisnya']</t>
  </si>
  <si>
    <t>['kartu', 'telkomsel', 'harga', 'paketnya', 'mahal', 'rb', 'sebukan', 'pdhl', 'temen', 'paket', 'telkomsel', 'sebulan', 'rb', '']</t>
  </si>
  <si>
    <t>['puas', 'promo', 'telkomsel']</t>
  </si>
  <si>
    <t>['mudah', 'mudahan', 'menang', 'dapatkan', 'undian', 'telkomsel']</t>
  </si>
  <si>
    <t>['pengguna', 'telkomsel']</t>
  </si>
  <si>
    <t>['kali', 'coba']</t>
  </si>
  <si>
    <t>['kebanyakan', 'update', 'buka', 'suruh', 'update', 'emang', 'aplikasi', 'bnyk', 'bug', 'malas', 'buka', 'aplikasi', 'telkomsel', 'update', 'mending', 'ganti', 'kartu']</t>
  </si>
  <si>
    <t>['pantap', 'pisan', 'bsa', 'buka', 'aplikasi', 'telkomsel']</t>
  </si>
  <si>
    <t>['sinyal', 'trus', 'nyampe', 'benerin', 'sinyal', 'malem', 'jam', 'pagi', 'ngeleg', 'bwnget']</t>
  </si>
  <si>
    <t>['suka', 'promonya', 'menarik', 'rekomen', 'banget', 'teman', 'teman']</t>
  </si>
  <si>
    <t>['tolong', 'perkuwat', 'sinyal', 'inter', 'net']</t>
  </si>
  <si>
    <t>['parah', 'jaringan', 'telkomsel', 'suka', 'down', '']</t>
  </si>
  <si>
    <t>['mantap', 'banget', 'lho', 'menggantikan', 'kartu', 'jaringan', 'grapari', 'terdekat', 'bonus', 'kouta', 'internet', 'terimakasih', 'ali', 'grapari', 'bungo', '']</t>
  </si>
  <si>
    <t>['', 'mantap', 'membantu']</t>
  </si>
  <si>
    <t>['gampang', 'akses']</t>
  </si>
  <si>
    <t>['paket', 'telkomsel', 'tmbah', 'mhal']</t>
  </si>
  <si>
    <t>['telkomsel', 'mantap', 'tolong', 'tingkatkan', 'kualitas', 'sinyal', 'dipelosok', 'kalimantan']</t>
  </si>
  <si>
    <t>['telkomsel', 'lemot', 'gua', 'tinggal', 'dikota', 'lemot', 'gimana', 'gua', 'tinggal', 'desa', 'sinyal']</t>
  </si>
  <si>
    <t>['makasih', 'telkomsel', 'gara', 'gara', 'kau', 'rusak', 'gila', 'pubg', 'ping', 'turun', '']</t>
  </si>
  <si>
    <t>['telkomsel', 'jelek', 'download', 'rugi', 'menguras', 'pulsa', '']</t>
  </si>
  <si>
    <t>['udah', 'akses', 'jaringan', 'lemoot', 'login', 'sesi', 'habis', '']</t>
  </si>
  <si>
    <t>['bintang', 'geh']</t>
  </si>
  <si>
    <t>['dibuka', 'error', 'white', 'screen', 'bgi', 'kuota', 'gratis', 'hentikan', 'promonya', 'update', 'app', 'rusak', 'update', 'diupdate', 'versi', 'msh', 'normal']</t>
  </si>
  <si>
    <t>['mohon', 'informasinya', 'apk', '']</t>
  </si>
  <si>
    <t>['mohon', 'meningkatkan', 'kualitas', 'area', 'pedesaan']</t>
  </si>
  <si>
    <t>['mohon', 'paket', 'sakti', 'ribu', 'jngan', 'paket', 'batas', 'pemakaiannya', 'terimakasih']</t>
  </si>
  <si>
    <t>['proses', 'kenaikan', 'limit', 'pergantian', 'kuota']</t>
  </si>
  <si>
    <t>['mempermudah', 'penggunaan']</t>
  </si>
  <si>
    <t>['koneksi', 'internet', 'simpati', 'jelek', 'mulu', 'solusi', 'telkomsel', 'harga', 'mahal', 'harga', 'mahal', 'imbangi', 'koneksi', 'tolong', 'perbaiki', 'koneksinya', 'percaya', 'pakai', 'telkomsel']</t>
  </si>
  <si>
    <t>['aplikasi', 'gal', 'dibuka']</t>
  </si>
  <si>
    <t>['moga', 'bagus']</t>
  </si>
  <si>
    <t>['telkomsel', 'nomer', 'indonesia', 'jaringan', 'saaangat', 'buruk']</t>
  </si>
  <si>
    <t>['semoga', 'bermanfaat', 'orang', '']</t>
  </si>
  <si>
    <t>['hebat', 'promo', 'melayani', 'pelanggan', 'terima', 'kasih', 'tsel', '']</t>
  </si>
  <si>
    <t>['kartu', 'simpati', 'beli', 'paket', 'mahal', 'trs', 'kasian', 'pelosok', 'kasian', '']</t>
  </si>
  <si>
    <t>['kualitas', 'jaringannya', 'perbaiki', 'ngga', 'lemot']</t>
  </si>
  <si>
    <t>['logika', 'mudah']</t>
  </si>
  <si>
    <t>['paket', 'mahal', 'bangat', 'lkatanya', 'murah', '']</t>
  </si>
  <si>
    <t>['program', 'bagus', 'banget', 'blum', '']</t>
  </si>
  <si>
    <t>['komplain', 'diproses', 'ganti', 'rugi', 'emang', 'mental', 'penjajah', 'kapitalis']</t>
  </si>
  <si>
    <t>['udh', 'kali', 'download', 'kebuka']</t>
  </si>
  <si>
    <t>['ngelek', 'dak', 'beli', 'mahal', 'taunya', 'jaringannya', 'ngelek', 'rugi', 'gaada', 'jaringan']</t>
  </si>
  <si>
    <t>['sbg', 'pelanggan', 'blm', 'produk', 'paket', 'hemat', 'kepuasan', 'kpd', 'konsumen']</t>
  </si>
  <si>
    <t>['pulsa', 'berkurang', 'muncul', 'pesan', 'mengaktifkan', 'paket', 'darurat', 'mengaktifkan', 'paket', 'darurat', 'mohon', 'penjelasannya', 'karna', 'merugikan']</t>
  </si>
  <si>
    <t>['ikhlas', 'jaringan', 'buruk', 'amin']</t>
  </si>
  <si>
    <t>['aplikasinya', 'dibuka', 'blank', 'putih', 'gmn', 'min', 'bolak', 'instal', 'ulang', 'gitu', 'laganan', 'jaringan', 'turun', '']</t>
  </si>
  <si>
    <t>['paraaah', 'hang', 'nyesel', 'update', 'telkomsel', '']</t>
  </si>
  <si>
    <t>['pakai', 'telkomsel', 'paketannya', 'pulsa', 'ketarik', 'tolong', 'benerin', 'pulsa', 'jngan', 'sedot', 'pas', 'pasang', 'berkurang', 'huhu', 'mengecewakan']</t>
  </si>
  <si>
    <t>['maaf', 'kasih', 'bintang', 'main', 'game', 'jaringannya', 'edge']</t>
  </si>
  <si>
    <t>['buka', 'apk', 'zonk', 'kosong', 'white', 'screen']</t>
  </si>
  <si>
    <t>['update', 'aktif']</t>
  </si>
  <si>
    <t>['aplikasi', 'bagus', 'sekaliii', '']</t>
  </si>
  <si>
    <t>['knp', 'stack', 'scereen', 'white', 'trs', 'min', 'tolong', 'perbaiki']</t>
  </si>
  <si>
    <t>['buka', 'daily', 'check', '']</t>
  </si>
  <si>
    <t>['memprihatinkan', 'daerah', 'kalimantan', 'selatan', 'jaringan', 'telkomsel', 'lemot']</t>
  </si>
  <si>
    <t>['tolong', 'perbaiki', 'masuk', 'apk', 'telkomsel', 'eror']</t>
  </si>
  <si>
    <t>['toling', 'telkomsel', 'mkin', 'skrng', 'snyalnya', 'mkin', 'buruk', 'tolong', 'fong', 'perbaiki', 'jngan', 'paketan', 'doang', 'mahalin', 'sinyal', 'jelek', 'plnggan', 'stia', 'psti', 'pindah', 'smua', 'operator']</t>
  </si>
  <si>
    <t>['aplikasi', 'rusak', 'tolong', 'perbaiki', 'telkomsel', 'beli', 'kuota', 'combo', 'sakit', 'telkomsel', 'bayar', 'pakai', 'aplikasi', 'dana', 'saldo', 'nada', 'terpotong', 'terbayar', 'kuota', 'nga', 'masuk', 'sampa', 'menipu', 'gangguan', 'aplikasi', 'telkomsel', 'tolong', 'perbaiki', 'kembalikan', 'saldo', 'dana', 'kepotong', 'kuota', 'masuk']</t>
  </si>
  <si>
    <t>['trims', 'telkomsel', 'suda', 'mmbntu', '']</t>
  </si>
  <si>
    <t>['mahal', 'harga', 'paket', 'kuota', 'paket', 'midnight', 'gunanya', 'memberatkan', 'konsumen', 'curang', 'telkomsel', 'akti', 'kuota', 'tgl', 'kadaluarsa', 'tgl', 'perbaiki', 'telkomsel', 'spt', 'pelit', '']</t>
  </si>
  <si>
    <t>['telkomsel', 'parah', 'main', 'game', 'sekelas', 'coc', 'lemot', 'bts', 'terbilang', 'bts', 'telkomsel', 'maksud', '']</t>
  </si>
  <si>
    <t>['cermati', 'kegunaan', 'aplikasi', 'mytelkomsel', 'bingung', 'membuatku', 'berputus', 'asa', 'krna', 'dikamusku', 'putus', 'asa', 'mytelkomsel', 'membuatku', 'terpesona', 'memiliki', 'aura', 'karismatik', 'memancarkan', 'layaknya', 'matahari', 'rembulan', 'siang', 'malam', 'desiran', 'ombak', 'debu', 'mata', 'terkagum', 'kagum', 'berpasir', 'pasir', 'mata', 'wawasan', 'keindahan', 'kesengsaraan', '']</t>
  </si>
  <si>
    <t>['pulsa', 'kepotong', 'pakai', 'wifi']</t>
  </si>
  <si>
    <t>['buruk', 'penggunaannya']</t>
  </si>
  <si>
    <t>['maaf', 'telkomsel', 'sanga', 'tukat', 'poin', 'data', 'pulsa', 'tampa', 'memungut', 'biaya', 'tambahan', 'tukar', 'poin', 'membeli', 'paket', 'biaya', 'penukaran', 'mahal', 'kecewa', 'banget', 'telkomsel', '']</t>
  </si>
  <si>
    <t>['tolong', 'kwalitas', 'jaringan', 'perbaiki', 'ngegame', 'super', 'jelek', 'area', 'grobogan', 'tolong', 'pesan', 'terkait', 'menganjurjan', 'komen', 'twiter', 'line', 'fungsi', 'kolom', 'komentar', '']</t>
  </si>
  <si>
    <t>['kuota', 'unlimitid', 'telkomsel', 'beli', '']</t>
  </si>
  <si>
    <t>['jaringan', 'telkomsel', 'udah', 'kayak', 'koneksi', 'terburuk', 'udah', 'kayak', 'jaringan', 'abal', 'abal', '']</t>
  </si>
  <si>
    <t>['terimakasih', 'telkomsel', 'berkat', 'dapet', 'info', 'paket', 'murah', 'hemat', 'biayaya']</t>
  </si>
  <si>
    <t>['telkomsel', 'mengecewakan', 'harga', 'kuota', 'super', 'mahal', 'jaringan', 'super', 'lemot', 'kecewa', 'pengguna', 'telkomsel', '']</t>
  </si>
  <si>
    <t>['knapa', 'masuk', 'melulu', 'dwoloud', 'ulang', 'tetep', 'masuk', '']</t>
  </si>
  <si>
    <t>['bagus', 'hadiah', 'cek', 'ganti', 'quota', 'diskon', 'zlora']</t>
  </si>
  <si>
    <t>['', 'telkomsel', 'update', 'udah', 'nggak', 'buka', 'udah', 'nggak', 'buka', 'gagal', 'produk']</t>
  </si>
  <si>
    <t>['', 'sayangnya', 'paket', 'nelp']</t>
  </si>
  <si>
    <t>['aplikasi', 'pusing']</t>
  </si>
  <si>
    <t>['maaf', 'update', 'nggak', 'dibuka', '']</t>
  </si>
  <si>
    <t>['jaringan', 'telkomsel', 'mulu', 'harga', 'mahal', 'jaringan', 'sampah', 'mending', 'pindah', 'provider', '']</t>
  </si>
  <si>
    <t>['beli', 'kuota', 'via', 'gopay', 'saldo', 'terpotong', 'kuota', 'masuk', 'beres', 'telkomsel']</t>
  </si>
  <si>
    <t>['respon', 'lambat', 'kirim', 'hadiah', 'pulsa', 'gopay', 'masuk', 'saldo', 'gopay', 'terpotong', 'kirim', 'email', 'chat', 'virtual', 'aplikasi', 'whatsapp', 'respon', 'kecewa', 'pelayanan', 'telkomsel', 'kali', 'tolong', 'diperbaiki', 'ditingkatkan', '']</t>
  </si>
  <si>
    <t>['woi', 'telkom', 'main', 'lag', 'kon', 'udh', 'bayar', 'mahal', 'lemot', 'lol']</t>
  </si>
  <si>
    <t>['gile', 'ndro', 'mahal', 'jrgan', 'ngadat', 'nguras', 'trs', 'pdhl', 'pelanggan', 'bknx', 'ngasih', 'promo', 'kacau', 'hargax', '']</t>
  </si>
  <si>
    <t>['cmn', 'layar', 'putih', 'muncul']</t>
  </si>
  <si>
    <t>['alhamdulillah', 'mudahkan', 'aplikasi']</t>
  </si>
  <si>
    <t>['isi', 'paketan', 'kali', 'msuk', '']</t>
  </si>
  <si>
    <t>['orang', 'kaya', 'pelosok', 'desa', 'jaringan', 'telkomsel', 'mohon', 'telkomsel', 'pulsa', 'ambil', 'kouta', 'sya', 'habis', 'sya', 'matikan', 'data', 'besok', 'isi', 'pls', 'membeli', 'kouta', 'ludes', 'pls', 'kali', 'tolong', 'orang', 'kaya']</t>
  </si>
  <si>
    <t>['kualitas', 'sinyal', 'dilapai', 'kota', 'padang', 'tolong', 'ditingkatkan']</t>
  </si>
  <si>
    <t>['update', 'buka', 'whitescreen', 'gimana', 'solusinya', '']</t>
  </si>
  <si>
    <t>['login', 'app', 'ribet', 'masuk', 'link', 'terkadang', 'sms', 'berisi', 'link', 'diterima', 'mambuang', 'mempersulit', 'pakai', 'user', 'name', 'password', '']</t>
  </si>
  <si>
    <t>['kartu', 'busukk', 'serba', 'mahal', 'kualitas', 'terburuk', 'makan', 'duit', 'orang', 'sesuai', '']</t>
  </si>
  <si>
    <t>['mytelkomsel', 'secepat', 'kilat', 'aksesnya', '']</t>
  </si>
  <si>
    <t>['lihat', 'kuota', 'paket', 'data', 'lihat', 'promo', 'mantab']</t>
  </si>
  <si>
    <t>['buka', 'app', 'white', 'screen', 'uninstal', 'instal', 'tetep', 'gimana', 'provider', 'terbaik', 'indonesia']</t>
  </si>
  <si>
    <t>['apk', 'telkomsel', 'bagus', 'buka', 'layar', 'putih', 'aje', '']</t>
  </si>
  <si>
    <t>['masuk', 'link', 'ribet', 'aplikasi', 'berat', 'dibuka', 'aplikasi', 'telkomsel', 'susah', 'bener', 'masuk', 'aplikasi', 'enak', 'digit', 'verifikasi', 'telkomsel', 'mengklik', 'link', 'aplikasi', 'telkomsel', 'berat', 'dibuka', 'komplain', 'masukan', 'dll', 'orang', 'telkomsel', 'udah', 'pinter']</t>
  </si>
  <si>
    <t>['telcomsel', 'nglawak', 'sumpah', 'jaringan', 'gua', 'jengkel', 'ampun', 'jaringan', 'kaya', 'gini', 'kah', 'nyadar', 'cepat', 'woe', 'giliran', 'jaringan', 'suruh', 'hubungi', 'gua', 'make', 'telcomsel', 'ngk', 'paket', 'mahal', 'jaringan', 'sesua']</t>
  </si>
  <si>
    <t>['paket', 'unlimited', 'youtube', 'pakai']</t>
  </si>
  <si>
    <t>['telkomsel', 'dibuka', 'udah', 'seminggu']</t>
  </si>
  <si>
    <t>['', 'cikande', 'serang', 'banten', 'sinyalnya', 'jelek', 'ruangan', 'zonk', '']</t>
  </si>
  <si>
    <t>['mahal', 'signal', 'jelek', 'keluhan', 'mesin', 'perbaikan']</t>
  </si>
  <si>
    <t>['ditemat', 'cimahi', 'sinyal', 'bagus']</t>
  </si>
  <si>
    <t>['akses', 'telkomsel', 'mencoba', 'update', 'mohon', 'cek', 'kendala', 'dmana', '']</t>
  </si>
  <si>
    <t>['apk', 'dibuka', 'kemaren', 'ngisi', 'paket', 'data', 'tolong', 'diperbaiki', 'apk', 'kemaren', 'kemaren', 'udah', 'bagus']</t>
  </si>
  <si>
    <t>['banget', 'aplikasi', 'masuknya', 'via', 'link', 'aplikasi', 'arahkan', 'link', 'anehhhhhh', '']</t>
  </si>
  <si>
    <t>['mengecewakan', 'paket', 'sampah', 'aktif', 'pulsa', 'dipotong', 'seenak', 'perutnya', 'hobi', 'ngerampok', 'pulsa', 'pelanggan', '']</t>
  </si>
  <si>
    <t>['telkom', 'gpp', 'kuota', 'mahal', 'jaringan', 'bagus', 'jaringan', 'jelek', 'hampas', 'oke', 'telkom', 'kesini', 'jelek', 'hampas', 'ujan', 'astaga', 'jelek', 'parah']</t>
  </si>
  <si>
    <t>['komplain', 'membeli', 'paket', 'unlemited', 'seharga', 'rb', 'pembayaran', 'gopay', 'transaksi', 'berhasil', 'saldo', 'gopay', 'terpotong', 'paket', 'kunjung', 'aktif']</t>
  </si>
  <si>
    <t>['pakai', 'telkomsel', 'aplikasi', 'terberat', 'temui', 'enteng', 'buka', 'lemooooot', 'mulu', 'jaringan', 'telkomsel', 'emg', 'bagus', 'emg', 'programer', 'apk', 'apk', 'ringan', 'buka', '']</t>
  </si>
  <si>
    <t>['nga', 'nga', 'buka', 'siiiiihhhh', 'layarnya', 'warna', 'putih', '']</t>
  </si>
  <si>
    <t>['telkomsel', 'parah', 'sinyal']</t>
  </si>
  <si>
    <t>['semoga', 'maju']</t>
  </si>
  <si>
    <t>['combo', 'asik']</t>
  </si>
  <si>
    <t>['telkomsel', 'berkualitas']</t>
  </si>
  <si>
    <t>['', 'update', 'kebuka', 'aneh', 'diupdate', 'berantakan', '']</t>
  </si>
  <si>
    <t>['ngak', 'dibuka', 'mytelkomselnya']</t>
  </si>
  <si>
    <t>['telkomsel', 'eror', 'gimana', 'kemarin', 'buka', 'udah', 'uninstal', 'instal', 'tetep', 'kebuka', 'ngeblank', 'layarnya']</t>
  </si>
  <si>
    <t>['donwlot', 'aplikasi', 'telkomsel']</t>
  </si>
  <si>
    <t>['aplikasi', 'telkomsel', 'dibuka', 'unistal', 'instal']</t>
  </si>
  <si>
    <t>['buruk', 'jaringan', 'tekomsel', 'dibagusin']</t>
  </si>
  <si>
    <t>['', 'telkomsel', 'kebuka', 'tolong', 'diperbaiki', 'secepatnya', 'haduh']</t>
  </si>
  <si>
    <t>['gimana', 'gabisa', 'kirim', 'paket', 'data', 'ngirim', 'kuota', 'ortu', 'tolong', 'diperbaiki', '']</t>
  </si>
  <si>
    <t>['membantu', 'langsung', '']</t>
  </si>
  <si>
    <t>['beli', 'paket', 'ketengan', 'kuota', 'utama', 'ketengan', 'unlimited', 'youtube', 'masuk', 'gopay', 'terpotong']</t>
  </si>
  <si>
    <t>['paketan', 'mahal', 'sinyal', 'burik', 'nyesel', 'telkomsel']</t>
  </si>
  <si>
    <t>['', 'jam', 'login', 'nge', 'blank', 'putih', 'gimana', 'paket', 'mahal', 'sinyal', 'kacau', 'untung', 'sabar', 'telkomsel']</t>
  </si>
  <si>
    <t>['update', 'aplikasinya', 'blank', 'white', '']</t>
  </si>
  <si>
    <t>['berbanding', 'terbalik', 'iklan', 'ditawarkan', 'sinyal', 'diandalkan']</t>
  </si>
  <si>
    <t>['peng', 'update', 'tan', 'app', 'susah', 'kebuka', 'app', 'pas', 'klik', 'app', 'ngeblur', 'tampilannya', 'warna', 'putih', 'muncul', 'icon', 'icon', 'menunya', '']</t>
  </si>
  <si>
    <t>['tingkat', 'snyl', 'lemot']</t>
  </si>
  <si>
    <t>['aplikasi', 'membantu', 'thankyou', 'telkomsel', '']</t>
  </si>
  <si>
    <t>['engak', 'buka', 'telkomsel']</t>
  </si>
  <si>
    <t>['diupdate', 'akses', 'payah', 'telkomsel', '']</t>
  </si>
  <si>
    <t>['telkomsel', 'slldi', '']</t>
  </si>
  <si>
    <t>['aplikasi', 'dibuka', 'ngeblank', 'aplikasi', 'berat', 'hank', 'jaringan', 'telkomsel', 'ditempatku', 'drop', 'pakai', 'telkomsel', 'karna', 'unggul', 'mahal', 'skrg', 'beda', 'tolong', 'telkomsel', 'diperbaiki', 'karna', 'provider', 'ditempatku', 'bagus', 'murah', '']</t>
  </si>
  <si>
    <t>['pas', 'lihat', 'sisa', 'kwota', 'screenya', 'putih', 'mulu', 'telkomsel', 'toling', 'perbaiki', 'secepatnya', 'kebutuhan', 'sekolah', 'ptm']</t>
  </si>
  <si>
    <t>['paketan', 'internet', 'suka', 'ilang', 'ilangan', 'mulu']</t>
  </si>
  <si>
    <t>['ribet', 'susah', 'masuk']</t>
  </si>
  <si>
    <t>['mohon', 'kartu', 'halo', 'pascabayar', 'diaktifkan', 'byr', 'bulanan', 'knp', 'msh', 'diblokir', 'tagihan', 'byr', 'mengalir', 'mohon', 'kominfo', 'teguran', 'telkomsel', 'masyarakat', 'melulu', 'dirugikan', 'trs', 'melindungi', 'perusahaan', 'perbaiki', 'kualitas', 'jaringan', 'internetnya', 'merugikan', 'pengguna', 'trs', 'negara', 'laen', 'dituntut', 'perusahaan', 'pelanggan', 'dirugikan', '']</t>
  </si>
  <si>
    <t>['mhon', 'fungsi', 'aplikasi', 'lbh', 'dipermudah', 'trll', 'rumit']</t>
  </si>
  <si>
    <t>['sinyal', 'jelek', 'kuota', 'mahaal']</t>
  </si>
  <si>
    <t>['isi', 'kuota', 'ketengan', 'tiktok', 'unlimited', 'dipakai', 'tiktok', 'kena', 'kuota', 'utama', 'maaf', 'bintangnya', 'dikurangi']</t>
  </si>
  <si>
    <t>['jaringan', 'bagus', '']</t>
  </si>
  <si>
    <t>['tolong', 'operator', 'telkom', 'knp', 'hbs', 'update', 'apk', 'telkomnya', 'buka', 'tolong', 'perbaiki']</t>
  </si>
  <si>
    <t>['apk', 'abis', 'update', 'buka', '']</t>
  </si>
  <si>
    <t>['', 'telkomsel', 'juara', 'lemooot', 'lemoot', 'lemoooot', 'keong', 'lokasi', 'riau', 'telkomsel', 'lemot', 'tulisan', 'doang', 'ping', 'ping', 'taiiik']</t>
  </si>
  <si>
    <t>['astungkara', 'berkah', 'signal', 'dll']</t>
  </si>
  <si>
    <t>['jaringan', 'udh', 'nggak', 'bagus', 'udh', 'nggak', 'urus', 'jaringannya', 'kecewa', 'banget', 'telkomsel']</t>
  </si>
  <si>
    <t>['mhn', 'diperbaiki', 'jaringan', 'balekambang', 'malang', 'selatan', 'trouble', 'jaring', 'parah', 'poool', 'masak', 'hujan', 'jaringan', 'mati', 'angin', 'jaringan', 'mati', 'listrik', 'padam', 'jaringan', 'mati']</t>
  </si>
  <si>
    <t>['kak', 'maaf', 'mengganggu', 'keluhan', 'sinyal', 'daerah', 'bangka', 'belitung', 'stabil', 'internet', 'mendownload', 'aplikasi', 'buka', 'internet', 'cepat', 'kendala', 'pkai', 'apk', 'tidk', 'menelfon', 'telfon', 'mohon', 'kerja', 'samanya']</t>
  </si>
  <si>
    <t>['aplikasi', 'bagus', 'sayang', 'kuota', 'habis', 'langsung', 'sedot', 'pulsa', 'kuota', 'habis', 'sedot', 'pulsanya', 'non', 'aktifkan', 'anehnya', 'update', 'buka']</t>
  </si>
  <si>
    <t>['puas', 'mempermudah', 'transaksi', 'beli', 'pulsa', 'kuota', 'data', 'internet']</t>
  </si>
  <si>
    <t>['voucher', 'paketgamemax', 'gue', '']</t>
  </si>
  <si>
    <t>['versi', 'aplikasinya', 'rusak', 'dibuka', 'tolong', 'diperbaiki', 'bugnya', '']</t>
  </si>
  <si>
    <t>['seminggu', 'aplikasi', 'burukkk', 'sangattt', 'burukkkk', 'dibuka', 'screen', 'putih', 'mulu', 'erorrr', 'perbaiki', 'donk', '']</t>
  </si>
  <si>
    <t>['parah', 'gan', 'hrga', 'paket', '']</t>
  </si>
  <si>
    <t>['knapa', 'skang', 'mytelkomsel', 'ribetnya', 'main', 'udh', 'jringan', 'lemot', 'masuk', 'kode', 'frefikasi', 'ribet', 'bnget']</t>
  </si>
  <si>
    <t>['update', 'versi', 'terbaru', 'blank', 'screen', 'masuk', 'aplikasi', 'coba', 'install', 'ulang', 'tetep', '']</t>
  </si>
  <si>
    <t>['jaringan', 'telkomsel', 'lelet', '']</t>
  </si>
  <si>
    <t>['selamat', 'malam', 'kak', 'membeli', 'pulsa', 'senilai', 'ribu', 'app', 'telkomsel', 'pembayaran', 'via', 'shoope', 'pay', 'shopee', 'pay', 'terpotong', 'pulsa', 'kunjung', 'masuk', 'mohon', 'bantuannya', 'kak']</t>
  </si>
  <si>
    <t>['knp', 'aplikasi', 'mytelkomsel', 'skrg', 'buka', 'harga', 'mahal', 'jaringan', 'banyakan', 'muter', '']</t>
  </si>
  <si>
    <t>['sangattt', 'bagus', 'menarik']</t>
  </si>
  <si>
    <t>['tolong', 'perbaiki', 'beli', 'paket', 'darurat', 'kebeli', 'ngutang', 'pulsa', 'kesal']</t>
  </si>
  <si>
    <t>['mudah', 'praktis', '']</t>
  </si>
  <si>
    <t>['simpati', 'udah', 'gajelas', 'jaringan', 'buruk', 'mulu', 'pakai', 'main', 'game', 'mati', 'data', 'aneh', 'sumpahh']</t>
  </si>
  <si>
    <t>['harga', 'paketan', 'data', 'mahal', 'aplikasinya', 'buka', 'buka', 'mah', 'nge', 'balnk', 'putih', 'udah', 'tungguin', 'tetep', 'nge', 'blank', 'putih', 'masuk', 'masuk', 'menu', 'home', 'screen', '']</t>
  </si>
  <si>
    <t>['udah', 'belasan', 'sel']</t>
  </si>
  <si>
    <t>['bedanya', 'skrg', 'jaringannya', 'kaya']</t>
  </si>
  <si>
    <t>['jaringan', 'jelek', 'harga', 'mahal', 'males', 'isi', 'kuota', 'mending', 'ganti', '']</t>
  </si>
  <si>
    <t>['aplikasi', 'dibuka', 'udah', 'seminggu', 'reset', 'download', 'ulang', 'mohon', 'penjelasan', '']</t>
  </si>
  <si>
    <t>['perbanyak', 'promo']</t>
  </si>
  <si>
    <t>['apps', 'dibsa', 'dibuka', 'berhasil', 'download', 'emang', 'telomsel', 'harga', 'mahal', 'gajelas']</t>
  </si>
  <si>
    <t>['abis', 'update', 'dibuka', 'nyesel', 'banget', 'layarnya', 'putih', 'perbaiki']</t>
  </si>
  <si>
    <t>['jaringan', 'bagus', 'sebelah', 'mahal', 'baget', 'paket', 'paket', 'tolong', 'toloooooong', 'baget', 'sungguh', 'tolooooong', 'banget', 'dibikin', 'lock', 'pulsa', 'banget', 'pulsanya', 'keserot', 'gara', 'mode', 'lock', 'pulsa', 'lupa', 'ganti', 'sim', 'card', 'hidupin', 'data', 'bentar', 'pulsanya', 'udah', 'hilang', 'banget', '']</t>
  </si>
  <si>
    <t>['kebiasaan', 'paket', 'datanya', 'habis', 'kuotanya', 'lelet', 'pdhl', 'udah', 'beli', 'kemarin', 'nambah', 'kuotanya', 'jir']</t>
  </si>
  <si>
    <t>['', 'paket', 'kebagi', 'apk', 'mahal', 'mah', 'provider', 'milik', 'orang', 'asing']</t>
  </si>
  <si>
    <t>['lancar', 'jaya', 'nemakai', 'telkomsel', 'siippp', 'suka', 'tolong', 'pertahankan', 'tingkatkan', 'berlangganan', 'puluhan', 'setia', 'telkomsel']</t>
  </si>
  <si>
    <t>['udah', 'isi', 'karna', 'kemaren', 'mahal', 'bangt', 'kuota', 'murah', 'emng', 'kandang', 'telkomsel', 'bener', '']</t>
  </si>
  <si>
    <t>['apknya', 'dibuka', 'kemarin', 'dibuka', 'tsl', 'aneh']</t>
  </si>
  <si>
    <t>['', 'dibuka', 'aplikasi', 'sya', 'udh', 'hapus', 'instal', 'hapus', 'install', 'huhhhhh']</t>
  </si>
  <si>
    <t>['bersifat', 'publikseta', 'nyertakan', 'infoakun']</t>
  </si>
  <si>
    <t>['thnks', 'telkomsel', 'wifi', 'mati', 'sinyal', 'bagus', 'isi', 'ulang', 'permudah', 'jugaaa', 'pokknyaa', 'ter', '']</t>
  </si>
  <si>
    <t>['mantap', 'cepat', 'responya', 'tekan', 'nlpn', 'langsung', '']</t>
  </si>
  <si>
    <t>['telkomsel', 'hrs', 'promosi', 'bonus', 'pelanggan']</t>
  </si>
  <si>
    <t>['aplikasi', 'isi', 'diamond', 'game', 'min', 'download', 'aplikasi', 'telkomsel', 'min']</t>
  </si>
  <si>
    <t>['pke', 'aplikasi', 'pulsa', 'kepotong', 'cloudmax', 'pdhl', 'prnh', 'daftar', 'cloudmax', 'non', 'aktifin', 'hrs', 'download', 'aplikasi', 'udh', 'download', 'tanda', 'non', 'aktikan', 'mempersulit', 'hrsnya', 'sms']</t>
  </si>
  <si>
    <t>['diupdet', 'putih']</t>
  </si>
  <si>
    <t>['peayanan', 'grapari', 'membantu']</t>
  </si>
  <si>
    <t>['', 'buka', 'apk', 'telkomsel', 'knp', 'tampilannya', 'putih', 'maksudnya', '']</t>
  </si>
  <si>
    <t>['apk', 'loading', 'coba', 'instal', 'ulang', 'normal', 'kualitas', 'sinyal', 'telkomsel', 'bagus', 'tolong', 'perbaiki']</t>
  </si>
  <si>
    <t>['lumayan', 'stabil', 'bonusan']</t>
  </si>
  <si>
    <t>['udah', 'fix', 'simpati', 'sinyal', 'terburuk', 'nomer', 'diindo']</t>
  </si>
  <si>
    <t>['jaringannya', 'lemot', 'ilang', 'ilang', '']</t>
  </si>
  <si>
    <t>['hai', 'telkom', 'nanya', 'jaringan', 'telkom', 'bagus', 'yaa', '']</t>
  </si>
  <si>
    <t>['diupdate', 'lelet', 'opening']</t>
  </si>
  <si>
    <t>['bagus', 'signal', 'kuat', 'paketnya', 'murah', 'pokoknya', 'terjangkau', 'kalangan', 'kebawah', 'trims', 'telkomsel', '']</t>
  </si>
  <si>
    <t>['jaringan', 'semankin', 'berantakan', 'lelet', 'download', 'telkomsel', 'buka', '']</t>
  </si>
  <si>
    <t>['tolong', 'bantuannya', 'apk', 'white', 'screen', 'paket', 'habis', 'gabisa', 'ngisi', 'gini', 'lawas', 'tolong', 'cepet', 'diperbaiki']</t>
  </si>
  <si>
    <t>['mudah', 'pilihan', 'paket', 'data', '']</t>
  </si>
  <si>
    <t>['berhari', 'apk', 'error', 'knpa', 'blm', 'perubahan', 'tolong', 'cpt', 'diperbaiki']</t>
  </si>
  <si>
    <t>['min', 'masuk', 'aplikasinya', 'screen', 'white', 'tungguin', 'menitan', 'masuk', 'masuk', 'tolong', 'perbaikan', 'tpi', 'lancar']</t>
  </si>
  <si>
    <t>['paraahhh', 'sihh', 'rugi', 'isi', 'pulsa', 'dana', 'udh', 'kpotong', 'pulsa', 'masukk', 'bgtu', 'yaa', 'trnyta', 'krj', 'sistemnya', 'beralih', 'lainn']</t>
  </si>
  <si>
    <t>['mohon', 'maaf', 'uninstal', 'buka', 'muncul', 'screen', 'putih', 'pelanggan', 'update', 'tgl', 'kayak', 'ngeblank', 'telpon', 'operator', 'disuruh', 'uninstal', 'dipasang', 'hasilnya', 'mohon', 'perbaiki', 'sistemnya', 'pelanggan', 'kecewa', 'terima', 'kasih', '']</t>
  </si>
  <si>
    <t>['aplikasnya', 'buruk', 'buka', 'apk', 'layar', 'putih', 'trusssss', 'buang', 'pulsa', '']</t>
  </si>
  <si>
    <t>['lumayan', 'cek', 'kuota', 'detail']</t>
  </si>
  <si>
    <t>['jaringannya', 'benerin', 'paketannya', 'dimahalin', 'paraaahhhh', '']</t>
  </si>
  <si>
    <t>['syaa', 'buka', 'langsung', 'white', 'screen', 'tolong', 'perbaikin', 'bug']</t>
  </si>
  <si>
    <t>['huftt', 'sinyal', 'buruk', 'desa', 'kota', 'memuaskan', 'buruk', 'jaringan', 'jelek', 'jaringan', 'sebelah', 'telkomsel', 'perubahan', 'abis', 'beli', 'kuota', 'jelek', 'bnyk', 'kekurangan', 'buruk', 'jaringanya', 'bukanya', 'perbaiki', 'suruh', 'twitter', '']</t>
  </si>
  <si>
    <t>['apknya', 'kemaren', 'eror', 'udah', 'uninstal', 'ulang', 'tetep', 'telkomsel', 'terkenal', 'bagus', 'jaringannya', 'mahal', 'apk', 'lemot', 'banget', 'apknya']</t>
  </si>
  <si>
    <t>['aplikasi', 'gabisa', 'kebuka', 'penampilan', 'layar', 'putih', 'doang', 'gimana', '']</t>
  </si>
  <si>
    <t>['lawan']</t>
  </si>
  <si>
    <t>['telkomsel', 'kenapasi', 'jaringan', 'apknya', 'gajelas', 'apknya', 'pas', 'masuk', 'layar', 'putih', 'doang', 'gabisa', 'masuk', 'udah', 'nunggu', 'banget', 'mohon', 'diperbaiki', 'gini', 'ganti', 'kartu', 'ajadeh', '']</t>
  </si>
  <si>
    <t>['simpati', 'bankek', 'sinyal', 'wonoayu', 'sidoarjo', 'jawa', 'timur']</t>
  </si>
  <si>
    <t>['', 'update', 'bagus', 'parah', 'apk', 'buka', 'layar', 'putih', 'tlong', 'perbaiki', '']</t>
  </si>
  <si>
    <t>['membantu', 'mantapp']</t>
  </si>
  <si>
    <t>['', 'parah', 'aplikasi', 'ngeblank', 'putih', 'buka', 'duuh', 'parah', '']</t>
  </si>
  <si>
    <t>['promo', 'combo', 'saktinya']</t>
  </si>
  <si>
    <t>['telkomsel', 'eror', 'gimana', 'dibuka', 'tolong', 'benerin']</t>
  </si>
  <si>
    <t>['kuota', 'combo', 'sakti', 'hilang', 'beli']</t>
  </si>
  <si>
    <t>['apk', 'cek', 'quota', 'lwat', 'dial', 'pas', 'cek', 'lwat', 'apk', 'muncul', 'dpat', 'memuat', 'halaman', 'maaf', 'kesalahan', 'sistem', '']</t>
  </si>
  <si>
    <t>['semoga', 'hadiah', 'mobil', 'aminn']</t>
  </si>
  <si>
    <t>['', 'telkomselnya', 'akses', 'knpa', '']</t>
  </si>
  <si>
    <t>['kasih', 'kuota', 'gratis', 'lahh']</t>
  </si>
  <si>
    <t>['waah', 'parah', 'sinyal', 'desember', 'wafat', 'sinyal', 'telkomsel']</t>
  </si>
  <si>
    <t>['informasi', 'telkomsel', 'harga', 'lengkap']</t>
  </si>
  <si>
    <t>['diperbarui', 'apk', 'dibuka', 'layar', 'putih']</t>
  </si>
  <si>
    <t>['gua', 'jelek', 'gimana', 'knp', 'aplikasi', 'ngk', 'bukak', '']</t>
  </si>
  <si>
    <t>['', 'lma', 'aplikasi', 'telkomsel', 'poin', 'bli', 'undian', 'poin', '']</t>
  </si>
  <si>
    <t>['apl', 'telkomselnya', 'dibuka', '']</t>
  </si>
  <si>
    <t>['hidup', 'sederhana']</t>
  </si>
  <si>
    <t>['sinyal', 'burik', 'harga', 'mahal', 'mgegame', 'sring', 'lag', 'udh', 'pketan', 'kusus', 'game', 'ttp', 'ngelag', 'suka', 'pke', 'indosat']</t>
  </si>
  <si>
    <t>['beli', 'paket', 'maxstrem', 'udah', 'downlod', 'apk', 'maxstrem', 'kuota', 'maxstrem', 'ambil', 'knpa', 'kuota', 'utama', 'ambil', 'tolol', 'pengguna', 'telkomsel', 'sengaja', 'fikir', 'deh', 'nonton', 'mxstrem']</t>
  </si>
  <si>
    <t>['buka', 'aplikasi', 'mytelkomsel', 'putih', 'melulu', 'layarnya', 'loading', 'jaringan', 'bagus']</t>
  </si>
  <si>
    <t>['pas', 'main', 'game', 'sinyal', 'lag', 'padaha', 'lancar', 'capek', 'gini']</t>
  </si>
  <si>
    <t>['butut', 'apk', 'mytelkomsel', 'gangguan', 'mulu', 'buka', 'apk', 'transaksi', 'udah', 'mahal', 'paketnya', 'butut', 'apk', 'mytelkomselnya', 'signal', 'bagus', 'apk', 'susah', 'dibuka', '']</t>
  </si>
  <si>
    <t>['saldo', 'udah', 'dipotong', 'paket', 'internetnya', 'masuk']</t>
  </si>
  <si>
    <t>['biaya', 'potongan', 'transfer', 'pulsanya', 'mahal', 'ribu', 'potongan', 'pulsa', 'pulsa', 'operator', '']</t>
  </si>
  <si>
    <t>['dibuka', 'aplikasi', 'pembaharuan', 'terbaru']</t>
  </si>
  <si>
    <t>['mohon', 'perhatikan', 'minggu', 'membuka', 'mytelkomsel', 'white', 'screen', 'diperbaiki', '']</t>
  </si>
  <si>
    <t>['sumpahhh', 'susah', 'aplikasi', 'beli', 'paket', 'buka', 'aplikasinya', 'susah', 'biiiangetttt', 'gimana', 'beli', 'paket', 'aplikasi', 'buka']</t>
  </si>
  <si>
    <t>['halo', 'telkomsel', 'dibukak', 'cuman', 'memutih', 'layarnya', 'dicoba', 'uninstall', 'kali', 'dicoba', 'hapus', 'chace']</t>
  </si>
  <si>
    <t>['instal', 'android', 'terimakasih', 'respon']</t>
  </si>
  <si>
    <t>['mantap', 'coy']</t>
  </si>
  <si>
    <t>['aplikasinya', 'ngga', 'buka', 'update']</t>
  </si>
  <si>
    <t>['aplikasi', 'buka', 'tolong', 'info', '']</t>
  </si>
  <si>
    <t>['sayah', 'senang', 'udah', 'pakai', 'kartu', 'telkomsel', 'bayak', 'pormonya']</t>
  </si>
  <si>
    <t>['sinyal', 'mantap', 'ngegame', 'joss', 'lahh', '']</t>
  </si>
  <si>
    <t>['habis', 'pembaharuan', 'akses', 'aneh', '']</t>
  </si>
  <si>
    <t>['app', 'telkomsel', 'tuker', 'poin', 'kuota', 'mesti', 'nambah', 'duit', 'ngadain', 'hadiah', 'suruh', 'klaim', 'check', 'mesti', 'pulsa', 'hadeuhh', 'namanya', 'klaim', 'buka', 'aplikasi', 'dikit', 'duit', 'ikhlas', 'ngasi', 'hadiah', 'customer', 'keliatan', 'mihak', 'customer', 'blm', 'lgi', 'hrga', 'mahal', 'jaringan', 'ancur', 'bener', 'payah', '']</t>
  </si>
  <si>
    <t>['harga', 'doang', 'mahal', 'sinyalnya', 'jelek']</t>
  </si>
  <si>
    <t>['cepet', 'prosesnya', 'bali', 'paket', 'pulsa', 'signalnya', 'stabil', '']</t>
  </si>
  <si>
    <t>['seenak', 'operator', 'disaat', 'gua', 'nyaman', 'ama', 'paket', 'data', 'murah', 'harga', 'terjankau', 'ehmalah', 'hilangin', 'paket', 'murah', 'gua', 'pindaah', 'oerator', 'murah', '']</t>
  </si>
  <si>
    <t>['kartu', 'tolol', 'sinyal', 'jelek', 'harga', 'mahal']</t>
  </si>
  <si>
    <t>['tolong', 'apknya', 'blank', 'putih', 'doang', 'woi']</t>
  </si>
  <si>
    <t>['bayar', 'paket', 'data', 'mahal', 'kualitas', 'jaringan', 'buruk', 'merugikan', 'pengguna', 'tolong', 'diperhatikan', 'untungnya', 'doang', 'perduli', 'keluhan', 'konsumen', 'wilayah', 'aceh', 'timur', 'buruk', 'kualitas', 'sinyal', 'wilayah', 'peudawa', '']</t>
  </si>
  <si>
    <t>['gua', 'udah', 'ikhlasin', 'terserah', 'apah']</t>
  </si>
  <si>
    <t>['jaringan', 'tsel', 'kek', 'anjing', 'babi', '']</t>
  </si>
  <si>
    <t>['terbuka', 'samsung']</t>
  </si>
  <si>
    <t>['apliaksi', 'rada', 'susah', 'masuk', 'detail', 'coba', 'coba', '']</t>
  </si>
  <si>
    <t>['harga', 'paket', 'internet', 'mahal', 'kualitas', 'sinyal', 'buruk', 'jawa', 'barat', 'karna', 'thn', 'mah', 'ganti', 'handphone', 'kecewa', '']</t>
  </si>
  <si>
    <t>['sinyal', 'telkomsel', 'kaya', 'kuda']</t>
  </si>
  <si>
    <t>['aplikasi', 'telkomsel', 'eror', 'layar', 'putih', 'muncul', 'tolong', 'bantu', '']</t>
  </si>
  <si>
    <t>['tolong', 'diperbaiki', 'mind', 'diaplikasi', 'white', 'screen', 'dihp']</t>
  </si>
  <si>
    <t>['parah', 'knpa', 'parah', 'akses', 'masuk', 'jaringan', 'bagus', 'update', 'terpenuhi', 'mangkin', 'lemot', 'banget', 'ram', 'lemot', 'pelayanan', 'bagus', 'respon', 'aflikasi', 'loading', 'berujung', 'error', '']</t>
  </si>
  <si>
    <t>['gangguan', 'beli', 'paket', 'jenjang', 'gangguan', 'gini', 'mohon', 'tinjau']</t>
  </si>
  <si>
    <t>['jaringanya', 'jelek', 'banget', 'sumpah', 'kirain', 'harga', 'segitu', 'jaringanya', 'bagus', 'tolong', 'harga', 'naikin', 'kualitas', 'jaringan', 'mohon', 'perbaiki', 'sanggup', 'beli', 'ratusan', 'ngeleg', 'mohon', 'perbaiki', '']</t>
  </si>
  <si>
    <t>['maaf', 'kasih', 'bintang', 'emang', 'sekesal', 'download', 'aplikasi', 'memudahkan', 'memantau', 'sisa', 'kuota', 'pulsa', 'isi', 'ulang', 'gimana', 'memudahkan', 'dibuka', 'dibula', 'layar', 'putih', 'tampil', 'tolong', 'benerin', 'bener', 'bener', 'dibenerin', 'udah', 'pakai', 'telkomsel', 'kesini', 'turun', 'performa', 'maunya', 'allah', '']</t>
  </si>
  <si>
    <t>['jaringan', 'stabil', 'jaringan', 'internet', 'hilang', 'emosi', 'tolong', 'jaringan', 'atasin', 'dlu', 'deh', 'kalah', 'operator', 'mendingan', 'pindah', 'operator', 'separah', 'bye', 'bye', 'telkomsel']</t>
  </si>
  <si>
    <t>['pas', 'buka', 'apk', 'mytelkomsel', 'layar', 'putih', 'warnanya', 'mending', 'layar', 'tancep', 'apk', 'mytelkomsel', 'mudah', 'lengkap', 'lengkap', 'warnanya', 'putih', 'layar', '']</t>
  </si>
  <si>
    <t>['aplikasi', 'whitescreen', 'kaya', 'pengguna', 'udah', 'terlanjur', 'beli', 'pulsa', 'dipaketin', 'pulsa', 'kepotong', 'beli', 'pulsa', 'takut', 'kepotong', 'payah', 'jaringan', 'indosat', 'maketin', 'pengennya', 'murah', 'pulsa', 'habis', 'paketan', 'dpt', 'payaaahhhh', '']</t>
  </si>
  <si>
    <t>['abis', 'diupgrade', 'telkomsel', 'dibuka', 'tolong', 'dikasih', 'solusinya']</t>
  </si>
  <si>
    <t>['', 'telkomsel', 'terbaik', '']</t>
  </si>
  <si>
    <t>['area', 'kota', 'solok', 'telkomsel', 'jelek', 'gimana', 'bos', 'kayak', 'gini', 'kartu', 'telkomsel', 'kayak', 'gini', 'jaringan', '']</t>
  </si>
  <si>
    <t>['telkomsel', 'realme', 'nggak', 'kebuka', 'berkali', 'kali', 'nggak']</t>
  </si>
  <si>
    <t>['aplikasi', 'ngeblank', 'android', 'ngga', 'aplikasinya', '']</t>
  </si>
  <si>
    <t>['pulsa', 'ilang', 'tolong', 'jelasin', '']</t>
  </si>
  <si>
    <t>['data', 'indosat', 'dapet', 'sms', 'tlksel', 'akses', 'internet', 'tarif', 'non', 'paket', 'stress', 'tlksel', 'pulsa', 'gue', 'abisss', 'aplikasi', 'lemot', 'gabisa', 'dibuka', 'kecewa', 'telkomsel', 'bobrok']</t>
  </si>
  <si>
    <t>['pilihan', 'paketnya', 'harga', 'menarik', 'rumah', '']</t>
  </si>
  <si>
    <t>['mantab', 'kadang', 'lag']</t>
  </si>
  <si>
    <t>['harga', 'kualitas', 'jaringan', 'sampah']</t>
  </si>
  <si>
    <t>['setalah', 'update', 'aplikasi', 'muncul', 'cahaya', 'putih', 'layar', 'mohon', 'berwajib', 'perbaiki', 'bug', 'pelanggan', 'keberatan', 'terima', 'kasih']</t>
  </si>
  <si>
    <t>['telkomsel', 'perbaru', 'buka', 'tolong', 'telkomsel', 'perbaiki']</t>
  </si>
  <si>
    <t>['memudahkan', 'membeli', 'paket', 'data']</t>
  </si>
  <si>
    <t>['', 'pemakaian', 'promo', 'murah', 'member', 'gold', 'dasarnya', 'telkomsel', 'pelit', '']</t>
  </si>
  <si>
    <t>['', 'telkonsek', 'memudahkan', 'lamcar', 'komunikasi', 'urusan', 'dpt', 'terselesaikan', 'mudah', 'cepat']</t>
  </si>
  <si>
    <t>['pelayanan', 'buruk', 'respons']</t>
  </si>
  <si>
    <t>['update', 'jdi', 'buka', 'udah', 'hps', 'trus', 'download', 'ulng', 'udah', 'tetep', 'buka', '']</t>
  </si>
  <si>
    <t>['harga', 'sesuai', 'kualitas', 'jaringan', 'tingkat', 'keborosan', 'gini', 'telkomsel', 'lelet', 'banget', 'kadang', 'hilang', 'pulak', 'sinyal', '']</t>
  </si>
  <si>
    <t>['jaringan', 'stabil', 'ketik', 'apk', 'membantu', 'cek', 'kuota']</t>
  </si>
  <si>
    <t>['point', 'ngga', 'tukar', 'ngga', 'bahasa', 'indonya', '']</t>
  </si>
  <si>
    <t>['mahal', 'kuotanya', '']</t>
  </si>
  <si>
    <t>['aplikasinya', 'kali', 'install', 'ulang', 'white', 'screen', 'mohon', 'perbaiki']</t>
  </si>
  <si>
    <t>['perbaharui', 'nggak', 'buka', 'maaf', 'turunin', 'bintang']</t>
  </si>
  <si>
    <t>['buruk', 'telkomsel', 'gimana', 'laku', 'perbaiki']</t>
  </si>
  <si>
    <t>['simcard', 'kimak', 'kau', 'poin', 'gausah', 'pulsa', 'kaya', 'gimana', 'udah', 'paket', 'mahal', 'poin', 'reedem', 'pulsa', 'itupun', 'hasil', 'redemnya', 'malas', 'kali']</t>
  </si>
  <si>
    <t>['bagus', 'mudah', '']</t>
  </si>
  <si>
    <t>['mudah', 'bagus']</t>
  </si>
  <si>
    <t>['sinyal', 'lemot', 'paket', 'combo', 'saktinya', 'menghilang', 'paket', 'mahal', 'lemotnya', 'ampun', 'pokonya', 'kecewa', 'deh', 'alhasil', 'ganti', 'provider', '']</t>
  </si>
  <si>
    <t>['nanya', 'min', 'buka', 'telkomsel', 'loading', 'masuk', 'cepet', 'update', 'masuk', '']</t>
  </si>
  <si>
    <t>['mohon', 'bantuannya', 'kartu', 'masuk', 'promo', 'kuota', 'bulannya', 'isi', 'pulsa', '']</t>
  </si>
  <si>
    <t>['sungguh', 'mengecewakn', 'pdahal', 'udah', 'telkomsel', 'lbih', 'th', 'napa', 'telkomsel', 'bohongnya', 'trus', 'apk', 'jlek', 'jaringannya', 'apk', 'tidk', 'buka', 'udah', 'update', 'brapa', 'kbuka', 'harganya', 'gila', 'mahal', 'tolong', 'min', 'prhatiannya', 'tingkatkan', 'keluhkan', 'pelanggan', 'perbaiki', '']</t>
  </si>
  <si>
    <t>['apk', 'dipaksa', 'update', 'udh', 'update', 'apk', 'buka', 'apk', 'hello', 'telkomsel', 'tolong', '']</t>
  </si>
  <si>
    <t>['knpa', 'kebuka']</t>
  </si>
  <si>
    <t>['permisi', 'telkomsel', 'sore', 'membeli', 'pulsa', 'rupiah', 'membeli', 'kuota', 'ketengan', 'whatsapp', 'kuota', 'masuk', 'pulsa', 'terpotong', 'tes', 'whatsapp', 'pulsa', 'terpotong', 'habis', 'mohon', 'respon']</t>
  </si>
  <si>
    <t>['parah', 'kartu', 'sma', 'paketan', 'mahal', 'sinyal', 'parah', '']</t>
  </si>
  <si>
    <t>['parah', 'paketan', 'berlangan', 'kuota', 'game', 'kuota', 'kuota', 'dipake', 'tpi', 'benerin', 'telkomsel', 'merugikan', '']</t>
  </si>
  <si>
    <t>['update', 'tampilannya', 'putih', 'gimana', '']</t>
  </si>
  <si>
    <t>['sumpah', 'bohong', 'gua', 'dapet', 'paket', 'gb', 'udah', 'gua', 'isi', 'karna', 'gua', 'perjalanan', 'pas', 'udah', 'berhasil', 'transaksi', 'paket', 'gaada', 'cok', 'kesel', 'pulsa', 'gua', 'kesedot', 'harga', 'gua', 'butuh', 'paket', 'karna', 'gua', 'jalan', 'ngehambat', 'banget', 'jujur', 'kecewa', 'telkomsel', '']</t>
  </si>
  <si>
    <t>['tolong', 'perbaiki', 'jaringannya', 'beli', 'kuota', 'game', 'max', 'kepakai', 'gegara', 'sinyal', 'login', 'game', 'sinyal', 'berubah', 'wajar', '']</t>
  </si>
  <si>
    <t>['paketan', 'mahal', 'sinyal', 'ngelag', 'ngelag', 'kaya', 'dipedalaman']</t>
  </si>
  <si>
    <t>['telkomsel', 'kualitas', 'internet', 'sinyal', 'telepon', 'tarif', 'paket', 'telepon', 'internet', 'memuaskan', 'pokoknya', 'telkomsel', 'tiada', 'tandingannya']</t>
  </si>
  <si>
    <t>['', 'tekomsel', 'aplikasi', 'buka', 'tolong', 'perbaiki', 'lancar', 'cepat', 'respon', 'yaaaa']</t>
  </si>
  <si>
    <t>['jaringan', 'jakarta', 'pusat', 'gini']</t>
  </si>
  <si>
    <t>['pulsa', 'kepotong', 'internetan', 'pakai', 'provider', 'sim', 'anehnya', 'pulsa', 'telkomsel', 'terpakai', 'emang', 'telkomsel', 'provider', 'kocak']</t>
  </si>
  <si>
    <t>['min', 'pas', 'buka', 'apknya', 'muncul', 'layar', 'putih', 'mohon', 'bantuannya']</t>
  </si>
  <si>
    <t>['kuota', 'nonton', 'youtube', 'tik', 'tok', 'penipuan']</t>
  </si>
  <si>
    <t>['sumpah', 'bobrok', 'telkomsel', 'beli', 'paket', 'beratus', 'ratus', 'ribu', 'paket', 'kuota', 'ketengan', 'chat', 'veronika', 'ajukan', 'keluhan', 'loading', '']</t>
  </si>
  <si>
    <t>['aplikasi', 'buruk', 'diintal', 'kebuka']</t>
  </si>
  <si>
    <t>['membantu', 'pengaksesan', 'internet', 'aplikasi', 'telkomsel']</t>
  </si>
  <si>
    <t>['bagus', 'murah', 'enak', 'ribet']</t>
  </si>
  <si>
    <t>['stuck', 'layar', 'putih']</t>
  </si>
  <si>
    <t>['assalamu', 'alaikum', 'simpati', 'suka', 'signal', 'super', 'bagus', 'lancar', 'update', 'aplikasi', 'mytelkomsel', 'buka', 'mohon', 'perbaiki', 'gmn', 'sisa', 'kuota', 'dll', '']</t>
  </si>
  <si>
    <t>['terimakasih', 'bermanfaat', '']</t>
  </si>
  <si>
    <t>['sangan', 'bagus', 'tolong', 'kuota', 'tuker', 'poin', 'pulsa', 'kalonpoin', 'poin', 'enak']</t>
  </si>
  <si>
    <t>['perbaiki', 'stak', 'warna', 'putih']</t>
  </si>
  <si>
    <t>['mantaf', 'dilakikan', 'online', 'praktis']</t>
  </si>
  <si>
    <t>['hapus', 'paket', 'gimana', 'bos']</t>
  </si>
  <si>
    <t>['update', 'aplikasinya', 'update', 'aplikasinya', 'pas', 'dibuka', 'muncul', 'layar', 'putih', 'uninstal', 'trs', 'instal', 'ulang', 'tolong', 'aplikasix', 'diperbaiki', 'secepatnya', 'pengguna', 'telkomsel', 'isi', 'plsa', 'paket', 'data', 'aplikasi', '']</t>
  </si>
  <si>
    <t>['kuota', 'balikin', 'beli', 'kemahalan', 'ngotak']</t>
  </si>
  <si>
    <t>['kualitas', 'sinyal', 'telkomsel', 'buruk', 'mahal', 'embel', 'embel', '']</t>
  </si>
  <si>
    <t>['jaringan', 'telkomsel', 'jelek', 'berubah', 'bintang', 'rugi']</t>
  </si>
  <si>
    <t>['woy', 'update', 'dibukaaa', '']</t>
  </si>
  <si>
    <t>['telkomsel', 'sesuai', 'harapan', 'jaringan', 'lelet', 'harga', 'koata', 'internet', 'mahal', '']</t>
  </si>
  <si>
    <t>['jaringan', 'telkomsel', 'seindah', 'harga', 'paketnya', 'mahal', 'sesuai', 'pandemi']</t>
  </si>
  <si>
    <t>['perbanyak', 'bonus', 'kouta', 'gratis']</t>
  </si>
  <si>
    <t>['telkomsel', 'jaringan', 'lelet', 'produk', 'negri', 'memuaskan', 'masyrakat', 'produk', 'gagal', '']</t>
  </si>
  <si>
    <t>['lemot', 'internetnya', 'doyan', 'dosa', 'telkomsel']</t>
  </si>
  <si>
    <t>['jaringan', 'terbesar', 'indonesia', 'harga', 'mahal', 'kualitas', 'layanan', 'jaringan', 'sesuai', 'harganya', 'good', 'job', 'telkomsel']</t>
  </si>
  <si>
    <t>['dibuka', 'stuck', 'layar', 'putih', 'udah', 'install', 'ulang', 'berkali', 'kali', 'tetep', 'gabisa', 'ngechat', 'twitter', 'telkomsel', 'yaaa', 'tolong', 'diperbaiki', '']</t>
  </si>
  <si>
    <t>['jaringannya', 'benerian', 'ngeselin', 'bngt']</t>
  </si>
  <si>
    <t>['lelet', 'stabil']</t>
  </si>
  <si>
    <t>['update', 'aplikasi', 'tampil', 'menu']</t>
  </si>
  <si>
    <t>['apk', 'tolol', 'update', 'rusak', '']</t>
  </si>
  <si>
    <t>['telkomsel', 'biasaaa']</t>
  </si>
  <si>
    <t>['parah', 'banget', 'lemotnya', 'stabil', 'banget', 'diatasi', 'bayar', 'gratisan', 'gb', 'tpi', 'sampah', 'gini', 'buka', 'tiktok', 'muter', 'videonya', 'ngegame', 'kb', 'detik', 'dasar', 'ampas', 'kuota', 'mahal', 'speed', 'ampas']</t>
  </si>
  <si>
    <t>['aseeeemmmm', 'tgl', 'oktober', 'komplain', 'jaringan', 'telkom', 'parah', 'banget', 'kejelasan', 'mubazir', 'kuota', 'gb', 'kepake', 'sebulan', 'kaya', 'gini', 'abis', 'telkomsel', 'pindah', 'provider', 'edit', 'fix', 'pindah', 'provider', 'telkomsel', '']</t>
  </si>
  <si>
    <t>['semoga', 'sukses', '']</t>
  </si>
  <si>
    <t>['buka', 'aplikasinya', 'estal', 'layar', 'doang', 'warna', 'putih']</t>
  </si>
  <si>
    <t>['telkomsel', 'sinyalnya', 'busuk', 'tetep', 'lola', 'parah']</t>
  </si>
  <si>
    <t>['mantap', 'min', 'semoga', 'promo', 'murah', '']</t>
  </si>
  <si>
    <t>['update', 'blank', 'putih', 'kaga', 'buka', 'mending', 'kaga', 'update', 'kyk', 'ginih']</t>
  </si>
  <si>
    <t>['paket', 'gamax', 'dibawa', 'main', 'game', 'nggak']</t>
  </si>
  <si>
    <t>['main', 'game', 'sinyalnya', 'jelek', 'sinyalnya', 'bagus', 'nyuruh', 'boros', '']</t>
  </si>
  <si>
    <t>['beli', 'kuota', 'aplikasi']</t>
  </si>
  <si>
    <t>['puluhan', 'taun', 'berdiri', 'solusi', 'signal', 'bagus', 'merata', 'nol', 'telkomsel', '']</t>
  </si>
  <si>
    <t>['dibuka', 'bayar', 'paket', 'kuota', 'pas', 'update', 'gimana', 'tolong', 'dibantu', '']</t>
  </si>
  <si>
    <t>['log', 'membuka', 'aplikasi', '']</t>
  </si>
  <si>
    <t>['kecewa', 'beli', 'paketan', 'simpati', 'kali', 'sinyalnya', 'jeleeeeeeeerekkkkkkkkkkkkkkkkkkkkkkkkkkkkkkk']</t>
  </si>
  <si>
    <t>['stuck', 'layar', 'putih', 'susah', 'ngecek', 'kuota']</t>
  </si>
  <si>
    <t>['malamm', 'yahh', 'udah', 'pengisian', 'vocer', 'kouta', 'mohon', 'diperbaiki', 'cape', 'mondar', 'mandir', 'konter', 'harga', 'kualitass', 'knpa', 'eror', 'teruss', 'tolong', 'diperbaiki', '']</t>
  </si>
  <si>
    <t>['aplikasi', 'telkomselnya', 'eror', 'buka', 'aplikasinya']</t>
  </si>
  <si>
    <t>['', 'thun', 'setia', 'tekomsel', '']</t>
  </si>
  <si>
    <t>['jaringan', 'buruk', 'bermain', 'game', 'beli', 'paket', 'game', 'silver', 'ping', 'merah', 'susah', 'login', 'game', 'beli', 'paket', 'youtube', 'unlimited', 'pekan', 'susah', 'video', 'youtubenya', 'kebuka', '']</t>
  </si>
  <si>
    <t>['sempurna', 'karna', 'ngisi', 'paket', 'pulsa', 'beli', 'paket', 'data', 'maaf', 'kesalahan', 'sistem', 'mohon', 'ulang', 'menit', 'puas', 'liat', 'telkomsel', 'kasih', 'bintang', 'bener', 'kecewa']</t>
  </si>
  <si>
    <t>['diupdate', 'stuck', 'white', 'screen', 'tolong', 'responnya', '']</t>
  </si>
  <si>
    <t>['aplikasi', 'telkomsel', 'bagus', '']</t>
  </si>
  <si>
    <t>['min', 'ngomong', 'yha', 'min', 'knapa', 'jaringan', 'simpati', 'setabil', 'main', 'game', 'isiulang', 'paket', 'simpati', 'isiulang', 'unlimited', 'kagak', 'jaringannya', 'tolong', 'min', 'kepuasan', 'ngasih', 'patokan', 'harga', 'mahal', 'beli', 'paketnya', 'kasihan', 'pelangganmu', 'tipu', 'dibalik', 'harga', 'mahal', 'kepuasan', 'pelanggan', '']</t>
  </si>
  <si>
    <t>['beres', 'jaringan', 'telkomsel']</t>
  </si>
  <si>
    <t>['ngasih', 'bintang', 'sepotong', 'karna', 'apk', 'mengecewakan', 'membingungkan', 'konsumen', '']</t>
  </si>
  <si>
    <t>['telkomsel', 'parah', 'banget', 'jaringannya', 'sampah', '']</t>
  </si>
  <si>
    <t>['', 'telkomsel', 'dibuka', 'tolong', 'diperbaiki']</t>
  </si>
  <si>
    <t>['', 'telkomsel', 'nama', 'kalangan', 'indonesia', 'sinyal', 'lemot', 'nama', 'mytelkomsel', 'batasi', 'paketan', 'mahal', 'tower', 'bangun', 'minim', 'ngentod']</t>
  </si>
  <si>
    <t>['apk', 'telokomsel', 'beli', 'pulsa', 'diskon', 'apk', 'sebelah', 'murah', 'tolong', 'perbaiki', 'ribet']</t>
  </si>
  <si>
    <t>['semoga', 'hadiah', 'alloh', '']</t>
  </si>
  <si>
    <t>['update', 'aplikasi', 'error', 'white', 'screen', 'trus', 'mesti', 'wow', 'gitu', 'kejadian', '']</t>
  </si>
  <si>
    <t>['pakai', 'telkomsel', 'bagus']</t>
  </si>
  <si>
    <t>['mudah', 'murah', 'cepat']</t>
  </si>
  <si>
    <t>['andai', 'bintang', 'nol', 'gua', 'kasih', 'bintang', 'nol', 'jaringannya', 'berubah', 'ubah', 'bagus', 'jelek', 'banget', 'langsung', 'ngilang', 'mahal', 'gamers', 'ribet', 'urusannya', 'emosi', 'ajah', '']</t>
  </si>
  <si>
    <t>['halo', 'defoloper', 'beli', 'kuota', 'gamemax', 'masak', 'kuota', 'masak', 'diamonnya', 'nggak', 'masuk', 'tolong', 'defolper', 'aiki', 'trimakasih', 'perhatiannya', '']</t>
  </si>
  <si>
    <t>['perbaikin', 'napa', 'woii', 'jaringn', 'rugi', 'beli', 'mahal', 'mahal', 'tpi', 'kualitas', 'kyk', 'gini', 'buka', 'langsing', 'padahl', 'beli', 'bukak', 'yutup', 'jugk', 'gitu', 'gmn', 'telkomsel', 'jelek']</t>
  </si>
  <si>
    <t>['uninstal', 'buka', 'app', 'layar', 'putih', 'doang', 'wifi', 'msh', 'gtu', 'udh', 'jaringanny', 'kacau']</t>
  </si>
  <si>
    <t>['sinyal', 'pea', 'geh', 'goblokk', 'telkomsel', 'apus', 'aya', 'apus', 'jarinagn']</t>
  </si>
  <si>
    <t>['combonya', 'ditingkatkan', 'jaringanya', 'lelet']</t>
  </si>
  <si>
    <t>['watepak', 'man']</t>
  </si>
  <si>
    <t>['telkomsel', 'sinyal', 'drop', 'malam', 'berharap', 'telkomsel', 'menindaklanjuti', 'telkomsel', 'maju', 'salam', 'bangka', 'belitung']</t>
  </si>
  <si>
    <t>['sinyalnya', 'parah', 'jam', 'buka', 'yutube', 'susah', 'bngt', 'wilayah', 'pasar', 'serpong']</t>
  </si>
  <si>
    <t>['liat', 'ulasan', 'didownload', 'appnya', 'error', 'mulu', 'ketiban', 'uang', 'pelanggan', 'appnya', 'error', 'wes', 'ajah', 'skali', 'pakai', 'normal', 'pemakaian', 'blank', 'putih', 'sampe', 'ganti', 'provider', 'tenang', 'idup', '']</t>
  </si>
  <si>
    <t>['aplikasi', 'dibuka', 'diupdate', 'aplikasi', 'aman', 'download', 'instal', 'ulang', 'berpengaruh', 'tolong', 'penjelasannya', 'sekian', '']</t>
  </si>
  <si>
    <t>['emosi', 'sinyal', 'ilang', 'terooos', 'pagi', 'sampek', 'malem', 'fix', 'sampah', 'mahal', 'sinyal', 'sampah', 'nyesel', 'kartu']</t>
  </si>
  <si>
    <t>['update', 'nge', 'stack', 'white', 'screen', 'kaya', 'gini', 'min', 'kecewa', 'banget']</t>
  </si>
  <si>
    <t>['aplikasinya', 'bagus', 'gampang', 'cek', 'kuota', 'jaringannya', 'daerah', 'lancar', 'semoga', 'bagus', 'jaringannya', '']</t>
  </si>
  <si>
    <t>['app', 'afdol', 'pronika', 'melayani', 'selesaikan', 'app', 'giring', 'selesaikan', 'dlam', 'app', 'sungguh', 'mengecewakan', '']</t>
  </si>
  <si>
    <t>['mahal', 'doangg', 'jaringan']</t>
  </si>
  <si>
    <t>['kemaren', 'beli', 'paket', 'smaulloop', 'seminggu', 'dipakai', 'menit', 'udah', 'dipakai', 'kasih', 'bintang', '']</t>
  </si>
  <si>
    <t>['baikin', 'woii', 'jaringan', 'malam', 'jaringan', 'stabil']</t>
  </si>
  <si>
    <t>['mengecewakan', 'pulsa', 'masuk', 'ribu', 'hilang', 'diganti', 'paket', 'antah', 'berantah', 'mengecewakan', 'makan', 'pulsa']</t>
  </si>
  <si>
    <t>['sinyal', 'kek', 'anjing', 'gosa', 'mahal', 'pantek', 'babi', '']</t>
  </si>
  <si>
    <t>['paket', 'murah', 'pilih', 'kasih', 'udah', 'update', 'white', 'screen', 'benerin', 'coii']</t>
  </si>
  <si>
    <t>['kenpa', 'aplikasiny', 'isi', 'pulsa', 'tidk', 'masuk', 'pdahal', 'sudh', 'sukses', 'saldo', 'kepotong', 'tolong', 'informasiny', 'beli', 'paket', 'ujung', 'solusiny', 'donk']</t>
  </si>
  <si>
    <t>['diupdate', 'android', 'mytelkomsel', 'diupdate', 'error', 'jalan', 'ver', 'kali', 'masuk', 'prog', 'notif', 'diupdate', 'versi', 'tolong', 'diperbaiki', 'mytelkomsel', 'ver', 'terbarunya', 'jalan', 'android', '']</t>
  </si>
  <si>
    <t>['beli', 'pulsa', 'masuk', 'kyk', 'kartu', 'udh', 'hangus', 'telpon', 'bingung', 'kukira', 'blm', 'hangus', 'karna', 'ditelpon']</t>
  </si>
  <si>
    <t>['', 'kuat', 'sinyal', 'daerah', 'mudal', 'sari', 'harjo', 'ngaglik', 'sleman']</t>
  </si>
  <si>
    <t>['tolong', 'dwilayah', 'malang', 'selatan', 'dperlancar', 'sinyalnya']</t>
  </si>
  <si>
    <t>['berat', 'ngasih', 'bintang', 'klw', 'jaringan', 'buruk', 'mahal', 'ampun', 'sesuai', 'mahal', 'jaringan', 'lelet', 'kesal', 'make', 'telkomsel', 'kesalllllllllllllllllllll']</t>
  </si>
  <si>
    <t>['susah', 'buka', 'telkomsel', 'aplikasi', 'tolong', 'penjelasannya', 'solusi', '']</t>
  </si>
  <si>
    <t>['bagus', 'bgd', 'skr', 'kereen']</t>
  </si>
  <si>
    <t>['dibuka', 'hapus', 'blum', 'pembaruan']</t>
  </si>
  <si>
    <t>['memuaskan', 'pelanggan', 'layanan', 'digital', '']</t>
  </si>
  <si>
    <t>['puas', 'diskonnya']</t>
  </si>
  <si>
    <t>['harga', 'elit', 'jaringan', 'pelit', '']</t>
  </si>
  <si>
    <t>['', 'bintang', 'mahal', 'telkomsel', 'kasih', 'bintang', '']</t>
  </si>
  <si>
    <t>['jaringan', 'lelet', 'tolong', 'perkuatkan', 'mita', 'update', '']</t>
  </si>
  <si>
    <t>['woy', 'oprator', 'telkomsel', 'gimana', 'ngatasin', 'jaringan', 'harga', 'paket', 'mahalin', 'giriran', 'jaringan', 'kaya', 'tay', 'gimana', 'ngatasin', 'mending', 'tutup', 'perusaan', 'peromo', 'tay', 'elo', 'timbulin', 'jaringan', 'elo', 'perbaiki', 'kambing']</t>
  </si>
  <si>
    <t>['telkomsel', 'jaringan', 'buruk', 'bagus', 'jagan', 'pakai', 'kartu', 'telkomsel', 'menyesal']</t>
  </si>
  <si>
    <t>['', 'bintang', 'forever', 'komplain', 'buang', 'energi', 'lagipula', 'solusi', 'dibikin', 'ribet', 'suruh', 'suruh', 'kontak', 'kontak', '']</t>
  </si>
  <si>
    <t>['jdi', 'dibuka', 'apk']</t>
  </si>
  <si>
    <t>['membantu', 'mempermudah', 'penggunanya']</t>
  </si>
  <si>
    <t>['habis', 'update', 'kbuka', 'eror', '']</t>
  </si>
  <si>
    <t>['', 'turunin', 'bintangnya', 'kemaren', 'aplikasinya', 'bermasalah', 'blank', 'putih', 'doang', 'pas', 'buka', 'mengadukan', 'keluhan', 'solusinya', 'kecewa', 'responnya', 'lambat', 'banget']</t>
  </si>
  <si>
    <t>['mudah', 'sisah', 'kuota', 'internet', 'pulsa', '']</t>
  </si>
  <si>
    <t>['telkomsel', 'lelet', 'ngotak', 'sumpah', 'beli', 'telkomsel', 'darah']</t>
  </si>
  <si>
    <t>['jaringan', 'trparah', 'telkomsel', 'nyesel', 'bnget', 'pakai', 'mahal', 'jaringan', 'stabil']</t>
  </si>
  <si>
    <t>['perbaiki', 'jaringannya', 'harga', 'paket', 'mahal', 'jaringannya', 'lemot', 'provider', 'tanggapi', 'provinsi', 'bengkulu', 'kelurahan', 'bumi', 'ayu', 'perbaiki', 'bintangnya']</t>
  </si>
  <si>
    <t>['telkomsel', 'jaringan', 'buruk', 'harga', 'paketan', 'mahalnya', 'bangetan', 'sinyal', 'jaringan', 'worth', 'kadang', 'pulsa', 'berkurang', 'transaksi', 'kepake', 'apapun']</t>
  </si>
  <si>
    <t>['jaringan', 'kayak', 'dasar', 'laut', 'lelet', 'kota']</t>
  </si>
  <si>
    <t>['senang', 'pakai', 'telkomsel', 'sinyal']</t>
  </si>
  <si>
    <t>['knp', 'aplikasinya', 'bug', 'maketin']</t>
  </si>
  <si>
    <t>['jaringan', 'oke', 'sah', 'sah', 'kasih', 'kuota', 'mubajir', 'ngapain', 'hrus', 'ksih', '']</t>
  </si>
  <si>
    <t>['lemot', 'pulsa', 'gue', 'abis', 'gitu', 'simpati', 'mengecewakan', '']</t>
  </si>
  <si>
    <t>['knpa', 'apk', 'terbuka', 'yahh', 'cuman', 'white', 'screen', 'benerin', 'belli', 'paket', 'kouta', 'habis', 'udah', 'isi', 'pulsa']</t>
  </si>
  <si>
    <t>['pembaruan', 'buka', '']</t>
  </si>
  <si>
    <t>['diupdate', 'error', 'blank', 'lagging', 'sinyal', 'kalah', 'mysf']</t>
  </si>
  <si>
    <t>['diupdate', 'nggak', 'dibuka', 'parah', 'banget', 'sueee', '']</t>
  </si>
  <si>
    <t>['habis', 'update', 'sampe', 'instal', 'ulang', 'pas', 'dibuka', 'cuman', 'blank', 'putihh', 'doang', 'tolong', 'perbaiki', 'mkshh', '']</t>
  </si>
  <si>
    <t>['suka', 'menggunaan', 'aplikasi', 'telkomsel', 'karna', 'mudah']</t>
  </si>
  <si>
    <t>['harga', 'harga']</t>
  </si>
  <si>
    <t>['jaringan', 'telkomsel', 'mengecewakan', '']</t>
  </si>
  <si>
    <t>['update', 'terbaru', 'bagus', 'buruk', 'aplikasi', 'buka', 'crash', 'suka', '']</t>
  </si>
  <si>
    <t>['jaringan', 'bosok', 'gangguan', 'mending', 'pindah', 'kesebelah']</t>
  </si>
  <si>
    <t>['sinya', 'jelek', 'sik']</t>
  </si>
  <si>
    <t>['telkomsel', 'terima', 'kasih', 'program', 'produk', 'menarik', 'tersedia', 'app', '']</t>
  </si>
  <si>
    <t>['bagusss', 'aplikasinya']</t>
  </si>
  <si>
    <t>['suka', 'banget', 'program', 'telkomselpoin']</t>
  </si>
  <si>
    <t>['mantap', 'layanan', 'telkomsel', 'mengecewakan', 'lanjutkan', 'semoga', 'jaya', 'diudara', '']</t>
  </si>
  <si>
    <t>['perfect', 'aplikasi', 'telkomsel', 'udah', 'dibilang', 'baguss', 'banget', '']</t>
  </si>
  <si>
    <t>['sinyal', 'tolong', 'diperbaiki', 'daerah', 'kampung']</t>
  </si>
  <si>
    <t>['layarnya', 'putih', '']</t>
  </si>
  <si>
    <t>['khusus', 'pulau', 'jawa', 'didaerah', 'bagus', 'terkadang', 'buruk', 'provider', 'sinyal', 'telkomsel', 'buruk', 'perbaikan', '']</t>
  </si>
  <si>
    <t>['mahal', 'mahhal', 'paketan', 'nyah']</t>
  </si>
  <si>
    <t>['telkomsel', 'paketan', 'mahal', 'jaringan', 'jelek', 'banget', 'parah', 'banget']</t>
  </si>
  <si>
    <t>['parah', 'dibuka', 'aplikasinya', '']</t>
  </si>
  <si>
    <t>['jaringan', 'burik', 'pakek', 'telkomsel']</t>
  </si>
  <si>
    <t>['gimna', 'bli', 'pket', 'telkosmsel', 'tulisan', 'unlimited', 'abis', 'paaket', 'sma', 'boong', 'paket', 'bli', 'mahal', '']</t>
  </si>
  <si>
    <t>['bangus', 'sinyalnya', 'full']</t>
  </si>
  <si>
    <t>['meyenangat', 'sagat', 'membantu']</t>
  </si>
  <si>
    <t>['aplikasi', 'efektif']</t>
  </si>
  <si>
    <t>['jaringannya', 'konsisten', 'invasi', 'kelainnya', '']</t>
  </si>
  <si>
    <t>['mohon', 'maaf', 'kasih', 'bintang', 'ngelag', 'main', 'game', 'mlbb']</t>
  </si>
  <si>
    <t>['ngeblang', 'putih', 'for', 'close', 'perbaiki', '']</t>
  </si>
  <si>
    <t>['update', 'langsung', 'error', 'waduhh', 'telkomsel']</t>
  </si>
  <si>
    <t>['aplikasinya', 'dibuka', 'beli', 'paketan']</t>
  </si>
  <si>
    <t>['macet', 'yaa', 'layar', 'putih', 'doang']</t>
  </si>
  <si>
    <t>['sinyal', 'bagus', 'banget', 'pilihan', 'kuota', '']</t>
  </si>
  <si>
    <t>['aplikasinya', 'rekomended', 'pas', 'update', 'susah', 'dibuka']</t>
  </si>
  <si>
    <t>['nggak', 'masuk', 'udah', 'update']</t>
  </si>
  <si>
    <t>['nyaman', 'pakai', 'telkimsel']</t>
  </si>
  <si>
    <t>['logout', 'otomatis', 'aplikasi', 'memantau', 'nomor', 'berbeda', 'ribet', 'banget', 'verifikasi', 'nomor', 'praktis', 'mohon', 'dibantu', 'cari', 'solusinya', 'memudahkan', 'pengguna', '']</t>
  </si>
  <si>
    <t>['', 'telkomsel', 'kebuka', 'gimana', '']</t>
  </si>
  <si>
    <t>['telkomsel', 'jaringan', 'buruk', 'perbaiki', 'koneksi', 'internet', 'bermain', 'game', 'online', 'parah', 'jaringan']</t>
  </si>
  <si>
    <t>['penuh', 'poin', 'udah', 'ditukar', 'pulsa', 'kuota', 'ketengan', '']</t>
  </si>
  <si>
    <t>['mudah', 'mantul', 'pokoe']</t>
  </si>
  <si>
    <t>['kecewa', 'peromo', 'pas', 'daptar', 'peromonya', 'hilang', 'pindah', 'kelayanan', 'indosat', '']</t>
  </si>
  <si>
    <t>['jaringan', 'telkomsel', 'mrngalami', 'lag', 'patah', 'udah', 'gitu', 'mkin', 'lemottt', 'stabil', 'jaringan', 'lemot', 'pulah', 'harga', 'paketnya', 'mahal', 'tolon', 'telkomsel', 'perbaiki']</t>
  </si>
  <si>
    <t>['jaringan', 'jelek', 'sinyal', 'full', 'customer', 'service', 'lelet', 'menangani', 'alasan', 'gangguan', 'perbaikan', 'trus', 'alasan', '']</t>
  </si>
  <si>
    <t>['bagus', 'bagus', 'bagus']</t>
  </si>
  <si>
    <t>['', 'ramah']</t>
  </si>
  <si>
    <t>['buka', 'putih', 'smua', 'hadeuh', 'smpe', 'uninstal', 'pdahal', 'sya', 'butuh', 'apk', 'udh', 'kaya', 'gnii', 'whitecase', 'woyyyyy', 'gmna', 'sya', 'cht', 'sma', 'tele', 'bls', 'dri', 'telkomselnya', 'gmna', 'sihh']</t>
  </si>
  <si>
    <t>['trma', 'ksh', 'proses', 'cepat']</t>
  </si>
  <si>
    <t>['kabut', 'telkomselnya', 'putih', 'polos', 'tulisansanye']</t>
  </si>
  <si>
    <t>['hadehhhh', 'pulsa', 'utama', 'udh', 'kepake', 'bru', 'dpat', 'sms', 'pemberitahuan', 'pulsa', 'paket', 'habis', 'super', 'mahal', 'jaringan']</t>
  </si>
  <si>
    <t>['', 'jelass', 'babi', 'gua', 'beli', 'psa', 'ribu', 'masuk', 'ribuu', 'ngntodddddd', 'nyedot', 'uang', 'doanggg', 'babiiii']</t>
  </si>
  <si>
    <t>['transfer', 'pulsa', 'potongan', 'udah', 'normal']</t>
  </si>
  <si>
    <t>['', 'bayar', 'pemkaian', 'wajar', 'kuota', 'habis', 'telp', 'oprator']</t>
  </si>
  <si>
    <t>['aplikasi', 'buka', 'smenjak', 'update', 'nga', 'buka', 'hapus', 'sdah', 'hilang', 'combo', 'sakti', 'skarang', 'aplikasi', 'nga', 'buka', '']</t>
  </si>
  <si>
    <t>['update', 'knapa', 'mytelkomsel', 'buka', '']</t>
  </si>
  <si>
    <t>['telkomsel', 'internetnya', 'qncur', 'kuota', 'mahal', 'parah', 'iya']</t>
  </si>
  <si>
    <t>['provider', 'ter', 'worth', 'mahal', 'harga', 'kualitas', 'sinyalnya', 'cepet', 'tembus', 'mbps', 'lebihh', '']</t>
  </si>
  <si>
    <t>['quota', 'internet', 'ganti', 'kartu', 'operator', '']</t>
  </si>
  <si>
    <t>['mantaapp', 'aplikasi', 'mudah', 'beli', 'pulsa', 'beli', 'quota', 'app']</t>
  </si>
  <si>
    <t>['sinyal', 'bagus', 'telkomsel', 'knp', 'menurun', 'semoga', 'ditingkatkan', 'spt', '']</t>
  </si>
  <si>
    <t>['kecewa', 'banget', 'mytelkomsel', 'barusan', 'update', 'trus', 'aplikasi', 'buka', 'ngak', 'warna', 'putih', 'nyesel', 'update', 'tolong', 'benerrin', 'pakai', 'kecewa']</t>
  </si>
  <si>
    <t>['pengguna', 'setia', 'telkosel', 'suka', 'telkomsel', 'karna', 'jaringan', 'bagus', 'lemot']</t>
  </si>
  <si>
    <t>['telkomsel', 'ajg', 'beli', 'mahal', 'mahal', 'harganya', 'sesuai', 'kualitas', 'jaringannya', 'jaringannya', 'buruk', '']</t>
  </si>
  <si>
    <t>['pakai', 'kartu', 'telkomsel', 'data', 'manapun', 'ngeleg', '']</t>
  </si>
  <si>
    <t>['bermanfaat', 'bagus']</t>
  </si>
  <si>
    <t>['serasa', 'tipu']</t>
  </si>
  <si>
    <t>['oke', 'paket', 'murah']</t>
  </si>
  <si>
    <t>['harga', 'mahal', 'koneksi', 'lemot', 'kecewa', 'operator', 'telkomsel', 'bermain', 'game', 'online', 'mengalami', 'lemot', 'parah', 'dimohon', 'diperbaiki', 'masalahnga']</t>
  </si>
  <si>
    <t>['aplikasinya', 'rusak', 'gimana', 'gabisa', 'dibuka', 'udah', 'uninstal', 'trus', 'instal', 'ulang', 'ttp', '']</t>
  </si>
  <si>
    <t>['masuk', 'mytelkomsel', 'mohon', 'bantuan', '']</t>
  </si>
  <si>
    <t>['tolong', 'perbanyak', 'promo']</t>
  </si>
  <si>
    <t>['white', 'scren', 'gaesss', 'pikir', 'apk', 'basi', 'delet', 'download', 'ajah', 'ngelag', 'white', 'screen', 'ikihhh', 'satunya', 'normal', 'ajah']</t>
  </si>
  <si>
    <t>['sinyal', 'telkomsel', 'lemot', 'kek', 'gini', 'nyesel', 'gue', 'beli', 'kartu', '']</t>
  </si>
  <si>
    <t>['penipuan', 'paket', 'data']</t>
  </si>
  <si>
    <t>['', 'broh', 'gampang', 'beli', 'pulsanya', 'cape', 'cape', 'jalan']</t>
  </si>
  <si>
    <t>['diupdate', 'dibuka', 'aplikasinya', '']</t>
  </si>
  <si>
    <t>['', 'suruh', 'update', 'update', 'mytelkomsel', 'buka', '']</t>
  </si>
  <si>
    <t>['menyenangkan', 'memuaskan']</t>
  </si>
  <si>
    <t>['coba', 'cek', 'pulsa', 'beli', 'kuota', 'pakek', 'internet', 'kesedot']</t>
  </si>
  <si>
    <t>['kombo', 'wow', '']</t>
  </si>
  <si>
    <t>['bonus', 'sms', 'prlu', 'dibutuhkan', 'kbyakan', 'kouta', 'internetnya']</t>
  </si>
  <si>
    <t>['burukkk', 'lemot', 'membuka', 'aplikasi', 'susah', 'sampe', 'apus', 'donload', 'apus', 'donload', 'ttap', 'susah', 'kesalahan', '']</t>
  </si>
  <si>
    <t>['poin', 'hangus', 'tukar', 'kemarin', 'beli', 'paket', 'plus', 'disney', 'hot', 'star', 'pakai', 'habis', 'update', 'masuk', 'telkomsel', 'parah', 'banget', '']</t>
  </si>
  <si>
    <t>['update', 'niat', 'kasih', 'nyaman', 'pelanggan', 'ambil', 'untung', 'ajaa', '']</t>
  </si>
  <si>
    <t>['aplikasi', 'dibuka', 'merespon', 'mengatasinya', '']</t>
  </si>
  <si>
    <t>['tolong', 'telkomsel', 'jaringan', 'mode', 'dioptimalkan', 'mengakses', 'sosmed', 'berkaitan', 'jaringan', 'internet', 'mudah', 'cepat', 'bermain', 'game', 'suka', 'drop', 'jaringannya', 'terimakasih', 'tolong', 'diindahkan', '']</t>
  </si>
  <si>
    <t>['perbanyak', 'promo', 'menarik', 'pelanggan', 'sukses', 'trs', 'telkomsel']</t>
  </si>
  <si>
    <t>['baguuus', 'top', 'markotop']</t>
  </si>
  <si>
    <t>['kartu', 'temkomsel', 'pro', 'jambi', 'bagus', 'tolong', 'diper', 'baiki', 'pemakai', 'kartu', 'telkomsel', 'berali', 'kekartu', 'terimakasih']</t>
  </si>
  <si>
    <t>['telkom', 'kntollll', 'ngelagg', 'sinyallnyaa']</t>
  </si>
  <si>
    <t>['telkomsel', 'daerah', 'maluku', 'tenggara', 'signal', 'hancur', 'telkomsel', 'bagus', 'jelek', 'signalnya', 'dimana', 'nikmati', 'nikmati', 'bagus', 'hancur', 'jelek', 'jelek', 'kecewa', 'layanan', 'telkomsel', '']</t>
  </si>
  <si>
    <t>['mantab', 'mambantu', 'mudah']</t>
  </si>
  <si>
    <t>['bulom', 'menang', 'undiannn']</t>
  </si>
  <si>
    <t>['pagi', 'telkomsel', 'dibuka', '']</t>
  </si>
  <si>
    <t>['tinggal', 'harga', 'paket', 'perbaiki', 'sesuai', 'isi', 'dompet', '']</t>
  </si>
  <si>
    <t>['puaslah', 'semoga', 'appl', 'menyenangkan', 'pelanggan', 'telkomsel']</t>
  </si>
  <si>
    <t>['sya', 'dri', 'kemarin', 'buka', 'apk', 'layar', 'putih']</t>
  </si>
  <si>
    <t>['apl', 'burik', 'bsa', 'login', 'paket', 'mahal', 'tolong', 'perbaiki', '']</t>
  </si>
  <si>
    <t>['sinyal', 'jaringan', 'lelet', 'alasan', 'kabel', 'laut', 'putus', 'mengecewakan', 'banget', '']</t>
  </si>
  <si>
    <t>['rekomended', 'menemukan', 'temuakan', 'promo', 'menarik', 'telkomsel']</t>
  </si>
  <si>
    <t>['jaringan', 'telkomsel', 'emosi', 'beli', 'paket', 'mahal', 'mahal', 'jaringan', 'toxic', 'pengen', 'beralih', 'operator']</t>
  </si>
  <si>
    <t>['sinyal', 'bagus', 'mohon', 'diperbaiki', 'paketan', 'mahal']</t>
  </si>
  <si>
    <t>['biaya', 'paket', 'data', 'sesuaikan', 'layanan', 'hayolah', 'telkomsel', 'berubah', 'promo', 'paketan', 'ramah', 'kantong', 'kalah', 'ama', 'tetangga', 'sebelah']</t>
  </si>
  <si>
    <t>['memudahkan', 'pengisian', 'quota', 'internet']</t>
  </si>
  <si>
    <t>['user', 'friendly', 'poin', 'membantu', 'harapan', 'hadiah', 'merchandise', 'menarik', '']</t>
  </si>
  <si>
    <t>['login', 'blank', 'putit']</t>
  </si>
  <si>
    <t>['informasi', 'poin', 'bocor', 'min', 'krna', 'pengalaman', 'kali', 'tlp', 'oelh', 'kenal', 'menawarkan', 'tukar', 'poin', 'telkomsel', 'ujung', 'penipu', 'untung', 'waspada']</t>
  </si>
  <si>
    <t>['pengisian', 'pulsa', 'tetnyata', 'mudah', 'tmpt', 'pengisi', 'alfarmt']</t>
  </si>
  <si>
    <t>['bad', 'apps', 'apk', 'diakses', 'uninstall', 'install', 'akses', 'apk', 'space', 'ram', 'memory', 'apk', 'bermasalah', '']</t>
  </si>
  <si>
    <t>['hr', 'aplikasi', '']</t>
  </si>
  <si>
    <t>['abis', 'update', 'aplikasi', 'buka', 'uninstall', 'reinstall', 'ttp', 'gbs', 'buka', 'min', 'tlong', 'srannya', 'gmn', 'buka', '']</t>
  </si>
  <si>
    <t>['terperinci', 'productnya']</t>
  </si>
  <si>
    <t>['mantap', 'telkomsel', 'harga', '']</t>
  </si>
  <si>
    <t>['semenjak', 'dinupdate', 'apk', 'buka', 'blank', 'mulu']</t>
  </si>
  <si>
    <t>['knpaa', 'telkomsel', 'login', 'tolong', 'bantu', 'developer']</t>
  </si>
  <si>
    <t>['jaringan', 'jelek', 'loading', 'parah', 'kuota', 'mahal', 'sebanding', 'jaringan', 'mohon', 'perbaiki']</t>
  </si>
  <si>
    <t>['dibuka', 'kemarin', 'update', 'tgl', 'des', '']</t>
  </si>
  <si>
    <t>['panyesan', 'aplikasi', 'busuk', 'masak', 'donlowd', 'masuk', 'aplikasinya', '']</t>
  </si>
  <si>
    <t>['maaf', 'telkomsel', 'pas', 'masuk', 'warna', 'putih', 'udah', 'uninstall', 'download', 'warna', 'ptih', 'mohon', 'bantuan']</t>
  </si>
  <si>
    <t>['telkomsel', 'termurah', 'jangkauan', 'luas']</t>
  </si>
  <si>
    <t>['coba', 'kalinya', '']</t>
  </si>
  <si>
    <t>['woy', 'mahal', 'kambang', 'tekor', 'bandar', 'update', 'diskon', 'tolong', 'perbaikin', 'terima', 'kasih', '']</t>
  </si>
  <si>
    <t>['pikir', 'bagus', 'pas']</t>
  </si>
  <si>
    <t>['sinyal', 'lemot', 'jual', 'mahal', 'nge', 'dasar', 'kartu', 'mahal', 'doang', 'sinyal', 'lemot', 'pala', 'kau']</t>
  </si>
  <si>
    <t>['kasih', 'pulsa']</t>
  </si>
  <si>
    <t>['aplikasi', 'terbaik', 'playstore']</t>
  </si>
  <si>
    <t>['aplikasinya', 'mudah', '']</t>
  </si>
  <si>
    <t>['telkomsel', 'dibuka', 'tolong', 'bantuannya']</t>
  </si>
  <si>
    <t>['aplikasi', 'hang', 'diupdate']</t>
  </si>
  <si>
    <t>['sinyal', 'kek', 'ajng', 'anak', 'haram', 'nge', 'game', 'seneng', 'darah', 'ajngg', 'ajng']</t>
  </si>
  <si>
    <t>['apk', 'telkomsel', 'layar', 'putih', 'jaringan', 'bagus', 'kuota', 'apk', 'berjalan', 'coba', 'uninstal', 'download', '']</t>
  </si>
  <si>
    <t>['updet', 'buka']</t>
  </si>
  <si>
    <t>['gua', 'saranin', 'mending', 'operator', 'axis', 'deh', 'telkomsel', 'ntar', 'nyesel', 'kyk', 'gua', 'rumahnya', 'pelosok', 'gua', 'saranin', 'banget', 'telkomsel', 'jaringan', 'jelek', 'muluk', 'paket', 'data', 'gada', 'murah', 'dengar', 'jaringan', 'telkomsel', 'gua', 'udh', 'ngerasain', 'jelek', 'jaringan', 'operator', 'tolong', 'perbaiki', 'jaringan', 'telkomsel', 'jaringan', 'buruk', '']</t>
  </si>
  <si>
    <t>['sagat', 'praktis', 'mudah', 'mantap']</t>
  </si>
  <si>
    <t>['semenjak', 'update', 'aplikasinya', 'dibuka', 'tolong', 'diperbaiki', '']</t>
  </si>
  <si>
    <t>['aplikasinya', 'bagus', 'paket', 'promo', 'pembelian', 'data']</t>
  </si>
  <si>
    <t>['kirimkan', 'hadiah']</t>
  </si>
  <si>
    <t>['mantap', 'koneksinya']</t>
  </si>
  <si>
    <t>['aplikasi', 'mempersulit', 'pelanggan', 'setia', 'telkomsel', 'check', 'pembelian', 'paket', 'data', 'tolong', 'kasih', 'harga', 'murah', 'mempermudah', 'senang', 'telkomsel']</t>
  </si>
  <si>
    <t>['apk', 'telkomsel', 'jelek', 'hr', 'buka', 'kemaren', 'beli', 'pkt', 'kuota', 'plsa', 'ilang', 'terpotong', 'kuota', 'tolong', 'donk', 'admin', 'telkomsel', 'yaa', 'amanah', 'forfek', 'jga', 'kenyamanan', 'custemer', 'jngan', 'mlh', 'persulit', '']</t>
  </si>
  <si>
    <t>['mohon', 'perbaiki', 'aplikasi', 'perbaharui', 'ngg', 'buka', 'ngblank', 'putih', '']</t>
  </si>
  <si>
    <t>['bagus', 'tpi', 'murahkan', 'lgi', '']</t>
  </si>
  <si>
    <t>['sinyal', 'jangkauan', 'luas', 'harga', 'paketan', 'terjangkau']</t>
  </si>
  <si>
    <t>['aplikasi', 'dibuka', 'tolong', 'operator', 'diperbaharui', '']</t>
  </si>
  <si>
    <t>['aplikasi', 'udah', 'bagus', 'tolong', 'harga', 'kurangi', 'dikit', 'aga', 'mahal', '']</t>
  </si>
  <si>
    <t>['pepek', 'pulsa', 'berkurang', 'dipakai', '']</t>
  </si>
  <si>
    <t>['', 'unlimitedmax', 'mengecewakan']</t>
  </si>
  <si>
    <t>['white', 'screen', 'perbaiki', '']</t>
  </si>
  <si>
    <t>['', 'buka', 'aplikasinya', 'udah', 'ulang', 'instalasi', 'update', 'buka', '']</t>
  </si>
  <si>
    <t>['jaringan', 'luas', 'batas']</t>
  </si>
  <si>
    <t>['aplikasi', 'ganggun', 'jam', 'malam', '']</t>
  </si>
  <si>
    <t>['susah', 'berhenti', 'paket', 'data', 'terdaftar']</t>
  </si>
  <si>
    <t>['ribet', 'cek', 'kuota', 'msk', 'playstore', 'udh', 'download', 'aplikasi', 'save', 'tolong', 'bantuan', '']</t>
  </si>
  <si>
    <t>['bagus', 'lalot']</t>
  </si>
  <si>
    <t>['update', 'mytelkomsel', 'versi', 'desember', 'diupdate', 'screenwhite', 'dibuka', 'dipakai', 'tolong', 'developer', 'dicheck', 'kendala', 'terpaksa', 'downdgrade', 'versi', 'via', 'apk', 'resmi', '']</t>
  </si>
  <si>
    <t>['keren', 'banget', 'capek', 'nyari', 'kuota']</t>
  </si>
  <si>
    <t>['kenpa', 'udah', 'aplikasi', 'telkomsel', 'buka']</t>
  </si>
  <si>
    <t>['kali', 'kehilangan', 'pulsa', 'paket', 'kuota', 'internet', '']</t>
  </si>
  <si>
    <t>['siang', 'tsel', 'jaringannya', 'jelek', 'area', 'tasik', 'gangguan', 'engga']</t>
  </si>
  <si>
    <t>['mantap', 'emoga', 'kuota', 'gratis', 'wkwkw']</t>
  </si>
  <si>
    <t>['bagus', 'ditingkatkan', 'lgi']</t>
  </si>
  <si>
    <t>['membantu', 'mengetzhui', 'pemakain', 'info', 'bermanfaat', 'maju', 'telkomsel', '']</t>
  </si>
  <si>
    <t>['tolong', 'catatan', 'telkomsel', 'pelayanan', 'kualitas', 'sarana', 'doang', 'mulu', 'apl', 'jaringan', 'eek', '']</t>
  </si>
  <si>
    <t>['bintang', 'ulasan', 'berbicara', 'tingkatkan', 'pelayanan', 'harga', 'paketan', 'mahal', 'jaring', 'datanya', 'jalan', 'habis', 'isi', 'kuota', 'parah', 'telkomsel', 'jaringannya', 'buruk']</t>
  </si>
  <si>
    <t>['apk', 'eror', 'tah']</t>
  </si>
  <si>
    <t>['tolong', 'promo', 'perbanyak']</t>
  </si>
  <si>
    <t>['abis', 'update', 'zonk', 'pas', 'buka', 'aplikasi', 'layarnya', 'putih', '']</t>
  </si>
  <si>
    <t>['bagus', 'banget', 'pakai', 'telkomsel', 'simpati', 'jeleknya', 'cuaca', 'mendung', 'signal', 'browsing', 'lelet', 'lambat', 'terganggu']</t>
  </si>
  <si>
    <t>['kali', 'aplikasi', 'penggunaannya', 'sekelas', 'telkomsel', 'kaya', 'gini', 'harga', 'kategori', 'mahal', 'keluhan', 'teman', 'teman', 'penggunaannya', 'ndak', 'merasakan', 'cepatlah', 'pulih', 'telkomsel', 'pengguna', 'menggunakanmu', '']</t>
  </si>
  <si>
    <t>['kemarin', 'dibuka', 'ngeblank', 'putih', 'udah', 'anybody', 'help', 'buka', 'ngeblank']</t>
  </si>
  <si>
    <t>['jariganya', 'lelet', 'banget', 'kayak', 'kura', 'paket', 'datanya', 'mahal', 'nyesel', 'gue', 'telkomsel', 'saran', 'gue', 'berhenti', 'beli', 'paket', 'telkomsel', 'entar', 'nyesal', '']</t>
  </si>
  <si>
    <t>['aplikasi', 'buka', 'paraaaah', 'banget', '']</t>
  </si>
  <si>
    <t>['berharap', 'murah', 'harganya', '']</t>
  </si>
  <si>
    <t>['pas', 'paket', 'unlimited', 'murah', 'sinyalnya', 'bagus', 'banget', 'kuota', 'utama', 'habis', 'mahal', 'jelek', 'jaringannya', 'mantap', 'telkomsel', 'semoga', 'dijelekin', 'pindah']</t>
  </si>
  <si>
    <t>['telkomsel', 'kau', 'turunkan', 'harga', 'kuota', 'tersenyum', 'tanggal', 'tua', 'tampa', 'memikirkan', 'harga', 'kuota', '']</t>
  </si>
  <si>
    <t>['apknya', 'buka', 'wite', 'screen', 'emngnya', 'apknya', 'eror', 'kah', 'tolong', 'perbaiki', 'bagus', 'apk', '']</t>
  </si>
  <si>
    <t>['masuk', 'apk', '']</t>
  </si>
  <si>
    <t>['tambahkan', 'fitur', 'penguncian', 'pulsa', 'internet', 'tolong', 'dimurahkan', 'sinyal', 'jelek']</t>
  </si>
  <si>
    <t>['', 'ganti', 'ulasan', 'aplikasinya', 'lemot', 'pakai', 'tab', 'samsung', 'panas', 'tab', 'sya', 'sisa', 'ruang', 'memori', 'pdhl', 'msh', 'bnyk', 'tolong', 'diperbaiki', 'kenyamanan', 'pelanggan', '']</t>
  </si>
  <si>
    <t>['innsyaa', 'allah', 'barokah', 'aamiin']</t>
  </si>
  <si>
    <t>['wooooooyyyyyy', 'appnya', 'dibukaaaaaaaaaaaaaaaaaaaaaaaaaaaa', 'taiiiiiiii', 'update', 'dibuka', 'aplikasinya', 'wooooyyyyy']</t>
  </si>
  <si>
    <t>['aplikasi', 'sinyal', 'kdg', 'kesal', 'stabil']</t>
  </si>
  <si>
    <t>['beli', 'paket', 'internet', 'notif', 'maaf', 'sistem', 'sibuk', 'sibuk', 'update', 'bgus', 'mlh', 'mkin', 'parah']</t>
  </si>
  <si>
    <t>['telkomsel', 'diupdate', 'ndak', 'buka', 'udh', 'coba', 'uninstall', 'install', 'ndak', 'buka']</t>
  </si>
  <si>
    <t>['bagus', 'kasi', 'diskon', 'murh', 'yaa']</t>
  </si>
  <si>
    <t>['sinyal', 'bener', 'game', 'kuat', 'lol', '']</t>
  </si>
  <si>
    <t>['aplikasi', 'nggak', 'update', 'pengembangnya', 'gmn', 'buatnya', '']</t>
  </si>
  <si>
    <t>['habis', 'update', 'nga', 'kebuka', 'aplikasinya', 'help']</t>
  </si>
  <si>
    <t>['update', 'nggak', 'buka', '']</t>
  </si>
  <si>
    <t>['masuk', 'telkomsel', 'sesi', 'gimana', 'tolong', 'perbaiki']</t>
  </si>
  <si>
    <t>['', 'beli', 'paket', 'gangguan', 'sistem', 'mulu', 'udh', 'tunggu', 'berhari', '']</t>
  </si>
  <si>
    <t>['aplikasi', 'buka', 'updete', 'mohon', 'bantuan']</t>
  </si>
  <si>
    <t>['coba', 'dlu', 'kasih', 'bintang', '']</t>
  </si>
  <si>
    <t>['tolong', 'bantu', 'min', 'membuka', 'mytelkomsel', '']</t>
  </si>
  <si>
    <t>['manthap', 'mahal', 'mahal', 'paket', 'internetnya', 'hehehe']</t>
  </si>
  <si>
    <t>['', 'telkomsel', 'terburuk', 'pengaktifan', 'paket', 'pulsa', 'disesoooot', 'terburuk', '']</t>
  </si>
  <si>
    <t>['jaringan', 'kadang', 'lelet', '']</t>
  </si>
  <si>
    <t>['', 'provider', 'apl', 'gabisa', 'akses', 'keluhan', 'solusi', 'parah', 'gini', 'ganti', 'provider', 'nyesel', 'makek', 'prioritynya', 'bagus', 'menurun', '']</t>
  </si>
  <si>
    <t>['semoga', 'telkomsel', 'jaya', 'fasilitas', 'terbaik', 'pemakainya', '']</t>
  </si>
  <si>
    <t>['beli', 'paket', 'omg', 'kuota', 'omg', 'anehnya', 'omgnya', 'berkurang', 'nonton', 'youtube', 'kuota', 'internet', 'berkurang', 'bug', 'scam', '']</t>
  </si>
  <si>
    <t>['jaringan', 'telkomsel', 'bagus', 'siang', 'jam', 'malam', 'lancar', 'layanan', 'telkomsel', 'harga', 'mahalnya']</t>
  </si>
  <si>
    <t>['mantap', 'membantu', 'kendala']</t>
  </si>
  <si>
    <t>['min', 'updete', 'apk', 'ngga', 'buka', 'tolong', 'perbaiki', 'samsung', '']</t>
  </si>
  <si>
    <t>['saran', 'telkomsel', 'paket', 'gamesmax', 'tolong', 'tambain', 'game', 'call', 'duty', 'mobile', '']</t>
  </si>
  <si>
    <t>['', 'bayar', 'kuotanya', 'mahal', 'sinyalnya', 'suka', 'busuk', 'jawabannya', 'telkomsel', 'gara', 'make', 'mengecewakan', 'kadang', 'lagnya', 'pas', 'internet', 'lancar', 'pas', 'butuh', 'banget', 'langsung', 'down', '']</t>
  </si>
  <si>
    <t>['aplikasi', 'membantu', 'info', 'produk', 'telkomsel']</t>
  </si>
  <si>
    <t>['tampilan', 'pelayanan', 'bagus', 'keren', 'telkomsel', '']</t>
  </si>
  <si>
    <t>['', 'alsannya', 'sll', 'problem']</t>
  </si>
  <si>
    <t>['mempermudah', 'membeli', 'paket', 'dll', 'terimakasih', 'telkomsel', 'love', '']</t>
  </si>
  <si>
    <t>['sabar', 'berdoa']</t>
  </si>
  <si>
    <t>['udah', 'aplikasi', 'telkomsel', 'bbrp', 'tepatnya', 'lupa', 'kasih', 'bintang', 'loadingnya', 'bagus', 'cepat', 'transaksi', 'paket', 'internet', 'beli', 'pemberitahuan', 'hrs', 'update', 'ikutin', 'siang', 'stlh', 'update', 'dibuka', 'aplikasinya', 'layar', 'berwarna', 'putih', 'ngeblank', 'logo', 'hapuslah', 'trus', 'download', 'tetep', 'dibuka', '']</t>
  </si>
  <si>
    <t>['lumayan', 'buka', 'apk', 'warnanya', 'putih']</t>
  </si>
  <si>
    <t>['tolong', 'keluhan', 'respon', 'email', 'mesengger', 'pengaduan', 'respon']</t>
  </si>
  <si>
    <t>['koq', 'telkomsel', 'mcam', 'lakuh', 'jaringannya', 'harga', 'mahal', 'jaringan', 'sesuai', 'lelet', '']</t>
  </si>
  <si>
    <t>['buka', 'aplikasi', 'banget', 'loading']</t>
  </si>
  <si>
    <t>['akses', 'update']</t>
  </si>
  <si>
    <t>['update', 'tgl', 'des', 'apk', 'dibuka', 'gimana', 'solusinya', 'tks']</t>
  </si>
  <si>
    <t>['sabtu', 'tanggal', 'telkomsel', 'nggak', 'dibuka', 'aplikasinya', '']</t>
  </si>
  <si>
    <t>['bermanfaat', 'bagus', 'awkali']</t>
  </si>
  <si>
    <t>['what', 'happen', 'koq', 'apk', 'whitescreen', 'internet', 'lancar', 'banget', 'pdhl', 'kuning', 'telkomsel', 'skr', 'lemot', 'yaaa', 'kesini', 'koq', 'nyebelin', 'bats', 'deh', 'hhhmmm', '']</t>
  </si>
  <si>
    <t>['', 'telcomsel', 'emang', 'bagus', 'sia', 'pakek', 'telkomsel']</t>
  </si>
  <si>
    <t>['sinyal', 'jlk', 'bagusan', 'ngelag', 'mulu', 'isi', 'paket', 'mulu', 'sinyal', 'jlk', 'gitu']</t>
  </si>
  <si>
    <t>['aplikasi', 'telkomsel', 'udah', 'buka', 'layar', 'putih', '']</t>
  </si>
  <si>
    <t>['telkom', 'kartu', 'miskin', 'jaringan', 'parah', 'banget', 'paket', 'cuman', 'mahal', 'leg', 'nyesal', 'telkom', 'sel', 'habis', 'datata', 'kupatah', 'kartu', 'telkom', 'busuk', '']</t>
  </si>
  <si>
    <t>['sinyal', 'burik', 'wilayah', 'jakarta', 'utara', 'bendlay', 'mustafa', 'mahal', 'doang', 'burik', 'iya']</t>
  </si>
  <si>
    <t>['sungguh', 'praktis', 'nyaman', 'penggunaan', 'kejutan', 'telkomsel', 'banyakin', 'kejutan', 'ayo', 'pakai', 'applikaainya', 'telkomsel', '']</t>
  </si>
  <si>
    <t>['sengat', 'memuaskan']</t>
  </si>
  <si>
    <t>['kuota', 'ketengan', 'youtube', 'aksess', 'youtube', 'mohon', 'perbaiki']</t>
  </si>
  <si>
    <t>['sebenarny', 'ikhlas', 'kasih', 'bintang', 'gimna', 'keritikan', 'posting', 'aplikasi', 'jelek', 'layannya', 'memuaskan', 'layanan', 'operator', 'sumpah', 'nyaman', 'jaringannya', 'jelek', 'parah', 'main', 'mobile', 'legend', 'bang', 'bang', 'lelet', 'download', 'aplikasi', 'tolong', 'pelayanan', 'memuaskan']</t>
  </si>
  <si>
    <t>['sumpah', 'tuhan', 'menyesal', 'beli', 'kartu', 'paket', 'kuota', 'telkomsel', 'harganya', 'mahal', 'banget', 'kualitas', 'jaringannya', 'super', 'super', 'jelek', 'beda', 'smartfren', 'indosat', 'hrga', 'murah', 'kualitas', 'jaringan', 'bagus', 'iklan', 'jaringan', 'cuuiiihhh', 'dustanya', 'penipu', 'binta', 'sungguh', '']</t>
  </si>
  <si>
    <t>['jaringan', 'telkomsel', 'jelek', 'monyet', 'udah', 'mahal', 'jelek', 'tolong', 'perbaiki']</t>
  </si>
  <si>
    <t>['mahal', 'doang', 'sinyal', 'nyicil', '']</t>
  </si>
  <si>
    <t>['pengin', 'update', 'kartu', '']</t>
  </si>
  <si>
    <t>['min', 'aplikasih', 'telkomsel', 'buka', 'kemarin', 'suruh', 'updet', 'abis', 'ngupdet', 'buka', 'apk', 'gini', 'apk', 'min']</t>
  </si>
  <si>
    <t>['puas', 'banget', 'promo', 'mahal', 'coba', 'promo', 'banyakin', 'kaya', 'kuota', 'unlimited', 'beli', 'promo', 'skali', 'beli', 'kaga', 'seru']</t>
  </si>
  <si>
    <t>['niat', 'jualan', 'paket', 'unlimited', 'dibatasi', 'arti', 'unlimited', 'mending', 'ganti', 'namany', 'unlimited', 'udh', 'nglag', 'gajelas', 'pas', 'ngegame']</t>
  </si>
  <si>
    <t>['apk', 'hbis', 'update', 'bug']</t>
  </si>
  <si>
    <t>['telkomsel', 'sinyalnya', 'jelek']</t>
  </si>
  <si>
    <t>['membantu', 'pengguna', 'paket', 'gratis']</t>
  </si>
  <si>
    <t>['bagus', 'sinyal', 'kuat', 'mudah']</t>
  </si>
  <si>
    <t>['perbaiki', 'sinyal', 'kuota', 'nambah', 'mahal', 'jaringan', 'lelet', 'buang', 'sampah', '']</t>
  </si>
  <si>
    <t>['nyerah', 'pakek', 'telkomsel', 'min', 'udah', 'kubuat', 'suruh', 'ngeleg', 'pakek']</t>
  </si>
  <si>
    <t>['', 'telkomsel', 'dimana', 'paketan', 'mahalnya', 'meraja', 'lela', 'tpi', 'sinyal', 'kayak', 'jjur', 'telkomsel', 'udh', 'lbih', 'thn', 'tpi', 'thun', 'sinyal', 'jelek', 'ngak', 'penyebabnya', 'lucu', 'kartu', 'nomer', 'seindonesia', 'sinyalnya', 'burik', 'cuman', 'harga', 'paketannya', 'mahalin', 'tpi', 'kualitas', 'sinyal', 'tdak', 'perbarui', 'hahah', 'lucu', '']</t>
  </si>
  <si>
    <t>['sulawesi', 'lancar', 'berkomunikasi', 'zoom', 'call', 'temen', 'pakai', 'jaringan', 'susah', 'sinyal', 'makasih', 'telkomsel', 'temen', 'merekomendasikan', 'pakai']</t>
  </si>
  <si>
    <t>['telkomsel', 'jaringan', 'bgus', 'tmpat', 'udh', 'jaringan', 'telkomsel', 'hilang', 'total', 'beralih', 'axsis', '']</t>
  </si>
  <si>
    <t>['telkomsel', 'payah']</t>
  </si>
  <si>
    <t>['mantap', 'banget', 'mohon', 'harga', 'paket', 'paket', 'mahal', 'mahal', 'belajar', 'butuh', 'kuota', 'mohon', 'perbaiki', 'terimakasih', '']</t>
  </si>
  <si>
    <t>['dimohon', 'unk', 'perbanyak', 'pulsa', 'murah', 'irit']</t>
  </si>
  <si>
    <t>['kedepannya', 'beli', 'kuotanya', 'dimahalin', 'kasih', 'promo', 'mahal', 'pelanggan', 'kecewa', 'harga', 'kuota', 'mahal', 'cari', 'uang', 'susah']</t>
  </si>
  <si>
    <t>['terimakasi', 'telkomsel', 'membantu', 'paket', 'ter', 'daptar', 'tinggal', 'pilih']</t>
  </si>
  <si>
    <t>['pelayanan', 'tingkat']</t>
  </si>
  <si>
    <t>['memiliki', 'pulsa', 'mendaftarkan', 'kuota', 'internet', 'tolong', 'sediakan', 'fitur', 'pulsa', 'safe', 'karna', 'orang', 'terkadang', 'sepontan', 'mengaktifkan', 'data', 'pengisian', 'pulsa', 'beimbas', 'habis', 'pulsa', 'merugikan']</t>
  </si>
  <si>
    <t>['disign', 'mutasi', 'prabayar', 'pascabayar', 'buruk', 'otp', 'mbanking', 'konsumen', 'terlajur', 'setia', 'pra', 'bayar', 'terpaksa', 'operator', 'kesulitan', 'parah']</t>
  </si>
  <si>
    <t>['tolong', 'apk', 'perbaiki', 'donk', 'gimana', 'mimin']</t>
  </si>
  <si>
    <t>['keren', 'submit', 'uas', 'butuh', 'menit', 'hasilnya', 'ditolak', 'kuliah', 'semester', 'berguna']</t>
  </si>
  <si>
    <t>['telkomsel', 'kartu', 'orang', 'kaya', 'jaringan', 'orang', 'miskin', '']</t>
  </si>
  <si>
    <t>['bagus', 'terpercaya', 'kwalitasnya', 'bagus']</t>
  </si>
  <si>
    <t>['suka', 'banget', 'serius']</t>
  </si>
  <si>
    <t>['', 'belik', 'paket', 'telkomsel', 'paketnya']</t>
  </si>
  <si>
    <t>['jaringan', 'hapus', 'apk', 'telkomsel', 'playstore', 'liat', 'youtube', 'main', 'game', 'dasar', 'untung', 'kualitas', 'jaringanya', '']</t>
  </si>
  <si>
    <t>['dasar', 'kapitalis', 'kuota', 'kesedot', 'pulsanya']</t>
  </si>
  <si>
    <t>['yes', 'bagus', 'banget']</t>
  </si>
  <si>
    <t>['diupdate', '']</t>
  </si>
  <si>
    <t>['knp', 'telkomsel', 'dibuka', 'unistal', 'instal', 'dibuka', 'knp', '']</t>
  </si>
  <si>
    <t>['isi', 'paket', 'combo', 'payah', 'pancing', 'pls', 'sesuai', 'tulis', 'promonya', 'jar', 'sel']</t>
  </si>
  <si>
    <t>['telkomsel', 'parah', 'gua', 'beli', 'paket', 'combo', 'sakti', 'instagram', 'lemot', 'parah', 'paraahhh', 'gua', 'telkomsel', 'gua', 'kecewa', 'sumpah', 'abis', 'gua', 'pakai', 'telkomsel']</t>
  </si>
  <si>
    <t>['beli', 'paket', 'internet']</t>
  </si>
  <si>
    <t>['kemarin', 'update', 'versi', 'error', 'aplikasi', 'dibuka', 'kirim', 'email', 'customer', 'service', 'pelayanan', 'bagus', 'alhamdulillah', 'update', 'versi', 'aplikasi', '']</t>
  </si>
  <si>
    <t>['aplikasi', 'telkomsel', 'dbuka', 'diuninstal', 'direstart', 'tetep', 'dibuka', '']</t>
  </si>
  <si>
    <t>['bertahan', 'aplikasi', 'eror', 'blank', 'putih', 'dibuka', 'uninstall', 'berkali', 'kali', 'akses', 'mohon', 'ditindak', 'lanjuti', 'permasalahan', 'aplikasi', 'eror', '']</t>
  </si>
  <si>
    <t>['membantu', 'mudah', 'transaksinya']</t>
  </si>
  <si>
    <t>['knp', 'update', 'blank', 'putih', 'udah', 'bolak', 'instal', 'ulang', 'msh', 'ttep', 'blank', 'tolong', 'perbaiki', 'donk', 'liat', 'keluhan', 'blm', 'tindak', 'lanjuti', 'emang', 'versi', 'terbarux', 'blm', 'knp', 'rilis', 'updatex', 'tolong', 'baca', 'perbaiki', '']</t>
  </si>
  <si>
    <t>['kali', 'beli', 'pulsa', 'membeli', 'promo', 'paket', 'promo', 'paket', 'menghilang']</t>
  </si>
  <si>
    <t>['gila', 'sinyal', 'koh', 'kaya', 'setan', 'ngilang', 'mulu']</t>
  </si>
  <si>
    <t>['woy', 'gue', 'gue', 'push', 'rank']</t>
  </si>
  <si>
    <t>['jdi', 'mudah', 'data', 'aplikasi', 'telkomsel', '']</t>
  </si>
  <si>
    <t>['membantuh', 'apk', 'sukses', 'giftway']</t>
  </si>
  <si>
    <t>['harga', 'paketnya', 'ribu', 'napa', 'ribu']</t>
  </si>
  <si>
    <t>['pribadi', 'suka', 'telkomsel', 'jaringannya', 'dimana', 'manaa', 'makasih', 'telkomsel', 'sukses', 'sekalu']</t>
  </si>
  <si>
    <t>['paket', 'data', 'telkomsel', 'istri', 'beda', 'gini', 'istri', 'paket', 'gb', 'rb', 'telkomsel', 'paket', 'data', 'mahal', '']</t>
  </si>
  <si>
    <t>['telkomsel', 'merakyat', 'paham', '']</t>
  </si>
  <si>
    <t>['kalow', 'bagus', '']</t>
  </si>
  <si>
    <t>['mudah', 'mengerti', 'pilihan', 'paket', 'mantap']</t>
  </si>
  <si>
    <t>['min', 'telkomsel', 'buka', 'updatean', 'buka', 'mohon', 'petunjuk', 'terimakasih', '']</t>
  </si>
  <si>
    <t>['suka', 'paket', 'promonya']</t>
  </si>
  <si>
    <t>['mantap', 'paket', 'combo', 'sakti']</t>
  </si>
  <si>
    <t>['pas', 'buka', 'aplikasi', 'putih', 'layar', '']</t>
  </si>
  <si>
    <t>['aplikasi', 'pelit', 'coy']</t>
  </si>
  <si>
    <t>['telkomsel', 'yaa', 'beli', 'paket', 'coba', 'aplikasi', 'tik', 'tok', 'muter', 'truss', 'game', 'muter', 'udh', 'jaringan', 'tetep', 'joree', 'pindah', 'aplikasi', 'indosat', 'murah', 'jaringan', 'bagus', '']</t>
  </si>
  <si>
    <t>['', 'telkomsel', 'bermanfaat', 'mudah', '']</t>
  </si>
  <si>
    <t>['pelayanan', 'pembelian', 'paket', 'lumayan', 'mudah', 'praktis', 'cepat', 'sinyal', 'jaringan', 'internet', 'bagus', 'dibanding', 'frovider', 'disayangkan', 'jaringan', 'internet', 'ditempat', 'stabil', 'bisnis', 'online', 'bergantung', 'jaringan', 'internet', 'terganggu', 'mohon', 'dicek', 'jaringan', 'internet', 'ditempat', 'bos', 'bengkulu', 'utara', 'kecamatan', 'airbesi', '']</t>
  </si>
  <si>
    <t>['isi', 'paket', 'ganggun', 'udah', 'bolak', 'upgrade', 'tetep', 'isi', 'paket', 'kayak', 'aplikasinya', 'tolong', 'dibenerin']</t>
  </si>
  <si>
    <t>['kasih', 'binta', 'butuh', 'bantuan', 'pelayanannya', 'chtt', 'virtual', 'mesenger', 'beratas', 'namakan', 'veronica', '']</t>
  </si>
  <si>
    <t>['pemaharuan', 'telkomsel', 'buka', 'sangta', 'kecewa']</t>
  </si>
  <si>
    <t>['pulsa', 'tersedot', 'solusi', 'apk']</t>
  </si>
  <si>
    <t>['update', 'aplikasi', 'telkomsel', 'dibuka', 'blank', 'copy', 'install', 'hasilnya', 'tolong', 'dibantu', 'tks']</t>
  </si>
  <si>
    <t>['kecewa', 'pilihan', 'promo', 'ceria', 'diakses', 'biarpun', 'promonya', '']</t>
  </si>
  <si>
    <t>['telkomsel', 'susah', 'banget', 'pulsa', 'susah', 'beli', 'kuota', 'telkomsel']</t>
  </si>
  <si>
    <t>['tolong', 'telkomsel', 'udah', 'buka', 'telkomsel', 'kemaren', 'suruh', 'update', 'update', 'membuka', 'aplikasi', 'telkomsel', 'tolong', 'respon', '']</t>
  </si>
  <si>
    <t>['wow', 'jaringannya', 'bagus', 'antonim', 'ganti', 'im', 'telkomsel', 'mending', 'ganti', 'im', 'kartu', 'terbaik', '']</t>
  </si>
  <si>
    <t>['bagus', 'kemarin', 'udah', 'kebuka', 'aplikasainya']</t>
  </si>
  <si>
    <t>['sinyal', 'tolong', '']</t>
  </si>
  <si>
    <t>['memasang', 'update', 'terbaru', 'aplikasi', 'dibuka', 'clear', 'data', 'memory', 'uninstall', 'reinstall', 'restart', 'perangkat', 'aplikasi', 'mytelkomsel', 'dibuka', '']</t>
  </si>
  <si>
    <t>['segini', 'blm', 'dicoba', 'sya', 'lgi', 'mendownload', 'aplikasi', 'susah', 'terdownload', 'bsa', 'bantu', 'kasih', 'lbih', 'mudah']</t>
  </si>
  <si>
    <t>['jelek', 'banget', 'dibuka', 'apk', 'pindah', 'provider']</t>
  </si>
  <si>
    <t>['aplikasi', 'upadate', 'mulu']</t>
  </si>
  <si>
    <t>['membuka', 'telkomsel', '']</t>
  </si>
  <si>
    <t>['tolong', 'sinyal', 'gimana', 'main', 'ngelag', 'mulu', 'mulu', 'sampe', 'hilang', 'sinyal', 'tolong', 'telkomsel']</t>
  </si>
  <si>
    <t>['gagal', 'beli', 'paket', 'internet', 'bukti', 'transaksi', 'beli', 'pulsa', 'turun', 'setalah', 'pergi', 'keambil', 'pulsa']</t>
  </si>
  <si>
    <t>['tarif', 'mahal', 'aplikasi', 'ngelag']</t>
  </si>
  <si>
    <t>['respon', 'aplikasinya', 'dibuka', 'aplikasi', 'buruk', '']</t>
  </si>
  <si>
    <t>['kesini', 'kacau', 'pas', 'main', 'game', 'sinyal', 'pas', 'buka', 'youtube', 'sinyal', 'lancar', 'beli', 'paket', 'parahh']</t>
  </si>
  <si>
    <t>['telkomsel', 'kesini', 'rusak', 'jaringan', 'min', 'tolong', 'perbaiki', 'iyah', 'nhabsjnsjsndjdddjjddjjdjdjdjdjdjdjfjfjfjfjfjfjfjfjfj']</t>
  </si>
  <si>
    <t>['bug', 'beli', 'pulsa', 'nominal', 'mengirim', 'pulsa', 'pencet', 'opsi', 'pilih', 'nominal', 'bacaan', 'pulsa', 'mencukupi', 'nominal', 'bug', 'bug', 'tolong', 'cepat', 'fix', 'membeli', 'akun', 'game', 'bug', 'terima', 'kasih']</t>
  </si>
  <si>
    <t>['bagus', 'lanjautkan']</t>
  </si>
  <si>
    <t>['apps', 'oke', '']</t>
  </si>
  <si>
    <t>['telkomsel', 'sinyal', 'jelek', 'tinggal', 'daerah', 'kota', 'kartu', 'halo', 'sinyal', 'pakai', 'telkomsel', 'udh', 'tetep', 'jelek', 'sinyal']</t>
  </si>
  <si>
    <t>['heran', 'udah', 'kali', 'beli', 'paket', 'internet', 'malam', 'beli', 'paket', 'internet', 'malam', 'download', 'aplikasi', 'kuotanya', 'udah', 'habis', 'lihat', 'pemakaian', 'kuota', 'gada', 'dipake', 'kuotanya', 'hilang', 'gada', 'jejak', 'gitu']</t>
  </si>
  <si>
    <t>['apk', 'dipake', 'beli', 'paket', 'mesti', 'commerce', 'parah']</t>
  </si>
  <si>
    <t>['operator', 'bagus', 'sinyal', 'buruk', 'harganya', 'mahal', 'sesuai', 'kota', 'kota', 'bagus', 'telkom', 'daerah', 'desa', 'buruk']</t>
  </si>
  <si>
    <t>['suda', 'paket', 'gigah', 'skrang', 'bisah', '']</t>
  </si>
  <si>
    <t>['membantu', 'beli', 'paket', 'cek', 'quota', 'lihat', 'program', 'telkomsel', '']</t>
  </si>
  <si>
    <t>['terimah', 'kasih', 'aplikasi', 'bagus']</t>
  </si>
  <si>
    <t>['puas', 'telkomsel', 'membantu', 'mantap']</t>
  </si>
  <si>
    <t>['telkomsel', 'membatu', 'berkomunikasi', 'kota', 'desa']</t>
  </si>
  <si>
    <t>['buruk', 'hujan', 'gerimis']</t>
  </si>
  <si>
    <t>['', 'telkomsel', 'update', 'bagus', 'bangat', 'membantu', 'update', 'dibuka', 'skali', 'gimana', 'tolong', 'perbaiki', '']</t>
  </si>
  <si>
    <t>['buka', 'mytelkomsel', 'layar', 'putih', 'udah', 'buka', 'cek', 'kuota', 'tolong', 'perbaiki', 'telkomsel']</t>
  </si>
  <si>
    <t>['', 'perbarui', 'masuk', 'ngeblang', 'layar', 'putih', 'doang', 'udah', 'diulang', 'bgitu']</t>
  </si>
  <si>
    <t>['lumayan', 'membntu']</t>
  </si>
  <si>
    <t>['pembayaran', 'link', 'coba', 'melapor']</t>
  </si>
  <si>
    <t>['bagus', 'fungsi', 'bagus']</t>
  </si>
  <si>
    <t>['simpel', 'mudah', 'semoga', 'sukses', 'sellu', 'telkomsel', '']</t>
  </si>
  <si>
    <t>['memakai', 'telkomsel', 'mudah']</t>
  </si>
  <si>
    <t>['aplikasi', 'kadang', 'loadingnya', 'berat']</t>
  </si>
  <si>
    <t>['internetnya', 'lelet', 'telkomsel', 'buruk']</t>
  </si>
  <si>
    <t>['aplikasi', 'provider', 'pas', 'masuk', 'apk', 'lemot', 'ampun']</t>
  </si>
  <si>
    <t>['maff', 'gua', 'langganan', 'engstak', 'apk', 'boss']</t>
  </si>
  <si>
    <t>['sinyalnya', 'jelek']</t>
  </si>
  <si>
    <t>['abis', 'update', 'buka', 'update', '']</t>
  </si>
  <si>
    <t>['app', 'ampas', 'sumpah', 'telkomsel', 'mbanking', 'kerasa']</t>
  </si>
  <si>
    <t>['knapa', 'jaringan', 'jdi', 'lemot', 'bngt', 'kecewa', 'brlangganan', 'prabayar']</t>
  </si>
  <si>
    <t>['berbarui', 'pas', 'buka', 'suruh', 'memperbarui', 'maksudnya', 'gimana', '']</t>
  </si>
  <si>
    <t>['jaringan', 'burik', 'harga', 'doang', 'mahal', 'ngelag', 'tolong', 'perbaiki', 'betah', 'telkomsel', 'tolong', 'harga', 'mahal', 'jaringan', 'jelek', 'sesuai', 'harga', 'ayo', 'telkomsel', 'perbaiki', 'jaringan', 'anjjjj']</t>
  </si>
  <si>
    <t>['aplikasinya', 'tolong', 'dibenerin', 'buka', 'telkomsel', 'stack', 'white', 'schreen', '']</t>
  </si>
  <si>
    <t>['hancur', 'telkomsel', 'jaringan', 'mala', 'skrg', 'app', 'dibuka', 'jaringan', 'tsel', 'hancur', 'bagus', 'tutup', 'app', 'tsel', 'mcam', 'sampah']</t>
  </si>
  <si>
    <t>['smg']</t>
  </si>
  <si>
    <t>['isi', 'plsa', 'buka', 'aplkasinya', 'beli', 'paketnya', 'pulsanya', 'keambil', 'detik', 'doang', 'sakitnya', 'berdarah', 'dikali', 'juta', 'pelanggan', 'nutupin', 'gaji', 'karyawannya', '']</t>
  </si>
  <si>
    <t>['update', 'buka', 'aplikasinya', 'muncul', 'warna', 'putih', 'diupdate', 'memperbaiki', 'menimbulkan']</t>
  </si>
  <si>
    <t>['lumayanlah', 'paket', 'combo', 'sakti', 'paket', 'combo', 'sakti', 'harga', 'rb', 'gb', 'ngak', '']</t>
  </si>
  <si>
    <t>['reward', 'pelanggan', 'bagus', 'tambahan', 'reward', 'gift', 'pelanggan', 'setia']</t>
  </si>
  <si>
    <t>['telkomsel', 'daerah', 'sumbagut', 'jaringan', 'langsung', 'hilang', 'mati', 'lampu']</t>
  </si>
  <si>
    <t>['syrat', 'nukar', 'poin', 'ribet']</t>
  </si>
  <si>
    <t>['hubungi', 'menang', 'undian']</t>
  </si>
  <si>
    <t>['udah', 'beli', 'kuota', 'ketengen', 'youtube', 'mlaah', 'habis', 'kuota', 'utama', 'ngeselin', 'sumpah', 'kuota', 'utama', 'habis', 'kuota', 'berfunsi', 'kecewa', 'berat', 'sumpah']</t>
  </si>
  <si>
    <t>['nyaman', 'aplikasi', 'oke', 'mantaapp', '']</t>
  </si>
  <si>
    <t>['perbaharui', 'jutru', 'buka', 'aplikasinya', 'nampak', 'layar', 'putih', 'langsung', 'aplikasi', 'minggu', 'coba', 'uninstal', 'download', 'tetep', 'hasilnya', 'padahap', 'aplikasi', 'mytelkomsel', 'membantu', 'pembelian', 'oaket', 'data', 'pengecekan', 'paket', 'data', 'ribet', 'tolong', 'admin', 'perbaiki', 'menggunakannya', '']</t>
  </si>
  <si>
    <t>['telkomsel', 'sungguh', 'memuaskan', 'jaringan', 'bagus', 'semoga', 'jaya']</t>
  </si>
  <si>
    <t>['telkomsel', 'kaya', 'cuman', 'mahal', 'doang', 'kualitas', 'menurun', 'udah', 'setia', 'telkomsel', 'udah', 'thn', 'masukan', 'tolong', 'tingkatkan', 'kualitasnya', 'makasih']</t>
  </si>
  <si>
    <t>['tolong', 'info', 'solusinya', 'buka', 'aplikasi', 'mytelkomsel', 'munculnya', 'layar', 'putih', 'terima', 'kasih']</t>
  </si>
  <si>
    <t>['kerennn', 'ragu', 'ragu', 'ayok', 'install', '']</t>
  </si>
  <si>
    <t>['cek', 'full', 'tetep', '']</t>
  </si>
  <si>
    <t>['beli', 'unlimited', 'youtube', '']</t>
  </si>
  <si>
    <t>['metode', 'pembayaran']</t>
  </si>
  <si>
    <t>['mantap', 'apikasinya', 'mempermudah', 'beli', 'paket', 'bnyk', 'promonya']</t>
  </si>
  <si>
    <t>['', 'bagus', 'telkomselnya', 'pas', 'suruh', 'apdate', 'udah', 'apdate', 'lyarnya', 'putih', 'gmn', 'solisinya', 'mohon', 'bantuannya', '']</t>
  </si>
  <si>
    <t>['baguss', 'mudah', '']</t>
  </si>
  <si>
    <t>['download', 'apk', 'buka', 'kecewa', '']</t>
  </si>
  <si>
    <t>['parah', 'jaringan', 'telkomsel', 'bener', 'parah']</t>
  </si>
  <si>
    <t>['sinyal', 'telkomsel', 'lelet', 'lelet', 'boros', 'kuatanya', 'tolong', 'perbaiki']</t>
  </si>
  <si>
    <t>['muda', 'han', 'kedepan', 'paket', 'ekonomis', 'jangkauan', 'signal', 'kuat', '']</t>
  </si>
  <si>
    <t>['kenpa', 'stlh', 'update', 'eror', 'apk', 'tolong', 'perbaiki', 'donk']</t>
  </si>
  <si>
    <t>['lumayan', 'membantu', 'tolong', 'diperbanyak', 'diskon', 'kuota', 'internet']</t>
  </si>
  <si>
    <t>['bagus', 'promo', 'pembelian', 'paket']</t>
  </si>
  <si>
    <t>['telkomsel', 'bleng']</t>
  </si>
  <si>
    <t>['paket', 'maxtreem', 'kuota', 'utama', 'isi', 'paket', 'ribu', 'kuota', 'utama', 'gb', 'kuta', 'maxtreem', 'butuh', 'kuota', 'internet', 'kuota', 'maxtreem', 'mohon', 'bantu']</t>
  </si>
  <si>
    <t>['membantu', 'boros', 'kouta']</t>
  </si>
  <si>
    <t>['stuck', 'update']</t>
  </si>
  <si>
    <t>['buka', 'muncul', 'white', 'screen', 'mohon', 'tolong', 'diperbaiki']</t>
  </si>
  <si>
    <t>['ngak', 'masuk', 'layar', 'putih', 'gimana', '']</t>
  </si>
  <si>
    <t>['susah', 'bener', 'buka', 'aplikasi', 'lelet', 'banget']</t>
  </si>
  <si>
    <t>['bagus', 'dalamannya', 'perbaiki', 'update', 'aplikasi', 'ngeblank', '']</t>
  </si>
  <si>
    <t>['gmna', 'apk', 'dibuka', 'udh', 'suruh', 'update', 'mulu', 'update', 'kemaren', 'ngebug', 'layar', 'putih', 'doang', 'beli', 'kuota', 'mahal', 'murah', 'aplikasi', 'dibeli', 'aneh', 'telkomsel', 'emosi', 'pdahal', 'pengguna', 'telkomsel', 'dri', 'lohh', 'skrg', 'knp', 'kya', 'gni', 'telkomsel', 'tolong', 'lahh', 'perbaiki', 'bngsattt']</t>
  </si>
  <si>
    <t>['pembelian', 'kuota', 'harganya', 'berbeda', 'beda', 'kartunya', 'kartu', 'murah', 'harganya', 'disamakan', '']</t>
  </si>
  <si>
    <t>['membantu', 'aktifitas', 'harga', 'msih', 'mahal', 'banding', 'aplikator']</t>
  </si>
  <si>
    <t>['gimana', 'habis', 'diupdate', 'dibuka', 'tolong', 'diperbaiki']</t>
  </si>
  <si>
    <t>['menarik', 'pertahankan', 'kasih', 'promo', '']</t>
  </si>
  <si>
    <t>['layanan', 'sinyal', 'harga', 'kuota', 'dibilang', 'mahal', 'wil', 'tulungagung', 'keluhan', 'pemadaman', 'listrik', 'sinyal', 'internet', 'nol', 'tower', 'pemancar', 'telkomsel', 'batrei', 'cadangan', 'pemadaman', 'listrik', 'sinyal', 'terpengaruh']</t>
  </si>
  <si>
    <t>['minggu', 'app', 'mytelkomsel', 'dioperasikan', 'layar', 'putih', 'doang', 'perbaikan', 'maintenance', 'minggu', 'memudahakan', 'memantau', 'pemakaian', 'pembelian', 'berasa', 'berguna', 'karna', '']</t>
  </si>
  <si>
    <t>['tolong', 'masuk', 'telkomsel', 'warna', 'putih', 'masuk']</t>
  </si>
  <si>
    <t>['telkomsel', 'aman', 'mgkin', 'jaringan', 'jelek', 'kali', 'tpi', 'knpaa', 'tagihan', 'melebihi', 'batas', 'bln', 'pdhal', 'rutin', '']</t>
  </si>
  <si>
    <t>['berharap', 'terlslu', 'menampilkan', 'iklan']</t>
  </si>
  <si>
    <t>['', 'itung', 'amal', 'mudah', 'salah', 'ngadih', 'bintang', 'lancar', 'jaya', 'telkomsel', 'kartunya', 'ttp', 'setia', 'telkomsel', '']</t>
  </si>
  <si>
    <t>['telkom', 'ajg', 'kartu', 'mahal', 'jaringan', 'bagus', 'pagi', 'sampek', 'malem', 'gada', 'sikitpun', 'bagusnya']</t>
  </si>
  <si>
    <t>['memudahkan', 'transaksi', 'pulsa', 'beli', 'paketan', '']</t>
  </si>
  <si>
    <t>['telkomsel', 'kartu', 'terfavoritku', 'paketannya', 'murah', 'cepat', 'sinyal', 'nouno', 'good', 'job', '']</t>
  </si>
  <si>
    <t>['menu', 'telkomsel', 'mudah', 'cek', 'kuota']</t>
  </si>
  <si>
    <t>['tolong', 'buka', 'mytelkomsel', 'putih', 'beli', 'paket', 'putih', 'masuk', 'telkomsel']</t>
  </si>
  <si>
    <t>['aplikasi', 'telkomsel', 'ndak', 'buka', '']</t>
  </si>
  <si>
    <t>['kak', 'paket', 'games', 'seminggu']</t>
  </si>
  <si>
    <t>['tolong', 'aktifkan', 'fitur', 'save', 'pulsa', 'pulsa', 'karuan', 'sedot', 'menerus', '']</t>
  </si>
  <si>
    <t>['suka', 'aplikasi', 'telkomsel', 'promo', 'lgi', '']</t>
  </si>
  <si>
    <t>['aplikasi', 'telkomsel', 'susah', 'bukaknya', 'berat', 'mogq', 'perbaikan', 'aplikasi', 'telkomselnya']</t>
  </si>
  <si>
    <t>['setia', 'telkomsel', 'pegang', 'thn', 'sinyal', 'buruk', 'ditempat', 'perna', 'kluar', 'sinyal', 'kemaren', 'kecewa']</t>
  </si>
  <si>
    <t>['terimah', 'kasih', 'pelayanan']</t>
  </si>
  <si>
    <t>['keren', 'nie', '']</t>
  </si>
  <si>
    <t>['selamat', 'pagi', 'admin', 'aplikasi', 'buka', 'mohon', 'bantuannya', 'trims']</t>
  </si>
  <si>
    <t>['memuaskan', 'mudah']</t>
  </si>
  <si>
    <t>['mantapp', 'mahal', 'cepat', 'secepat', 'kilat']</t>
  </si>
  <si>
    <t>['jaringan', 'kaya', 'monyet', 'mahal', 'sumpah', 'najis', 'beli', 'kuota', 'telkomsel', 'promo', 'najis', 'beli', 'kuota']</t>
  </si>
  <si>
    <t>['paket', 'combo', 'omg', 'gb']</t>
  </si>
  <si>
    <t>['tolong', 'diperbaiki', 'aplikasinya', 'blom', 'bsa', 'buka', 'diperbaharui', 'hapus', 'instal', 'ulang', 'bsa', 'buka']</t>
  </si>
  <si>
    <t>['sinyalnya', 'jelek', 'dibenerin', 'buka', 'marketplace', 'susah', 'sinyalnya', 'buruk']</t>
  </si>
  <si>
    <t>['', 'telkomsel', 'susah', 'banget', 'akses', 'bagus', '']</t>
  </si>
  <si>
    <t>['puas', 'kecewa', 'geblank']</t>
  </si>
  <si>
    <t>['jaringan', 'meluas']</t>
  </si>
  <si>
    <t>['aplikasi', 'telkomsel', 'mmg', 'good']</t>
  </si>
  <si>
    <t>['harga', 'mahal', 'lag', 'sinyal', 'burik', 'jelek', 'jelek', 'jelek', 'jelek', 'jelek', 'udh', 'mahal', 'lag', 'lag']</t>
  </si>
  <si>
    <t>['telkomsel', 'melarat', 'sinyal', 'masak', 'pagi', 'siank', 'malam', 'sinyal', 'cuman', 'tower', 'susah', 'langsung', 'turun', 'main', 'game', 'performance', 'user', 'kayag', 'taik']</t>
  </si>
  <si>
    <t>['udah', 'seminggu', 'buka']</t>
  </si>
  <si>
    <t>['aplikasinya', 'blank', 'putih', 'daftar', 'paket', 'internet', '']</t>
  </si>
  <si>
    <t>['telkomsel', 'jaringannya', 'jlek']</t>
  </si>
  <si>
    <t>['hancur', 'nie', 'jaringan', 'telkomsel', '']</t>
  </si>
  <si>
    <t>['jaringan', 'internet', 'telkomsel', 'jelek', 'parah', 'kuota', 'telalu', 'mahal', '']</t>
  </si>
  <si>
    <t>['min', 'dibuka', 'instal', 'uninstall', 'coba', 'ndk', 'diperiksa', 'min', '']</t>
  </si>
  <si>
    <t>['', 'asli', 'aplikasi', 'lambat', 'bagus']</t>
  </si>
  <si>
    <t>['mahal', 'jualan', 'mubazir']</t>
  </si>
  <si>
    <t>['tolong', 'perbaiki', 'applikasinya', 'login']</t>
  </si>
  <si>
    <t>['dibuka', 'blank', 'putih', 'doank', 'tlg', 'diperbaiki', '']</t>
  </si>
  <si>
    <t>['masuk', 'telkomsel', 'layar', 'blank', 'warna', 'putih', '']</t>
  </si>
  <si>
    <t>['woi', 'beli', 'unlimited', 'youtube', 'seminggu', 'sehari', 'udah', 'nggak', 'gimana', 'woi']</t>
  </si>
  <si>
    <t>['telkomsel', 'kmrin', 'date', 'slsai', 'date', 'mlh', 'dbuka', 'akhirx', 'uninstal', 'unt', 'instal', 'sampe', 'ulang', 'ttp', 'kebuka', '']</t>
  </si>
  <si>
    <t>['payah', 'chek', 'menerus', 'chek', 'terputus', '']</t>
  </si>
  <si>
    <t>['telkomsel', 'buka', 'aplikasi', 'ngejek', 'kouta', 'internet', 'timbul', 'layar', 'putih', 'uda', 'unistal', 'instal', 'layar', 'putih', 'muncul', 'tolong', 'telkomsel']</t>
  </si>
  <si>
    <t>['sya', 'update', 'android', 'aplikasi', 'telkomsel', 'diinstal', '']</t>
  </si>
  <si>
    <t>['memuaskan', 'mantappp', '']</t>
  </si>
  <si>
    <t>['', 'terima', 'kasih', 'mytelekomsel', '']</t>
  </si>
  <si>
    <t>['membantu', 'kebutuhan', 'internet']</t>
  </si>
  <si>
    <t>['bintang', 'dlu', 'jaringan', 'lelet', 'banget']</t>
  </si>
  <si>
    <t>['aplikasi', 'telkomsel', 'ngak', 'dibukak', 'upgred', 'versi', 'terbaru', 'ngak', 'dibukak']</t>
  </si>
  <si>
    <t>['provider', 'sampah', 'harga', 'sesuai', 'kualitas', 'isi', 'rb', 'pas', 'cek', 'telmoksel', 'rb', 'rbnya', 'kemane', 'bwt', 'patungan', 'bansos', '']</t>
  </si>
  <si>
    <t>['sebulan', 'mytelkomsel', 'layarnya', 'blank', 'uninstall', 'bolak', 'bgtu', 'dmna', 'aneh', 'aplikasi', 'promo', 'gede', 'aplikasi', 'bobrok', 'blank', 'doang', '']</t>
  </si>
  <si>
    <t>['pokok', 'apk', 'bagus', 'banget', '']</t>
  </si>
  <si>
    <t>['harga', 'lainya', 'kualitas', 'jaringan', 'menuru', 'payah']</t>
  </si>
  <si>
    <t>['memudahkan', 'transaksi', 'beli', 'paket', 'pulsa']</t>
  </si>
  <si>
    <t>['sinyal', 'telkom', 'sebagus', 'kendala', 'jalani', 'telkomsel', 'jaringan', 'bagus']</t>
  </si>
  <si>
    <t>['pastikan', 'oke']</t>
  </si>
  <si>
    <t>['barusan', 'update', 'apk', 'pas', 'dibuka', 'ngestack', 'white', 'screen', 'wifi', 'lancar', 'tolonglah', 'perbaikai', 'apkny', 'kasih', 'bintang', 'udh', 'diperbaiki', 'kasih', 'bintang', '']</t>
  </si>
  <si>
    <t>['bang', 'apk', 'gimna', 'sya', 'update', 'instal', 'ulang', 'ngga', 'masuk', 'apk', 'maksudnya', 'bang', '']</t>
  </si>
  <si>
    <t>['mytelkomsel', 'kebuka', 'layar', 'putihhhh', 'beli', 'paket', 'gimana', 'min', 'habis', 'update', 'versi', '']</t>
  </si>
  <si>
    <t>['aplikasi', 'bagus', 'murah', 'beli', 'paket', 'internet', 'pulsa']</t>
  </si>
  <si>
    <t>['sinyal', 'internet', 'simpati', 'lemat', 'lambat']</t>
  </si>
  <si>
    <t>['hai', 'telkomsel', 'apkah', 'apk', 'berkendala', 'buka', 'white', 'screen', 'kendala', 'unistql', 'instal', 'mohon', 'bantuannya']</t>
  </si>
  <si>
    <t>['ditengah', 'kota', 'sinyal', 'ilang', 'melulu', '']</t>
  </si>
  <si>
    <t>['mahal', 'mahal', 'harganya']</t>
  </si>
  <si>
    <t>['aplikasi', 'telkomsel', 'susah', 'login', '']</t>
  </si>
  <si>
    <t>['aplikasi', 'burung', 'sedunia', 'pelayanannya', 'telkomsel', 'bagus', '']</t>
  </si>
  <si>
    <t>['telkomsel', 'login']</t>
  </si>
  <si>
    <t>['paket', 'telkomsel', 'mahal', 'aneh', '']</t>
  </si>
  <si>
    <t>['assallamuallaikum', 'gimana', 'aplikasi', 'evisien', 'susah', 'akses', 'lambat', 'masuk', 'udah', 'duluan', 'sekian', 'trimakasih', 'wasallam', '']</t>
  </si>
  <si>
    <t>['telkomsel', 'udah', 'enak', 'woy', 'udah', 'kalah', 'udah', 'data', 'mahal', 'ngeleg', 'sinyal', 'bagus', 'lemot', 'maen', 'geme', 'berat', 'kuat', 'aduh', 'pindah', 'kartu', 'udah', 'enak', 'rekomendasi', 'telkomsel']</t>
  </si>
  <si>
    <t>['koq', 'udah', 'seminggu', 'app', 'buka', 'ngbleng', 'putih', 'tampilan', 'layar', 'knp', 'instal', 'ulang', 'hapus', 'data', 'ttp', 'kaya', 'bantu', '']</t>
  </si>
  <si>
    <t>['mantab', 'informatif', 'membantu']</t>
  </si>
  <si>
    <t>['aplikasi', 'sulit']</t>
  </si>
  <si>
    <t>['aplilasi', 'telkomsel', 'buka', 'melalaui', 'mhn', 'petunjuk', '']</t>
  </si>
  <si>
    <t>['mengontrol']</t>
  </si>
  <si>
    <t>['buka', 'mytelkom', 'semalam', 'smpe', 'skrng']</t>
  </si>
  <si>
    <t>['buka', 'aplikasi', 'layar', 'putih']</t>
  </si>
  <si>
    <t>['mnta', 'update', 'skrg', 'jdi', 'buka', 'aplikasi', 'bermutu']</t>
  </si>
  <si>
    <t>['sinyal', 'stabil', 'efesien', 'penggunaan']</t>
  </si>
  <si>
    <t>['mempermudah', 'mantap']</t>
  </si>
  <si>
    <t>['buka', 'apliki', 'gimana']</t>
  </si>
  <si>
    <t>['terimakasih', 'info']</t>
  </si>
  <si>
    <t>['mantap', 'semoga', 'jaya']</t>
  </si>
  <si>
    <t>['informasi', 'telkomsel', 'sqngat', 'membantu', 'pelanggan', '']</t>
  </si>
  <si>
    <t>['telkomsel', 'buka', 'blank', 'warna', 'putih']</t>
  </si>
  <si>
    <t>['update', 'terbaru', 'terbuka', 'white', 'screen', '']</t>
  </si>
  <si>
    <t>['mudah', 'aplikasi']</t>
  </si>
  <si>
    <t>['boros', 'jaringan', 'internetnya', 'lelet', 'pokok', 'best', 'semenjak', 'beralih', 'ketelkomsel', 'nyaman', 'kartu', 'pokonya', 'telkomsel', 'nomor', 'jaringannya', '']</t>
  </si>
  <si>
    <t>['keluhan', 'alihkan', 'apk', 'tinggal', 'sinyalnya', 'perbaiki', 'sekelas', 'telkomsel', 'sinyalnya', 'ngak', 'stabil', '']</t>
  </si>
  <si>
    <t>['telkomsel', 'mahal', 'males', 'deh', 'gue', 'sat']</t>
  </si>
  <si>
    <t>['bagus', 'apk', 'mahal', 'bro', '']</t>
  </si>
  <si>
    <t>['gmna', 'telkomsel', 'login', 'aneh', 'telkomsel', 'gua', 'riport', 'telkomsel']</t>
  </si>
  <si>
    <t>['membuka', 'apk']</t>
  </si>
  <si>
    <t>['signal', 'kadang', 'bagus', 'cuaca', 'mendung', 'kali', '']</t>
  </si>
  <si>
    <t>['metode', 'pembayarannya']</t>
  </si>
  <si>
    <t>['woy', 'aplikasi', 'buka', 'udah', 'kali', 'download']</t>
  </si>
  <si>
    <t>['appnya', 'ngk', 'buka', '']</t>
  </si>
  <si>
    <t>['telkomsel', 'sebagus', 'jelek', 'bngt', 'biaya', 'abis', 'kali', 'karyawan', 'dll', 'bagus', 'youtube', 'doang', 'selebih', 'browser', 'game', 'dll', 'rating', 'jelek', 'maaf', 'emng', 'dirasin', 'pelanggan']</t>
  </si>
  <si>
    <t>['good', 'paket', 'murah']</t>
  </si>
  <si>
    <t>['aplikasinya', 'oke', 'gaada', 'kuota', 'cepet', 'banget', 'abis', 'gapernah', 'abis', 'secepet', 'didemin', 'bentar', 'make', 'sosmed', 'bentar', 'abisnya', 'udh', 'mb', 'udah', 'coba', 'restart', 'pabrik', 'hapus', 'file', 'takutnya', 'virus', 'gitu', 'nariknya', 'gede', 'banget', 'tolong', 'dicek', 'diperbaiki', 'yaa']</t>
  </si>
  <si>
    <t>['apk', 'buka', 'white', 'screen']</t>
  </si>
  <si>
    <t>['lumyan', 'membantu']</t>
  </si>
  <si>
    <t>['bagus', 'afk', 'terima', 'kasih', 'afk', 'telkomsel']</t>
  </si>
  <si>
    <t>['telkomsel', 'bukanya', 'membaik', 'harga', 'mahal', 'parah', 'buruk', 'kecewa', 'telkomsel', 'memilih', 'telkomsel', '']</t>
  </si>
  <si>
    <t>['terimah', 'kasih', 'kerja', 'samanya', 'konsumen', 'mutu', 'jaringan', 'ditingkatkan']</t>
  </si>
  <si>
    <t>['mantappppp', 'bagus']</t>
  </si>
  <si>
    <t>['kemarin', 'direset', 'trus', 'download', 'telkomselnya', 'trus', 'engga', 'masuk', 'apk', 'eror']</t>
  </si>
  <si>
    <t>['mohon', 'tingkatkan', 'harga', 'internet', 'murah', 'giga', 'baet', 'krana', 'harga', 'paket', 'internet', 'telkomsel', 'mahal', 'giga', 'baet', 'terima', 'kasih', 'telkomsel', 'peningkatan', 'paket', 'internet', 'telkomsel', 'maju', 'terima', 'kasih', 'telkomsel', '']</t>
  </si>
  <si>
    <t>['', 'telkomsel', 'buka', 'aplikasinya', 'ngebleng']</t>
  </si>
  <si>
    <t>['keren', 'aplikasi', 'telkomsel']</t>
  </si>
  <si>
    <t>['app', 'udah', 'bebeberapa', 'ngga', 'bis', 'buka', 'tolong', 'tindak']</t>
  </si>
  <si>
    <t>['', 'buka', 'mohon', 'petunjuknya', 'admin']</t>
  </si>
  <si>
    <t>['kesini', 'jelek', 'sinyal', 'telkomsel']</t>
  </si>
  <si>
    <t>['uninstal', 'instal', 'berkali', 'buka', 'apl', 'layar', 'putih', 'muncul', 'solusinya', '']</t>
  </si>
  <si>
    <t>['update', 'aplikasi', 'buka', 'mengecewakan']</t>
  </si>
  <si>
    <t>['kendala', 'sinyal', 'hilang', 'emang', 'sinyal', 'dikorupsi', 'wth', 'indonesia']</t>
  </si>
  <si>
    <t>['harga', 'paketnya', 'mahal', 'jaringan', 'ilang', 'ilang', '']</t>
  </si>
  <si>
    <t>['buka', 'aplikasi', 'suka', 'muncul', '']</t>
  </si>
  <si>
    <t>['alhamdulillah', 'pakai', 'telkomsel', 'sinyalnya', 'bagus', 'komunikasi', 'lancar', 'mudah', 'beli', 'paket', 'data', 'paket', 'tlfn', 'app', 'telkomsel', 'terimakasih', 'telkomsel']</t>
  </si>
  <si>
    <t>['tingkatkan', 'bonus', 'telkomselnya', '']</t>
  </si>
  <si>
    <t>['update', 'apk', 'nga', 'buka', 'timbul', 'warna', 'putih', '']</t>
  </si>
  <si>
    <t>['sinyal', 'lemot', 'mangkanya', 'kasih', 'bintang', 'sekian', 'terimakasih', 'tekomsel', 'lemooottt', '']</t>
  </si>
  <si>
    <t>['berguna', 'layanan', 'interner']</t>
  </si>
  <si>
    <t>['linda', 'yonsari', 'oktarina', 'dimana', 'kau', 'teman', 'smp', 'ypp', 'komplek', 'pertamina', 'bukit', 'datuk', 'dumai', 'ridar']</t>
  </si>
  <si>
    <t>['update', 'layar', 'putih', 'menu', 'utama', 'layar', 'lancar', 'kendala', 'bagus', 'vivo', 'pakai', 'mohon', 'bantuannya', 'team', 'mytelkomsel', 'perbaiki', 'bug', 'unsinstall', 'pasang', 'restart', '']</t>
  </si>
  <si>
    <t>['berfungsi', '']</t>
  </si>
  <si>
    <t>['pakai', 'telkomsel', 'kayaknya', 'lemot', 'banget', 'beli', 'pulsa', 'masuk', 'white', 'screen', 'tlg', 'tingkatkan', 'pelayanan', 'percaya', 'aplikasi', 'terima', 'kasih']</t>
  </si>
  <si>
    <t>['aplikasi', 'ngeblank', 'tolong', 'perbaiki', 'uninstal', 'instal', 'ulang', 'blank']</t>
  </si>
  <si>
    <t>['membtntu']</t>
  </si>
  <si>
    <t>['', 'aneh', 'knpa', 'kuota', 'multimedia', 'rugi', 'udh', 'ngisi', '']</t>
  </si>
  <si>
    <t>['makasi', 'kuota', 'murah']</t>
  </si>
  <si>
    <t>['mantap', 'apk', '']</t>
  </si>
  <si>
    <t>['harganya', 'beda', 'apk', 'temen']</t>
  </si>
  <si>
    <t>['simpel', 'lengkap', 'informasinya']</t>
  </si>
  <si>
    <t>['appikasi', 'keren']</t>
  </si>
  <si>
    <t>['', 'bsa', 'masuk', 'aplikasi', 'trlkomselnya', 'update', 'lancar', '']</t>
  </si>
  <si>
    <t>['mudah', 'tpi', 'jaringan', 'bagus']</t>
  </si>
  <si>
    <t>['kak', 'gimana', 'diupdate', 'telkomselnya', 'layar', 'putih', 'masuk', 'apikasi', 'tolong', 'diperbaiki', 'udh', 'beli', 'pulsa', 'kepake', '']</t>
  </si>
  <si>
    <t>['keren', 'mahal', '']</t>
  </si>
  <si>
    <t>['semoga', 'bangkrut', 'aamiin']</t>
  </si>
  <si>
    <t>['aplikasi', 'ngebleng', 'gambar', 'putih', 'doang', 'tolong', 'cepat', 'perbaiki', 'isi', 'kuota', 'langsung', 'aplikasi', 'telkomsel', 'karna', 'kuota', 'tambahan', 'menghapus', 'kuota', 'utama', 'isi', 'kuota', 'ngga', 'tolong', 'cepat', 'perbaiki', 'aplikasinya', 'ngebleng', 'gambarnya', 'putih', 'doang', 'aduhhhhhhh', 'tolong', 'cepat', 'perbaiki', '']</t>
  </si>
  <si>
    <t>['susah', 'sibuka', 'ampun', 'deh', 'kelancaran']</t>
  </si>
  <si>
    <t>['min', 'min', 'aplikasi', 'telkomsel', 'ngebleng', 'buka', 'berkali', 'copot', 'pasang', 'copot', 'pasang', 'min', 'tolong', 'pencerahan', '']</t>
  </si>
  <si>
    <t>['suara', 'menggangu', 'zeeeeeest', 'membuka', 'aplikasi']</t>
  </si>
  <si>
    <t>['kali', 'bonus', 'kuota', 'pengguna', 'sebulan']</t>
  </si>
  <si>
    <t>['app', 'telkomsel', 'terbaik']</t>
  </si>
  <si>
    <t>['berharap', 'pemenang', 'undian', 'telkomsel', 'poin', 'pengalaman', 'seumur', 'hidup', '']</t>
  </si>
  <si>
    <t>['tolong', 'yaah', 'nomer', 'pulsanya', 'dicampurkan', 'potongan', 'data', 'gini', 'boorrroooooss']</t>
  </si>
  <si>
    <t>['login', 'aplikasi', 'berhenti', 'white', 'screen', 'update', 'tolong', 'kpd', 'telkomsel', 'memperbaiki', 'aplikasinya']</t>
  </si>
  <si>
    <t>['ngeselin', 'login', 'app', 'close', 'menit', 'buka', 'udah', 'white', 'screen', 'hapus', 'chace', 'data', 'normal', 'appnya', 'itupun', 'login', 'cape', 'auto', 'uninstal']</t>
  </si>
  <si>
    <t>['klaim', 'point']</t>
  </si>
  <si>
    <t>['sinyal', 'jaringan', 'internet', 'stabil', 'tolong', 'jaga', 'teklomsel', 'cuaca', 'buruk', 'cuaca', 'ekstrem', 'stabil', 'karna', 'kali', 'cuaca', 'buruk', 'cuaca', 'ekstrem', 'jaringan', 'langsung', 'down', 'tolong', 'pertahankan', '']</t>
  </si>
  <si>
    <t>['pakai', 'paket', 'data', 'telkomsel', 'bagus', '']</t>
  </si>
  <si>
    <t>['maaf', 'pulsa', 'berkurang', 'rupiah', '']</t>
  </si>
  <si>
    <t>['bismillah', 'semoga', 'telkomsel', 'berkembang', 'memajukan', 'digitalisasi', 'indonesia']</t>
  </si>
  <si>
    <t>['data', 'mahal', 'banget']</t>
  </si>
  <si>
    <t>['tolong', 'jaringan', 'simpati', 'perbaiki', 'ngecek', 'pulsa', 'layanan', 'ganguan', 'ganti', 'vin']</t>
  </si>
  <si>
    <t>['telkomsel', 'mantap', 'jaringan', 'mantap', 'meluas', 'telkomsel', 'hati', 'telkomsel', 'bisaa', '']</t>
  </si>
  <si>
    <t>['buka', 'telkomsel', 'gerangan']</t>
  </si>
  <si>
    <t>['video', 'max', 'apus']</t>
  </si>
  <si>
    <t>['masuk', 'aplikasi', 'telkomsel', 'jaringan', 'bagus', 'akun', 'suami', 'masuk', 'pas', 'masuk', 'muncul', 'layar', 'putih', 'kayak']</t>
  </si>
  <si>
    <t>['apk', 'upgrade', 'stlh', 'upgrade', 'masuk', 'white', 'screen', 'diulang', 'reinstall', 'tolong', 'dibenerin', 'admin', 'kompensasinya', 'lupa', 'min']</t>
  </si>
  <si>
    <t>['bagus', 'mendiskripsikannya', '']</t>
  </si>
  <si>
    <t>['kuota', 'pulsa', 'diambil', 'internet', 'telkomsel', 'pencuri', 'pulsa', '']</t>
  </si>
  <si>
    <t>['lemot', 'pecinta', 'tsel', '']</t>
  </si>
  <si>
    <t>['bermanfaat', 'terbaiklah', '']</t>
  </si>
  <si>
    <t>['kerennn', 'bagus', 'banget', 'lbih', 'mudah', 'beli', 'paket', 'bnyak', 'promo']</t>
  </si>
  <si>
    <t>['knapa', 'telkomsel', 'aplikasinya', 'abis', 'upgrade', 'koq', 'nggak', 'buka', 'muncul', 'layar', 'putih', 'giman', 'solusinya', 'jdnya', 'aplikasinya', 'hapus', 'drpd', 'penuh', 'memory', '']</t>
  </si>
  <si>
    <t>['mantap', 'aplikasi', 'keren', '']</t>
  </si>
  <si>
    <t>['aplikasi', 'lengkap', 'fitur', 'fitur', 'mudah', 'dipakai', 'fungsional', 'kemudahan', 'aplikasi', 'harapannya', 'aplikasi', 'mytelkomsel', 'solusi', 'kebutuhan', 'promo', 'paket', 'semoga', 'tersedia', 'sukses', 'telkomsel', 'penuh', 'berkah', 'pelayanan', 'pelanggan', '']</t>
  </si>
  <si>
    <t>['nice', 'beli', 'kouta', 'counter', 'udah', 'telkomsel', 'mudah', 'murah']</t>
  </si>
  <si>
    <t>['harganya', 'mahal', 'paket', 'plisss', 'deh', 'telkomsel', 'jaringan', 'stabil', 'rada', 'kesellah', 'liat', 'telkomsel', '']</t>
  </si>
  <si>
    <t>['layarnya', 'warna', 'putih', 'masuk', 'loading', 'versi', 'barunya', 'tolong', 'perbaiki', 'lagii', '']</t>
  </si>
  <si>
    <t>['cepat', 'terpercaya']</t>
  </si>
  <si>
    <t>['update', 'dibuka', 'aplikasinya', 'udah', 'jangingan', 'jelek', 'kota', 'mahal', 'paket', 'datanya', '']</t>
  </si>
  <si>
    <t>['kejelasan', 'informasinya', 'pembagian', 'kuota', 'sesuai', 'informasikan', 'pulsa', 'kesedot']</t>
  </si>
  <si>
    <t>['aplikasi', 'kek', 'jembut']</t>
  </si>
  <si>
    <t>['', 'telkomsel', 'nyaman']</t>
  </si>
  <si>
    <t>['mahal', 'harga', 'paket', 'datanya', '']</t>
  </si>
  <si>
    <t>['hadiah', 'telkomsel', 'poin', 'udah', 'habis', '']</t>
  </si>
  <si>
    <t>['bagus', 'layanannya', 'terimakasih', 'telkomsel', '']</t>
  </si>
  <si>
    <t>['telkomsel', 'app', 'mempermudah', 'transaksi', 'data', 'telepon']</t>
  </si>
  <si>
    <t>['udah', 'berhari', 'blank', 'white', 'screen', 'telkomsel']</t>
  </si>
  <si>
    <t>['nihh', 'white', 'screen', '']</t>
  </si>
  <si>
    <t>['telkomsel', 'internetannya', 'lancar', 'bgus']</t>
  </si>
  <si>
    <t>['apk', 'bida', 'login', '']</t>
  </si>
  <si>
    <t>['apk', 'mytelkomsel', 'error', 'jaringan', 'sinyal', 'bagus', 'lancar', 'apk', 'rusak', 'ngecek', 'kuota', 'apk', 'terpaksa', 'ngecek', 'manual', 'apk', 'benerin', 'apk', 'ngecek', 'apk', 'nyaaa', '']</t>
  </si>
  <si>
    <t>['aplikasi', 'benerin', 'kecewa', 'pelanggan', 'pelanggan', 'kecewa', 'permintaan', 'maaf', 'pelanggan', 'bentuk', 'positif', 'maaf', 'bot', 'butuh', 'kepastian', 'aplikasi', 'update', 'buruk', 'aplikasi', 'pokoknya', 'rekomended', 'aplikasi', 'mending', 'pindah', 'jaringan', 'udh', 'sinyal', 'jelek', 'banget', 'aplikasi', '']</t>
  </si>
  <si>
    <t>['kaga', 'donwload', 'guys', 'abisin', 'kuota', 'ama', 'ram', 'gua', 'donwload', 'kaga', 'kebuka', 'intro', 'doang', 'huruf', 'trus', 'coba', 'lgi', 'ngotak', 'kuota', 'bnyak', 'pulsa', 'kurangnya', 'jaringan', 'bagus', 'kaga', 'buka', 'kali', 'bolak', 'buka', 'aplikasinya', 'pas', 'gua', 'donwload', 'emng', 'tpi', 'eror', '']</t>
  </si>
  <si>
    <t>['beli', 'paket', 'data', 'tulis', 'realita', 'telkomsel', 'penipuan', 'transaksi', 'pembelian', 'seblum', 'memebeli', 'membaca', 'keterangan', 'paket', 'tertulis', 'pas', 'beli', 'aktif', 'real', 'merugikan', 'menipu', 'konsumen', 'fair', 'gangguan', 'jaringan', 'error', 'slma', 'mutlak', 'keselahan', 'telkomsel', 'komsumen', 'rugi', '']</t>
  </si>
  <si>
    <t>['upgrade', 'dibuka', 'why', '']</t>
  </si>
  <si>
    <t>['mantap', 'aplikasinya', 'bermanfaat', '']</t>
  </si>
  <si>
    <t>['telkomsel', 'dibuka', 'pas', 'dibuka', 'cahaya', 'putih', 'tolong', 'donk', 'proses', 'susah']</t>
  </si>
  <si>
    <t>['semenjak', 'telkomsel', 'susah', 'apk', 'lag', 'ribet', 'minus', 'bintang', 'pokoknya', '']</t>
  </si>
  <si>
    <t>['mantap', 'hadiah', 'ragam', 'combo', 'saktix', 'saran', 'jaringan', 'telkomsel', 'ditingkatkan', 'pengguna', 'puas', 'lagu', 'mudaha', 'insya', 'allah', 'undianx', 'bantu', 'keluarga', 'amiiin', 'allah', 'sekian', 'terimakasih']</t>
  </si>
  <si>
    <t>['memudakan', 'penguna']</t>
  </si>
  <si>
    <t>['apk', 'buka', 'update', '']</t>
  </si>
  <si>
    <t>['maaf', 'telkomsel', 'aplikasi', 'white', 'screen', 'gini', 'habis', 'update', 'lancar', 'kirain', 'gangguang', 'signal', 'coba', 'buka', 'aplikasi', 'lancar', 'lancar', 'mohon', 'perbaiki', 'telkomsel', 'aplikasi', '']</t>
  </si>
  <si>
    <t>['perbaiki', 'sinyal', 'daerah', 'riau', 'khusus', 'segati', 'langgam', 'minggu', 'rto', 'malam', 'jlek', 'terbuka', 'lgi', 'aplikasinya']</t>
  </si>
  <si>
    <t>['buka', 'apl', 'telkomsel', 'bingung', 'telkomsel']</t>
  </si>
  <si>
    <t>['kecewa', 'program', 'poin', 'terkomsel', 'tukar', 'poin', 'kali', 'ambil', 'hak', 'kali', 'program', 'habis', 'mbok', 'pasang', 'promosikan', 'ujungnya', 'mengecewakan', 'memakai', 'simpati', 'udah', 'kuota', 'dll', 'jaman', 'paketan', 'ribu', 'looh', 'semoga', 'bijaksana', 'tuk', 'pelanggan', 'setia', 'semoga', 'simpati', 'maju', 'berkembang', 'mahal', 'harga', 'paketan', 'internet', '']</t>
  </si>
  <si>
    <t>['lag', 'hujan', 'wifi', 'kartu', 'datanya', 'harap', 'diperbaiki']</t>
  </si>
  <si>
    <t>['udah', 'nggak', 'dibuka', 'pas', 'buka', 'layar', 'putih', 'sampe', 'mati']</t>
  </si>
  <si>
    <t>['apk', 'bermasalah', 'tolong', 'pelanggan', 'persulit', 'udah', 'paket', 'data', 'mahal', 'mohon', 'proses', 'pelanggan', 'ngutang', 'dipersulit']</t>
  </si>
  <si>
    <t>['lemot', 'gini', 'buka', 'aplikasi', 'mytelkomsel', '']</t>
  </si>
  <si>
    <t>['', 'telkomsel', 'jelek', 'ketinggalan', 'update', 'jelek', 'sinyalnya', 'nggak', 'buka', 'layar', 'putih', 'iklannya', 'lanjutkan', 'pelanggan', 'uninstal', 'app', 'mytelkomsel', 'semoga', 'pertimbangan', 'atmin', 'mytelkomsel', 'cepat', 'perbaiki', '']</t>
  </si>
  <si>
    <t>['bentar', 'error', 'bentar', 'kesalhan', 'ngeblank', 'aplikasi', 'taik', '']</t>
  </si>
  <si>
    <t>['woooooiiiiiiiiiii', 'dibuka', 'kenapaaaaaaa', 'wooooiiiiii', 'aaaaaaarrrrggghhhhtxzcvccxvxzccxbzvzvz', 'dasaaaaarrrrr', 'kambeeeeeeeeeeeeeeeeeeeenggggggggggggxxxxxxxxxxxx', '']</t>
  </si>
  <si>
    <t>['memudahkan', 'mmbeli', 'paket']</t>
  </si>
  <si>
    <t>['telkomsel', 'laq', 'bagus', 'buruk']</t>
  </si>
  <si>
    <t>['blanc', 'white', 'tolong', 'perbaiki', 'sisten']</t>
  </si>
  <si>
    <t>['error', 'blank', 'white', 'screen', 'jaringannya', 'bermasalah', 'lihat', 'ulasan', 'sependapat', 'kali', 'hiu', 'megalodon', 'beraksi', 'semoga', 'cepat', 'pulih', '']</t>
  </si>
  <si>
    <t>['berkualitas']</t>
  </si>
  <si>
    <t>['aplikasi', 'sesuai', 'kebesaran', 'namanya', '']</t>
  </si>
  <si>
    <t>['check', 'mb', 'gb', 'gb', 'berlakunya', 'maunya', 'ditambah', 'minggu', '']</t>
  </si>
  <si>
    <t>['knapa', 'buka']</t>
  </si>
  <si>
    <t>['kasih', 'bintang', 'sinyal', 'mantul', 'kuota', 'anlimited', 'full']</t>
  </si>
  <si>
    <t>['woi', 'update', 'perbaiki', 'bug', 'update', 'buka', 'telkomsel', 'blank', 'putih', 'mulu', 'ampas']</t>
  </si>
  <si>
    <t>['aplikasi', 'dibuka', 'layar', 'putih', 'force', 'close', 'aplikasi', 'berat', 'bangat', 'lumayan', 'ram', 'tpi', 'berasa', 'berat', 'aplikasi']</t>
  </si>
  <si>
    <t>['tolong', 'diskonnya', '']</t>
  </si>
  <si>
    <t>['kecewa', 'sinyal', '']</t>
  </si>
  <si>
    <t>['telkomsel', 'dibuka', 'komisaris', 'mabok', 'mentang', 'pelanggan', 'semena', 'kek', 'gini']</t>
  </si>
  <si>
    <t>['apk', 'blank', 'balasan', 'via', 'tsel', '']</t>
  </si>
  <si>
    <t>['login', 'aplikasi', 'mohon', 'perbaiki']</t>
  </si>
  <si>
    <t>['telkomsel', 'kaya', 'jaringan', 'parah', 'kota', 'parah']</t>
  </si>
  <si>
    <t>['diupdate', 'lelet', 'kebuka']</t>
  </si>
  <si>
    <t>['jaringan', 'susah', 'udah', 'nyaman', 'pas', 'jaringan', 'bagus']</t>
  </si>
  <si>
    <t>['jaringan', 'buruk', 'bubar', 'perusahaannya', '']</t>
  </si>
  <si>
    <t>['apk', 'mlu', 'update', 'jaringannya', 'update', 'simpati', 'smakin', 'ksini', 'smakin', 'buruk', 'jaringannya', 'memalukan', 'prcuma', 'bli', 'kuota', 'gde', 'tpi', 'jaringannya', 'lelet', 'kuotanya', 'jngan', 'kalah', 'indosat', 'indosat', 'paket', 'kuota', 'jam', 'coba', 'tolong', 'telkomsel', 'keluhan', 'pengguna', 'resfon', 'pindah', 'indosat', '']</t>
  </si>
  <si>
    <t>['knpa', 'bis', 'dibuka', 'ulang', 'download', 'hpus', 'download', 'pikir', 'hpku', 'hengg', 'tauu', 'apk', 'dbuka', 'knpa', 'yahh', '']</t>
  </si>
  <si>
    <t>['error']</t>
  </si>
  <si>
    <t>['apdet', 'jelek', 'nggak', 'buka', 'sinyal', 'jelek', 'nggak', 'buka', 'tibul', 'layar', 'putih', 'nyesel', 'abdet', 'mending', 'uninstal', 'nggak', '']</t>
  </si>
  <si>
    <t>['pokonya', 'keren']</t>
  </si>
  <si>
    <t>['jaringan', 'lelet', 'trus', 'paket', 'boros', 'gada', 'buka', 'terkuras', 'sndiri', 'tolong', 'diperbaiki', 'bgus']</t>
  </si>
  <si>
    <t>['telkomsel', 'mabar']</t>
  </si>
  <si>
    <t>['aplikasi', 'udah', 'gabisa', 'buka', 'oop', 'kesalahan', 'beli', 'kuota', 'respon', 'lambat', 'telkomsel', 'emang', 'udah', 'jelek', 'coba', 'pakai']</t>
  </si>
  <si>
    <t>['', 'update', 'buka', 'white', 'screen', 'udah', 'gila', 'parah', 'aplikasi', 'direkomendasikan', '']</t>
  </si>
  <si>
    <t>['update', 'error', 'opss', 'kesalahan', 'reinstall', 'login', 'gabisa', 'opss', 'kesalahan', 'tolong', 'diperbaikin', '']</t>
  </si>
  <si>
    <t>['parah', 'buka', 'aplikasi', 'white', 'blank', 'kesel', 'banget', 'kalupun', 'masuk', 'lelet', '']</t>
  </si>
  <si>
    <t>['bagus', 'oke', 'bnget']</t>
  </si>
  <si>
    <t>['kuota', 'habis', 'langsung', 'tutup', 'jalur', 'internetnya', 'isi', 'pulsa', 'langsung', 'dipotong', 'hutang', 'pulsa', 'kuota', 'suka']</t>
  </si>
  <si>
    <t>['telkomsel', 'operator', 'aplikasi', 'operator', 'bermasalah', '']</t>
  </si>
  <si>
    <t>['jaringan', 'telkomsel', 'najiisss', 'rumah', 'bkn', 'plosok', 'jaringan', 'cem', 'eek', 'abies', 'chip', 'domino', 'gegara', 'jaringan', 'babi', 'bintang', 'cocok', '']</t>
  </si>
  <si>
    <t>['maaf', 'memasang']</t>
  </si>
  <si>
    <t>['update', 'susah', 'login', '']</t>
  </si>
  <si>
    <t>['apk', 'layar', 'putih', 'dipencet', 'pencet', 'perubahan', 'bener', 'aplikasi']</t>
  </si>
  <si>
    <t>['jaringan', 'telkomsel', 'buruk', 'anjiinggggg']</t>
  </si>
  <si>
    <t>['peforma', 'telkomsel', 'lambat', 'laun', 'menurun', 'prihatin', 'telkomsel']</t>
  </si>
  <si>
    <t>['amin', 'moga', 'beruntung']</t>
  </si>
  <si>
    <t>['kacau', 'masak', 'giliran', 'undian', 'kupon', 'akses', 'chek', 'hilang', 'parah', 'bangat', 'telkomsel']</t>
  </si>
  <si>
    <t>['telkomsel', 'lelet', 'kayaknya', 'pindah', 'pelanggan', 'setia', 'heran', 'lelet', 'kali', '']</t>
  </si>
  <si>
    <t>['membantu', 'aplikasi', 'telkomsel']</t>
  </si>
  <si>
    <t>['mahal', 'lelet', 'telkomsel', 'anjg', 'usahlah', 'woi', 'pakai', 'telkomsel', 'pakai', 'murah', 'murah', 'sinyal', 'bagus', 'bangkrut', 'telkomnyet', '']</t>
  </si>
  <si>
    <t>['', 'kasih', 'bintang', 'terimakasih', 'kuota', 'apk', 'bener', 'membantu', 'terimakasih']</t>
  </si>
  <si>
    <t>['harga', 'paket', 'mahal', 'lelet']</t>
  </si>
  <si>
    <t>['mudah', 'dptkan', 'informasi', 'ttg', 'telkomsel']</t>
  </si>
  <si>
    <t>['tolong', 'perkuat', 'jaringan', 'internet', 'pulau', 'serui', 'papua']</t>
  </si>
  <si>
    <t>['parah', 'paketan', 'udah', 'mahal', 'paketan', 'mnit', 'wktu', 'abisnya', 'udh', 'sedot', 'pulsa', 'utama', 'rb', 'jangka', 'mnit', 'gila', 'parah']</t>
  </si>
  <si>
    <t>['jaringan', 'mkin', 'parah', 'lelet', 'harga', 'paket', 'beralih', 'jaringan', 'sebelah']</t>
  </si>
  <si>
    <t>['internet', 'lemot', 'jam', 'malam']</t>
  </si>
  <si>
    <t>['jaringan', 'down', 'beli', 'gratis', 'tinggal', 'kota', 'trus', '']</t>
  </si>
  <si>
    <t>['diinstall', 'android', '']</t>
  </si>
  <si>
    <t>['abis', 'update', 'dibukak', 'putih', 'doang', 'masuk', 'udah', 'paketanya', 'mahal', 'dibukak', 'payah']</t>
  </si>
  <si>
    <t>['telkomsel', 'jaringan', 'kencang', 'udah', 'kek', 'keong', 'jaringan', 'suka', 'lag', 'njir', '']</t>
  </si>
  <si>
    <t>['komen']</t>
  </si>
  <si>
    <t>['apaini', 'telkom', 'beli', 'paket', 'paket', 'combo', 'sakit', 'internet', 'gb', 'medsos', 'gb', 'leg', 'parah', 'pemakaian', 'gb', 'kecepatan', 'stack', 'doang', 'beli', 'paket', 'data', 'buka', 'aplikasi', 'lemot', 'internet', 'main', 'game', 'online', 'ping', 'setabil', 'mohon', 'telkomsel', 'perbaiki', 'koneksi', 'jaringan', 'udah', 'pakai', 'kartu', 'sayang', 'pindah', 'operator', 'daerah', 'kota', 'situbondo', 'mohon', 'perbaiki', 'akses', 'internet', '']</t>
  </si>
  <si>
    <t>['ngak']</t>
  </si>
  <si>
    <t>['ngak', 'dibuka', 'error']</t>
  </si>
  <si>
    <t>['terimakasih', 'telkomsel', 'semoga', 'jaya', '']</t>
  </si>
  <si>
    <t>['bagus', 'kinerja', '']</t>
  </si>
  <si>
    <t>['', 'erorr', 'turunin', 'versi', 'telkomselnya', 'download', 'via', 'chrome', 'buka', '']</t>
  </si>
  <si>
    <t>['kasih', 'paket', 'murah', 'wkwkwwk']</t>
  </si>
  <si>
    <t>['mohon', 'diperbaiki', 'sistem', 'customer', 'check', '']</t>
  </si>
  <si>
    <t>['daftar', 'malam', 'knp', 'hitungnya', 'aktif', 'dibawah', 'jam', 'malam']</t>
  </si>
  <si>
    <t>['update', 'mengupdate', 'aplikasi', 'kewajiban', 'buka', 'aplikasi', 'tpi', 'blm', 'update', 'diarahin', 'playstore', 'versinya', 'cepet', 'banget', 'nambah']</t>
  </si>
  <si>
    <t>['hadiah', 'undian', 'telkomsel', '']</t>
  </si>
  <si>
    <t>['yuk', 'pindah', 'provider', 'yuk', 'udh', 'beli', 'kuota', 'mahal', 'jaringan', 'kenceng', 'provider', 'sbelah', 'murah', 'trik', 'telkomsel', 'mahal', 'sesuaikan', 'jaringann', '']</t>
  </si>
  <si>
    <t>['smoga', 'memenangkan', 'undian', 'promo', 'point', 'telkomsel', 'smoga', 'imoin', 'bayangkan', 'terwujud', 'mytelkomswk', 'thanks', 'four', 'all', '']</t>
  </si>
  <si>
    <t>['udah', 'biaya', 'paket', 'internet', 'mahal', 'jaringan', 'siput', 'nyesel', 'gua', 'beli', 'kartu', 'cepat', 'jaringannya', 'kayak', 'siput', 'ganti', '']</t>
  </si>
  <si>
    <t>['suka', 'appnya']</t>
  </si>
  <si>
    <t>['masuk', 'aplikasi', 'white', 'screen', 'update', '']</t>
  </si>
  <si>
    <t>['sinyal', 'jelek', 'perbaiki', 'woyyy']</t>
  </si>
  <si>
    <t>['terbantu', 'telkomsel']</t>
  </si>
  <si>
    <t>['aplikasi', 'mendukung', 'mebeli', 'pulsa', 'kebutuhan']</t>
  </si>
  <si>
    <t>['paket', 'kuota', 'internet', 'murah', 'terimakasih']</t>
  </si>
  <si>
    <t>['buka', 'cek', 'kuota', 'nggak', 'putih', 'layarnya', '']</t>
  </si>
  <si>
    <t>['kuota', 'data', 'internet', 'hilang', 'jaringan', 'mengecewakan', '']</t>
  </si>
  <si>
    <t>['jaringan', 'telkomsel', 'lemot', 'beda', 'bagus', 'indosat', '']</t>
  </si>
  <si>
    <t>['bagus', 'jaringan', 'bagusan', 'jaringan', 'udah', 'puasa', 'ampe', 'perbaikan', 'apn', 'capek', 'gonta', 'ganti', 'apn', 'hubungin', 'costumer', 'servis', 'udah', 'gada', 'perubahan', 'karna', 'daerah', 'meranti', 'selatpanjang', 'gmn', 'mewakili', 'kekecewaan', '']</t>
  </si>
  <si>
    <t>['', 'bsa', 'dbuka', 'paraaaaaah']</t>
  </si>
  <si>
    <t>['jaringan', 'telkomsel', 'makinhari', 'jelek', '']</t>
  </si>
  <si>
    <t>['cobalah']</t>
  </si>
  <si>
    <t>['instal', 'apk', 'beli', 'paket', 'internet', 'combo', 'sakti', 'kali', 'kebeli', 'cuman', 'paket', 'internet', 'combo', 'sakti']</t>
  </si>
  <si>
    <t>['kuota', 'lokalnya', 'donq', '']</t>
  </si>
  <si>
    <t>['aplikasi', 'update', '']</t>
  </si>
  <si>
    <t>['veronikanya', 'gabisa', 'udh', 'make', 'paketannya', 'kecewa', 'pindah', 'kartu', 'tolong', 'respont', '']</t>
  </si>
  <si>
    <t>['nie', 'telkomsel', 'buka']</t>
  </si>
  <si>
    <t>['pulsa', 'buka', 'apklikasi', 'wifi', 'pulsa']</t>
  </si>
  <si>
    <t>['parah', 'update', 'versi', 'buruk', 'tampilan']</t>
  </si>
  <si>
    <t>['error', 'mytelkomsel', 'dibuka', 'merugikan', 'paket', 'internet', 'dibeli', 'mencoba', 'mengatasinya', 'membersihkan', 'cache', 'aplikasi', 'memasang', 'ulang', 'aplikasi', 'hapus', 'pasang', 'berhasil', '']</t>
  </si>
  <si>
    <t>['tolong', 'jaringan', 'internet', 'tingkatkan', 'banget', 'lemot']</t>
  </si>
  <si>
    <t>['gila', 'telkomsel', 'udah', 'sebulan', 'jaringan', 'bener', 'beralih', 'kartu', 'beginj']</t>
  </si>
  <si>
    <t>['telkomsel', 'kasih', 'bonus', 'data', 'gratis']</t>
  </si>
  <si>
    <t>['suka', 'jaringannya', 'luas']</t>
  </si>
  <si>
    <t>['knpa', 'koq', 'buka', 'lgi', 'apk', '']</t>
  </si>
  <si>
    <t>['aplikasinya', 'akses', 'pembelian', 'paket', 'internet', 'mohon', 'telkomsel', 'kondisikan', '']</t>
  </si>
  <si>
    <t>['beli', 'kuota', 'gede', 'trs', 'promonya', 'satunya', 'jarang', 'isi', 'promonya', 'gede', 'kendalanya', 'yaa', 'belinya', 'barengan', '']</t>
  </si>
  <si>
    <t>['lancar', 'internet', 'puas']</t>
  </si>
  <si>
    <t>['klaim', 'hadiah', 'pulsa', 'klaim', 'pulsa', 'ilang']</t>
  </si>
  <si>
    <t>['diinstal', 'habis', 'diinstal', 'cuman', 'muncul', 'layar', 'putih']</t>
  </si>
  <si>
    <t>['telkomsel', 'asli', 'nyambung', 'isi', 'combo', 'monetry', '']</t>
  </si>
  <si>
    <t>['aplikasi', 'putih', 'doang', 'tampil']</t>
  </si>
  <si>
    <t>['bintang', 'paket', 'murahnya', 'terima', 'kasih', 'telkomsel', 'sukses', '']</t>
  </si>
  <si>
    <t>['pas', 'dibuka', 'muncul', 'layar', 'putih', '']</t>
  </si>
  <si>
    <t>['aplikasi', 'dibuka', 'layar', 'kosong', '']</t>
  </si>
  <si>
    <t>['okelah', 'tsel']</t>
  </si>
  <si>
    <t>['', 'telkomsel', 'tingkatkan', 'kualitas', 'aplikasi', '']</t>
  </si>
  <si>
    <t>['parah', 'banget', 'simpati', 'dipake', 'download', 'lelet', 'ampun', 'maen', 'game', 'simpati', 'knpa', 'jaringan', 'kaya', 'gini', 'parah', 'banget', 'beda', 'provider', 'sebelah', '']</t>
  </si>
  <si>
    <t>['jaringan', 'buruk', '']</t>
  </si>
  <si>
    <t>['dear', 'telkomsel', 'harap', 'poinnya', 'tukar', 'pulsa', 'makasih', 'pelayanan', 'terbaik', '']</t>
  </si>
  <si>
    <t>['berat', 'menegah']</t>
  </si>
  <si>
    <t>['susah', 'banget', 'buka', 'aplikasi', 'telkomsel']</t>
  </si>
  <si>
    <t>['paket', 'data', 'doang', 'mahal', 'sinyal', 'bangke', 'ujan', 'bangke', 'abis', '']</t>
  </si>
  <si>
    <t>['bersaing', 'harga', 'layanan', 'terbaik', 'indosat']</t>
  </si>
  <si>
    <t>['sinyal', 'gasetabil', 'banget', 'udah', '']</t>
  </si>
  <si>
    <t>['sinyal', 'nyalanya', 'musim', 'hujan', 'amblas', 'sinyal', 'penyelesaiannya', 'disetting', 'manual', 'otomatis', 'hadehhhh', '']</t>
  </si>
  <si>
    <t>['white', 'screen', 'min', 'apl', 'update', 'aneh', 'download', 'google', 'versi', 'pas', 'beli', 'kuota', 'masuk', 'pulsaku', 'ilang', 'ama', 'ngelag', 'ngegame', 'knapa', '']</t>
  </si>
  <si>
    <t>['telkomsel', 'minggu', 'jaringan', 'nye', 'bosok', '']</t>
  </si>
  <si>
    <t>['paket', 'mahal', 'jaringan', 'busuk', 'mending', 'tutup', 'telkomsel']</t>
  </si>
  <si>
    <t>['udah', 'belain', 'beli', 'paketan', 'mahal', 'ehh', 'sinyalnya', 'murahan', 'stop', 'tunggu', 'bener', 'yee', '']</t>
  </si>
  <si>
    <t>['customer', 'service', 'terhubung', 'terhubung', 'slow', 'respon', 'jaringan', 'sebagus', 'isi', 'ulang', 'pulsa', 'gagal', 'mas', 'aktif', 'isi', 'ulang', 'nomer', 'telkomsel', '']</t>
  </si>
  <si>
    <t>['banyakin', 'diskon', 'sma', 'gratisan', 'bos', 'udh', 'kasih', 'bntang', '']</t>
  </si>
  <si>
    <t>['sinyal', 'simpati', 'lemooott']</t>
  </si>
  <si>
    <t>['kena', 'ambil', 'pulsa', 'ribu', 'isi', 'ulang', 'pulsa', 'ambil', 'paket', 'darurat', 'taik', 'emang']</t>
  </si>
  <si>
    <t>['mohon', 'maaf', 'telkomsel', 'kritikan', 'dengar', 'koneksinya', 'tolong', 'diperbaiki', 'keluhan', 'skedar', 'kalimat', 'dengar', 'astaga']</t>
  </si>
  <si>
    <t>['aplikasi', 'telkomselnya', 'blank', 'white', 'screen', 'sdah', 'tlong', 'perbaiki', '']</t>
  </si>
  <si>
    <t>['paket', 'mahal', 'jaringan', 'sampah', 'apk', 'abdet', 'jaringan', 'ngk', 'abdet', 'tarik', 'kecewa', 'gua', 'makek', 'kartu', 'sumpah']</t>
  </si>
  <si>
    <t>['', 'daftar', 'pktan', 'susah', 'aliasa', 'sekalu', 'buaka', '']</t>
  </si>
  <si>
    <t>['mahal', 'paket', 'combonya']</t>
  </si>
  <si>
    <t>['yng', 'bnr', 'bng', 'stiap', 'isi', 'pulsa', 'lngsung', 'habis', 'mohon', 'kembalikan', 'uang', '']</t>
  </si>
  <si>
    <t>['fungsi', 'kecepatan', 'operation']</t>
  </si>
  <si>
    <t>['bagus', 'telkomsel', 'kampung', 'jelek', 'seh', 'telkomsel', 'kelaen', 'hati', 'ama', 'jelek', 'bangen', 'sinyal', 'pulang', 'kampung', 'okeh', 'banget']</t>
  </si>
  <si>
    <t>['poin', 'dituker', 'pulsa', 'bbos']</t>
  </si>
  <si>
    <t>['aplikasinya', 'jelek', 'pas', 'update', 'akses', 'buka', 'jelek', 'banget', 'jaringan', 'aman']</t>
  </si>
  <si>
    <t>['data', 'beli', 'mahal', 'jaringan', 'bercandaan', 'becanda', 'kah', 'jing', '']</t>
  </si>
  <si>
    <t>['permisi', 'telkomsel', 'knp', 'siii', 'lag', 'banget', 'kyk', 'telkomsel', 'udah', 'main', 'game', 'khusus', 'nonton', 'bokep', 'kyk', 'tolong', 'telkomsel', 'apaansii', 'rugi', 'beli', 'rp', 'lag', 'pass', 'main', 'game', 'mohon', 'bantuannya', 'maap', 'terima', 'kasih']</t>
  </si>
  <si>
    <t>['telkomsel', 'lelet', 'mendingan', 'beli', 'kartu', 'murah', 'lelet', '']</t>
  </si>
  <si>
    <t>['jaringan', 'kau', 'jelek', 'kali', 'sinyal', 'kadang', 'bar', 'paket', 'mahal', 'sinyal', 'bagus', 'telkomsel', 'read', '']</t>
  </si>
  <si>
    <t>['kartu', 'ntar', 'emosi', 'kek', 'ntah', 'jaringan', 'patah', 'patah', 'lag', 'ping', 'merah', 'liat', 'apapun', 'lag', 'tolong', 'perbaiki']</t>
  </si>
  <si>
    <t>['sukses', 'always', 'telkomsel']</t>
  </si>
  <si>
    <t>['hilangkan', 'fup', 'telkom', 'asw', 'fup', 'meresah']</t>
  </si>
  <si>
    <t>['provider', 'telkomsel', 'istimewa', 'signalnya', 'kuat', 'disegala', 'cuaca']</t>
  </si>
  <si>
    <t>['kenpa', 'instal', 'udh', 'aplikasi', 'snik', 'sngar', 'rugi', 'sekli', 'menginstal']</t>
  </si>
  <si>
    <t>['update', 'versi', 'dibuka', 'soc', 'sdm', 'karuan', '']</t>
  </si>
  <si>
    <t>['habis', 'update', 'buka', 'black', '']</t>
  </si>
  <si>
    <t>['unlimited', 'game', 'tolong', 'adakan']</t>
  </si>
  <si>
    <t>['beli', 'paket', 'hilang', 'jam', 'aplikasi', 'jelek', '']</t>
  </si>
  <si>
    <t>['lemot', 'jaringan', 'lemot', 'yaaa', 'paketan', 'mahal', '']</t>
  </si>
  <si>
    <t>['mantap', 'full']</t>
  </si>
  <si>
    <t>['raja', 'jaringan', 'lelet', 'fast', 'respon', 'min', '']</t>
  </si>
  <si>
    <t>['bagus', 'gaya', '']</t>
  </si>
  <si>
    <t>['slogan', 'sanpai', 'pelosok', 'dikota', 'signal', 'ancur', 'astga', 'parah', 'kau', 'tsel', '']</t>
  </si>
  <si>
    <t>['', 'telkom', 'blank', 'buka', '']</t>
  </si>
  <si>
    <t>['telkomsel', 'maju', 'hadiahnya', 'menggiurkan', '']</t>
  </si>
  <si>
    <t>['menikmati', 'paket', 'kasih', 'telkomsel', 'makasih', 'telkomsel']</t>
  </si>
  <si>
    <t>['mantap', 'semoga', 'sya', 'jdi', 'pemenang', 'telkomsel', 'undian', 'amin']</t>
  </si>
  <si>
    <t>['paketan', 'murah']</t>
  </si>
  <si>
    <t>['keren', 'membantu', 'membeli', 'paketan']</t>
  </si>
  <si>
    <t>['jaringan', 'knp', 'ganguan', '']</t>
  </si>
  <si>
    <t>['app', 'membantu', 'memudah', 'semoga', 'selallu', 'bagus', 'lgi', 'mengecewa', 'pengguna', 'saran', 'app', 'loding', 'percepat', 'lgi', 'pengguna', 'kecewa', 'terimakasih', '']</t>
  </si>
  <si>
    <t>['aplikasi', 'buka', 'pembaharuan']</t>
  </si>
  <si>
    <t>['telkomsel', 'jaringannya', 'buruk']</t>
  </si>
  <si>
    <t>['update', 'dibuka', 'tolong', 'perbaiki', '']</t>
  </si>
  <si>
    <t>['paket', 'data', 'mahal', 'jaringan', 'buruk', '']</t>
  </si>
  <si>
    <t>['kartu', 'daftarin', 'telkomsel', 'tpi', 'tetep', 'tertera', 'mohon', 'masukan', 'kartu', 'telkomsel', 'gimana', 'apk', 'geh', 'keknya']</t>
  </si>
  <si>
    <t>['semoga', 'murah', 'paket', 'kuota', 'datanya']</t>
  </si>
  <si>
    <t>['mantap', 'hadiahnya']</t>
  </si>
  <si>
    <t>['parah', 'telkomsel', 'dibuka']</t>
  </si>
  <si>
    <t>['menukarkan', 'poin', 'sistem', 'sibuk', 'respon']</t>
  </si>
  <si>
    <t>['internet', 'lemot', 'pulsa', 'tersedot']</t>
  </si>
  <si>
    <t>['paketnya', 'mahal', 'mahal', 'pengguna', 'telkomsel']</t>
  </si>
  <si>
    <t>['suka', 'bnget']</t>
  </si>
  <si>
    <t>['kenpa', 'kesini', 'paket', 'kuota', 'mahal', 'udah', 'jaringan', 'lemot', 'bangettt', 'tong', 'perbaikin', 'lagiiii']</t>
  </si>
  <si>
    <t>['sinyal', 'buruk', 'sesuai', 'komitmen']</t>
  </si>
  <si>
    <t>['mohon', 'perbaiki', 'sinyal', 'kak']</t>
  </si>
  <si>
    <t>['tolong', 'perbaiki', 'apk', 'seminggu', 'buka', 'udah', 'download', 'ulang', 'isi', 'ulang', 'pulsa', 'paket', 'data']</t>
  </si>
  <si>
    <t>['aplikasinya', 'membantu', 'mudah', 'akses', 'thank', 'you', 'telkomsel']</t>
  </si>
  <si>
    <t>['senang', 'banget', 'kuota', 'murah']</t>
  </si>
  <si>
    <t>['sya', 'mentransfer', 'pulsa']</t>
  </si>
  <si>
    <t>['telkomsel', 'jaringan', 'payah', '']</t>
  </si>
  <si>
    <t>['tingkatkan', 'pelanggan', 'nyaman']</t>
  </si>
  <si>
    <t>['baguss', 'banget', 'makasih', 'maytelkomsel']</t>
  </si>
  <si>
    <t>['semoga', 'hadiah', 'telkomsel', 'telkomsel', '']</t>
  </si>
  <si>
    <t>['nyesel', 'coeg', 'telkomsel', 'ganti', 'jaringan', 'indonesia', 'emang', 'jelek', 'banget', 'bagus', '']</t>
  </si>
  <si>
    <t>['paket', 'aplikasi', 'mahal', 'beda', 'banget', 'paket', 'nomor', 'temen', 'gitu', 'adil', 'banget', '']</t>
  </si>
  <si>
    <t>['sya', 'kah', 'krna', 'sya', 'prtama', 'coba']</t>
  </si>
  <si>
    <t>['abis', 'download', 'telkomsel', 'buka']</t>
  </si>
  <si>
    <t>['mantap', 'jaringannya', 'lemod', '']</t>
  </si>
  <si>
    <t>['pas', 'masuk', 'tsel', 'loading', 'banget', 'menitan', 'operator', 'cepat', 'banget', 'tolong', 'pebaiki', 'sistem', 'apl']</t>
  </si>
  <si>
    <t>['jaringan', 'dilaut']</t>
  </si>
  <si>
    <t>['buka', 'aplikasinya', 'min', 'gangguan', 'buka', 'aplikasinya', 'putih', '']</t>
  </si>
  <si>
    <t>['update', 'mahal', 'mahal', 'harganya']</t>
  </si>
  <si>
    <t>['upgrade', 'layar', 'putih', '']</t>
  </si>
  <si>
    <t>['knpa', 'mendowlad', 'aplikasi']</t>
  </si>
  <si>
    <t>['telkomyet', 'telkomnjing', 'telkombi', 'emang', 'jaringan']</t>
  </si>
  <si>
    <t>['keluhan', 'telkomsel', 'stabil', 'tolong', 'udah', 'bayar', 'mahal', 'mahal', 'stabil', '']</t>
  </si>
  <si>
    <t>['membuka', 'beranda', 'harua', 'beli', 'data']</t>
  </si>
  <si>
    <t>['amhamdulillah', 'aplikasi', 'mudah', 'mengecek', 'info', 'beli', 'pulsa', 'paket', 'data', 'pokoknya', 'oke', 'dngn', 'semunya', 'terimakasih', 'telkomsel', '']</t>
  </si>
  <si>
    <t>['coba', 'dlu', 'yea', 'ntr', 'tambahin', 'bnyk', 'bntng', '']</t>
  </si>
  <si>
    <t>['mohon', 'update', 'masak', 'iya', 'paketan', 'harian', 'jam', 'maketin', 'jam', 'malam', 'jam', 'mlm', 'jam', 'besok', 'mohon', 'perbaiki']</t>
  </si>
  <si>
    <t>['gini', 'kartu', 'telkomsel', 'desa', 'wajar', 'kota', 'beritahu', 'tukar', 'poin', 'tlong', 'digratisin', 'poiin', 'msih', 'bayar']</t>
  </si>
  <si>
    <t>['mantap', 'skl', 'promonya', '']</t>
  </si>
  <si>
    <t>['tampilan', 'fitur', 'memuaskan']</t>
  </si>
  <si>
    <t>['buka', 'aplikasi', 'disuruh', 'update', 'aikasi', 'pas', 'udah', 'update', 'aplikasinya', 'blank', 'sampe', 'install', 'ulang', 'berkali', 'kali', 'restart', 'hasilnya', 'tetep', 'ribet', 'beli', 'paket', 'gimana', 'update', 'memperbaiki', 'menambah', 'developer', 'tolong', 'perbaiki', 'aplikasinya', 'secepatnya', 'beli', 'paket', 'susah', 'terima', 'kasih', '']</t>
  </si>
  <si>
    <t>['pulsa', 'suka', 'kesedot', 'menyalakan', 'paket', 'data', 'allah', 'emosi']</t>
  </si>
  <si>
    <t>['mengunakan', 'aplikasi', 'mudah', 'cepat', 'beli', 'kuota', 'data', '']</t>
  </si>
  <si>
    <t>['udah', 'paket', 'unlimited', 'youtube', 'paket', 'data', 'ambil', 'kecewa', 'merugikan', 'pembeli', 'unlimited', 'youtube', 'tolong', 'kasi', 'tanggapan']</t>
  </si>
  <si>
    <t>['kuota', 'multimedia', 'paket', 'kombo', 'sakti', 'unlimitit', 'darah', 'sumpah', '']</t>
  </si>
  <si>
    <t>['lelayanan', 'buruk', 'siyal', 'buruk', 'sampe', 'gabisa', 'pedaha', 'kota', 'kali', 'data', 'telkom']</t>
  </si>
  <si>
    <t>['assalamualaikum', 'ngak', 'masuk', 'pakai', 'kuota', 'ngak', 'ngak', 'tolong', 'perbaiki', 'udah', 'sampe', 'puluhan', 'masuk', 'ngak', '']</t>
  </si>
  <si>
    <t>['telkomsel', 'jaringan', 'buruk', 'kwalitas', 'lelet', 'mending', 'ganti', 'kartu', '']</t>
  </si>
  <si>
    <t>['parahhhh', 'knapa', 'buka', 'aplikasinya', 'jaringannya', 'skarang', 'tmbah', 'parah', 'pengguna', 'telkomsel', '']</t>
  </si>
  <si>
    <t>['daftar', 'paket', 'darurat', 'pulsa', 'kepotong', 'paket', 'darurat', 'bener', '']</t>
  </si>
  <si>
    <t>['update', 'buka', 'apk', 'tolong', 'adminnya', 'perbaiki']</t>
  </si>
  <si>
    <t>['woi', 'main', 'ngeleg', 'gara', 'gara', 'telkom', 'sinyal', 'main', 'nyesel', 'beli', 'telkom', 'lancar', 'game', 'kakak']</t>
  </si>
  <si>
    <t>['apl', 'lemot', 'banget', '']</t>
  </si>
  <si>
    <t>['good', 'membantu']</t>
  </si>
  <si>
    <t>['', 'mantap', 'gan']</t>
  </si>
  <si>
    <t>['suka', 'bangeeeet', 'layanannya']</t>
  </si>
  <si>
    <t>['istimewa', 'yaa', 'adik', 'adik']</t>
  </si>
  <si>
    <t>['maunya', 'telkomsel', 'skrg', 'hilang', 'sndiri', 'dipindah', 'dpt', 'pakai', 'telkomsel', 'brtahun', 'smpai', 'skrg', 'sinyal', 'brantakan', 'msh', 'melayani', 'bangsa', 'gnti', 'management', 'telkomsel', 'atw', 'jual', 'skalian', 'sahamnya', 'bangsa', 'asing', 'bagus', 'pelayanan', 'pemerataannya', 'semoga', 'prhatian', 'mwakili', 'pengguna', 'telkomsel', '']</t>
  </si>
  <si>
    <t>['dibuka', 'blank', 'layar', 'putih', 'diinstal', 'ulang', 'kali', 'teyap', 'sajs']</t>
  </si>
  <si>
    <t>['aplikasi', 'telkomsel', 'dibuka']</t>
  </si>
  <si>
    <t>['bagus', 'murah', '']</t>
  </si>
  <si>
    <t>['handphone', 'buka', 'telkomsel', 'blank', 'putih', 'gitu']</t>
  </si>
  <si>
    <t>['telkomsel', 'dodol', 'hoax', '']</t>
  </si>
  <si>
    <t>['knpa', 'appnya', 'ngk', 'bsa', 'buka', 'white', 'screen', 'trooos']</t>
  </si>
  <si>
    <t>['fitur', 'kunci', 'pulsa', 'tersedot', 'kuota', 'abis']</t>
  </si>
  <si>
    <t>['buka', 'aplikasi', 'min', 'tolong', 'perbaiki', '']</t>
  </si>
  <si>
    <t>['mytelkomsel', 'bagus', 'bisah', 'tukar', 'poin', 'pulsa', 'data']</t>
  </si>
  <si>
    <t>['udah', 'beli', 'paketan', 'pulsa', 'regularnya', 'udah', 'kepotong', 'tetep', 'gabisa', 'dipake', 'nyedot', 'pulsa', 'utama', 'mulu', 'sampe', 'abis', 'tolong', 'telkomsel']</t>
  </si>
  <si>
    <t>['cepat', 'praktis']</t>
  </si>
  <si>
    <t>['knp', 'dibuka', 'sihhh', 'kagak', 'beli', 'paketan', 'nihh', '']</t>
  </si>
  <si>
    <t>['telkomsel', 'parah', 'lansung', 'main', 'potong', 'persetujuan', 'aktifkan', 'paket', 'beli', 'beli', '']</t>
  </si>
  <si>
    <t>['aplikasi', 'giliran', 'taun', 'tuker', 'ponit', 'kaga', 'buka', '']</t>
  </si>
  <si>
    <t>['mantul', 'mempermudah']</t>
  </si>
  <si>
    <t>['nyesel', 'download', 'telkomsel', 'jaringannya', 'kayak', 'siput', 'berjalan', '']</t>
  </si>
  <si>
    <t>['mantappp', 'aplikasinya', 'bnyak', 'promo']</t>
  </si>
  <si>
    <t>['gwe', 'beli', 'kuota', 'mintak', 'jaringanya', 'kayak', 'telkomsel', '']</t>
  </si>
  <si>
    <t>['telkomsel', 'promo', 'mulu', 'sinyal', 'ngak', 'siang', 'malam', 'maen', 'game', 'mobile', 'legend', 'ngelag', 'maaf', 'pindah', 'jaringan', 'stabil', 'ngebut', 'ngak', 'cpet', 'habis', 'kouta', 'telkomsel', 'skarang', 'pengen', 'duit', 'usaha', 'jaringan', 'sekayu', 'sumatera', 'selatan', 'salam', '']</t>
  </si>
  <si>
    <t>['tsel', 'jaringan', 'lawak', 'mahal', 'mahal', 'gada', 'bagus']</t>
  </si>
  <si>
    <t>['black', 'putih', 'buka', 'aplikasi', 'telkomsel', 'udh', 'bbrpa', 'hri', 'bsa', 'buka', 'jaringan', 'udh', 'susah', 'turun', 'sprti', 'dlu', 'jaringan', '']</t>
  </si>
  <si>
    <t>['harganya', 'mahal', 'paketannya']</t>
  </si>
  <si>
    <t>['perbaiki', 'jangkauwan', 'signalnya']</t>
  </si>
  <si>
    <t>['', 'aplikasi', 'telkomsel', 'terbaru', 'penawaran', 'paket', 'kuota', 'combo', 'sakti', 'unlimited', 'aplikasi', 'telkomsel', 'barusan', 'beli', 'kuota', 'gb', 'paket', 'combo', 'sakti', 'unlimited', 'aplikasi', 'pas', 'beli', 'aplikasi', 'versi', 'terbaru', 'koq', 'coba', 'tolong', 'dibedakan', 'jdnya', 'bingung', '']</t>
  </si>
  <si>
    <t>['mudahan', 'harga', 'kuota', 'kartu', 'murah', 'pengguna', 'kartu', 'telkomsel', '']</t>
  </si>
  <si>
    <t>['keren', 'banget', 'harga', 'paketnya', 'murahin', 'min', '']</t>
  </si>
  <si>
    <t>['promo', 'telkomsel', 'hoak', 'disuruh', 'dowload', 'aplikasi', 'pln', 'iming', 'kuota', 'pas', 'dowlod', 'ngak', 'dapet', 'dasar', 'kere', 'cari', 'referal', 'iming', 'download', 'pln', 'mb', 'ngak', 'bayar', 'rewad', 'didowload', 'dasar', 'promo', 'abal', '']</t>
  </si>
  <si>
    <t>['dibukak']</t>
  </si>
  <si>
    <t>['mjd', 'pelanggan', 'telkomsel', 'hello', 'sinyal', 'bagus', 'pas', 'butuh', 'banget', 'pengin', 'nangis', 'membuka', 'internet', 'loading', 'lamaaaa']</t>
  </si>
  <si>
    <t>['terimakasi', 'telkomsel', 'jaringan', 'super', 'mantap', 'dimanapun', 'mingu', 'undian', 'hadiah', 'motor', 'pulsa', 'dll', 'menarik', 'pernh', 'tercicip', 'semoga', 'kedepannya', 'beruntung', 'mendpatkan', 'hadiah', 'undian', 'poin', 'sehat', 'salam', 'hati', 'merah', 'putih', '']</t>
  </si>
  <si>
    <t>['habis', 'update', 'putih', 'banget', 'layarnya', 'kebuka', 'gmn', 'app', 'error', 'kah', 'gmn', 'penjelasanya']</t>
  </si>
  <si>
    <t>['jaringannya', 'bagus', 'jakarta', '']</t>
  </si>
  <si>
    <t>['', 'ribet', 'mantap']</t>
  </si>
  <si>
    <t>['habis', 'diperbarui', 'dibukak', 'telkomsel', 'beginii', 'tolong', 'cepett', 'diperbaikiii', 'karenaaa', 'buatt', 'sayaaa', '']</t>
  </si>
  <si>
    <t>['beli', 'paket', 'internetnya', 'mahal', 'sich', 'kemarin', 'promo', 'murah', 'hilang', 'promonya', 'bosan', 'make', 'kartu', 'telkomsel', 'mending', 'pakai', 'ajah', 'telkomsel', 'mohon', 'warga', 'indonesia', 'pakai', 'kartu', 'telkomsel', 'promonya', 'mahal', 'paket', 'internet', 'telponnya']</t>
  </si>
  <si>
    <t>['dol', 'nang', 'warung', 'nek', 'ngelek', '']</t>
  </si>
  <si>
    <t>['aplikasi', 'bagus', 'pokoknya', 'kaliyan', 'download']</t>
  </si>
  <si>
    <t>['knp', 'telkomsel', 'isi', 'pulsa', 'aktifnya', 'sll', 'dikurangin']</t>
  </si>
  <si>
    <t>['sorry', 'kasih', 'nilai', 'telkomsel', 'dibuka', 'sinyal', 'telkomsel', 'lambat', 'check', 'susah', 'harga', 'kuota', 'mahal', 'telkomsel', 'dibuka', '']</t>
  </si>
  <si>
    <t>['membantu', 'lelet']</t>
  </si>
  <si>
    <t>['maaf', 'knpa', 'unlimited', 'pakai', 'watsap', 'sdangkn', 'unlimited', 'youtube', 'klu', 'mending', 'unlimited', 'bkl', 'hbis', 'kecewe', 'unlimited', 'lht', 'youtube']</t>
  </si>
  <si>
    <t>['aplikasi', 'mytelkomsel', 'dibuka', 'diupdate', 'nyesel', 'diupdate', '']</t>
  </si>
  <si>
    <t>['gimana', 'telkomsel', 'plikasi', 'dibuka', 'stelah', 'update', '']</t>
  </si>
  <si>
    <t>['disayangkan', 'combo', 'sakti', 'kouta', 'sosmednya', 'udah', 'bsa', 'dipake', 'youtube', 'disney', 'hotstar', 'yaah', 'pdhl', 'lancar', 'masuk', 'aplikasi', 'kouta', 'sosmed', '']</t>
  </si>
  <si>
    <t>['lbh', 'terjau', 'dlm', 'pembelian', 'paket', 'pilihannya', 'ditingkatkan', 'persaingan', 'jaringan', '']</t>
  </si>
  <si>
    <t>['pulsa', 'ribu', 'berkurang', 'pakai', 'kuota', 'kadang', 'kadang', 'pakai', 'wifi', 'berkurang', 'tolong', 'perbaiki']</t>
  </si>
  <si>
    <t>['', 'telkomsel', 'perbaiki', 'sinyal', 'punyaku', 'ngelek', 'banget', 'jaringan', 'ganti', 'trus', 'tolong', 'perbaiki', '']</t>
  </si>
  <si>
    <t>['solusi']</t>
  </si>
  <si>
    <t>['jaringan', 'telkomsel', 'lelet', 'paket', 'mahal', 'lelet']</t>
  </si>
  <si>
    <t>['sinyal', 'telkom', 'ngelek', 'beli', 'paket', 'udh', 'mahal', 'tolong', 'perbaiki', 'buka', 'aplikasi', 'kayak', 'abis', 'paket', 'pas', 'cek', 'paket', 'gb', 'tolong', 'perbaiki', 'nyaman', 'memakai', 'kartu', 'telkom', 'jaringan', '']</t>
  </si>
  <si>
    <t>['tolong', 'diperbaiki', 'harga', 'paket', 'mahal', 'sinyal', 'bagus', 'lemottt', 'full', 'sinyal', 'telkom', 'ampassss', 'telkom']</t>
  </si>
  <si>
    <t>['nggak', 'buka', 'tampilannya', 'layar', 'putih']</t>
  </si>
  <si>
    <t>['ngak', 'kepersi', 'nyaman', 'pakai', 'kemaren', 'rubah', 'versi', 'ngak', 'dipakai', 'eror', 'telkom', 'susah', 'oke', '']</t>
  </si>
  <si>
    <t>['jaringan', 'internet', 'wilayah', 'daerah', 'pasar', 'anyer']</t>
  </si>
  <si>
    <t>['aplikasinya', 'dibuka', 'blank', 'putih']</t>
  </si>
  <si>
    <t>['check', 'absen', 'telkomsel', 'kuota', 'hasil', 'checkin', 'karna', 'singkat', 'terpakai', 'kadaluarsa', 'mubazir', 'mohon', 'berkenan', 'perpanjangan', 'pakainya', 'terima', 'kasih']</t>
  </si>
  <si>
    <t>['woy', 'jaringan', 'woy', 'benerin', 'jan', 'mikirin', 'duit', 'mulu', 'jaringan', 'benerin', 'wiy', 'telkomsel', 'lemott', 'jaringan', 'owh', 'yaa', 'bangkrut', 'yaga', 'ama', 'eprator', 'sebelah', 'wkwkwkw', 'canda', 'telkomsel', 'telkomsel', 'password', 'jaring', 'lemotttt']</t>
  </si>
  <si>
    <t>['wilayah', 'bogor', 'jawa', 'barat', 'lemot', 'banget', 'main', 'games', 'rekomend', 'banget']</t>
  </si>
  <si>
    <t>['jaringan', 'telkomsel', 'mengecewakan', 'keluhan', 'pelanggannya', 'ditindak', 'lanjuti', 'pokoknya', 'capek', 'deh', 'keluhan', 'telkomsel', 'kuota', 'kali', 'dihabiskan', 'jaringan', 'becus', 'hangus', 'seiring', 'aktifnya', 'habis', 'merugikan', 'pelanggan', 'pelanggan', 'telkomsel', 'rame', 'rame', 'pindah', 'operator', '']</t>
  </si>
  <si>
    <t>['mahal', 'harga', 'paketan', 'dulunya', 'ribu', 'unlimited', 'youtube', 'game', 'sosmed', 'rb', 'unlimited', 'youtube']</t>
  </si>
  <si>
    <t>['jaringan', 'harap', 'dioptimalkan', 'terluas', 'tolonglah', 'jaringannya', 'lucu', 'disaat', 'kecewa']</t>
  </si>
  <si>
    <t>['apk', 'buka', 'layar', 'putih', 'instal', 'ulang', 'restart', 'masuk', 'mohon', 'bantuan', '']</t>
  </si>
  <si>
    <t>['lancar', 'kadang', 'cepat']</t>
  </si>
  <si>
    <t>['terima', 'kasih', 'telkomsel', 'menemani', 'sukses', 'telkomsel', '']</t>
  </si>
  <si>
    <t>['bagus', 'pengguna']</t>
  </si>
  <si>
    <t>['', 'telkomsel', 'salah', 'hasil', 'maksimal']</t>
  </si>
  <si>
    <t>['app', 'bgus', 'ksh', 'bintang', 'pokonya', 'jos', 'bnget', 'trmakasih', 'may', 'telkomsel']</t>
  </si>
  <si>
    <t>['aplikasi', 'mempermudah', 'membeli', 'paket', 'cek', 'pulsa']</t>
  </si>
  <si>
    <t>['', 'telkomsel', 'abis', 'update', 'dibuka', 'sampe', 'beralih', 'maaf', 'kali', 'bintang', '']</t>
  </si>
  <si>
    <t>['bulum', 'kasih', 'ulasan', 'coba']</t>
  </si>
  <si>
    <t>['beli', 'paket', 'apl', 'telkomsel', 'harganya', 'nambah', 'tolong', 'solusi', '']</t>
  </si>
  <si>
    <t>['bln', 'paket', '']</t>
  </si>
  <si>
    <t>['udah', 'bagus', 'kadang', 'error']</t>
  </si>
  <si>
    <t>['jaringan', 'telkomsel', 'lemot', 'baget', 'lgi', 'tolong', 'min', 'perbaiki', 'kinerjs']</t>
  </si>
  <si>
    <t>['paket', 'unlimited', 'buka', 'kah', 'buka', 'facebook', 'liat', 'video', 'facebook', 'lancar', 'giliran', 'buka', 'muter', 'sampe', 'stres']</t>
  </si>
  <si>
    <t>['sebulan', 'apk', 'tsel', 'iphone', 'force', 'close', 'pakai', 'udah', 'update', 'udah', 'instal']</t>
  </si>
  <si>
    <t>['jaman', 'telpon', 'sms', 'lancar', 'internet', 'lokasi', 'depok', 'karna', 'daerahnya', 'dimana', 'kantor', 'daerah', 'jakarta', 'selatan', 'lancar', 'nyesel', 'aktifin', 'kartu', 'telkomsel', 'sia', 'sia', 'registrasi', 'nik']</t>
  </si>
  <si>
    <t>['', 'love', 'telkomsel', 'undi', 'undi', 'hepi', 'dapet', '']</t>
  </si>
  <si>
    <t>['knp', 'telkomsel', 'dibuka', 'minggu', '']</t>
  </si>
  <si>
    <t>['oke', 'lumayan', 'info', 'bagus']</t>
  </si>
  <si>
    <t>['membantu', 'sekalai', 'fungsinya']</t>
  </si>
  <si>
    <t>['pakai', 'telkomsel', 'nomer', 'blm', 'ganti', 'alhamdulilah', 'pelayanan', 'telkomsel', 'jaringan', 'wlwpun', 'kadang', 'eror', 'karna', 'gangguan', 'sbagai', 'customer', 'telkomsel', 'setia', 'pakai', 'telkomsel', 'the', 'best']</t>
  </si>
  <si>
    <t>['susah', 'banget', 'masuk', 'telkomsel', 'something', 'wrong', '']</t>
  </si>
  <si>
    <t>['semoga', 'kuota', 'geratis', 'ilimited', 'kli']</t>
  </si>
  <si>
    <t>['aplikasi', 'buka', 'hpku', 'versi', 'terbaru']</t>
  </si>
  <si>
    <t>['poin', 'berguna', 'peruntukannya']</t>
  </si>
  <si>
    <t>['jarang', 'aplikasi', 'segeram', 'telkomsel', 'hebat', 'orang', 'super', 'jengkel']</t>
  </si>
  <si>
    <t>['errorrrr', 'mulu', 'aplikasi', 'males', 'makainya']</t>
  </si>
  <si>
    <t>['harga', 'paket', 'internet', 'mahal']</t>
  </si>
  <si>
    <t>['adakan', 'fitur', 'penguncian', 'data', 'sms', 'telepon', 'paket', 'habis', 'kebablasan', 'pulsa', 'utama', 'aplikasi', 'axis', 'termakan', 'pulsa', 'utamanya', 'paket', 'keburu', 'habis', 'ketiduran']</t>
  </si>
  <si>
    <t>['mohon', 'maaf', 'telkomsel', 'ngestuck', 'awalan', 'kaya', 'putih', 'white', 'screen', 'mohon', 'diperbaiki', '']</t>
  </si>
  <si>
    <t>['jaringan', 'internet', 'lambat', 'loading']</t>
  </si>
  <si>
    <t>['telkomsel', 'suka', 'gangguan', 'telkomsel', '']</t>
  </si>
  <si>
    <t>['kemudahan', 'paket', 'darurat', 'saldo', 'pulsa', 'nol', 'terimakasih']</t>
  </si>
  <si>
    <t>['oke', 'tpi', 'tolong', 'sinyal', 'luas', 'basement', 'gedung']</t>
  </si>
  <si>
    <t>['pakai', 'telkomsel', 'pas', 'udh', 'dowlod', 'bukak', 'udh', 'berkali', 'kali', 'coba', 'bisaa']</t>
  </si>
  <si>
    <t>['', 'update', 'buka', 'parah', 'aplikasi']</t>
  </si>
  <si>
    <t>['udah', 'update', 'versi', 'terbaru', 'aplikasi', 'telkomselnya', 'buka', 'jaringan', 'bagus', '']</t>
  </si>
  <si>
    <t>['maaf', 'turunkan', 'alasannya', 'kecewa', 'aplikasi', 'buka', 'coba', 'coba', 'instal', 'download', 'hasil', '']</t>
  </si>
  <si>
    <t>['knp', 'abis', 'pembaruan', 'buka', 'aplikasi', 'stack', 'white', 'screen', 'tolonglah', 'cepat', 'perbaiki', 'mengganggu', 'pengalaman', 'pengguna', 'kaya', 'gini', 'beli', 'kuota', 'internet', 'perlambat', 'karna', '']</t>
  </si>
  <si>
    <t>['kenpa', 'telkomsel', 'buka', 'check', 'dayly', 'udh', 'check', '']</t>
  </si>
  <si>
    <t>['puas', 'layan', 'telkomsel', 'terimakasih']</t>
  </si>
  <si>
    <t>['jaringan', 'lelet', 'harga', 'mahal', 'kocak']</t>
  </si>
  <si>
    <t>['tolong', 'telkomsel', 'konsumsi', 'pulsa', 'internet', 'udah']</t>
  </si>
  <si>
    <t>['buruk', 'jaringan', 'harga', 'mahal']</t>
  </si>
  <si>
    <t>['paket', 'sosmed', 'games', 'susah', 'dipakai', 'penipuan']</t>
  </si>
  <si>
    <t>['jujur', 'amanah', 'suka', 'motong', 'pulsa', 'yaa', '']</t>
  </si>
  <si>
    <t>['bagus', 'tolong', 'jaringan', 'sinyal', 'diperkuat', 'ditambah', 'pemancar', 'didaerah', 'terpencil', 'terima', 'kasih', '']</t>
  </si>
  <si>
    <t>['parah', 'jaringan', 'internet', 'telkomsel', 'susah', 'pokoknya']</t>
  </si>
  <si>
    <t>['provider', 'udh', 'fitur', 'kunci', 'pulsa', 'pulsa', 'aman', 'koneksi', 'internet', 'aktif', 'paket', 'paket', 'doang', 'aplikasi', 'dikenakan', 'biaya', 'normal', 'pikir', 'zaman', 'nokia', 'jadul', 'android', 'buka', 'aplikasinya', 'aplikasi', 'data', 'latar', 'cuman', 'kuota', 'habis', 'pulsa', 'tabung', 'maklum', 'marketing', 'telkomsel', 'sengaja', 'kali', 'keluarin', 'fitur', 'pulsa', 'pelanngan', 'cepat', 'habis']</t>
  </si>
  <si>
    <t>['', 'dpt', 'lihat', 'sisa', 'pulsa', 'beli', 'paket', 'kuota']</t>
  </si>
  <si>
    <t>['aplikasinya', 'mantap']</t>
  </si>
  <si>
    <t>['bonus', 'cek', '']</t>
  </si>
  <si>
    <t>['apk', 'buruk', 'beli', 'kuota', 'update', 'apk', 'mempersulit', 'dasar', 'tolol']</t>
  </si>
  <si>
    <t>['faham', 'pakai', 'mangfaat', 'download']</t>
  </si>
  <si>
    <t>['sangattttt', 'mengecewakan', 'buka', 'aplikasi', 'parahhhhh']</t>
  </si>
  <si>
    <t>['simpel', 'bagus', 'promo', '']</t>
  </si>
  <si>
    <t>['tingkatkan', 'pertahankan', 'jaringan', '']</t>
  </si>
  <si>
    <t>['tolong', 'diperbaiki', 'apk', 'gabisa', 'dibuka', 'layar', 'putih']</t>
  </si>
  <si>
    <t>['', 'permbaruan', 'perangkat', 'lunak', 'samsung', 'ultra', 'aplikasi', 'telkomsel', 'hilang', 'download', 'lembali', 'terinstal', '']</t>
  </si>
  <si>
    <t>['susah', 'bet', 'nukar', 'poin']</t>
  </si>
  <si>
    <t>['telkom', 'smg', 'maju']</t>
  </si>
  <si>
    <t>['oke', 'banget', 'daaaah']</t>
  </si>
  <si>
    <t>['telkomsel', 'jaringan', 'sbagus', 'skrang', 'lemot', 'ganti', 'provider', 'bagus', '']</t>
  </si>
  <si>
    <t>['sulit', 'membuka', 'aplikasi', 'membeli', 'paket', '']</t>
  </si>
  <si>
    <t>['daftar', 'unlimited', 'youtube', 'kuota', 'utama', 'konsumsi', 'tolong', 'penjelasanya', 'unlimited', 'youtube', 'ujung', 'ujungnya', 'kuota', 'sedot', '']</t>
  </si>
  <si>
    <t>['sampah', 'jumping', 'terossss', 'kalah', 'sma', 'indosat', 'murah', 'tpi', 'kencengg', 'mahal', 'doang', 'paket', 'main', 'sinyalny', 'kyk', 'hutan', '']</t>
  </si>
  <si>
    <t>['abia', 'update', 'apl', 'telkomsel', 'gga', 'bsa', 'buka', 'tolong', 'cepat', 'perbaiki']</t>
  </si>
  <si>
    <t>['ribet', 'telkomsel']</t>
  </si>
  <si>
    <t>['beli', 'paket', 'kecewa', 'banget', 'aplikasinya']</t>
  </si>
  <si>
    <t>['', 'uograde', 'ngebleng', 'parah', 'banget', 'telkomsel']</t>
  </si>
  <si>
    <t>['siiiip', 'sinyal', 'kuat', 'dimana']</t>
  </si>
  <si>
    <t>['parah', 'pelayanan', 'respon', 'keluhan', 'bot', 'veronika', 'mengesalkan', 'nyambung', 'pengen', 'unreg', 'kartu', 'halo', 'mls', 'graparinya', 'mentang', 'provider', 'terkenal', 'banget', 'pelayanan', 'paraaaa', 'pelayanan']</t>
  </si>
  <si>
    <t>['', 'sarankan', 'download', 'mantap']</t>
  </si>
  <si>
    <t>['tukar', 'poin', 'hadehhhh', 'poin', 'hangus']</t>
  </si>
  <si>
    <t>['', 'telkomsel', 'memuaskan', 'semoga', 'bertambah', 'jaya']</t>
  </si>
  <si>
    <t>['beli', 'telkomsel', 'jaringan', 'babi']</t>
  </si>
  <si>
    <t>['terllau', 'update', 'pdhal', 'tampilan', 'gitu', '']</t>
  </si>
  <si>
    <t>['maytelkomsel', 'terbuka', '']</t>
  </si>
  <si>
    <t>['pelayanannya', 'bagus', 'keluhan', 'teratasi', 'respon', 'cepat']</t>
  </si>
  <si>
    <t>['lokasi', 'desa', 'sinyalnya', 'bagus']</t>
  </si>
  <si>
    <t>['kesini', 'nggak', 'fungsinya', 'beli', 'paket', 'ketengan', 'youtube', 'unlimited', 'ujung', 'paket', 'data', 'reguler', 'terpakai', 'udah', 'bertahun', 'pakai', 'telkomsel', 'platinum', 'hasil', 'kecewakan', 'doang']</t>
  </si>
  <si>
    <t>['naikin', 'harga', 'paket', 'combo', 'sakti', 'gb', 'rb', '']</t>
  </si>
  <si>
    <t>['aplikasi', 'update', 'buka', 'buang', 'buang', 'kuota']</t>
  </si>
  <si>
    <t>['pengguna', 'telkomsel', 'keluhan', 'skarang', 'sinyal', 'susah', 'internet', 'lambat', 'membuka', 'aplikasi', 'telkomsel', 'error', 'langsung', 'masuk', 'tolong', 'perbaiki', 'yaa']</t>
  </si>
  <si>
    <t>['terima', 'kasih', 'mempermudah', 'pelanggan', 'pilihan', 'paketnya', '']</t>
  </si>
  <si>
    <t>['membantu', 'puas', 'dengam', 'apknya']</t>
  </si>
  <si>
    <t>['buka', 'maaf', 'kasih', 'bintag', '']</t>
  </si>
  <si>
    <t>['kno', 'layarnya', 'putih', 'doang', 'dibuka', 'jaringan', 'apk', 'normal', 'normal', 'telkomselnya', 'bermasalah']</t>
  </si>
  <si>
    <t>['sinyal', 'kecewa', 'pakai', 'telkomsel', '']</t>
  </si>
  <si>
    <t>['telkomsel', 'babi', 'jaringan', 'ngotak', 'jaringan', 'bangkrut', 'pindah', 'gua', '']</t>
  </si>
  <si>
    <t>['jelek', 'banget', 'dibuka']</t>
  </si>
  <si>
    <t>['masuk', 'masukan', 'tpi', 'trus']</t>
  </si>
  <si>
    <t>['membutuh']</t>
  </si>
  <si>
    <t>['suka', 'aplikasiny', 'promo', 'kuota']</t>
  </si>
  <si>
    <t>['parah', 'aplikasi', 'bagus', 'ancur', 'gmn', 'perbaruin', 'dibuka', 'udah', 'perbaruin', 'enda', 'dibuka', 'jaringan', 'jga', 'jelek', 'banget', '']</t>
  </si>
  <si>
    <t>['poin', 'tukar', 'rugi', 'telkomsel']</t>
  </si>
  <si>
    <t>['ribet', 'pakai']</t>
  </si>
  <si>
    <t>['buka', 'aplikasi', 'langusng', 'putih', 'layarnya', 'makan', 'hiu', 'kabelnya', '']</t>
  </si>
  <si>
    <t>['', 'diakses', 'telkomsel']</t>
  </si>
  <si>
    <t>['knp', 'login', 'telkomsel', 'sabtu', 'dibukak', 'hapus', 'download', 'nongol', 'logo', '']</t>
  </si>
  <si>
    <t>['koin', 'beda', '']</t>
  </si>
  <si>
    <t>['promo', 'paket', 'murah', 'sakti', 'jaringan', 'mengecewakan', 'jaringan', 'paket', 'data', 'wifi', 'jaringan', 'telkomsel', 'mengecewakan', '']</t>
  </si>
  <si>
    <t>['update', 'aplikasi', 'buka', 'tunggu', 'ampe', 'sehari', 'ttp', 'layar', 'putih']</t>
  </si>
  <si>
    <t>['aplikasnya', 'buka', 'min', 'napa', 'yak', '']</t>
  </si>
  <si>
    <t>['telkom', 'mahal', 'doang', 'sinyal', 'kek', '']</t>
  </si>
  <si>
    <t>['aplikasi', 'dibuka', 'udah', 'paketan', 'mahal', 'sesuai', 'kenyataan', 'parah', '']</t>
  </si>
  <si>
    <t>['membantu', 'kemudahan']</t>
  </si>
  <si>
    <t>['sinyalny', 'asik', 'lemot']</t>
  </si>
  <si>
    <t>['kecewa', 'jaringan', 'telkomsel', 'lancar', 'didaerah', 'jaringan', 'bagus', 'jelek']</t>
  </si>
  <si>
    <t>['', 'otak', 'telkomsel', 'butuh', 'hilang', 'jaringan', 'butuh', 'sinyal', 'anjirrr']</t>
  </si>
  <si>
    <t>['apk', 'bagussss']</t>
  </si>
  <si>
    <t>['telkomsel', 'andalan', 'sinyal', 'sampe', 'paketnya', 'dibilang', 'mahal', 'jaringan', 'ditempat', 'parah', 'banget', 'buriq', 'tolong', 'perbaiki', 'dev', 'gaguna', 'beli', 'kuota', 'dikartu', 'telkom', '']</t>
  </si>
  <si>
    <t>['suka', 'banget', 'aplikasi', 'kasih', 'bintang', 'dipertahankan', 'aplikasi', 'kedepannya', 'bagus', 'bagus', 'aplikasi', 'telkomsel', 'bagus', 'download', 'yuk', 'download', 'nikmati', 'kemudahan', 'kemudahan', 'aplikasi', 'telkomsel']</t>
  </si>
  <si>
    <t>['udah', 'mahal', 'sinyalnya', 'bener']</t>
  </si>
  <si>
    <t>['terpuaskan', '']</t>
  </si>
  <si>
    <t>['telkomsel', 'gangguan', '']</t>
  </si>
  <si>
    <t>['harga', 'paketan', 'kartu', 'beda', 'th', 'kartu', 'member', 'platinum', 'mahal', 'hadeewh']</t>
  </si>
  <si>
    <t>['beli', 'quota', 'pulsa', 'error']</t>
  </si>
  <si>
    <t>['lemot', 'samsung', 'buka', 'aplikasi', 'knp', 'blank', 'putih', '']</t>
  </si>
  <si>
    <t>['beli', 'paket', 'data', 'rb', 'melayang', 'bangke', 'emang']</t>
  </si>
  <si>
    <t>['maaf', 'telkomsel', 'permasalahan', 'aplikasi', 'kemarin', 'aplikasinya', 'buka', 'tolong', 'telkomsel', 'memperbaiki', 'aplikasinya']</t>
  </si>
  <si>
    <t>['bagus', 'biarkan', 'bintang', 'berbicara']</t>
  </si>
  <si>
    <t>['puas', 'merakyat']</t>
  </si>
  <si>
    <t>['mantap', 'programnya']</t>
  </si>
  <si>
    <t>['knp', 'hbs', 'diperbarui', 'gabisa', 'dibuka', 'app']</t>
  </si>
  <si>
    <t>['pls', 'gegara', 'permudah', 'main', 'game', 'njiir', '']</t>
  </si>
  <si>
    <t>['coba', 'dibuatkan', 'program', 'paket', 'internet', 'murah']</t>
  </si>
  <si>
    <t>['good', 'promo', 'kuota']</t>
  </si>
  <si>
    <t>['minggu', 'aplikasi', 'blank', 'perbaikan', 'informasi', 'apapun', 'telkomsel', 'kecewa']</t>
  </si>
  <si>
    <t>['utamakan', 'jaringan', 'utamakan', 'promo', 'sms', 'bermutu', 'mengganggu', 'koneksi', 'internet', 'sms', 'masuk', 'terima', 'kasih']</t>
  </si>
  <si>
    <t>['hallo', 'udh', 'suport', 'udah', 'suport', 'knapa', 'tlng', 'upgrade', 'jaringan']</t>
  </si>
  <si>
    <t>['halo', 'kak', 'aplikasinya', 'gabisa', 'buka', 'white', 'screen', 'tolong', 'perbaiki', 'udah', 'uninstal', 'berkali', 'kali', 'mohong', 'perbaiki']</t>
  </si>
  <si>
    <t>['sebentar', 'sebentar', 'suruh', 'update', 'giliran', 'update', 'berat', 'apk', '']</t>
  </si>
  <si>
    <t>['mohon', 'telkomsel', 'menambah', 'fitur', 'pulsa', 'save', 'pulsa', 'aman', 'kehabisan', 'kuota', 'internet', '']</t>
  </si>
  <si>
    <t>['beli', 'kuota', 'internet', 'ketengan', 'youtube', 'kuota', 'internet', 'ambil', 'sampe', 'nyadar', 'kuota', 'gb', 'habis', 'sehari', 'gimana', '']</t>
  </si>
  <si>
    <t>['download', 'aplikasi', 'niatnya', 'mudah', 'praktis', 'sesuai', 'ekspektasi', 'yaudala', 'mode', 'manual', '']</t>
  </si>
  <si>
    <t>['harga', 'tarif', 'kuota', 'mahal', 'sinyal', 'mulu', 'kualitasnya', 'sinyal', 'udah', 'pakai', 'kuota', 'giganet', 'rb']</t>
  </si>
  <si>
    <t>['pulsa', 'sedot', 'daftar', 'aneh', 'aneh', 'pulsa', 'sedot', 'mulu', 'telkomsel']</t>
  </si>
  <si>
    <t>['apps', 'telkomsel', 'buka', '']</t>
  </si>
  <si>
    <t>['beli', 'paket', 'internet', 'apk', 'gb', 'lokal', 'gb', 'kuota', 'nonton', 'laah', 'nonton', 'viu', 'kesedot', 'kuota', 'kuota', 'lokal', 'kuota', 'nonton', 'skrg', 'kuota', 'lokal', 'sisa', 'gb', 'kuota', 'nonton', 'gb', 'tolong', 'penjelasan', 'gunanya', 'veronica', '']</t>
  </si>
  <si>
    <t>['kejadian', 'beli', 'pulsa', 'belumdipake', 'habis', 'dipake', 'non', 'paket', 'pulsanya', 'neli', 'dipakai', 'aps', 'kecewa', '']</t>
  </si>
  <si>
    <t>['dibuka', 'white', 'screen']</t>
  </si>
  <si>
    <t>['tolong', 'sinyalnya', 'perbaiki', 'kemaren', 'sinyal', 'mulu', 'buruk', 'kartu', 'perbaikin', 'pindah', 'provider', 'tercuma', 'paketan', 'mahal', 'sinyal', 'kentang', 'buruk', 'mending', 'tutup', 'tokonya', 'berguna', 'beda', 'ama', 'kartu', 'tri', 'mahal', 'sinyal', 'kenceng']</t>
  </si>
  <si>
    <t>['semoga', 'paketnya', 'bertambah', 'murah', 'terima', 'kasih', 'cuman', 'jaringan', 'telkomsel', 'ngak', 'bagus', 'berharap', 'telkomsel', 'memperhatikan', 'permasalahan', 'secepatnya', 'tuk', 'kenyamanan', 'konsumen', '']</t>
  </si>
  <si>
    <t>['berharap', 'undian']</t>
  </si>
  <si>
    <t>['parah', 'telkomsel', 'paket', 'unlimitid', 'youtube', 'kecewa', 'skrang', 'pdal', 'rajin', 'langganan']</t>
  </si>
  <si>
    <t>['memuas', 'bertransaksi', 'apapun', 'lancar', '']</t>
  </si>
  <si>
    <t>['woi', 'napa', 'telekomsel', 'kagak', 'buka', '']</t>
  </si>
  <si>
    <t>['telkomsel', 'keren']</t>
  </si>
  <si>
    <t>['bos', 'sinyal', 'simpati', 'bagusin', 'kaya', 'pindah', 'kartu', 'bln', 'sinyal', 'simpati', 'lelet', 'lemot', 'parah', 'bos', 'diem', 'terimakasih', 'penjelasan']</t>
  </si>
  <si>
    <t>['terimakasih', 'kuota', 'gratis', '']</t>
  </si>
  <si>
    <t>['signal', 'sll', 'optimal']</t>
  </si>
  <si>
    <t>['kali', 'nyedot', 'pulsa', 'diam', 'min', 'emang', 'pulsa', 'tinggal', 'enak', 'ajaaa', 'nengok', 'pulsa', 'kayak', 'gitulah', 'min', 'duit', 'susah', 'skrang', 'kurangin', 'kayak', 'gitu', 'min', 'kali', 'udah', 'berkali', 'kayak', 'gini']</t>
  </si>
  <si>
    <t>['waaaah', 'layanan', 'telkomsel', 'bagus', '']</t>
  </si>
  <si>
    <t>['data', 'lupa', 'aktifkan', 'telkomsel', 'suka', 'maling', 'pulsa', 'dikuras', 'abis', 'luh', '']</t>
  </si>
  <si>
    <t>['memuaskan', 'kali', 'buka', 'apl', 'tel', 'ngak', 'trims']</t>
  </si>
  <si>
    <t>['bru', 'download', 'nggk', 'bgus', 'nggk', 'apk', '']</t>
  </si>
  <si>
    <t>['paket', 'gacha', 'sinyal', 'gratisan', 'males', 'bener', 'benerin', 'cok', 'sinyalnya', 'gaenak', 'maen', 'game', 'suka', 'lag', 'lag', 'mulu', 'ping', 'mulu', 'udh', 'gitu', 'nnton', 'suka', 'loading', 'mulu', 'pke', 'lancar', 'jaya', 'telkom', 'mlempem', 'disuruh', 'nge', 'twit', 'benerin', 'jan', 'bnyak', 'alesan', 'bet']</t>
  </si>
  <si>
    <t>['jaringan', 'sinyalnya', 'kencang', 'sinyal', 'daerah', 'pelosok']</t>
  </si>
  <si>
    <t>['memper', 'mudah', 'pembelian', 'paket', 'internet']</t>
  </si>
  <si>
    <t>['gimana', 'komplain', 'bng', 'udah', 'beli', 'pembayaran', 'paket', 'masuk', 'promo', 'paketnya', 'respon', 'jelek', 'banget', 'cepat', 'tanggap', 'sinyal', 'suka', 'down', '']</t>
  </si>
  <si>
    <t>['internet', 'pulsa', 'tolong', 'dihapus', 'ngisi', 'pulsa', 'suka', 'lupa', 'udah', 'kepotong', 'kadang', 'kadang', 'paket', 'pulsa', 'tetep', 'kepotong']</t>
  </si>
  <si>
    <t>['main', 'mobile', 'legends', 'narik', 'jaringannya', 'payah', 'banget', 'paket', 'dimahalin', 'kualitas', 'jaringan', 'busuk', 'tinggal', 'kota', 'bogor', 'segini', 'sinyalnya', 'busuk', '']</t>
  </si>
  <si>
    <t>['liat', 'lemot', 'tik', 'tok', 'lemot', 'main', 'game', 'suka', 'patah', 'gitu', 'pulsa', 'beli', 'bang', 'uang', 'gampang', 'habis', 'kuota', 'bangs', '']</t>
  </si>
  <si>
    <t>['keren', 'mahal']</t>
  </si>
  <si>
    <t>['aplikasi', 'buka', 'update', 'pengembang', '']</t>
  </si>
  <si>
    <t>['buka', 'apk', 'gabisa', 'layar', 'putih', 'cek', 'paket', '']</t>
  </si>
  <si>
    <t>['aplikasi', 'korupsi', 'beli', 'paket', 'youtube', 'unlimited', 'kuota', 'utama', 'kesedot', 'tikus', 'tikus', 'kantor']</t>
  </si>
  <si>
    <t>['mohon', 'diperbaharui', 'aplikasi', 'tida', 'dibuka', 'blank', 'white', '']</t>
  </si>
  <si>
    <t>['beli', 'pulsa', 'rb', 'dijadikan', 'paket', 'kuota', 'berkurang', 'pulsanya', 'buka', 'apk', 'telkomsel', 'nyesel', 'telkomsel', 'dimohon', 'telkomsel', 'fitur', 'data', 'hidup', 'paket', 'kuota', 'disedot', 'habis', '']</t>
  </si>
  <si>
    <t>['update', 'versi', 'terbaru', 'dapatnya', 'blank', 'screen', '']</t>
  </si>
  <si>
    <t>['semoga', 'menang', 'allah']</t>
  </si>
  <si>
    <t>['tolong', 'telkomsel', 'ngeblank', 'layar', 'putih', 'nggak', 'pulsa', 'kuota', 'udh', 'coba', 'hapus', 'data', 'uninstal', '']</t>
  </si>
  <si>
    <t>['tolong', 'telkomsel', 'putih', 'terbuka', '']</t>
  </si>
  <si>
    <t>['yaa', 'app', 'mytelkomsel', 'sya', 'kemarin', 'nge', 'blank', 'putih', 'coba', 'uninstall', 'install', 'blank', 'putih', 'kendala', 'yaa']</t>
  </si>
  <si>
    <t>['kuota', 'unlimited', 'hri']</t>
  </si>
  <si>
    <t>['membantu', 'beli', 'kuota', 'mudah']</t>
  </si>
  <si>
    <t>['telkomsel', 'anih', 'isi', 'pulsa', 'kepotong', 'nambah', 'dipotong', 'nambah', 'tembak', 'kuota', 'pulsa', 'sisa', 'pulsa', 'tembak', 'kuota', 'sisa', 'koq', 'kemana', 'lari']</t>
  </si>
  <si>
    <t>['harga', 'paket', 'internet', 'combo', 'unlimited', 'mahal']</t>
  </si>
  <si>
    <t>['parah', 'banget']</t>
  </si>
  <si>
    <t>['kayak', 'gini', 'beralih', 'kuning', 'biru', '']</t>
  </si>
  <si>
    <t>['tolong', 'perbaiki', 'min', 'aplikasi', 'pakai', 'susah', 'beli', 'paket']</t>
  </si>
  <si>
    <t>['aplikasi', 'upgrade', 'gangguan', 'harga', 'paket', 'jaringan', 'eror', '']</t>
  </si>
  <si>
    <t>['apakabar', 'gabisa', 'dibuka', 'banget', 'haribini', 'desember', '']</t>
  </si>
  <si>
    <t>['pengaturan', 'aplikasi', 'disediakan', 'mode', 'gelap', 'oke', 'makasi']</t>
  </si>
  <si>
    <t>['mencoba', 'menguhubungii', 'costumer', 'service', 'telkomsel', 'terima', 'menyelesaikan', 'keluhkan', 'moohon', 'maaf', 'uninstal', 'aplikasi', 'bentuk', 'protes', 'telkomsel', 'pelayanan', 'transparan', 'konsumen']</t>
  </si>
  <si>
    <t>['memakai', 'pulsa', 'rp', 'akses', 'internet', 'non', 'paket', 'cek', 'kuota', 'beli', 'paket', 'tsel', 'tsel', 'hidupin', 'data', 'buka', 'mytelkomsel', 'langsung', 'potong', 'plis', 'jan', 'langsung', 'potong', 'gtu', 'pdahl', 'apain', 'beli', 'paket', 'tambahkan', 'fitur', 'lock', 'pulsanya', 'auto', 'potong', 'provider', 'axis', 'amjink', 'emang']</t>
  </si>
  <si>
    <t>['tolong', 'diperbaiki', 'jaringan', 'telkomsel', 'area', 'kec', 'percut', 'sei', 'tuan', 'kab', 'deli', 'serdang', 'sumut', 'area', 'selambo', 'ujung', 'masyarakatnya', 'tahunan', 'telkomsel', 'jaringan', 'internetnya', 'beralih', 'operator', 'sebelah', 'laporan', 'beberap', 'kali', 'prnah', 'ditanggapi', 'telkomsel', 'telp', 'krna', 'menjdi', 'pelanggan', 'itupun', 'kadang', 'responnya', 'jaringan', 'terdaftar', 'parah', '']</t>
  </si>
  <si>
    <t>['signal', 'kadang', 'bagus', 'kadang', 'lemot', 'lemotnya', 'suka', 'hilang', 'signalnya', 'trimakasih']</t>
  </si>
  <si>
    <t>['seneng']</t>
  </si>
  <si>
    <t>['knapa', 'app', 'telkomsel', 'dibuka', 'udh', 'brapa', 'msih', 'tetep', 'buka']</t>
  </si>
  <si>
    <t>['login', 'mytelkomsel', 'why', '']</t>
  </si>
  <si>
    <t>['tolong', 'amanah', '']</t>
  </si>
  <si>
    <t>['bug', 'update', 'ver', 'blank', 'warna', 'putih', 'versi', 'update', '']</t>
  </si>
  <si>
    <t>['gila', 'udah', 'apk', 'buka', 'ngeblank', 'udah', 'update', 'udah', 'reinstal', 'apk', 'buruk']</t>
  </si>
  <si>
    <t>['telkomsel', 'jaringan', 'jelek', 'malem', 'jam', 'samapau', 'jam', 'jaringannya', 'down', 'pakai', 'jaringan', 'telkomsel']</t>
  </si>
  <si>
    <t>['sinyal', 'jelek', 'parah', 'hilang', 'pokok', 'bintang', 'jelek', 'banget', 'sinyal', 'telkom']</t>
  </si>
  <si>
    <t>['sya', 'buka', 'telkomsel', '']</t>
  </si>
  <si>
    <t>['bagus', 'sich', 'telkomsel', 'ribet', 'cek', 'kouta', 'mantap', 'laah']</t>
  </si>
  <si>
    <t>['apk', 'update', 'kebuka', 'blank', 'screen', 'putih', 'giliran', 'update', 'dpt', 'peringatan', 'pas', 'udah', 'update', 'ngblank', 'gini', 'tolong', 'sistem', 'perbaiki', 'seumur', 'telkomsel', 'pnh', 'buka', 'apk', 'lgsung', 'pas', 'baca', 'coment', 'blank', 'layar', 'putih', 'cuman']</t>
  </si>
  <si>
    <t>['diperbarui', 'dibuka', 'halaman', 'putih', 'tolong', 'donk', 'solusinya']</t>
  </si>
  <si>
    <t>['sinyal', 'lemot', 'kayak', 'taik', '']</t>
  </si>
  <si>
    <t>['mantep', 'apknya']</t>
  </si>
  <si>
    <t>['bintang', 'bintang', 'aplikasinya', 'bagus', 'sayang', 'update', 'dibuka', 'aplikasinya', 'kecewa', 'telkomsel', 'bye', 'bye', 'telkomsel', '']</t>
  </si>
  <si>
    <t>['', 'udh', 'aplikasinya', 'udh', 'update', 'sampe', 'bolak', 'alik', 'download', 'heran', 'penjelasannya', 'gimna', 'solusinya']</t>
  </si>
  <si>
    <t>['gamau', 'dibuka']</t>
  </si>
  <si>
    <t>['app', 'ngeblank', 'putih', 'isi', 'kuota', 'gabisa', 'tolong', 'diperbaiki', '']</t>
  </si>
  <si>
    <t>['beli', 'paket', 'data', 'mytelkomsel', 'cpt', 'aman', 'masuk', 'apl', 'lambat', 'loadingnya', 'smoga', 'dpt', 'cpt', 'benahi', '']</t>
  </si>
  <si>
    <t>['unlimeted', 'udah', 'ngga', 'seenak', 'mah', 'batas', 'sewajarnya', 'enak', 'sampe', 'sebulan', 'ful', 'lemot']</t>
  </si>
  <si>
    <t>['', 'telkomsel', 'dibuka', 'layar', 'putih', 'polos', 'sabtu', '']</t>
  </si>
  <si>
    <t>['updated', 'masuk']</t>
  </si>
  <si>
    <t>['hey', 'tsel', 'app', 'tsel', 'update', 'nge', 'lag', 'blank', 'putih', 'buka', 'udah', 'lho', '']</t>
  </si>
  <si>
    <t>['dibaca', 'kasih', 'bintang', 'percumah', 'poin', 'ditukar', 'tukar', 'maaf', 'jaringan', 'sibuk', 'sukses', 'poin', 'lbih', 'tukar', 'ujung', 'disuruh', 'beli', 'pulsa', 'diaplikasi', '']</t>
  </si>
  <si>
    <t>['beli', 'paket', 'telkomsel', 'mahal', 'gratis', 'tolong', 'jaringan', 'perbaiki', 'jaringan', 'gunanya', 'jaringan', 'jelek', 'jelek', 'sampe', 'emosi', '']</t>
  </si>
  <si>
    <t>['', 'telkomsel', 'dibuka', 'kemaren', 'knpa', '']</t>
  </si>
  <si>
    <t>['kasi', 'bintang', 'hadiah', 'telkomsel']</t>
  </si>
  <si>
    <t>['point', 'sayaa', 'udah', 'sampe', 'sayaa', 'nukarr', 'voucher', 'tapu', 'gagal', 'sip', 'guaa', 'mah']</t>
  </si>
  <si>
    <t>['suka', 'cepat']</t>
  </si>
  <si>
    <t>['android', 'nyaaa']</t>
  </si>
  <si>
    <t>['jaringan', 'burik', 'asuuu', 'dodol', 'jaringan', 'buruk', 'modal', 'nama', 'doang', 'internet', 'kek', 'bangssad']</t>
  </si>
  <si>
    <t>['bagus', 'mati']</t>
  </si>
  <si>
    <t>['dibuka', 'linknya', 'ngapain', 'down', 'load', 'sebelumny', 'download', 'skrg', 'diakses', 'sampe', 'keringat']</t>
  </si>
  <si>
    <t>['update', 'dibuka', 'blank', 'layar', 'putih', 'mohon', 'perbaiki', '']</t>
  </si>
  <si>
    <t>['suka', 'banget', 'top', 'deh']</t>
  </si>
  <si>
    <t>['telkomsel', 'slalu', 'mantul']</t>
  </si>
  <si>
    <t>['layar', 'mytelkomsel', 'putih', 'tolong', 'donk', 'perbaiki', '']</t>
  </si>
  <si>
    <t>['membantu', 'trimakasih', 'telkosel', '']</t>
  </si>
  <si>
    <t>['aplikasinya', 'tdak', 'buka', '']</t>
  </si>
  <si>
    <t>['cepet', 'mudah']</t>
  </si>
  <si>
    <t>['pelayanan']</t>
  </si>
  <si>
    <t>['aplikadi', 'bukak', 'udh', 'instal', 'berkali', 'kali', 'hak', 'bukak', 'mohon', 'perbaiki', 'min', 'gampang', 'ber', 'oprasi']</t>
  </si>
  <si>
    <t>['mohon', 'infox', 'telkomsel', 'dibuka']</t>
  </si>
  <si>
    <t>['berguna', 'memudahkan', 'pengguna', 'akses', 'telkomsel']</t>
  </si>
  <si>
    <t>['habis', 'update', 'bukak', 'ngecewain', 'ngak', 'kayak', 'gimana', 'chek', 'paketan', 'beli', 'paketan', 'bukak', 'kayak', 'gini', 'tolong', 'benahi', 'jagan', 'cuman', 'mahal', 'doang', 'layanan', 'buruk']</t>
  </si>
  <si>
    <t>['instal', 'buka', 'stelah', 'kluar', 'sebentar', 'buka', 'mengecewakan', 'pelanggan', '']</t>
  </si>
  <si>
    <t>['tolong', 'diperbaiki', 'buka', 'aplikasi', 'susah', 'banget', 'gabisa', 'uninstal', 'trs', 'download', '']</t>
  </si>
  <si>
    <t>['updatean', 'woi', 'iya', 'storage', 'kau', 'pakai', 'udah', 'gb', 'beralih', 'pwa', 'browser', 'berat', '']</t>
  </si>
  <si>
    <t>['minggu', 'susah', 'internetan', 'kartu', 'telkomsel', 'telkomsel', 'sebagus', 'gini', 'rugi', 'kuota', 'internet', 'mahal', 'jaringan', 'lelet']</t>
  </si>
  <si>
    <t>['kartu', 'telkomsel', 'banget', 'udah', 'mahal', 'paketan', 'sinyalnya', 'jelek', 'banget', 'didalam', 'kamar', 'lokasi', 'perkotaan', 'turet', 'turet', 'sinyal']</t>
  </si>
  <si>
    <t>['aplikasi', 'mytelkomsel', 'dibuka', 'loding', 'muncul', 'ngebank', 'putih', 'mytelkomsel', '']</t>
  </si>
  <si>
    <t>['', 'telkomsel', 'akses', 'kemarin', 'woy', '']</t>
  </si>
  <si>
    <t>['telkomsel', 'sampah', 'pengguna', 'telkomsel', 'memakai', 'dihilangkan', 'kuota', 'unlimited', 'pemakaian', 'bulannya', 'gigamax', 'diganti', 'kuota', 'nonton', 'emang', 'nyari', 'untung', 'gini', 'donk', 'babi', 'zaman', 'kek', 'gini', 'nyesel', 'langganan', 'telkomsel']</t>
  </si>
  <si>
    <t>['tolong', 'perbaiki', 'koneksi', 'sinyal']</t>
  </si>
  <si>
    <t>['tolong', 'admin', 'sdah', 'apk', 'sekrang', 'susah', 'banget', 'buka', 'aplikasinya', 'pas', 'dibuka', 'sekrang', 'buka', 'tolong', 'kecewa', 'penggunanya']</t>
  </si>
  <si>
    <t>['abis', 'update', 'aplikasinya', 'dibuka', 'djancoeg', '']</t>
  </si>
  <si>
    <t>['kemaren', 'sore', 'app', 'telkomsel', 'buka', 'update', 'ulang', 'mhn', 'berkali', 'kali', 'ttp', 'bsa', 'mhn', 'knfmasinya', 'sblm', 'update', 'msh', 'bsa', 'buka', 'stlh', 'update', 'adh', 'lgi']</t>
  </si>
  <si>
    <t>['sgt', 'membantu', 'proses', 'nyaman']</t>
  </si>
  <si>
    <t>['taik', 'telkomsel', 'suka', 'ilang', 'sinyal']</t>
  </si>
  <si>
    <t>['sungguh', 'aplikasi', 'membantu', 'terima', 'kasih', 'telkomsel']</t>
  </si>
  <si>
    <t>['pebaiki', 'lgi', 'daerah', 'suka', 'susah', 'signal']</t>
  </si>
  <si>
    <t>['harian', 'kuota', 'ketengan', 'utama', 'gabisa', 'aktifkan', 'kak', 'sim', 'telkomsel', 'gaada', 'beli', 'paket']</t>
  </si>
  <si>
    <t>['jaringan', 'jelek', 'harga', 'paket', 'mahal']</t>
  </si>
  <si>
    <t>['beli', 'paket', 'telp', 'telp', 'beli', '']</t>
  </si>
  <si>
    <t>['apk', 'membantu', 'murah', 'cepat', 'terimakasih', 'telkomsel']</t>
  </si>
  <si>
    <t>['sinyal', 'putus', 'parah']</t>
  </si>
  <si>
    <t>['pulsa', 'kepotong', 'buka', 'bug', 'gimana', 'maju', 'gini']</t>
  </si>
  <si>
    <t>['aplikasinya', 'terbuka', 'minggu', '']</t>
  </si>
  <si>
    <t>['metode', 'pembayaran', 'mytelkomsel', 'ovo', 'shopeepay', 'dana', 'diupdate', 'memakai', 'ovo', 'pembayaran', 'paket', 'pulsa', '']</t>
  </si>
  <si>
    <t>['pakai', 'saldo', 'bayar', 'google', 'play', 'min', 'berkali', 'kali', 'coba', 'aplikasinya', 'update', 'nyusahin', '']</t>
  </si>
  <si>
    <t>['udah', 'buka', 'telkomsel', 'telkomsel', 'kah', 'eror', 'mohon', 'perbaiki', 'suka', 'beli', 'paketan', 'skrng', 'eror', 'hmm']</t>
  </si>
  <si>
    <t>['amplikasiny', 'bagus', 'tpi', 'mahal']</t>
  </si>
  <si>
    <t>['bayar', 'mahal', 'jaringan', 'kaya', 'ngotak', 'kontol']</t>
  </si>
  <si>
    <t>['', 'white', 'blank', 'cek', '']</t>
  </si>
  <si>
    <t>['membantu', 'bertransaksi']</t>
  </si>
  <si>
    <t>['paket', 'data', 'habis', 'langsung', 'sedot', 'pulsa', 'sedot', 'dompet', 'digital', '']</t>
  </si>
  <si>
    <t>['aplikasi', 'mudah', 'proses', 'transaksi', 'mudah']</t>
  </si>
  <si>
    <t>['kecewa', 'login', 'coba', 'metode', 'login', 'salah', 'dimana', 'woii', '']</t>
  </si>
  <si>
    <t>['', 'mudah', 'mytelkomsel']</t>
  </si>
  <si>
    <t>['ksni', 'paket', 'mahal', 'dikasi', 'aplikasi', 'mytelkomsel', 'beli', 'paket', 'telkomsel', 'pakai', 'telkomsel', 'mesti', 'beda', 'paket', 'dikasi', 'nomor', '']</t>
  </si>
  <si>
    <t>['paan', 'sialan', 'prik', 'aplikasi']</t>
  </si>
  <si>
    <t>['kuota', 'ketengan', 'kuota', 'harian', 'kuota', 'mingguan', 'beli', 'bnyk', 'bohongnya', '']</t>
  </si>
  <si>
    <t>['buka', 'tekomsel', 'warna', 'putih', 'apikasi', '']</t>
  </si>
  <si>
    <t>['masuk', 'aplikasi', 'mytelkomsel', '']</t>
  </si>
  <si>
    <t>['beli', 'paketan', 'giga', 'max', 'khusus', 'game', 'kuota', 'utama', 'swadaya', 'habis', 'disedot', 'main', 'game', 'kuota', 'utama', 'kuota', 'khusus', 'game', 'utuh', 'dipakai', 'parah']</t>
  </si>
  <si>
    <t>['bagus', 'cepat', 'efisien']</t>
  </si>
  <si>
    <t>['membantu', 'ojol', 'indonesia']</t>
  </si>
  <si>
    <t>['kartus', 'telkomsel', 'the', 'best', 'sinyal', 'dimana', 'lancar', 'paketan', 'internet', 'murah', '']</t>
  </si>
  <si>
    <t>['suka', 'promonya']</t>
  </si>
  <si>
    <t>['bagus', 'derah', 'indramayu']</t>
  </si>
  <si>
    <t>['', 'maling', 'make', 'data', 'telkomsel', 'transaksi', 'apapun', 'knapa', 'pulsa', 'ambil', 'dikit', 'tolong', 'knapa', 'kek', 'gitu', 'biarin', 'nge', 'rugiin', 'tambahin', 'fitur', 'lock', 'pulsa', 'pulsa', 'kepotong', 'aneh']</t>
  </si>
  <si>
    <t>['paket', 'dibeli', 'hilang', '']</t>
  </si>
  <si>
    <t>['akses', 'update', '']</t>
  </si>
  <si>
    <t>['ngak', 'instal', 'android', 'semenjak', 'pembaruan', 'android', 'aplikasi', 'hilang', 'instal', 'gimana', 'bos', '']</t>
  </si>
  <si>
    <t>['bagus', 'bermanfaa']</t>
  </si>
  <si>
    <t>['mempermudah', 'memilih', 'paket', '']</t>
  </si>
  <si>
    <t>['ngapain', 'masuk', 'aplikasi', 'suara', 'annoying']</t>
  </si>
  <si>
    <t>['aplikasi', 'diandalkan']</t>
  </si>
  <si>
    <t>['mudah', 'cari', 'kouta', '']</t>
  </si>
  <si>
    <t>['', 'berjslan', 'aplikasi', 'jelek', 'pakai', 'kartu', '']</t>
  </si>
  <si>
    <t>['semoga', 'berhasil']</t>
  </si>
  <si>
    <t>['paraaahh', 'buka', 'blank', 'white', 'screen', 'update', 'oke', 'super', 'duper', 'jelek', '']</t>
  </si>
  <si>
    <t>['telkomsel', 'buka', 'udah', 'apus', 'donwload', 'apus', 'donwload', 'gka', 'buka', 'gimana', 'solusi', 'ribet', 'gua', 'liat', 'sisa', 'kouta', 'beli', 'kouta', '']</t>
  </si>
  <si>
    <t>['aplikasi', 'blank', 'putih', 'gagal', 'checkout', 'suka', 'motong', 'pulsa', 'sinyal', 'buruk', 'panggilan', 'darurat']</t>
  </si>
  <si>
    <t>['beli', 'kuota', 'sehari', 'beli', 'jam', 'malem', 'aktif', 'jam', 'naha', 'sampe', 'jam', 'malem', 'besoknya', 'rungkad', 'siti']</t>
  </si>
  <si>
    <t>['susah', 'masuk', 'ampunnnn', 'isi', 'pket', 'dataaa', 'masuk', '']</t>
  </si>
  <si>
    <t>['aplikasi', 'telkomsel', 'payah', 'diakses', 'komplen', 'perbaikan', 'perbaikan', 'suruh', 'menghubungi', 'woy', 'kerja', 'operatornya', '']</t>
  </si>
  <si>
    <t>['aplikasi', 'seminggu', 'buka']</t>
  </si>
  <si>
    <t>['bagus', 'aplikasinya', 'memuaskan']</t>
  </si>
  <si>
    <t>['benerin', 'cek', 'kuota', 'log', 'daily', 'point', 'ajaa', 'ngeblank', 'mulu', 'udah', 'gara', 'gara', 'semenjak', 'diperbarui', 'burik', 'aplikasinya']</t>
  </si>
  <si>
    <t>['mantap', 'telkomsel', 'membantu', 'konsumen', 'thank']</t>
  </si>
  <si>
    <t>['upgrade', 'aplikasi', 'mytelkomsel', 'langsung', 'dibuka', 'white', 'screen', 'aneh', 'mohon', 'diperbaiki', 'kasi', 'bintang', 'diperbaiki', 'kasi', 'bintang', 'terimakasih', '']</t>
  </si>
  <si>
    <t>['apk', 'telkomsel', 'buka', 'tgl', 'tlg', 'konfirmasi', '']</t>
  </si>
  <si>
    <t>['paket', 'mahal', 'sinyal', 'abal', 'abal']</t>
  </si>
  <si>
    <t>['sumpah', 'respect', 'banget', 'telkomsel', 'harga', 'mahal', 'sebanding', 'sinyalnya', 'lambat', 'tinggal', 'daerah', 'perkotaan', 'hutan', 'tolong', 'perbaiki', 'jaringan', 'sinyal', 'terimakasih']</t>
  </si>
  <si>
    <t>['telkomsel', 'payah', 'sinyalnya', 'buka', 'aplikasi', 'lemot', 'mending', 'pakai', 'byu', 'kawan', 'bagus']</t>
  </si>
  <si>
    <t>['diperbarui', '']</t>
  </si>
  <si>
    <t>['gimana', 'telkomsel', 'isi', 'pulsa', 'kepotong', 'tinggal', 'gimana', '']</t>
  </si>
  <si>
    <t>['bsa', 'buka', 'yaa', '']</t>
  </si>
  <si>
    <t>['bosok', 'dibuka', 'diuninstal', 'trs', 'instal', 'ttp', 'dibuka', 'profesional', '']</t>
  </si>
  <si>
    <t>['top', 'membantu']</t>
  </si>
  <si>
    <t>['mengaktifkan', 'paket', 'darurat', 'aktif', 'mengisi', 'pulsa', 'langsung', 'terpotong', 'parah', 'nihhh']</t>
  </si>
  <si>
    <t>['kecewa', 'aplikasi', 'buka', 'paketan', 'angus', 'parah']</t>
  </si>
  <si>
    <t>['promonya', 'mengecewakan']</t>
  </si>
  <si>
    <t>['telkomsel', 'teruninstal', 'instal', 'gagal', '']</t>
  </si>
  <si>
    <t>['telkomsel', 'reinstall', 'kali', 'tetep', 'kenak', 'tolong', 'diperbaiki', 'jka', 'error', 'system', '']</t>
  </si>
  <si>
    <t>['babi', 'jan', 'ngespam', 'sms', 'ajg', 'kontol', '']</t>
  </si>
  <si>
    <t>['update', 'nge', 'bug', 'pas', 'cek', 'pas', 'udh', 'cek', 'pulang', 'lgi', 'hati', 'tolong', 'fungsi', 'pesan', 'telkomsel', 'hilangkan', 'ngak', 'udh', 'kirimin', 'pesan', 'via', 'sms', 'jga', 'kirim', 'pesan', 'via', 'telkomsel', '']</t>
  </si>
  <si>
    <t>['tolong', 'paket', 'kuota', 'youtube', '']</t>
  </si>
  <si>
    <t>['aplikasinya', 'dibuka', 'putih', 'tok', 'tampilannya']</t>
  </si>
  <si>
    <t>['kenpa', 'dibuka', 'aplikasi', 'telkosel']</t>
  </si>
  <si>
    <t>['mahal', 'data', 'update', 'mahal', 'pindah', 'operator']</t>
  </si>
  <si>
    <t>['mohon', 'maaf', 'dibuka', 'semenjak', 'perbarui']</t>
  </si>
  <si>
    <t>['apk', 'murah', 'hot', 'promonya']</t>
  </si>
  <si>
    <t>['udh', 'bagus', 'menu', 'kadang', 'buka', 'app', 'bug', 'crash', 'ganggu', 'banget', 'mohon', 'secepatnya', 'diperbaiki']</t>
  </si>
  <si>
    <t>['tolong', 'perbaiki', 'layar', 'telkomsel', 'pas', 'buka', 'putih', 'tolong', 'perbaiki']</t>
  </si>
  <si>
    <t>['membantu', 'memuaskan']</t>
  </si>
  <si>
    <t>['blank', 'mohon', 'pengembang', 'memperbaikinya']</t>
  </si>
  <si>
    <t>['paket', 'adil', 'kartu', 'sma', 'istri', 'paketnya', 'murah', 'istri', 'beli', 'sma', 'dou', '']</t>
  </si>
  <si>
    <t>['perbarui']</t>
  </si>
  <si>
    <t>['bagus', 'update', 'dibuka', 'mentok', 'layar', 'putih']</t>
  </si>
  <si>
    <t>['ditingkatkan', 'program', 'diskon']</t>
  </si>
  <si>
    <t>['', 'install', '']</t>
  </si>
  <si>
    <t>['paketnya', 'mahal', 'kek']</t>
  </si>
  <si>
    <t>['mahal', 'lemot', 'mantavv']</t>
  </si>
  <si>
    <t>['gratisan', 'min', '']</t>
  </si>
  <si>
    <t>['habis', 'update', 'buka', 'blank', 'white', 'screen', '']</t>
  </si>
  <si>
    <t>['bagus', 'pelayanan', 'tiadk', 'main', 'internet', 'langsung', 'abis', 'gb']</t>
  </si>
  <si>
    <t>['internet', 'ngelag', 'padahl', 'reinstall', 'kali', 'mohon', 'dijlaskan', 'app', 'berguna', 'isi', 'data']</t>
  </si>
  <si>
    <t>['buka', 'sinyal', 'stabil', 'hilang', 'harga', 'paket', 'mahal', 'pelayanan', 'buruk', 'mohon', 'perbaiki']</t>
  </si>
  <si>
    <t>['membantu', 'pembelian', 'penggunaanx', 'berkomunikasi', 'berharap', 'paket', 'murah', 'membantu', 'kalangan', 'mahasiswa', 'mahasiswi', '']</t>
  </si>
  <si>
    <t>['kecewa', 'ujan', 'dikit', 'internet', 'lelet', 'jakarta', 'hutan', '']</t>
  </si>
  <si>
    <t>['update', 'apdate', 'buka', 'blank', 'hapus', 'trus', 'instal', 'blank']</t>
  </si>
  <si>
    <t>['apps', 'dibuka']</t>
  </si>
  <si>
    <t>['coba', 'dlo', 'ntr', 'bagus', 'kaaih', 'bintang']</t>
  </si>
  <si>
    <t>['paket', 'combo', 'murahin', 'donk', '']</t>
  </si>
  <si>
    <t>['baguss', 'banget', 'gampang', 'beli', 'paket']</t>
  </si>
  <si>
    <t>['mantap', 'combonya', 'diaktipkan']</t>
  </si>
  <si>
    <t>['membantu', 'mudah', 'ngecek', 'sisa', 'pulsa', '']</t>
  </si>
  <si>
    <t>['update', 'aplikasi', 'dibuka', 'aplikasi', 'tolong', 'diperbaiki', 'kecewa']</t>
  </si>
  <si>
    <t>['menghebohkan']</t>
  </si>
  <si>
    <t>['aplikasi', 'parah', 'buka', '']</t>
  </si>
  <si>
    <t>['bagus', 'sihh', 'mahal', '']</t>
  </si>
  <si>
    <t>['denganmu', 'telkomsel', 'memudahkan', 'karna', 'cek', 'kuota', 'pls', 'ribet', 'tinggal', 'buka', 'apk', 'knp', 'udh', 'bbrp', 'gabisa', 'dibuka', 'gabisa', 'cek', 'gabisa', 'dapet', 'bonus', 'deh', 'hadehh', 'layarnya', 'putih', 'mulu', 'ganti', 'kek', 'warna', 'warni', 'variasi', 'kzl']</t>
  </si>
  <si>
    <t>['', 'kasih', 'tebaik']</t>
  </si>
  <si>
    <t>['kak', 'telkomsel', 'buka']</t>
  </si>
  <si>
    <t>['dapet', 'promo', 'nii']</t>
  </si>
  <si>
    <t>['aplikasinya', 'berguna']</t>
  </si>
  <si>
    <t>['perbanyak', 'promonya', 'paket', 'data', 'all', 'network', 'promo', 'paket', 'nelpon', '']</t>
  </si>
  <si>
    <t>['aplikasi', 'bagus', 'cepat']</t>
  </si>
  <si>
    <t>['jaringan', 'perbaiki', 'beli', 'data', 'mahal', 'sinyal', 'merugikan', '']</t>
  </si>
  <si>
    <t>['koneksinya', 'jalan', 'min', 'batang', 'penuh', 'tolong', 'perbaiki', 'cepat', 'min', 'ujian']</t>
  </si>
  <si>
    <t>['yaa', 'paket', 'malahl', 'mahal', 'ribu', 'ribu', 'ribet', 'banget', 'mohon', 'tindak', '']</t>
  </si>
  <si>
    <t>['dipakai', 'sistem', 'android', '']</t>
  </si>
  <si>
    <t>['tanggal', 'des', 'des', 'buka', 'aplikasi', 'telkomsel', 'blank', 'white', '']</t>
  </si>
  <si>
    <t>['sinyal', 'sring', 'ilang', 'ngegame', 'ngelag', 'maunya']</t>
  </si>
  <si>
    <t>['tolong', 'tambahin', 'fitur', 'pulsa', 'safe']</t>
  </si>
  <si>
    <t>['mudah', 'mantap', '']</t>
  </si>
  <si>
    <t>['', 'dpt', 'instal', 'mytelkomsel', 'sdgkn', 'laen', 'thx']</t>
  </si>
  <si>
    <t>['app', 'dpt', 'buka', 'apakh', 'versi', 'kompatibel', 'samsung', 'poin', 'knp', 'jdi', 'payah', 'app', 'telkomsel', 'pnggunaan', 'bat', 'gegara', 'app', 'sampe', 'berhnti', 'fungsinya', 'suka', 'app', 'telkomsel', '']</t>
  </si>
  <si>
    <t>['telkomsel', 'jaringan', 'apes', 'banget', 'mending', 'pindah', 'cui']</t>
  </si>
  <si>
    <t>['buruk', 'jaringannya', 'telkomsel', 'buruk', 'mending', 'pindah', 'propider', 'pindah', '']</t>
  </si>
  <si>
    <t>['jaringan', 'joss', 'gandos', 'kontolnya', 'kau', 'anjeeenk']</t>
  </si>
  <si>
    <t>['telkomsel', 'login', 'mohon', 'bantuan', 'bos']</t>
  </si>
  <si>
    <t>['perbarui', 'perbarui']</t>
  </si>
  <si>
    <t>['sehabis', 'update', 'dibuka', 'blank', 'putih', 'udah', 'berkali', 'clear', 'data', 'tetep', 'blank', 'putih', '']</t>
  </si>
  <si>
    <t>['bagus', 'koin', 'tukar']</t>
  </si>
  <si>
    <t>['tarif', 'mahal', 'kayak', 'murah', 'performa', 'bagus', '']</t>
  </si>
  <si>
    <t>['telkomsel', 'dibuka', 'putih', 'doang', 'tolong', 'solusinya']</t>
  </si>
  <si>
    <t>['pulsa', 'gua', 'isep', 'gua', 'telpon', 'sms', 'paket', 'kuota', 'internet', 'pulsa', 'gua', 'rahib', 'telkomsel', 'pencuri']</t>
  </si>
  <si>
    <t>['telkomsel', 'pelayanan', 'buruk', 'nggak', 'solusi', 'managernya', 'penakut', 'mengambil', 'kebijakan', 'pejabat', '']</t>
  </si>
  <si>
    <t>['beli', 'paketan', 'data', 'enak', 'murah']</t>
  </si>
  <si>
    <t>['kauta', 'unlimited', 'pakai', 'kauta', 'unlimited', 'pakai', '']</t>
  </si>
  <si>
    <t>['sinyal', 'oke', 'joss', 'trimakasih', 'telkomsel']</t>
  </si>
  <si>
    <t>['apknya', 'ngga', 'bagus', 'udah', 'rusak', 'update', 'apknya', 'dibuka', 'tolong', 'diperbaiki']</t>
  </si>
  <si>
    <t>['aplikasi', 'telkomsel', 'buka', 'gimana']</t>
  </si>
  <si>
    <t>['alhamdulillah', 'manfaat', 'trimks']</t>
  </si>
  <si>
    <t>['aplikasi', 'mytelkomsel', 'mendadak', 'uninstall', 'install', 'aplikasi', 'normal', 'tolong', 'penjelasannya', '']</t>
  </si>
  <si>
    <t>['aplikasi', 'pengguna', 'telkomsel', 'mengecek', 'kuota', 'paket', 'internet']</t>
  </si>
  <si>
    <t>['bagus', 'mudah', 'akses']</t>
  </si>
  <si>
    <t>['msh', 'coba', 'bagus', 'ksh', 'bintang']</t>
  </si>
  <si>
    <t>['', 'bagus', 'oke', 'kasih', 'lgi']</t>
  </si>
  <si>
    <t>['telkomsel', 'buka', 'pelayanan', 'mengecewakan', '']</t>
  </si>
  <si>
    <t>['woy', 'telkomsel', 'jaringan', 'benerin', 'main', 'sinyal', 'laq']</t>
  </si>
  <si>
    <t>['saran', 'keras', 'kmuu', 'telkomsel', 'mending', 'harga', 'paket', 'kmu', 'turunin', 'main', 'game', 'jaringan', 'kuota', 'mahal', 'jaringan', 'beli', 'kuota', 'mahal', 'mahal', 'kasih', 'sinyal', 'main', 'game', 'onet', 'ngeleg', 'main', 'pubg', 'bales', 'chat', 'read', 'read', 'ngk', 'respon', '']</t>
  </si>
  <si>
    <t>['parah', 'sinyal', 'telkomsel', '']</t>
  </si>
  <si>
    <t>['mantap', 'membntu']</t>
  </si>
  <si>
    <t>['kecewa', 'bgni']</t>
  </si>
  <si>
    <t>['gimana', 'normal', 'tmpilan', 'blank', 'white', 'ngk', 'kepake', 'gimana', '']</t>
  </si>
  <si>
    <t>['minggu', 'kemarin', 'aplikasi', 'telkomsel', 'kemarin', 'update', 'buka', 'samsung', 'kesalahan', 'jaringan', 'emang', 'kesalahan', 'apk', 'sampe', 'kali', 'hapus', 'diwnload', 'tetep', 'masuk', 'trima', 'kasih', 'semoga', 'cepat', 'perbaiki', '']</t>
  </si>
  <si>
    <t>['app', 'eror', 'gara', 'app', 'telkomsel', 'app', 'google', 'playstore', 'dll', 'berhenti', 'maap', 'ane', 'uninstal', 'eror', 'ane', '']</t>
  </si>
  <si>
    <t>['update', 'error', 'gambar', 'putih', 'doang', '']</t>
  </si>
  <si>
    <t>['pengguna', 'promo', 'kasih', 'bintang', '']</t>
  </si>
  <si>
    <t>['top', 'telkomsel']</t>
  </si>
  <si>
    <t>['ganti', 'ponsel', 'akses', 'telkomsel']</t>
  </si>
  <si>
    <t>['koq', 'telkomsel', 'ngga', 'dbuka']</t>
  </si>
  <si>
    <t>['harga', 'mahal', 'koneksi', 'lelet']</t>
  </si>
  <si>
    <t>['', 'pakai', 'kouta', 'telkomsel', 'pakai', 'jaringannya', 'berubah', 'parah', 'jeleknya', 'teman', 'pakai', 'telkomse', 'sarankan', 'pakai', 'klau', 'habis', 'koutanya', 'pindah', 'deh']</t>
  </si>
  <si>
    <t>['tuker', 'koin', 'kuota', '']</t>
  </si>
  <si>
    <t>['aplikasi', 'update', 'tgl', 'gabisa', 'dipakai', 'blank', 'putih', 'apps', 'uninstall', 'install', 'ulang', 'mohon', 'perbaikannya', '']</t>
  </si>
  <si>
    <t>['udah', 'mahal', 'ngelag', 'mahal', 'tpi', 'ngelag', 'gapapa', 'notif', 'sms', 'mulu', 'tolong', 'perbaiki', 'telkomsel', 'skarang', 'beda', '']</t>
  </si>
  <si>
    <t>['aplikasinya', 'harga', 'paketnya', 'murah', '']</t>
  </si>
  <si>
    <t>['bagus', 'poin', 'belanja']</t>
  </si>
  <si>
    <t>['sinyalnya', 'tiarap']</t>
  </si>
  <si>
    <t>['telkomsel', 'apknya', 'lemot', 'beli', 'data', 'pakai', 'gopay', 'jam', 'penctin', 'ganti', 'metode', 'muncul', 'muncul']</t>
  </si>
  <si>
    <t>['jaringan', 'lambat', 'update', 'parah', 'hrusnya', 'update', 'bagus', 'mlah', 'kecewa', 'bgini', 'pengguna', 'telkomsel']</t>
  </si>
  <si>
    <t>['telkomsel', 'tingkatkan', 'sinyal', 'merah', 'boss', 'cuaca', 'mendung', 'dropp', 'jaringan']</t>
  </si>
  <si>
    <t>['payah', 'buka']</t>
  </si>
  <si>
    <t>['pelanggan', 'kasih', 'bintang', 'dlu', 'semoga', 'pelayanan', 'bermanfaat']</t>
  </si>
  <si>
    <t>['sinyal', 'jelek', 'susah', 'ngeblank', 'trus', 'tlong', 'donk', 'sesuaikan', 'tarif', 'trif', 'mhal', 'layanan', 'minim', 'sinyal', 'tersendat', '']</t>
  </si>
  <si>
    <t>['hai', 'ngasih', 'solusi', 'bermasalah', 'apk', 'tolong', 'download', 'versi', 'karna', 'versi', 'terbaru', 'emg', 'bermasalah', 'mengalami', 'blang', 'putih', 'masuk', 'terima', 'kasih']</t>
  </si>
  <si>
    <t>['ntah', 'membuka', 'aplikasi', 'berwarna', 'putih', 'masuk', 'beranda', '']</t>
  </si>
  <si>
    <t>['sungguh', 'kecewa', 'beli', 'paket', 'main', 'game', 'gamemax', 'mahal', 'pakai', 'aplikasi', 'makan', 'untung', 'download']</t>
  </si>
  <si>
    <t>['tolong', 'perbaiki', 'sinyal', '']</t>
  </si>
  <si>
    <t>['kouta', 'nonton', 'lokal', 'nonton', 'youtube', 'sedot', 'kouta', 'internet', '']</t>
  </si>
  <si>
    <t>['semoga', 'mantulll', '']</t>
  </si>
  <si>
    <t>['pantesan', 'skrg', 'bnyak', 'paket', 'murah', 'sinyal', 'internet', 'anjlok', 'parah', 'kecewa']</t>
  </si>
  <si>
    <t>['jdi', 'buka']</t>
  </si>
  <si>
    <t>['streessss', 'beli', 'kuota', 'mahal', 'sinyal', 'ampas', 'unlimited', 'pakai', 'limit', 'point', 'tukar', 'pulsa', 'isi', 'kuota', 'ngga', 'permainan', 'kau', 'telkomsel', 'emang', 'sinyal', 'buatlah', 'harga', 'murah', 'udah', 'mahal', 'sinyal', 'lemot', 'emang', 'sinyal', 'telkom', 'oke', 'nyaman', 'pakai', 'mengontollll', 'ngga', 'mengontollll', 'stresss']</t>
  </si>
  <si>
    <t>['aduu', 'telkomseku', 'menghilang', 'buka', '']</t>
  </si>
  <si>
    <t>['telkomnyet', 'jaringan', 'jelek', 'harga', 'mahal', 'kecewa', 'telkomnyet', '']</t>
  </si>
  <si>
    <t>['kekuatan', 'sinyalnya', 'tolong', 'perbaharui', 'sinyanya', 'bagus']</t>
  </si>
  <si>
    <t>['sayangnya', 'paketan', 'internet', 'buka', 'ngecek', 'pulsa', 'paket', 'data']</t>
  </si>
  <si>
    <t>['bosan', 'pakai', 'kartu', 'mahal', 'mending', 'mahal', 'bnyak', 'kouta', 'uda', 'mahal', 'kasih', 'kouta', 'sikit', 'naek', 'haji', '']</t>
  </si>
  <si>
    <t>['pengguna', 'masukkan', 'telkomsel', 'tetep', 'suru', 'masukkan', 'telkomsel', 'udah', 'telkomsel', 'pusing', '']</t>
  </si>
  <si>
    <t>['sya', 'kurngin', 'bintangnya', 'krna', 'kecewa', 'dngn', 'plyanan', 'tdinya', 'bagus', 'tpi', 'skrng', 'jdi', 'krng', 'bgus']</t>
  </si>
  <si>
    <t>['membantu', 'pengisian', 'ulang', 'paket', 'data']</t>
  </si>
  <si>
    <t>['buka', 'aplikasinya', 'blank', 'putih', '']</t>
  </si>
  <si>
    <t>['', 'telkomsenya', 'knpa', 'paket', 'daftar', 'kuotanya', 'namba', 'dlu', 'cumn', 'skrng', 'mlah', 'nmba', 'tolong', 'benerin', '']</t>
  </si>
  <si>
    <t>['pinjam', 'kuato', 'bayar']</t>
  </si>
  <si>
    <t>['hallo', 'mengunakan', 'samsung', 'membuka', 'aplikasi', 'buka', 'layar', 'putih', 'mohon', 'dibantu', 'diperbaiki', 'sistem', 'aplikasi', 'thanks']</t>
  </si>
  <si>
    <t>['', 'telkomsel', 'amazing', 'paket', 'data', 'pulsa', 'ngilang']</t>
  </si>
  <si>
    <t>['nomor', 'mencoba', 'menghubungi', 'operator', 'chat', 'oprator', 'balasan', 'skali', 'proses', 'selesaikan', 'konvirmasi', '']</t>
  </si>
  <si>
    <t>['', 'masukin', 'telkomsel', 'msh', 'suruh', 'masukan', 'telkomsel', 'anehh', 'perbaiki', 'aplikasinya']</t>
  </si>
  <si>
    <t>['', 'telkomselnya', 'install', 'jalan', 'install', '']</t>
  </si>
  <si>
    <t>['pengguna', 'telkomsel', 'senang', 'layanan', 'telkomsel', 'jaringan', 'suka', 'ngilang', 'jaringan', 'lemot', '']</t>
  </si>
  <si>
    <t>['pulsa', 'tersedot', 'pakai', 'internet', 'paket', 'internet', 'kondisi', 'membingungka', '']</t>
  </si>
  <si>
    <t>['kecewa', 'beli', 'kuota', 'kepake', 'cuman', 'internet', 'lokal', 'internet', 'sosmednya', 'pakai']</t>
  </si>
  <si>
    <t>['lemot', 'jaringan']</t>
  </si>
  <si>
    <t>['bbrapa', 'telkomsel', 'nggak', 'buka', 'muncul', 'layar', 'putih', 'doang', 'phala', 'update', 'ininstal', 'instal', 'lgi', 'ttep', 'sja', 'muncul', 'layar', 'putih', 'doang', 'tolong', 'memberbaiki', 'telkomsel', 'lgi', '']</t>
  </si>
  <si>
    <t>['jaringan', 'telkomsell', 'ngajak', 'gelut', 'pketan', 'doang', 'mahal', 'jaringan', 'kayak', 'taiii']</t>
  </si>
  <si>
    <t>['aplikasinya', 'jelek', 'kayak', 'sinyalnya', 'pemakaian', 'data', 'mahal', '']</t>
  </si>
  <si>
    <t>['kasih', 'bintang', 'telkomsel', 'adil', 'buka', 'sosmed', 'youtube', 'dll', 'sisa', 'kuota', 'bonus', 'mati', 'bula', 'lalod', 'main', 'payah', 'paket', 'bonus', 'khusus', 'sosmed', 'youtube', 'dll', 'sisa', 'kuota', 'bonus', 'lalod', 'kayak', 'kehabisan', 'kuota', 'buka', 'sosmed', 'dll', 'sekian']</t>
  </si>
  <si>
    <t>['selasa', 'bajunya', 'meriah', 'baju', 'meriah', 'mukanya', 'murung', 'insyallah', 'bismillah', 'semoga', 'beruntung', 'beli', 'bando', 'lulu', 'kumbang', 'dirumah', 'juju', 'semoga', 'sukses', 'berkah', 'maju', 'lupa', 'follow', 'ikutan', 'yuk', 'amanda', 'clube']</t>
  </si>
  <si>
    <t>['turunin', 'harga', 'donk']</t>
  </si>
  <si>
    <t>['telkomsel', 'semaking', 'kacau', 'sinyal', 'stabil', 'ngedrop', 'udah', 'kaya', 'swasta', 'bumn', 'bersaing', 'paket', 'mahalin', 'malu', 'swasta']</t>
  </si>
  <si>
    <t>['telkomsel', 'nggak', 'dibuka', 'coba', 'dowload', 'ulang', 'buka', 'munculnya', 'layar', 'blank', 'trus', 'aplikasi', 'ribet', 'cek', 'kuota', 'thn', 'berlangganan', 'telkomsel', '']</t>
  </si>
  <si>
    <t>['gimana', 'instal', 'mahal', 'sinyal', 'ilang', '']</t>
  </si>
  <si>
    <t>['lanjutkan', 'kuota', 'murah', 'akses', 'internet', 'pulau', 'terluar', 'indonesia']</t>
  </si>
  <si>
    <t>['semoga', 'kedepannya', 'bagus', 'signal', '']</t>
  </si>
  <si>
    <t>['membantu', 'membeli', 'paket']</t>
  </si>
  <si>
    <t>['kecewa', 'sinyal', 'telkomsel', 'jelek', 'tenang', 'im', 'menemani', 'lm', 'solusi', 'kayak', 'telkomsel', 'mahal', 'lag', 'gegame', 'weplay', '']</t>
  </si>
  <si>
    <t>['kecewa', 'banget', 'jaringan', 'telkomsel', 'ngelag', 'kadang', 'putus', 'koneksi', 'cuman', 'logo', 'update', 'jaringannya', 'nggak', 'update', '']</t>
  </si>
  <si>
    <t>['abis', 'update', 'buka', 'apk', 'mytelkomsel']</t>
  </si>
  <si>
    <t>['promonya', 'pulsanya', 'mencukupi', 'coba', 'mendaftar', 'via', 'sms', 'app', 'pulsa', 'via', 'beda', 'harga', 'mendaftar', 'paket', 'promonya', 'dipakai', 'lucu', 'sekelas', 'telkomsel', 'gini', '']</t>
  </si>
  <si>
    <t>['app', 'samsung', 'update', 'terbaru', 'mohon', 'informasinya', 'min', '']</t>
  </si>
  <si>
    <t>['semoga', 'mimpi', 'kenyataan', 'amin']</t>
  </si>
  <si>
    <t>['pengguna', 'langganan', 'telkomsel', 'aplikasi', 'tanggal', 'desember', 'masuk', 'cek', 'kouta', 'login', 'layarnya', 'putih', 'kouta', 'besok', 'ujian', 'sekolah', 'tanggal', 'desember', 'tolong', 'kecewa', 'dadakan', 'tolong', 'perbaikin', 'sengaja', 'rating', 'perbaikan', 'app']</t>
  </si>
  <si>
    <t>['kasi', 'bintang', 'jaringan', 'telkomsel', 'sekaran', 'tamba', 'buruk', 'buka', 'internet', 'patah', 'patah', '']</t>
  </si>
  <si>
    <t>['paket', 'data', 'habis', 'pulsa', 'pulsa', 'tersedot', '']</t>
  </si>
  <si>
    <t>['kualitas', 'jaringan', 'telkomsel', 'kabupaten', 'kepulauan', 'talaud', 'sampah', 'keuntungan', 'rakyat', '']</t>
  </si>
  <si>
    <t>['promo', 'paki', 'internet', 'tlp']</t>
  </si>
  <si>
    <t>['sampah', 'aplikasi', 'udh', 'uninstal', 'download', 'not', 'responding', 'aman']</t>
  </si>
  <si>
    <t>['sinyal', 'kntolllllllllllll', 'gua', 'maen', 'pas', 'menang', 'sinyal', 'mlh', 'ngelag', 'kntollllllll', 'ank', 'kntolllll', 'telkomsel', 'haramnmmmnmmmmnm', 'gua', 'sumpahin', 'masuk', 'neraka', 'kntollllllllllll', 'kgk', 'sinyal', 'coeg', 'kntolllllllllllll', 'telkomsel', 'kntolllllllllllll', 'kgk', 'otak', 'sinyal', 'haram', 'venorita', 'kntolllllllllllll']</t>
  </si>
  <si>
    <t>['', 'ribet', 'pokonya', 'good']</t>
  </si>
  <si>
    <t>['semoga', 'bermanfaat', 'berkah', 'pengguna', 'telkomsel', '']</t>
  </si>
  <si>
    <t>['jaringan', 'buruk', 'kecewa', 'udah', 'beli', 'kuota', 'mahal', 'mahal', 'pelayanan', 'jaringan', 'buruk', '']</t>
  </si>
  <si>
    <t>['install', 'unistall', 'aplikadi', 'telkomsel', 'tetep', 'ngga', 'kebuka', 'sebenernya', 'sbg', 'pengguna', 'capek', 'pulsa', 'ilang', 'ngontrol', 'kaya', 'mihon', 'perbaiki']</t>
  </si>
  <si>
    <t>['maaf', 'kak', 'kasih', 'rating', 'bintang', 'kak', 'download', 'apk', 'telkomsel', 'sedih', 'banget', '']</t>
  </si>
  <si>
    <t>['', 'bner', 'gau', 'jaringan', 'gb', 'nglag', 'anjng', 'mikir', 'bngst']</t>
  </si>
  <si>
    <t>['perbaikilah', 'sinyalmu', 'harga', 'kuota', 'internet', 'naikin']</t>
  </si>
  <si>
    <t>['telkomsel', 'terbaik', 'pelayanan', 'jaringan', 'oke', 'bangets', 'harganya', 'terjangkau', 'buka', 'aplikasi', '']</t>
  </si>
  <si>
    <t>['bagus', 'memudahkan', 'beli', 'paket', 'pulsa']</t>
  </si>
  <si>
    <t>['jaringannya', 'mlh', 'susah', 'gini', 'bagus', 'kampung', 'skarangg', 'hadehhh', 'buka', 'apk', 'susahnya', 'ampun', 'gws', 'telkomsel']</t>
  </si>
  <si>
    <t>['mantul', 'mudah', 'maketin']</t>
  </si>
  <si>
    <t>['jaringan', 'telkom', 'kek', 'kont', '']</t>
  </si>
  <si>
    <t>['nnya', 'lupa', 'bayar', 'tagihan', 'kartu', 'halo', 'ketahuan', 'tanda', 'sinyal', 'kartu', 'halo', 'hilang', 'bayar', 'tagihannya', 'hilang', 'sinyalnya', 'mohon', 'infonya', 'admin', 'aktif']</t>
  </si>
  <si>
    <t>['jaringan', 'gangguan', 'udah', 'giliran', 'jaringan', 'mulus', 'sejam', 'langsung', 'syukuran', 'gini']</t>
  </si>
  <si>
    <t>['login', 'tod', 'anjinggg', 'nunggu']</t>
  </si>
  <si>
    <t>['kesini', 'payah', 'sinyalnya', 'suka', 'kadang', 'lemooooooottt']</t>
  </si>
  <si>
    <t>['telkomsel', 'sinyalnya', 'udah', 'make', 'karti', 'telkomsel', 'udah', 'cuman', 'kesini', 'mendingan', 'ganti', 'kartu']</t>
  </si>
  <si>
    <t>['dasar', 'telkomsel', 'masak', 'jaringan', 'gini', 'lelet', 'sakit', 'hati', 'liat']</t>
  </si>
  <si>
    <t>['baguss', 'aplikasi', 'telkomsel']</t>
  </si>
  <si>
    <t>['bagus', 'banget', 'ribet']</t>
  </si>
  <si>
    <t>['males', 'telkom', 'anjjj', 'mlm', 'sinyal', 'jelekkk', 'maen', 'game']</t>
  </si>
  <si>
    <t>['buka', 'aplikasi', 'error']</t>
  </si>
  <si>
    <t>['mytelkomsel', 'dibuka', 'muncul', 'gambar', 'putih', 'mohon', 'mytelkomsel', 'kasih', 'penyebabnya', 'terima', 'kasih']</t>
  </si>
  <si>
    <t>['paket', 'mahal', 'jaringan', 'pante', '']</t>
  </si>
  <si>
    <t>['', 'dibuka', 'uninstal', 'reinstal', 'tetep', 'dibuka']</t>
  </si>
  <si>
    <t>['jaringan', 'lgi', 'siih', 'telkom', 'smpek', 'capek', 'liat', 'jaringan', 'stabil', 'trus', 'kartu', 'mahal', 'tpi', 'jaringan', 'stabil', 'merugikan', 'penggunanya', 'lancar', 'nonton', 'video', 'online', 'kegiatan', 'lemotnya', 'kelewatan', 'tolong', 'mslah', 'dri', 'telkom', '']</t>
  </si>
  <si>
    <t>['jaringan', 'bagus', 'banget', 'desa', 'tpi', 'sayang', 'mahal', 'beli', 'pkt', 'nabung', '']</t>
  </si>
  <si>
    <t>['jaringannya', 'sulit', 'diandalkan', 'diwilayah', 'pelosok']</t>
  </si>
  <si>
    <t>['tolong', 'centernya', 'tolong', 'gini', 'masak', 'pulsa', 'kesedot', 'isi', 'beli', 'internet', 'kesedot', 'karna', 'gara', 'restart', 'pliss', 'dikembalikan', 'pulsa']</t>
  </si>
  <si>
    <t>['kecewa', 'seminggu', 'buka', 'aplikasi', 'paket', 'data', 'mahal', 'kecewa', '']</t>
  </si>
  <si>
    <t>['gangguan', 'sistem', 'bsa', 'bli', 'pket']</t>
  </si>
  <si>
    <t>['buka', 'mytelkomsel', 'login', 'tolong', 'diperbaiki']</t>
  </si>
  <si>
    <t>['jaringan', 'jelek', 'harga', 'paketnya']</t>
  </si>
  <si>
    <t>['aplikasihnya', 'bagus', 'cuman', 'buka', 'ngebug']</t>
  </si>
  <si>
    <t>['data', 'internet', 'matikan', 'internetan', 'wifi', 'pulsa', 'berkurang', 'aplikasinya', 'lemot', 'muncul', 'item', 'pembelian', 'jaringan', 'stabil', 'kenceng']</t>
  </si>
  <si>
    <t>['jaringan', 'burik', 'mahal', 'iya', 'bagus', 'kagak', '']</t>
  </si>
  <si>
    <t>['', 'telkomsel', 'dibuka', 'pdahal', 'uninstal', 'trus', 'instal', 'tetep', 'dibuka', 'tolong', 'diperbaiki']</t>
  </si>
  <si>
    <t>['min', 'aplikasi', 'telkomsel', 'buka', '']</t>
  </si>
  <si>
    <t>['sya', 'twrima', 'kasi']</t>
  </si>
  <si>
    <t>['nge', 'blank', 'koneksi', 'lemot', 'hadeuh', 'telkomsel', '']</t>
  </si>
  <si>
    <t>['tolong', 'munculin', 'paketannya', 'lengkap']</t>
  </si>
  <si>
    <t>['memudahkan', 'kuota', 'inet', 'promo', 'mksh']</t>
  </si>
  <si>
    <t>['', 'pengguna', 'apk', 'telkomsel', 'sngt', 'kecewe', 'sinyal', 'ngeleg', 'internet', 'lemot', 'maen', 'game', 'ngeleg', 'bantuan', 'udah', 'menghubungi', 'telkomsel', 'ngeleg', 'tolong', 'cpt', 'diperbaiki', 'ganti', 'kartu', 'terimakasih', '']</t>
  </si>
  <si>
    <t>['maaf', 'mbak', 'knp', 'telkomsel', 'hapus', 'install', 'kuota', 'internet']</t>
  </si>
  <si>
    <t>['pengguna', 'setia', 'telkomsel', 'pindah', 'kartu', 'telkomsel', 'singal', 'buruk', 'trutama', 'daerah', 'lampung', 'selatan', 'seharus', 'terkait', 'memperbaiki', 'keluhan', 'keluhan', 'pengguna', 'perubahan', 'tanggapi', 'persaingan', 'bersaing', 'tinggal', 'menunggu', 'kebangkrutan', '']</t>
  </si>
  <si>
    <t>['baqus', 'lelet']</t>
  </si>
  <si>
    <t>['tolong', 'harga', 'kuota', 'trs', 'dinaikan', 'niatan', 'menurunkan', 'stay', 'harga', 'tolong', 'pelanggan', 'berasal', 'beragam', 'golongan', '']</t>
  </si>
  <si>
    <t>['hallo', 'telkomsel', 'senyal', 'teh', 'benerin', 'orang', 'emosi', 'beli', 'kouta', 'gb', 'senyal', 'teh', 'jelek', '']</t>
  </si>
  <si>
    <t>['', 'bagus', 'mksi']</t>
  </si>
  <si>
    <t>['telkomsel', 'maaf', 'banget', 'paketan', 'mahal', 'sinyal', 'jelek', 'banget', 'banding', 'tri', 'tolong', 'mahalnya', 'doang', 'sinyal', 'lag']</t>
  </si>
  <si>
    <t>['habis', 'update', 'error', 'ndak', 'dibuka', 'aplikasinya']</t>
  </si>
  <si>
    <t>['buka', 'telkomsel', 'layarnya', 'putih', '']</t>
  </si>
  <si>
    <t>['telkomsel', 'aplikasinya', 'ngeblank', 'pembaruan', 'fitur', 'kak', 'ngeblank', 'tolong', 'makasih', '']</t>
  </si>
  <si>
    <t>['mempermudah', 'urusan']</t>
  </si>
  <si>
    <t>['sinyal', 'suka', 'ngilang', 'kosong', 'ngda', 'skli', 'pdhl', 'ngda', 'badai', 'mati', 'lampu', 'trus', 'paket', 'mahal', 'kartu', 'ngda', 'beli', 'telkomsel', 'ngk', 'ngotak', 'ngasih', 'pilihan', 'paket', 'udh', 'snyl', 'ganguan', 'paket', 'mahal']</t>
  </si>
  <si>
    <t>['versi', 'jelek', 'buka', 'gagal', 'gaagal', 'pusing', 'bukanya', 'mempermudah', 'susah']</t>
  </si>
  <si>
    <t>['kah', 'telkomsel', 'jaringan', 'satunya', 'bagus', 'menunggu', 'indosat', 'jaringannya', 'stabil', 'sultra', 'udah', 'stabil', 'bye', 'bye', 'telkomcrot', 'mahal', 'paket', 'data', 'daerah', 'timur', '']</t>
  </si>
  <si>
    <t>['apk', 'udah', 'berfungsi', 'kecewa', 'banget', 'ahh', 'udah', 'buka']</t>
  </si>
  <si>
    <t>['mantap', 'betll', 'aplikasi']</t>
  </si>
  <si>
    <t>['min', 'knapa', 'mengakses', 'aplikasi', 'mytelkomsel', 'udah', 'uninstal', 'coba', 'daftar', 'paket', 'pulsa', 'pdahal', 'pulsanya', '']</t>
  </si>
  <si>
    <t>['tolong', 'dok', 'perbaikan', 'jaringannya', 'pengguna', 'setia', 'telkomsel', 'kecewa', 'kualitas', 'jaringan', 'telkomsel', 'buruk', 'wilayah', 'pali', 'sumatra', 'selatan', 'desa', 'tlng', 'akar', 'akses', 'internet', 'nonton', 'youtube', 'bermain', 'games', 'online', 'slalu', 'terkendala', 'hilang']</t>
  </si>
  <si>
    <t>['paket', 'multimedia', 'pakai', 'game', 'sosmed', 'pdhl', 'tertera', 'keterangan', 'sampaahh']</t>
  </si>
  <si>
    <t>['paket', 'data', 'mahal', 'mningkat', 'kecewa', '']</t>
  </si>
  <si>
    <t>['dibuka', 'samsung', 'app', 'berat', 'lancar', 'app', 'berguna', '']</t>
  </si>
  <si>
    <t>['kode', 'sms']</t>
  </si>
  <si>
    <t>['tolong', 'npa', 'bukak', 'komen']</t>
  </si>
  <si>
    <t>['bagus', 'suka', 'aplikasinya']</t>
  </si>
  <si>
    <t>['telkomsel', 'orang', 'emosi', 'beli', 'paket']</t>
  </si>
  <si>
    <t>['pengguna', 'telkomsel', 'setia', 'kayanya', 'beralih', 'pembelian', 'pulsa', 'terpotong', 'pulsanya', '']</t>
  </si>
  <si>
    <t>['telkomsel', 'jaya', 'semoga', 'terdepan']</t>
  </si>
  <si>
    <t>['asli', 'parah', 'ngembangin', 'bisnis', 'sah', 'sah', 'layanan', 'meningkat', 'donk', 'tolong', 'donk', 'telkomsel', 'pelanggan', 'kecewa', 'jaringan', 'telkomsel', 'kabur', 'provider', 'pelanggan']</t>
  </si>
  <si>
    <t>['semoga', 'berkah', 'telkomsel']</t>
  </si>
  <si>
    <t>['memuaskan', 'pelayanannya', 'tawarkan', 'trus', 'paket', 'paket', 'internet']</t>
  </si>
  <si>
    <t>['mohon', 'tingkatkan', 'kualiatas', 'sinyal', 'internetnya', 'bosku']</t>
  </si>
  <si>
    <t>['paraaahhh', 'sekian', 'simpati', 'kali', 'jelek', 'jaringanya', 'beli', 'paket', 'internet', 'bayar', 'tolong', 'perbaiki', 'kecewa', '']</t>
  </si>
  <si>
    <t>['kebanyakan', 'promo', 'keluhan', 'pelanggan', 'dibiarkan', '']</t>
  </si>
  <si>
    <t>['paketan', 'murah', 'trimakasih', '']</t>
  </si>
  <si>
    <t>['lemot', 'salah', 'dimana', 'vendor', 'pakai', 'telkomsel', 'mahal', 'istimewa', 'telkomsel', '']</t>
  </si>
  <si>
    <t>['bitntang', 'tolong', 'telkomsel', 'perbaiki', 'jaringanya', 'kyak', 'babi', 'binatang', 'telkomsel']</t>
  </si>
  <si>
    <t>['problem', 'pas', 'login', 'telkomsel', 'white', 'screen', 'beli', 'pulsa', 'kagak', 'masuk', 'penjual', 'pulsa', 'masuk', 'kak', 'tolong', 'jon', 'benerin', '']</t>
  </si>
  <si>
    <t>['bukanya', 'bet', 'white', 'screen', 'ngebug', 'tolong', 'minn', 'perbaiki', 'kualitas', 'internet', 'bagus', 'banget', '']</t>
  </si>
  <si>
    <t>['perbanyak', 'promo', 'laris']</t>
  </si>
  <si>
    <t>['bagus', 'rekomendasi']</t>
  </si>
  <si>
    <t>['pengguna', 'telkomsel', 'mengaku', 'kecewa', 'telkomsel', 'ngomongnya', 'unlimited', 'ngak', 'terbatas', 'habis', 'tanggal', 'pemakaiannya', '']</t>
  </si>
  <si>
    <t>['paket', 'promo']</t>
  </si>
  <si>
    <t>['telkomsel', 'telkomsel', 'ancur', 'gini', 'date', 'wis', 'blank', 'buka', 'aplikasi', 'layar', 'isi', 'alias', 'putih', 'tih', 'tih', 'tihhhhh']</t>
  </si>
  <si>
    <t>['maaf', 'kurangi', 'bintang', 'membeli', 'paket', 'combo', 'sakti', 'mahal', 'pembelian', 'combo', 'sakti', 'mahal', '']</t>
  </si>
  <si>
    <t>['', 'pertingat', 'kualitas', 'siyal', 'boss']</t>
  </si>
  <si>
    <t>['telkomsel', 'jaringannya', 'nomer', 'kecewa', 'sinyal', 'terjamin', 'hujan', 'lemot', 'banget', 'sinyalnya', 'tolong', 'diperbaiki', 'jaringannya', 'kuat', 'sinyalnya']</t>
  </si>
  <si>
    <t>['semangat', 'telkomsel', 'terkomsel', 'the', 'best', '']</t>
  </si>
  <si>
    <t>['aplikasi', 'membatu', 'harganya', '']</t>
  </si>
  <si>
    <t>['terimakasih', 'telkomsel', 'lelet', 'saingan']</t>
  </si>
  <si>
    <t>['telkomsel', 'pakai', 'yaa', '']</t>
  </si>
  <si>
    <t>['babi', 'gara', 'ping', 'gua', 'lngsung', 'drop', 'gua', 'kalah', 'mmr', 'gua', 'turun', 'anjg', 'gblk', 'udh', 'gua', 'nyaman', 'bermain', 'game', '']</t>
  </si>
  <si>
    <t>['jumat', 'buka', 'telkomsel', 'white', 'screen', 'uda', 'reinstall', 'sampe', 'bbrp', 'kali', 'uda', 'update', 'ttp', 'kenpa', 'uda', 'update', 'telkomsel', 'ttp', 'white', 'screen', 'ngebug', 'kadang', 'buka', 'aplikasi', 'aplikasi', 'lemot', 'banget', 'uda', 'sampe', 'matiin', 'idup', 'matiin', 'ttp', 'tolong', 'telkomsel', 'ditindak', 'lanjuti', 'ganti', 'provider', 'dlu', 'terimakasih', '']</t>
  </si>
  <si>
    <t>['min', 'aplikasinya', 'terbuka']</t>
  </si>
  <si>
    <t>['jaringan', 'ditempat', 'tinggal']</t>
  </si>
  <si>
    <t>['udah', 'telkomsel', 'isi', 'pulsa', 'kena', 'potongan', 'pindah', 'operator', 'murah', 'terpecaya']</t>
  </si>
  <si>
    <t>['min', 'tolong', 'perbaiki', 'bug', 'apk', 'pelanggan', 'kecewa', 'bangt', 'bug', 'gini', 'tanganin']</t>
  </si>
  <si>
    <t>['pakek', 'telkomsel', 'ngisi', 'pulsa', 'pakek', 'habis', 'menerus', 'pakek', '']</t>
  </si>
  <si>
    <t>['iklan', 'cek', 'apk', 'promo', 'tawarkan', 'kecewa']</t>
  </si>
  <si>
    <t>['pulsa', 'rb', 'beli', 'paket', 'data', 'harga', 'rb']</t>
  </si>
  <si>
    <t>['update', 'dibuka', 'aplikasinya', 'layar', 'putih', 'tolong', 'diperbaiki', 'aplikasinya', 'dibuka', 'diupdate', 'nyesel', 'update']</t>
  </si>
  <si>
    <t>['heran', 'telkomsel', 'paket', 'data', 'multimedia', 'kesisa', 'sekita', 'gb', 'paket', 'kemendikbud', 'gb', 'sadar', 'kuota', 'utama', 'uda', 'abis', 'buka', 'apk', 'disaat', 'biasaya', 'buka', 'apk', 'include', 'paket', 'tersisa', 'jaringan', 'down', 'apk', 'lemot', 'akses', 'telkomsel', 'memotong', 'pulsa', 'biaya', 'akses', 'apk', 'include', 'pulsa', 'uda', 'ilang', 'kecewa', '']</t>
  </si>
  <si>
    <t>['', 'minahasa', 'mati', 'lampu', 'serasa', 'dalem', 'goa', 'trus', 'turun', 'ngga', 'kecepatannya']</t>
  </si>
  <si>
    <t>['telkomsel', 'telkomsel', 'telkomsel', 'jaringan', 'kenceng', 'banget', 'sinyal', 'namanya', 'lemot', 'telkomsel', 'download', 'upload', 'lemot', 'parah', 'kecepatan', 'mb', 'detik', 'mentok', 'kb', 'detik', 'download', 'upload', 'lemot', 'kb', 'detik', 'parah', 'main', 'game', 'online', 'ping', 'jujur', 'kecewa', 'telkomsel', 'udah', 'jaringan', 'lemot', 'harga', 'kuota', 'mahal', '']</t>
  </si>
  <si>
    <t>['paketnya', 'terjangkau', 'sinyal', 'bagus', 'pokoknya', 'mantap', 'jiwa', '']</t>
  </si>
  <si>
    <t>['kali', 'download', 'hasilnya', 'ngga', 'bukaaaa', 'memuat', 'halaman', 'maaf', 'kesalahan', 'system', 'poin', 'hapus', 'ngga', 'beban', 'memory', 'internalku', '']</t>
  </si>
  <si>
    <t>['matul', 'membantu']</t>
  </si>
  <si>
    <t>['aplikasi', 'sampah', 'pulsa', 'potong', 'beli', 'kouta', 'koutanya', 'masuk', 'jam', 'malu', 'kayak', 'gtu', 'telkomsel', 'kouta', 'mahal', 'pelayanan', 'sampah', '']</t>
  </si>
  <si>
    <t>['bukak', 'aplikasibya', '']</t>
  </si>
  <si>
    <t>['jaringan', 'busuk']</t>
  </si>
  <si>
    <t>['aplikasinya', 'hilang', 'upgrade', 'android', 'diinstall', 'mohon', 'diperbaiki']</t>
  </si>
  <si>
    <t>['telkomsel', 'maling', 'pulsa', 'asuu', 'ngapa', 'ngapain', 'sedut', 'pulsa', 'gua', 'cari', 'uang', 'halal']</t>
  </si>
  <si>
    <t>['jaringan', 'internet', 'main', 'game', 'pakai', 'telkomsel', 'jaringan', 'ilang', 'mending', 'pakai', 'provider', 'deh', 'teleponan', 'gpp', '']</t>
  </si>
  <si>
    <t>['seminggu', 'buka', 'aplikasi', 'tampilan', 'layar', 'warna', 'putih', 'detik', 'aplikasi', 'langsung', 'logout', 'aplikasi', '']</t>
  </si>
  <si>
    <t>['', 'pribadi', 'udh', 'puas', 'apk', 'jaringan', 'cuman', 'miggu', 'jaringan', 'telkomsel', 'lag', 'tolong', 'perbaiki', 'pelanggan', 'membeli', 'kuota', 'uang', 'telkomsel', 'mohon', 'perbaiki', 'jaringannya', 'udh', 'segitu', 'makasih']</t>
  </si>
  <si>
    <t>['hbis', 'perbarui', 'aplikasi', 'telkomsel', 'buka', '']</t>
  </si>
  <si>
    <t>['setia', 'mohon', 'pket', 'kuota', 'murahin', 'dikiiitt', 'ahhhh', 'overall', 'okeee']</t>
  </si>
  <si>
    <t>['white', 'blank', 'udh', 'bbrp', 'hri', 'bgtu', 'uninstall', 'install', 'restart', 'ttp', 'white', 'blank']</t>
  </si>
  <si>
    <t>['gimana', 'biyar', 'buka']</t>
  </si>
  <si>
    <t>['komplain', 'email', 'chat', 'stuck', 'logo', 'log', 'nanya', 'bertele', 'tele', 'jam', 'menunggu', 'solusi', 'hasil', 'responnya', 'selamat', 'indra', 'yabg', 'magabut', 'solusi', 'pertahankan', 'kinerja', 'semoga', 'mengalami', 'alami', 'kecewa', 'pelayanan', 'telkomsel', '']</t>
  </si>
  <si>
    <t>['telkomsel', 'aplikasinya', 'ngeblank']</t>
  </si>
  <si>
    <t>['standar', 'bagus', 'aduh', 'costumer', 'service', 'nilainya', 'payah', 'telkomsel', 'pemotongan', 'pulsa', 'daily', 'penyelesaian', 'telkomsel', 'spt', 'formalitas', 'selesai', 'bintangnya', '']</t>
  </si>
  <si>
    <t>['update', 'nggak', 'buka', 'enak', 'pakai', 'versi', 'kebuka', 'aplikasinya']</t>
  </si>
  <si>
    <t>['sinyal', 'parah', 'rumah', 'telkom', 'jln', 'panjaitan', 'deh', 'hrs', 'coment', 'respont', 'pengaduan', 'sinyal', 'telkomsel']</t>
  </si>
  <si>
    <t>['mengikuti', 'pembaharuan', 'sulit', 'buka', 'aplikasi', 'telkomsel']</t>
  </si>
  <si>
    <t>['mengecewakan', 'aplikasi', 'telkomse']</t>
  </si>
  <si>
    <t>['jaringannya', 'lelet', 'skali', 'hmmmm', 'suka', '']</t>
  </si>
  <si>
    <t>['canggih', 'bersaing', 'keleletan', 'kelemotan', 'internetnya', 'mantap', 'lanjutkan', '']</t>
  </si>
  <si>
    <t>['kecewa', 'telkom', 'skrng', 'jaringan', 'sampe', 'suka', 'mati', 'nyala', 'mati', 'nyala', 'ngisi', 'voucer', 'telkom', 'kuota', 'sampe', 'skrng', 'blm', 'masuk']</t>
  </si>
  <si>
    <t>['aplikasi', 'telkomsel', 'hilang', 'install', 'bolak', 'gagal']</t>
  </si>
  <si>
    <t>['prabayar', 'migrasi', 'pascabayar', 'mudahnya', 'via', 'telpon', 'pas', 'udah', 'pascabayar', 'prabayar', 'non', 'aktifkan', 'grapari', 'hilang', 'nomer', 'cantikku', 'nyesel', '']</t>
  </si>
  <si>
    <t>['mksh', 'udah', 'bagus', 'pelayanannya', 'telkomsel', '']</t>
  </si>
  <si>
    <t>['tbtb', 'telkomselnya', 'ter', 'uninstal', 'nyoba', 'download', 'gagal', 'tolong', 'diperbaiki', '']</t>
  </si>
  <si>
    <t>['tolonglah', 'telkomsel', 'masak', 'pulsa', 'safe', 'asik', 'internet', 'paket', 'habis', 'otomatis', 'pulsa', 'terkuras', 'lihatlah', 'provider', 'sebelah', 'nyaman', 'menggunakannya', 'takut', 'pulsa', 'habis', 'terkuras', 'pas', 'kuota', 'habis']</t>
  </si>
  <si>
    <t>['min', 'telkomsel', 'milik', 'buka', 'cuman', 'layar', 'putih', 'doang', 'buka', 'muncul', 'pengguna', 'telkomsel', 'kecewa', '']</t>
  </si>
  <si>
    <t>['harga', 'paket', 'turunin', '']</t>
  </si>
  <si>
    <t>['diupdate', 'dibuka', 'putih', 'doang', '']</t>
  </si>
  <si>
    <t>['versi', 'apk', 'telkomsel', 'bertujuan', 'akses', 'jelek', 'alias', 'orang', 'miskin', 'orang', 'kaya', 'bagus', 'suport', '']</t>
  </si>
  <si>
    <t>['sinyal', 'bagus', 'parah', 'jaringan', 'smartfren', 'menang', 'mahal', 'doang']</t>
  </si>
  <si>
    <t>['bintang', 'transaksi', 'pembelian', 'paket', 'data', 'aplikasi', 'diselesaikan', 'mohon', 'diperbaiki', 'sistemnya', 'terima', 'kasih', '']</t>
  </si>
  <si>
    <t>['kesini', 'internetnya', 'stabil', 'suka', 'telkomsel']</t>
  </si>
  <si>
    <t>['', 'kasih', 'ati', 'bintang', 'kasih', 'bintang', 'karna', 'aplikasinya', 'vangke', 'banget', 'buka', 'ngeblank', 'putih', 'telkomsel', 'gini', 'banget', 'puluhan', 'parah', 'telkomsel', 'tinggal', 'pelanggan', 'kali', 'paraaaahh', 'aaaah', 'banget', 'jelek', 'kesel', 'kesini', 'telkomsel']</t>
  </si>
  <si>
    <t>['hot', 'game']</t>
  </si>
  <si>
    <t>['aplikasinya', 'lelet', 'buka', 'aplikasi', 'loading', 'susah', '']</t>
  </si>
  <si>
    <t>['operator', 'jaringan', 'stabil', 'daerah', '']</t>
  </si>
  <si>
    <t>['telkomsel', 'skrg', 'aneh', 'motong', 'pulsa', 'daftar', 'paket', 'aktifkan', 'data', 'cellular']</t>
  </si>
  <si>
    <t>['', 'telkomsel', 'dibuka', 'tolong', 'diperbaiki', 'kali', 'buka', 'white', 'screen', 'error']</t>
  </si>
  <si>
    <t>['udah', 'keren', 'sistem', 'lock', 'pulsa', 'kuota', 'abis', 'ngampil', 'pulsa', 'plis', 'kutunggu', 'update']</t>
  </si>
  <si>
    <t>['gmnaa', 'telkomsel', 'masuk', 'layar', 'putih']</t>
  </si>
  <si>
    <t>['lumayan', 'membantu', 'pengguna', 'jaringan', 'indosat']</t>
  </si>
  <si>
    <t>['pilihan', 'paket', 'internet', 'mudah']</t>
  </si>
  <si>
    <t>['membantu', 'tegang']</t>
  </si>
  <si>
    <t>['gimana', 'beli', 'kuota', 'game', 'mlbb', 'pas', 'main', 'mlbb', 'kuota', 'game', 'berkurang', 'ngehabisin', 'kuota', 'reguler', 'tolong', 'perbaiki', 'beli', 'kuota', 'game', 'terpakai']</t>
  </si>
  <si>
    <t>['membantu', 'pelanggan', 'paket', 'combo', 'sakti', 'telepon', 'sms', 'dihilangkan', '']</t>
  </si>
  <si>
    <t>['', 'update', 'bagus', 'mengecewakan', 'masuk', 'aplikasi', 'susah', 'kadang', 'suka', 'ngeblank', 'white', 'screen', 'trus', 'skrg', 'kuota', 'internet', 'omg', 'ngilang', 'aplikasi', 'telkomsel', 'beli', 'kuota', 'tlpon', 'customer', 'service', 'bikinin', 'laporan', 'muncul', 'internet', 'omg', 'ntar', 'ngilang', 'please', 'tingkatkan', '']</t>
  </si>
  <si>
    <t>['murah', 'beli', 'telkomsel']</t>
  </si>
  <si>
    <t>['sinyal', 'butut', 'parah', 'jelek', 'lemot', 'paket', 'mahal', 'pelayanan', 'memuaskan', 'sinyal', 'kalah', 'sma', 'negri', 'jiran', 'maxis', 'jauhhhhhhhh']</t>
  </si>
  <si>
    <t>['sekara', 'download', 'telkomsell', 'kemarin', 'download']</t>
  </si>
  <si>
    <t>['pulsa', 'terpotong', 'persetujuan', 'isi', 'pulsa', 'tgl', 'des', 'cek', 'pulsa', 'tinggal', 'pulsanya', 'min', '']</t>
  </si>
  <si>
    <t>['semoga', 'umur']</t>
  </si>
  <si>
    <t>['berlangganan', 'bertahun', 'kesini', 'paketnya', 'mahal', 'mahal', 'pindah', 'sebelah', 'udah', 'sinyal', 'jelek', 'paketnya', 'mahal', 'kasih', 'murah', 'paketnya', 'berlangganan']</t>
  </si>
  <si>
    <t>['ngebug', 'mulu', 'duh', 'udal', 'berlangganan', 'banget', 'telkomsel', 'apkikasinya', 'kebuka', 'beli', 'paket', 'data', 'coba', 'perbaiki', 'aplikasi', 'telkomselnya', 'canggih', 'utamakan', 'kenyamanan', 'pelanggan', 'min', '']</t>
  </si>
  <si>
    <t>['membantu', 'skli']</t>
  </si>
  <si>
    <t>['kecewa', 'banget', 'beli', 'pulsa', 'langsung', 'kepotong', 'extra', 'monetary', 'apalah', 'gimana', 'nonaktifkan', 'paket', 'otomatis', 'ngepotong', 'pulsa', 'gitu', 'emang', 'gini', 'telkomsel', 'mengecewakan', 'pakai', 'fitur', 'ask', 'veronika', 'menbantu', 'pecat', 'fitur', 'veronika']</t>
  </si>
  <si>
    <t>['kecewa', 'pengguna', 'telkomsel', 'kali', 'isi', 'ulang', 'paket', 'data', 'telkomsel', 'jaringan', 'mengecewakan', 'stabil', 'mohon', 'diperbaiki', '']</t>
  </si>
  <si>
    <t>['parah', 'semenjak', 'update', 'aplikasi', 'dibuka']</t>
  </si>
  <si>
    <t>['kecewa', 'banget', 'ngisi', 'pulsa', 'pas', 'buka', 'telkomsel', 'langsung', 'habis', 'pas', 'buka', 'telkomsel', 'pulsa', 'nyoba', 'lakukan', 'pembelian', 'biaa', 'ulang', 'pulsanya', 'udah', 'habis']</t>
  </si>
  <si>
    <t>['suka', 'telkomsel', 'jdi', 'mudah', '']</t>
  </si>
  <si>
    <t>['gimana', 'applikasinya', 'nggak', 'ngerasa', 'uninstal', 'applikasi', 'pas', 'paketin', 'kuota', 'cari', 'telkomselnya', 'nggak', 'trs', 'playstore', 'instal', 'instal', 'nggak', 'nggak', 'banget', 'deh', 'error', 'telkomsel', '']</t>
  </si>
  <si>
    <t>['jaringan', 'lelet', 'parah', 'ngeluh', 'njink', '']</t>
  </si>
  <si>
    <t>['aplikasi', 'dibuka', 'solusi', '']</t>
  </si>
  <si>
    <t>['min', 'aplikasi', 'telkomsel', 'dibuka']</t>
  </si>
  <si>
    <t>['sinyal', 'jelek', 'harga', 'mahal']</t>
  </si>
  <si>
    <t>['operator', 'taii', 'kesini', 'jelek', 'bohongnya', 'beli', 'paket', 'internet', 'isinya', 'kuota', 'utama', 'unlimited', 'nonton', 'sosmed', 'tiktok', 'kuota', 'utama', 'habis', 'aneh', 'parahnya', 'beli', 'paket', 'khusus', 'sosmed', 'tiktok', 'itupun', 'habis', 'kuota', 'utama', 'kuota', 'sosmed', 'kecepatan', 'jaringannya', 'beda', 'harga', 'paket', 'ngk', 'murah', 'tolong', 'diperbaiki', 'yaa']</t>
  </si>
  <si>
    <t>['kuota', 'ter', 'mahal']</t>
  </si>
  <si>
    <t>['kerja', 'unlimited', 'youtube', 'memuaskan']</t>
  </si>
  <si>
    <t>['hai', 'telkomsel', 'kesini', 'sinyalmu', 'mengkhawatirkan', 'buruk', 'rumah', 'dkt', 'bandara', 'desa', 'sinyal', 'ancur']</t>
  </si>
  <si>
    <t>['udah', 'hr', 'apk', 'bsa', 'buka', 'tolong', 'donk', 'diperbaiki', 'kesini', 'susah', 'wifi']</t>
  </si>
  <si>
    <t>['saran', 'aplikasi', 'mytelkomsel', 'tambahan', 'pitur', 'kunci', 'pulsa', 'sadar', 'paket', 'habis', 'pulsanya', 'internet', 'ajah', 'kejadian', 'rb', 'pulsa', 'kepake', 'internet', 'paket', 'habis']</t>
  </si>
  <si>
    <t>['bagus', 'telkomsel', 'terimakasih']</t>
  </si>
  <si>
    <t>['aplikasi', 'ngblank', 'perbarui', 'ttp', 'instal', 'ulang', 'ttp', 'warna', 'putih', 'bener', '']</t>
  </si>
  <si>
    <t>['sumpah', 'lho', 'kesel', 'banget', 'main', 'ngelagnya', 'maen', 'sekolah', 'susah', 'beli', 'mahal', 'mahal', 'kualitasnya', 'gini', 'beli', 'unlimited', 'sosmed', 'game', 'ngelagnya', 'ampun', 'dahlah', '']</t>
  </si>
  <si>
    <t>['tolong', 'perbaiki', 'sinyal', 'telkomsel', 'ngisi', 'pulsa', 'tpi', 'snyl', 'jelek', 'mah', 'pusing', '']</t>
  </si>
  <si>
    <t>['paket', 'mahal', 'beli', 'jaringan', 'eror', 'kartu']</t>
  </si>
  <si>
    <t>['okeh', 'sanagt', 'membantu', 'daya']</t>
  </si>
  <si>
    <t>['mytelkomsel', 'diupgrade', 'buka']</t>
  </si>
  <si>
    <t>['gila', 'diupdate', 'masuk', 'layar', 'putih', 'sampe', 'gpp', 'tersakiti', '']</t>
  </si>
  <si>
    <t>['praktis', 'notifikasi', 'cepat']</t>
  </si>
  <si>
    <t>['aplikasi', 'error', 'akses', '']</t>
  </si>
  <si>
    <t>['maki', 'goubloug', 'sinyalnya', 'yahh']</t>
  </si>
  <si>
    <t>['tolong', 'fix', 'android', 'diinstal', '']</t>
  </si>
  <si>
    <t>['biji', 'skrng', 'kasih']</t>
  </si>
  <si>
    <t>['bintang', 'berubah', 'susah', 'masuk', 'nge', 'blank', 'white', 'screen', 'gitu', 'doang', 'teruuussss', '']</t>
  </si>
  <si>
    <t>['selamat', 'sore', 'kartu', 'telkomsel', 'aplikasi', 'telkomsel', 'download', 'puas', 'aplikasi', 'resah', 'karna', 'membeli', 'paket', 'data', 'habis', 'pulsa', 'tersisa', 'terpotong', 'mohon', 'telkomsel', 'memperhatikan', 'membuatkan', 'pengaturan', 'mangorbankan', 'pulsa', 'paket', 'data', 'habis', 'nyaman', 'pulsa', 'tersisa', '']</t>
  </si>
  <si>
    <t>['aplikasi', 'telkomsel', 'diperbaharui', 'dibuka', 'dibantu', 'kah', 'ptogram', 'beta', 'penuh', 'perbaharui', 'aplikasinya']</t>
  </si>
  <si>
    <t>['kasi', 'bintang', 'apl', 'membantu', 'download', 'pas', 'isi', 'pket', 'lgi', 'buka', 'layar', 'putih', 'doang', 'auto', 'hapus', 'apl']</t>
  </si>
  <si>
    <t>['paketan', 'combo', '']</t>
  </si>
  <si>
    <t>['sinyal', 'telkomsel', 'kadang', 'bagus', 'kadang', 'buruk', 'maless', '']</t>
  </si>
  <si>
    <t>['mempermudah', 'tuk', 'mengulas', 'telkomsel', 'data', 'promo', 'bonusnya']</t>
  </si>
  <si>
    <t>['mudah', 'mudahan', 'berkembang', 'aplikasi', 'telkomsel', 'hati', 'jaya', 'jaya', 'mudah', 'mudahan', 'pembelian', 'datanya', 'murah', '']</t>
  </si>
  <si>
    <t>['reset', 'pabrik', 'donload', 'tlkomsel', 'buka', 'tolong', 'sarannya', 'gimna', 'bukanya']</t>
  </si>
  <si>
    <t>['bagus', 'kesana', 'jelek', 'beli', 'pulsa', 'paketin', 'data', 'zonk', 'pulsa', 'hilang', 'paketan', 'data', 'hilang', 'bagimana', 'solusi', '']</t>
  </si>
  <si>
    <t>['telpon', 'kartu', 'halo', 'karna', 'jelek', 'dibatasi', 'bayar', 'tgl', 'distop', 'smpe', 'tgl', 'bayar', 'pokonya', 'mesnyesal', 'berhenti', 'aktif', 'nga', 'solusinya']</t>
  </si>
  <si>
    <t>['blank', 'aplikasinya', 'dipake']</t>
  </si>
  <si>
    <t>['ditingkatkan', 'pelanggan', 'cek', 'kartunya', 'combo', 'sakti', 'jualan', 'combo', 'sakti', 'telkomsel']</t>
  </si>
  <si>
    <t>['susah', 'dibuka', 'gmn', 'neh', 'telkm', 'tlg', 'perbaiki', 'kualitas', '']</t>
  </si>
  <si>
    <t>['habis', 'update', 'dibuka', 'warna', 'putih', 'doank', 'versi', 'gagal', 'min', 'tlng', 'dievaluasi', 'versiny', '']</t>
  </si>
  <si>
    <t>['banyakan', 'promo', 'kartu', 'simpati', '']</t>
  </si>
  <si>
    <t>['bintang', 'telkom', 'daerah', 'lompat', 'gitu', 'sinyalnya', 'menit', 'lompat', 'menit', 'gimana', 'nyaman', 'telkom', 'sinyal', 'kek', 'gini', 'parah', 'parah', '']</t>
  </si>
  <si>
    <t>['jaringan', 'telkomsel', 'taik', 'main', 'game', 'online', 'ping', 'taik', 'paket', 'data', 'mahal', 'tolong', 'perbaiki', 'jaringan', 'telkomsel', 'meresahkan']</t>
  </si>
  <si>
    <t>['aplikasi', 'doang', 'update', 'sinyal', 'down', 'terimakasih', 'telkomnyet']</t>
  </si>
  <si>
    <t>['bug', 'pas', 'buka', 'jaringan', 'langsung', 'ilang', '']</t>
  </si>
  <si>
    <t>['aplikasi', 'mytelkomsel', 'install', '']</t>
  </si>
  <si>
    <t>['jaringan', 'stabil', 'main', 'game', 'payahhhhh', 'sinyal', 'stabil']</t>
  </si>
  <si>
    <t>['sayang', 'bayar', 'pakai', 'virtual', 'account', 'hrs', 'bayar', 'pakai', 'aplikasi', 'muter', 'muter', 'kaya', 'entut', '']</t>
  </si>
  <si>
    <t>['kasi', 'bintang', 'apk', 'updated', 'updated', 'tolong', 'gimana', 'updated', '']</t>
  </si>
  <si>
    <t>['alhamdulillah', 'apk', 'bagus', 'beli', 'paket', 'data', 'murmer', 'pilihannya', 'terima', 'kasih', 'telkomsel']</t>
  </si>
  <si>
    <t>['jaringan', 'telkomsel', 'ngeleg', 'ngeleg', 'kualitas', 'jaringan', 'kuota', 'spek', 'bagus', 'main', 'game', 'ngeleg']</t>
  </si>
  <si>
    <t>['lumayan', 'murah']</t>
  </si>
  <si>
    <t>['slalu', 'mnganggu', 'orang', 'habis', 'paket', 'beli', 'dak', 'kasih', 'iklan', '']</t>
  </si>
  <si>
    <t>['pakai', 'apk', 'nyesekkkkk']</t>
  </si>
  <si>
    <t>['keren', 'promo']</t>
  </si>
  <si>
    <t>['', 'diakses', 'blank', 'white', 'screen', 'trus', 'uninstall']</t>
  </si>
  <si>
    <t>['kartu', 'mahal', 'sinyal', 'busuk']</t>
  </si>
  <si>
    <t>['paket', 'unlimited', 'gamemax', 'sesuai', 'bermain', 'game', 'berjalan', 'semestinya', 'lag', 'membayar', '']</t>
  </si>
  <si>
    <t>['update', 'berat', 'ancok', 'ngasu', '']</t>
  </si>
  <si>
    <t>['aplikasinya', 'bagus', 'sekli']</t>
  </si>
  <si>
    <t>['aplikasi', 'dibuka', 'tampilan', 'layar', 'ngeblang', 'trus', 'udah', 'instal', 'instal', 'ulang', 'tetepnsama', 'ajah']</t>
  </si>
  <si>
    <t>['telkomsel', 'sinyal', 'lag', 'parah', 'pakek', 'telkomsel', 'mahal', 'tpi', 'burik']</t>
  </si>
  <si>
    <t>['paket', 'mifi', 'dihilangkan', 'update']</t>
  </si>
  <si>
    <t>['habis', 'update', 'appnya', 'rusak', 'layar', 'putih', 'doang', 'muncul']</t>
  </si>
  <si>
    <t>['aplikasi', 'telkomsel', 'ngga', 'kebuka', '']</t>
  </si>
  <si>
    <t>['jaringan', 'jaringan', 'lancar', 'pas', 'coba', 'yutube', 'dasar', 'telkomsel', 'kagak', 'apk', 'kayak', '']</t>
  </si>
  <si>
    <t>['paket', 'sakti']</t>
  </si>
  <si>
    <t>['aplikasi', 'berguna', 'update', 'update', 'dibuka', 'sumpahh', 'nyesal', 'update', 'isi', 'paket', 'internet', 'udah', 'isi', 'plsa', '']</t>
  </si>
  <si>
    <t>['kecewa', 'apk', 'eror', 'jaringan', 'perbagus', 'daerah', '']</t>
  </si>
  <si>
    <t>['gas', 'tipis', 'gan']</t>
  </si>
  <si>
    <t>['keren', 'pokok', '']</t>
  </si>
  <si>
    <t>['telkomsel', 'mantap', 'sinyalnya', 'nyelusup', 'kepelosok', 'pulau', 'jawa', 'sukses', 'telkomsel', '']</t>
  </si>
  <si>
    <t>['aplikasi', 'dibuka', 'white', 'screen', 'doank']</t>
  </si>
  <si>
    <t>['jaringan', 'kayak', 'kontil']</t>
  </si>
  <si>
    <t>['beli', 'paket', 'unlimited', 'gb', 'hr', 'habis', 'masanya', 'tgl', 'kuota', 'multimedia', 'gb', 'udah', 'lemooooootttttt', 'ajaaaa', 'kali', 'kecewa', 'emang', 'kepake', 'gb', 'pas', 'masanya', 'udah', 'habis', 'kuota', 'kali', 'kuota', 'gb', 'kepake', 'sisa', 'gb', 'jaringan', 'udah', 'kacauu', 'kuota', 'gb', 'lemot', 'gini', '']</t>
  </si>
  <si>
    <t>['tolong', 'kasih', 'paket', 'internet', 'dapet', 'nomor', 'matur', 'nuhun', '']</t>
  </si>
  <si>
    <t>['signyalnya', 'lemah', 'didaerah', 'gadingrejo', 'kota', 'pasuruan']</t>
  </si>
  <si>
    <t>['asli', 'penawaran', 'kaya', 'beli', 'voucher', 'konter', 'kaga', 'untungnya']</t>
  </si>
  <si>
    <t>['tolong', 'tingkatkan', 'aplikasinya', 'jaringannya', 'gangguan', 'sekang', 'lemot', '']</t>
  </si>
  <si>
    <t>['telkomsel', 'jaringan', 'jelek', 'pdhal', 'dkt', 'asramahaji', 'bandara', 'tolong', 'perbaiki', 'percumah', 'beli', 'paketan', 'mahal', 'sinyal', 'zong', '']</t>
  </si>
  <si>
    <t>['update', 'udeh', 'instal', 'download', 'pembaruan', 'kelar', 'update', 'stuck', 'payah', 'developernye']</t>
  </si>
  <si>
    <t>['telkomsel', 'operator', 'ternama', 'jaringan', 'parah', 'mohon', 'perbaiki', 'jaringan', 'beli', 'paket', 'mahal', 'jaringan', 'sesuai']</t>
  </si>
  <si>
    <t>['digunain', 'halamannya', 'blank', 'loading', '']</t>
  </si>
  <si>
    <t>['tolong', 'admin', 'nggak', 'masuk', 'aplikasinya']</t>
  </si>
  <si>
    <t>['aplikasi', 'jelek', 'buka', '']</t>
  </si>
  <si>
    <t>['untukku', 'bayar']</t>
  </si>
  <si>
    <t>['download', 'masuk', 'aplikasi']</t>
  </si>
  <si>
    <t>['cepat', 'efisien']</t>
  </si>
  <si>
    <t>['udah', 'akses', 'heran', '']</t>
  </si>
  <si>
    <t>['enak', 'ganguan']</t>
  </si>
  <si>
    <t>['paten', 'kali', 'telkomsel', 'nii', '']</t>
  </si>
  <si>
    <t>['puas', 'bermanfaat']</t>
  </si>
  <si>
    <t>['harga', 'paket', 'internetnya', 'mahal', 'vendor', 'jaringannya', 'kadang', 'suka', 'error', 'pelanggan', 'setia', 'telkomsel', 'top', '']</t>
  </si>
  <si>
    <t>['telkomsel', 'oke', 'membodohi', 'jualan', 'quote']</t>
  </si>
  <si>
    <t>['memudahkan', 'tranksaksi', 'terimakasih', 'telkomsel', '']</t>
  </si>
  <si>
    <t>['pulsa', 'kesedot', 'paketan', 'kali', 'mengalami', 'rugi', 'gini', '']</t>
  </si>
  <si>
    <t>['beli', 'kuota', 'gb', 'susah', 'bngt', 'paket', 'gamasuk', 'masuk', 'pulsa', 'habis', 'hisap', 'parah', 'telkomsel']</t>
  </si>
  <si>
    <t>['jaringan', 'jaringan', 'bermasalah', 'ngegame', 'banting', 'karna', 'emosi', 'jaringan', 'telkomsel']</t>
  </si>
  <si>
    <t>['tingkatkan', 'signal', 'daerah', 'karna', 'stabil', 'lancar', 'signal', 'tolong', 'respon', 'penambahan', 'tower', 'bts', 'usahakan', 'alamat', 'batu', 'raja', 'kec', 'tebing', 'kab', 'lawang', 'prov', 'sum', 'sel', 'terimakasih', '']</t>
  </si>
  <si>
    <t>['', 'isi', 'pulsa', 'kesedot', 'mulu', 'kasih', 'bintang', 'kecewa', 'telkomsel']</t>
  </si>
  <si>
    <t>['aneh', 'slama', 'pkai', 'telkimsel', 'gpp', 'beli', 'kuota', 'isi', 'bsa', 'smua', 'chat', 'veronic', 'boot', 'bsa', 'smkin', 'smkin', 'jelek', 'sihh']</t>
  </si>
  <si>
    <t>['lemot', 'tolong', 'disesuaikan']</t>
  </si>
  <si>
    <t>['operator', 'rampok', 'paket', 'data', 'beli', 'paket', 'sosmed', 'pulsa', 'tetep', 'disikat', 'habis']</t>
  </si>
  <si>
    <t>['parah', 'banget', 'tsel', 'tiada', 'lemot', 'sinya', 'rubah', 'bener', 'mengecewakan']</t>
  </si>
  <si>
    <t>['tolong', 'jaringan', 'telkom', 'perbaiki', 'ganguan', 'susah']</t>
  </si>
  <si>
    <t>['semoga', 'hadiah', 'mobil', 'undian', 'berhadiah', 'reedem', 'poin', 'mobil', 'telkomsel', 'aamiin', 'allah', 'rabb', '']</t>
  </si>
  <si>
    <t>['membantu', 'kerenn', '']</t>
  </si>
  <si>
    <t>['telkomsel', 'tolong', 'udah', 'mahal', 'sinyal', 'kek', 'bab', '']</t>
  </si>
  <si>
    <t>['dibuka', 'min', '']</t>
  </si>
  <si>
    <t>['isi', 'ulang', 'pulsa', 'pakai', 'link', 'pilihan', 'trus', 'pembayaran', 'pakai', 'shoppi', 'pay', 'udah', 'sungguh', 'kecewa']</t>
  </si>
  <si>
    <t>['jdi', 'bsa', 'buka', 'aplikasi']</t>
  </si>
  <si>
    <t>['update', 'versi', 'terbaru', 'payah', 'aplikasi', 'dibuka', '']</t>
  </si>
  <si>
    <t>['nyaman', 'memakai', 'mytelkomsel', 'paket', 'combo', 'max', 'saktinya', 'ditambahin', 'variasinya']</t>
  </si>
  <si>
    <t>['hoe', 'sinyal', 'jdi', 'main', 'game']</t>
  </si>
  <si>
    <t>['terpaksa', 'bintang', 'kurangi', 'buka', 'aplikasi', 'telkomsel', 'loading', 'lambat', 'telkomsel', 'jaringan', '']</t>
  </si>
  <si>
    <t>['ngblank', 'buka', 'menyusahkan', 'butuhkan', 'syang', 'skali', 'pdahal', 'planggan']</t>
  </si>
  <si>
    <t>['bagus', 'udah', 'update', 'oke', 'kayak', 'dibilang', 'komen', 'white', 'screen', 'gabisa', 'masuk', 'ngulang', 'alhamdulillah', 'gitu', 'udah', 'update', '']</t>
  </si>
  <si>
    <t>['ngblank', 'putih', 'trz', 'ngak', 'buka', '']</t>
  </si>
  <si>
    <t>['kecewa', 'ama', 'telkomsel', 'kuota', 'gamemax', 'main', 'pubgmobile', '']</t>
  </si>
  <si>
    <t>['aplikasinya', 'instal', 'udh', 'instal', 'aplikasinya', 'ter', 'uninstal', 'coba', 'instal', 'ulang']</t>
  </si>
  <si>
    <t>['alhamdulilah', 'udah', 'gampang', 'eror', 'mudah', 'beli', 'paket', 'shoppe', 'cashback', 'mkch', 'telkomsel']</t>
  </si>
  <si>
    <t>['telkomsel', 'lucu', 'pengguna', 'telkomsel', 'tawaran', 'menarik', 'telkomsel', 'paket', 'internet', 'murah', 'meriahh', 'berpuluh', 'puluh', 'pengguna', 'tawaran', 'menarik', 'telkomsel', 'gaessssss', 'sory', 'kasih', 'bintang', 'pelanggan', 'berat', 'kecewaa']</t>
  </si>
  <si>
    <t>['update', 'update', 'aplikasinya', 'dibuka', '']</t>
  </si>
  <si>
    <t>['tergantung', 'signal', 'paket', 'beruntung', 'dapt', 'bonus', 'telkomsel']</t>
  </si>
  <si>
    <t>['aplikasi', 'kebuka', 'tlg', '']</t>
  </si>
  <si>
    <t>['aplikasi', 'bagus', 'telkomsel', 'kah', 'saldo', 'dana', '']</t>
  </si>
  <si>
    <t>['', 'murahin', 'harga', 'paket', 'data', 'telkomsel', 'pengguna', 'betah', 'kartu', 'telkomsel']</t>
  </si>
  <si>
    <t>['nanya', 'gb', 'trs', 'pakai', 'habis', 'pas', 'cek', 'apk', 'telkom', 'sisa', 'gb', 'kemana', 'mb', 'hilang', 'bug', 'gimana', 'gitu', 'pulsa', 'habis', 'gara', 'gara', 'apk', 'kuota', 'kuotanya', 'gimana', '']</t>
  </si>
  <si>
    <t>['gabisa', 'lemah']</t>
  </si>
  <si>
    <t>['terimakasih', 'telkom', 'sel']</t>
  </si>
  <si>
    <t>['pulsa', 'habis', 'berbeda', 'operator', 'system', 'terintegrasi', 'sembarang', 'menyedot', 'pulsa']</t>
  </si>
  <si>
    <t>['', 'tower', 'jaringan', 'full', 'kecepatan', 'kasi', 'limit', 'operator', 'ngeselin', 'banget', 'tolong', 'kasi', 'peringtan', 'download', 'mb', 'jam', 'pdhal', 'tower']</t>
  </si>
  <si>
    <t>['mantapp', 'bagus', 'apk']</t>
  </si>
  <si>
    <t>['bagus', 'bagus', 'peli', 'paket', 'pulsa', 'tertarik', 'jaringan', 'aktif']</t>
  </si>
  <si>
    <t>['beli', 'kuota', 'sisa', 'kuota', 'gb', 'hangus', 'habis', 'tanggal', 'minggu', 'beli', 'uang', 'unlimited', 'max', 'unlimited', 'beli', 'poin', 'gagal', 'kirim', 'bukti', 'kirim', 'fotonya', 'tolonglah', 'telkomsel', 'langgananmu', 'pas', 'android', 'kecewa', 'tolonglah', 'perbaiki']</t>
  </si>
  <si>
    <t>['mytelkomsel', 'promo', 'combo', 'sakti']</t>
  </si>
  <si>
    <t>['', 'dipake', 'ngblank', 'trusss', 'jelek', 'bgtttt']</t>
  </si>
  <si>
    <t>['aplikasinya', 'ngga', 'kebuka', 'gmna', 'mohon', 'penjelasannya', 'gmna', 'kebuka', 'trmakasih']</t>
  </si>
  <si>
    <t>['mudah', 'aman', 'dlm', 'transaksi', 'terima', 'kasih', 'telkomsel']</t>
  </si>
  <si>
    <t>['tolong', 'paket', 'internet', 'mahalkan', 'murah', 'lebing', 'update', 'ngabisin', 'kuota', 'internet']</t>
  </si>
  <si>
    <t>['membeli', 'paket', 'unlimited', 'youtube', 'kouta', 'utama', 'berkurang']</t>
  </si>
  <si>
    <t>['for', 'develover', 'tolong', 'adakan', 'paket', 'game', 'max']</t>
  </si>
  <si>
    <t>['telkomsel', 'terbaik', 'skrg', 'lemot']</t>
  </si>
  <si>
    <t>['harga', 'kuota', 'naikan', 'cuman', 'mls', 'pakek', 'telkom']</t>
  </si>
  <si>
    <t>['aplikasi', 'berguna', 'menghabiskan', 'kuota', 'buka', 'layar', 'putih', 'muncul']</t>
  </si>
  <si>
    <t>['telkomsel', 'suka', 'daur', 'ulang', 'nomor', 'kartu', 'udah', 'mati', 'aktif', 'whatsaap', 'kadang', 'ngubungi', 'udah', 'beda', 'orang', 'balas', 'whatsaap', 'parah', 'udh', 'nomor', 'telkomsel', 'bahaya', 'banget']</t>
  </si>
  <si>
    <t>['semoga', 'paketnya', 'murah', '']</t>
  </si>
  <si>
    <t>['sinyal', 'skrg', 'parah']</t>
  </si>
  <si>
    <t>['diupdate', 'parah']</t>
  </si>
  <si>
    <t>['harga', 'paket', 'mahal', 'gini', 'mending', 'beli', '']</t>
  </si>
  <si>
    <t>['update', 'tampilan', 'apk', 'blank', 'putih', 'tampilan', 'mohon', 'perbaiki', 'thanks']</t>
  </si>
  <si>
    <t>['tolong', 'sinyal', 'perbaiki', 'beli', 'paket', 'mahal', 'mahal', 'sinyal', 'susah', 'tolong', 'perbaiki', 'sekian', 'terimakasih', 'moga', 'cepet', 'perbaiki', '']</t>
  </si>
  <si>
    <t>['diakses', 'udah', 'harini', 'kesel', 'jhon']</t>
  </si>
  <si>
    <t>['aplikasi', 'blank', 'warna', 'putih']</t>
  </si>
  <si>
    <t>['blank', 'putih', 'qplikasi', 'ngasal', 'uji']</t>
  </si>
  <si>
    <t>['nyesel', 'aplikasi', 'update', 'update', 'buka', '']</t>
  </si>
  <si>
    <t>['sinyal', 'burik', 'harga', 'pejabat']</t>
  </si>
  <si>
    <t>['cek', 'pulsa', 'ngblank', 'layar', 'devlopernya', '']</t>
  </si>
  <si>
    <t>['kecewa', 'paket', 'mahal', 'pembayaran', '']</t>
  </si>
  <si>
    <t>['paket', 'mytelkomsel', 'mahal', '']</t>
  </si>
  <si>
    <t>['jaringan', 'telkomsel', 'buruk', 'setabil', 'main', 'game', 'online', 'auto', 'parah', 'mohon', 'perbaikan', 'jaringan', 'telkomsel', 'perkuat', 'indonesia']</t>
  </si>
  <si>
    <t>['perbaiki', 'sinyalmu', 'telkomsel', 'takalar', 'gua', 'main', 'game', 'merah', 'sinyalnya', 'gua', 'kasi', 'bintang', '']</t>
  </si>
  <si>
    <t>['jaringan', 'kadang', 'bagus']</t>
  </si>
  <si>
    <t>['culun', 'banget', 'sinyal', 'telkomsel', 'dibandingkan', 'telkomsel', 'provider', 'penguasa', 'megang', 'daerah', 'coba', 'cek', 'daerah', 'cipayung', 'depok', 'area', 'perkotaan', 'mbak', 'mas', 'sinyalnya', 'lemot', 'daerah', 'kepedalaman', 'telkomsel', 'provider', 'terbaik', 'buktinya', 'buka', 'youtube', 'bufferingnya', 'nunggu', 'menit', 'dibawa', 'main', 'game', 'loginnya', 'lag', 'berat', 'parah', '']</t>
  </si>
  <si>
    <t>['kecewa', 'telkomsel', 'heran', 'jaringan', 'lemot', 'kali', 'dirugi', 'kolo', 'telkomsel']</t>
  </si>
  <si>
    <t>['app', 'eror', 'bukak', 'samsung', 'versi', 'android', '']</t>
  </si>
  <si>
    <t>['benci', 'jaringan', 'telkomsel', 'skarang', 'telkomsel', 'buka', 'knapa', 'min', '']</t>
  </si>
  <si>
    <t>['dibuka', 'ngbleng', 'butuh', 'banget', 'cek', 'paket', 'beli', 'paket', 'internet', 'tolong', 'perbaiki', 'nyaman', 'pakai', 'aplikasi', 'mytelkomsel']</t>
  </si>
  <si>
    <t>['telkomsel', 'bapukkk', 'signal', 'kesian', 'kali', 'ngeluh', 'tetep', 'perubahan', 'perbaikan', 'mahal', 'iyaa', '']</t>
  </si>
  <si>
    <t>['mhn', 'bantuannya', 'aplikasi', 'dak', 'buka']</t>
  </si>
  <si>
    <t>['aplikasi', 'ngeblank', 'muncul', 'layar', 'putih', 'update', 'uninstal', 'kontamebel', 'android', 'tolong', 'bantuannya', '']</t>
  </si>
  <si>
    <t>['susah', 'ikutan', 'kuis', 'kalah', 'tukar', 'point', 'pengen', 'donk', 'menang', '']</t>
  </si>
  <si>
    <t>['', 'perhatian', 'diinstall', 'maksimal', 'merugikan', 'konsumen', 'akses', 'lambat', 'direstart', 'ulang', 'apk', 'uninstall', 'install', 'ulang', 'normal', 'merugikan', 'kuota', 'mb', 'normal', 'sekedar', 'info', 'pulsa', 'bagus', 'sesuai', 'kinerjanya', 'memiliki', 'jeda', 'loading', 'merugikan', 'konsumen', 'dagangan', 'pulsanya', 'variatif', 'murmer', 'konsumen', 'dimasa', 'pandemi', '']</t>
  </si>
  <si>
    <t>['maaf', 'nomor', 'telat', 'ngisinya', 'bgmn', 'ngaktifkanya', 'nomer', 'aplikasi', 'isi', 'sukses', 'blm', 'laporan']</t>
  </si>
  <si>
    <t>['tolong', 'signal', 'riau', 'daerah', 'optimal', 'parah', 'banget', 'signal']</t>
  </si>
  <si>
    <t>['update', 'nge', 'blank', '']</t>
  </si>
  <si>
    <t>['paket', 'mahal', 'jaringan', 'kayak', 'nt', '']</t>
  </si>
  <si>
    <t>['kartu', 'mahal', 'harga', 'paket', 'kuota']</t>
  </si>
  <si>
    <t>['aplikasi', 'update', 'dibuka', 'muncul', 'layar', 'kosong', 'eror', 'aplikasinya', 'gadgetnya', 'sebelun', 'upadate', 'normal', 'hapus', 'aplikasi', '']</t>
  </si>
  <si>
    <t>['pas', 'update']</t>
  </si>
  <si>
    <t>['aplikasi', 'blank', 'putih', '']</t>
  </si>
  <si>
    <t>['aplikasinya', 'beda', 'aplikasi', 'temen', 'mytelkomsel', 'tmn', 'menu', 'belanja', 'isi', 'paketnya', 'paket', 'unlimited', 'knp', 'menu', 'belanja', 'aplikasi', 'mytelkomsel', 'sediki', 'mohon', 'pencerahannya', 'telkomsel', 'customer', 'setia', 'telkomsel', 'mkasih', 'paket', 'unlimited', 'menu', 'mytelkomsel', 'dibeli', 'jaringannya', 'lemot', 'signal', 'ilang', 'loading', 'sekaliiih', '']</t>
  </si>
  <si>
    <t>['hah', 'sengaja', 'kehapus', 'apk', 'pas', 'instal', '']</t>
  </si>
  <si>
    <t>['eror']</t>
  </si>
  <si>
    <t>['aplikasi', 'telokomsel', 'parah', 'buka', 'malu']</t>
  </si>
  <si>
    <t>['buruk', 'jaringan', 'buruk', 'iya', 'pindah', 'posisi', 'langkah', 'sinyal', 'ilang', '']</t>
  </si>
  <si>
    <t>['', 'aplikasi', 'telkomsel', 'ngak', 'dibuka', 'perbaharui']</t>
  </si>
  <si>
    <t>['top', 'sgt', 'membantu', 'isi', 'paket', 'data', '']</t>
  </si>
  <si>
    <t>['pusat', 'bantuan', 'balesnya', 'bales', 'oertnyaan', 'pengulangan', 'upload', 'screenshot', 'upload', 'bales', 'brpa', 'emng', 'dipikir', 'kerjaan', 'mantengin', 'chat', 'iug', 'urusan', 'nnti', 'lewatin', 'dlu', 'tar', 'close', 'admin', 'karna', 'tsel', 'asli', 'kecewa']</t>
  </si>
  <si>
    <t>['instal', 'ulang', 'ngeblank', 'gajelas']</t>
  </si>
  <si>
    <t>['udah', 'paketin', 'ttp', 'nyedot', 'pulsa', 'aneh', 'nii', 'pemakaian', 'sesuai', 'isi', 'paket', 'data', '']</t>
  </si>
  <si>
    <t>['error', 'mulu', '']</t>
  </si>
  <si>
    <t>['gokil', 'apeli', 'kasi', 'bos']</t>
  </si>
  <si>
    <t>['bagus', 'kurangin', 'tarifnya', 'superdeal']</t>
  </si>
  <si>
    <t>['aplikasi', 'membingungkan', 'buka', 'suruh', 'update', 'tetep', 'buka', 'gilak']</t>
  </si>
  <si>
    <t>['isa', 'kepake']</t>
  </si>
  <si>
    <t>['bintangnya', 'hapus', 'hapus', 'tertinggal', 'telkomsel', 'puluhan', 'sinyalnya', 'bagus', 'harga', 'kuotanya', 'mahalpun', 'karna', 'jaringannya', 'stabil', 'jaringannya', 'jelek', '']</t>
  </si>
  <si>
    <t>['acces', '']</t>
  </si>
  <si>
    <t>['setia', 'telkomsel']</t>
  </si>
  <si>
    <t>['bangga', 'telkomsel', '']</t>
  </si>
  <si>
    <t>['buka', 'sagat', 'menyesal']</t>
  </si>
  <si>
    <t>['beli', 'pulsa', 'beli', 'paket', 'transaksi', 'pembelian', 'paket', 'internet', 'mahal']</t>
  </si>
  <si>
    <t>['udah', 'aplikasi', 'nyebelin', 'bbanget', 'buka', 'blank', 'screen', 'doang', 'masuk', 'aplikasi', 'crash', 'buka']</t>
  </si>
  <si>
    <t>['dipermudah', 'dipersulit', 'jaringannya', 'bagus', 'bagus', 'beresnya', 'kartu', 'rubah', 'hallo', 'nyelesaikan', 'dibagikan', 'hadeh']</t>
  </si>
  <si>
    <t>['penggunaan', 'telkomsel', 'memperoleh', 'keuntungan', 'harga', 'lumayan', 'bandingkan', 'harap', 'maklum']</t>
  </si>
  <si>
    <t>['diinstall', 'bln', 'update', 'reset', 'factory', 'samsung', 'ultra', '']</t>
  </si>
  <si>
    <t>['applykasi', 'buka', 'dowload', 'tlong']</t>
  </si>
  <si>
    <t>['gila', 'yaa', 'udah', 'daftar', 'paket', 'data', 'smpai', 'jam', 'wktunya', 'udah', 'habis', 'trus', 'pulsa', 'sya', 'hbis', 'gra', 'datanya', 'hidup']</t>
  </si>
  <si>
    <t>['mantap', 'pisan', 'euy']</t>
  </si>
  <si>
    <t>['sinyalnya', 'busuk']</t>
  </si>
  <si>
    <t>['udah', 'beli', 'paket', 'unlimited', 'youtube', 'kepake', 'mlh', 'kuota', 'utama', 'merugikan', 'bngsd', 'udah', 'beli', 'dipake', '']</t>
  </si>
  <si>
    <t>['gini', 'update', 'versi', 'terbaru', 'update', 'dibuka', 'update', 'layar', 'putih', 'udah', 'coba', 'uninstal', 'instal', 'layar', 'putih', 'rugi', 'kouta', 'update', 'uninstal', 'instal']</t>
  </si>
  <si>
    <t>['habis', 'update', 'susah', 'masuk', 'aplikasi', 'telkomsel']</t>
  </si>
  <si>
    <t>['tolong', 'beli', 'kuota', 'game', 'pas', 'buka', 'game', 'ngeleg', 'ngeleg', 'buka', 'lancar']</t>
  </si>
  <si>
    <t>['parah', 'telkomsel', 'kirim', 'email', 'aplikasi', 'telkomsel', 'buka', 'gangguan', 'unistal', 'tetep', 'akses', 'mohon', 'infonya']</t>
  </si>
  <si>
    <t>['bagus', 'bangat', 'telkomsel', '']</t>
  </si>
  <si>
    <t>['jaya', 'andalan', 'tinggal', 'daerah', 'plosok']</t>
  </si>
  <si>
    <t>['mantap', 'pelayanannya', 'kartu', 'dikurangin', 'pembelian', 'paket', 'datanya', 'kemahalan', '']</t>
  </si>
  <si>
    <t>['diakses', 'buka', 'warna', 'putih', 'instal', 'kali', 'hasilnya', 'dibuka', 'mohon', 'kejelasannya', 'telkomsel', 'terimakasih']</t>
  </si>
  <si>
    <t>['', 'update', 'nyusahin']</t>
  </si>
  <si>
    <t>['aplikasi', 'bagus', 'promo', 'paket', 'geratis']</t>
  </si>
  <si>
    <t>['terima', 'kasih', 'aplikasi', 'telkomsel', 'membantu']</t>
  </si>
  <si>
    <t>['assalamualaikum', 'kak', 'login', 'telkomsel', 'jaringan', 'bagus', 'tolong', 'perbaiki', 'kak']</t>
  </si>
  <si>
    <t>['andalkan', 'karna', 'jaringanya', 'eror', 'melulu', 'kali', 'coba', 'eror']</t>
  </si>
  <si>
    <t>['jaringn', 'internet', 'telkomsel', 'lemot', 'tingkatkan', 'oke']</t>
  </si>
  <si>
    <t>['ngeblank', 'putih', 'doang', 'dibuka', 'parah', 'reinstal', 'nerkali', 'kali']</t>
  </si>
  <si>
    <t>['update', 'perangkat', 'lunak', 'aplikasi', 'telkomselnya', 'hilang', 'cari', 'play', 'store', 'instal', '']</t>
  </si>
  <si>
    <t>['apliksinya', 'bagus', 'update', 'nge', 'blank', 'putih', 'tolong', 'perbaikannya', 'telkomsel']</t>
  </si>
  <si>
    <t>['mengrtik', 'memasukan', 'untul', 'log', 'masuk', 'apalai', 'lihat']</t>
  </si>
  <si>
    <t>['aplikasinya', 'jelek', 'berat', 'dibuka', 'oadahal', 'handphone', 'ram', 'gb', 'internal', 'gb', 'pakai', 'dibawah', 'lemot', '']</t>
  </si>
  <si>
    <t>['aplikasi', 'dibuka', 'menampilkan', 'layar', 'putih', '']</t>
  </si>
  <si>
    <t>['menyesal', 'aplikasi', 'paket', 'aplikasi', 'lenyap', 'aplikasi', 'update', 'dipakai', 'digantikan', 'paket', 'telkomsel', 'memperlakukan', 'customer', 'semema', 'mena', 'mempedulikan', 'kenyamanan', 'penggunanya', '']</t>
  </si>
  <si>
    <t>['tolong', 'tingkat', 'lgi', 'dlm', 'paket', 'internet', 'ojeg', 'online', 'murah', 'internet', 'narik', 'thxs', 'sukses', '']</t>
  </si>
  <si>
    <t>['akses', 'aps', 'telkomsel', 'jelek', 'sms', 'quota', 'nasional', 'habis', 'cek', 'sisa', 'quota', 'aps', 'telkomsel', 'muncul', 'layar', 'putih', 'mengecewakan', '']</t>
  </si>
  <si>
    <t>['iyaaa', 'aplikasi', 'word', 'lagii', 'buka', 'ngebug', 'putih', 'gtu', 'sesuai', 'ekspedisi', '']</t>
  </si>
  <si>
    <t>['sinyalnya', 'telkomsel', 'jelek', 'kayak']</t>
  </si>
  <si>
    <t>['mudah', 'nyaman', 'cepat', 'terpercaya']</t>
  </si>
  <si>
    <t>['udah', 'beres', 'update', 'balikan', 'lagii', 'sinyal', 'lagg']</t>
  </si>
  <si>
    <t>['payah', 'udah', 'buka', 'ngeblank', 'nyaman', 'pakai', 'tekomsel']</t>
  </si>
  <si>
    <t>['jelek', 'aplikasi', 'maksa', 'update', 'update', 'dak', 'masuk']</t>
  </si>
  <si>
    <t>['telkomsel', 'jaringan', 'buruk', 'kalah', 'indosat', 'kecepatannya']</t>
  </si>
  <si>
    <t>['kirim', 'hadiah', 'paket', 'pulsa', 'ngirim', 'otp', '']</t>
  </si>
  <si>
    <t>['alhamdulillah', 'membantu', 'informasi']</t>
  </si>
  <si>
    <t>['lumayan', 'bli', 'kuota']</t>
  </si>
  <si>
    <t>['masuk', 'masukin']</t>
  </si>
  <si>
    <t>['udah']</t>
  </si>
  <si>
    <t>['tdi', 'jam', 'cek', 'pulsa', 'msh', 'diisi', 'pulsa', 'pulsa', 'kog', '']</t>
  </si>
  <si>
    <t>['gilaa', 'telkom', 'lemott']</t>
  </si>
  <si>
    <t>['kasih', 'harga', 'kuota', 'internet', 'lumayan', 'mahal', 'recomend', 'orang', 'desa', 'harga', 'mahal', 'koneksi', 'buruk', 'saran', 'tinggkat', 'koneksi', 'internet', 'bener', 'bener', 'lambat', 'area', 'perdesaan']</t>
  </si>
  <si>
    <t>['habis', 'update', 'buka', 'muncul', 'layar', 'putih']</t>
  </si>
  <si>
    <t>['paket', 'youtube', 'ngabisin', 'kouta', 'utama']</t>
  </si>
  <si>
    <t>['udah', 'udpate', 'buka', 'gmn']</t>
  </si>
  <si>
    <t>['aplikasi', 'telkomsel', 'knp', 'jdi', 'kyak', 'gni', 'udah', 'update', 'ulang', 'msih', 'buka']</t>
  </si>
  <si>
    <t>['aplikasinya', 'bgs', 'promo', 'menarik']</t>
  </si>
  <si>
    <t>['respon', 'customer', 'service', 'menunggu', 'tersambung', 'giliran', 'tersambung', 'membantu', 'keluhan', 'konsumen', 'tolong', 'perbaiki', 'terima', 'kasih']</t>
  </si>
  <si>
    <t>['belanja', 'cek', 'kuota', 'ngerasa', 'mudah', '']</t>
  </si>
  <si>
    <t>['sinyalnya', 'nyungsep', 'tlong', 'diperbaiki', 'team', 'mahal', 'doang', 'kualitas', '']</t>
  </si>
  <si>
    <t>['semoga', 'dapet', 'hadiah', 'allah', 'amin', 'robbalalamin']</t>
  </si>
  <si>
    <t>['pulsa', 'ambil', 'mulu', 'kuota', 'semenjak', 'mytelkomsel', 'hapus', 'pulsa', 'ambil', '']</t>
  </si>
  <si>
    <t>['telkomsel', 'didepan']</t>
  </si>
  <si>
    <t>['menangkan', 'hadiah', 'tuk', 'aceh', 'heboh']</t>
  </si>
  <si>
    <t>['emang', 'terbaik', 'kli', 'telkomsel']</t>
  </si>
  <si>
    <t>['beli', 'paket', 'unlimited', 'max', 'gb', 'rb', 'kouta', 'utama', 'habis', 'kouta', 'multimedia', 'gb', 'youtube', 'despkripsi', 'paket', 'apl', 'multimedia', 'youtube', 'facebook', 'dll', 'pengguna', 'telkomsel', 'kecewa', 'nggk', 'seenak', 'fupnya', 'ngeselin', 'rugi', '']</t>
  </si>
  <si>
    <t>['kaga', 'beli', 'paket', 'data', 'pdahal', 'pulsa', 'mencukupi', 'mlah', 'bisanya', 'lwat', 'browser', 'bukn', 'lwat', 'apk', 'apk', 'gunanya', 'min', '']</t>
  </si>
  <si>
    <t>['cepet', 'banget', 'bagus', 'banget']</t>
  </si>
  <si>
    <t>['gagal', 'download', 'bolak', 'download', 'gagal', 'ngabisin', 'kuota', 'nich', 'aplikasi']</t>
  </si>
  <si>
    <t>['harga', 'ajja', 'bos']</t>
  </si>
  <si>
    <t>['jaringan', 'gnya', 'lemot', 'daerah', 'pedesaan', '']</t>
  </si>
  <si>
    <t>['kurangi', 'update', 'perbaiki', 'jaringan', 'nusa', 'tenggara', 'timur', 'flores', 'ende']</t>
  </si>
  <si>
    <t>['telkomsel', 'dikasih', 'paket', 'internet', 'murah', 'penilaian', 'berubah', 'combo', 'sakti', 'aplikasi', 'telkomsel', 'harganya', 'turun', 'terima', 'kasih']</t>
  </si>
  <si>
    <t>['woi', 'min', 'buka', 'gakniat', 'apk', 'mending', 'tolong', 'benerin']</t>
  </si>
  <si>
    <t>['pembaharuan', 'aplikasi', 'giliran', 'perbaharui', 'buka', 'aplikasinya', 'hadeehhh', 'kuciwa', 'kuciwaa', 'bintang', 'sajalaah', '']</t>
  </si>
  <si>
    <t>['musntaap', 'bray', 'jaringan', 'luas']</t>
  </si>
  <si>
    <t>['bagus', 'terimakasih']</t>
  </si>
  <si>
    <t>['telkonsel', 'jaringa', 'bosok', 'beli', 'paketan', 'jaringan', 'ngerugiin', 'penguna', 'maen', 'game', 'nafsu', 'stabil', 'nge', 'lag', 'pengen', 'suport', 'kenyataan', 'nihil', 'blm', 'maksimal', 'tolong', 'epaluasi', 'bagus', 'jaringan', 'tipu', 'kaya', 'gini', '']</t>
  </si>
  <si>
    <t>['pengguna', 'telkomsel', 'kalangan', 'kaya', 'standar', 'miskin', 'faqir', 'pengguna', 'telkomsel', 'bertahun', 'dikecewakan', 'jaringan', 'lemot', 'harga', 'mahal', 'mahal', 'telkomsel', 'untung', 'harganya', 'bersahabat', 'kalangan', 'tolong', 'donk', 'sesuaikan', 'harga', 'kulitasnya', 'kualitasnya', 'diperbarui', 'memuaskan', 'pelanggan', 'terima', 'kasih', '']</t>
  </si>
  <si>
    <t>['sinyalnya', 'jelek', 'malam']</t>
  </si>
  <si>
    <t>['tambahin', 'promo', 'internetan']</t>
  </si>
  <si>
    <t>['min', 'mohon', 'telkomsel', 'dibuka', '']</t>
  </si>
  <si>
    <t>['membeli', 'kuota', 'pulsa', 'pas', 'beli', 'proses', 'tunggu', 'beli', 'berkali', 'kali']</t>
  </si>
  <si>
    <t>['sinyalnya', 'menyedihkan', 'pakai', 'terikat', 'data', '']</t>
  </si>
  <si>
    <t>['nyesel', 'seumur', 'hidup', 'pke', 'telkomsel', 'jaringan', 'gila', 'bermasalah', 'dasar', 'jaringan', 'lemot', 'udh', 'harga', 'mahal', 'jaringan', 'gola', 'bermasalah', 'dasar', 'jaringan', 'buruk', '']</t>
  </si>
  <si>
    <t>['aplikasi', 'gunanya', 'ribet', 'menggunakannya', 'hapus', 'pusing', 'syarat', 'membukanya', 'aplikasi', 'operator', 'gampang', 'enak', 'menggunakannya', 'hapus', 'merugikan', 'aplikasi', 'menipu', 'konsumen', '']</t>
  </si>
  <si>
    <t>['smoga', 'jringan', 'bgus', 'lgi']</t>
  </si>
  <si>
    <t>['kak', 'telkomsel', 'udh', 'bagus', 'jaringannya', 'udh', 'kece', 'bngt', 'harga', 'paket', 'kurangin', 'lgi', 'kak', 'kemahalan', 'ama', 'jajan', 'mohon', 'kak', 'kasih', 'kmi', 'pket', 'harganya', 'rendah', 'dikit', 'mksi', '']</t>
  </si>
  <si>
    <t>['aplikasi', 'blanx', 'buka', 'why', '']</t>
  </si>
  <si>
    <t>['cepat', 'aman']</t>
  </si>
  <si>
    <t>['memudahkan', 'beli', 'paket', 'data', 'saldo', 'pulsa']</t>
  </si>
  <si>
    <t>['top', '']</t>
  </si>
  <si>
    <t>['update', 'aplikasi', 'nggak', 'buka', 'payah', '']</t>
  </si>
  <si>
    <t>['aplksi', 'tsel', 'kbuka', 'blank', 'putih', 'trs', 'klwr', 'sndri', '']</t>
  </si>
  <si>
    <t>['maaf', 'bos', 'kenpa', 'tumben', 'aplikasi', 'susah', 'masuk', 'cek', 'mhon', 'solusi', 'bos', 'terimaksih']</t>
  </si>
  <si>
    <t>['jelek', 'jaringan', 'telkomsel', 'harga', 'paketan', 'mahal', 'cuman', 'kualitas', 'jaringan', 'miris', 'tolong', 'perbaiki', 'pelayanannya', 'custemer']</t>
  </si>
  <si>
    <t>['poin', 'reedem']</t>
  </si>
  <si>
    <t>['min', 'udah', 'kasih', 'bintang', 'dapet', 'kuota', 'gratis', '']</t>
  </si>
  <si>
    <t>['jaringan', 'kentut', 'mahal', 'doang', 'paket', 'kentut', 'jaringan']</t>
  </si>
  <si>
    <t>['kasih', 'karna', 'nomer', 'satunya', 'beda', 'harga', 'mahal']</t>
  </si>
  <si>
    <t>['mudah', 'puas', 'pilih', 'paket', 'mna', 'suka']</t>
  </si>
  <si>
    <t>['diupgrade', 'akses']</t>
  </si>
  <si>
    <t>['', 'telkomsel', 'versi', 'terbaru', 'buka', 'android', 'samsung', 'update', 'buka', 'aplikasinya', 'update', 'versi', 'buka', 'layar', 'putih']</t>
  </si>
  <si>
    <t>['telkomsel', 'sinyale', 'dancok']</t>
  </si>
  <si>
    <t>['isi', 'pulsa', 'rb', 'bonus', 'pulsa', 'rb', 'giliran', 'dpaketne', 'potong', 'internet', 'rb', 'kasih', 'bonus', 'pls', '']</t>
  </si>
  <si>
    <t>['diupgrade', 'bego']</t>
  </si>
  <si>
    <t>['tolong', 'perbaiki', 'jaringan', 'hilang', 'menit']</t>
  </si>
  <si>
    <t>['pling', 'jaringannnnmmmmmmmnnnnnnnnnnnnmmmmnmmnnnnnnnnnnnnnnnnnnnnn', 'bener']</t>
  </si>
  <si>
    <t>['nyoba', 'ksh', 'dlu', 'bagus', 'apk', 'telkomsel', 'dlm', 'melayani', 'pelanggan']</t>
  </si>
  <si>
    <t>['sinyal', 'nggak', 'nggak', 'sinyal']</t>
  </si>
  <si>
    <t>['aplikasinya', 'buka', 'sinyal', 'telkomsel', 'lag', 'full', 'pajangan', '']</t>
  </si>
  <si>
    <t>['aplikasi', 'buka', 'aplikasinya', 'gambarnya', 'cuman', 'layar', 'putih', 'kesel', '']</t>
  </si>
  <si>
    <t>['tolong', 'dimurahin', 'dikit', 'kuotanya']</t>
  </si>
  <si>
    <t>['mati', 'lampu', 'jaringan', 'langsung', 'gada', 'ujan', 'dikit', 'udah', 'lag', 'gimana', 'gua', 'ngerank', 'klh', 'mulu', 'ngentod']</t>
  </si>
  <si>
    <t>['pengguna', 'kartu', 'telkomsel', 'udah', 'puluhan', 'kasih', 'bintang', 'langsung', 'mudahan', 'kedepan', 'tingkatkan', '']</t>
  </si>
  <si>
    <t>['download', 'habis', 'data', 'pulsa', 'pakai', 'wifi']</t>
  </si>
  <si>
    <t>['telkomsel', 'busuk', 'game', '']</t>
  </si>
  <si>
    <t>['tolong', 'bantu', 'menurunkan', 'jenis', 'kartu', 'gold', 'silver', 'mahal', 'paket', 'internet']</t>
  </si>
  <si>
    <t>['kaaih', 'bintang', 'bagus', 'kasih', 'bintang', '']</t>
  </si>
  <si>
    <t>['telekomsel', 'kesini', 'buruk', 'jaringannya', 'malas', 'ganti', 'ajalah', 'kecewa', 'berat', 'pdhal', 'pelanggan', 'setia', 'main', 'bagus', 'jaringan', 'buruk', '']</t>
  </si>
  <si>
    <t>['jaringan', 'kau', 'diperbaiki', 'pengguna', 'naikan', 'harga', 'paket', '']</t>
  </si>
  <si>
    <t>['jaringan', 'stabil', 'meresahkan', 'udah', 'paket', 'mahal', 'ditambah', 'jaringannya', 'lemot', 'aneh', 'banget', 'jaringan', 'telkomsel', 'tolonggg', 'perbaiki', 'jaringannya', 'jaringannya', 'kuat', 'koq', 'lemot', 'lemot', 'jam', 'kuat', 'jaringannya', 'deket', 'tower', 'jaringan', 'kzl', '']</t>
  </si>
  <si>
    <t>['', 'eror', 'menghilang', 'app', 'buka', 'aplikasi', 'donk', 'why', 'telkomsel', 'sehatkah']</t>
  </si>
  <si>
    <t>['download', 'telkomsel', 'terinstal', 'tehapus', 'download']</t>
  </si>
  <si>
    <t>['tolong', 'paket', 'internet', 'harian', 'tambahkan', 'beranda']</t>
  </si>
  <si>
    <t>['kak', 'update', 'telkomsel', 'layarnya', 'putih', 'gambar', 'instal', 'instal', 'hasilnya', 'layar', 'putih', 'gimana', 'yaa', '']</t>
  </si>
  <si>
    <t>['apk', 'diupdate', 'dibuka', 'apk', 'menanggapi', '']</t>
  </si>
  <si>
    <t>['sinyal', 'jaringan', 'susah', 'mentang', 'udh', 'muncul', 'lemot', 'langganan', 'telkomsel', 'udh', 'slalu', 'dikecewain', 'susah', 'jaringan', 'kmarin', 'diupdate', 'update', 'mulu']</t>
  </si>
  <si>
    <t>['laporan', 'gagal', 'buka', 'billing', 'kartu', 'halo', 'cepat', 'tanggapannya', 'dilapor', 'oktober', 'penyelesaian', 'lapor', 'kali', 'proses', 'buka', 'billing', 'pin', 'standar', 'diperbaiki', 'estimasi', 'penyelesaian', 'tanggap', 'tunggu', 'tlpon', '']</t>
  </si>
  <si>
    <t>['woy', 'aplikasi', 'nge', 'blang', 'putih', 'gue', 'restart', 'gue', 'pergi', 'pengaturan', 'bersihkan', 'cache', 'tetep', 'nge', 'blang', 'blz', 'ahli', 'telkomsel']</t>
  </si>
  <si>
    <t>['semoga', 'sinyal', 'ngk', 'lelet']</t>
  </si>
  <si>
    <t>['mencoba', 'berjalan', 'lancar', 'kasih', 'bintang', '']</t>
  </si>
  <si>
    <t>['dlu', 'sinyal', 'dibanggain', 'skrng', 'udh', 'paket', 'mahal', 'lemot']</t>
  </si>
  <si>
    <t>['jarang', 'promoo', 'nyaa']</t>
  </si>
  <si>
    <t>['parah', 'masuk', 'aplikasi', 'telkomsel', 'udh', 'susah', 'gmn', 'aplikasi', '']</t>
  </si>
  <si>
    <t>['sinyal', 'telkomsel', 'terima', 'kasih']</t>
  </si>
  <si>
    <t>['kadang', 'kali', 'masuk', 'aplikasi', 'suka', 'force', 'close']</t>
  </si>
  <si>
    <t>['telkomsel', 'jaringannya', 'bagus', 'promo', 'kuota', 'murah', 'banget']</t>
  </si>
  <si>
    <t>['', 'telkomsel', 'oke', '']</t>
  </si>
  <si>
    <t>['jaringan', 'burik', 'anjg', 'harga', 'mahal', 'kualitas', 'jaringan', 'burik', '']</t>
  </si>
  <si>
    <t>['check', 'harian', 'program', 'daily', 'check', 'versi', 'terbaru', 'menghubungi', 'support', 'admin', 'mengikuti', 'petunjuk', 'saran', 'operator', 'mohon', 'bug', 'perbaiki']</t>
  </si>
  <si>
    <t>['aplikasinya', 'membantu', 'gampang', 'mantap']</t>
  </si>
  <si>
    <t>['knp', 'skrg', 'jaringan', 'telkomsel', 'lelet', 'kuota', 'bnyak', 'tpi', 'susah', 'akses', 'internet']</t>
  </si>
  <si>
    <t>['tolong', 'diperbaikin', 'jaringan', 'harga', 'pejabat', 'sinyal', 'cacat']</t>
  </si>
  <si>
    <t>['memudahkan', 'kouta', 'tersisa']</t>
  </si>
  <si>
    <t>['jaringannya', 'lelet', 'banget', 'paket', 'mahal', 'krna', 'lelet']</t>
  </si>
  <si>
    <t>['layar', 'putih', 'muncul', 'menu', 'apk', 'tolong', 'tolong', 'banget', 'tolongin', 'please', 'tolong', 'tolong', 'tolong', 'tolong', 'kasih', '']</t>
  </si>
  <si>
    <t>['bosok', 'masak', 'hujan', 'gangguan', 'signal', 'hilang', 'pedalaman', 'provider', 'terbaik']</t>
  </si>
  <si>
    <t>['loading', 'laaaaama', 'quota']</t>
  </si>
  <si>
    <t>['paket', 'murah', 'taruh', 'beranda', 'sulit', 'cari']</t>
  </si>
  <si>
    <t>['suka', 'ngebug', 'cuk']</t>
  </si>
  <si>
    <t>['sinyal', 'penuh', 'indikator', 'koneksi', 'sampah', 'gitu', 'slogan', 'koneksi', 'diseluruh', 'penjuru', 'indonesia', 'sinyal', 'sampah', '']</t>
  </si>
  <si>
    <t>['tolong', 'perbaiki', 'applikasi', 'telkomselnya', 'udah', 'gax', 'buka', 'instal', 'kali', 'gax']</t>
  </si>
  <si>
    <t>['jaringan', 'gini', 'net', 'mahal', 'jaringan', 'lucu', '']</t>
  </si>
  <si>
    <t>['tolong', 'unlimited', 'soscat', 'games', 'music', 'unlimited', 'kaya', 'keong', 'lemot', 'banget', 'loading', 'menit', 'jadikan', 'paket', 'utama']</t>
  </si>
  <si>
    <t>['harga', 'mahal', 'selebihnya', 'bagus', 'jaringan', 'buruk', 'internet', 'lelet', 'daerah', 'pelelawan', '']</t>
  </si>
  <si>
    <t>['jelek', 'sinyalnya', 'sebelah', 'solusi', 'pelanggan', 'pindah', 'kesebelah', 'kwalitas', 'kayak', 'sinyalnya']</t>
  </si>
  <si>
    <t>['membantu', 'banget', 'nyamann']</t>
  </si>
  <si>
    <t>['semoga', 'kuota', 'murah', '']</t>
  </si>
  <si>
    <t>['grade', 'lelet', 'bagus', 'perbaiki', '']</t>
  </si>
  <si>
    <t>['paket', 'gamesmax', 'kode', 'voucher', 'diamondnya', 'masuk', '']</t>
  </si>
  <si>
    <t>['telkomsel', 'lemot', 'mahal']</t>
  </si>
  <si>
    <t>['min', 'telkomsel', 'buka', 'sya', 'uninstal', 'download', 'tetep', '']</t>
  </si>
  <si>
    <t>['contoh', 'operator', 'menghargai', 'pengguna', 'setianya', 'dikasih', 'promo', 'murah', 'pengguna', 'pengguna', 'kasih']</t>
  </si>
  <si>
    <t>['signal', 'udh', 'kya', 'operator', 'tipis', 'kendor', 'gua', 'kecewa', 'karna', 'drumah', 'lmbat', 'masuk', 'ruangan', 'dmana', 'langsung', 'hilang', 'kalah', 'operator', 'tetangga', '']</t>
  </si>
  <si>
    <t>['aplikasinya', 'membantu', 'terima', 'kasih', 'menghadirkan', 'mytelkomsel']</t>
  </si>
  <si>
    <t>['telkomsel', 'paketan', 'mahal', 'sesuai', 'sma', 'jaringannya', 'facebook', 'lemot', 'ampun', 'nqjis']</t>
  </si>
  <si>
    <t>['memuaskan', 'layanan', 'bagus']</t>
  </si>
  <si>
    <t>['jaringan', 'telkomsel', 'cenderung', 'stabil', '']</t>
  </si>
  <si>
    <t>['tolong', 'gitu', 'pulsa', 'safe', 'telkomsel', 'gvlk', 'pulsa', 'keambil', 'mulu', 'udh', 'paket', 'telkomsel', 'mahal', '']</t>
  </si>
  <si>
    <t>['knpa', 'stelah', 'download', 'telkomsel', 'buka', 'kasi', 'saran']</t>
  </si>
  <si>
    <t>['udah', 'install', 'kebuka', 'aplikasinya', 'muncul', 'layar', 'putih', '']</t>
  </si>
  <si>
    <t>['nge', 'leq', 'woiiiii']</t>
  </si>
  <si>
    <t>['jaringan', 'jeleknya']</t>
  </si>
  <si>
    <t>['rugi', 'beli', 'mahal', 'mahal', 'rugi', 'tpi', 'sinyal', 'kek', 'siput', 'sampe', 'kek', 'gini']</t>
  </si>
  <si>
    <t>['telkomsel', 'sel', 'sinyal', 'butut']</t>
  </si>
  <si>
    <t>['buka', 'layarnya', 'putih', 'loading']</t>
  </si>
  <si>
    <t>['aplikasi', 'nngak', 'instal', 'gagal', 'udah', 'berulang', 'nggak', 'solusinya', 'nggak', 'aplikasinya', 'lihat', 'sisa', 'kuotanya', 'beli', 'paketnya', 'terima', 'kasih']</t>
  </si>
  <si>
    <t>['', 'instal', 'ngga']</t>
  </si>
  <si>
    <t>['terimakasih', 'hotpromo', 'membantu']</t>
  </si>
  <si>
    <t>['aplikasinya', 'dibuka', 'isi', 'paket', 'data', 'jaman', 'digit', 'angka', 'mengecewakan', 'telkomsel', 'maaf', 'bintang', '']</t>
  </si>
  <si>
    <t>['paket', 'data', 'internetnya', 'mohon', 'dikurangi', 'harganya', 'rakyat', 'kalangan', 'kebawah', 'kemahalan', 'trimkasih', '']</t>
  </si>
  <si>
    <t>['jelek', 'sinyalnya', 'dijelekin', 'min', 'jngan', 'pksain', 'kasian', 'beli', 'mahal', 'ngegame', 'bagus', 'jelek', 'bagus', 'jelek', 'mulu', 'jelek', 'nyesel', 'bngt', 'telkomsel', 'udh', 'jelek', 'gini', 'hadeh']</t>
  </si>
  <si>
    <t>['jaringan', 'telkomsel', 'buruk', 'nyaman', '']</t>
  </si>
  <si>
    <t>['jelek', 'banget', 'pelayanannya', 'isi', 'pulsa', 'ribu', 'kesedot', 'aplikasinya', 'zonk', 'gag', 'masuk', 'suruh', 'klik', 'lint', 'tautan', 'tautannya', 'kadaluarsa', 'payah', 'banget', 'pokoknya', 'jelek', 'poll']</t>
  </si>
  <si>
    <t>['barusan', 'update', 'heng', 'enga', 'loading', 'udah', 'rugi', 'data', 'upload', 'harga', 'mahal']</t>
  </si>
  <si>
    <t>['tolong', 'diperbaiki', 'min', 'apk', 'udah', 'berhasil', 'beranda', 'cek', 'masuk', 'datanya', 'pulsa', 'berkurang']</t>
  </si>
  <si>
    <t>['akses', 'masuk', 'aplikasi', 'dibuka', 'warna', 'putih', 'via', 'twitter', 'nggak', 'jugaa']</t>
  </si>
  <si>
    <t>['', 'hujan', 'mati', 'lampu', 'sinyal', 'jelek', 'udh', 'sinyal', 'jelek', 'beli', 'kuota', 'mahal', 'pensi', 'pakai', 'telkom', 'mohon', 'diperbaiki', 'sinyal', 'jelek', 'udah', 'kritik', 'sinyal', 'jelek', 'sekeluarga', 'pensi', 'pakai', 'telkom', '']</t>
  </si>
  <si>
    <t>['mintak', 'tolong', 'kali', 'tolong', 'jaringan', 'lemot', 'siiiii', 'klau', 'belih', 'kuota', 'ponsel', 'lemot', 'klau', 'bli', 'kuota', 'lemot', 'kali', 'liat', 'video', 'sumpah', 'aplikasi', 'parah', 'kali', 'jngn', 'smpai', 'bantingin', 'karna', 'lemot', 'jaringan', 'min', 'bli', 'kuota', 'knp', 'lemotnya', 'kayk', 'gini', 'nyesal', 'min', '']</t>
  </si>
  <si>
    <t>['pengalam', 'sinyal', 'buruk', 'tolong', 'diperbaiki', 'platform', 'gede', 'pelayanannya', 'banget', 'perbaikilah']</t>
  </si>
  <si>
    <t>['aplikasi', 'telkomsel', 'terbuka', 'hapus', 'data', 'mohon', 'info', '']</t>
  </si>
  <si>
    <t>['sinyal', 'susah', 'bro']</t>
  </si>
  <si>
    <t>['harga', 'paket', 'internet', 'tolong', '']</t>
  </si>
  <si>
    <t>['paket', 'pulsa', 'murah']</t>
  </si>
  <si>
    <t>['woe', 'telkomsel', 'jaringan', 'kek', 'babi', 'lelet', 'ampun', 'main', 'game', 'kepuasan']</t>
  </si>
  <si>
    <t>['telkomsel', 'waras', 'sebentar', 'gilak', 'paket', 'internet', 'mahal', 'jaringan', 'bagus', 'udah', 'ajar', 'cobak', 'perbarui', 'jaringan', 'udah', 'jaringan', 'parah', '']</t>
  </si>
  <si>
    <t>['buka', 'layar', 'cuman', 'putih', 'sudh', 'berulang', 'kali', 'coba', 'instal', 'ulang']</t>
  </si>
  <si>
    <t>['aplikasi', 'nggak', 'lihat', 'sisa', 'paket', 'telfon', 'nggak', 'udah', 'geser', 'tampilan', 'kuota']</t>
  </si>
  <si>
    <t>['gunanya', 'poin', 'app', 'udah', 'ratusan', 'pion', 'tpi', 'liat', 'ajj', 'bosen', 'lamaan', 'pencita', 'game', 'promo', 'diamond', 'ivent', 'diamond']</t>
  </si>
  <si>
    <t>['apl', 'bagus', 'banget', 'cepat', 'proses', 'pembelian', 'paket']</t>
  </si>
  <si>
    <t>['bagus', 'kasih', 'bintang']</t>
  </si>
  <si>
    <t>['sayang', 'paket', 'limitit', 'gb', 'limitit', 'tiktok', '']</t>
  </si>
  <si>
    <t>['susah', '']</t>
  </si>
  <si>
    <t>['semoga', 'dipermudah', 'telkom']</t>
  </si>
  <si>
    <t>['pemberitahuan', 'pulsa', 'terpakai', 'internet', 'kouta', 'alhasil', 'pulsa', 'rupiah', 'telkomsel', 'memakan', 'pulsa', 'konfirmasi', 'paraaaaahhh', '']</t>
  </si>
  <si>
    <t>['terbuka', 'aplikasinya']</t>
  </si>
  <si>
    <t>['kebuka', 'instal', 'ulang', 'pdhl', 'udah', 'kali', 'uninstal', 'diinstal', 'kebuka']</t>
  </si>
  <si>
    <t>['narik', 'maxim', 'telkomsel', 'jaringan', 'super', 'lemot', 'sampe', 'beli', 'kartu', 'kadang', 'jaringan', 'hilang', 'ganti', 'smartfren', 'im', 'orderan', 'tolong', 'perbaiki', 'jaringan', 'internetnya', 'sampe', 'kedap', 'kedip', 'kalah', 'operator', '']</t>
  </si>
  <si>
    <t>['terdepan', 'terpercaya', 'unt', 'profider', 'indonesia']</t>
  </si>
  <si>
    <t>['mantap', 'munculkan', 'promo', 'murah']</t>
  </si>
  <si>
    <t>['maaf', 'min', 'sinyal', 'internet', 'lemot', 'parah', 'tolong', 'perbaiki', 'min', 'serius', 'trims', '']</t>
  </si>
  <si>
    <t>['aplikasinya', 'bagus', 'aplikasinya', 'suka', 'eroorr', 'kali', 'login', 'masukin', 'nomr', 'telepon', '']</t>
  </si>
  <si>
    <t>['mahal', 'doang', 'koneksi', 'kgk', 'bagus']</t>
  </si>
  <si>
    <t>['harga', 'kuota', 'jangkau', 'menengah', 'semoga', 'tsel', 'jaringan', 'favorit', 'akses', 'orang', 'mikirin', 'harga', 'maaf', 'pengguna', 'telkomsel', 'ganti', 'kartu', 'paket', 'internet', 'dng', 'kartu', 'harga', 'terjangkau']</t>
  </si>
  <si>
    <t>['jaringan', 'urusin', 'mahal', 'doang', 'dpt', 'sms', 'pakai', 'data', 'non', 'paket', 'biarin', 'pakai', 'data', 'operator', 'pulsa', 'ttp', 'kepotong', 'pakai', 'datanya', 'mangsuddd', 'amattttt']</t>
  </si>
  <si>
    <t>['dwonlod', 'udah', 'msih', 'blm', 'kbuka', 'dngn', 'telkomsel', '']</t>
  </si>
  <si>
    <t>['keseringan', 'upgrade', 'napahhh', 'paketan', 'upgrade', 'aplikasi']</t>
  </si>
  <si>
    <t>['tingkat', 'lgi', 'gratisan', 'promonya', 'mkasi']</t>
  </si>
  <si>
    <t>['nelp', 'nyambung', 'suara', 'didengar', 'lawan', 'bicara', 'detik', 'berjalan', 'memotong', 'pulsa', 'matikan', 'telp', 'bicara', 'normal', 'disengaja', '']</t>
  </si>
  <si>
    <t>['', 'ngapa', 'telkomsel', 'mahal', 'kualitas', 'murahan', 'setimpal', 'bayar', 'coba', 'suruh', 'karyawan', 'maen', 'pegangsaan', 'tol', 'sinyal', 'cuman', 'garis', 'daerah', 'situ', 'full', 'karyawan', 'cek', 'sinyal', 'sistem', 'hasilnya', 'suruh', 'karyawan', 'terjun', 'langsung', 'lapangan', 'magabut', '']</t>
  </si>
  <si>
    <t>['udah', 'hapus', 'instal', 'ngak', 'masuk', 'telkomselnya', 'gambar', 'putih', 'tolong', 'perbaiki']</t>
  </si>
  <si>
    <t>['berulang', 'kali', 'tukar', 'poin', 'tpi', 'slalu', 'hadiah', 'satupun', 'angan', 'rezeki', '']</t>
  </si>
  <si>
    <t>['telkomsel', 'udah', 'beli', 'pulsa', 'masuk', 'dri', 'konter', 'udah', 'sukses', 'masuk']</t>
  </si>
  <si>
    <t>['perbaiki', 'jaringan', 'plosok', 'negeri']</t>
  </si>
  <si>
    <t>['jaringan', 'telkomsel', 'ngelag']</t>
  </si>
  <si>
    <t>['buka', 'telkomsel', 'white', 'screen', 'udah', 'white', 'screen']</t>
  </si>
  <si>
    <t>['udah', 'gua', 'apk', 'becus', 'banget', 'ngabisin', 'paket', 'donwload', 'hapus', 'gtu', 'trus', 'buka']</t>
  </si>
  <si>
    <t>['gampang', 'bayar']</t>
  </si>
  <si>
    <t>['terpaksa', 'pasca', 'bayar', 'sim', 'card', 'diblokir', 'aktif', 'habis', 'ikuti', 'pilih', 'tagihan', 'rendah', 'seringkali', 'aplikasi', 'jkn', 'kis', 'salah', 'satunya', 'kode', 'otp', 'pulsa', 'sms', 'mengajukan', 'bantuan', 'chat', 'veronika', 'kasih', 'solusi', 'menaikkan', 'limit', 'menaikkan', 'limit', 'tagihan', 'melepas', 'layanan', 'bobrok', '']</t>
  </si>
  <si>
    <t>['', 'kecewa', 'isi', 'pls', 'pls', 'langsung', 'terpotong', 'terpotong', 'konfirmasi', 'terpotong', 'terkena', 'pket', 'ekstra', 'pls', 'berlaku', 'hri', 'app', 'tertera', 'paket', 'internet', 'solusi', 'bgaimna', '']</t>
  </si>
  <si>
    <t>['telkomsel', 'tolong', 'perhatikan', 'pengembangan', 'jaringannya', 'wilayah', 'pedesaan', 'desa', 'pedalaman', 'agarkami', 'kota', 'menikmati', 'jaringan', 'telkomsel', 'gangguan', 'contoh', 'gangguan', 'jaringan', 'alami', 'pedasan', 'mati', 'lampu', 'jaringan', 'telkomsel', 'hilang', 'hujan', 'jaringan', 'hilang', 'kendala']</t>
  </si>
  <si>
    <t>['tolong', 'paket', 'anlimitid']</t>
  </si>
  <si>
    <t>['upgrade', 'buka', 'yahhh']</t>
  </si>
  <si>
    <t>['kenapaa', 'buka', 'pdahal', 'beli', 'paket', '']</t>
  </si>
  <si>
    <t>['kemaren', 'update', 'aplikasinya', 'kebuka', 'skrg', 'pas', 'update', 'stuck', 'layar', 'putih', 'doang', 'tolong', 'perbaiki', 'min', '']</t>
  </si>
  <si>
    <t>['telkomsel', 'jaringan', 'slow', 'banget', 'berhenti', 'telkomsel', 'udah', 'bangrut', 'kah', 'jaringan', 'lambat', 'bener']</t>
  </si>
  <si>
    <t>['tolonglah', 'harga', 'mahal', 'konsumen', 'puas', 'daftar', 'paket', 'manusiawi', 'kadang', 'bingung', 'milih', 'paket', 'sebulan', 'gb', 'sia', 'gb', 'kadang', 'kepake', 'gb', 'mingguan', 'aktfnya']</t>
  </si>
  <si>
    <t>['wei', 'beli', 'paket', 'nelpon', 'sebulan', 'habis', 'gitu', 'bos', 'maling', 'uang', 'orang']</t>
  </si>
  <si>
    <t>['mytelkomsel', 'menyediakan', 'dark', 'mode', 'mode', 'gelap', 'enak', 'dipandang']</t>
  </si>
  <si>
    <t>['memudahkan', 'planggan']</t>
  </si>
  <si>
    <t>['jaringan', 'internet', 'kecepatan', 'downloadnya', 'kalah']</t>
  </si>
  <si>
    <t>['dinaikin', 'seribu', 'skrng', 'kartu', 'beda', 'paketnya', 'sesat']</t>
  </si>
  <si>
    <t>['mohon', 'kirim', 'promo', 'murah']</t>
  </si>
  <si>
    <t>['apk', 'bagus', 'beli', 'paket', 'internet']</t>
  </si>
  <si>
    <t>['kasi', 'bintang', 'mintak', 'instal', 'ulang', 'mala', 'engk', 'bukak', 'mentok', 'puti']</t>
  </si>
  <si>
    <t>['telkomsel', 'banjir', 'hadiah', 'moga', '']</t>
  </si>
  <si>
    <t>['bagus', 'banget', 'apknya']</t>
  </si>
  <si>
    <t>['berharap', 'tukar', 'poin', 'mobil', 'mercy', 'gla', 'aminnn', 'update', 'klik', 'aplikasi', 'telkomsel', 'muncul', 'layar', 'putih', 'kosong', 'ditunggu', 'gitu', 'berkali', 'uninstal', 'download', 'masuk', 'aplikasi', 'gimana', 'setia', 'pakai', 'simpati', 'tolong', 'dibenahi', '']</t>
  </si>
  <si>
    <t>['akses', 'masuk', 'aplikasi', 'telkomsel', 'sulit', 'kuota', 'full', 'sinyal', 'oke', 'aplikasi', 'mah', 'enteng', 'aduuuh']</t>
  </si>
  <si>
    <t>['sinyal', 'kota', 'sampah', 'paketan', 'mahal', 'tpi', 'sinyal', 'diandalkan', 'provider', 'lbh', 'thn', 'megalodon', 'sampah']</t>
  </si>
  <si>
    <t>['akses', 'aplikasinya', 'udh', 'buka']</t>
  </si>
  <si>
    <t>['ngga', 'telkomsel', 'rada', 'error', 'kesel', 'beli', 'kuota', 'prosesnya', 'masukny', 'membaik', 'ratingny', 'tambahin']</t>
  </si>
  <si>
    <t>['jaringan', 'lag', 'chek', 'ilang', 'pas', 'suruh', 'ngulang', 'gajelas', 'sumpah']</t>
  </si>
  <si>
    <t>['bagus', 'apk', 'mudah', 'beli', 'paket', 'hadiah', 'menarik']</t>
  </si>
  <si>
    <t>['puas', 'jaringan', 'paket', 'murah', '']</t>
  </si>
  <si>
    <t>['gimana', 'telkomsel', 'udah', 'beli', 'mahal', 'ehh', 'kasi', 'jaringan', 'jelek', 'seharus', 'bagus', 'buktinya', 'udah', 'tower', 'maksudnya', 'gimana', '']</t>
  </si>
  <si>
    <t>['woy', 'telkom', 'koq', 'gini', 'paket', 'abis', 'pdhl', 'ngirit', 'hemat', 'kouta', 'pas', 'transfer', 'koq', 'dipotong', 'abis', 'koq', 'beli', 'kouta', 'koq', 'parah', 'pulsa', 'beli', 'kouta', 'koq', 'sisa', '']</t>
  </si>
  <si>
    <t>['upgrade', 'blm', 'coba', 'oke']</t>
  </si>
  <si>
    <t>['simpel', 'murah', 'mantap']</t>
  </si>
  <si>
    <t>['app', 'dibuka', 'knp', '']</t>
  </si>
  <si>
    <t>['', 'telkomsel', 'bagus', 'bonus', 'pertahunnya', 'pelanggan', 'setia', 'telkomsel', 'terimakasih', '']</t>
  </si>
  <si>
    <t>['diupgrade', 'kebuka', 'aplikasinya', '']</t>
  </si>
  <si>
    <t>['tingkatkan', 'signal', 'game']</t>
  </si>
  <si>
    <t>['koneksi', 'sinyal', 'susah']</t>
  </si>
  <si>
    <t>['ganti', 'operator', 'kayak', 'gini', 'telkomsel', 'wilayah', 'madura', 'pamekasan', 'galis', 'sinyal', 'parah', 'main', 'game', 'mobile', 'legends', 'gua', 'kasik', 'bintang', 'seklian', '']</t>
  </si>
  <si>
    <t>['beli', 'paket', 'mengecewakan']</t>
  </si>
  <si>
    <t>['kali', 'water', 'men']</t>
  </si>
  <si>
    <t>['gabisa', 'login', 'ngestuck', 'respon', 'layar', 'putih', 'mohon', 'perbaiki', 'tolong', 'tanggapannya', '']</t>
  </si>
  <si>
    <t>['bintang', 'bicara', '']</t>
  </si>
  <si>
    <t>['kouta', 'kentengan', 'youtube', 'unlimited', 'pas', 'nonton', 'youtube', 'berkurang', 'kouta', 'utama', 'internet', 'nggak', '']</t>
  </si>
  <si>
    <t>['aplikasinya', 'buka', 'udah', 'update', 'dibuka']</t>
  </si>
  <si>
    <t>['sinyal', 'nggk', 'dancok', 'sinyal', 'telkomsel', 'emng', 'nggk', 'pakai', 'sinyal', 'sinyal', 'babi']</t>
  </si>
  <si>
    <t>['habis', 'update', 'android', 'mytelkomsel', 'gagal', 'diinstal', '']</t>
  </si>
  <si>
    <t>['', 'telkomsel', 'luarrr', 'biasaa', '']</t>
  </si>
  <si>
    <t>['apk', 'berfungsi', 'samsung', '']</t>
  </si>
  <si>
    <t>['bner', 'bner', 'telkomsel', 'skrg', 'darah', 'jaringan', 'suka', 'hilang', 'ngleg', 'ampun', 'dada', 'aink', '']</t>
  </si>
  <si>
    <t>['maaf', 'kak', 'download', 'aplikasinya', 'kak', '']</t>
  </si>
  <si>
    <t>['knp', 'nggk', 'buka', 'aplikasi', 'cma', 'blank', 'putih']</t>
  </si>
  <si>
    <t>['membantu', 'mempermudah', 'transaksi', 'pembelian', 'paket', 'data']</t>
  </si>
  <si>
    <t>['maaf', 'telkomsel', 'respon', 'lambat', 'cepat', 'pesannya', 'komputer', 'tolong', 'aktifkan', 'nomor', 'hangus', 'ribet', 'suruh', 'twitter', 'ehh', 'chat', 'ilang', 'parahhhhhhh']</t>
  </si>
  <si>
    <t>['ngelegg', 'kali', 'org', 'maen', 'merah', 'tros', 'ngefeed', 'mantap', 'telkom', 'murah']</t>
  </si>
  <si>
    <t>['aktifnya', 'hangus', '']</t>
  </si>
  <si>
    <t>['telkomsel', 'dibuka', 'muncul', 'cuman', 'layar', 'putih', 'mohon', 'advisenya', '']</t>
  </si>
  <si>
    <t>['apk', 'berat', 'berfungsi']</t>
  </si>
  <si>
    <t>['update', 'aplikasi', 'susah', 'login', '']</t>
  </si>
  <si>
    <t>['parah', 'parah', 'ancur', 'cek', 'kuota', 'sinyal', 'downd', 'sebanding', 'harganya']</t>
  </si>
  <si>
    <t>['membuka', 'aplikasi', 'telkomsel', 'ganguan', 'gimana', 'mohon', 'penjelasaannya']</t>
  </si>
  <si>
    <t>['pembaharuan', 'aplikasi', 'telkomsel', 'terbuka', 'layar', 'putih', 'diuninstal', 'download', 'smpai', 'msh', 'dibuka', 'solusinya', '']</t>
  </si>
  <si>
    <t>['perbaiki', 'jaringan', 'kntl']</t>
  </si>
  <si>
    <t>['aplikasi', 'ampas', 'load', 'makan', 'kuota', 'gede', 'developernya', 'ngaco', 'apps', 'dioptimisasi', '']</t>
  </si>
  <si>
    <t>['mantap', 'nelpon', 'sepuasnya', 'telkomsel']</t>
  </si>
  <si>
    <t>['telkomsel', 'buka', 'kayak', 'eror', 'gitu', 'tolong', 'respon', 'min']</t>
  </si>
  <si>
    <t>['paket', 'telkomsel', 'mahal', 'kakak', 'jaringannya', 'lelet']</t>
  </si>
  <si>
    <t>['ditingkatkan', 'promo', 'dibanyakin', 'pelanggan']</t>
  </si>
  <si>
    <t>['beli', 'paket', 'susah', 'pulsa', 'beli', 'paket', 'harga', 'sms', 'masuk', 'pulsa', 'mencukupi', 'membeli', 'paket', 'tolong', '']</t>
  </si>
  <si>
    <t>['aplikasi', 'susah', 'dibuka', '']</t>
  </si>
  <si>
    <t>['aplikasi', 'buka', 'tolong', 'bantu']</t>
  </si>
  <si>
    <t>['telkomtod', 'kouta', 'harga', 'pejabat', 'jaringan', 'waduk']</t>
  </si>
  <si>
    <t>['min', 'dibuka', 'apk', 'whitescreen']</t>
  </si>
  <si>
    <t>['barusan', 'update', 'dibuka', 'muncul', 'layar', 'putih', 'update', 'kemajuan', 'kemunduran', 'super', 'lemot', '']</t>
  </si>
  <si>
    <t>['min', 'apk', 'mytelkomsel', 'buka', 'layarnya', 'putih', 'min', 'beli', 'kuota', 'disney', '']</t>
  </si>
  <si>
    <t>['jaringannya', 'knpa', 'siih', 'mengjengkelkan', 'main', 'game', 'telfon', 'lansung', 'pas', 'udh', 'lansung', '']</t>
  </si>
  <si>
    <t>['harga', 'sinyal', 'busuk', 'sinyal', 'full', 'trouble', 'seharian']</t>
  </si>
  <si>
    <t>['apk', 'bobrok', 'pengen', 'bayar', 'tulisan', 'cek', 'koneksi', 'menit', 'koneksi', 'gua', 'wifi', 'hapus', 'apk', 'kartu', 'udah', 'lag', 'mahal', 'harga', 'paket']</t>
  </si>
  <si>
    <t>['udah', 'update', 'buka', 'apl', 'kntl']</t>
  </si>
  <si>
    <t>['parah', 'aplikasinya', 'dibuka', 'sinyal', 'kuat', 'blank', 'spotnya', 'nyesel', 'pindah', 'pasca', 'bayar']</t>
  </si>
  <si>
    <t>['sinyal', 'benerin', 'cokk']</t>
  </si>
  <si>
    <t>['update', 'android', 'aplikasi', 'telkomsel', 'dipasang']</t>
  </si>
  <si>
    <t>['apk', 'tidk', 'buka']</t>
  </si>
  <si>
    <t>['aplikasinya', 'buka', 'kesini', 'bukanya', 'bagus', 'jengkel', 'pengguna', '']</t>
  </si>
  <si>
    <t>['sinyal', 'ragukan', '']</t>
  </si>
  <si>
    <t>['provider', 'internet', 'lintah', 'darat', 'paket', 'mahal', 'main', 'mobile', 'legend', 'lag', 'menit', 'buka', 'mata', 'telkomsel', 'bangkeh', '']</t>
  </si>
  <si>
    <t>['coba', 'perbaiki', 'pulsa', 'kunci', 'ngga', 'kesedot', 'nyalahin', 'data', 'ngga', 'kuotanya', 'terima', 'kasih', 'telkomsel', '']</t>
  </si>
  <si>
    <t>['bapikin', 'kuota', 'murahnya', 'doonggg']</t>
  </si>
  <si>
    <t>['abis', 'update', 'buka', 'fitur', 'pengunci', 'pulsa', 'terbaik', '']</t>
  </si>
  <si>
    <t>['mantap', 'mempermudah', 'transaksi', 'pembelian']</t>
  </si>
  <si>
    <t>['paketan', 'mahal', 'banget', 'gangguan']</t>
  </si>
  <si>
    <t>['murah', 'beli', 'kuota']</t>
  </si>
  <si>
    <t>['udh', 'beli', 'pulsa', 'rb', 'pas', 'login', 'telkomsell', 'rb', 'rugi']</t>
  </si>
  <si>
    <t>['kaga', 'instal', 'android', 'bintang', '']</t>
  </si>
  <si>
    <t>['apk', 'dipakai', 'iphone', 'parahh', '']</t>
  </si>
  <si>
    <t>['tolong', 'paket', 'combo', 'sakti', 'hilang', 'kemaren', 'pilihan', 'gb', 'gb', 'tolong', 'keluarin', 'pilihan']</t>
  </si>
  <si>
    <t>['unreg', 'nggak', 'dapet', 'sms', 'balesan']</t>
  </si>
  <si>
    <t>['undian', 'poin', 'menang', 'pertanyaannya', 'undian', 'poin', '']</t>
  </si>
  <si>
    <t>['apk', 'jelek', 'downlod', 'nyesel']</t>
  </si>
  <si>
    <t>['kak', 'telkomsel', 'buka', '']</t>
  </si>
  <si>
    <t>['', 'murahin', 'sebenrnya', 'bagus', 'perkampungan', 'sayanx', '']</t>
  </si>
  <si>
    <t>['membantu', 'gaes', '']</t>
  </si>
  <si>
    <t>['paket', 'combo', 'bwat', 'dwnlod']</t>
  </si>
  <si>
    <t>['saha', 'buka', 'update', 'blank', 'putih', 'tolong', 'perbaiki']</t>
  </si>
  <si>
    <t>['instal', 'android', 'mohon', 'diperbaharui']</t>
  </si>
  <si>
    <t>['jelek', 'jaringannya', 'udah', 'unlimited', 'mahal', 'bagus', 'jaringan', 'mohon', 'benarin', 'jaringannya', '']</t>
  </si>
  <si>
    <t>['apk', 'dibuka', 'layar', 'putih']</t>
  </si>
  <si>
    <t>['tauni', 'telkomsel', 'super', 'buruk', 'buka', 'leletnya', 'ampun', 'main', 'ngapain', 'tolong', 'perbaikin', 'jaringannya', '']</t>
  </si>
  <si>
    <t>['blank', 'putih', 'doan']</t>
  </si>
  <si>
    <t>['udah', 'terima', 'kasih', 'telkomsel']</t>
  </si>
  <si>
    <t>['kayak', 'taik', 'aplikasi', 'diperbarui', 'buka', 'layar', 'putih', 'thn', 'pakai', 'telkomsel', 'kecewa', '']</t>
  </si>
  <si>
    <t>['knpa', 'telkomsel', 'buka', 'aplikasinya']</t>
  </si>
  <si>
    <t>['telkomsel', 'paket', 'mahal', '']</t>
  </si>
  <si>
    <t>['sinyalnya', 'berubah', '']</t>
  </si>
  <si>
    <t>['paket', 'mahal', 'tpi', 'lemot', 'makan', 'gaji', 'buta', 'karyawan', 'telkomsel']</t>
  </si>
  <si>
    <t>['promo', 'paketnya', 'mahal', '']</t>
  </si>
  <si>
    <t>['sinyal', 'jelek', 'baget', 'kagak', 'kaya']</t>
  </si>
  <si>
    <t>['', 'bintang', 'paket', 'game', 'max', 'pubg', 'mobile']</t>
  </si>
  <si>
    <t>['membantu', 'counter']</t>
  </si>
  <si>
    <t>['insyaallah', 'pemenangnya', '']</t>
  </si>
  <si>
    <t>['tukar', 'poin', 'pulsa', '']</t>
  </si>
  <si>
    <t>['kebuka', 'aplikasinya', 'update', 'hadeh', '']</t>
  </si>
  <si>
    <t>['', 'ganti', 'kartu', 'kartu', 'muak', 'jaringan', 'lemot', '']</t>
  </si>
  <si>
    <t>['tolong', 'diperbaiki', 'aplikasi', 'telkomsel', 'dibuka', 'isi', 'paket', 'internet', '']</t>
  </si>
  <si>
    <t>['harga', 'paketan', 'doang', 'mahal', 'kualitas', 'sinyal', 'diperhatikan', 'mahal', 'mahal', 'pelayanan', 'buruk']</t>
  </si>
  <si>
    <t>['anak', 'haram', 'paket', 'mahal', 'jaringan', 'pantek']</t>
  </si>
  <si>
    <t>['susah', 'beli', 'paket', 'aplikasi', 'gagal', 'nyaman', 'pakai', 'mahal', 'dikit', 'langsung', 'respon']</t>
  </si>
  <si>
    <t>['jaringan', 'daerah', 'jelek', 'perubahan', 'udah', 'lapor', '']</t>
  </si>
  <si>
    <t>['ngga', 'kebuka', 'app', 'udh', 'minggu', 'semenjak', 'update', 'versi', 'knp', 'kebuka', 'app', 'udh', 'kebuka', 'kasih', 'bintang', '']</t>
  </si>
  <si>
    <t>['app', 'susah', 'min', 'bukanya', 'keterangan', 'apapun']</t>
  </si>
  <si>
    <t>['aplikasi', 'knpa', 'udah', 'update', 'buka', '']</t>
  </si>
  <si>
    <t>['paketanya', 'mahal', 'sinyal', 'jelek']</t>
  </si>
  <si>
    <t>['bingung', 'hadiah', 'membayar', 'link', 'ovo', 'aplikasi', 'mytelkomsel', '']</t>
  </si>
  <si>
    <t>['', 'mantap']</t>
  </si>
  <si>
    <t>['jaringan', 'lelet', 'banget', 'simpati', 'mahalnya', 'doang']</t>
  </si>
  <si>
    <t>['paket', 'data', 'internet', 'beli', 'lokasi', 'pembelian', 'paket', 'karna', 'membantu', 'dimasa', 'sulit', 'pandemi', 'covid', 'pelanggan', 'kecewa', 'aturan', 'berlaku', 'telkomsel', '']</t>
  </si>
  <si>
    <t>['gua', 'adil']</t>
  </si>
  <si>
    <t>['', 'isi', 'super', 'cepat', 'isi', 'super', 'lemot', 'lelet', 'macet', 'buka', 'aplikasi', 'ringan', 'nunggu', 'menit', 'harga', 'mahal', 'jaringan', 'murahan', 'giliran', 'kuotanya', 'habis', 'kagak', 'lemot', 'recommended', 'nian', 'kapok', 'kapok', 'kapok', 'kapok', 'kapok', 'isi', 'kuota', 'enak', 'ganti', 'kartu', 'telkomsel', 'khusus', 'terima', 'telpon', 'lenaaaaak', '']</t>
  </si>
  <si>
    <t>['', 'telkomsel', 'skg', 'suka', 'eror', 'tolong', 'perbaiki']</t>
  </si>
  <si>
    <t>['', 'edit', 'kasih', 'bintang', 'kemaren', 'telkomsel', 'eror', 'mlu', 'skrg', 'ngga', 'mudah', 'ksna', 'lnacar']</t>
  </si>
  <si>
    <t>['susah', 'login', 'masuk', 'sms', 'verifikasi', 'pas', 'diklik', 'magiclink', 'web', 'suruh', 'login', 'gimana', 'kali', 'coba', 'maksudnya', 'ngeribetin', 'org', '']</t>
  </si>
  <si>
    <t>['udah', 'didonwload', 'aplikasi', 'dibuka', 'layar', 'putih', 'telkomselnya']</t>
  </si>
  <si>
    <t>['gimana']</t>
  </si>
  <si>
    <t>['woi', 'benerin', 'kualitas', 'sinyal', 'puasin', 'karna', 'bayar', 'mahal', '']</t>
  </si>
  <si>
    <t>['update', 'ver', 'terbaru', 'kagak', 'dibuka', 'web', 'aneh', 'mengecewakan']</t>
  </si>
  <si>
    <t>['mohon', 'maaf', 'telkomsel', 'buka', 'login', 'masuk']</t>
  </si>
  <si>
    <t>['tolong', 'kasi', 'bonus', 'orng', 'donlot']</t>
  </si>
  <si>
    <t>['promo', 'promo', 'murah']</t>
  </si>
  <si>
    <t>['aplikasi', 'upgrade', 'support', 'terbuka']</t>
  </si>
  <si>
    <t>['jaringan', 'kek', 'jaringan', 'penuh', 'tpi', 'serasa', 'bsa', 'gimana', 'developernya', 'paketan', 'ganja', 'tpi', 'jaringan', 'eek']</t>
  </si>
  <si>
    <t>['knapa', 'telkomsel', 'trouble', 'jaringan', 'datanya', 'susah', 'trouble', 'kerja', 'online']</t>
  </si>
  <si>
    <t>['telkomsel', 'nngk', 'buka', 'udah', 'download', 'brp', 'kali', 'nngk', 'kak', 'admin', '']</t>
  </si>
  <si>
    <t>['membantu', 'promo', 'murah', '']</t>
  </si>
  <si>
    <t>['update', 'buka', 'kak', 'udah', 'uninstal', 'install', 'ulang', 'gimana', 'kak', '']</t>
  </si>
  <si>
    <t>['nggak', 'masuk', 'veronika', 'nggak']</t>
  </si>
  <si>
    <t>['bagus', 'paket', 'internet', 'mahal']</t>
  </si>
  <si>
    <t>['aneh', 'aplikasi', 'pas', 'buka', 'layarnya', 'putih', 'doang', 'payahhhhhhhh', 'aplikasi', 'payah']</t>
  </si>
  <si>
    <t>['', 'apk', 'telkomsel', 'login', 'gambar', 'putih', 'login', 'gimana', 'udh', 'hapus', 'data', 'trus', 'login', 'tetep', 'trus', 'udh', 'hapus', 'apk', 'trus', 'login', 'tetep', '']</t>
  </si>
  <si>
    <t>['jaringan', 'susah', 'kartu', 'jaman']</t>
  </si>
  <si>
    <t>['bagus', 'sinyal', 'ilang', 'trs', 'mahal']</t>
  </si>
  <si>
    <t>['harganya', 'paket', 'murahkan']</t>
  </si>
  <si>
    <t>['beli', 'paket', 'disney', 'hot', 'star']</t>
  </si>
  <si>
    <t>['', 'buka', 'ahh', '']</t>
  </si>
  <si>
    <t>['mending', 'tri', 'axis', 'parah', 'telkampret', 'keseringan', 'isi', 'pulsa', 'data', 'tsel', 'jamin', 'paket', 'mahal', 'beli', 'pulsa', 'data', 'kecuali', 'aktif', 'dijamin', 'paketnya', 'murah', '']</t>
  </si>
  <si>
    <t>['kesal', 'telkomsel', 'koq', 'lemot', 'bener', 'kalah', 'provider', 'bayar', 'mahal', 'mahal', 'thn', 'simpati', 'thn', 'pindah', 'hallo', 'koq', 'sinyal', 'parah', 'sumpah', 'kapok', 'simpati', 'bayar', 'mahal', 'bulanya', 'layananya', 'becus', '']</t>
  </si>
  <si>
    <t>['', 'knp', 'sinyal', 'lemot', 'parah']</t>
  </si>
  <si>
    <t>['sihh', 'aps', 'dipakai', 'layar', 'putih', 'doang', 'udah', 'uninstal', 'instal', 'ber', 'ulang', 'ulang', 'tetep', 'gini', 'salah', 'ngadu', 'kemana', 'nihh', 'bantu', 'makasihh']</t>
  </si>
  <si>
    <t>['gimana', 'telkomsel', 'buka', 'cuman', 'putih']</t>
  </si>
  <si>
    <t>['memakai', 'aplikasi', 'mytelkomsel', 'mudah', 'bertransaksi', 'pembelian', 'paket', 'data', 'internet', 'semoga', 'semoga', '']</t>
  </si>
  <si>
    <t>['terhotmat', 'telkomsel', 'mohon', 'perbaiki', 'jarigan', 'naikin', 'harga', 'jarigan', 'kayak', 'taik', 'harga', 'kaya', 'mas', 'njir', 'jarigan', 'kayak', 'gini', 'mending', 'bubar', 'simpati', 'penipuan', 'publik', 'kayak', 'gini', 'gua', 'kaya', 'sampah', 'kartu', 'beli', 'paket', 'anjirrrrrrrrrrrrrrrr', '']</t>
  </si>
  <si>
    <t>['telkomsel', 'knp', 'jaringan', 'kau', 'mahal', 'doang', 'jaringan', 'jelek', 'katane', 'muter', 'doang']</t>
  </si>
  <si>
    <t>['eror', 'kadang', 'kadang', 'masak', 'pindah', 'kartu', 'sesi', 'habis', 'ngerti', 'maksudnya']</t>
  </si>
  <si>
    <t>['aplikasi', 'ampas', 'maen', 'nyolong', 'pulsa', 'orang', 'bisanya']</t>
  </si>
  <si>
    <t>['sakit', 'hati', 'pulsa', 'potong', 'kerjaan']</t>
  </si>
  <si>
    <t>['memuaskan', 'terimakasih', 'telkomsel']</t>
  </si>
  <si>
    <t>['plislah', 'ganti', 'nomor', 'nggak', 'gimana', 'kesel', '']</t>
  </si>
  <si>
    <t>['hai', 'update', 'kemaren', 'ngga', 'masuk', 'aplikasi', 'mytelkomsel', 'update', 'masuk', 'aplikasinya', 'maksudnya', 'ngga', 'masuk', 'kayak', 'ngestak', 'layar', 'putih', 'makasih', '']</t>
  </si>
  <si>
    <t>['min', 'mohon', 'maaf', 'apk', 'telkomsel', 'buka', 'erorr', 'truss', 'mohon', 'secepatnya', 'perbaiki', '']</t>
  </si>
  <si>
    <t>['woi', 'min', 'tolong', 'perbaiki', 'jaringan', 'main', 'game', 'jaringannya', 'merahhh', 'muluuu', 'kuota', 'isi', 'ngelag', 'tololong', 'min', 'perbaiki', '']</t>
  </si>
  <si>
    <t>['uda', 'instal', 'telkomsel', 'pas', 'update', 'hpnya', 'telkomsel', 'hilang', 'download']</t>
  </si>
  <si>
    <t>['telkomsel', 'sadar', 'mahal', 'jaringan', 'lemot', '']</t>
  </si>
  <si>
    <t>['perbaharui', 'buka', 'trus', 'gimana', 'solusinya', 'nyaman', '']</t>
  </si>
  <si>
    <t>['tolong', 'kasih', 'promo', 'wajar', 'kartu', 'mahal', 'segitu', 'mkch', 'wassss', '']</t>
  </si>
  <si>
    <t>['perbaharui', 'aplikasi', 'buka', 'coba', 'berkali', 'kecewa', 'poin', 'terkumpul', 'hilang']</t>
  </si>
  <si>
    <t>['bagus', 'paket', 'giganet', 'mahal', '']</t>
  </si>
  <si>
    <t>['benerin', 'sinyal', 'ilang', 'mulu']</t>
  </si>
  <si>
    <t>['aplikasi', 'uldate', 'samsung', 'jalan', 'tolong', 'diperbaiki', '']</t>
  </si>
  <si>
    <t>['', 'telkomsel', 'nga', 'masuk', 'telkomsel', 'beli', 'paket', 'data', 'pas', 'masuk', 'nga', 'masuk', 'tolong', 'atur', 'nga', 'masuk', 'tolong', 'perbaikan', 'yaa']</t>
  </si>
  <si>
    <t>['memudahkan', 'pembelian', 'paket']</t>
  </si>
  <si>
    <t>['kasih', 'segitu', 'sinyal', 'daerah', 'maksimal', '']</t>
  </si>
  <si>
    <t>['coba', 'kasi', 'fitur', 'pilih', 'paket']</t>
  </si>
  <si>
    <t>['paketan', 'internet', 'mahal', 'tolong', 'cek', 'kawan', 'murah', 'mosok', 'gb', 'harga', 'seratus', 'ribu']</t>
  </si>
  <si>
    <t>['knapa', 'lkomsel', 'dibuka', '']</t>
  </si>
  <si>
    <t>['aplikasi', 'perusahaan', 'aplikasi', 'payah', 'hbs', 'update', 'nda', 'dibuka', 'cmn', 'layar', 'putih', 'uninstall', 'install', 'ulang', 'brp', 'kali', 'msh', 'layar', 'putih', 'payah']</t>
  </si>
  <si>
    <t>['diperbaharui', 'support', 'disemua', '']</t>
  </si>
  <si>
    <t>['jaringan', 'hilang', 'udah', 'situ', 'mahal', 'jaringan', 'jelek', 'banget', '']</t>
  </si>
  <si>
    <t>['telkomsel', 'isi', 'ulang', 'pulsa', 'notif', 'rumah', 'cek', 'sisa', 'nyedot', 'pulsa', 'konfirmasi', 'pemakaian', 'pulsa', 'cek', 'pinjam', 'pulsa', 'darurat', 'mohon', 'penjelasan', 'buka', 'susahnya', 'stngh', 'mati', 'mohon', 'penjelasan', 'ganti', 'provider', '']</t>
  </si>
  <si>
    <t>['download', 'tolong', 'diperbaiki']</t>
  </si>
  <si>
    <t>['paket', 'mahal', 'kouta', 'gembel']</t>
  </si>
  <si>
    <t>['mantap', 'jaringannya']</t>
  </si>
  <si>
    <t>['', 'mytelkomsel', 'skrng', 'susah', 'bnget', 'buka', 'aplikasi', 'merespon', 'jdi', 'susah', 'beli', 'kuota', 'yng', 'pembayaran', 'gopay', '']</t>
  </si>
  <si>
    <t>['banyakin', 'promo', 'giganetnya', 'min']</t>
  </si>
  <si>
    <t>['ngga', 'loading', 'game', 'pas', 'main', 'masuk', 'game', 'pas', 'udah', 'kelar', 'parahh', '']</t>
  </si>
  <si>
    <t>['bagus', 'ngapain', 'lihat', 'udah', 'bagus']</t>
  </si>
  <si>
    <t>['tolong', 'jaringan', 'buruk', 'internet', 'mohon', 'bangett', 'bantuan', 'telkomsel']</t>
  </si>
  <si>
    <t>['ngegame', 'enak', 'perbaikan', 'skali']</t>
  </si>
  <si>
    <t>['knapa', 'paketannya', 'kuota', 'beda', 'beda']</t>
  </si>
  <si>
    <t>['tinggal', 'paket', 'multimedia', 'lancar', 'giliran', 'isi', 'paket', 'full', 'unlimited', 'ngelag', 'maen', 'game', 'moba', 'analog', 'jumping', 'region', 'palembang', 'tolong', 'periksa', '']</t>
  </si>
  <si>
    <t>['redownload', 'kemarin', 'abis', 'update', 'perangkat', 'aplikasi', 'ngilang']</t>
  </si>
  <si>
    <t>['mudah', 'trans', 'saksi']</t>
  </si>
  <si>
    <t>['apps', 'berat', 'bangeettt']</t>
  </si>
  <si>
    <t>['didownload', 'gagal', 'diinstall', 'kejadiannya', 'samsung', 'update', 'software', 'desember', 'semoga', 'admin', 'baca', 'diperbaiki', 'mohon', 'responnya', '']</t>
  </si>
  <si>
    <t>['provider', 'terbaik', 'nasional']</t>
  </si>
  <si>
    <t>['', 'buka', 'bengong']</t>
  </si>
  <si>
    <t>['aplikasi', 'telkomsel', 'instal', 'ber', 'kali', 'kali', 'dicoba', '']</t>
  </si>
  <si>
    <t>['aplikasinya', 'ngilang', 'trus', 'downlod', 'berkali', 'kali', 'coba', 'tolong', 'perbaiki']</t>
  </si>
  <si>
    <t>['force', 'close', 'payah', 'update', '']</t>
  </si>
  <si>
    <t>['aplikasi', 'dibuka', 'capek', 'deh']</t>
  </si>
  <si>
    <t>['isi', 'pulsa', 'rb', 'beli', 'paket', 'combo', 'max', 'gb', 'sebulan', 'membuka', 'aplikasi', 'telkomsel', 'membeli', 'paket', 'combo', 'data', 'ribu', 'hilang', 'sia', 'sia', 'buka', 'aplikasi', 'telkomsel', 'wifi', 'membuka', 'aplikasi', 'loadingnya', 'data', 'ilang', 'ribu', 'gini', 'hadeh', 'make', 'harganya', 'ribu', 'kembalikan', 'ribu', 'hilang']</t>
  </si>
  <si>
    <t>['mudah', 'beli', 'paket']</t>
  </si>
  <si>
    <t>['isi', 'pulsa', 'kepotong', 'berlangganan', 'apapun', 'payahhh']</t>
  </si>
  <si>
    <t>['provider', 'paketan', 'mahal', 'sinyal', 'jelek', 'banget', 'sampah']</t>
  </si>
  <si>
    <t>['memuaskan', 'pelanggan', '']</t>
  </si>
  <si>
    <t>['tingkatkan', 'kekuatan', 'jaringan', 'pelosok', 'desa']</t>
  </si>
  <si>
    <t>['aplikasi', 'promo', 'terkadang', 'bug', 'merugikan']</t>
  </si>
  <si>
    <t>['msuk', 'mytelkomsel']</t>
  </si>
  <si>
    <t>['semau', '']</t>
  </si>
  <si>
    <t>['diperbaharui', 'kebuka', 'gmn']</t>
  </si>
  <si>
    <t>['', 'aplikasinya', 'buka', '']</t>
  </si>
  <si>
    <t>['tolong', 'data', 'gratis', 'serperti', 'teman', 'sya']</t>
  </si>
  <si>
    <t>['bos']</t>
  </si>
  <si>
    <t>['knp', 'telkomsel', 'upgrade', 'gabisa', 'dibuka', '']</t>
  </si>
  <si>
    <t>['telkomsel', 'mengecewakan', 'sinyalnya', 'susah', 'nyaman', 'tolong', 'perbaiki', 'jaringnya', 'langanan', 'sangatengecewakan']</t>
  </si>
  <si>
    <t>['tolong', 'telkomsel', 'perbaiki', 'apk', 'buka', 'apk', 'white', 'screen', 'buka', 'tolong', 'perbaiki', '']</t>
  </si>
  <si>
    <t>['terima', 'kasih', 'tsel', 'kualitasnya', 'sedia', 'ngegame', 'lancar', 'jaya', '']</t>
  </si>
  <si>
    <t>['paketan', 'data', 'mahal', 'gb', 'cuman', 'gb', '']</t>
  </si>
  <si>
    <t>['bug', 'loading', 'cek', 'loading', 'ditunggu', 'loading', 'muter', 'tolonglah', 'perbaiki', 'buatlah', 'konsumen', 'nyaman', 'aplikasi']</t>
  </si>
  <si>
    <t>['kecewa', 'buka', 'tgl', 'sep', 'boro', 'buka', 'suruh', 'hubungi', '']</t>
  </si>
  <si>
    <t>['beli', 'paket', 'gacha', 'paket', 'mahal', 'sinyal', 'lambat']</t>
  </si>
  <si>
    <t>['update', 'musti', 'hape', 'bit', 'hape', 'bit', 'blank', 'putih', 'abis', 'update', 'pas', 'dipindahin', 'bit', 'normal', 'kali', 'update', 'wajib', 'bit', 'pemberitahuan', '']</t>
  </si>
  <si>
    <t>['aplikasi', 'telkomsel', 'uninstal', 'pas', 'instal', 'ulang', '']</t>
  </si>
  <si>
    <t>['semenjak', 'diupdate', 'dibuka', 'aplikasi', 'uninstal', 'nggak', 'dibuka']</t>
  </si>
  <si>
    <t>['buruk', 'dibuka', 'aplikasinya']</t>
  </si>
  <si>
    <t>['puas', 'menggunankan', 'layanan', 'telkomsel', 'saran', 'ditingkatkan', 'kekuatan', 'sinyalnya', '']</t>
  </si>
  <si>
    <t>['aplikasi', 'telkomsel', 'buka', 'udah', 'uninstal', 'download', 'tidqk', 'kebuka']</t>
  </si>
  <si>
    <t>['login', 'masuknya']</t>
  </si>
  <si>
    <t>['kecewa', 'konsisten', 'paket', 'promo', 'desember', 'tanggal', 'pilihan', 'menu', 'beli', 'paket', 'hapus', 'telkomsel', 'hahaha', 'ngakak']</t>
  </si>
  <si>
    <t>['masuk', 'telkomsel', '']</t>
  </si>
  <si>
    <t>['mantap', 'penawaran', 'harga', 'paketnya', 'murah', '']</t>
  </si>
  <si>
    <t>['mantap', 'pakai', 'telkomsel', '']</t>
  </si>
  <si>
    <t>['buka', 'aplikasi', 'muncul', 'putih', 'doang', 'gimana', 'yaa', 'udah', 'hapus', 'download', 'tetep', 'udah', 'download', 'hapus', 'udah', 'kali', 'gitu', 'beli', 'layar', 'putih', 'doang', 'muncul']</t>
  </si>
  <si>
    <t>['', 'telkomsel', 'dihati']</t>
  </si>
  <si>
    <t>['udah', 'instal', 'instal', 'tetep', 'ngga', 'kebuka', '']</t>
  </si>
  <si>
    <t>['habis', 'update', 'gabisa', 'buka']</t>
  </si>
  <si>
    <t>['nomor', 'kasih', 'mahal']</t>
  </si>
  <si>
    <t>['jaringan', 'daerah', 'tinggal', 'msh', 'bagus', 'tolong', 'tingkat', 'layanan', 'jaringan', 'daerah']</t>
  </si>
  <si>
    <t>['memudahkan', 'pelanggan', 'setia', 'telkomsel']</t>
  </si>
  <si>
    <t>['buka', 'telkomsel', 'muncul', 'layar', 'putih', 'mohon', 'bantuanya', 'terima', 'kasih']</t>
  </si>
  <si>
    <t>['harga', 'paket', 'skrng', 'mahal', 'jaringan', 'peningkatan', 'sempet', 'telfon', 'prabayar', 'tolak', 'paket', 'harganya', 'pengisian', 'kouta']</t>
  </si>
  <si>
    <t>['', 'brebes', 'sinyal', 'jelek', 'banget', 'tolong', 'tinjau', 'ulang', 'makan', 'hasilnya', 'ngak', 'ngontrol', 'pekerjaan', 'woyy']</t>
  </si>
  <si>
    <t>['layanan', 'bagus', 'pas', 'paket', 'mati', 'ditawarkan', 'paket', 'darurat', 'diaktifkan', 'paket', 'darurat', 'masuk', 'pas', 'isi', 'pulsa', 'eeh', 'paket', 'darurat', 'ikutan', 'aktif', 'bkn', 'paket', 'darurat', 'namanya', '']</t>
  </si>
  <si>
    <t>['pakai', 'komen', '']</t>
  </si>
  <si>
    <t>['', 'tny', 'apliksi', 'telkomsel', 'menghilang', 'abis', 'upgrape', 'perangkat', 'lunak', 'install', 'ulang', '']</t>
  </si>
  <si>
    <t>['aplikasi', 'errornya', 'diperbaiki']</t>
  </si>
  <si>
    <t>['knapa', 'masuk', 'slalu', 'blank', 'putih', 'layar', 'ram', 'gb']</t>
  </si>
  <si>
    <t>['sinyal', 'sulit', 'turun', 'mohon', 'segerah', 'perbaikan', 'mohon', 'perhatikan', '']</t>
  </si>
  <si>
    <t>['telkomsel', 'sihh', 'paket', 'multimedia', 'akses', 'game', 'telkomsel', 'burik', 'white', 'screen', 'trus']</t>
  </si>
  <si>
    <t>['aplikasinya', 'kebuka', 'udh', 'update', 'jaringannya', 'jls', 'pas', 'beli', 'kuota', 'mahal', 'gmn', 'sich']</t>
  </si>
  <si>
    <t>['surprise', 'deal', 'fup', 'gb', 'gb', 'nomor', 'please', 'fix', 'atuh', '']</t>
  </si>
  <si>
    <t>['apps', 'membantu', '']</t>
  </si>
  <si>
    <t>['update', 'aplikasi', 'diupdate', 'knp', 'layar', 'putih', 'doang', 'benerin', 'doong', 'crash', '']</t>
  </si>
  <si>
    <t>['maaf', 'kasih', 'bintang', 'proses', 'pembelian', 'paket', 'data', 'aplikasi', 'tolong', 'diperbaiki', 'darurat', 'semangat', 'pengembang', '']</t>
  </si>
  <si>
    <t>['min', 'aplikasi', 'diupdate', 'dibuka', 'aplikasinya', '']</t>
  </si>
  <si>
    <t>['app', 'keren']</t>
  </si>
  <si>
    <t>['pulsa', 'beli', 'paket', 'sisa', 'pulsa']</t>
  </si>
  <si>
    <t>['udah', 'kali', 'coba', 'beli', 'kuota', 'internet', 'koneksi', 'wifi', 'bagus', 'tlg', 'telkomsel', 'knp', 'trpaksa', 'deh', 'respek', 'kurangi', 'bintang', 'aplikasi', 'klu', 'udah', 'kutmbh', 'bntangnya', 'min']</t>
  </si>
  <si>
    <t>['perbaiki', 'sinyal', 'maen', 'game', 'ping', 'ngelag']</t>
  </si>
  <si>
    <t>['pakai', 'wifi', 'pulsa', 'dipakai', 'kebutuhan', 'mendadak', 'ngorot', 'ilang', '']</t>
  </si>
  <si>
    <t>['malas', 'telkomsel', 'eror', 'buka', 'aplikasi', 'layarnya', 'putih', 'ngak', 'masuk', 'udah', 'udah', 'instal', 'aplikasi', 'masuk', 'app', 'layarnya', 'putih', 'semuaa']</t>
  </si>
  <si>
    <t>['loading', 'buka', 'aplikasinya', 'banget', 'akun', 'login', 'loading', 'gabisa', 'masuk', 'hadeh', '']</t>
  </si>
  <si>
    <t>['aplikasi', 'menghilang', 'install']</t>
  </si>
  <si>
    <t>['samsung', 'mendukung', 'aplikasi', 'buka', 'aplikasi', 'blank', '']</t>
  </si>
  <si>
    <t>['paket', 'doang', 'mahal', 'sinyal', 'ngga', 'kapok', 'kartu', '']</t>
  </si>
  <si>
    <t>['keluhan', 'veronica', 'lambat', 'berbelit', 'belit', 'memuakkan']</t>
  </si>
  <si>
    <t>['telkomsel', 'apdet', 'pas', 'login', '']</t>
  </si>
  <si>
    <t>['telkomsel', 'gimana', 'beli', 'kuota', 'beli', 'paket', 'telfon', 'suruh', 'nunggu', 'trs', 'udah', 'mahal', 'berkualitas', 'udah', 'mahal', 'pelayanan', 'jelek']</t>
  </si>
  <si>
    <t>['knpa', 'bsa', 'buka']</t>
  </si>
  <si>
    <t>['mantap', 'tingkatkan', 'trus', 'binusan', 'paketanya']</t>
  </si>
  <si>
    <t>['okelah']</t>
  </si>
  <si>
    <t>['telkomsel', 'beli', 'paket', 'ketengan', 'youtube', 'unlimited', 'video', 'youtube', 'paket', 'berfungsi', 'tolong', 'aplikasi', 'perbaiki', 'karna', 'merugikan', 'masyarakat', '']</t>
  </si>
  <si>
    <t>['buka', 'telkomselya', '']</t>
  </si>
  <si>
    <t>['ngasih', 'bonus', 'pulsa', 'unfaedah', 'gada', 'mending', 'gausah', 'dikasih', 'cumn', 'sehari', 'abistuh', 'telvon', 'dipotong', 'pulsa', 'utama', 'payahh', '']</t>
  </si>
  <si>
    <t>['akses', 'data', 'min']</t>
  </si>
  <si>
    <t>['pulsa', 'hilang', 'pulsa', 'sisa', 'habis']</t>
  </si>
  <si>
    <t>['cek', 'apk', 'refresh', 'sampe']</t>
  </si>
  <si>
    <t>['oke', 'lumayan', 'membantu']</t>
  </si>
  <si>
    <t>['aplikasi', 'kreng', 'banget', 'promo', 'pelanggannya', 'bner', 'dek', 'good', 'job']</t>
  </si>
  <si>
    <t>['membantu', 'info', 'peroleh', '']</t>
  </si>
  <si>
    <t>['donwload', 'seblm', 'udh', 'uninstall']</t>
  </si>
  <si>
    <t>['udah', 'kali', 'download', 'bisq', 'instal']</t>
  </si>
  <si>
    <t>['sinyal', 'parah', 'daerah', 'kec', 'pasean', 'kab', 'pamekasan', 'madura']</t>
  </si>
  <si>
    <t>['minggu', 'jaringan', 'bagus', 'talun', 'kenas', 'kecamatan', 'sibiru', 'biru', 'kabupaten', 'deli', 'serdang', 'kota', 'medan', 'mohon', 'diperbaiki']</t>
  </si>
  <si>
    <t>['jelek', 'udah', 'isi', 'pulsa', 'aktifkan', 'paket', 'gangguan', 'suruh', 'menit', 'kmudian', 'coba', 'menit', 'gangguan', 'mahal', 'mahal', 'harganya', 'saran', 'telkomsel', 'jual', 'paket', 'data', 'mahal', 'mahal', 'masukkannya', 'keluhan', 'dri', 'pelanggan', 'ngatasi', 'bangkrut', 'telkomsel']</t>
  </si>
  <si>
    <t>['terima', 'kasih', 'promonya', 'bagus']</t>
  </si>
  <si>
    <t>['terima', 'kasih', 'lancar', 'cepat']</t>
  </si>
  <si>
    <t>['gimana', 'apps', 'telkomsel', 'update', 'dibuka', 'muncul', 'layarnya', 'sungguh', 'mengecewakan']</t>
  </si>
  <si>
    <t>['diinstal', 'samsung', 'plus', 'update', 'android', '']</t>
  </si>
  <si>
    <t>['tingkatkan', 'jaringan', 'telkomsel']</t>
  </si>
  <si>
    <t>['telkomsel', 'signal', 'kuat', 'hebat', 'mahal', '']</t>
  </si>
  <si>
    <t>['rtingkatkan']</t>
  </si>
  <si>
    <t>['diperbaharui', 'dibuka']</t>
  </si>
  <si>
    <t>['beli', 'kuota', 'jaringan', 'jaringan', 'cuman']</t>
  </si>
  <si>
    <t>['membatu', 'harga', 'paketnya', 'seribu', 'seribu', 'bagus', 'membantu', 'tingkatkan', 'pertahankan', '']</t>
  </si>
  <si>
    <t>['beli', 'paket']</t>
  </si>
  <si>
    <t>['dipertahankan']</t>
  </si>
  <si>
    <t>['kecewa', 'jelek', 'jelek', 'jelek', 'jelek', 'pelayanan']</t>
  </si>
  <si>
    <t>['kecewa', 'fitur', 'telkomsel', 'kartu', 'paket', 'internet', 'telkomsel', 'mengambil', 'pulsa', 'fitur', 'akses', 'internet', 'aktifkan', 'kartu', 'fitur', 'dimatikan', 'prosesnya', 'terlaksana', '']</t>
  </si>
  <si>
    <t>['kasih', 'promo', 'min', 'babi', 'pengguna', 'kasih', 'kasih', 'user', 'kasih', 'adil', 'udh', 'mahal', 'paket', 'kartu', 'mahalin', 'mikir', 'min', 'jaringan']</t>
  </si>
  <si>
    <t>['menarik', 'apk', 'bagus', '']</t>
  </si>
  <si>
    <t>['menu', 'geser', 'indikator', 'kuotanya', 'susah', 'digeser', 'ganggu', 'kesel', 'hrs', 'berkali', 'geser', '']</t>
  </si>
  <si>
    <t>['pulsa', 'otomatis', 'ksedot', 'pdhal', 'hutang', 'pulsa', 'sengaja', 'beli', 'kuota', '']</t>
  </si>
  <si>
    <t>['jelek', 'telkomsel', 'skrg', 'isi', 'pls', 'jam', 'slalu', 'bermasalahh', 'plsnya', 'masuk', 'masuk']</t>
  </si>
  <si>
    <t>['jaringan', 'bagus', 'kedepannya']</t>
  </si>
  <si>
    <t>['solusi', 'admin', 'mengatasi', 'aplikasi', 'dibuka']</t>
  </si>
  <si>
    <t>['segini', 'transfer', 'poin']</t>
  </si>
  <si>
    <t>['provider', 'aneh', 'pulsa', 'habis', 'fair', 'tlg', 'manajemen', 'diperbaiki']</t>
  </si>
  <si>
    <t>['sinyal', 'telkomsel', 'stabil', 'putus', 'ngegame', 'kalah', 'karna', 'sinyal', 'putus', '']</t>
  </si>
  <si>
    <t>['zainul', 'kholiq', 'sagat', 'bagus']</t>
  </si>
  <si>
    <t>['hai', 'telkomsel', 'mendingan', 'hapus', 'deh', 'aplikasi', 'hai', 'mimin', 'balas', 'bantuannya']</t>
  </si>
  <si>
    <t>['bagus', 'jelek', 'sialan', 'kartu', 'halo']</t>
  </si>
  <si>
    <t>['tolong', 'jaringan', 'perbaiki', 'tolong', 'paket', 'internet', 'murah', 'murah']</t>
  </si>
  <si>
    <t>['udah', 'pakek', 'telkomsel', 'dapet', 'kombo', 'saktik', 'teman', 'udah', 'dapet', 'murah', '']</t>
  </si>
  <si>
    <t>['ssya', 'puas']</t>
  </si>
  <si>
    <t>['pulsa', 'rb', 'tersedia', 'mytelkomsel']</t>
  </si>
  <si>
    <t>['kemaren', 'sampaisaatini', 'dibuka', 'cek', 'kouta', 'data', 'mohon', 'tlg', 'diperbaiki', 'semoga', 'lancar', 'trim', 'ksh', '']</t>
  </si>
  <si>
    <t>['aplikasi', 'install', 'tolong', '']</t>
  </si>
  <si>
    <t>['telkomsel', 'anjingggg', 'setannn', 'lag', 'setannnn', 'beli', 'paketttt', 'kerja', 'telkomsel', 'anak', 'setannnnn', 'anjingggg', 'babyyyy', 'binatang', 'main', 'game', 'laggg', 'anjingggg', 'dasar', 'jaringan', 'jaringan', 'monyetttt', 'asuuuu']</t>
  </si>
  <si>
    <t>['pulsa', 'beli', 'paket', 'data', 'mencukupi', 'pulsa', 'sisa', 'harga', 'diaplikasi', 'gimana', 'ceritanya', 'dicoba', 'berkali', 'tetep', 'gagal', 'sampe', 'males', 'veronika', 'veronika', 'responnya', 'banget', 'gajelas', 'veronika', 'bantu', '']</t>
  </si>
  <si>
    <t>['sinyalnya', 'jelekkkkk', '']</t>
  </si>
  <si>
    <t>['', 'blum', 'bnyak']</t>
  </si>
  <si>
    <t>['telkomsel', 'anak', 'perusahaan', 'telkom', 'perusahaan', 'milik', 'negara', 'aplikasi', 'buka', 'tindakan', 'aplikasi', 'klu', 'buka', 'layarnya', 'blank', 'putih', 'tolong', 'keprofesional', 'perusahaan', 'telekomunikasi', 'terbesar', 'indonesia', 'ngecewakan', 'pelanggan']</t>
  </si>
  <si>
    <t>['', 'telkomsel', 'udah', 'kasih', 'bintang', 'bonus', 'pulsa', 'ngak', 'ayo', 'pulsa']</t>
  </si>
  <si>
    <t>['bagus', 'kagak', 'promo', 'paket', 'combo', 'murah', 'telkomsel']</t>
  </si>
  <si>
    <t>['logik', 'telkomsel', 'tolong', 'perbaiki', 'udah', 'perbaiki', 'lasi', 'bintang', '']</t>
  </si>
  <si>
    <t>['pin', 'password', 'sidik']</t>
  </si>
  <si>
    <t>['jos', 'membantu']</t>
  </si>
  <si>
    <t>['merasakan', 'kuat', 'signal', 'puas', 'telkomsel', 'siip', 'mantapp', '']</t>
  </si>
  <si>
    <t>['maaf', 'mengerti', 'kepotong', 'pulsanya', 'memakai', 'paket', 'khusus', 'paket', 'internet', 'sadari', 'jaringan', 'drop', 'pulsa', 'kepotong', 'pesan', 'pemakaian', 'internet', 'non', 'paket', '']</t>
  </si>
  <si>
    <t>['suka', 'mmberikan', 'informasi', 'sngat', 'akurat']</t>
  </si>
  <si>
    <t>['enga', 'buka', 'aplikasinya', 'udah', 'hapus', 'unduh', 'enga', 'kebuka', 'minggu', 'enga', 'buka', 'aplikasinya', '']</t>
  </si>
  <si>
    <t>['telkomsel', 'emang', 'terbaik', 'berkembang', 'sinyal', 'indonesia', 'pengguna', 'telkomsel', 'puas', 'kadang', 'jaringan', 'buruk', 'pedesaan', 'dataran']</t>
  </si>
  <si>
    <t>['perbaiki', 'aplikasinya', 'bro', 'malu', 'in', 'provider', 'gede', 'nama', 'kenyamanan', 'pelanggan', 'korbanin', 'login', 'susah', 'aplikasi']</t>
  </si>
  <si>
    <t>['aplikasi', 'membantu', 'aktivitas', 'sehari']</t>
  </si>
  <si>
    <t>['harga', 'paket', 'data', 'mantap']</t>
  </si>
  <si>
    <t>['update', 'ngeblank', 'masuk', 'menu', 'login', 'udah', 'lho', 'putih', 'doank', 'tampilannya', 'tolong', 'tanggapanny', 'bozz', 'ngambang', 'jawabannya']</t>
  </si>
  <si>
    <t>['bermanfaat', 'pengguna', 'telkomsel']</t>
  </si>
  <si>
    <t>['sinyal', 'jelek', 'bangat']</t>
  </si>
  <si>
    <t>['', 'telkomselnya', 'terbuka', 'knp', 'yaaa', 'jaringan', 'bgus', 'kooo', '']</t>
  </si>
  <si>
    <t>['hai', 'min', 'menginstal', 'aplikasi', 'mytelkomsel', 'tolong', 'diperbaiki', '']</t>
  </si>
  <si>
    <t>['kasih', 'hadiah', 'harian', 'min', 'hrganya', 'kurangin', 'dikit', '']</t>
  </si>
  <si>
    <t>['sisa', 'kuota', 'internet', 'bulanan', 'diperpanjang', 'sisa', 'kuota', 'hangus']</t>
  </si>
  <si>
    <t>['jaringan', 'lemot', 'leoding', 'lambat']</t>
  </si>
  <si>
    <t>['terimaksih', 'telkomsel', 'menemani', 'telkomsel', 'lupa', 'give', 'way', 'bantu', 'orang', 'terkena', 'musibah']</t>
  </si>
  <si>
    <t>['males', 'paki', 'telkomsel', 'kirim', 'pulsa', 'nomer', 'bsa', '']</t>
  </si>
  <si>
    <t>['suka', 'apps', 'gampang', 'membeli', 'paket', 'data', 'pulsa', 'harga', 'terjangkau']</t>
  </si>
  <si>
    <t>['kasih', 'bintang', 'tolong', 'perbaiki', 'berlangganan', 'paket', 'darurat', 'otomatis', 'berlangganan', 'kecewa', 'telkomsel', 'tolong', 'perbaiki']</t>
  </si>
  <si>
    <t>['', 'telkomsel', 'hilang', 'layar', 'instal', 'dilayar', 'telkomsel', 'spt', '']</t>
  </si>
  <si>
    <t>['bangkai', 'til', 'sel', 'main', 'game', 'putus']</t>
  </si>
  <si>
    <t>['udah', 'lemot', 'dibuka', 'kebuka', 'tampil', 'layarnya', 'roam', 'tersedia', 'giga', 'kosong', 'mito', 'woi', 'telkomsel', 'benerin', 'apk', 'burik']</t>
  </si>
  <si>
    <t>['sumpah', 'komplain', 'jaringan', 'gue', 'lelet', 'tindak']</t>
  </si>
  <si>
    <t>['internet', 'lokal', 'daerah', 'mengaktifkan', 'paket', 'data']</t>
  </si>
  <si>
    <t>['kurangan']</t>
  </si>
  <si>
    <t>['koneksi', 'tolong', 'perbaiki', 'koneksi', 'mendung', 'mendung', 'koneksi', 'internetnya', 'konek', 'cuacanya', 'mendung', 'harga', 'app', 'mytelkomsel', 'gitu', 'mas', 'beli', 'paket', 'combo', 'sakti', 'app', 'aktif', 'paketnya', 'berkurang', 'kadang', 'inimah', 'mah', 'korup', 'aktif', 'paket', 'beli', 'langsung', 'grapari', 'hr', 'aktif', '']</t>
  </si>
  <si>
    <t>['telkomsel', 'kuota', 'mahal', 'napa', 'liat', 'kebawah', 'udh', 'bilangin', 'kuotanya', 'mahal']</t>
  </si>
  <si>
    <t>['aneh', 'telkomsel', 'operator', 'indonesia', 'jaringan', 'lelet', 'ampun', 'ganguan', 'semoga', 'dengar', 'manajemen', 'telkomsel', 'tolong', 'perbaikin']</t>
  </si>
  <si>
    <t>['malam', 'lemot', 'jam', 'keatas', '']</t>
  </si>
  <si>
    <t>['jaringan', 'down', 'mulu', 'tolong', 'perbaiki', 'paket', 'mahal', 'jaringan', 'susah', 'gimana', '']</t>
  </si>
  <si>
    <t>['masuk', 'apk', 'udah', 'berulang', 'kali', 'instal']</t>
  </si>
  <si>
    <t>['bedebets', 'pokok', '']</t>
  </si>
  <si>
    <t>['telkomsel', 'buka', 'tolong', 'gimana']</t>
  </si>
  <si>
    <t>['halo', 'mytelkomsel', 'aplikasi', 'telkomsel', 'hilang', 'reinstall', 'selesai', 'download', 'gagal', 'tulis', 'gagal', 'mamasang', 'aplikasi']</t>
  </si>
  <si>
    <t>['telkomsel', 'anak', 'babi', 'sinyal', 'ngelag', 'kali']</t>
  </si>
  <si>
    <t>['belik', 'paket', 'mahal', 'gunanya', 'sinyalnya', 'lemot', 'nyesel', 'ngisi', 'pulsa', 'beli', 'paket', 'gini', 'mendingan', 'beli', 'kartu', '']</t>
  </si>
  <si>
    <t>['sinyal', 'bagus', 'kartunya', '']</t>
  </si>
  <si>
    <t>['', 'biaa', 'dibuka', 'jelek', 'daerah', 'padangsidimpuan', 'sipirok', 'senyalnya', 'buruk']</t>
  </si>
  <si>
    <t>['telkomsel', 'halooo', 'internet', 'labuhan', 'ratu', 'raya', 'terganggu', 'gada', 'solusi', 'telkomselllllll', 'uda', 'ngadu', 'ttep', 'gda', 'perubahan']</t>
  </si>
  <si>
    <t>['simple', 'mudah', 'cepat', 'bermanfaat']</t>
  </si>
  <si>
    <t>['mudahan', 'cepat', 'lodingnya']</t>
  </si>
  <si>
    <t>['mantap', 'puas']</t>
  </si>
  <si>
    <t>['gangguan', 'mulu', 'jaringan', 'kuganti', 'bintang', '']</t>
  </si>
  <si>
    <t>['sinyal', 'berasa', '']</t>
  </si>
  <si>
    <t>['mantap', 'sinyalnya', 'kuat']</t>
  </si>
  <si>
    <t>['android', 'hilang', 'instal', 'mohon', 'diperbaiki', '']</t>
  </si>
  <si>
    <t>['memudahkan', 'pembelian', 'paket', 'data', 'pulsa', 'terimakasih', 'telkomsel']</t>
  </si>
  <si>
    <t>['sayang', 'banget', 'nama', 'tarif', 'berbeda', 'dibandingkan', 'provider', 'telkomsel', 'kalah', 'kualitas', 'kecepatannya', 'hobi', 'game', 'jelek']</t>
  </si>
  <si>
    <t>['jelek', 'sinyalnya', 'sesuai', 'harga']</t>
  </si>
  <si>
    <t>['semoga', 'paket', 'internet', 'loop', 'unlimited', 'gua', 'beli', 'seminggu', 'aktifnya']</t>
  </si>
  <si>
    <t>['kemarin', 'dibuka', 'putih', 'doank']</t>
  </si>
  <si>
    <t>['mati', 'lampu', 'signal', 'langsung', 'hilang', 'kecewa']</t>
  </si>
  <si>
    <t>['lemot', 'beli', 'kuota', 'gb', 'mahal', 'doang', 'beli', 'kaga', 'kepake', 'pertahankan', 'kaya', 'gini', 'bagus', 'bubar', 'detik', 'putus', 'telkomsel', 'kehidupan', '']</t>
  </si>
  <si>
    <t>['jelek', 'apkl', 'ngecek', '']</t>
  </si>
  <si>
    <t>['kecewa', 'performa', 'sinyal', 'stabill']</t>
  </si>
  <si>
    <t>['sinyal', 'busuk', 'terimakasih']</t>
  </si>
  <si>
    <t>['telkomsel', 'update', 'disuruh', 'update', '']</t>
  </si>
  <si>
    <t>['bisah', 'buka']</t>
  </si>
  <si>
    <t>['murahin', 'dikit']</t>
  </si>
  <si>
    <t>['surabaya', 'sinyalnya', 'stabil', 'kasih', 'bintang']</t>
  </si>
  <si>
    <t>['jaringannya', 'luplep']</t>
  </si>
  <si>
    <t>['jaringan', 'telkomsel', 'isi', 'kuota', 'gb', 'trs', 'gunanya', 'klw', 'gini', '']</t>
  </si>
  <si>
    <t>['eror', 'lemot', 'banget', 'kadang', 'jaringan', 'ilang', 'gangguan', '']</t>
  </si>
  <si>
    <t>['maaf', 'punyaku', 'dibuka', 'layar', 'putih']</t>
  </si>
  <si>
    <t>['maaf', 'download', 'aplikasi', 'telkomsel', 'selesai', 'instal']</t>
  </si>
  <si>
    <t>['aplikasi', 'kasih', 'aneh', 'eror', 'kecewa', '']</t>
  </si>
  <si>
    <t>['abis', 'update', 'error']</t>
  </si>
  <si>
    <t>['knp', 'buka', 'aplikasi', 'pdhal', 'kmrin', 'bis']</t>
  </si>
  <si>
    <t>['applikasi', 'membantu', 'orang', 'kelas', 'sepertiku', 'terima', 'kasih']</t>
  </si>
  <si>
    <t>['sinyal', 'lelet', 'amet', 'niat', 'jualan', 'kuota', 'nggak', 'kalok', 'nggak', 'afk', '']</t>
  </si>
  <si>
    <t>['min', 'gimana', 'beli', 'paket', 'data', 'udh', 'beli', 'paket', 'data', 'tolong', 'perbaiki']</t>
  </si>
  <si>
    <t>['kesini', 'jaringan', 'telkomsel', 'jelek', 'banget', 'beli', 'kuota', 'harganya', 'mahal', 'jaringannya', 'jelek', 'merugikan']</t>
  </si>
  <si>
    <t>['min', 'telkomsel', 'jelek', 'sma', 'pakai', 'pulsa', 'nggak', 'kesedot', 'ngisi', 'perpanjang', 'aktif', 'kmren', 'bagus', 'cek', 'pulsa', 'hasil', 'dri', 'ngisi', 'skrang', 'hilang', 'padahl', 'nggak', 'internetan', 'jngan', 'kecewa', 'pelanggan', 'setia', 'min']</t>
  </si>
  <si>
    <t>['aplikasi', 'dibuka', 'kuotanya', 'udah', 'beli']</t>
  </si>
  <si>
    <t>['dibuka', 'mengguna', 'paket', 'telkomsel', '']</t>
  </si>
  <si>
    <t>['paketannya', '']</t>
  </si>
  <si>
    <t>['mohon', 'perbaiki', 'jaringan', 'lemot', '']</t>
  </si>
  <si>
    <t>['telkomsel', 'jelek', 'sinyal', 'sampe', 'urusan', 'pulsa', 'kadang', 'abis', 'gitu', 'payah']</t>
  </si>
  <si>
    <t>['kecewa', 'isiin', 'pulsa', 'kepotong', 'isiin', 'terterahnya', 'pulsa', 'udah', 'kali', 'isi', 'pulsa']</t>
  </si>
  <si>
    <t>['alhmdulillah', 'terbantu', 'promo', 'promo', 'banyakin', 'murah', 'meriah', 'kalah', 'im', 'axis', 'trie', 'sisah', 'kuota', 'hangus', 'perpanjang', 'isi', 'kuota', '']</t>
  </si>
  <si>
    <t>['korupsi', 'isi', 'pulsa', 'tarik', 'brapa', 'kali', 'kejadian', '']</t>
  </si>
  <si>
    <t>['sinyal', 'parah', 'harga', 'paket', 'mahal', 'ngotak', '']</t>
  </si>
  <si>
    <t>['aplikasi', 'support', 'jenis', '']</t>
  </si>
  <si>
    <t>['sinyalnya', 'parah', 'ancur', 'tolong', 'cuman', 'paketannya', 'mahal', 'kualitasnya', 'jelek', '']</t>
  </si>
  <si>
    <t>['membantu', 'mantap']</t>
  </si>
  <si>
    <t>['paket', 'mahal', 'jaringan', '']</t>
  </si>
  <si>
    <t>['diskon', 'trus', '']</t>
  </si>
  <si>
    <t>['rekomon', 'bnget']</t>
  </si>
  <si>
    <t>['bsa', 'masuk', 'aplikasi', 'coba', 'bsa', 'capek', 'min', '']</t>
  </si>
  <si>
    <t>['paket', 'mahal', 'dlu', 'paket', 'gb', 'ribuan', 'skrang', 'ribu', 'gb', 'paket', 'beli', 'hilang']</t>
  </si>
  <si>
    <t>['aplikasi', 'telkomsel', 'hilang', 'trus', 'pas', 'instal', 'ulang', '']</t>
  </si>
  <si>
    <t>['jaringan', 'hujan', 'mati', 'lampu', 'pulsa', 'kuota', 'mahal', 'dibanding', 'nomor', 'sebanding', 'servicenya', 'mengeluh', 'berubah', 'nelpon', 'sms', 'dipedalaman', 'signal', 'zaman', 'sosmed', 'apalah', 'gunanya', 'kuota', 'bergiga', 'giga', 'jaringan', 'internetx', '']</t>
  </si>
  <si>
    <t>['membantu', 'banget', 'tanks', 'mytelkomsel']</t>
  </si>
  <si>
    <t>['kecewa', 'lemot', 'banget', 'jaringan', 'kebanyakan', 'turun', 'dri', 'pda', 'buruk', 'buruk', 'buruk']</t>
  </si>
  <si>
    <t>['baguss', 'praktis', 'mudahh']</t>
  </si>
  <si>
    <t>['uda', 'ngak', 'bagus', 'jaringan', 'telkomsel', 'serasa', 'maen', 'hutan']</t>
  </si>
  <si>
    <t>['babi', 'jaringan', 'ancur']</t>
  </si>
  <si>
    <t>['pelayanan', 'komsumen', 'buruk', 'ngechat', 'bales', 'telkomsel', 'amburadul', 'pelanggan', 'setia', 'kecewa']</t>
  </si>
  <si>
    <t>['sinyal', 'lag', 'banget', 'kemarin', 'aman', 'aman', 'desember', 'langsung', 'lag', 'yak']</t>
  </si>
  <si>
    <t>['min', 'tolong', 'aplikasinya', 'terbuka', '']</t>
  </si>
  <si>
    <t>['sinyal', 'parah', 'nggak', 'lancar', 'tanah', 'karo', 'tolong', 'bantu', 'min', 'mengganggu', 'utuk', 'game', 'online', 'medi', 'social']</t>
  </si>
  <si>
    <t>['', 'app', 'kebuka']</t>
  </si>
  <si>
    <t>['bangga', 'pelanggan', 'setia', 'telkomsel', 'jaringan', 'super', 'cepat', 'jet', 'dimana', 'telkomsel', 'ayo', 'buruan', 'pakai', 'telkomsel']</t>
  </si>
  <si>
    <t>['', 'yaa', 'dibuka', 'telkomsel', 'kemaren', 'cmn', 'white', 'screen', 'gitu', 'sii', '']</t>
  </si>
  <si>
    <t>['aplikasi', 'ancur', 'buka']</t>
  </si>
  <si>
    <t>['telkomsel', 'main', 'potong', 'pulsa', 'paket', 'lho', 'pesan', 'masuk', 'pulsa', 'terpakai', 'akses', 'internet', 'hubungi', 'admin', 'telkomsel', 'respon', 'pulsa', 'kepotong', 'jujur', 'kecewa', 'layanan', 'telkomsel', '']</t>
  </si>
  <si>
    <t>['perbaharui', 'perangkat', 'lunak', 'aplikasi', 'hilang', 'instal', 'ulang', 'pas', 'diinstal', 'berkali', '']</t>
  </si>
  <si>
    <t>['harga', 'mahal', 'sinyal', 'gada', 'nilai', 'ngotak']</t>
  </si>
  <si>
    <t>['', 'bagus', 'manget', 'pakenya', 'murah']</t>
  </si>
  <si>
    <t>['', 'aplikasi', 'dri', 'buka', 'udah', 'instql', 'ulang']</t>
  </si>
  <si>
    <t>['sinyal', 'leg', 'parah', 'pas', 'main', 'game', 'mentang', 'mentang', 'hutang', 'pulsa', 'rb', 'bayar', 'sinyal', 'hancur', 'gitu', 'hebat', 'kali', 'telkomsel', '']</t>
  </si>
  <si>
    <t>['', 'login', 'mentok', 'logo']</t>
  </si>
  <si>
    <t>['aplikasi', 'terinstal', 'samsung', 'galaxy', 'versi', 'android', '']</t>
  </si>
  <si>
    <t>['mudah', 'cepat', '']</t>
  </si>
  <si>
    <t>['aplikasi', 'selal', 'eror', 'pakai', 'klaim', 'mengunakan', 'telkomsel', 'poin', 'tukarkan']</t>
  </si>
  <si>
    <t>['telkomsel', 'terhormat', 'keluhan', 'isi', 'pulsa', 'datanya', 'matikan']</t>
  </si>
  <si>
    <t>['towernya', 'dimana', 'jaringannya', 'lemot', 'mending', 'towernya', 'ngk', 'pasang', 'jaringan', 'towernya', 'penghalang', 'perusak', 'pemandangan', 'telkomsel', 'perusak', 'jaringan']</t>
  </si>
  <si>
    <t>['', 'telkomsel', 'mantap', 'paket', 'muda', 'bayak', 'pilihannya']</t>
  </si>
  <si>
    <t>['update', 'mlh', 'buka']</t>
  </si>
  <si>
    <t>['mantap', 'makasih', 'telkomsel', 'paket', 'murah', 'ribet', 'beli']</t>
  </si>
  <si>
    <t>['slow', 'connection', 'kode', 'otp', 'transaksi', 'mbanking', 'terlambat', 'dikirim']</t>
  </si>
  <si>
    <t>['susah', 'gangguan']</t>
  </si>
  <si>
    <t>['semoga', 'luas', 'jaringannya', 'semogs', 'sinyal', 'jaringan', 'bagus']</t>
  </si>
  <si>
    <t>['sinyal', 'lemot', 'gajelas', 'suka', 'ilang', 'beli', 'kuota', 'kemaren', 'nyesel', 'beli', 'nyesel', 'udah', 'pengguna', 'tsel', '']</t>
  </si>
  <si>
    <t>['tingkatkan', 'promonya', 'senang', 'telkomsel']</t>
  </si>
  <si>
    <t>['memasang', 'paket', 'pulsa', 'mencukupi', 'perbaharui', 'keluhan', 'veronika', 'tanggapi', 'layanan', '']</t>
  </si>
  <si>
    <t>['layanan', 'puass', 'adaa', 'combo', 'saktii', 'kartu', 'kartu', 'udah', 'pakai']</t>
  </si>
  <si>
    <t>['kartu', 'ampas', 'lag', 'qontol']</t>
  </si>
  <si>
    <t>['jaringan', 'kyk', 'baby', 'kuota', 'mahal', 'sinyal', 'murahan', 'woi', 'sesuaikan', 'gaji', 'kalean', 'buka', 'yutube', 'burik', 'abis', 'gaji', 'kerj', 'bangunan', 'beli', 'kuota', 'babi', 'kontooool', 'blok', 'akun', 'bohong', 'sempak', 'klean', 'anjeeeng', 'habis', 'ksabaran', 'dri', 'taun', 'kmaren', 'maki', 'operatornya', 'lgi', 'slhkan', 'donal', 'trump', 'jokowi', 'suka', 'dngn', 'tmuin', 'sabet', 'sapu', 'lidi', '']</t>
  </si>
  <si>
    <t>['terima', 'kasih', 'aplikasi', 'mytelkomsel', 'memudahkan', 'beli', 'paket', 'internet']</t>
  </si>
  <si>
    <t>['woi', 'telkomsel', 'pulsa', 'gue', 'kesedot', 'gue', 'cuman', 'beli', 'kuota', 'unlimitid', 'gue', 'udah', 'beli', 'pulsa', 'gue', 'aplikasi', 'telkomselnya', 'habis', 'masuk', 'langsung', 'nol', 'kuota', 'ngak', 'dipake', 'tolong', 'perbaiki', 'ganti', 'rugi', 'lebar', 'bayar', 'bulsa', 'seharga', 'ngelebarin', 'duit', 'orang', 'telkomsel', '']</t>
  </si>
  <si>
    <t>['pulsa', 'gue', 'kmna', 'maketin', 'ambil', 'pulsa', 'pdhal', 'paket', 'pulsa', 'ambil', 'provaider', 'indo', 'knapa', 'skrang', 'ancur']</t>
  </si>
  <si>
    <t>['apk', 'bagus', 'bngt']</t>
  </si>
  <si>
    <t>['bagus', 'nyaman', 'mytelkomsel']</t>
  </si>
  <si>
    <t>['beli', 'paket', 'internet', '']</t>
  </si>
  <si>
    <t>['tolonglah', 'jaringanya', 'mkin', 'prah', 'perbedaan', 'bgtu', 'krtu', 'ama', 'krtu', 'iya', 'pengguna', 'telkomsel', 'wifi', 'ama', 'pengguna', 'telkomsel', 'saking', 'jomplang', 'krtu', 'ama', 'pengguna', '']</t>
  </si>
  <si>
    <t>['koneksi', 'kencang', 'membuka', 'aplikasi', '']</t>
  </si>
  <si>
    <t>['bang', 'hubungannya', 'ama', 'gedung', 'cyber', 'jaringannya', 'kayak', 'kesel', 'kek', 'gini', 'nonton', 'live', 'steaming', 'onlyvans', 'gara', 'gara', 'jaringannya', 'lag', 'gini', 'fantekkk']</t>
  </si>
  <si>
    <t>['sengaja', 'kasih', 'bintang', 'kadang', 'bagus', 'kadang', 'suka', 'angin', 'angin', 'harga', 'kuotanya', 'suka', 'dibeli', 'pas', 'butuh', 'butuhnya', 'kuota', '']</t>
  </si>
  <si>
    <t>['jaringan', 'internet', 'teramat', 'lambat', 'why', 'terkhusus', 'daerah', 'musi', 'banyuasin', 'kerja', 'gardu', 'induk', 'pln', 'sekayu', 'kota', 'jaringan', 'internet', 'emosi', 'ayolah', 'perbaiki', 'sistem', 'pelayanan', 'publik', '']</t>
  </si>
  <si>
    <t>['paket', 'data', 'milih']</t>
  </si>
  <si>
    <t>['paket', 'gamesnya', 'pekek', 'kayak', 'taik', 'unlimitid', 'taik']</t>
  </si>
  <si>
    <t>['gua', 'saranin', 'jngan', 'telkomsel', 'jarangganya', 'nipu', 'masak', 'jaringgan', 'balok', 'ful', 'alokasi', 'data', 'ndk', 'biah', 'gunnain', 'nipu', 'kalai']</t>
  </si>
  <si>
    <t>['respon', 'aplikasi', 'paketan', 'kebuka', 'beli', 'ribet', 'heran', 'management', 'pura', 'tutup', 'mata', 'weeeeeeuy', 'tingkat', 'kualitas', 'mundur']</t>
  </si>
  <si>
    <t>['parah', 'gue', 'beli', 'kuota', 'kaga', 'digunain', 'kaga', 'niat', 'usaha', 'gulung', 'tikar', 'najis']</t>
  </si>
  <si>
    <t>['gua', 'beli', 'paket', 'mahal', 'mahal', 'jaringannya', 'busuk', '']</t>
  </si>
  <si>
    <t>['', 'privasi', 'telkomsel', 'internetnya', 'mahal', 'lemot', 'top', 'pokoknya', '']</t>
  </si>
  <si>
    <t>['membantu', 'mempermudah', 'cek', 'pulsa', 'beli', 'paket', 'internet']</t>
  </si>
  <si>
    <t>['bagus', 'error']</t>
  </si>
  <si>
    <t>['jaringan', 'telkomsel', 'skarang', 'leg', 'bagus', 'pakai', 'main', 'game', 'pubg']</t>
  </si>
  <si>
    <t>['ngelag', 'tros', 'full']</t>
  </si>
  <si>
    <t>['best', 'bug', 'aplikasi', 'buka', '']</t>
  </si>
  <si>
    <t>['suka', 'isi', 'pulsa', 'koin', 'plisss']</t>
  </si>
  <si>
    <t>['jelek', 'telkomsel', '']</t>
  </si>
  <si>
    <t>['paket', 'mahal', 'jaringan', 'ancur', 'nambah', 'udh', 'cok', 'butuh', 'kestabilan', 'kecepatan']</t>
  </si>
  <si>
    <t>['aplikasi', 'dibuka', 'tampilan', 'kosong', 'cahaya', 'putih', 'doang', 'diuninstall', 'download', 'brfungsi', 'knapa', '']</t>
  </si>
  <si>
    <t>['promo', 'membantu']</t>
  </si>
  <si>
    <t>['telkomsel', 'mahal', 'lemot', 'kali', 'jaringannya', 'main', 'game', 'online', 'lemot', 'bener']</t>
  </si>
  <si>
    <t>['gimana', 'aplikasi', 'abis', 'update', 'langsung', 'dibuka', 'gmna', 'ancur']</t>
  </si>
  <si>
    <t>['harga', 'paket', 'mahal', 'jaringan', 'kaya', 'sampah', 'kerjanya', 'blm', 'digaji', 'gimana', 'jaringan', 'banget', 'gangguan', 'heran', '']</t>
  </si>
  <si>
    <t>['min', 'error', 'mulu', 'pas', 'facebook', 'kagak', 'like', 'liat', 'foto', 'kuota', 'beli', 'pas', 'maen', 'game', 'online', 'patah', 'patah', 'mulu', 'solusi', 'lancar', 'kayak']</t>
  </si>
  <si>
    <t>['coba', 'pakai', 'aplikasi']</t>
  </si>
  <si>
    <t>['bagus', 'support', 'android', '']</t>
  </si>
  <si>
    <t>['isi', 'pakee', 'egk', 'paketan', 'cuman', 'maen', 'paket', 'paket', 'egk', 'jelass', 'sayangg', 'banget', 'isi', 'pulsa', 'egk', 'aada', 'paket', 'belii']</t>
  </si>
  <si>
    <t>['gimana', 'jaringan', 'telkomsel', 'jelek', 'udah', 'harga', 'kuotanya', 'mahal', 'jaringan', 'lelet', 'kadang', 'suka', 'hilang', 'pengguna', 'telkomsel', 'kecewa', 'disaat', 'belajar', 'jaringannya', 'eror', 'disaat', 'bermain', 'game', 'online', 'jaringannya', 'stabil', 'emosi', 'banting', 'mohon', 'cepat', 'diperbaiki']</t>
  </si>
  <si>
    <t>['mudah', 'pengecekan', 'kuota']</t>
  </si>
  <si>
    <t>['telkomsel', 'mengecewakan', 'jlk', 'bngt', 'sinyal', 'emosi']</t>
  </si>
  <si>
    <t>['sinyal', 'jelek', 'kasih', 'bagus', 'fulstar']</t>
  </si>
  <si>
    <t>['', 'butuh', 'akses', 'internet', 'buru', 'ekh', 'aplikasinya', 'update', 'githu', 'lalod', 'makan', 'pulsa', 'aktifkan', 'paketnya', 'terpaksa', 'deh', 'nambah', 'pulsa', '']</t>
  </si>
  <si>
    <t>['paket', 'game', 'paket', 'gb', 'gaguna', 'aneh', 'provider', 'buang', 'gaguna', 'cari', 'provider']</t>
  </si>
  <si>
    <t>['coba', 'ksh', 'bintang']</t>
  </si>
  <si>
    <t>['', 'telkomsel', 'baju', 'banget', 'suka']</t>
  </si>
  <si>
    <t>['puas', 'telkomsel', '']</t>
  </si>
  <si>
    <t>['mantap', 'perbanyak', 'promo', '']</t>
  </si>
  <si>
    <t>['heran', 'puas', 'kualitas', 'jaringan', 'telkomsel', 'tpi', 'rentingnya', 'bagus', 'badan', 'usaha', 'milik', 'pemerintah', 'lainya', 'bobrok']</t>
  </si>
  <si>
    <t>['update', 'terbaru', 'telkomsel', 'terbuka', '']</t>
  </si>
  <si>
    <t>['', 'telkom', 'brp', 'detik', 'ilang', 'sinyal', 'masuk', 'ngaruh', 'dipake', 'maen', 'game']</t>
  </si>
  <si>
    <t>['makasih', 'mudah', 'banget']</t>
  </si>
  <si>
    <t>['mengecewakan', 'paket', 'internet', 'pulsa', 'kesedot', 'internetan', 'belom', 'gangguan', 'jaringan', 'paket', 'habis', 'tampa', 'pemberitahuan', 'telkomsel', 'mengecewakan', '']</t>
  </si>
  <si>
    <t>['perbaiki', 'fitur', 'pengisian', 'kouta', 'sesuai', 'jngan', 'potong', 'hri', 'gitu']</t>
  </si>
  <si>
    <t>['semoga', 'meningkat', 'buruan', 'pindah', 'indosat', 'jamin', 'jaringan', 'lancar', 'jaya', 'tinggalkan', 'telkomsel']</t>
  </si>
  <si>
    <t>['pulsa', 'ribu', 'daftar', 'paket', 'pulsa', 'sisa', 'gitu', 'sinyal', 'lelet', 'tolong', 'perbaiki', '']</t>
  </si>
  <si>
    <t>['kuota', 'mahal', 'singal', 'udah', 'telkomsel', 'kekurangan', 'keluhan', 'penggunanya', 'aktif', 'kartu', 'habis', 'aktifnya', 'mei', '']</t>
  </si>
  <si>
    <t>['download', 'update', 'software', '']</t>
  </si>
  <si>
    <t>['tarif', 'mahal', 'dipake', 'boros', 'kuota', 'pemakai', 'mahal', 'trs', 'paket', 'internetnya', 'menguntungkan', 'fungsi', 'poin', 'beli', 'paket']</t>
  </si>
  <si>
    <t>['pelanggan', 'telkomsel', 'tolong', 'hadiah', '']</t>
  </si>
  <si>
    <t>['telkomsel', 'haram', 'beli', 'paket', 'data']</t>
  </si>
  <si>
    <t>['aplikasi', 'ribet', 'informatif', '']</t>
  </si>
  <si>
    <t>['bagus', 'liat', 'paket']</t>
  </si>
  <si>
    <t>['nukar', 'poin', 'paket', 'telkomsel']</t>
  </si>
  <si>
    <t>['tolong', 'adakan', 'fitur', 'kunci', 'pulsa', 'sinyal', 'jaringan', 'telkomsel', 'lemot']</t>
  </si>
  <si>
    <t>['signal', 'buruk', 'giman', 'kepercayaan', 'pelanggan', 'menurun', 'udh', 'kuota', 'mahal', 'jaringan', 'sesuai', 'kecewa', '']</t>
  </si>
  <si>
    <t>['membantu', 'progam', 'telkom', 'semoga', 'telkom', '']</t>
  </si>
  <si>
    <t>['berpengelaman', 'jaringan', 'labil', 'turun', 'loss', 'loss', 'anjeng', 'cepet', 'provider']</t>
  </si>
  <si>
    <t>['persulit', 'download', 'telkomsel', 'murahin', 'paketanya']</t>
  </si>
  <si>
    <t>['lupa', 'bersukur']</t>
  </si>
  <si>
    <t>['apk', 'dapet', 'ngurangin', 'pengeluaran']</t>
  </si>
  <si>
    <t>['telkomsel', 'buka', 'mohon', 'berri', 'penjelasan']</t>
  </si>
  <si>
    <t>['login', 'gimana', 'download', 'aplikasinya', 'lancar', '']</t>
  </si>
  <si>
    <t>['aplikasinya', 'nggak', 'dibuka']</t>
  </si>
  <si>
    <t>['sial', 'ngga', 'buka', 'kirain', 'jaring', 'ngelek', 'udah', 'pakai', 'huh', 'knpa', 'kasian']</t>
  </si>
  <si>
    <t>['tolong', 'telkomsel', 'aplikasi', 'simple', 'kasian', 'jaringan', 'rendah', 'ntuk', 'buka', 'apk', 'nunggu', 'ampe', 'bermenit', 'menit', '']</t>
  </si>
  <si>
    <t>['aplikasi', 'sampah', 'login', 'suruh', 'verifikasi', 'nomeeeerrrrr', 'trus', 'udah', 'loading', 'buanget', 'update', 'perkembangan']</t>
  </si>
  <si>
    <t>['ayo', 'cepat', 'donlot', 'promonya', 'bayar']</t>
  </si>
  <si>
    <t>['lemot', 'kebangetan']</t>
  </si>
  <si>
    <t>['bener', 'emang', 'telkomsel', 'poin', 'nggak', 'bohong']</t>
  </si>
  <si>
    <t>['paket', 'data', 'aktif', 'pulsanya', 'habis', 'telkomsel', 'knpa', 'payah', 'banget', '']</t>
  </si>
  <si>
    <t>['ngga', 'males', 'makan']</t>
  </si>
  <si>
    <t>['diupdate', 'versi', 'terbaru', 'nggak', 'dibuka', 'aneh']</t>
  </si>
  <si>
    <t>['sagat', 'nemuaskan']</t>
  </si>
  <si>
    <t>['mantap', 'telkomsel', 'menyediakan', 'mytelkomsel', 'mudah', 'ngecek', 'kuota', 'beli', 'kuota']</t>
  </si>
  <si>
    <t>['tolong', 'diperbaiki', 'pakai', 'samsung', 'ultra', 'hilang', 'telkomsel', 'instal', 'playstore', 'instal', 'telkomsel', 'instal', 'ulasan', 'ditambah', 'balasan', 'developer', 'disuruh', 'buka', 'telkomsel', 'trus', 'hubungi', 'fitur', 'bantuan', 'gimana', 'buka', 'aplikasi', 'telkomsel', 'hilang', 'didownload', 'diinstal', '']</t>
  </si>
  <si>
    <t>['yaa', 'bbrp', 'aplikasi', 'mytelkomsel', 'dibuka', 'udah', 'matiin', 'udah', 'intall', 'apk', 'tpi', 'ttp']</t>
  </si>
  <si>
    <t>['knapa', 'telkomsel', 'habis', 'diperbarui', 'dipakai', 'versi', 'android', '']</t>
  </si>
  <si>
    <t>['', 'telkomsel', 'bagus', 'banget', 'jaringan', 'mantap', 'pakei', 'jaringan', 'apapun', 'mantap', 'trimaksh', 'telkomsel']</t>
  </si>
  <si>
    <t>['kebiasaan', 'udah', 'beli', 'paket', 'sisa', 'pulsa', 'sedotin', 'mulu', 'gmna', 'min', 'gaada', 'konfirmasi', 'kau', 'sedot', 'kuota', 'maaf', 'ranting', '']</t>
  </si>
  <si>
    <t>['masuk', 'apk', 'telkomselnya', '']</t>
  </si>
  <si>
    <t>['berguna', 'kepepet']</t>
  </si>
  <si>
    <t>['cobain']</t>
  </si>
  <si>
    <t>['update', 'makah', 'ngak', 'instal', 'instal', 'ngak', 'sampe', 'force', 'close', 'otomatis', 'perbaikilah']</t>
  </si>
  <si>
    <t>['semoga', 'harinya', 'sinyal', 'bagus', 'buffering']</t>
  </si>
  <si>
    <t>['leg', 'trus', 'tae']</t>
  </si>
  <si>
    <t>['suka', 'promosi', 'koutanya']</t>
  </si>
  <si>
    <t>['barusan', 'update', 'gabisa', 'dibuka', 'cuman', 'blank', 'putih', 'layar', 'udah', 'coba', 'uninstal', 'tetep', 'tolong', 'dibantu', '']</t>
  </si>
  <si>
    <t>['log', 'sekian', '']</t>
  </si>
  <si>
    <t>['nggak', 'masuk', 'stelah', 'update']</t>
  </si>
  <si>
    <t>['asik', 'paket', 'murah']</t>
  </si>
  <si>
    <t>['buruk', 'mahal', 'doank', 'sinyalnye', 'jelek', 'bngt']</t>
  </si>
  <si>
    <t>['aplikasinya', 'masuk', 'white', 'screen', '']</t>
  </si>
  <si>
    <t>['telkomsel', 'buka', 'min']</t>
  </si>
  <si>
    <t>['aman', 'gampang']</t>
  </si>
  <si>
    <t>['apk', 'jelek', 'bong']</t>
  </si>
  <si>
    <t>['murah', 'harga', 'paket', 'kombo']</t>
  </si>
  <si>
    <t>['termikasih', 'terbantu', 'kemurahan', 'beli', 'paket']</t>
  </si>
  <si>
    <t>['dam', 'cepat']</t>
  </si>
  <si>
    <t>['senang', 'memiliki', 'aplikasi', 'telkomsel', 'karna', 'memuaskan', '']</t>
  </si>
  <si>
    <t>['kasih', 'mantab', 'kasih']</t>
  </si>
  <si>
    <t>['download', 'gabisa', 'dibuka', '']</t>
  </si>
  <si>
    <t>['mudah', 'cepat', 'nyaman']</t>
  </si>
  <si>
    <t>['aplikasinya', 'banget', 'buka', 'ngeblank', 'white', 'screen', 'doang', 'udah', 'update', 'tetep', 'ngebug', 'udah', 'reinstall', 'tetep', 'ngebug', 'diperbaiki', 'layanan', 'mahal', 'mahal', 'kualitasnya', 'minim', 'suka', 'sedot', 'pulsa', 'kuotanya', 'perbaiki', 'bug', 'secepatnya', '']</t>
  </si>
  <si>
    <t>['simpati', 'sinyalnya', 'bagus', '']</t>
  </si>
  <si>
    <t>['app', 'keinstal', '']</t>
  </si>
  <si>
    <t>['jelek', 'buka']</t>
  </si>
  <si>
    <t>['informasi', 'mudah', 'membantu', '']</t>
  </si>
  <si>
    <t>['min', 'mohon', 'perbaiki', 'sinyal', 'ngilang', 'mulu', '']</t>
  </si>
  <si>
    <t>['update', 'aplikasi', 'buka', 'gerangan', '']</t>
  </si>
  <si>
    <t>['knapa', 'skarang', 'tsel', 'sistem', 'trus', 'kmren', 'mohon', 'infonya', '']</t>
  </si>
  <si>
    <t>['kali', 'aplikasi', 'telkomsel', 'buruk']</t>
  </si>
  <si>
    <t>['maaf', 'kurangi', 'bintangnya', 'harga', 'paket', 'aplikasi', 'telkomsel', 'paket', 'murah', 'hilang', 'tolong', 'harga', 'paket', 'datanya', 'kembalikan', '']</t>
  </si>
  <si>
    <t>['pokok', 'pencuri', 'pulsa']</t>
  </si>
  <si>
    <t>['bbrp', 'telkomsel', 'buka', 'muncul', 'tulisan', 'loading', 'muncul', 'layar', 'putih', 'doang', 'udh', 'uninstall', 'install', 'tetep', 'muncul', 'layar', 'putih', 'doang', 'pdhl', 'dlu', 'aplikasi', 'stlh', 'update', 'kmrn', 'eror', 'gini']</t>
  </si>
  <si>
    <t>['kuota', 'unlimited', 'youtube', 'eror', 'dipakai', 'kuota', 'utama', 'kesedot', 'halo', 'kak', '']</t>
  </si>
  <si>
    <t>['white', 'screen', 'mohon', 'dibetulkan', 'updatean', 'buruk', 'cepetan', 'beli', 'paketan']</t>
  </si>
  <si>
    <t>['kasuka', 'sekli', 'aplikasi', '']</t>
  </si>
  <si>
    <t>['app', 'berguna', 'banget', 'ngga', 'ribet', 'membantu', 'informasi', 'pulsa', 'quira', 'dll', 'udah', 'gitu', 'hadiah', 'tawarkan', 'menggiurkan', 'nyata', 'tank', 'telkomsel', 'semoga', 'sukses']</t>
  </si>
  <si>
    <t>['telkomsel', 'nggak', 'jaringan', 'lelet', 'banget', 'sumpah', 'pelanggan', 'kecewa', '']</t>
  </si>
  <si>
    <t>['nge', 'game', 'ping', 'stabil', 'udah', 'bertahun', 'telkomsel', 'emang', 'bener', 'setia', 'kecewa', '']</t>
  </si>
  <si>
    <t>['mantap', 'langsung']</t>
  </si>
  <si>
    <t>['semoga', 'solusi', 'terbaik', 'consumen', 'hadapi']</t>
  </si>
  <si>
    <t>['jaringan', 'bagus', 'bermain', 'mobil', 'legend', 'leg', 'parah', 'kecewa']</t>
  </si>
  <si>
    <t>['udah', 'update', 'pembelian', 'paket', 'payment', 'commerce', 'tetep', 'gagal', 'koneksinya', 'bad', 'system', 'beres']</t>
  </si>
  <si>
    <t>['gua', 'beli', 'paket', 'gb', 'harganya', 'hilang', 'kagak', 'panel', 'pilihan', '']</t>
  </si>
  <si>
    <t>['keluarga', 'udah', 'kartu', 'telkomsel', 'lahir', 'masuk', 'usia', 'berlangganan', 'kecewa', 'operator', 'telkomsel', 'semenjak', 'kualitas', 'jaringan', 'telkomsel', 'menurun', 'jaringan', 'lelet', 'koneksi', 'internet', 'putus', 'stabil', 'konsumen', 'berhenti', 'langganan', 'tolong', 'ditingkatkan', 'kualitas', 'pelayanan', 'terlambat', '']</t>
  </si>
  <si>
    <t>['paket', 'lokal', 'gunakn']</t>
  </si>
  <si>
    <t>['komentar', 'produk', 'telkomsel', 'keluhan', 'singnal', 'baguss', 'update', 'singanl', 'area', 'area', 'pelanggan', 'telkomsel', 'rugi', 'pinda', 'layannan', 'mohon', 'update', 'singnal', 'dll', 'smoga', 'bermanfaat']</t>
  </si>
  <si>
    <t>['apalikasi', 'ambil', 'pulsa', 'meminjam', 'telkomsel', 'aduhh', 'parah', 'aplikasi', 'mending', 'uninstal', 'aplikasi', 'pencuri', 'pulsa', '']</t>
  </si>
  <si>
    <t>['halo', 'bos', 'aplikasinya', 'dibuka', 'knp', 'kolep', 'bos', 'mantan', 'karyawan', 'tdc', 'telkomsel', 'kecewa', 'karna', 'aplikasi', 'jlan', '']</t>
  </si>
  <si>
    <t>['', 'aplikasi', 'telkomsel', 'kebuka', 'update', '']</t>
  </si>
  <si>
    <t>['moneytari', 'harga', 'paket', 'cenderung', 'makai', 'telkomsel']</t>
  </si>
  <si>
    <t>['downgrade', 'update', 'white', 'screen', 'trus', 'buka']</t>
  </si>
  <si>
    <t>['udah', 'minggu', 'sinyal', 'telkomsel', 'down', 'udah', 'lapor', 'costumer', 'service', 'membantu', 'tower', 'rumah', 'sinyal', 'lag', 'parah']</t>
  </si>
  <si>
    <t>['harga', 'paketan', 'mahal', '']</t>
  </si>
  <si>
    <t>['white', 'screen', '']</t>
  </si>
  <si>
    <t>['mantap', 'pokok', 'telkomsel', 'jaringan', 'bagus', 'kuata', 'internet', 'mahal']</t>
  </si>
  <si>
    <t>['kemudahn']</t>
  </si>
  <si>
    <t>['mantap', 'gas', 'trus', 'promo', 'nua']</t>
  </si>
  <si>
    <t>['blm', 'promo', '']</t>
  </si>
  <si>
    <t>['mahal', 'paketnya', 'ditempat', 'kerjaku', 'jaringan', 'exis', 'nggak', 'kupakai', 'kartu', 'super', 'pelit', 'terpaksa', 'karna', 'ngk', 'jaringan']</t>
  </si>
  <si>
    <t>['menyediakan', 'layanan', 'magic', 'call', 'menyediakan', 'layanan', 'paket', 'perjam', 'perhati', 'mahal', 'menit', 'rupiah', 'cepat', 'habis', 'pulsa', 'dikembangkan', 'paket', 'magic', 'call', 'setahun', 'gitu', 'mulu']</t>
  </si>
  <si>
    <t>['aplikasi', 'hilang', 'ponsel', 'install', 'ulang', 'playstore', '']</t>
  </si>
  <si>
    <t>['heh', 'anak', 'haram', 'perbaiki', 'jarainganya', 'kasih', 'bintang', 'sadar', 'nambah', 'mabah', 'pekerjaan', 'udh', 'bayar', 'mahal', 'mahal', 'dapet', 'jaringan', 'abal', 'abal', 'word', 'mending', 'indosat']</t>
  </si>
  <si>
    <t>['pulsa', 'sedot', 'anjg', 'bener', 'donggg', 'berpa', 'kali', 'beli', 'pulsa', 'sedot', 'teruss', 'anjg', '']</t>
  </si>
  <si>
    <t>['mantap', 'tolong', 'hubung', 'akun', 'google']</t>
  </si>
  <si>
    <t>['tolong', 'fitur', 'perbaiki']</t>
  </si>
  <si>
    <t>['bbrp', 'aplikasi', 'myterkomsel', 'hilang', 'download', '']</t>
  </si>
  <si>
    <t>['kuota', 'gamesmax', 'nggak', 'dipake', 'main', 'game', 'pubg', 'dibohongi']</t>
  </si>
  <si>
    <t>['membantu', 'iklanin', 'pengguna', 'sel']</t>
  </si>
  <si>
    <t>['tolong', 'diperbaiki', 'instal', 'apkny', 'screen', 'white', 'tolong', 'diperbaiki', 'diperbaguskan', 'kpd', 'admin', 'telkomsel', 'devolernya', 'makasih', 'membantu', 'internet', '']</t>
  </si>
  <si>
    <t>['yth', 'telkomsel', 'ngasih', 'saran', 'alangkah', 'apk', 'telkomsel', 'fitur', 'lock', 'pulsa', 'abis', 'kuota', 'pulsa', 'potong', 'pengguna', 'kartu', 'telkomsel', 'udh', 'cinta', 'deh', 'kartu', 'telkomsel', 'kadang', 'kesel', 'kuota', 'abis', 'kartu', 'pulsa', 'tersadari', 'pulsa', 'kena', 'fitur', 'lock', 'pulsa', 'pengguna', 'kartu', 'kesal', '']</t>
  </si>
  <si>
    <t>['napa', 'apk', 'bukak']</t>
  </si>
  <si>
    <t>['kurag', 'peromo']</t>
  </si>
  <si>
    <t>['kayak', 'jaringan', 'telkomsel', 'susah', 'kali', 'klok', 'game', 'dll', 'perbaiki', '']</t>
  </si>
  <si>
    <t>['gabisa', 'dibukaaa']</t>
  </si>
  <si>
    <t>['puas', 'manteup']</t>
  </si>
  <si>
    <t>['kali', 'spam', 'poin', 'aplikasi', 'log', 'out']</t>
  </si>
  <si>
    <t>['blm', 'support', 'android', 'gagal', 'download']</t>
  </si>
  <si>
    <t>['simpati', 'emang', 'pilihanku']</t>
  </si>
  <si>
    <t>['pokok', 'top', 'telkomsel']</t>
  </si>
  <si>
    <t>['etika']</t>
  </si>
  <si>
    <t>['kuota', 'ajah', 'mahal', 'sinyal', 'kaya', 'taekkk', 'hapus', 'ajah', 'telkomsel', 'adain', 'maen', 'game', 'ngeleg', 'kaya', 'taekk']</t>
  </si>
  <si>
    <t>['telkomsel', 'jaringan', 'terjelek', 'terburik', 'termahal', 'pokoknya', 'sampah', 'bner', 'udah', 'buang', 'kartu', 'telkomsel', 'bagus', 'indosat', 'jauhhhhh', 'jaringan', 'bagusssss', 'telkomsel', 'ampassssss', 'ancurrrrr', 'burikkkkk', 'najisss']</t>
  </si>
  <si>
    <t>['murah', 'sgt', 'mbantu', 'pas', 'dompet', 'kering']</t>
  </si>
  <si>
    <t>['babi', 'moga', 'moga', 'mati', 'kgk', 'telkom', 'sinyal', 'kgk', 'diurus', 'promo', 'trs', 'diurus', 'kgk', 'niat', 'mending', 'tutup']</t>
  </si>
  <si>
    <t>['menerima', 'sms', 'kode', 'bank']</t>
  </si>
  <si>
    <t>['dimanapun', 'sinyal', 'telkomsel', 'berkomunikasi']</t>
  </si>
  <si>
    <t>['telkomsel', 'gajls', 'masukin', 'vocer', 'kouta', 'sinyal', 'pnuh', 'tpi', 'tulisannya', 'sibuk', 'mulu', 'dri', 'kmren', '']</t>
  </si>
  <si>
    <t>['mantep', '']</t>
  </si>
  <si>
    <t>['kualitas', 'jaringan', 'telkomsel', 'pengguna', 'telkomsel', 'cma', 'gunta', 'ganti', 'nomer', 'mudah', 'awet', 'terima', 'telkomsel']</t>
  </si>
  <si>
    <t>['pelayanan', 'costumer', 'service', 'buruk', 'merespon', 'keluhan', 'costumer', 'mohon', 'perbaiki', 'staff', 'costumer', 'service', '']</t>
  </si>
  <si>
    <t>['mantaff', 'joz']</t>
  </si>
  <si>
    <t>['semoga', 'hadiah', 'telkomsel', 'poin']</t>
  </si>
  <si>
    <t>['jaringan', 'jelek', 'internet', 'lambat', 'signal', 'internet', 'hilang']</t>
  </si>
  <si>
    <t>['setia', 'pakai', 'telkomsel', 'jaringanya', 'lemot', 'berpaling', 'kartu', '']</t>
  </si>
  <si>
    <t>['trjadi', 'kesalahan', 'beli', 'paket']</t>
  </si>
  <si>
    <t>['eror', 'mulu']</t>
  </si>
  <si>
    <t>['maaf', 'telkomsel', 'buka', 'udah', 'berlangganan', 'bertahun', 'kali', 'buka']</t>
  </si>
  <si>
    <t>['kemaren', 'aplikasinya', 'perbaharui', 'knp', 'skg', 'dibuka', '']</t>
  </si>
  <si>
    <t>['aplikasi', 'bagus', 'kasih', 'bintang', '']</t>
  </si>
  <si>
    <t>['beli', 'paket', 'diisi', 'pulsa', 'habis', 'langsung', 'beli', 'paket', 'apapun', 'sampe', 'pulsa', 'darurat', 'ehh', 'ujung', 'paket', 'masuk', 'aneh', 'intinya', 'nguras', 'pulsa']</t>
  </si>
  <si>
    <t>['telkomsel', 'tolong', 'jaringan', 'diperbaiki', 'mengirim', 'ulasan', 'dianggap', 'jaringan', 'lag', 'trs', 'malam', 'jam', 'keatas', 'leg', 'karuan', 'memasuki', 'playstore', 'mengirim', 'ulasan', 'susah', 'ulasan', 'dianggap', 'marah', 'tolong', 'developer', 'memperbaiki', 'jaringan', 'memperhatikan', 'pelanggan']</t>
  </si>
  <si>
    <t>['aplikasinya', 'kebuka', 'udah', 'upgred', 'nge', 'hang']</t>
  </si>
  <si>
    <t>['telkomsel', 'mengecewakan', 'jaringan', 'aduh', 'betulin', 'tolong']</t>
  </si>
  <si>
    <t>['aplikasinya', 'kacau', 'sekacau', 'pucuk', 'pimpinannya', 'mari', 'uninstall', 'berjamaah']</t>
  </si>
  <si>
    <t>['telkomsel', 'mending', 'gausah', 'paket', 'doang', 'sultan', 'jaringan', 'gembel', 'jaringan', 'hilang', 'lelet', 'paket', 'mahal', 'parah', 'esia', 'jadul']</t>
  </si>
  <si>
    <t>['gangguan', 'terusss', 'pulsa', 'full', 'beli', 'paket', 'ket', 'pulsa', 'mencukupi']</t>
  </si>
  <si>
    <t>['adain', 'fitur', 'penukaran', 'point', 'kuota', 'dipotong', 'pulsa', '']</t>
  </si>
  <si>
    <t>['masuk', 'daftar', 'paket', 'internet']</t>
  </si>
  <si>
    <t>['isi', 'kouta', 'ngeleg', 'ngeleg', 'pas', 'kain', 'rating', 'pes', 'apasii', 'gara', 'gara', 'sinyal', 'ngelag', 'rating', 'turun', 'tolong', 'perbaiki', 'gimana', 'pelanggan', 'puas', '']</t>
  </si>
  <si>
    <t>['paketnya', 'mahal', 'klau', 'murah', 'kasi', 'bintang', '']</t>
  </si>
  <si>
    <t>['baguss', 'memudahkan', 'pengguna']</t>
  </si>
  <si>
    <t>['berinovasi']</t>
  </si>
  <si>
    <t>['menyukainya']</t>
  </si>
  <si>
    <t>['miminnnnn', 'tolng', 'kuota', 'internet', 'promo', 'murah', 'habis', 'mahal', 'gini', 'mending', 'hilngin', 'bintang', '']</t>
  </si>
  <si>
    <t>['adain', 'games', 'ringan', 'berhadiah', '']</t>
  </si>
  <si>
    <t>['telkomsel', 'susah', 'signal', '']</t>
  </si>
  <si>
    <t>['terimakasih', 'telkomsel', 'suka', 'daily', 'check', 'ditambah', 'bonus', 'kuotanya']</t>
  </si>
  <si>
    <t>['tolong', 'bntu', 'min', 'dri', 'kemarin', 'eror', 'masuk', 'layar', 'putih', 'doank']</t>
  </si>
  <si>
    <t>['provider', 'aplikasi', 'kualitasnya', 'masuk', 'mall', 'dikit', 'sinyal', 'ilang', 'kota', 'dikit', 'sinyal', 'ilang', 'aplikasi', 'bagusnya', 'buka', 'aplikasi', 'nunggu', 'loadingnya', 'menit', 'bayar', 'nunggu', 'loading', 'menit', 'hadeh', 'gangguan', 'rutin', 'kek', 'makan', 'nasi', 'masuk', 'sms', 'judi', 'bola', 'penipuan', 'transfer', 'wkwkwkw', 'keamanan', 'terjamin', 'kualitas', 'mending', 'ganti', 'provider']</t>
  </si>
  <si>
    <t>['terima', 'kasih', 'siiip', 'mantaaap', '']</t>
  </si>
  <si>
    <t>['telkomsel', 'bukak', '']</t>
  </si>
  <si>
    <t>['apliaksi', 'bangus', 'berguna', 'banget', 'download']</t>
  </si>
  <si>
    <t>['udah', 'aplikasinya', 'buka', 'boss', 'tolong', 'perbaiki', 'boss', 'terima', 'kasih']</t>
  </si>
  <si>
    <t>['membantu', 'pembelian', 'kouta', 'baiknya', 'kuota']</t>
  </si>
  <si>
    <t>['hilang', 'instal', 'ulang', 'tetep', 'gimana', '']</t>
  </si>
  <si>
    <t>['aplikasinya', 'akses', 'reinstal', 'sbagainya', 'sinyal', 'mentok', 'strip', 'kadang', 'hilang', 'semoga', 'telkomsel', 'mendengar', 'membaca', 'keluhan', 'pelanggannya', 'terima', 'kasih']</t>
  </si>
  <si>
    <t>['harga', 'beli', 'paket', 'combo', 'sakti', 'knp', 'njirr', 'ntar', 'males', 'beli', '']</t>
  </si>
  <si>
    <t>['sinyal', 'kadang', 'ilang', 'ilang']</t>
  </si>
  <si>
    <t>['erorrr', 'loding']</t>
  </si>
  <si>
    <t>['lumayan', 'cepat', 'akses', 'kadang', 'lemot']</t>
  </si>
  <si>
    <t>['skrg', 'paket', 'data', 'simpati', 'kacau', 'kuota', 'kuota', 'multimedia', 'lemot', 'banget', 'pakai', 'mutar', 'yutub', 'buka', 'email', 'lemot', 'speed', 'kacau', 'pakai', 'plat', 'kuning', 'dech', 'paket', 'murah', 'speed', 'lancar', 'jaya', 'kuota', 'plat', 'merah', 'lemot', 'parah', 'sinyal', 'nyangkut', 'ilang', 'semoga', 'kedepan', 'perbaikan']</t>
  </si>
  <si>
    <t>['sisa', 'pulsa', 'habis', 'beli', 'pulsa', 'beli', 'paket', 'internet', 'sisanya', 'berkurang', 'sampe', 'habis', 'telkomsel', 'udah', 'byk', 'pelanggan', 'cari', 'keuntungan', '']</t>
  </si>
  <si>
    <t>['koneksi', 'internet', 'turun', 'macet']</t>
  </si>
  <si>
    <t>['', 'ngerti', 'telkomsel', 'jaringan', 'sesuai', 'harga', 'kouta', 'mahal', 'tolong', 'perbaiki', '']</t>
  </si>
  <si>
    <t>['pdhal', 'dlu', 'sellu', 'setia', 'telkomsel', 'sllu', 'cepat', 'knpa', 'sekrg', 'pas', 'udah', 'beli', 'paket', 'jaringn', 'internet', 'gguan', 'jaringan', 'jringan', 'hilang', 'beli', 'pket', 'mahal', 'dpt', 'hasill', 'lemot', '']</t>
  </si>
  <si>
    <t>['', 'salatiga', 'sinyal', 'buruk', 'games']</t>
  </si>
  <si>
    <t>['udah', 'apk', 'buka', 'blank', 'putih', 'doang']</t>
  </si>
  <si>
    <t>['apknya', 'bagus', 'banget', 'paket', 'mahal', 'tolong', 'kasi', 'murah', 'makasih']</t>
  </si>
  <si>
    <t>['telkomsel', 'layanan', 'pelanggan', 'tlp', 'suruh', 'pindah', 'telkomsel', 'hallo', 'pas', 'udah', 'pindah', 'paket', 'data', 'paket', 'gue', 'digunain', 'sms', 'bsa', 'tlp', 'hancur', 'telkomsel', 'pindah', 'hati', 'muak', 'kya', 'gini', 'nyesel', 'tlp']</t>
  </si>
  <si>
    <t>['telkomsel', 'paketan', 'kesedot', 'pulsa', 'babi']</t>
  </si>
  <si>
    <t>['tolong', 'sinyal', 'lnya', 'ditingkatkan', 'sukajadi', 'tamansari', 'gadogtengah', 'perubahan', 'kasih', 'bintang', 'oke', 'janji', 'udah', 'dibayar', 'semoga', 'telkomsel', 'jaya', 'tingkatkan', 'perbayak', 'jaringan', 'kuat', 'terimakasih']</t>
  </si>
  <si>
    <t>['kmren', 'aplikasinya', 'akses', 'namakan', 'telkomsel', '']</t>
  </si>
  <si>
    <t>['error', 'pas', 'masuk', 'aplikasinya', 'ngak', 'nyaman', 'telkomsel']</t>
  </si>
  <si>
    <t>['berkwalitas']</t>
  </si>
  <si>
    <t>['update', 'software', 'dak', 'install', 'app', 'app', 'aman', 'update', 'buruan', '']</t>
  </si>
  <si>
    <t>['halo', 'rincian', 'transaksi', 'aplikasi', 'lengkap', 'beli', 'paket', 'extra', 'kuota', 'harian', 'udh', 'muncul', 'tagihan', 'segitu', 'kepake', 'beli', 'rincianya', '']</t>
  </si>
  <si>
    <t>['veronica', 'maaf', 'karna', 'meningkatkan', 'kwalitas', 'layanan']</t>
  </si>
  <si>
    <t>['membantu', 'proses', 'pembelian', 'pulsa', '']</t>
  </si>
  <si>
    <t>['sorry', 'delete', 'aplikasinya', 'manfaatnya', 'daily', 'check', 'dapet', 'hangus', 'pdahal', 'kuota', 'blm', 'klaim', 'sebenernya', 'pke', 'kuota', 'krisis', 'kuota', 'utama', 'habis', 'taunya', 'habis', 'kuotanya', 'hilang', 'maksud', 'rajin', 'daily', 'check', 'mending', 'gausah', 'adain', 'program', 'kyk', 'gtu', 'manfaatnya', '']</t>
  </si>
  <si>
    <t>['kasih', 'bintang', 'paketnya', 'murahin', 'senang', '']</t>
  </si>
  <si>
    <t>['emang', 'iya', 'beli', 'mytelkomsel', 'mahal', '']</t>
  </si>
  <si>
    <t>['jaringan', 'telkomsel', 'pesaing', 'beratnya', 'parah', 'sinyal', 'fullllll', 'jaringan', 'kayanya', 'tower', 'nebeng', 'penyakitnya', 'percis', 'barengan', 'hebat', 'saran', 'menjual', 'kartu', 'telkomsel', 'sanggup', 'pelayanan', 'sesuai', 'harga', 'pakai', 'semain', 'lelet', 'kayanya', 'bagus', 'tetangga', 'merah', 'murmer', 'saran', 'turunin', 'harga', 'jual', 'kuota', 'jaringan', 'kaya', 'puasa', 'senin', 'kamis']</t>
  </si>
  <si>
    <t>['aplikasi', 'berguna', 'diskon', 'promo']</t>
  </si>
  <si>
    <t>['tolong', 'kualitas', 'jaringan', 'telkomsel', 'didaerah', 'diperbaiki', 'kecamatan', 'duripoku', 'kab', 'pasangkayu', 'mamuju', 'utara', 'jaringan', 'lelet', 'nelfon', 'kayak', 'kresek', 'bunyi', '']</t>
  </si>
  <si>
    <t>['udah', 'seminggu', 'apknya', 'blank', 'putih', 'doang', 'kebuka', 'updatean', 'prubahan', '']</t>
  </si>
  <si>
    <t>['buka', 'telkomsel', 'nyambungny']</t>
  </si>
  <si>
    <t>['rating', 'harga', 'paket', 'ribu', 'beli', 'pulsa', 'kali', 'efektif', 'pemborosan']</t>
  </si>
  <si>
    <t>['tksh', 'telkomsel', 'smoga', 'sesuai', 'ditawarkan', '']</t>
  </si>
  <si>
    <t>['woi', 'telkomsel', 'babi', 'ngapain', 'sinyal', 'jelek', 'jam', 'pagi', 'jam', 'malam', 'jelek', 'ajh', 'sinyal', 'bagus', 'buka', 'babi', 'buka', 'aplikasi', 'ganti', 'kartu', 'bagus', 'sinyal', 'telkomsel', 'buriq', 'moga', 'mati']</t>
  </si>
  <si>
    <t>['gajelas', 'udh', 'isi', 'pulsa', 'sesuai', 'butuhin', 'ilang', 'pilihan', 'belinya', 'kali', 'yaa', 'beli', 'kouta', 'cari', 'pacar', 'sihhhhhh', 'huft', '']</t>
  </si>
  <si>
    <t>['telkomsel', 'paket', 'nonton', 'youtube', 'unlimited', 'yaaa', '']</t>
  </si>
  <si>
    <t>['pket', 'ribu', 'dpt', 'jam', 'nlp']</t>
  </si>
  <si>
    <t>['', 'asw', 'pulsa', 'ilang', 'kemana', 'dasar', 'maling']</t>
  </si>
  <si>
    <t>['buka', 'pagi', 'bingung', 'gimana', 'bukaknya']</t>
  </si>
  <si>
    <t>['', 'paket', 'nelpon', 'pulsa', 'dihabisi', 'maksud', 'isi', 'pulsa', 'mati', 'data', 'off', 'apain', 'pulsa', 'tinggal', 'mati', 'pulsa', 'tinggal', 'sisa', 'sisa', 'sisa', 'pulsa', 'habis', 'tersisa', 'sebenernya', 'telkomsel', 'menipu', 'mencuri', 'pulsa', 'donk', 'kesal', 'kali', 'kartu', 'telkomsel']</t>
  </si>
  <si>
    <t>['bagus', 'pakai', 'kartu', 'jeeeeellllleeeeeeekkkkkkkk', 'kartu', 'gue', 'aktif', 'woi']</t>
  </si>
  <si>
    <t>['aplikasi', 'jelek', 'blank', 'putih']</t>
  </si>
  <si>
    <t>['babi', 'banget', 'sumpah', 'harga', 'mahal', 'kualitas', 'sinyal', 'kaya', 'babi']</t>
  </si>
  <si>
    <t>['pakek', 'stabillah', 'sinyalnya', 'gimana', '']</t>
  </si>
  <si>
    <t>['tolong', 'diperbaiki', 'bug', 'download', 'berbasis', 'android', 'app', 'didownload']</t>
  </si>
  <si>
    <t>['mohon', 'telkomsel', 'area', 'kabupaten', 'tasikmalaya', 'lte', 'daerah', 'singaparna', 'terima', 'kasih']</t>
  </si>
  <si>
    <t>['lelet', 'pelayanan', 'abal', 'abal', 'paket', 'mahal', 'sinyal', 'bermasalah', 'respon', 'admin', 'bot']</t>
  </si>
  <si>
    <t>['sinyal', 'telkomsel', 'jelek', 'tolong', 'telkomsel', 'diperbaiki', 'sinya', 'berhenti', 'langganan']</t>
  </si>
  <si>
    <t>['promo', 'harga', 'diperbanyak', 'promonya', 'makasi']</t>
  </si>
  <si>
    <t>['perbaikan', 'menerus']</t>
  </si>
  <si>
    <t>['karna', 'paket', 'internet', 'mahal']</t>
  </si>
  <si>
    <t>['saran', 'kunci', 'pulsa', 'paket', 'habis', 'pulsa', 'kepotong']</t>
  </si>
  <si>
    <t>['beli', 'paket', 'gagal', 'hubungi', 'ngebantu']</t>
  </si>
  <si>
    <t>['mantap', 'mudah', 'memakai', 'apllikasi']</t>
  </si>
  <si>
    <t>['saranin', 'murah', 'paket', 'melimpah', 'kartu', 'mahal', 'mahal']</t>
  </si>
  <si>
    <t>['tgl', 'beli', 'paketan', 'unlimited', 'rb', 'trs', 'tgl', 'udah', 'sms', 'paketan', 'tinggal', 'giga', 'tanggal', 'sms', 'paketan', 'habis', 'tinggal', 'hah', 'ngelawak', 'banget', 'iya', 'giga', 'habis', 'trs', 'unlimited', 'mb', 'perhari', 'hitung', 'sampe', 'batas', 'sampe', 'giga', 'lgsg', 'paketan', 'buka', 'shopie', 'lemot', 'buka', 'lemot', 'ato', 'tiktok', 'aduh', 'berasa', 'bohongin', 'konsumen', 'jujur', 'woy', 'jualan', 'paketan', 'mahal', 'uang', 'woy', '']</t>
  </si>
  <si>
    <t>['kasih', 'beli', 'kuota', 'gagal', 'membeli', 'live', 'chat', 'lengkap', 'aplikasinya', 'tolong', 'memperbaiki', 'beli', 'kuotanya', 'terima', 'kasih']</t>
  </si>
  <si>
    <t>['kartu', 'th', 'mati', 'lupa', 'isi', 'pulsa', 'trus', 'aktifin', 'galeri', 'paksa', 'ubah', 'hello', 'pascabayar', 'setuju', 'semenjak', 'pakai', 'hello', 'sinyal', 'internetnya', 'hilang', 'koneksi', 'tersendat', 'sendat', 'sinyal', 'seluler', 'full', 'harga', 'paketanya', 'mahal', 'banding', 'vendor', 'tolong', 'perbaiki', 'bintang', '']</t>
  </si>
  <si>
    <t>['aplikasi', 'membantu', 'repot', 'mengecek', 'aplikasi', 'telefon']</t>
  </si>
  <si>
    <t>['terimakasih', 'telkomsel', 'membantuku']</t>
  </si>
  <si>
    <t>['sayangnya', 'jaringan', 'dusun', 'pesanggrahan', 'desa', 'rapa', 'laok', 'kecamatan', 'omben', 'kabupaten', 'sampang', 'madura', 'signal', '']</t>
  </si>
  <si>
    <t>['jaringan', 'jaringan', 'bodoh', 'jaringan', 'murahan', 'kecewa', 'pelanggan', 'mlm', 'pagi', 'jaringanya', 'lelet', 'udh', 'beli', 'paket', 'mahal', 'tolonglh', 'diperbaiki', 'kubuang', 'kartu', 'telkomsel', 'taik', '']</t>
  </si>
  <si>
    <t>['gila', 'pelanggan', 'menyesal', 'pakai', 'telkomsel', 'jaringan', 'eror', 'custumer', 'servinya', 'chat', 'nggak', 'bales', 'bales', 'buruk', 'banget', 'telkomsel']</t>
  </si>
  <si>
    <t>['aplikasi', 'telkomsel', 'udh', 'blank', 'putih', 'hengk', 'coba', 'unistal', 'instal', 'telkomnya', 'tolong', 'perbaiki']</t>
  </si>
  <si>
    <t>['woi', 'telkomsel', 'jaringan', 'kayak', 'taik', 'dibangka', 'belitung', 'tolol', 'banget', 'jelek']</t>
  </si>
  <si>
    <t>['', 'telkomsel', 'login']</t>
  </si>
  <si>
    <t>['swtelah', 'update', 'gabisa', 'dibuka', '']</t>
  </si>
  <si>
    <t>['beli', 'paket', 'telkomsel', 'mahal', 'banget', 'telkomsel', 'bagusnya', 'nelfon', 'doang', 'dirumah', 'pke', 'wifi', 'diluar', 'rumah', 'tri', 'nelfon', 'telkomsel', '']</t>
  </si>
  <si>
    <t>['sinyal', 'kendala', 'suka', '']</t>
  </si>
  <si>
    <t>['produk', 'bervariasi', 'harga', 'terjangkau']</t>
  </si>
  <si>
    <t>['mantap', 'mempermudah', 'pembelian']</t>
  </si>
  <si>
    <t>['biarpun', 'paketannya', 'mahal', 'aplikasinya', 'harapan', 'semoga', 'kedepannya', 'kuotannya', 'harganya', '']</t>
  </si>
  <si>
    <t>['diperbarui', 'lemot', 'membuka', '']</t>
  </si>
  <si>
    <t>['kesal', 'pas', 'mengisi', 'kuota', 'unlimited', '']</t>
  </si>
  <si>
    <t>['memudahkan', 'irit', 'telkomsel']</t>
  </si>
  <si>
    <t>['membantu', 'hadiahnya', 'telkomsel', 'halo', 'sukses', 'telkomsel', '']</t>
  </si>
  <si>
    <t>['pelayanan', 'aplikasi', 'penggunaan', 'mengerti', 'sayang', 'poin', 'aplikasi', 'ganti', 'dengn', 'hadia', 'bagus', 'mohon', 'telkomsel', 'dukungan', 'pembelian', 'menggantikan', 'poin', 'hadiah', 'tukar', '']</t>
  </si>
  <si>
    <t>['', 'cek', 'kuota', 'nau', 'acces', 'mesti', 'uninstal', 'trus', 'download', 'lgi', 'buang', 'apps', 'telkomselnya', 'bintang', '']</t>
  </si>
  <si>
    <t>['memudahkan', 'membeli', 'paket', 'simple', 'pastinya', 'promo', 'promo', 'disediakan', 'telkomsel']</t>
  </si>
  <si>
    <t>['lemot', 'hrs', 'bedas', 'kuat', 'telkomsel']</t>
  </si>
  <si>
    <t>['eror', 'jelek', 'sel', 'buka', 'aplikasi', 'ngga', 'buka', 'layar', 'putih', 'udah', 'cek', 'ngga', '']</t>
  </si>
  <si>
    <t>['paket', 'unlimited', 'youtube', '']</t>
  </si>
  <si>
    <t>['mls', 'banget', 'pindah', 'jaringan', 'baguss', 'lohh']</t>
  </si>
  <si>
    <t>['mahal', 'bermutu', 'jaringan', 'kalah', 'provider', 'bangga', 'produk', 'anak', 'negeri', 'kejar', 'profit', 'kejar', 'kepuasan', 'konsumen']</t>
  </si>
  <si>
    <t>['cuman', 'gua', 'emang', 'ngak', 'download', 'android']</t>
  </si>
  <si>
    <t>['terkadang', 'telkomsel', 'nggk', 'adil', 'ngasih', 'paket', 'publik']</t>
  </si>
  <si>
    <t>['login', 'eror', 'ntang']</t>
  </si>
  <si>
    <t>['aplikasi', 'telkomsel', 'biaa', 'buka', 'ribet', '']</t>
  </si>
  <si>
    <t>['isi', 'paket', 'masuk', 'paket', 'suwadaya', 'gojek', 'hilang']</t>
  </si>
  <si>
    <t>['isi', 'pulsa', 'berselang', 'pulsa', 'tersedot', 'muncul', 'sms', 'akses', 'internet', 'non', 'paket', 'kartu', 'pulsa', 'tersedot', 'merugikan', '']</t>
  </si>
  <si>
    <t>['telkomsel', 'jaringan', 'lelet', 'bngt', 'nyesal', 'belik', 'kartu', 'telkomsel', 'pakai', 'kartu', 'banget', 'telkomsel', 'tolong', 'jaringan', 'perbaiki', 'pelanggan', 'puas']</t>
  </si>
  <si>
    <t>['maaf', 'kasih', 'bintang', 'paketnya', 'mahal', 'mahal', 'udah', 'jaringan', 'jelek', 'gimana', 'parah']</t>
  </si>
  <si>
    <t>['mantul', 'mantap', '']</t>
  </si>
  <si>
    <t>['tingkatkan', 'kualitas', 'promo']</t>
  </si>
  <si>
    <t>['beres', 'telkomsel', 'kouta', 'mahal', 'lelet', 'banget', 'jaringan', 'kalah', '']</t>
  </si>
  <si>
    <t>['update', 'trbru', 'msuk', 'apk', 'uninstall', 'trs', 'download', 'tetep', 'msuk', 'apk', 'blm', 'sempurna', 'pengguna', 'jngan', 'disarankan', 'untk', 'update', 'apk']</t>
  </si>
  <si>
    <t>['jaringan', 'bagus', 'harga', 'paket', 'mahal']</t>
  </si>
  <si>
    <t>['update', 'app', 'mytelkomsel', 'layar', 'putih']</t>
  </si>
  <si>
    <t>['murah', 'meriahh']</t>
  </si>
  <si>
    <t>['mahal', 'paketnya', 'habis', 'kesabaran', 'pingin', 'beralih', 'murah', 'gini']</t>
  </si>
  <si>
    <t>['telkomsel', 'memuaskan', 'bosqu']</t>
  </si>
  <si>
    <t>['gampang', 'registrasi']</t>
  </si>
  <si>
    <t>['mantap', 'aplikasinya', 'jdi', 'mudah', 'isi', 'saldo', 'keren', 'telkomsel', '']</t>
  </si>
  <si>
    <t>['bagus', 'ngga', 'report', 'beli', 'paket', 'internet']</t>
  </si>
  <si>
    <t>['trimah', 'kasih', 'telkomsel', 'membantu']</t>
  </si>
  <si>
    <t>['lumayan', 'ribet']</t>
  </si>
  <si>
    <t>['perbaiki', 'kualitas', 'jaringan', 'nyh', 'kouta', 'nyh', 'doang', 'mahal']</t>
  </si>
  <si>
    <t>['semoga', 'telkomsel', 'sinyal', 'jaringan', 'internet', 'desa', 'panunggulan', 'sukasari', 'kec', 'tunjung', 'teja', 'serang', 'banten', '']</t>
  </si>
  <si>
    <t>['sinyalnya', 'benerin', 'min', 'login', 'kgk', 'ane', 'telkonsel', 'gara', 'temen', 'ane', 'indosat', 'smartfren', 'lancar', '']</t>
  </si>
  <si>
    <t>['perbanyak', 'variasi', 'paket', 'internet', 'plus', 'telpon', 'gratis', 'operator']</t>
  </si>
  <si>
    <t>['jaringannya', 'dirumah', 'tolong', 'diperbaiki']</t>
  </si>
  <si>
    <t>['aflikasi', 'berguna', 'tukar', 'poin', 'pulsa', 'lol', 'katanyamurah', 'aplikasi', 'blokir']</t>
  </si>
  <si>
    <t>['udah', 'bbrp', 'buka', 'telkomsel', 'layarnya', 'putih', 'doang', 'tlg', '']</t>
  </si>
  <si>
    <t>['mantap', 'manfaat', '']</t>
  </si>
  <si>
    <t>['aplikasi', 'terbaik', 'lancar', 'kencang', 'paket', 'murahan', 'user', 'interface', 'user', 'friendly', 'pokoknya', 'debes', 'knapa', 'maaf', 'bang', 'puas', 'pelayanannya']</t>
  </si>
  <si>
    <t>['', 'muncul', 'notif', 'update', 'trus', 'aplikasi', 'update', 'mengecewakan', 'aplikasi', 'buka', 'alias', 'blank', 'bolak', 'uninstal', 'instal', 'ttpasih', 'payah', 'mengonyrol', 'pemakaian', 'pulsa', 'kuota', 'tolong', 'perbaiki', 'sistem', 'aplikasinya', 'aplikasi', 'error', 'paksa', 'update', 'date', 'error', 'telkomsel', 'payah', 'aplikasi', 'uji', 'coba', 'kasih', 'publik', 'payah', '']</t>
  </si>
  <si>
    <t>['laporan', 'menyarankan', 'updet', 'maaf', 'nggk', 'updet', 'karna', 'updet', 'nggk', 'buka']</t>
  </si>
  <si>
    <t>['mempermudah', '']</t>
  </si>
  <si>
    <t>['the', 'best', 'telkomsel', 'semoga', 'mangkin', 'jaya']</t>
  </si>
  <si>
    <t>['tolong', 'penukaran', 'poin', 'tukar', 'pulsa', '']</t>
  </si>
  <si>
    <t>['mantap', 'ribet']</t>
  </si>
  <si>
    <t>['udah', 'beli', 'beli', 'pulsa', 'kuota', 'cepet', 'abis', 'telkomsel', 'gaje', 'sinyal', 'jeleeeeeeeeek', 'ngeloding', 'vidio', 'loding', 'game', 'ngelag', 'hadehhh', 'payah', 'telkomsel', 'telkomsel', 'ganti', 'kartu', 'pale', 'telkomsel', 'jelek', 'jaringannya', 'nyebelin', '']</t>
  </si>
  <si>
    <t>['membantu', 'dlm', 'makasi', 'telkomsek']</t>
  </si>
  <si>
    <t>['mudah', 'murah', '']</t>
  </si>
  <si>
    <t>['byk', 'pilihan', 'telkomsel', 'jaringan', 'disemua', 'pelosok', 'thn', 'pakai', 'kartu', 'telkomsel']</t>
  </si>
  <si>
    <t>['layanan', 'bagus', 'cuman', 'skrng', 'hraga', 'mahal', 'bngt']</t>
  </si>
  <si>
    <t>['tingkatkan', 'bonus', 'dipakai']</t>
  </si>
  <si>
    <t>['abis', 'kuota', 'sedot', 'pulsa', 'jngn', 'sedot', 'konsumen', 'berhak', 'beli', 'kuotanya', 'pas', 'beli', 'kuota', 'pulsa', 'abiss', 'payah']</t>
  </si>
  <si>
    <t>['terimakasi', 'telkomsel', 'mengada', 'telkomsel', 'point', 'berharap', 'memenangkan', 'hadiah', 'telkomsel', 'point', '']</t>
  </si>
  <si>
    <t>['pakai', 'telkomsel', 'sinyal', 'buruk']</t>
  </si>
  <si>
    <t>['puas', 'membantu', '']</t>
  </si>
  <si>
    <t>['kecewa', 'telkomsel', 'jelek', 'jaringan', 'lelet', 'lemot', 'harga', 'kuota', 'mahal', 'udah', 'dibeli', 'dipakai', 'kuota', 'habis', 'isi', 'pulsa', 'didaftarkan', 'udah', 'kesedot', 'nyalakan', 'data', 'seluler', 'fitur', 'save', 'pulsa', 'tolong', 'provider', 'cepat', 'perbaiki']</t>
  </si>
  <si>
    <t>['beli', 'paketan', 'aplikasi', 'telkomsel', 'bln', 'sprti', 'trus', 'layanan', 'dperbaiki', 'hrga', 'mahal', 'provider', 'gini', 'top', 'trs', 'jaringan', 'eror', 'pdhl', 'jringan', 'bagus', 'kerja', 'telkomsel']</t>
  </si>
  <si>
    <t>['masuk', 'lelet']</t>
  </si>
  <si>
    <t>['bagus', 'promonya', 'sukses']</t>
  </si>
  <si>
    <t>['hargannya', 'mahal', 'jaringannya', 'ilang', 'ilangan']</t>
  </si>
  <si>
    <t>['telkom', 'pulsa', 'kesedot', 'hutang', 'beli']</t>
  </si>
  <si>
    <t>['jaringan', 'leletnya', 'ampun']</t>
  </si>
  <si>
    <t>['kemaren', 'kemaren', 'chek', 'udah', 'chek', 'update', 'update', 'chek', 'ehhh', 'taunya', 'ngulang', 'emang', 'chek', 'ane', 'hapus', 'lahh', 'menyusahkan', '']</t>
  </si>
  <si>
    <t>['murah', 'mudah']</t>
  </si>
  <si>
    <t>['paket', 'mahal', 'kayak']</t>
  </si>
  <si>
    <t>['cepat', 'anti', 'lelet']</t>
  </si>
  <si>
    <t>['aplikasi', 'buka', 'white', 'screen', 'telkomsel', '']</t>
  </si>
  <si>
    <t>['mohon', 'dibuatkan', 'fitur', 'widgetnya']</t>
  </si>
  <si>
    <t>['udh', 'update', 'selang', 'brpa', 'update', 'trus', 'gajelas', 'telkomsel', 'bangsattt']</t>
  </si>
  <si>
    <t>['mohon', 'update', 'install', 'android', 'bintang', 'sesuai', 'janji', 'install', 'pixel', 'xl', 'android', '']</t>
  </si>
  <si>
    <t>['aplikasinya', 'udah', 'bagus', 'combo', 'sakti', 'paket', 'paket', 'murah', 'toko', 'orang', 'orang', 'sekolah', 'pakai', 'kartu', 'tsel', 'membeli', 'pulsa', 'sekolah']</t>
  </si>
  <si>
    <t>['membantu', 'cepat']</t>
  </si>
  <si>
    <t>['pilihan', 'paket', 'skrg', 'banget', 'byk', 'beli', 'paket', 'kuota', 'kpake', 'enak', 'beli', 'internet', 'utama', 'butuhnya', 'txs']</t>
  </si>
  <si>
    <t>['telkomsel', 'cepat', 'murah', '']</t>
  </si>
  <si>
    <t>['daerah', 'terpencil', 'sinyal', '']</t>
  </si>
  <si>
    <t>['min', 'nanya', 'ditagih', 'mulu', 'paket', 'darurat', 'pdhl', 'udah', 'lunasinnya', 'pulsa', 'kepotong', 'rb', 'udah', 'kali', 'min', 'berhenti', 'lunasinnya', 'gimana', 'tanggal', 'ditagih', 'mulu', 'pdhl', 'udh', 'kepotong', 'pulsa', 'smpe', 'senin', 'kemarin', 'ditagih', 'mulu']</t>
  </si>
  <si>
    <t>['jangkauan', 'signalnya', 'luas', 'bagus', 'disaat', 'sisa', 'paket', 'lambat', 'lemot', '']</t>
  </si>
  <si>
    <t>['jaringan', 'stabil', 'makasihh', '']</t>
  </si>
  <si>
    <t>['kecewa', 'telkomsel', 'algoritma', 'telkomsel', 'strategi', 'bijak', 'pelanggan', 'membeli', 'paket', 'ribu', 'muncul', 'penawaran', 'paket', 'murah', 'bagus', 'pelanggan', 'kapok', 'mikir', 'melanjutkan', 'semoga', 'diperbaiki', 'ngajak', 'teman', 'migrasi', 'jujur', '']</t>
  </si>
  <si>
    <t>['akses', 'mudah', 'cepat']</t>
  </si>
  <si>
    <t>['', 'masuk', 'nomor', '']</t>
  </si>
  <si>
    <t>['mantep', 'jaringan', '']</t>
  </si>
  <si>
    <t>['', 'telkomsel', 'bangett', '']</t>
  </si>
  <si>
    <t>['login', 'dihadapkan', 'white', 'screen', 'ngga', 'login', 'ngga', 'bersahabat', 'aplikasi', 'providernya', '']</t>
  </si>
  <si>
    <t>['suka', 'promo', 'telkomsel', 'bwt', 'ngirit', 'pengeluaran']</t>
  </si>
  <si>
    <t>['telkomsel', 'semga', 'melayani']</t>
  </si>
  <si>
    <t>['baguss', 'ngga', 'tranfer', 'pulsa', 'yaa', '']</t>
  </si>
  <si>
    <t>['kak', 'tolong', 'cek', 'kuota', 'buka', 'telkomsel', 'gimana', 'solusinya', 'tolong', '']</t>
  </si>
  <si>
    <t>['pengiriman', 'link', 'nendaftarkan', 'lambat', '']</t>
  </si>
  <si>
    <t>['jaringannya', 'mantul']</t>
  </si>
  <si>
    <t>['memudahkan', 'urgent']</t>
  </si>
  <si>
    <t>['poin', 'tukar', 'paket', 'data', 'pulsa']</t>
  </si>
  <si>
    <t>['pelayanan', 'mesin', 'system', 'orang', 'manusia', 'info', 'orang', 'manusia', '']</t>
  </si>
  <si>
    <t>['knapa', 'paket', 'internet', 'malam', 'hilang', 'telkomsel']</t>
  </si>
  <si>
    <t>['keluhan', 'langsung', 'ditanggapi', 'cepat', 'dikasih', 'solusi', 'memuaskan', 'good', 'job', 'telkomsel']</t>
  </si>
  <si>
    <t>['', 'telkomsel', 'mudah', 'mantul']</t>
  </si>
  <si>
    <t>['perintah', 'tingkatkan', 'tpi', 'stelah', 'ikuti', 'aplikasi', 'tsb', 'sulit', 'buka', 'why', '']</t>
  </si>
  <si>
    <t>['sya', 'beli', 'pulsa', 'langsung', 'dipotong', 'bel', 'beli', 'paket', 'internet', 'apapun', 'telkomsel', 'maling', '']</t>
  </si>
  <si>
    <t>['bbbaaaaaiiiiiiii', 'jringn', 'pntekkk', 'gggaaaayaaa', 'mhall', 'doangggg', 'jringan', 'kayak', 'pakaiii', 'lilinnnn', 'mati', 'nyalaaa', 'mati', 'nyalaaa', 'tri', 'jaringan', 'asssuuueeee', 'tlkom', 'bngsd', '']</t>
  </si>
  <si>
    <t>['bagus', 'belu', 'pulsa', 'cek', 'tagihan', 'kartu', 'hallo']</t>
  </si>
  <si>
    <t>['kualitas', 'terpercaya']</t>
  </si>
  <si>
    <t>['telkomsel', 'banget', 'lag', 'bngt', 'gangguan', 'jaringn', 'lelet']</t>
  </si>
  <si>
    <t>['pulsa', 'hilang']</t>
  </si>
  <si>
    <t>['gimana', 'aplikasi', 'habis', 'update', 'kebuka', 'layarnya', 'putih', 'doang']</t>
  </si>
  <si>
    <t>['mempermudah', 'mengecek', 'sisa', 'kuota', 'pembelian', 'paket']</t>
  </si>
  <si>
    <t>['tukar', 'poin', 'paket', 'telko', 'menipu', 'sistem', 'sibuk', 'dicoba', 'berpuluh', 'kali', 'diwaktu', 'berbeda', 'hubungi', 'veronika', 'bohong', 'sulit', 'layanan', 'telkomsel', 'buruk']</t>
  </si>
  <si>
    <t>['paket', 'jomblo', 'mahal', 'murah', 'operator', 'pakai', 'telkomsel', 'berhenti', 'beralih', 'operator']</t>
  </si>
  <si>
    <t>['bagus', 'aplikasinya', 'mudah']</t>
  </si>
  <si>
    <t>['sip']</t>
  </si>
  <si>
    <t>['terima', 'kasih', 'telkomsel', 'layanan', 'jaringannya', 'tingkatkan', 'kinerjanya', 'semangat', 'membangun', 'transportasi', 'komunikasi', 'nkri', '']</t>
  </si>
  <si>
    <t>['aplikasi', 'payah', 'eror', 'udah', 'update', 'eror', '']</t>
  </si>
  <si>
    <t>['beli', 'paket', 'internet', 'gagal', 'teruuuus']</t>
  </si>
  <si>
    <t>['terima', 'kasih', 'mudah']</t>
  </si>
  <si>
    <t>['', 'tarip']</t>
  </si>
  <si>
    <t>['jaringan', 'burukkkk', 'paket', 'mahalll', 'kualitas', 'nol']</t>
  </si>
  <si>
    <t>['best', 'pokoknya', 'telkomsel']</t>
  </si>
  <si>
    <t>['dibuka', 'lacar', 'putih', 'yaa', 'tolong', 'telkomsel', '']</t>
  </si>
  <si>
    <t>['terbaik', 'simpati', 'plosok', 'sinyal', 'the', 'best', 'simpati']</t>
  </si>
  <si>
    <t>['skarang', 'apl', 'telkomsel', 'samsung', 'ngga', 'buka', 'ngeblank', 'unistal', 'hapus', 'data', 'tetep', 'ngga']</t>
  </si>
  <si>
    <t>['tampilan', 'bagus']</t>
  </si>
  <si>
    <t>['maaf', 'knp', 'dibuka', 'aplikasi', '']</t>
  </si>
  <si>
    <t>['berguna', 'banget', 'memudahkan', 'pelanggan', 'terkhusus', 'mager']</t>
  </si>
  <si>
    <t>['check', 'putih', 'gimana', 'doank', 'bagus', 'cuman', 'maap', 'doank', 'kritik', 'perbaiki', 'donk', '']</t>
  </si>
  <si>
    <t>['kartu', 'telkomsel', 'kena', 'sadap', 'telkomsel', 'solusinya', 'apessss', 'coba', 'operator', 'masuk', 'papua', 'timur', '']</t>
  </si>
  <si>
    <t>['kuota', 'internet', 'poin', 'gb']</t>
  </si>
  <si>
    <t>['sya', 'kasih', 'bintang', 'dlu', 'nyoba']</t>
  </si>
  <si>
    <t>['sore', 'habis', 'update', 'malamnya', 'update', 'parah', 'area', 'jakarta', 'barat', 'suaah', 'banget', 'jaringan', 'kadang', 'kadang', 'ilang']</t>
  </si>
  <si>
    <t>['', 'iya', 'nukar', 'koin', 'pulsa', 'kayak', '']</t>
  </si>
  <si>
    <t>['paket', 'combo', 'sakti', 'unlimited', 'pemberitahuan', 'sms', 'paket', 'ngg', 'data', 'paket', 'kuota', 'gb', 'paket', 'internet', 'multimedia', 'hallo', 'telkomsel', 'aktif', 'paket', 'dikemana', 'paketan', 'mahal', 'korting', 'provider', '']</t>
  </si>
  <si>
    <t>['kentang', 'emang', 'jaringan', 'telkomsel', 'udah', 'kek', 'burikkkkkkk', 'orang', 'stresss', 'mending', 'ganti', 'kartu', 'telkomsel', 'udah', 'kek', 'taikk', 'hilang', 'koneksi', 'malam', 'hilang', 'koneksi', 'siang', 'sore', 'jaringan', 'taik', 'erorrr', 'kau', 'mati', 'orang', 'beli', 'tutup', 'perusahan', 'taikkk']</t>
  </si>
  <si>
    <t>['jaringan', 'ngx', 'stabil', 'lemot', 'gangguan']</t>
  </si>
  <si>
    <t>['telkomsel', 'oke', 'susah', 'dibukanya', 'mohon', 'dicek', '']</t>
  </si>
  <si>
    <t>['sinyal', 'busuk', 'mengecewakan']</t>
  </si>
  <si>
    <t>['bagussssssddddsssssssssssssssssssssd', 'rugi', 'download']</t>
  </si>
  <si>
    <t>['hallo', 'min', 'mohon', 'dirubah', 'beli', 'kuota', 'aktif', 'habis', 'pemakaian', 'beli', 'paketan', 'kuota', 'data', 'langsung', 'dipakai', 'nunggu', 'kuota', 'aktif', 'habis']</t>
  </si>
  <si>
    <t>['', 'apk', 'kebuka', 'daftar', 'masuk', 'apk', 'susah']</t>
  </si>
  <si>
    <t>['kesini', 'kayak', 'provider', 'sebelah', 'selancar', 'harga', 'mahal', 'koneksi', 'lambat', 'pas', 'hujan', 'parah', 'lagnya', 'kayak', 'provider', 'murah', 'kecewa', 'udah', 'setia', '']</t>
  </si>
  <si>
    <t>['min', 'jaringan', 'ilang', 'ilangan', 'udh', 'telkom', 'udh', 'min', 'jaringan', 'ilang', 'ilangan']</t>
  </si>
  <si>
    <t>['membantu', 'praktis']</t>
  </si>
  <si>
    <t>['', 'kebanyakan', 'promo', 'lupa', 'ama', 'jaringan', 'letoi']</t>
  </si>
  <si>
    <t>['masuk', 'aplikasinya', 'susah', 'buka', 'youtube', 'lancarnya', 'ampun', '']</t>
  </si>
  <si>
    <t>['aplikasi', 'berat', 'jaringan', 'bagus', 'loading', '']</t>
  </si>
  <si>
    <t>['telkomsel', 'udah', 'paket', 'mahal', 'jaringan', 'parah', '']</t>
  </si>
  <si>
    <t>['upgrade', 'app', 'telkomsel', 'versi', 'terbaru', 'tolong', 'kasih', 'penjelasannya']</t>
  </si>
  <si>
    <t>['jaringan', 'ngelag', 'gmn', 'udh', 'bayar', 'mahal', 'msh', 'ngelg', 'mohon', 'diperbaiki', 'donk', 'jaringan']</t>
  </si>
  <si>
    <t>['kadang', 'kaya', 'penipu', 'pas', 'kuata', 'abis', 'pulsa', 'kemakan', '']</t>
  </si>
  <si>
    <t>['signal', 'jelek', 'parah', 'parah', 'sebelah']</t>
  </si>
  <si>
    <t>['udah', 'mahal', 'jaringan', 'suka', 'ngilang', 'anjg']</t>
  </si>
  <si>
    <t>['semoga', 'beguna', 'pemakai', 'bagus']</t>
  </si>
  <si>
    <t>['', 'pulsa', 'langsung', 'terpotong', 'udah', 'beli', 'paket', 'pangilan']</t>
  </si>
  <si>
    <t>['signal', 'buruk', 'paketannya', 'mahal', 'lemout', 'kouta', 'darurat', 'isi', 'kepotong', 'hadeeeeehhhh']</t>
  </si>
  <si>
    <t>['provider', 'ampas', 'signal', 'jelek', 'paket', 'mahal', 'udh', 'malam', 'ilang', 'signalnya', 'mending', 'beralih', 'provider', 'saran', 'menyesal', 'memilih', 'provider']</t>
  </si>
  <si>
    <t>['knapa', 'diperbaharui', 'apk', 'sibuka']</t>
  </si>
  <si>
    <t>['rekomendasi', 'banget', 'pengguna', 'telkomsel', 'memuaskan', 'tingkatkan', 'promo', 'yaa', '']</t>
  </si>
  <si>
    <t>['dibuka', 'aplikasi', 'mytelkomsel', 'knp', 'tolong', 'pakai', 'telkomsel', 'aplikasinya', 'dibuka', 'didownload', 'ulang', 'sma', 'abis', 'update']</t>
  </si>
  <si>
    <t>['memudahkan', 'akses']</t>
  </si>
  <si>
    <t>['gangguan', 'tolong', 'perbaiki', 'sebarkan', 'jaringan', 'bos', 'pengguna', 'telkomsel', 'kalah', '']</t>
  </si>
  <si>
    <t>['knp', 'telkomsel', 'uninstal', 'update', 'perangkat', 'lunak', 'hubungannya', 'trus', 'install', 'knp', '']</t>
  </si>
  <si>
    <t>['sinyal', 'buruk', 'hujan', 'buruk', 'tower', 'kecepatan', 'sma', 'edge']</t>
  </si>
  <si>
    <t>['simpati', 'bagus', 'sinyal', 'udah', 'gitu', 'tukar', 'poin', 'dapet', 'hadiah']</t>
  </si>
  <si>
    <t>['sudh', 'isi', 'pulsa', 'ehhh', 'aplikasi', 'gabisa', 'buka', 'ajar']</t>
  </si>
  <si>
    <t>['menu', 'ribet', 'paket', 'gamer', 'anti', 'lag', 'dibagi', 'menu', 'contoh', 'paket', 'internet', 'aplikasi', 'dibagi', 'paket', 'game', 'game', 'paket', 'video', 'video', 'peminatnya', 'pertimbangkanlah', 'operator', 'kaku', 'menerima', 'masukan']</t>
  </si>
  <si>
    <t>['beli', 'paketan', 'youtube', 'game', 'gunanya', 'mending', 'sediain', 'paketan', 'youtube', 'game', 'dipakai', 'buang', 'buang', 'pulsa', 'memangnya', 'pikir', 'beli', 'pulsa', 'pakai', 'daun', 'syarat', 'ketentuan', 'berlaku', 'keuntungan', 'telkomsel']</t>
  </si>
  <si>
    <t>['dibuka', 'aneh', 'abis', 'update']</t>
  </si>
  <si>
    <t>['bagus', 'bangt', 'app', 'sisa', 'paketnya', 'ketahuan']</t>
  </si>
  <si>
    <t>['udah', 'mahal', 'jaringan', 'suka', 'ilang', 'telkomsel', 'saran', 'gua', 'ganti', 'rugi']</t>
  </si>
  <si>
    <t>['ampas', 'banget', 'udah', 'beli', 'paket', 'data', 'masuk', 'masuk']</t>
  </si>
  <si>
    <t>['telkomsel', 'ter', 'the', 'bast', '']</t>
  </si>
  <si>
    <t>['lumayan', 'membantu', 'wlu', 'kadang', 'lelet']</t>
  </si>
  <si>
    <t>['simpati', 'telkomsel', 'mantap', 'pokoknya', 'kasih', 'bintang', '']</t>
  </si>
  <si>
    <t>['perbaiki', 'jaringan', 'lancar']</t>
  </si>
  <si>
    <t>['menang', 'undian']</t>
  </si>
  <si>
    <t>['habbis', 'update', 'susah', 'masuk', 'nt', 'loading', 'putih', 'mulu', 'ajjing']</t>
  </si>
  <si>
    <t>['mantap', 'gratis', 'buruan', 'pakai', 'telkomsel', 'prabayar']</t>
  </si>
  <si>
    <t>['banyakin', 'bonus', 'nomor', 'setia', 'telkomsel']</t>
  </si>
  <si>
    <t>['bagus', 'perfeck']</t>
  </si>
  <si>
    <t>['habis', 'duluan', 'kuota', 'tanggalnya', 'kuota', 'sisa', 'berkurang', 'telkomsel', 'nyata', 'paket', 'berlaku', 'satunya', 'sisa', 'paket', 'berlakunya', 'habiskan', 'dluan', 'paket', 'sisa', 'berkurang', 'beli', 'mahal', 'mahal', 'orang', 'pedalaman', 'mengecewakan', '']</t>
  </si>
  <si>
    <t>['tolong', 'telkomsel', 'komen', 'kartu', 'telkomsel', 'jaringannya', 'penuh', 'main', 'game', 'nonton', 'dll', 'tolong', 'diperbaiki', '']</t>
  </si>
  <si>
    <t>['jaringan', 'super', 'lelet', 'bangke', 'harga', 'terjaminn', 'mahal', 'sesuai', 'harapkan', 'tolong', 'jaringan', 'sesuaikan', 'harganya', 'berkah', 'telkomsel']</t>
  </si>
  <si>
    <t>['knp', 'pas', 'beli', 'paket', 'eror', 'mohon', 'maaf', 'pembelian', 'produk', 'pulsa', 'knp', 'gagal', 'trus', '']</t>
  </si>
  <si>
    <t>['paket', 'beli', 'hilang', 'apk', 'erorr', '']</t>
  </si>
  <si>
    <t>['area', 'kecamatan', 'maja', 'kabupatrn', 'majalengka', 'mohon', 'kekuatan', 'sinyalnya', 'diperkuat']</t>
  </si>
  <si>
    <t>['ancor', 'ancor', 'gimana', 'update', 'masuk', 'masuk', 'aplikasi', 'layar', 'putih', '']</t>
  </si>
  <si>
    <t>['pertahankan']</t>
  </si>
  <si>
    <t>['serius', 'secinta', 'kartu', '']</t>
  </si>
  <si>
    <t>['jaringan', 'luas']</t>
  </si>
  <si>
    <t>['semoga', 'kesempatan', 'menang', 'undian', '']</t>
  </si>
  <si>
    <t>['telkomsel', 'udah', 'bangkrut', 'kah', 'bangkrut', 'telkomsel', 'paketannya', 'mahal', 'lemot']</t>
  </si>
  <si>
    <t>['beli', 'paket', 'viu', 'premium', 'pulsa', 'sedot', 'login', 'viu', 'akun', 'premium']</t>
  </si>
  <si>
    <t>['bagus', 'puas']</t>
  </si>
  <si>
    <t>['tambahin', 'metode', 'pembayaran', 'dana', 'emoney']</t>
  </si>
  <si>
    <t>['kartu', 'gajelss', 'mahal', 'doang', 'prioritas', 'jaringan', 'mending', 'make', 'tri', 'mahal', 'ngelag', 'ngelag', '']</t>
  </si>
  <si>
    <t>['perbaiki', 'sinyal', 'kuat']</t>
  </si>
  <si>
    <t>['ketipu', 'kartu', 'hallo', 'udah', 'kena', 'pajak', 'sinyal', 'jelek', 'banget', '']</t>
  </si>
  <si>
    <t>['unlimitedmax', 'usahakan', 'kaya', 'nyampek']</t>
  </si>
  <si>
    <t>['semoga', 'mirah']</t>
  </si>
  <si>
    <t>['paketan', 'mahal', 'sinyak', 'kek', 'hapus', 'telkomsel', 'indonesia', 'bangga', 'ngecewa']</t>
  </si>
  <si>
    <t>['terimakasih', 'membantu']</t>
  </si>
  <si>
    <t>['sukses', 'trus', 'telkomsel']</t>
  </si>
  <si>
    <t>['kuota', 'unlimited', 'sulit']</t>
  </si>
  <si>
    <t>['admin', 'tolonglah', 'kasihami', 'setia', 'telkomsel', 'rela', 'belli', 'paket', 'harganya', 'selangit', 'jaringannya', 'kayak', 'gini', 'malulah', 'telkomsel', 'ngeluarin', 'kartu', 'jargonnya', 'kartna', 'oreng', 'madure', 'jaringannya', 'sumpah', 'ngotak']</t>
  </si>
  <si>
    <t>['aplikasi', 'bagus', 'fitur', 'lengkap', 'mantap', 'deh', 'pokoknya', '']</t>
  </si>
  <si>
    <t>['jaringannya', 'parah', 'kmren', 'ilang', 'ilangan', 'melulu', 'cek', 'kuota', 'aje', 'kga']</t>
  </si>
  <si>
    <t>['kartu', 'perdana', 'sultan', 'lelet', 'yaallah', 'anak', 'jengkel']</t>
  </si>
  <si>
    <t>['apl', 'emang', 'mudah', 'untk', 'pengguna', 'telkomsel']</t>
  </si>
  <si>
    <t>['aplikasi', 'ter', 'uninstall', 'install', 'gagal', 'dibantu', '']</t>
  </si>
  <si>
    <t>['min', 'cek', 'harian', 'hilang', '']</t>
  </si>
  <si>
    <t>['jln', 'warakas', 'kel', 'papanggo', 'tlong', 'sinyalnya', 'jelek', 'banget', 'trma', 'ksih']</t>
  </si>
  <si>
    <t>['bagus', 'sinyalnya', 'pelosok', 'desa', 'nggak', '']</t>
  </si>
  <si>
    <t>['telkomsel', 'paketan', 'doang', 'mahal', 'internetnya', 'lemot', '']</t>
  </si>
  <si>
    <t>['pakai', 'telkomsel', 'kecewa', 'sinyalmu', 'jelek']</t>
  </si>
  <si>
    <t>['telkom', 'sinyal', 'kuat', 'luas', 'cuih', 'lag', 'lag', 'perubahan', 'tolong', 'perbaiki', '']</t>
  </si>
  <si>
    <t>['jaringannya', 'ngga', 'stabil', 'malem', 'bukanya', 'bagus', 'jelek']</t>
  </si>
  <si>
    <t>['kasih', 'bintang', 'telkomsel', 'jaringn', 'nyh', 'udah', 'bobrok', 'tolong', 'perbaiki', 'sistem', 'jaringan', 'nyh', 'trimaksih']</t>
  </si>
  <si>
    <t>['pelayan']</t>
  </si>
  <si>
    <t>['utamain', 'sinyal', 'tembus', 'peloksok']</t>
  </si>
  <si>
    <t>['bagus', 'aplikasi', 'telkomsel', '']</t>
  </si>
  <si>
    <t>['lbh', 'promo', 'paketan', 'data', 'murah']</t>
  </si>
  <si>
    <t>['', 'far', 'harganya', 'beda', 'pembelian', 'diluar', 'app', 'jengkel', 'update', 'berkala', 'dibilang', 'ditambah', 'tampilan', 'responsif']</t>
  </si>
  <si>
    <t>['puas', 'paki', 'telomsel']</t>
  </si>
  <si>
    <t>['beli', 'paketan', 'mudah', 'nyaman', '']</t>
  </si>
  <si>
    <t>['telkom', 'udah', 'telkom', 'emang', 'bagus', 'jaringannya', 'kesini', 'buruk', 'nge', 'game', 'engak', 'kuat', 'tolong', 'perbaiki']</t>
  </si>
  <si>
    <t>['', 'telkomsel', 'oke', 'top', 'markotop']</t>
  </si>
  <si>
    <t>['sinyal', 'bapuk', 'telkomsel', 'harga', 'mahal', 'sinyal', 'internet', 'lost', '']</t>
  </si>
  <si>
    <t>['tolonglah', 'benefit', 'pelanggan', 'lamamu', 'kasih', 'harga', 'paket', 'murah', 'rb']</t>
  </si>
  <si>
    <t>['cacad', 'sinyal', 'telkomsel', '']</t>
  </si>
  <si>
    <t>['udh', 'seminggu', 'gabisa', 'masuk', 'udh', 'uninstall', 'trus', 'install', 'udh', 'update', 'dibuka', 'apk', 'blank', 'putih', 'klik', 'gtu']</t>
  </si>
  <si>
    <t>['tolol', 'jaringan']</t>
  </si>
  <si>
    <t>['mahal', 'banget', 'sumpah', 'murahan', 'im', '']</t>
  </si>
  <si>
    <t>['telkomsel', 'jaringan', 'internetnya', 'lemot', 'lambat', 'skarang', 'kayak', 'dlu', 'super', 'lemot', 'jaringan', '']</t>
  </si>
  <si>
    <t>['binggung', 'aplikasi', 'tagihan', 'jatuh', 'tempo', 'nopember', 'bayar']</t>
  </si>
  <si>
    <t>['tsel', 'knapa', 'sulit', 'jaringan', 'gini', 'kaya']</t>
  </si>
  <si>
    <t>['update', 'aplikasinya', 'event', 'check', 'hariannya', '']</t>
  </si>
  <si>
    <t>['ngentoooooot', 'mahal', 'doang', 'ngentoooooot', 'jaringan', 'lemot', 'tsel', 'ngentooooooot']</t>
  </si>
  <si>
    <t>['beli', 'paket', 'giga', 'youtube', 'paket', 'internet', 'giga', 'ygdimana', 'paket', 'youtube', 'internet', 'dipake', 'toooloooongdooong', 'toloooooooong', 'dagang', 'bener', 'rugi', 'juragaan']</t>
  </si>
  <si>
    <t>['apk', 'pulsa', 'kesedot', 'pulsa', 'beli', 'paket', 'tolong', 'perbaiki', 'aplikasi', '']</t>
  </si>
  <si>
    <t>['kuota', 'melampaui', 'batas', 'sinyal', 'perbaiki', 'emang', 'ajg', 'telkomsel', 'kampung', 'gua', 'sinyal', 'axis', 'gua', 'udh', 'pakek', 'axis']</t>
  </si>
  <si>
    <t>['download', 'dipakai']</t>
  </si>
  <si>
    <t>['produk', 'transparan']</t>
  </si>
  <si>
    <t>['simpati', 'sinyalnya', 'buruk']</t>
  </si>
  <si>
    <t>['andalan', 'mengecewakan', 'kedepannya', '']</t>
  </si>
  <si>
    <t>['keadilan']</t>
  </si>
  <si>
    <t>['app', 'mytelkomsel', 'memakai', 'data', 'buka', 'membutuhkan', 'jaringan', 'bagus', 'memakai', '']</t>
  </si>
  <si>
    <t>['respon', 'lambat', 'telkomsel', 'beraturan']</t>
  </si>
  <si>
    <t>['isi', 'paket', 'wifi', 'router', 'pas', 'login', 'app', 'telkonsel', 'lancar', 'mohon', 'solusinya', '']</t>
  </si>
  <si>
    <t>['pulsa', 'sedot', '']</t>
  </si>
  <si>
    <t>['memuaskan', 'paket', 'combo', 'sakti']</t>
  </si>
  <si>
    <t>['semoga', 'manffaat', 'dapet', 'give', 'telkomsel', 'undian', 'point', 'samsung', 'ultra']</t>
  </si>
  <si>
    <t>['telkomsel', 'asw', 'udah', 'beli', 'pulsa', 'ketenangan', 'udah', 'hapus', 'kartu', 'ajim', 'emang']</t>
  </si>
  <si>
    <t>['mohon', 'telkomsel', 'memperbaiki', 'pelayanan', 'daftar', 'paket', 'combo', 'wuzzz', 'lemoot', 'kasih', 'bintang', 'keluhan', 'pelanggan', 'telkomsel', 'mohon', 'ditindaklanjuti']</t>
  </si>
  <si>
    <t>['membantu', 'banget', 'mytelkomsel']</t>
  </si>
  <si>
    <t>['loading', 'banget']</t>
  </si>
  <si>
    <t>['kembalikan', 'harga', 'paket', 'murahku', 'min', '']</t>
  </si>
  <si>
    <t>['sinyal', 'gara', 'gara', 'comeback', 'udah', 'mahal', 'lag', 'banget', 'bintang']</t>
  </si>
  <si>
    <t>['aneh', 'kemarin', 'habis', 'down', 'aplikasi']</t>
  </si>
  <si>
    <t>['udah', 'instal', 'uninstal', 'masi', 'kaga', 'buka', 'aneh', 'banget', 'banget', 'kadang', 'ngebantu', 'habis', 'mendadak', 'cepet', 'eror']</t>
  </si>
  <si>
    <t>['kasih', 'program']</t>
  </si>
  <si>
    <t>['tolong', 'telkomsel', 'sinyal', 'sekerang', 'jlek', 'bnget', 'pket', 'data', 'mahal', 'masak', 'sinyalnya', 'jelek', 'maen', 'game', 'nglag', 'tolong', 'perbaiki', 'pengguna', 'telkomsel', 'nyaman', 'kayak']</t>
  </si>
  <si>
    <t>['bintang', 'koneksi', 'stabil', '']</t>
  </si>
  <si>
    <t>['paket', 'mahal', 'koneksi', 'ngga', 'stabil', 'ping', 'hebat']</t>
  </si>
  <si>
    <t>['jaringan', 'telkomsel', 'susah', 'banget', 'pas', 'beli', 'bagus', 'sampe', 'ngelag', 'banget']</t>
  </si>
  <si>
    <t>['telkomsel', 'parah', 'jaringan', 'internet', 'tolonglah', 'mhn', 'diperbaiki']</t>
  </si>
  <si>
    <t>['mantap', 'telkomsel', 'dpt', 'kuota', 'tambahan', 'harga', 'pengguna']</t>
  </si>
  <si>
    <t>['woiii', 'gimana', 'jaringan', 'burik', 'kerja', '']</t>
  </si>
  <si>
    <t>['tambahin', 'promonya']</t>
  </si>
  <si>
    <t>['jaringan', 'telkomsel', 'lag', 'telkomsel', 'cacadnya', 'mending', 'pindah', 'exsis']</t>
  </si>
  <si>
    <t>['sinyal', 'bobrok', 'ancur']</t>
  </si>
  <si>
    <t>['udah', 'males', 'paketan', 'susah', 'masuk', 'pulsa', 'mah', 'ilang', 'udh', 'mah', 'sinyal', 'gangguan', 'mulu', 'ganti', 'ajh', '']</t>
  </si>
  <si>
    <t>['leh', 'signal', 'pas', 'negame', 'patah', 'mulu', 'signal', 'full', 'dasar', 'tolol', '']</t>
  </si>
  <si>
    <t>['puas', 'logout', 'aplikasi', 'masuk', 'suruh', 'nunggu', 'sms', 'verivikasi', 'kode', 'verif']</t>
  </si>
  <si>
    <t>['telkomsel', 'lag', 'patah', '']</t>
  </si>
  <si>
    <t>['jaringan', 'kadang', 'putus', 'adik', 'tetangga', 'temen', 'nongkrong', 'gimnaaaaa', 'harga', 'doang', 'digedein', 'kualitas', 'nol', 'lemot', 'gamasalah', 'emang', 'wajar', 'koneksi', 'milik', 'orang', 'tolonglah', 'dibenerin']</t>
  </si>
  <si>
    <t>['nggk', 'ambil', 'pket', 'telkomsel']</t>
  </si>
  <si>
    <t>['pulsa', 'kepotong']</t>
  </si>
  <si>
    <t>['disambung', 'dana', 'login', 'manual', '']</t>
  </si>
  <si>
    <t>['ditempatku', 'jaringannya', 'bingiitss', '']</t>
  </si>
  <si>
    <t>['likee', 'kouta', 'gratis', 'bosss', '']</t>
  </si>
  <si>
    <t>['sinyal', 'eror', 'yaa']</t>
  </si>
  <si>
    <t>['membeli', 'paket', 'kuota', 'app']</t>
  </si>
  <si>
    <t>['paket', 'mahal', 'banget']</t>
  </si>
  <si>
    <t>['halo', 'telkomsel', 'gua', 'minjem', 'pulsa', 'paksa', 'minjem', 'pulsa', 'peminjaman', 'otomatis', 'udah', 'pesan', 'pinjam', 'pulsa', 'emang', 'telkom', 'ngerasa', 'minjem', 'main', 'menjemin', 'kaya', 'gini', 'pulsa', 'tup', 'bayar', 'utang', 'udah', 'main', 'ngeleg', 'ngeleg', 'kaota', 'mahal', 'mahal', 'banget', 'aduh', 'pusing', 'palaku', 'tolong', 'kaotanya', 'turunin', 'harganya']</t>
  </si>
  <si>
    <t>['aplikasi', 'gila', 'buka', '']</t>
  </si>
  <si>
    <t>['hebat']</t>
  </si>
  <si>
    <t>['hai', 'min', 'unlimited', 'telpon', 'nggak']</t>
  </si>
  <si>
    <t>['kartu', 'mahal', 'paketan', 'mahal', 'jaringan', 'hancur']</t>
  </si>
  <si>
    <t>['murah', 'mantap']</t>
  </si>
  <si>
    <t>['eror', 'susah', 'dibuka']</t>
  </si>
  <si>
    <t>['jaringan', 'internet', 'berjalan', 'dfn', 'jujur', 'mengecewakan', 'sayang', 'daerah', 'nda', 'telkomsel', 'udah', 'buang', 'kartu', 'harga', 'kuota', 'mhal', 'jaringan', 'nda', 'berguna', 'ambil', 'untung', 'doang', 'developer', 'brengsek', '']</t>
  </si>
  <si>
    <t>['tambahkan', 'paket', 'giganet', 'gb', 'min', '']</t>
  </si>
  <si>
    <t>['bermanfaat', 'aplikasi', 'telkomsel', 'terimakasih', 'telkomsel']</t>
  </si>
  <si>
    <t>['pulsanya', 'meninggi', 'min', '']</t>
  </si>
  <si>
    <t>['setia', 'banget', 'telkomsel', 'dapet', 'undian', '']</t>
  </si>
  <si>
    <t>['semoga', 'bermanfa', '']</t>
  </si>
  <si>
    <t>['suka', 'aplikasi', 'telkomsel', 'telkomsel', 'ribet', 'membeli', 'paket', 'internet']</t>
  </si>
  <si>
    <t>['super', 'lelet', 'telkomsel']</t>
  </si>
  <si>
    <t>['aplikasinya', 'aneh', 'pembayaran', 'shopepay']</t>
  </si>
  <si>
    <t>['uda', 'mahal', 'emosi', 'rugi', 'menyebabkan', 'kebanting', 'sengaja', '']</t>
  </si>
  <si>
    <t>['update', 'dibuka', 'layar', 'putih', 'telpon', 'suruh', 'clear', 'cache', 'udah', 'lakukan', 'nggak', 'aplikasi', 'gagal']</t>
  </si>
  <si>
    <t>['mahal', 'kasih', 'event', 'murah', '']</t>
  </si>
  <si>
    <t>['trimaksih', 'aplikasi', 'smoga', 'kedepan', 'membatu']</t>
  </si>
  <si>
    <t>['promo', 'beli', 'paket', 'data', 'murah', 'aplikasi', 'telkomsel']</t>
  </si>
  <si>
    <t>['knp', 'layarnya', 'putih', 'dibuka', 'duhhh']</t>
  </si>
  <si>
    <t>['mantap', 'mudah', 'murah', 'telkomsel']</t>
  </si>
  <si>
    <t>['info', 'ngk', 'respon', 'ama', 'telkomsel', 'mumpung', 'belom', 'terlanjur', 'beli', 'paket', 'game', 'sarankan', 'beli', 'kouta', 'internet', 'gb', 'paket', 'game', 'nyesel', 'beli']</t>
  </si>
  <si>
    <t>['promo', 'harga', 'murah', 'beli', 'kuota', 'internet', 'knpa', 'harganya', 'beda', 'sma', 'pemakai', 'krtu', 'krtu', 'cenderung', 'sngat', 'murah', 'adil', 'mohon', 'kebijaksananya', 'terimakasih']</t>
  </si>
  <si>
    <t>['jaringan', 'telkosel', 'stabil', 'tolong', 'perbaiki']</t>
  </si>
  <si>
    <t>['tolong', 'perbaiki', 'berat', 'apps', 'mkek', 'kentank', '']</t>
  </si>
  <si>
    <t>['berguna', 'banget', 'pembelian', 'paket', 'data']</t>
  </si>
  <si>
    <t>['lemot', 'banget', 'jaringannya', 'kalinya', 'beli', 'unlimited', 'giga', '']</t>
  </si>
  <si>
    <t>['menu', 'chekinnya', 'hilang', 'kemarin', 'giliran', 'klaim', 'paket', 'data', 'hilang', 'aplikasinya', '']</t>
  </si>
  <si>
    <t>['apk', 'bagus', 'jelek', 'kali', 'wadepakmen', '']</t>
  </si>
  <si>
    <t>['udah', 'harga', 'paketnya', 'udh', 'gitu', 'kouta', 'internetnya', 'kurangi']</t>
  </si>
  <si>
    <t>['sinyalnya', 'bagus', 'dikampung', 'pokoe', 'dbes']</t>
  </si>
  <si>
    <t>['tolong', 'jaringannya', 'cek', 'kesemua', 'daerah', 'daerahku', 'udah', 'jaringan', 'telkomsel', 'bermasalah', 'tower', 'kendala', 'jaringan', 'beda', 'provider', 'lancar', 'jaringannya']</t>
  </si>
  <si>
    <t>['', 'telkomsel', 'membantu', 'memilih', 'pilihan', 'paket', 'internet', 'mudah', 'saran', 'turunkan', 'pilihannya', 'murah', '']</t>
  </si>
  <si>
    <t>['apl', 'gabisa', 'cekin', 'udah', 'cekin', 'ngulang']</t>
  </si>
  <si>
    <t>['hancur', 'jaringan', 'indihome', 'nge', 'lag', 'jaringan', 'nge', 'lag']</t>
  </si>
  <si>
    <t>['kadang', 'jaringannya', 'gangguan', '']</t>
  </si>
  <si>
    <t>['perkuat', 'jaringan']</t>
  </si>
  <si>
    <t>['percaya', 'provider', 'kesalahan', 'telkomsel', 'bagus', 'diragukan', 'sinyal', 'hilang', 'timbul', 'kecepatan', 'internet', 'rendah', 'zoom', 'meeting', 'menunggu', 'menit', 'masuk', 'browsing', 'web', 'menit', 'provider', 'saingan', 'bangkit', 'telkomsel', 'runtuh']</t>
  </si>
  <si>
    <t>['paketnya', 'mahal', 'jaringannya', 'lemot']</t>
  </si>
  <si>
    <t>['fitur', 'berbagi', 'pulsa']</t>
  </si>
  <si>
    <t>['mengunakan', 'kuota', 'unlimited', 'kecepatan', 'kbps', 'gila', 'coba', 'batesin', 'kecepatannya', 'kuota', 'tpi', 'kecepatannya', 'mentok', 'kbps', 'menerut', 'pelanggan', 'jdi', 'bahagia', 'gitu', 'otw', 'hapus', 'app', 'mending', 'sebelah']</t>
  </si>
  <si>
    <t>['aplikasi', 'lite', 'jueleeek']</t>
  </si>
  <si>
    <t>['jaringan', 'angin', 'sepoi', 'sepoi', 'lambat', 'ampun', 'mulu', 'beli', 'kuota']</t>
  </si>
  <si>
    <t>['gabisa', 'masuk', 'aplikasi', 'beli', 'kuota', 'pulsa', 'gabisa', 'saldo', 'online', 'ribettttttttttttttt']</t>
  </si>
  <si>
    <t>['sayaa', 'udah', 'pakek', 'mahal', 'isi', 'paket', '']</t>
  </si>
  <si>
    <t>['', 'buka', 'apk', 'pdhl', 'instal', 'brulang', '']</t>
  </si>
  <si>
    <t>['beli', 'kouta', 'game', 'main', 'setiam', 'main', 'lag', 'menyesal', 'beli', 'kuota', 'telkomsel']</t>
  </si>
  <si>
    <t>['dibuka', 'cuman', 'layar', 'putih']</t>
  </si>
  <si>
    <t>['udh', 'apk', 'gua', 'kebuka', 'gimana', 'sihh', 'betulin']</t>
  </si>
  <si>
    <t>['murah', 'mantap', '']</t>
  </si>
  <si>
    <t>['aplikasi', 'hlang', 'sndiri', 'trhapus', 'donlod', 'ulang', 'bsa', 'min', 'mohon', 'knfrmasikan', 'sangt', 'mendkung', 'thx']</t>
  </si>
  <si>
    <t>['aplikasinya', 'kebuka']</t>
  </si>
  <si>
    <t>['aplikasi', 'telkomsel', 'buka', 'white', 'screen', 'telkomsel', 'tolong', 'benahi', '']</t>
  </si>
  <si>
    <t>['maaf', 'nanya', 'aplikasi', 'telkomsel', 'sya', 'buka', 'seminggu', '']</t>
  </si>
  <si>
    <t>['pakai', 'telkomsel', 'kali', 'gal', 'dibuka', 'warna', 'putih', 'udah', 'update', 'install', 'ulang', 'udah', 'tetep', 'warna', 'layarnya', 'putih', 'kecewa', 'berat']</t>
  </si>
  <si>
    <t>['komplen', 'jaringan', 'ngeri', 'waw', 'banget']</t>
  </si>
  <si>
    <t>['lelet', 'buruk', '']</t>
  </si>
  <si>
    <t>['berharap', 'app', 'telkomsel', 'akses', 'lancar', 'kuota', 'internet']</t>
  </si>
  <si>
    <t>['pengguna', 'aktif', 'mahal', 'harga', 'paket', 'mahal', 'pengguna', 'aktif', 'pindah', 'provider', '']</t>
  </si>
  <si>
    <t>['kecewa', 'telkomsel', 'beli', 'paket', 'kusus', 'main', 'games', 'doang', 'susah', 'masuk', 'giliran', 'paket', 'cepet', 'rugi', 'beli', 'paket', 'kusus', 'gamesmax', 'berguna', '']</t>
  </si>
  <si>
    <t>['masuk', 'notifikasi', 'nomor', 'pas', 'buka', 'selamat', 'bonus', 'pulsa', 'telkomsel', 'rb', 'aktif', 'login', 'aplikasi', 'mytelkomsel', 'beli', 'paket', 'mytelkomsel', 'dpt', 'promo', 'tsel', 'combosakti', 'pas', 'gue', 'cek', 'kosong', 'prank', 'telkomsel', 'ikhlas', 'ngasih', 'pulsa', 'ngak', 'zih', 'heran', 'gue', '']</t>
  </si>
  <si>
    <t>['paket', 'internet', 'beli', 'hilang', 'lenyap', 'sangan', 'mengecewakan', 'parah', '']</t>
  </si>
  <si>
    <t>['kaya', 'udah', 'kali', 'update', 'buka', 'app', 'salalu', 'muat', 'ulang', 'bukanya', 'mudah', 'susah', '']</t>
  </si>
  <si>
    <t>['belikan', 'paket', 'simcard', 'orang', 'susah', 'login', 'verifikasinya', 'kode', 'angka', 'link', 'dikirim', 'nomer', 'gabisa', 'ngisikan', 'orang', 'tolong', 'dev', 'dipermudah']</t>
  </si>
  <si>
    <t>['aplikasi', 'jaringan', 'bener', 'bener', 'buruk', 'telkomsel', 'bagus', 'udah', 'sampe', 'bener', 'bener', 'buruk', '']</t>
  </si>
  <si>
    <t>['jaringan', 'telkomsel', 'lelet', 'jaringan', 'stabil', 'sosmed', 'game', 'lelet', 'udah', 'langganan', 'performa', 'telkomsel', 'gajelas', 'lelet', '']</t>
  </si>
  <si>
    <t>['konyol', 'telkomsel', 'jaringan', 'telkom', 'buruk', 'kuota', 'telkom', 'nganggur', '']</t>
  </si>
  <si>
    <t>['sangar', 'memuaskan']</t>
  </si>
  <si>
    <t>['beli', 'pulsa', 'beli', 'kuota', 'ribu', 'pas', 'beli', 'kuota', 'ngk', 'tulisan', 'pulsa', 'mencukupi', 'lihat', 'pulsa', 'tinggal', 'ribu', 'kepotong', 'ngk', 'beli', 'bayar', 'kepotong', 'gitu', 'terpak', 'beli', 'kuota', 'ngk', 'nyampek', 'minggu', 'rugi', 'uang', 'pas', 'pasan', 'tolong', 'perbaiki', 'ngk', 'ngerugiin', 'orang']</t>
  </si>
  <si>
    <t>['jelek', 'aplikasi', 'kali', 'isi', 'pulsa', 'beli', 'paket', 'susah', 'kebuka', 'aplikasi']</t>
  </si>
  <si>
    <t>['daerah', 'rumah', 'doang', 'jaringan', 'telkomsel', 'jelek', 'baca', 'ulasan', 'ngeluh', 'jaringan', 'telkomsel', 'udahh', 'stabil']</t>
  </si>
  <si>
    <t>['dibuka', 'aplikasinya', 'udah', '']</t>
  </si>
  <si>
    <t>['sekelas', 'anak', 'bumn', 'mytelkomsel', 'layar', 'putih', 'udah', 'udah', 'pegang', 'provider', 'bumn', '']</t>
  </si>
  <si>
    <t>['abal', 'login', 'mohon', 'diperbaiki']</t>
  </si>
  <si>
    <t>['min', 'paket', 'malam', 'gb', 'rb', 'bayar', 'pakai', 'dana', 'pakai', 'pakai', 'dana']</t>
  </si>
  <si>
    <t>['paket', 'msk', 'saldo', 'gopay', 'terpotong']</t>
  </si>
  <si>
    <t>['perbaiki', 'perbaiki', 'bintang']</t>
  </si>
  <si>
    <t>['', 'telkomsel', 'semoga', 'membawakan', 'berkah']</t>
  </si>
  <si>
    <t>['app', 'telkomsel', 'jelek', 'dikit', 'dikit', 'eror', 'login']</t>
  </si>
  <si>
    <t>['apk', 'telkomsel', 'ngga', 'buka', 'kasih', 'bintang']</t>
  </si>
  <si>
    <t>['aplikasinya', 'buka', 'muncu', 'tulisan', 'memuat', 'kuota', 'jalan', '']</t>
  </si>
  <si>
    <t>['bagus', 'mudah', 'lancar', '']</t>
  </si>
  <si>
    <t>['', 'payahhhh', 'sinyal', 'suka', 'jumping', 'gajelas', 'game', 'gitu', 'dicek', 'kuotanya', 'kentang', 'bangettt', 'maen', 'game', 'lancar', 'sinyal', 'enak', 'tolong', 'perbaiki', 'koneksinyaaa', 'jujur', 'pengguna', 'kartu', 'enak', 'koneksinya', 'pas', 'masuk', 'kemaren', 'sinyal', 'suka', 'jumping', 'gituuu', 'gimana', 'telkomsel', 'yaa', 'selesain', 'otomasi', 'mending', 'pindah', 'kartu', 'ajaa', 'daaahhhh', '']</t>
  </si>
  <si>
    <t>['update', 'lemot', 'kebuka', 'aplikasinya', '']</t>
  </si>
  <si>
    <t>['aplikasi', 'lngsung', 'hilang', 'instsl', 'berkali', 'mengecewakan', '']</t>
  </si>
  <si>
    <t>['udah', 'bonus', 'gb', '']</t>
  </si>
  <si>
    <t>['min', 'jaringan', 'telkom', 'main', 'apapun', 'kalu', 'main', 'disalahin', 'pdahal', 'jaraingan', 'brengsek', 'tolong', 'diperbaiki', 'jaringan', '']</t>
  </si>
  <si>
    <t>['knp', 'aplikasinya', 'download', 'jaman', 'sya', 'download', 'tpi', 'loding', '']</t>
  </si>
  <si>
    <t>['tolong', 'bantu', 'ndak', 'buka', 'apk', 'telkomselnya', 'buka', 'layarnya', 'putih', 'pengguna', 'setia', 'telkomsel', 'kali', 'buka', 'mytelkomsel', 'ngak', 'layar', 'putih', 'buka', 'apk', 'mohon', 'bantu', 'respon']</t>
  </si>
  <si>
    <t>['loading', 'sinyal', 'baguss', 'tolong', 'perbaiki', 'aplikasinya', 'pas', 'log', 'sinyal', 'bagus', 'pas', 'log', 'cepet', 'nunggu', 'loading', '']</t>
  </si>
  <si>
    <t>['aplikasi', 'telkomsel', 'lelet', 'cek', 'innya', 'uda', 'uda', 'bela', 'in', 'cek', 'sekalinya', 'full', 'mala', 'hilang']</t>
  </si>
  <si>
    <t>['telkomsel', 'hujan', 'badai', 'kmarin', 'jaringan', 'internet', 'kacau', '']</t>
  </si>
  <si>
    <t>['aplikasi', 'lemot', 'parah']</t>
  </si>
  <si>
    <t>['', 'daerah', 'koneksi', 'internet', 'susah', 'banget', 'sinyal', 'kadang', 'konek', 'kadang', 'ndak', 'katane', 'jangkuan', 'luas', 'apanya', 'luas', '']</t>
  </si>
  <si>
    <t>['suka', 'simpel']</t>
  </si>
  <si>
    <t>['berlangganan', 'otomatis', 'mengakibatkan', 'terpotongnya', 'pulsa']</t>
  </si>
  <si>
    <t>['membantu', 'mempermudah', 'memilih', 'transaksi']</t>
  </si>
  <si>
    <t>['suruh', 'updete', 'updete', 'ngk', 'buka', 'aplikasinya', 'jujur', 'kecewa', 'layanan', 'pembaharuan', 'skrg', 'bkn', 'membaik', 'susah', 'konsumen', 'telkomsel', 'jaman', 'jadul', 'sampe', 'jaman', 'android', 'skrg', 'layanan', 'kesini', 'parah', 'telkomsel', 'tolong', 'telkomsel', 'gmn', 'buka', 'telkomsel', 'trimakasih', 'sblumnya', 'bintang', 'dlu', 'udah', 'bener', '']</t>
  </si>
  <si>
    <t>['lemot', 'bosku', 'loding', '']</t>
  </si>
  <si>
    <t>['sinyal', 'telkomsel', 'udah', 'kaya', 'hutan', 'jaringan', 'kartu', 'mahal', 'jaringan', 'mendukung', 'keluhan', 'jaringan', 'telkomsel', 'ttep', 'peningkatan', 'perbaikan', 'jaringan', 'menyesal', 'setia', 'telkomsel', '']</t>
  </si>
  <si>
    <t>['', 'kualitas', 'jaringan', 'buruk', 'indonesia']</t>
  </si>
  <si>
    <t>['ikutan', 'parah', 'paraaah', 'bintang']</t>
  </si>
  <si>
    <t>['diupgrade', 'dibuka', 'parah', 'lemot', '']</t>
  </si>
  <si>
    <t>['payaaah', 'update', 'blenggggg', 'payahh']</t>
  </si>
  <si>
    <t>['kartunya', 'udh', 'buang', 'nggak', 'beli', 'paket', 'develover', 'nggak', 'nggak', 'sehat', 'gini', 'sampah', 'telkomsel', 'eror', 'signal', 'jelek', 'paket', 'mahal', 'tiang', 'tower', 'dimana', 'kwalitas', 'nggak', '']</t>
  </si>
  <si>
    <t>['isi', 'pulsa', 'mbanking', 'transaksi', 'berhasil', 'pulsa', 'sampe', 'skrg', 'masuk', 'laporin', 'susah', 'bener', 'proses', 'hak', 'kewajiban', 'bayar', 'uda', 'dibayar', 'pulsa', 'tolong', 'dehh', 'isikan', 'pulsa', 'buruk', 'pelayanan', '']</t>
  </si>
  <si>
    <t>['buka', 'buka', 'woooiiii']</t>
  </si>
  <si>
    <t>['masuk', 'min', 'instal', 'ulang', 'tetep', 'masuk', '']</t>
  </si>
  <si>
    <t>['gara', 'gara', 'white', 'scren', 'san', 'udah', 'mending', 'uninstall', 'capek', 'ngubungin', 'cuman', 'gantung', 'doang']</t>
  </si>
  <si>
    <t>['mudah', 'dapet', 'hadiah', 'telkomsel', 'poin']</t>
  </si>
  <si>
    <t>['aplikasi', 'telkomsel', 'putih', 'kemaren', 'kacau', '']</t>
  </si>
  <si>
    <t>['lucu', 'aplikasi', 'pulsa', 'melebihi', 'harga', 'paket', 'dibeli', 'balasannya', 'pulsa', 'niat', 'jual', 'data', '']</t>
  </si>
  <si>
    <t>['bagus', 'paketnya', 'serba', 'murah']</t>
  </si>
  <si>
    <t>['suruh', 'update', 'harga', 'kuota', 'tetep', 'mahal', '']</t>
  </si>
  <si>
    <t>['paketan', 'gacha', 'tpi', 'sinyal', 'susah', 'pembelian', 'paket', 'kuota', 'sediain', 'pembayaran', 'pakai', 'dana']</t>
  </si>
  <si>
    <t>['harga', 'mahal', 'sinyal', 'super', 'jeleeeek']</t>
  </si>
  <si>
    <t>['', 'diinstall']</t>
  </si>
  <si>
    <t>['akses', 'aplikasinya', 'white', 'screen', 'pas', 'login', 'notifnya', 'bermasalah', 'coba', '']</t>
  </si>
  <si>
    <t>['bagus', 'kali', 'nieh', 'apk', 'semangat', 'apk', 'nieh']</t>
  </si>
  <si>
    <t>['hilang', 'daily', 'check', 'parahhhh', 'paket', 'gratis', 'hilang', 'kasih', 'bintang']</t>
  </si>
  <si>
    <t>['sorry', 'dikurangi', 'start', 'update', 'jelek', 'paket', 'favorite', 'hilang', '']</t>
  </si>
  <si>
    <t>['udh', 'whitescreen', 'masuk', 'aplikasinya', 'mohon', 'perbaiki', 'secepatnya', 'beli', 'paket', '']</t>
  </si>
  <si>
    <t>['apk', 'merepotkan', 'disuruh', 'login', 'mulu', 'capeeeee', 'deeeh', 'kesini', 'bobrok', 'telkomsel', 'mahal', 'parah']</t>
  </si>
  <si>
    <t>['gila', 'keren', 'bangen']</t>
  </si>
  <si>
    <t>['telkomsel', 'joss', 'membantu', 'kuota', 'utama', 'murah', 'terjangkau', 'jaya', '']</t>
  </si>
  <si>
    <t>['seminggu', 'mytelkomsel', 'whitescreen', 'tanggapan', 'mytelkomsel', 'pelayanannya', 'bertambah', 'buruk', 'sesuai', 'harga', 'paketannya', 'selangit', '']</t>
  </si>
  <si>
    <t>['', 'instal', 'aplikasinnya', 'telkomsel', '']</t>
  </si>
  <si>
    <t>['knp', 'beli', 'paket', 'harganya', 'segitu', 'pulsa', 'sya', 'paket', 'rb', 'pulsa', 'pleaselah', 'gimana', '']</t>
  </si>
  <si>
    <t>['bonusnya', 'mantap', 'booos']</t>
  </si>
  <si>
    <t>['', 'telkomsel', 'mantaf']</t>
  </si>
  <si>
    <t>['aplikasi', 'login', 'udah', 'berkali', 'kali', 'klik', 'tautan', 'sms', 'masuk', 'coba', 'perbaiki', 'bayar', 'mahal']</t>
  </si>
  <si>
    <t>['aplilasi', 'cacad', 'update', 'masuk']</t>
  </si>
  <si>
    <t>['mantap', 'beli', 'paket', 'murah']</t>
  </si>
  <si>
    <t>['jangaringan', 'mendadak', 'telkomsel', 'main', 'game', 'jaringan', 'terbaik', 'jaringan', 'tercacat', 'vngke']</t>
  </si>
  <si>
    <t>['kecewa', 'aplikasi', 'gara', 'gara', 'aplikasi', 'double', 'aktivasi', 'paketan', 'responnya', 'pas', 'aktivasi', 'aplikasi', 'tolong', 'perbaiki', 'kedepannya']</t>
  </si>
  <si>
    <t>['jaringan', 'kek', 'taik', 'beli', 'kouta', 'mahal', 'sanggup', 'benah', 'jaringan', 'buka', 'telkomsel', 'tutup', '']</t>
  </si>
  <si>
    <t>['gabisa', 'login', 'metode', 'apapun', 'bacaannya', 'kesalahan']</t>
  </si>
  <si>
    <t>['jdi', 'gabiaa', 'dibuka']</t>
  </si>
  <si>
    <t>['good', 'promo', 'lupa', '']</t>
  </si>
  <si>
    <t>['simpati', 'telkomsel', 'bagus', 'banget']</t>
  </si>
  <si>
    <t>['loadingnya', 'ampun', 'jaringan', 'oredoo', 'bagus', '']</t>
  </si>
  <si>
    <t>['lemot', 'banget', 'malas', 'beli']</t>
  </si>
  <si>
    <t>['', 'lay', 'gini']</t>
  </si>
  <si>
    <t>['aplikasii', 'yangg', 'sangatt', 'baguss', 'dann', 'membantuu', '']</t>
  </si>
  <si>
    <t>['buka', 'aplikasi', 'semalem', 'udah', 'laporan', 'dibuka']</t>
  </si>
  <si>
    <t>['woi', 'telkomsel', 'gara', 'gara', 'telkomsel', 'gue', 'kerja', 'gara', 'gara', 'telkomsel']</t>
  </si>
  <si>
    <t>['aneh', 'aplikasi', 'milih', 'jaringan', 'buka', 'pakai', 'jaringan', 'indosat', 'masuk', 'pakai', 'jaringan', 'telkomsel', 'kecewa']</t>
  </si>
  <si>
    <t>['aplikasi', 'error', 'buka', 'data', 'plus', 'wifi', 'aneh', '']</t>
  </si>
  <si>
    <t>['', 'hrs', 'drmna', 'tggl', 'pdalaman', 'kalbar', 'dsni', 'tower', 'sel', 'isat', 'lncar', 'sel', 'smnjak', 'korona', 'muncul', 'smpai', 'detik', 'snyal', 'sel', 'sngat', 'mnurun', 'bka', 'load', 'trus', 'main', 'gam', 'onlne', 'macet', 'bagus', 'snyal', 'isat', 'akhrnya', 'pke', 'sel', 'mskpn', 'krtunya', 'msh', 'aktf', 'sll', 'aktfin', 'sel', 'dpt', 'hidayah', 'salam', 'dri', 'sambas', 'klmntan', 'barat', 'desa', 'sijang', 'kab', 'sambas', '']</t>
  </si>
  <si>
    <t>['puaskan', 'telkomsel']</t>
  </si>
  <si>
    <t>['', 'instal', 'ngapa', 'buka', 'pdhl', 'quota', 'full']</t>
  </si>
  <si>
    <t>['sinyal', 'burikk', 'kuota', 'mahal', 'bett', 'mbok', 'sinyal', 'burik', 'harga', 'kuota', 'mahal', 'mahal', '']</t>
  </si>
  <si>
    <t>['sampek', 'telkomsel', 'ngelag', 'beli', 'kouta', 'pakek', 'uang', 'tolong', 'telkomsel', 'kasih', 'sinyal', 'semaksimalnya', 'pelanggan', 'telkomsel', 'berharap', 'telkomsel', 'bisalebih']</t>
  </si>
  <si>
    <t>['aplikasi', 'pembodohan', 'web', 'tampil', 'promo', 'aplikasi', 'sebenernya', 'aplikasi', 'bugs', 'nipu', 'mulu', 'uninstal', 'mending', 'update', 'website', 'ngapain', 'update']</t>
  </si>
  <si>
    <t>['jaringan', 'bermasalah', 'telkomsel', 'andalan', 'jaringan', 'telefon', 'seluler', 'negeri', 'tercinta', 'mohon', 'maaf', 'dilempar', 'bola', 'hadir', 'pelanggan', 'setia', 'selesaikan', 'secepat', 'kembalikan', 'kepercayaan', 'telkomsel', '']</t>
  </si>
  <si>
    <t>['kasih', 'combo', 'sakti', 'gb', 'pliss', 'kak', 'paket', 'mahal', 'tolong', 'telkomsel', '']</t>
  </si>
  <si>
    <t>['aplikasi', 'bukak', 'bentar', 'ngak', 'buka']</t>
  </si>
  <si>
    <t>['ngeblank', 'putih', 'pas', 'buka', '']</t>
  </si>
  <si>
    <t>['login', 'susah', '']</t>
  </si>
  <si>
    <t>['mempermudah', 'transaksi', 'pembelian', 'pengecekan', 'paket', 'internet', 'pulsa', 'sayang', 'kuota', 'gabisa', 'kuota', 'keabisan', 'lupa', 'cek', '']</t>
  </si>
  <si>
    <t>['sinyal', 'stabil', '']</t>
  </si>
  <si>
    <t>['aplikasi', 'lemot', 'dibukanya', 'beli', 'paket', 'susah', '']</t>
  </si>
  <si>
    <t>['download', 'aplikasi', 'solusinya', 'gimana']</t>
  </si>
  <si>
    <t>['paket', 'multimedia', 'muter', 'muter', 'yaaa', 'lancar', 'kaya', 'dlu']</t>
  </si>
  <si>
    <t>['pikir', 'harga', 'mahal', 'provider', 'kualitas', 'koneksi', 'kenyataan', 'sampah', 'disaat', 'main', 'game', 'down', 'dicek', 'koneksi', 'area', 'yogyakarta', 'penilaian', 'salah', '']</t>
  </si>
  <si>
    <t>['aplikasi', 'telkomsel', 'kehapus', 'instal', 'keinstall', 'maintanance', '']</t>
  </si>
  <si>
    <t>['dear', 'telkomsel', 'mohon', 'infonya', 'perhatikan', 'buka', 'aplikasi', 'telkomsel', 'nyedot', 'kuotanya', 'gede', 'banget', 'berlaku', 'aplikasi', 'terbuka', 'data', 'jalan', 'kaya', 'buka', 'video', 'youtube', 'keliatan', 'pemakaian', 'munculin', 'tulisannya', '']</t>
  </si>
  <si>
    <t>['bagus', 'tukar', 'poin', 'tambahan', 'makasih', 'telkomsel']</t>
  </si>
  <si>
    <t>['aplikasinya', 'white', 'screen', 'alias', 'dibuka', 'unninstall', 'kali', 'min', 'gimana']</t>
  </si>
  <si>
    <t>['jaringan', 'dimana']</t>
  </si>
  <si>
    <t>['bagus', 'aplikasinya', 'membantu', '']</t>
  </si>
  <si>
    <t>['anehh', 'kartu', 'telkomsel', 'suport', 'data', 'pakai', 'kartu', 'suport', 'data', 'gimana', '']</t>
  </si>
  <si>
    <t>['apl', 'white', 'screen', 'udh', 'update', 'tetep', 'white', 'screen']</t>
  </si>
  <si>
    <t>['apk', 'error', 'jaringan', 'lemot', 'kualitas', 'buruk', 'harga', 'naikin', 'hadeeehhh', '']</t>
  </si>
  <si>
    <t>['enk', 'beli', 'pkt', 'tpi', 'sayang', 'beli']</t>
  </si>
  <si>
    <t>['perbanyak', 'promo', 'kuota']</t>
  </si>
  <si>
    <t>['aplikasi', 'mempermudah', 'pengguna', '']</t>
  </si>
  <si>
    <t>['puas', 'bnget', 'lahh', '']</t>
  </si>
  <si>
    <t>['kasih', 'full', 'bintang', 'karna', 'jaringan', 'telkomsel', 'morowali', 'buruk', 'browsing', 'bka', 'mbanking', 'lemotnya', 'ampun', 'jaringan', 'kualitas', 'bolak', 'bka', 'shopee', 'browsing', 'mbanking', 'dlll', 'hasilnya', 'nungguin', 'mnt', 'bru', 'terkirim', 'transfer', 'saldo', 'via', 'mbanking', 'notifnya', 'koneksi', 'terputus', 'jaringan', 'pakai', 'jaringan', 'telkomsel', 'bayar', 'yaa', 'gratiss', '']</t>
  </si>
  <si>
    <t>['udah', 'updatr', 'suruh', 'update', 'sii', 'ngga', 'buka', '']</t>
  </si>
  <si>
    <t>['mahal', 'jaringan', 'hilang', '']</t>
  </si>
  <si>
    <t>['mohon', 'maaf', 'kualitas', 'jaringan', 'buruk', 'membeli', 'kuota', 'nominal', 'kualitas', 'jaringan', 'buruk', 'kegiatan', 'sehari', 'provider', 'dibandingkan', 'telkomsel', 'perbaiki', 'kualitas', 'jaringan', 'latency', 'jaringan']</t>
  </si>
  <si>
    <t>['jaringan', 'turun']</t>
  </si>
  <si>
    <t>['telkomsel', 'jelek', 'banget', 'harga', 'nentuin', 'kualitas', 'harga', 'mahal', 'kualitas', 'jelek', 'kaya', 'telkomsel']</t>
  </si>
  <si>
    <t>['ndak', 'daily', 'check', 'aplikasinya', 'telkomsel', '']</t>
  </si>
  <si>
    <t>['eror', 'mulu', 'assu', 'beli', 'paket', 'promo', 'eror', 'sinyal', 'jagoan', 'sadar', 'disana', 'kinerja', 'telkomsel', 'bobrok', '']</t>
  </si>
  <si>
    <t>['membantu', 'memudahkan']</t>
  </si>
  <si>
    <t>['kenaapa', 'aplikasi', 'udh', 'buka', 'coba', 'download', 'log', 'trs', '']</t>
  </si>
  <si>
    <t>['senang', 'beli', 'kuota', 'telkomsel', 'promonya']</t>
  </si>
  <si>
    <t>['kesini', 'sinyal', 'ilang']</t>
  </si>
  <si>
    <t>['jadul', 'jaman', 'smp', 'dibilang', 'cinta', 'monyet', 'hape', 'tulit', 'tulit', 'telkomsel', 'kartu', 'pertamaku', 'taripnya', 'mahhaalll', 'ane', 'pakai']</t>
  </si>
  <si>
    <t>['aplikasinya', 'aaaa', 'baguss', 'bangattt']</t>
  </si>
  <si>
    <t>['telkomsel', 'parah', 'harga', 'mahal', 'kualitas', 'jelek', 'banget']</t>
  </si>
  <si>
    <t>['knpa', 'buka', 'aplikasi', 'blank', 'putih', 'masuk', 'masuk', 'menu', '']</t>
  </si>
  <si>
    <t>['masuk', 'lemotnya', 'ampun', 'tolong', 'telkomsel', 'tingkatkan', 'kualitas', 'apk', 'mengecewakan', 'konsumen', '']</t>
  </si>
  <si>
    <t>['menyenangkan', 'mudah', 'smoga', 'telkomsel', 'ttp', 'jaya', '']</t>
  </si>
  <si>
    <t>['beli', 'paket', 'data', 'via', 'shopee', 'pay', 'apus', 'aplikasinya']</t>
  </si>
  <si>
    <t>['knapa', 'bsa', 'masuk', 'apl', 'pdhl', 'awl', 'bsa', '']</t>
  </si>
  <si>
    <t>['promo', 'member', 'member', 'uda', 'tahunan', 'mati', 'promo', 'mending', 'beli', 'kartu', 'habis', 'pakek', 'langsung', 'bakar', 'saran', 'tolong', 'pengguna', 'prioritaskan', 'karna', 'konsisten', '']</t>
  </si>
  <si>
    <t>['aplikasi', 'memuat', 'kesalahan', 'ngga', 'kepake', 'aplikasinya']</t>
  </si>
  <si>
    <t>['saldo', 'hilangggggg']</t>
  </si>
  <si>
    <t>['sinyal', 'udah', 'register']</t>
  </si>
  <si>
    <t>['app', 'mytsel', 'update', 'pembaharuan', 'perbaharui', 'masuk', 'looding', 'muter', 'masuk', 'menu', 'gmn', '']</t>
  </si>
  <si>
    <t>['aplikasi', 'sampah', 'log', 'download']</t>
  </si>
  <si>
    <t>['harga', 'paket', 'bagus', 'murah']</t>
  </si>
  <si>
    <t>['aplikasi', 'lumayan', 'bagus', 'memgapa', 'tdah', 'cece', 'shere', 'aplikasi', 'lgi', 'dapatkan', 'hdiah', 'paket', 'data', 'gratis', 'harian', '']</t>
  </si>
  <si>
    <t>['bgus', 'mudahkan']</t>
  </si>
  <si>
    <t>['telkomsel', 'sinyal', 'down', 'mulu']</t>
  </si>
  <si>
    <t>['pembaruan', 'beli', 'paket', 'internet', 'metode', 'pembayaran', '']</t>
  </si>
  <si>
    <t>['harganya', 'doang', 'mahal', 'kualitas', 'sinyal', 'buruk', 'pelanggan', 'beralih', 'perbaikan', 'tinggal', 'tunggu']</t>
  </si>
  <si>
    <t>['susah', 'masuk', 'tertulis', 'oops', 'kesalahan']</t>
  </si>
  <si>
    <t>['pulsa', 'masuk']</t>
  </si>
  <si>
    <t>['sinyalnya', 'baikin', 'bos', 'cumedak', 'sumberjambe', 'jember', 'jatim', '']</t>
  </si>
  <si>
    <t>['mahal', 'doang', 'sinyal', 'lemes']</t>
  </si>
  <si>
    <t>['login', 'susah', 'banget', 'klik', 'link', 'tautannya', 'masuk', '']</t>
  </si>
  <si>
    <t>['app', 'bagus', 'banget', 'nyesel', 'deh', 'ayo', 'download', 'skrang']</t>
  </si>
  <si>
    <t>['belom', 'dibuka', 'aplikasi', 'min', '']</t>
  </si>
  <si>
    <t>['jaringannya', 'susah', 'ngelag', 'paketnya', 'mahal', 'jaringan', 'pertanggung', 'jawabkan']</t>
  </si>
  <si>
    <t>['aplikasi', 'mytelkomsel', 'instal', '']</t>
  </si>
  <si>
    <t>['paket', 'mahal', 'lemot']</t>
  </si>
  <si>
    <t>['apapula', 'kog', 'masuk', 'kesalahan', 'kemarin', 'tolong', 'diperbaiki']</t>
  </si>
  <si>
    <t>['kebiasaan', 'log', 'sll', 'conection', 'splikasi', 'update', 'ttp', 'sulit', 'log', '']</t>
  </si>
  <si>
    <t>['update', 'buka', 'aplikasinya', '']</t>
  </si>
  <si>
    <t>['iya', 'tolong', 'benerin', 'aplikasi', 'kehilangan', 'pulsa', '']</t>
  </si>
  <si>
    <t>['jujur', 'telkomselnya', 'bagus', 'telkomselny', 'sumapah', 'ngeselin', 'tingkat', 'dewa', 'ngidupin', 'data', 'pulsa', 'bertahap', 'hilang', 'sampek', 'abis']</t>
  </si>
  <si>
    <t>['bner', 'payah', 'telkomsel', 'udh', 'mahal', 'kualitas', 'sinyal', 'sepadan', 'keliatan', 'sinyal', 'full', 'penuh', 'koneksi', 'lambat', 'mendung', 'dikit', 'sinyal', 'lemot', 'angin', 'dikit', 'sinyal', 'ilang', 'pdhl', 'area', 'perkotaan', 'apalgi', 'perkampungan', 'selemah', 'telkomsel', '']</t>
  </si>
  <si>
    <t>['memudah', 'paket', 'internet', 'murah']</t>
  </si>
  <si>
    <t>['aplikasi', 'error', 'nunggu', 'pagi', 'beli', 'pulsa', 'tampilan', 'kesalahan', 'liat', 'akun', 'twitter', 'official', 'telkomsel', 'keluhan', 'aplikasi', 'bermasalah', 'mohon', 'diperbaiki', 'merugikan', 'belajar', 'delay', 'gara', 'beli', 'pulsa']</t>
  </si>
  <si>
    <t>['mohon', 'diperbaikii', 'telkomsel', 'jaringan', 'gajelas', 'mulu', 'dibekasi', 'hutan', 'jaringan', 'gajelas', 'mulu']</t>
  </si>
  <si>
    <t>['knp', 'sinyalnya', 'stabil', 'kuota', 'internet', 'pas', 'tinggal', 'unlimited', 'sinyalnya', 'lancar', '']</t>
  </si>
  <si>
    <t>['', 'buka', 'udah', 'update', 'white', 'screen']</t>
  </si>
  <si>
    <t>['jelek', 'sech', 'buka', 'harga', 'paketan', 'mahal']</t>
  </si>
  <si>
    <t>['main', 'potong', 'pulsa', 'seenak', 'pengguna', 'kasih', 'transaksi', 'apaa', 'plsa', 'berkurang', 'pas', 'psang', 'pket', 'maling', 'kelac', 'kakap', 'kekurangan', 'telkomsel', 'muak', 'plsa', 'berkurang', '']</t>
  </si>
  <si>
    <t>['melaporkan', 'penipuan', 'notif', 'paket', 'gb', 'pdahal', 'beli', 'tagihan', 'puas', 'nyesel', 'setia', 'ama', 'telkomsel']</t>
  </si>
  <si>
    <t>['males', 'telkomsel', 'kuota', 'mahal', 'jaringan', 'bobrok', '']</t>
  </si>
  <si>
    <t>['gabisa', 'komplain', 'dengerin']</t>
  </si>
  <si>
    <t>['', 'telkomsel', 'bukak']</t>
  </si>
  <si>
    <t>['', 'ulasan', 'hapus', 'knp', 'telkomsel', 'ngk', 'masuk', 'kesalahn', 'sistem', 'trs', 'udah', 'mail', 'ngk', 'respon', '']</t>
  </si>
  <si>
    <t>['keren', 'apknya']</t>
  </si>
  <si>
    <t>['jelek', 'bangetttt', 'log', 'udah', 'berkali', 'kali', 'log', 'tetep', 'gabisa', 'emang', 'aplikasi', 'lol']</t>
  </si>
  <si>
    <t>['tukarkan', 'point']</t>
  </si>
  <si>
    <t>['isi', 'pulsa', 'dana', 'sampe', 'transaksi', 'berhasil']</t>
  </si>
  <si>
    <t>['mantap', 'layanan', 'cepat', 'akurat']</t>
  </si>
  <si>
    <t>['telkom', 'jembot', 'sinyal', 'gatel']</t>
  </si>
  <si>
    <t>['top', 'game', 'tpi', 'robux', 'masuk', 'uang', '']</t>
  </si>
  <si>
    <t>['maksimalkan', 'verifikasi', 'link', 'wifi', 'masuk', '']</t>
  </si>
  <si>
    <t>['jaringannya', 'udah', 'gitu', 'mahal', 'main', 'piing', 'ms', 'mulu', 'buka', 'tiktok', 'kuota', 'internet', 'gb', 'buka', 'youtube', 'sinyal', 'lemot', 'mulu', 'sinyalnya', 'bagus', 'sinyal', 'ghoib', 'download', 'game', 'banget']</t>
  </si>
  <si>
    <t>['apk', 'mendukung', 'mohon', 'telkon', 'sediakan', 'paket', 'murah', 'pengguna', 'telkom', '']</t>
  </si>
  <si>
    <t>['jaringan', 'jelek', 'paket', 'mahal', 'kumplut', 'deh', 'telkomm']</t>
  </si>
  <si>
    <t>['', 'sulsel', 'udh', 'berpa', 'jaringan', 'sungguh', 'mengecewakan', 'ilang', 'mulu', 'gmana', 'bayar', 'beli', 'paketan', 'gratisan', 'tanggung', 'intinya', 'kecewa', 'semoga', 'kedepannya', 'perbaiki', 'semoga', 'terimakasih', '']</t>
  </si>
  <si>
    <t>['aplikasi', 'dibuka', 'knpa', '']</t>
  </si>
  <si>
    <t>['buruk', 'diakses', 'kesemua', 'android', 'sistem', 'androidnya', 'uzur', 'dipikirkan', 'aplikasi', '']</t>
  </si>
  <si>
    <t>['parah', 'telkomsel', 'main', 'game', 'lgi', 'paketan', 'mahal', 'mnding', 'ganti', 'kartu', 'sebelah', '']</t>
  </si>
  <si>
    <t>['telkomsel', 'eror', 'udah', 'bayar', 'tagihan', 'halo', 'aktiv', 'data', 'naya']</t>
  </si>
  <si>
    <t>['aplikasi', 'error', 'mulu', 'dibuka']</t>
  </si>
  <si>
    <t>['', 'nyesel', 'beli', 'pulsa', 'pulsa', 'blum', 'beliin', 'udh', 'habis', 'beli', 'pulsayang', 'masuk', 'cuman', '']</t>
  </si>
  <si>
    <t>['apk', 'blank', 'putih', 'tolong', 'diperbaiki']</t>
  </si>
  <si>
    <t>['kartu', 'simpati', 'simpati', 'jaringan', 'internet', 'buruk', 'mahal', '']</t>
  </si>
  <si>
    <t>['aplikasinya', 'eror', 'kamis', 'des', '']</t>
  </si>
  <si>
    <t>['kartu', 'sakti', 'murahnya', 'pass', 'udah', 'make', 'mahal', 'nama', 'menipu', 'gaya', 'wkwkwkwk', 'please', 'developer', 'cantik', 'ganteng', 'dimurah', 'paketnya', 'semahal', 'pindah', 'kartu', 'nggak', 'beli', 'mahal', 'kek', 'gini', '']</t>
  </si>
  <si>
    <t>['telkomsel', 'gua', 'doain', 'karyawan', 'bosnya', 'mati', 'tampat', 'besok', 'besok', 'org', 'beli', 'telkomsel', 'org', 'oon', 'game', 'tozon', 'mulu', 'belajar', 'jaringan', 'ilang', 'ilang', 'kadang', 'sampe', 'kadang', 'langsung', 'mati', 'datanya', 'asw', 'telkom', 'asw', 'ajing', 'ngen', 'niat', 'jualan', 'telkomsel', 'ajing']</t>
  </si>
  <si>
    <t>['sinyal', 'parah', 'daerah', 'kalsel', 'hilang', 'malam', 'pagi', 'siang', 'sehari', 'udah', 'mahal', 'sinyal', 'parah', 'hilang', 'mending', 'axis', 'lemot', 'kaya', 'gini', 'udah', 'ditengah', 'kota', 'tinggal', 'memuaskan', 'internetnya', '']</t>
  </si>
  <si>
    <t>['appnya', 'bagus', 'jaringannya', 'buruk', 'mohon', 'perbaiki', 'secepatnya', 'moga', 'telkomsel', 'kedepannya']</t>
  </si>
  <si>
    <t>['apasih', 'telkomsel', 'beli', 'pulsa', 'ngutang', 'beli', 'paket', 'belajar', 'pakek', 'gimana', 'telkomsel']</t>
  </si>
  <si>
    <t>['aplikasinya', 'dbuka', 'udah', 'aneh', 'banget', '']</t>
  </si>
  <si>
    <t>['aplikasi', 'eror', 'nggak', 'dibuka', 'tolong', 'developer', 'diperbaiki', 'aplikasi', 'jaringanya', 'paketanya', 'mahal', 'jaringanya', 'buruk']</t>
  </si>
  <si>
    <t>['error', 'mulu', 'gajelas', 'aplikasinya', 'pas', 'dibuka', 'gabisa', 'mulu', 'udah', 'uninstall', 'diinstall', 'tetep', 'error', 'kocak', 'sekelas', 'telkomsel', 'aplikasi', 'pendukungnya', 'error', 'mulu', 'sinyal', 'bagus', '']</t>
  </si>
  <si>
    <t>['telkom', 'segmen', 'pasar', 'remaja', 'harga', 'kuota', 'murah', '']</t>
  </si>
  <si>
    <t>['aplikasi', 'telkomsel', 'dibuka', 'layar', 'putih', 'semenjak', 'update', 'versi', 'tolong', 'perbaiki', 'aplikasinya']</t>
  </si>
  <si>
    <t>['lancar', 'lemot']</t>
  </si>
  <si>
    <t>['masak', 'ayam', 'ayamnya', 'ungkep', 'mytelkomsel', 'emg', 'cakep', '']</t>
  </si>
  <si>
    <t>['mudah', 'ntuk', 'cek', 'kouta', 'pulsa', 'bonus']</t>
  </si>
  <si>
    <t>['paket', 'sisa', 'pulsa', 'pagi', 'check', 'pulsa', 'habis', 'sisa', 'pulsa', 'berlanggan', 'paket', 'mohon', 'pencerahan', 'donk', 'mind', 'kemana', 'sisa', 'pulsa']</t>
  </si>
  <si>
    <t>['udah', 'mahal', 'sulit', 'log', 'buang', 'ganti', 'perdana', '']</t>
  </si>
  <si>
    <t>['operator', 'mncam', 'apaa', 'buka', 'aplkasi', 'telmsel', 'sslu', 'gmbar', 'putih', 'pkai', 'game', 'leg', 'parah', 'kuota', 'mahal', 'bekasi', 'daerah', 'kotaa', 'bekasi', 'bintaraa', 'niat', 'oprtor', '']</t>
  </si>
  <si>
    <t>['slama', 'sya', 'ttep', 'stia', 'telkomsel', 'semenjak', 'updet', 'smakin', 'boros', 'data', 'game', 'boros', 'skrng', 'boros', 'bngt', 'heummmm', 'kecewa', '']</t>
  </si>
  <si>
    <t>['buka', 'instal', 'ulang', '']</t>
  </si>
  <si>
    <t>['maunya', 'paket', 'mahal', 'tetep', 'dibeli', 'fikiran', 'sinyal', 'bagus', 'ehh', 'sinyalnya', 'jelek', 'banget', 'ngga', 'buka', 'kuota', 'pulsa', 'hilang', 'udah', 'kali', 'kaya', 'gini', 'kecewa', 'banget', '']</t>
  </si>
  <si>
    <t>['detail', 'liat', 'kuota', 'bnyak', 'promo']</t>
  </si>
  <si>
    <t>['aplikasi', 'percma', 'mahal']</t>
  </si>
  <si>
    <t>['bagus', 'wajib', 'download']</t>
  </si>
  <si>
    <t>['lemottt', 'star', 'oraa', 'masoookkk', 'sinyal', 'ilang']</t>
  </si>
  <si>
    <t>['', 'telkomsel', 'install', '']</t>
  </si>
  <si>
    <t>['masuk', 'kesalahan', 'sistem', 'gimana', 'kak', 'tolong', 'diperbaiki', 'apknya']</t>
  </si>
  <si>
    <t>['sinyal', 'wilayah', 'pameungpeuk', 'kab', 'bandung', 'tolong', 'diperbaiki', 'admin', '']</t>
  </si>
  <si>
    <t>['error', 'berjam', 'emosi', '']</t>
  </si>
  <si>
    <t>['aplikasi', 'ngga', 'buka']</t>
  </si>
  <si>
    <t>['aplikasi', 'pas', 'dibuka', 'layar', 'putih']</t>
  </si>
  <si>
    <t>['mantap', 'daftar', 'langsung', 'dapet', 'kuota', 'gb', 'gratis']</t>
  </si>
  <si>
    <t>['tlong', 'jaringan', 'pelosok', 'desa', 'tingkatkan', '']</t>
  </si>
  <si>
    <t>['jaringan', 'lelet', 'tolong', 'tingkatkn', 'telkomsel', '']</t>
  </si>
  <si>
    <t>['aplikasinya', 'error', 'mulu']</t>
  </si>
  <si>
    <t>['', 'user', 'friendly', 'menu', 'digeser', 'susah', 'tata', 'letak', 'suka', 'berubah']</t>
  </si>
  <si>
    <t>['kuota', 'hilang', 'kuata', 'msh', 'hilang', 'kemana', 'solusinya', 'gimana', '']</t>
  </si>
  <si>
    <t>['bagus', 'moga', 'lancar', 'manfaat']</t>
  </si>
  <si>
    <t>['unduh', 'pakai', 'samsung', 'galaxy', '']</t>
  </si>
  <si>
    <t>['jaringan', 'telkomsel', 'internet', 'bagus', 'tolong', 'perbaiki', 'telkomsel', 'semoga', 'telkomsel', 'lancar', '']</t>
  </si>
  <si>
    <t>['apk', 'telkomsel', 'sekarng', 'buka']</t>
  </si>
  <si>
    <t>['udah', 'download', 'dibuka']</t>
  </si>
  <si>
    <t>['kapok', 'internetan', 'pakai', 'telkomsel', 'deh', 'udah', 'mahal', 'lemot', 'main', '']</t>
  </si>
  <si>
    <t>['telkomsel', 'parah', 'udah', 'dipercaya', 'karuan', 'omdo', 'sinyal', 'banget', 'bayar', 'paketan', 'mahal', 'sinyalnya', 'ilang', 'kirik', 'tolong', 'perbaiki', 'menejemen', 'sinyal', 'normal', 'kya', 'lancar', 'jaya', '']</t>
  </si>
  <si>
    <t>['kartu', 'kontoolll', 'sumut', 'jam', 'malam', 'jam', 'malam', 'jaringan', 'mati', 'total', 'mahal', 'mahal', 'fasilitas', 'ancur', 'emang', 'kartu', 'sampahhhh', '']</t>
  </si>
  <si>
    <t>['paket', 'mahal', 'sinyal', 'suka', 'gangguan', 'sehat', 'kah', 'giliran', 'hutang', 'tagih', 'notif', 'sms', 'adil', 'beli', 'uang', 'gratis']</t>
  </si>
  <si>
    <t>['log', 'aplikasinya', 'gagal', '']</t>
  </si>
  <si>
    <t>['praktis', 'login', 'kadang', 'login', 'susah', 'berasa', 'persulit', 'memudahkan', 'pengguna', 'aplikasinya', 'tolong', 'kedepannya', 'aplikasi', 'mytelkomsel', 'pengguna', 'terbantu', 'aplikasi', 'mytelkomsel', '']</t>
  </si>
  <si>
    <t>['informasi', 'lengkap']</t>
  </si>
  <si>
    <t>['terimakasih', 'mytelekomsel']</t>
  </si>
  <si>
    <t>['sinyal', 'simpati', 'dwon']</t>
  </si>
  <si>
    <t>['telkomsel', 'bumn', 'mensejahterakan', 'rakyat', 'pandang', 'bulu', 'wilayah', 'harga', 'pulau', 'jawa', 'mahal', 'perputaran', 'ekonomi', 'indonesia', 'tambahkan', 'fitur', 'pulsa', 'disedot', 'bumn', 'perusahaan', 'swasta', 'dikelola', 'negara', 'mengambil', 'keuntungan', 'besarnya', 'rakyat', 'pengguna', 'telkomsel', 'daerah', 'terpinggir', 'keuntungan', 'pejabat', 'telkomsel', 'gendut']</t>
  </si>
  <si>
    <t>['semoga', 'baikkk', 'deh', 'doa', '']</t>
  </si>
  <si>
    <t>['dibuka', 'aplikasinya', 'beli', 'kartu', 'telkomsel', 'download', 'telkomsel', 'masuk', 'aplikasi', 'layar', 'putih', 'doang', 'udah', 'coba', 'download', 'ulang', 'tetep', 'masuk']</t>
  </si>
  <si>
    <t>['benerin', 'koneksi', 'oyy', 'kuota', 'mahal', 'sinyal', 'minim', 'fake', 'rating', 'maen', '']</t>
  </si>
  <si>
    <t>['', 'kasih', 'bitang', 'tar', 'klau', 'bagus', 'btang', '']</t>
  </si>
  <si>
    <t>['aplikasi', 'bagus', 'banget', 'berguna', '']</t>
  </si>
  <si>
    <t>['ngerii', 'biaya', 'transfer', 'pulsa', 'gitu', 'pikir', 'transfer', 'pulsa', 'dikirim']</t>
  </si>
  <si>
    <t>['apk', 'bgus', 'bget']</t>
  </si>
  <si>
    <t>['bagusbangt', 'apknya']</t>
  </si>
  <si>
    <t>['sistem', 'operasi', 'update', 'android', 'aplikasi', 'telkomsel', 'install', '']</t>
  </si>
  <si>
    <t>['aplikasi', 'susah', 'dibuka', 'jengkel']</t>
  </si>
  <si>
    <t>['aplikasi', 'memudahkan', 'informasi', 'seputar', 'kartu', 'prabayar', 'telkomsel']</t>
  </si>
  <si>
    <t>['aplikasinya', 'dibuka', 'tutup', 'aplikasinya', 'udh', 'seminggu', 'maketin', 'gara', 'aplikasi', 'pket', 'mahal', 'auto', 'ganti', 'kartu', '']</t>
  </si>
  <si>
    <t>['aplikasinya', 'dibuka', 'sampe', 'emosi']</t>
  </si>
  <si>
    <t>['aplikasi', 'telkomsel', 'hilang', 'instal', 'ulang', 'ngak', 'kontak', 'kemana', '']</t>
  </si>
  <si>
    <t>['jaringan', 'lemot', 'harga', 'paketan', 'mahal', 'menerima', 'jaringan', 'lemot', 'operator', 'buruk']</t>
  </si>
  <si>
    <t>['programmer', 'abal', 'abal', 'buka', 'aplikasinya', '']</t>
  </si>
  <si>
    <t>['oii', 'gabisa', 'dibuka', 'apk', 'telkomsel', 'heyyy', 'weehhh']</t>
  </si>
  <si>
    <t>['aplikasi', 'simpel', 'akurat']</t>
  </si>
  <si>
    <t>['telkomsel', 'isi', 'pulsa', 'karna', 'tenggang', 'udah', 'tenggang', 'tanggal', 'desember', 'ambil', 'kuota', 'combo', 'sakti', 'gb', 'sengaja', 'pulsa', 'habis', 'kesedot', 'sia', 'kepake', 'aktif', 'pas', 'cek', 'aplikasi', 'kuota', 'gimana', 'aktif', 'kuotanya', 'kemarin', 'kuota', 'kesedot', 'kuota', 'provider', '']</t>
  </si>
  <si>
    <t>['tolong', 'telkom', 'pulsa', 'habis', 'cuman', 'paket', 'tarif', 'non', 'paket', 'smpek', 'skrg', 'pulsa', 'dri', 'tolong', 'telkom', '']</t>
  </si>
  <si>
    <t>['minggu', 'aplikasinya', 'buka', 'white', 'screen', 'clear', 'cache', 'instal', 'white', 'screen', 'pelanggan', 'kartu', 'halo', 'minggi', 'jaringan', 'kartu', 'halo', 'buruk', 'mohon', 'perbaiki', '']</t>
  </si>
  <si>
    <t>['aplikasi', 'dibuka', 'buka', 'white', 'screen', 'udah', 'reinstal', 'white', 'screen', '']</t>
  </si>
  <si>
    <t>['tingkatkan', 'tarif', 'telkomsel', 'mari', 'beralih', 'provider', 'merakyat']</t>
  </si>
  <si>
    <t>['ngga', 'login', 'gagal', 'bantu', 'payah', 'ngga', 'bad', '']</t>
  </si>
  <si>
    <t>['bertahun', 'pakai', 'telkomsel', 'mkin', 'kesini', 'jelek', 'spertinya', 'ganti', 'provider', 'telkomselnya', 'pajangan', 'terlanjur', 'isi', 'pulsa', 'bnyak', 'pelanggan', 'kecewa', 'sekian', 'telkomsel', '']</t>
  </si>
  <si>
    <t>['ndak', 'muda', 'unduhan', 'pulsa', 'sore', 'tinggal', 'rb', 'penyebabnya', 'penyebabnya', 'pulsa', 'sya', 'habis', 'sedagkan', 'paket', 'pulsa', 'beli', 'nelpon', 'pulsayang', 'habis', '']</t>
  </si>
  <si>
    <t>['paket', 'paket', 'giga', 'beda', 'in']</t>
  </si>
  <si>
    <t>['aplikasi', 'aplikasi', 'tolol', 'jijik', 'tekkomsel']</t>
  </si>
  <si>
    <t>['mudah', 'teansaksinya', '']</t>
  </si>
  <si>
    <t>['tingkatkan', 'kualitas', 'promonya']</t>
  </si>
  <si>
    <t>['whitescreen', 'kerjaan', 'kacau', 'bbrp', 'gini']</t>
  </si>
  <si>
    <t>['aplikasinya', 'susah', 'buka', 'error', 'hati', 'tolong', 'diperbaiki', 'sistemnya']</t>
  </si>
  <si>
    <t>['penipuan', 'pembodoan', 'katakata', 'internet', 'internet', 'sisanya', 'dipake', 'hooq', 'malam', 'dll', 'beli', 'paket', 'data', 'harganya', 'genap', 'isi', 'pusla', 'paket', 'rb', 'pulsa', 'harapan', 'paket', 'habis', 'pulsa', 'otomatis', 'termakan', 'semoga', 'masuk', 'neraka', 'aminn']</t>
  </si>
  <si>
    <t>['apk', 'gblok', 'bukak', 'sruh', 'instal', 'ulang', 'download', 'mlh', 'bolak', 'begoook']</t>
  </si>
  <si>
    <t>['bgusss', 'aplikasi', 'nyaa', 'makasii']</t>
  </si>
  <si>
    <t>['minggu', 'nggak', 'buka', 'kesel', '']</t>
  </si>
  <si>
    <t>['turunkan', 'harga', 'kuota']</t>
  </si>
  <si>
    <t>['beli', 'paket', 'aplikasi']</t>
  </si>
  <si>
    <t>['pulsa', 'sedot', 'yaa', 'paketnya', 'sebulan', 'kecewa', 'bngt', 'kaya', 'tuyul', 'pulsa', 'yaaa']</t>
  </si>
  <si>
    <t>['telkomsel', 'kuota', 'data', 'kemenag', 'pas', 'buka', 'google', 'pulsa', 'telkom', 'habis', '']</t>
  </si>
  <si>
    <t>['kuota', 'multimedia', 'game', 'ngk', 'dipakai', 'untul', 'beli', 'mgk', 'telkomsel', 'buruk', 'kinerja', 'sekian', 'orang', 'ngeluh', 'karna', 'jaringan', '']</t>
  </si>
  <si>
    <t>['kemarin', 'beli', 'paket', 'udh', 'isi', 'pulsa', 'beli', 'nambah', 'kebeli', 'pulsa', 'sisa', 'sedot', 'udah', 'kaya', 'pemerintah', 'hak', 'org', 'miskin', 'ambil', 'pdhl', 'kuota', 'internal', 'gb', 'kuota', 'unlimited', 'gb', 'mainya', 'cuman', 'tiktok', 'ama', 'sms', 'kuota', 'jejek', 'sinyalnya', 'cmn', 'doang', 'herrrrrr']</t>
  </si>
  <si>
    <t>['telkomsel', 'kartu', 'mahalnya', 'doang', 'sinyal', 'lemot', 'tolong', 'diperbaiki', 'pelanggan', 'kabur', '']</t>
  </si>
  <si>
    <t>['min', 'tolong', 'isi', 'pulsa', 'can', 'rb', 'kuota', 'sengaja', 'kepencet', 'telkomsel', 'cuman', 'kepencet', 'sempet', 'masuk', 'langsung', 'palingan', 'detik', 'buru', 'apalah', 'daya', 'langsung', 'notif', 'pulsa', 'terpakai', 'segerra', 'isi', 'pulsa', 'gerai', 'terdekat', 'hmm', 'sedih', 'min', '']</t>
  </si>
  <si>
    <t>['apk', 'diupgrade', 'paket', 'internet', 'dibeli', 'dihilangkan', 'paket', 'internet', 'mahal', 'udah', 'langganan', 'telkomsel', 'respect', 'pelanggan', 'ikutin', 'prosedur', 'sampe', 'kasih', 'penilaian', 'bagus', 'tpi', 'pelayanannya', 'kesini', 'jelek', 'ganti', 'bintangnya', '']</t>
  </si>
  <si>
    <t>['beli', 'paketan', 'masuk', 'masuk']</t>
  </si>
  <si>
    <t>['gangguan', '']</t>
  </si>
  <si>
    <t>['mantap', 'lancar', 'sinyal', 'kuat']</t>
  </si>
  <si>
    <t>['beli', 'kuota', 'masuk', 'rugi', 'gimana', 'telkomsel', 'buruk', 'banget', '']</t>
  </si>
  <si>
    <t>['update', 'aplikasi', 'login', 'kesalahan', 'nyesel', 'diupdate', '']</t>
  </si>
  <si>
    <t>['membantu', 'promonya', 'bnyk', 'murah']</t>
  </si>
  <si>
    <t>['pakai', 'diinstal', 'ulang', 'one', '']</t>
  </si>
  <si>
    <t>['gimana', 'isi', 'kuota', 'aplikasinya', 'kebuka', 'udah', 'mahal', 'pulsa', 'ilang', 'tolonglah', 'telkomsel', 'kuota', 'habis', 'diauto', 'kuota', 'pulsa', 'rugilah', 'pulsa', 'rebu', 'cepet', 'ilangnya', '']</t>
  </si>
  <si>
    <t>['kecewa', 'aplikasi', 'buka', 'udah', 'update', 'payah']</t>
  </si>
  <si>
    <t>['jaringan', 'internet', 'kacau', 'lancar', 'ditambah', 'sms', 'iklan', 'mengganggu', 'pas', 'main', 'game', 'streaming', 'online', 'bayar', 'mahal', 'buruk', 'kualitas', 'big', 'cap', 'ngolah', 'telkomsel', 'berkembang', 'maju', 'aneh', 'maju', 'lupa', 'bumn', 'pantesan', 'heran', '']</t>
  </si>
  <si>
    <t>['aktivasi', 'internet', 'banget', 'menit', 'pulsa', 'beli', 'paket', 'habis', 'potongan', 'akses', 'internet', 'non', 'paket', 'mohon', 'kebijaksanaannya', 'terima', 'terima', 'lumayan', 'pulsa', 'ilang']</t>
  </si>
  <si>
    <t>['sinyal', 'mekarjaya', 'sumedang', 'perum', 'ibnu', 'sina', 'susah', 'tolong', 'perbaiki']</t>
  </si>
  <si>
    <t>['mudah', 'beli', 'paket', 'telkomsel']</t>
  </si>
  <si>
    <t>['apl', 'telkomsel', 'daily', 'check', 'liat', 'teman', 'youtub', 'daily', 'check', '']</t>
  </si>
  <si>
    <t>['good', 'simpel', 'cepat']</t>
  </si>
  <si>
    <t>['telkomsel', 'jelek', 'layanan', 'jaringan', 'full', 'bar', 'ngilang', 'blas', 'stabil', 'rugi', 'pemakai', 'mahal', 'doang', 'kualitas', 'buruk']</t>
  </si>
  <si>
    <t>['aplikasi', 'error', 'kesalahan', 'sistem', 'kesini', 'buruk', 'aplikasinya', 'udah', 'uninstal', 'trus', 'instal', '']</t>
  </si>
  <si>
    <t>['buka', 'aplikasi', 'lemot', 'white', 'screen']</t>
  </si>
  <si>
    <t>['aplikasi', 'lambat', 'buka', 'apl', 'stuck', '']</t>
  </si>
  <si>
    <t>['kebuka', 'applikasi', 'udh', 'mggu', 'buka', 'liat', 'kontrol', 'kuota', 'pulsa', 'tolong', 'perbaiki', '']</t>
  </si>
  <si>
    <t>['ranting', '']</t>
  </si>
  <si>
    <t>['fitur', 'dayli', 'chek', 'hilang', 'lakukan', 'update', 'menerus', 'mohon', 'telkomsel', 'perbaiki', 'aplikasi']</t>
  </si>
  <si>
    <t>['min', 'knp', 'pengen', 'beli', 'paketan', 'harganya', 'trs', 'saldo', 'pulsa', 'knp', 'gabisa', 'trs', 'kali', 'pencet', 'bayar', 'tulisan', 'maaf', 'sistem', 'gangguan']</t>
  </si>
  <si>
    <t>['muter', 'apps', 'cuti', 'kali', '']</t>
  </si>
  <si>
    <t>['sip', 'app', 'berguna', '']</t>
  </si>
  <si>
    <t>['beti', 'bintang', 'layanan', 'telkomsel', '']</t>
  </si>
  <si>
    <t>['aneh', 'stag', 'loading', 'doang', 'nggak', 'masuk', 'udah', 'download', 'nggak', 'buka']</t>
  </si>
  <si>
    <t>['kartu', 'sekrang', 'ahir', 'ahir', 'jaringan', 'lemot', 'padal', 'sll', 'beli', 'paketan', 'lemot', 'ampun', 'wilayah', 'pondok', 'ranggon', 'mabes', 'hankam', 'kartu', 'kali', 'ponsel', 'harga', 'cim', 'harga', 'ribu', 'kosong', 'blm', 'plz', 'stia', 'kartu', 'skrg', 'ganti', 'cim', 'buruk', 'layanan', 'jakarta', 'daerah', 'tolong', 'perbaiki', 'layanan', 'jaringan']</t>
  </si>
  <si>
    <t>['paket', 'combo', 'beli', 'beli', 'hasilnya', '']</t>
  </si>
  <si>
    <t>['bagus', 'paketan', 'harganya', 'dituruni', 'yach', '']</t>
  </si>
  <si>
    <t>['bagus', 'puas', 'aplikasi']</t>
  </si>
  <si>
    <t>['telkomsel', 'emang', 'good']</t>
  </si>
  <si>
    <t>['skrg', 'suka', 'lemot', 'sinyal', 'jaringannya', 'lelet', 'akses', 'apalgi', 'pas', 'weekend', 'buka', 'sosmed', '']</t>
  </si>
  <si>
    <t>['beli', 'paketan', 'tgl', 'tpi', 'tgl', 'aktif', 'bln']</t>
  </si>
  <si>
    <t>['udah', 'login', 'aplikasi', 'link', 'sms', 'email', 'telkomsel', '']</t>
  </si>
  <si>
    <t>['jelek', 'aplikasinya', 'masuk', 'berulang', 'kali', 'susah', 'sinyal', 'hilang', 'mati', 'listrik']</t>
  </si>
  <si>
    <t>['aplikasi', 'bagus', 'bangettttttttt']</t>
  </si>
  <si>
    <t>['login', 'inih', 'close']</t>
  </si>
  <si>
    <t>['susah', 'loading', '']</t>
  </si>
  <si>
    <t>['mudah', 'pembelian', 'paket', '']</t>
  </si>
  <si>
    <t>['banget', 'log', 'out', 'pas', 'log', 'gagal', 'berhari', '']</t>
  </si>
  <si>
    <t>['murah', 'merakyat', '']</t>
  </si>
  <si>
    <t>['semoga', 'telkomsel', 'terdepan']</t>
  </si>
  <si>
    <t>['edan', 'eling', 'mahal', 'poll']</t>
  </si>
  <si>
    <t>['jaringan', 'dipake', 'game', 'lag', 'emng', 'sampah', 'telkomsel']</t>
  </si>
  <si>
    <t>['aplikasinya', 'bagus', 'neng', '']</t>
  </si>
  <si>
    <t>['jelek', 'nggak', 'masuk', 'keterangannya', 'opss', 'kesalahan', '']</t>
  </si>
  <si>
    <t>['sayangkan', 'operator', 'telkomsel', 'nomer', 'indonesia', 'aplikasi', 'eror', 'log', 'out', 'masuk', 'susahnya', 'main', 'maaf', 'sekedar', 'kritik', 'semoga', 'lekas', 'perbaiki', 'parah']</t>
  </si>
  <si>
    <t>['transfer', 'pulsa', 'rb', 'saldo', 'rb', 'bener', 'bener', 'aneh', 'kesini', 'banget', 'mohon', 'perbaiki']</t>
  </si>
  <si>
    <t>['tolong', 'aplikasi', 'stelah', 'beli', 'vocher', 'vidio', 'pas', 'konfirmasi', 'kode', 'pembelian', 'kodenya', 'salah', 'tolong', 'balas', 'penipuan', 'namanya']</t>
  </si>
  <si>
    <t>['aplikasi', 'terbuka', 'terbuka', '']</t>
  </si>
  <si>
    <t>['udah', 'telkomsel', 'akses', 'pas', 'dibuka', 'layarnya', 'putih', 'mengecewakan', '']</t>
  </si>
  <si>
    <t>['mudah', 'ribet']</t>
  </si>
  <si>
    <t>['', 'telkomsel', 'smg', 'jaringannya', 'kedepannya', 'lbh', 'bagus', '']</t>
  </si>
  <si>
    <t>['aplikasinya', 'jelek', 'update', 'susah', 'login', 'aplikasinya']</t>
  </si>
  <si>
    <t>['aplikasi', 'sekelas', 'telkomsel', 'error', 'lolos', '']</t>
  </si>
  <si>
    <t>['seminggu', 'white', 'screen', 'login', 'komplain', 'ulasan', 'buruk', 'update', 'terpaksa', 'uninstal', 'sampe', 'ulasan', '']</t>
  </si>
  <si>
    <t>['jaringan', 'ilang', 'koneksi', 'trs', 'sore', 'sampe', 'malam', 'lok', 'jakarta', 'barat']</t>
  </si>
  <si>
    <t>['emang', 'apk', 'buka', 'sinyal', 'provider', 'gimana', 'beli', 'kuota', 'buka', 'tolol']</t>
  </si>
  <si>
    <t>['telkomsel', 'kasih', 'mendung', 'sdikit', 'lemotnya', 'mnta', 'ampun', 'hujan', 'muterrr', 'konek', 'aneh', 'jaringan', 'telkomsel', 'teh', 'harga', 'mahal', 'tetangga', 'tolong', 'donk', 'jaringannya', 'perbaiki', 'salam', 'jawa', 'barat']</t>
  </si>
  <si>
    <t>['membuka', 'aplikasi', 'telkomsel', 'berat', 'lalod', '']</t>
  </si>
  <si>
    <t>['habis', 'update', 'buka', 'aplikasi', 'pelayanan', 'telkomsel', 'cacad']</t>
  </si>
  <si>
    <t>['manatap', 'tapingak', 'top', 'gam']</t>
  </si>
  <si>
    <t>['applikasi', 'pakek', 'tgl', 'november', 'sampek', 'desember', 'tolongggggh']</t>
  </si>
  <si>
    <t>['mudah', 'engga', 'ribet']</t>
  </si>
  <si>
    <t>['mantap', 'mudah', 'penggunaannya', '']</t>
  </si>
  <si>
    <t>['sinyal', 'mkin', 'susah']</t>
  </si>
  <si>
    <t>['membantu', 'bangett', 'kasih', 'bintang', '']</t>
  </si>
  <si>
    <t>['kouta', 'internet', 'terpotong', 'pulsa', 'gimana', 'telkomsel', 'kecewa']</t>
  </si>
  <si>
    <t>['banget', 'nda', 'login', 'verifikasi', 'mulu', 'gagal', 'pilih', 'login', 'metode', 'nda', 'maunya', 'tolonglah', 'diperbaiki', 'terima', 'kasih', '']</t>
  </si>
  <si>
    <t>['layanan', 'lengkap']</t>
  </si>
  <si>
    <t>['komunikasi', 'jangakaun', 'luas', 'sinyal', 'kuat', 'sesering', 'promo', 'kuota', 'harga', 'murah', 'insya', 'allah', 'konsumen', 'bertambah', 'amiin', '']</t>
  </si>
  <si>
    <t>['parah', 'men', 'apk', 'gimana', 'mah', 'isi', 'kouta', 'telkomsel', 'promosi', 'doang', 'benerin', 'apk', 'parah']</t>
  </si>
  <si>
    <t>['bagus', 'skali', 'stabilkan', 'jaringan', 'kadang', 'game', 'suka', 'jalan', 'daerah', 'bandung', 'barat']</t>
  </si>
  <si>
    <t>['jaya', 'trus', 'telkomsel']</t>
  </si>
  <si>
    <t>['kualitas', 'aplikasi', 'buruk', 'blank', 'susah', 'masuk', 'error', '']</t>
  </si>
  <si>
    <t>['pulsa', 'isi', 'iklan', 'butuh', 'kuota', 'kuota', 'gb', 'hr', 'rp', 'rb', 'beli', 'balas', 'sms', 'cek', 'tsel', 'hm', 'promo', 'des', 'sms', 'paket', 'senilai', 'ribu', 'cek', 'pulsa', 'berkurang', 'senilai', 'binggung', 'percaya', 'sms', 'pembelianmu', 'gagal', 'pastikan', 'pulsa', 'pembelian', 'ketik', 'kirim', 'cek', 'pembelian', 'ulang']</t>
  </si>
  <si>
    <t>['males', 'bngt', 'login', 'trs', 'white', 'screen', '']</t>
  </si>
  <si>
    <t>['bintang', 'susah', 'membuka', 'aplikasi']</t>
  </si>
  <si>
    <t>['senang', 'banget', 'telkomsel', 'daily', 'cekin', 'jdi', 'pas', 'paket', 'sekarat', 'digunain', 'bonus', 'kuota', 'internet', 'dri', 'cekin', 'pas', 'udah', 'bonus', 'gb', 'daily', 'cekinnya', 'menghilang', '']</t>
  </si>
  <si>
    <t>['tlg', 'kouta', 'anak', 'sekolah', 'hrs', 'harganya']</t>
  </si>
  <si>
    <t>['cekin']</t>
  </si>
  <si>
    <t>['', 'doang', 'paketan', 'abis', 'pllz', 'langsung', 'hilang', 'gajelass', '']</t>
  </si>
  <si>
    <t>['signal', 'internet', 'bagus', '']</t>
  </si>
  <si>
    <t>['lbh', 'mudah', 'dimengerti']</t>
  </si>
  <si>
    <t>['jelek', 'loading']</t>
  </si>
  <si>
    <t>['sengaja', 'kasih', 'bintang', 'unlimited', 'telkomsel', 'dikurangi', 'kbps', 'tolong', 'bersangkutan', 'lihat', 'konsumen', 'mengeluh', 'kapasitas', 'jaringan', 'mudah', 'mudahan', 'normal', '']</t>
  </si>
  <si>
    <t>['harga', 'kuotanya', 'kaga', 'ringan', 'pengguna', 'sederhana', 'ngojol', 'maen', 'game', 'youtube']</t>
  </si>
  <si>
    <t>['dpt', 'redem', 'poin', 'wkwkw']</t>
  </si>
  <si>
    <t>['lemot', 'siang', 'malam']</t>
  </si>
  <si>
    <t>['kirim', 'email', 'tolong', 'kak', 'diperbaikin', 'jaringannya']</t>
  </si>
  <si>
    <t>['mempermainkan', 'pelanggan', 'stelahnpaket', 'utama', 'habis', 'kuota', 'multi', 'media', 'lemot', 'kek', 'bekicot', 'sengaja', 'disetting', 'gimna', 'mending', 'pembagian', 'kuota', 'normal']</t>
  </si>
  <si>
    <t>['pulsa', 'terpotong', 'pemakaian', 'internet', 'kuota', 'terpotong', 'paok', 'telkomsel']</t>
  </si>
  <si>
    <t>['daftar', 'paket', 'deskripsi', 'paket', 'ribet', 'mohon', 'diperbaiki', 'simpel', 'mudah', 'dipahami', 'terimakasih']</t>
  </si>
  <si>
    <t>['boros', 'jaringan', 'stabil']</t>
  </si>
  <si>
    <t>['tolong', 'yaa', 'kasih', 'menu', 'berhenti', 'paket', 'ndak', 'daftar']</t>
  </si>
  <si>
    <t>['keren', 'pokonyah', 'telkomsel']</t>
  </si>
  <si>
    <t>['beli', 'paket', 'buka', 'aplikasinya', 'lemot', 'mati', 'guling', 'tikar', 'bisanya', 'update', 'update', 'update', 'mahal', 'doang', 'beli', 'paket', 'sinyal', '']</t>
  </si>
  <si>
    <t>['jaringan', 'bagusin', 'harga', 'paketan', 'doang', 'mahalin', 'ngak', 'sesuai', 'kwalitas', 'jaringan', 'harganya', '']</t>
  </si>
  <si>
    <t>['telkomsel', 'nggak', 'buka']</t>
  </si>
  <si>
    <t>['buk', 'promo', 'murah']</t>
  </si>
  <si>
    <t>['tolonglah', 'telkomsel', 'harga', 'paket', 'mahal', 'jaringan', 'bermasalah', 'udah', 'beli', 'harga', 'mahal', 'gangguan', 'ngotak', '']</t>
  </si>
  <si>
    <t>['kek', 'sampah', 'jaringan', 'telkomsel', 'skrng', 'kek', 'dlu', 'stabil', 'slalu', 'hilang', 'timbul', 'hilang', 'timbul', 'parahnya', 'lgi', 'pulak', 'jaringan', 'ping', 'dahlah', 'ntah', 'kartu', 'apapun', '']</t>
  </si>
  <si>
    <t>['membantu', 'sayangnya', 'harga', 'paket', 'kouta', 'mahal', 'daerah', 'kalbar']</t>
  </si>
  <si>
    <t>['kasih', 'dlu', 'karna', 'coba']</t>
  </si>
  <si>
    <t>['strezzz', 'aplikasi', 'dibuka', 'pke', 'wifi', 'giliran', 'pke', 'kuota', 'pulsanya', 'abis', 'sedot', 'ngaco', 'gmna', 'indonesia', 'maju', 'telkomselnya', 'ajh', 'produknya', '']</t>
  </si>
  <si>
    <t>['buka', 'aplikasinya', 'banget', 'sinyal', 'bagus', 'koneksinya', 'receh']</t>
  </si>
  <si>
    <t>['perna', 'dpt', 'hadia']</t>
  </si>
  <si>
    <t>['tingkatkan', 'kualitas', 'banyakin', 'promo', 'saingan']</t>
  </si>
  <si>
    <t>['aji', 'pamukas', 'pengin', 'dapet', 'hadiah']</t>
  </si>
  <si>
    <t>['sekaeang', 'jaringan', 'udah', 'jelek', 'kali', 'kadang', 'mati', 'paketnya', 'udah', 'beli', 'mahal', 'tolong', 'atasi']</t>
  </si>
  <si>
    <t>['paket', 'inthernet', 'aktif', 'pulsa', 'sedot', 'ampun', 'telkomsel', 'buruk', 'kinerja', 'telkomsel']</t>
  </si>
  <si>
    <t>['jaringan', 'jelek', 'banget', 'bentar', 'lag', 'lag', 'lag', 'lag', 'paket', 'mahal', 'sesuai', 'services', '']</t>
  </si>
  <si>
    <t>['aplikasi', 'super', 'lemot']</t>
  </si>
  <si>
    <t>['pulsa', 'kesedot', 'trus', 'paket']</t>
  </si>
  <si>
    <t>['telkomsel', 'kesel', 'gara', 'gara', 'jaringan', 'jelek', 'banget']</t>
  </si>
  <si>
    <t>['maaf', 'bintang', 'customer', 'service', 'fitur', 'veronika', 'low', 'response', 'professional', 'signal', 'telkomsel', 'parah', 'berasa', 'edge', 'bar', 'signal', 'telkom', 'turun', 'drastis', 'pengaduan', 'proses', 'perbaikan', 'lelet', 'masuk', 'minggu', 'belom', 'terselesaikan', 'nunggu', 'terselesaikan', 'signal', 'telkomsel', 'lokasi', 'kawasaki', 'area', 'pelabuhan', 'signal', 'astagfirullah']</t>
  </si>
  <si>
    <t>['sayang', 'koneksi', 'internet', 'telkomsel', 'buruk', 'pindah', 'operator', 'internetan', '']</t>
  </si>
  <si>
    <t>['', 'apknya', 'bacaannya', 'update', 'pas', 'playstore', 'update', 'gimana', 'jdi', 'gini', 'udh', 'gitu', 'tukar', 'point', 'suka', 'gagal', 'trs', 'point', 'nyesel', 'kaya', 'kartu', 'sebelah', 'nuker', 'pakai', 'pulsa']</t>
  </si>
  <si>
    <t>['beli', 'paketnya', 'jaringan', 'telkom', 'sel', 'susah', 'aduh', 'tolonglah', 'perbaikin', '']</t>
  </si>
  <si>
    <t>['bagusla', 'blm', 'gendala', 'kasi', 'promo', '']</t>
  </si>
  <si>
    <t>['payah', 'fitur', 'pulsa', 'safe', 'provider', 'sebelah', 'kuota', 'habis', 'pulsa', 'langsung', 'keserap', 'habis', '']</t>
  </si>
  <si>
    <t>['parah', 'jaringan', 'internetnya', 'lemot', 'pengguna', 'setia', 'simpati', 'kecewa', '']</t>
  </si>
  <si>
    <t>['jaringan', 'parah', 'kota', 'cuman', 'dpt', 'udah', 'paket', 'mahal', 'jaringan', 'hancur', 'lebur', 'kuota', 'cepat', 'habis', 'jaringan', 'lelet', 'banget', 'parah', '']</t>
  </si>
  <si>
    <t>['update', 'sistem', 'androidx', 'aplikasi', 'terinstal', 'tolong', 'diperbaiki', 'secepatnya']</t>
  </si>
  <si>
    <t>['aplikasi', 'masuk', 'akun', 'gimana', 'kuota', 'udh', 'abis', '']</t>
  </si>
  <si>
    <t>['mahal', 'gaada', 'sinyal', '']</t>
  </si>
  <si>
    <t>['deh', 'kartu', 'ubah', 'hallo']</t>
  </si>
  <si>
    <t>['aplikasinya', 'keren', 'akses', 'telkomsel', 'pakai', 'kartu', 'lemot']</t>
  </si>
  <si>
    <t>['update', 'susah', 'login', 'ulang', '']</t>
  </si>
  <si>
    <t>['provider', 'terburuk', 'saran', 'ngelanjutkan', 'beli', 'pket', 'internet', 'telkomsel', 'mending', 'pakai', 'msh', 'kota', 'koneksi', 'kek', 'perdesaan', 'tinggal', 'perdesaan', 'gpp', 'deh', 'pkai', 'telkomsel', 'dikota', 'ush', 'jaringan', 'sma', 'sprti', 'didesa', 'tempt', 'terpencil', 'provider', 'laknat', 'jam', 'malam', 'sinyal', 'hilang']</t>
  </si>
  <si>
    <t>['jaringan', 'embel', 'iklan', 'terbaik', 'banten', 'payah', '']</t>
  </si>
  <si>
    <t>['mohon', 'respon', 'keluhan', 'telkomsel', 'ajukan', 'kali', 'keluhan', 'respon', 'transaksi', 'paket', 'darurat', 'isi', 'pulsa', 'otomatis', 'kena', 'potong', 'pulsa', 'berulang', 'ulang', 'respon', 'telkomsel', 'diamin', 'rugikan', 'tolong', 'kembalikan', 'pulsa', 'aplikasi', 'unistal']</t>
  </si>
  <si>
    <t>['harga', 'paket', 'mahal', 'doang', 'kualitas', 'sinyal', 'buruk', '']</t>
  </si>
  <si>
    <t>['', 'tembak', 'jatuh', 'ntr', 'satelit', 'klu', 'naikan', 'jaringan', 'pelanggan', 'kecewa', 'jaringan', 'stabil', 'gausah']</t>
  </si>
  <si>
    <t>['hallo', 'admin', 'kartu', 'jarang', 'promo', 'kartu', 'berbeda', 'harga', 'paketnya', 'telkomsel', 'mohon', 'tanggapannya', 'min', '']</t>
  </si>
  <si>
    <t>['internet', 'burik', 'sinyal', 'hilang', 'telkomsel', 'sebagus', 'tolong', 'kasi', 'telkomsel']</t>
  </si>
  <si>
    <t>['poin', 'udah', 'tukar', 'kuota', 'yng', 'gb', 'pulsa', 'berlaku', 'cuman', 'tuker', 'krena', 'abis', 'paket', 'nyuruh', 'isi', 'pulsa', 'reedom', 'hadiah', 'pulsa', 'maaf', 'pulsa', 'mengambil', 'hadiah', 'telkomsel', 'mahal', 'ribet']</t>
  </si>
  <si>
    <t>['jam', 'jaringan', 'slalu', 'mati', 'jelek', 'paket', 'mahal', 'mahal', 'kecepatan', 'sesuai']</t>
  </si>
  <si>
    <t>['masuk', 'facebook', 'gagal', 'mulu', 'sslalu', 'muncul', 'tulisan', 'sesi', 'belom', 'masuk']</t>
  </si>
  <si>
    <t>['tolong', 'jaringannya', 'menyebalkan', 'jaringan', 'terputus', 'jaringan', 'kalah', 'ngerank', 'njm', 'gara', 'gara', 'jaringan', 'telkomsel', 'terputus', 'gagal', 'glory', 'point', 'gini', 'main', 'game', 'online', 'kali', 'bgini', 'terkadang', 'menonton', 'streaming', 'live', 'dll', 'jaringan', 'terkadang', 'stabil', 'mohon', 'bersangkutan', 'tolong', 'atasi', 'jaringan']</t>
  </si>
  <si>
    <t>['jaringan', 'terburuk', 'perubahan', 'kecewa', 'telkomsel', 'bisanya', 'jaringan', 'dikota', 'pulak', 'kecewa', 'kali', 'pengguna', 'setia', 'telkomsel']</t>
  </si>
  <si>
    <t>['nyedot', 'pulsa', 'kuota', 'gb', 'aneh', '']</t>
  </si>
  <si>
    <t>['tutup', 'aplikasi', 'permasalahannya', 'error', 'dibuka', 'diperbaiki']</t>
  </si>
  <si>
    <t>['', 'ngerti', 'ujan', 'engga', 'gangguan', 'gangguan', 'aplikasi', 'kadang', 'error', 'mantep', 'banget', 'paket', 'mahal', 'jaringan', 'gangguan', '']</t>
  </si>
  <si>
    <t>['telkomsel', 'tidaak', 'sinyalnya', 'beli', 'paket', 'mahal', 'jaringan', 'gangguan', 'telkomsel', 'sanggup', 'menproritaskan', 'jaringan', 'kecang', 'konsumen', 'kecewa']</t>
  </si>
  <si>
    <t>['koneksi', 'skrng', 'terputus', 'taik']</t>
  </si>
  <si>
    <t>['ahh', 'telkomsel', 'sinyal', 'kek', 'popo', 'mending', 'pilih', 'tri']</t>
  </si>
  <si>
    <t>['kartu', 'gaje', 'gue', 'pakai', 'buka', 'kagak', 'kebuka', 'paket']</t>
  </si>
  <si>
    <t>['sore', 'masuk', 'telkomsel', 'kesalahan', 'nomernya', 'udab', 'bener', 'kemaren', '']</t>
  </si>
  <si>
    <t>['gabisa', 'login', 'akun', 'peringatan', 'berbunyi', 'oops', 'kesalahan', '']</t>
  </si>
  <si>
    <t>['kartu', 'bab', 'sinyal', 'kek', 'bab', 'temen', 'sinyal', 'lamcar', 'cuman', 'turun', 'setan', 'kartu', 'najis']</t>
  </si>
  <si>
    <t>['jaringannya', 'lemot', 'banget']</t>
  </si>
  <si>
    <t>['susah', 'bangett', 'apk', 'dibuka', 'mumpuni', 'buka', 'apk', 'ginian', 'doang', 'berat', 'banget', 'apk', 'aneh', 'sumpah']</t>
  </si>
  <si>
    <t>['murah', 'meriah']</t>
  </si>
  <si>
    <t>['sesuai', 'ketentuan', 'kuota', 'combo', 'sakti', 'harga', 'kuota', 'utama', 'habis', 'kuota', 'multimedia', 'maksimal', 'berguna', 'akses', 'sosmed', 'selebihnya', 'sesuai', 'ketentuan', 'dideskripsi', 'produk', 'knowledge', 'harap', 'telkomsel', 'fair', 'jujur', 'produk', 'dijual', 'rating', 'kosong', 'telkomsel', 'indonesia', 'kinerja', 'sistem', 'buruk', 'butuh', 'perbaikan', 'pengembangan', 'tekhnologi', '']</t>
  </si>
  <si>
    <t>['kecewa', 'banget', 'operator', 'semenjak', 'down', 'sinyal', 'down', 'nunggu', 'malem', 'banget', 'normal', 'emang', 'rumah', 'desa', 'hambatan', 'sinyal', 'telkomsel', 'sinyal', 'parah', 'banget', 'pengalaman', 'pribadi', 'udah', 'telkomsel', 'ganti', 'uhhh', 'semoga', 'perbaiki', 'terimakasih']</t>
  </si>
  <si>
    <t>['pulsa', 'utang']</t>
  </si>
  <si>
    <t>['operator', 'bobrok', 'kualitas', 'jaringan', 'beli', 'paket', 'mahal', 'jaringan', 'kayak', 'keong']</t>
  </si>
  <si>
    <t>['kartu', 'perdana', 'udah', 'tahunan', 'promo', 'paket', 'murah', 'sebulan']</t>
  </si>
  <si>
    <t>['error', 'beli', 'paket', 'telpon', 'unlimited', 'udah', 'kartu', 'udah', 'sakti']</t>
  </si>
  <si>
    <t>['masuk', 'aplikasi', 'telkomsel', 'bayar', 'tagihan', 'susahnya', 'ampunnnnn']</t>
  </si>
  <si>
    <t>['telkomsel', 'terbaik', 'bandingkan']</t>
  </si>
  <si>
    <t>['jangkauan', 'luas', 'sinyal', 'kuat']</t>
  </si>
  <si>
    <t>['bintang', 'masuk', 'akun', '']</t>
  </si>
  <si>
    <t>['pembelian', 'paket', 'data', 'prosesnya', 'menit', 'pembelian', 'proses', 'transaksinya', 'device', 'redmi', 'note', 'android', '']</t>
  </si>
  <si>
    <t>['mao', 'masuk', 'telkomsel', 'ribet', 'kode', 'perbarui', 'koreksi', 'jaringan', 'susah']</t>
  </si>
  <si>
    <t>['yth', 'telkomsel', 'tgl', 'nov', 'aplikasi', 'telkomsel', 'dibuka', 'penjelasannya', 'donk']</t>
  </si>
  <si>
    <t>['kesini', 'jelek', 'sinyal', 'mending', 'ganti', 'provider', 'deh', '']</t>
  </si>
  <si>
    <t>['udah', 'sinyal', 'tinggal', 'jakarta', 'amsong', 'simpati']</t>
  </si>
  <si>
    <t>['bujug', 'busyet', 'harga', 'paketnya', 'gilaaaaaaa', 'kuat', '']</t>
  </si>
  <si>
    <t>['best', 'pokoknya']</t>
  </si>
  <si>
    <t>['jaringan', 'kayak', 'telkomsel', 'jaringan', 'stabil', 'tolong', 'diperbaiki', 'jaringannya', '']</t>
  </si>
  <si>
    <t>['tolong', 'perbaiki', 'koneksi', 'jaringan', 'paket', 'data', 'game', 'parah', 'jringan', 'putus', '']</t>
  </si>
  <si>
    <t>['buaka', 'aplikasinya', 'lambat', 'banget', 'mohon', 'perbaiki']</t>
  </si>
  <si>
    <t>['pekerja', 'swasta']</t>
  </si>
  <si>
    <t>['trouble', 'kah', 'paket', 'habis', '']</t>
  </si>
  <si>
    <t>['kecewa', 'ancur', 'jaringannya']</t>
  </si>
  <si>
    <t>['tolong', 'tsel', 'jaringan', 'daerah', 'kec', 'tambang', 'kab', 'kampar', 'udah', 'jaringan', '']</t>
  </si>
  <si>
    <t>['telkomsel', 'udah', 'kayak', 'lemoot', 'pool', 'sinyal', 'internet', 'kayak', 'axis', 'kali', 'beli', 'paket', 'data', 'telkomsel', '']</t>
  </si>
  <si>
    <t>['sinyal', 'kaya']</t>
  </si>
  <si>
    <t>['', 'teklkomsel', 'mantap']</t>
  </si>
  <si>
    <t>['', 'kagak', 'login', 'ulang', 'kampreeeett', 'logout', 'sndiri', 'lucu', 'produk', 'mahal', 'doank', 'tpi', 'kualitas', 'jeleekk', 'please', 'dehh', 'log', 'berkali', 'dapet', 'notif', 'sms', 'otp', 'kagak', 'dibuka', 'link', 'dasar', 'abal', 'perbaiki', 'donk', 'layanan', 'percma', 'mahal', 'biaya', 'kualitas', 'setara', 'dngan', 'gsm', '']</t>
  </si>
  <si>
    <t>['lumayan', 'memuaskan', 'membantu', 'ditingkatkan', 'kualitas', 'kuantitas', 'good', 'luck', '']</t>
  </si>
  <si>
    <t>['kualitas', 'sinyalnya', 'buruk', 'kemaren', 'beli', 'paketan']</t>
  </si>
  <si>
    <t>['terimakasih', 'jaringannya', 'lemah', 'pengguna', 'ganti', 'terimakasih', 'menyajikan', 'paket', 'internet', 'lemot', 'mahal', 'puas', 'kualitas', 'sebanding', 'harganya']</t>
  </si>
  <si>
    <t>['masuk', 'gan', 'aplikasi', 'operatornya']</t>
  </si>
  <si>
    <t>['aplikasi', 'nyusahin', 'butuh', 'login', 'susah', 'buka', 'login', 'ulang', 'itungan', 'benahin', 'udah', 'mahal', 'tpi', 'kualitaa', 'makinbagus', 'buruk']</t>
  </si>
  <si>
    <t>['telkomsel', 'parah', 'sinyal', 'jakarta', 'barat', 'kuota', 'mahal', 'jaringan', 'lemot', 'gax', 'seimbang']</t>
  </si>
  <si>
    <t>['jaringan', 'udh', 'ngk', 'bagus', 'kuota', 'mahal', 'ngpain', 'beli', 'kuota', 'jaringan', 'kesini', 'ngeleg', 'lelet', '']</t>
  </si>
  <si>
    <t>['', 'telkomsel', 'aplikasi', 'bermanpaat', 'cek', 'saldo', 'poin']</t>
  </si>
  <si>
    <t>['beli', 'paket', 'aplikasi', 'murah']</t>
  </si>
  <si>
    <t>['area', 'surabaya', 'selatan', 'internet', 'lemooootttttttttttt']</t>
  </si>
  <si>
    <t>['memuaskan', 'tpi', 'dikurangin', 'harga', 'paket', 'internetnya']</t>
  </si>
  <si>
    <t>['tolong', 'paketnya', 'nerf', 'mahal', 'kali', '']</t>
  </si>
  <si>
    <t>['telkomsel', 'kesini', 'buruk', 'jaringannya', 'ulasan', 'buruk', 'respon', 'kekecewaan', 'ketidakpuasan', 'pengguna', 'diperhatikan', 'tolong', 'kerjasamanya', 'layanan', 'gratis', 'kali', 'waterpark', 'mennnn', 'oiyaa', 'btw', 'buka', 'loker', '']</t>
  </si>
  <si>
    <t>['pikir', 'mahal', 'jaringan', 'lancar', 'busuk', '']</t>
  </si>
  <si>
    <t>['fitur', 'lengkap', 'keluhan', 'konsumen', 'telkomsel', 'menunjukan', 'keburukannya', 'membuktikan', 'operator', '']</t>
  </si>
  <si>
    <t>['aplikasii', 'burik', 'buka', 'menu', 'peketannya', 'ngotak', 'troubel', '']</t>
  </si>
  <si>
    <t>['makasih', 'kasih', 'paket', 'gratis', '']</t>
  </si>
  <si>
    <t>['paket', 'gamemax', 'dibuang', 'sumpah', 'banget', 'paketnya', 'buang', 'pulsa', 'internet', 'ngelag', 'banget']</t>
  </si>
  <si>
    <t>['', 'istri', 'setia', 'pegang', '']</t>
  </si>
  <si>
    <t>['suka', 'telkomsel', 'mengerti', 'paket', 'gitu', 'kayak', 'kuota', 'nonton', 'kuota', 'sosmed', 'kuota', 'sosmed', 'lokal', 'dll', 'kali', 'description', 'apk', 'kuota', 'nanya', 'mulu', 'twitter', 'akun', 'officialnya', 'customer', 'service', 'ramah', 'btw', 'jelasin', 'singkat', 'the', 'point', 'basa', 'basi']</t>
  </si>
  <si>
    <t>['sinyal', 'telkomsel', 'daerah', 'buruk', 'harga', 'paket', 'mahal', 'sinyal', 'jaringan', 'internetnya', 'buruk', 'kecewa', 'kwalitas', 'jaringan', 'internet', 'sebanding', 'harganya', 'penilain', 'minus', 'kasih', '']</t>
  </si>
  <si>
    <t>['assalamualaikum', 'mohon', 'maaf', 'pengguna', 'telkomsel', 'knp', 'gituh', 'jaringan', 'telkomsel', 'buruk', 'mohon', 'perbaiki', 'pengguna', 'setia', 'telkomsel', 'kecewa', 'mohon', 'secepat', 'nyah', 'perbaiki', 'mengecewakan', 'penggunaan', '']</t>
  </si>
  <si>
    <t>['likasi', 'wooiiii', 'sinyal', 'sinyal', 'jelek', 'sinyalnya', 'telkomsel', '']</t>
  </si>
  <si>
    <t>['paket', 'data', 'mahal', 'jaringannya', 'kek', 'siput']</t>
  </si>
  <si>
    <t>['wilayah', 'tanjung', 'pandan', 'belitung', 'sinyal', 'telkomsel', 'lenyap']</t>
  </si>
  <si>
    <t>['install', 'udah', 'coba', 'kali', '']</t>
  </si>
  <si>
    <t>['bgus', 'dipkai', 'mkin', 'melunjak', 'jelek', 'skali', 'jaringannya', 'ngak', 'buka', 'aplikasinya', 'pdhl', 'jaringan', 'internet', 'bagus', 'bolak', 'instal', 'uninstal', 'perubahan', 'semoga', 'kedepannya', 'bagus', 'deh', '']</t>
  </si>
  <si>
    <t>['min', 'aplikasi', 'buka', 'knapa', '']</t>
  </si>
  <si>
    <t>['wei', 'sinyalnya', 'bagusin', 'sinyal', 'claim', 'hadiah', 'daily', 'ceck', 'kuota', 'multimedia', 'jaringan', 'lemot', 'bangke', 'download', 'sinyal', 'full', 'reconnecting']</t>
  </si>
  <si>
    <t>['login', 'aplikasi', 'siih', 'parah', 'telkomsel', 'jaringannya']</t>
  </si>
  <si>
    <t>['jaringan', 'udah']</t>
  </si>
  <si>
    <t>['kesini', 'jelek', 'jaringan', 'harga', 'mahal', 'seimbangin', 'harga', 'kualitas', 'jaringan', 'bagus', 'gimana', 'sihh', '']</t>
  </si>
  <si>
    <t>['dikota', 'mataram', 'kekalik', 'jaya', 'jalan', 'swasembada', 'ntb', 'jaringannya', 'lag', 'kos', 'kos', 'lantai', 'tolong', 'diperhatikan', 'jaringannya', 'terganggu', 'main', 'tugas', '']</t>
  </si>
  <si>
    <t>['aplikasi', 'mudah', 'mengontrol', 'pulsa', 'paketan', 'internetnya']</t>
  </si>
  <si>
    <t>['paket', 'gb', 'all', 'internet', 'pulsa', 'makan', '']</t>
  </si>
  <si>
    <t>['hallo', 'telkomsel', 'gimana', 'buka', 'aplikasi', 'layar', 'putih', 'doang', 'bayar', 'tagihan', '']</t>
  </si>
  <si>
    <t>['signalnya', 'turun', 'waaaak', 'pieeeee', 'iki', '']</t>
  </si>
  <si>
    <t>['hahahahah', 'merasakan', 'keluhan', 'kartu', 'mahal', 'jaringan', 'sampah', '']</t>
  </si>
  <si>
    <t>['knp', 'jaringan', 'kota', 'padang', 'parah']</t>
  </si>
  <si>
    <t>['sinyal', 'parah', 'game', 'setabil', 'teros', 'telkomsel', 'parah', 'paketan', 'mahal', 'sinyal', 'perbaiki', '']</t>
  </si>
  <si>
    <t>['lahh', 'gabisa', 'masuk', 'ogeb']</t>
  </si>
  <si>
    <t>['pulsa', 'mencukupi', 'pembelian', 'paket', 'ksel']</t>
  </si>
  <si>
    <t>['parah', 'pulsa', 'pakai', 'kuras', 'abis', '']</t>
  </si>
  <si>
    <t>['telkomsel', 'benerin', 'sinyal', 'secepatnya', 'ngak', 'mending', 'ush', 'kartu', 'telkomsel', 'deh', 'kouta', 'mahal', 'jaringan', 'lelet', 'pulak', 'perbaikin', 'mending', 'tutup', 'perusahaan', 'telkomsel']</t>
  </si>
  <si>
    <t>['aneh', 'terinstal', 'dicek', 'gaada', 'coba', 'download', 'terinstal']</t>
  </si>
  <si>
    <t>['telkomsel', 'jelek', 'listrik', 'padam', 'jaringannya', 'gua', 'pindah', 'pelanggan', 'jelek', 'kualitasnya', '']</t>
  </si>
  <si>
    <t>['benerin', 'sinyal', '']</t>
  </si>
  <si>
    <t>['proses', 'transaksi', 'beli', 'kuota', 'kog', '']</t>
  </si>
  <si>
    <t>['bagikan', 'point', 'telkomsel']</t>
  </si>
  <si>
    <t>['nyediain', 'paket', 'combo', 'sakti', 'unlimited', 'kuota', 'multimedia', 'sosmed', 'youtube', 'lemot', 'dipakai']</t>
  </si>
  <si>
    <t>['paket', 'dibeli', 'dibagi', 'seandainya', 'keluarga', 'pakai', 'simpati', 'ganti', 'kuning', 'mantan', 'bumn', '']</t>
  </si>
  <si>
    <t>['jaringan', 'telkomsel', 'udah', 'ngak', 'bagus', 'bagus', 'perusahaan', 'swasta', 'ehh', 'negeri', 'jaringan', 'buruk', 'melebihi', 'keburukan', 'dosa', 'manusia', '']</t>
  </si>
  <si>
    <t>['update', 'login', 'kesalahan', 'tolong']</t>
  </si>
  <si>
    <t>['telkomsel', 'masuk', 'aplikasi', 'gagal', 'parah']</t>
  </si>
  <si>
    <t>['data', 'selular', 'pakai', 'indosat', 'oredoo', 'telkomsel', 'potong', 'pulsa', 'keterangan', 'pemakaian', 'akses', 'internet', 'non', 'paket', 'hadeeuuh', 'paket', 'data', 'pakai', 'jaringan', 'korupsi', 'namanya']</t>
  </si>
  <si>
    <t>['sinyal', 'buruk', 'gua', 'telkom', 'sinyal', 'kek', 'paket', 'mahal', 'dasar', 'untungnya', 'mikirin', 'orang', '']</t>
  </si>
  <si>
    <t>['mantul', 'informasi', 'pilihan', 'produk', 'tsel', '']</t>
  </si>
  <si>
    <t>['benerin', 'jaringan', 'harga', 'paket', 'selangit', 'sinyal', 'turun', 'asw']</t>
  </si>
  <si>
    <t>['turun', 'harganya', 'bole', '']</t>
  </si>
  <si>
    <t>['jaringannya', 'tolong', 'diperbaiki', 'suka', 'hilang', 'sinyal', 'daerah']</t>
  </si>
  <si>
    <t>['beli', 'pulsa', '']</t>
  </si>
  <si>
    <t>['tolong', 'diperbaiki', 'gangguan', 'boros', 'pengguna', 'betah', 'diperbaiki', 'kehilangan', 'kepercayaan', 'pengguna', 'telkomsel', '']</t>
  </si>
  <si>
    <t>['aplikasi', 'dibuka', 'instal', '']</t>
  </si>
  <si>
    <t>['aplikasi', 'bagus', 'tdak', 'merepotkan', 'pemilik', 'akun', 'lihat', 'sisa', 'internet', 'tnggal', 'bka', 'apli', 'bagus', 'banget', 'deh', 'pkknya']</t>
  </si>
  <si>
    <t>['maaf', 'apk', 'telkomsel', 'bukak', 'saran']</t>
  </si>
  <si>
    <t>['nikmatnya', 'kartu', 'telkomsel', 'menjangkau', 'pelosok', 'negeri']</t>
  </si>
  <si>
    <t>['udah', 'kesekian', 'kali', 'beli', 'paket', 'check', 'daily', 'hilang', 'check', 'dapet', 'bonus', 'berbagi', 'parah', 'telkomshit', '']</t>
  </si>
  <si>
    <t>['pulsa', 'gua', 'dipotong', 'data', 'internet', 'dimatikan', 'bangsaat', 'makan', 'uang', 'haram', 'telkomsel', 'anjnk', 'pencuri', 'uang', 'rakyat', 'pemerintah', 'tolong', 'tindak', 'telkomsel', 'akal', 'akalan', 'pemrntah', 'nutupin', 'hutang', 'mencuri', 'uang', 'rakyat', '']</t>
  </si>
  <si>
    <t>['hai', 'miinn', 'buka', 'apps', '']</t>
  </si>
  <si>
    <t>['coba', 'bagus', 'tambahin']</t>
  </si>
  <si>
    <t>['jaringan', 'jelek', 'gua', 'pakek', '']</t>
  </si>
  <si>
    <t>['isi', 'paket', 'buka', 'youtube', 'sinyalnya', 'ancur']</t>
  </si>
  <si>
    <t>['jelek', 'kualitas', 'sinyal', '']</t>
  </si>
  <si>
    <t>['min', 'aplikasi', 'telkomsel', 'login', 'full', 'cek', 'pulsa', 'harga', 'kuota', 'layar', 'berwarna', 'putih', 'tolong', 'penjelasan', 'min', '']</t>
  </si>
  <si>
    <t>['bintang', 'kasi', 'jaringan', 'telkomsel', 'jelek', '']</t>
  </si>
  <si>
    <t>['telkomsel', 'udah', 'asik', 'sumpah', 'quota', 'mahal', 'kayak', 'gini', 'mending', 'indosat']</t>
  </si>
  <si>
    <t>['login', 'susah', 'banget']</t>
  </si>
  <si>
    <t>['beli', 'kuota', 'game', 'pubg', 'kox', 'pakai', 'cari', 'kuota', 'reguler', 'puyeng', 'udah', 'terlanjur', 'beli', 'pulsa', '']</t>
  </si>
  <si>
    <t>['loading', 'udah', 'kaya', 'kipas', 'angin']</t>
  </si>
  <si>
    <t>['jaringn', 'telkomsel', 'kyk', 'monyet', 'harga', 'mahal', 'masak', 'kot', 'jaringan', 'kb', 'dtk', 'terusss']</t>
  </si>
  <si>
    <t>['pulsa', 'berkurang', 'pakai', 'internet']</t>
  </si>
  <si>
    <t>['aplikasi', 'error', 'benerin', 'rugilah', 'download', 'apk', 'sial']</t>
  </si>
  <si>
    <t>['hilang', 'sinyal', 'kecewa', 'pelanggan', 'mytelkomsel', 'tolong', 'perbaikilah', 'kinerja', 'diperbaikin', 'sinyalnya', 'hilang', 'pelanggan', 'setia', 'mytelkomsel', '']</t>
  </si>
  <si>
    <t>['bagus', 'paketnya', 'internetnya', 'mahal', '']</t>
  </si>
  <si>
    <t>['semoga', 'murah', 'kartu', 'udah', 'mahal', 'sekian', 'terimakasih']</t>
  </si>
  <si>
    <t>['update', 'susah', 'dibuka', 'aplikasinya', '']</t>
  </si>
  <si>
    <t>['harga', 'paketku', 'mahal', 'dibanding', 'harga', 'paket', 'orang', 'sekitarku', '']</t>
  </si>
  <si>
    <t>['maap', 'bintang', 'tekomsel', 'paket', 'mahal', 'sinyal', 'jlk', 'baaaaaaaaget', 'kecewa', 'telkomsel', '']</t>
  </si>
  <si>
    <t>['aplikasi', 'berguna', 'membantu', '']</t>
  </si>
  <si>
    <t>['', 'telkomsel', 'the', 'pelayanan', 'ramah', 'memuaskan', 'pelanggan', 'telkomsel', 'terimaksih', '']</t>
  </si>
  <si>
    <t>['saeful', 'mubarok', 'ames']</t>
  </si>
  <si>
    <t>['mntap']</t>
  </si>
  <si>
    <t>['modal', 'menang', 'kecepatan', 'nyaman', 'ajg', 'sinyal', 'ngeleg', 'sok', 'paket', 'mahal', 'ajg', 'najiss', '']</t>
  </si>
  <si>
    <t>['buka', 'aplikasinya', 'susah', 'banget', 'masuk', 'nunggu', 'sehari', '']</t>
  </si>
  <si>
    <t>['aplikasi', 'sampah', 'masuk', 'saro', 'update']</t>
  </si>
  <si>
    <t>['app', 'sampah', 'lelet', 'buka', 'udah', 'jariangan', 'kaya', 'gprs', 'harga', 'kuota', 'mahal', 'buka', 'status', 'untung', 'gede', 'kualitas', 'buruk', 'semoga', 'membangkrut', 'amiiin', '']</t>
  </si>
  <si>
    <t>['pengaturan', 'pemilihan', 'paket', 'data', 'min', 'memilih', 'paket', 'data', 'dipakai', 'paket', 'data', 'terkadang', 'paket', 'data', 'habis', 'aktifnya', 'full', 'dipakai', 'pemilihan', 'paket', 'data', 'dipakai', '']</t>
  </si>
  <si>
    <t>['puas', 'thanks']</t>
  </si>
  <si>
    <t>['jaringan', 'telkom', 'lemot', 'tolong', 'aplikasinya', 'yaampun', 'login', 'susah', 'internet', 'bagus', 'login', 'pelanggan', 'tsel', 'lohh']</t>
  </si>
  <si>
    <t>['keluarkan', 'promo', 'murah', 'pelanggan', 'pelanggan', 'setia', 'telkomse']</t>
  </si>
  <si>
    <t>['masak', 'iya', 'terkeluar', 'trus', 'aplikasi', 'giliran', 'masuk', 'oopss', 'kesalahan', 'notif', 'aneh']</t>
  </si>
  <si>
    <t>['bener', 'pulsa', 'mencukupi', 'beli', 'paketan', 'gagal', 'keterangan', 'pulsa', 'mencukupi', '']</t>
  </si>
  <si>
    <t>['', 'kal', 'sel', 'khusus', 'daerah', 'banjarmasin', 'hujan', 'jaringan', 'telkomsel', 'hilang', 'wilayah', 'pedalaman', 'telkomsel', 'hilang', 'pengguna', 'setia', 'telkomsel', 'tolong', 'tambhn', 'bts', 'pedalaman', 'kalimantan', 'telkomsel', 'yyaa', 'semoga', 'sukses', 'trus']</t>
  </si>
  <si>
    <t>['aplikasi', 'pakai', 'jaringan', 'telkomsel', 'terbuka', 'pakai', 'jaringan', 'terbuka', 'paket', 'telkomsel', 'sehabis', 'isi', 'pakai', 'jaringan', 'aplikasi', 'tunggu', 'isi', 'pulsa', 'terbuka', 'pulsa', 'termakan', 'aplikasi', 'update', 'bagus']</t>
  </si>
  <si>
    <t>['', 'telkomsel', 'alat', 'perlengkapan']</t>
  </si>
  <si>
    <t>['aplikasinya', 'bug', 'susah', 'login', 'menyusahkan', 'sim', 'terinstall', 'link', 'login', '']</t>
  </si>
  <si>
    <t>['jaringan', 'terluas', 'susah', 'jaringannya', 'desa', 'harap', 'perbaiki', 'harga', 'mahal', 'sinyal', 'hilang', 'aplikasi']</t>
  </si>
  <si>
    <t>['tanggal', 'desember', 'aplnya', 'dibuka', 'masuk', 'masuk', 'kesalahan', 'sistem', 'bgini', 'buka', 'lancar', 'buka', 'apl', 'susah', 'bener']</t>
  </si>
  <si>
    <t>['beli', 'paket', 'internet', 'telkomsel', 'pulsa', 'ketarik', 'kouta', 'parah', 'kecewa', 'bnget', 'udah', 'sinyal', 'ilang', '']</t>
  </si>
  <si>
    <t>['elu', 'nyebelin', 'banget', 'bete', '']</t>
  </si>
  <si>
    <t>['aplikasi', 'buruk']</t>
  </si>
  <si>
    <t>['paket', 'game', 'dikit', 'napa', 'sinyal', 'fullbar', 'main', 'busuk', 'paket', 'game', 'disedot', 'kuota', 'reguler']</t>
  </si>
  <si>
    <t>['harga', 'kuota', 'mahal', 'jaringan', 'lemot', 'lemot', 'lemot', 'sia', 'sia', 'pakai', 'telkomtol', 'telkomnyet', 'buang', 'buang', 'duit']</t>
  </si>
  <si>
    <t>['tertera', 'sms', 'beli']</t>
  </si>
  <si>
    <t>['aplikasi', 'berkurang', 'dana', 'keluarkan', 'internet']</t>
  </si>
  <si>
    <t>['gitu', 'alhamdulillah', 'udah', 'log', '']</t>
  </si>
  <si>
    <t>['min', 'tolong', 'sinyal', 'aga', 'perbaiki', 'kali', 'main', 'scroll', 'tiktok', 'suka', 'ngeleg', 'min']</t>
  </si>
  <si>
    <t>['woii', 'jahanam', 'sinyal', 'kayak', 'sampah', 'bagus', 'indosat', 'bener', '']</t>
  </si>
  <si>
    <t>['membantu', 'aplikasi', 'bli', 'paket', 'lbh', 'murah', 'memudahkn', 'brp', 'sisa', 'kuota', 'pls', '']</t>
  </si>
  <si>
    <t>['kualitas', 'jaringan', 'jelekkkkkkkk', 'sumpah', 'ayam', 'nyesal', 'pakai', 'telkomsel', 'setia', 'telkomsel', 'sungguh', 'mengecewakan', '']</t>
  </si>
  <si>
    <t>['tolong', 'anjr', 'gue', 'gagal', 'mulu', 'login', 'gmna', 'google', 'gagal', 'mulu', 'nomor', 'telp', 'sumpah', 'ngeselin', 'besok', 'pas', 'mah', 'tolong', 'gada', 'paket', 'guenya', '']</t>
  </si>
  <si>
    <t>['nambah', 'parah', 'aplikasi', 'boro', 'boro', 'masuk', 'susah', 'banget', 'login', 'nomer', 'keluhan', 'perbaiki']</t>
  </si>
  <si>
    <t>['sinyal', 'ancur', '']</t>
  </si>
  <si>
    <t>['aplikasinya', 'error', 'paket', 'keburu', 'habis', 'erorr', 'apk', 'internetnya', 'lambat', 'mengecewakan', 'deh', 'telkomsel', 'mohon', 'diperbaiki', 'pelanggan', 'kabur']</t>
  </si>
  <si>
    <t>['telkomsel', 'buruk', 'kualitas', 'siyal', 'mohon', 'dibenahi', '']</t>
  </si>
  <si>
    <t>['min', 'perbanyak', 'tukar', 'poin', 'hiburan', 'kayak', 'diamon', 'hiburan', 'voucher', 'nonton', 'udah', 'update', 'suruh', 'update', '']</t>
  </si>
  <si>
    <t>['telkomsel', 'lelet', 'wilayah', 'kalimantan', 'tanah', 'bumbu', 'seburuk', 'pakai', 'telkomsel', 'halo', 'lelet', 'jaringan', 'payahh', '']</t>
  </si>
  <si>
    <t>['mahal', 'beli', 'pket', 'leletnya', 'ampun', 'udah', 'kayak', 'jaman']</t>
  </si>
  <si>
    <t>['jaringannya', 'oke']</t>
  </si>
  <si>
    <t>['kesini', 'buruk', 'aplikasinya', 'kesalahan', 'tolong', 'perbaiki', '']</t>
  </si>
  <si>
    <t>['mending', 'hijrah', 'ajalah', 'kesini', 'ngaco', 'telkomsel', 'signal', 'lemot', 'beli', 'paket', 'dial', 'susah', 'aplikasinya', 'susah', 'banget', 'akses', 'broken', 'banget']</t>
  </si>
  <si>
    <t>['kualitas', 'sinyal', 'internet', 'telkomsel', 'andalkan', 'jaringan', 'down', '']</t>
  </si>
  <si>
    <t>['parah', 'sinyal', 'telkomsel', 'parah', 'buka', 'aplikasi', 'susah']</t>
  </si>
  <si>
    <t>['mempermudah', 'tuk', 'pembelian', 'kuota']</t>
  </si>
  <si>
    <t>['telkom', 'didepan']</t>
  </si>
  <si>
    <t>['jernih', 'suaranya']</t>
  </si>
  <si>
    <t>['suka', 'senang']</t>
  </si>
  <si>
    <t>['kak', 'apk', 'mytelkomsel', 'beli', 'paket', 'pulsanya', 'udah', 'lebihin', 'transaksi', 'gagal', 'apk', 'udah', 'upgrade', 'masuk', 'apk', 'tulisan', 'eror', 'terimakasih', 'mohon', 'ditindak', 'lanjuti']</t>
  </si>
  <si>
    <t>['memudahkan', 'beli', 'paket', 'puas']</t>
  </si>
  <si>
    <t>['mahal', 'doang', 'sinyal', 'lok', 'perbaikan', 'malem', 'urgent', 'sinyal', 'ilang', '']</t>
  </si>
  <si>
    <t>['susah', 'log', 'skrg', 'gabisa', 'masuk']</t>
  </si>
  <si>
    <t>['pulsa', 'kesedot', 'pertanda', 'telkomsel', 'bangkrut', 'ngambil', 'pulsa', '']</t>
  </si>
  <si>
    <t>['bener', 'apk', 'perbarui', 'bagus', 'jelek', 'jaringan', 'leletnya', '']</t>
  </si>
  <si>
    <t>['aplikasi', 'susah', 'dibuka', 'blank', 'putih', 'sinyal', 'bagus', 'youtube', 'lancar']</t>
  </si>
  <si>
    <t>['', 'hadiah', 'undiannya', '']</t>
  </si>
  <si>
    <t>['tolong', 'tingkatkan', 'apk', 'buka', 'apk', 'apalgi', 'beli', 'paket']</t>
  </si>
  <si>
    <t>['log', 'telkomsel', 'kemarin', '']</t>
  </si>
  <si>
    <t>['tsel', 'lemot', 'paketanya', 'terosss']</t>
  </si>
  <si>
    <t>['buka', 'app', 'telkomsell', 'lelet', 'bangt', 'yak', '']</t>
  </si>
  <si>
    <t>['aplikasi', 'mytelkomsel', 'buka', 'susah', 'ngecek', 'sisa', 'kouta']</t>
  </si>
  <si>
    <t>['beli', 'pulsa', 'lupa', 'matiin', 'data', 'jngn', 'langsung', 'sedot', 'telkomsel', 'abis', 'duit', 'denger', 'kon', '']</t>
  </si>
  <si>
    <t>['paket', 'unlimitednya']</t>
  </si>
  <si>
    <t>['paketanya', 'mahal', 'sesuai', 'kualitas', '']</t>
  </si>
  <si>
    <t>['aplikasi', 'rekomendasi', 'buka', 'aplikasi', 'pakai', 'jaringan', 'provider', 'buka', 'niat', 'isi', 'kuota', 'telkomsel', 'beli', 'aplikasi', 'pulsa', 'utama', 'sedot', 'berkurang', 'pulsa', 'potong', 'sampe', 'detik', 'email', 'erick', 'tohir', 'evaluasi', '']</t>
  </si>
  <si>
    <t>['puas', 'paket', 'unlimited']</t>
  </si>
  <si>
    <t>['telkomsel', 'mentang', 'terbesar', 'perhatian', 'kartu', 'prabayar', 'blm', 'tenggang', 'blm', 'habis', 'isi', 'pulsa', 'dianjurkan', 'pascabayar', 'akal', 'operator', 'tengang', 'telkomsel', 'jual', 'mahal', 'pelayanan', 'payah', 'nomer', 'udah', 'dikenal', 'customer', 'parah', 'banget', 'deh']</t>
  </si>
  <si>
    <t>['telkomsel', 'mahal', 'doang', 'bagus', 'provider', 'main', 'mobile', 'legends', 'main', 'asli', 'lancar', 'banget', 'gua', 'test', 'doang', 'telkomsel', 'lag', 'pindah', 'guys']</t>
  </si>
  <si>
    <t>['jaringan', 'internet', 'telkomsel', 'jelek', 'mohon', 'diperbaiki']</t>
  </si>
  <si>
    <t>['udah', 'paket', 'mahal', 'aneh', 'gua', 'beli', 'paket', 'unlimited', 'youtube', 'tetep', 'abis', 'multimedia', 'unlimited', 'youtube', 'aneh', 'beli', 'udah', 'abis', '']</t>
  </si>
  <si>
    <t>['mantap', 'info', 'jaringan', 'telkomsel', 'wilayah', 'maluku', 'jaringan', 'gangguan']</t>
  </si>
  <si>
    <t>['mahal', 'kak', 'rb', '']</t>
  </si>
  <si>
    <t>['saran', 'bagus', 'telkomsel', 'kirim', 'kover', 'pulsa', 'saldo', 'ewalet', 'rekening', 'dimana', 'peminanya', 'tanyak', '']</t>
  </si>
  <si>
    <t>['aplikasi', 'ngbug', 'buka', 'sinyal', 'full']</t>
  </si>
  <si>
    <t>['bagus', 'nggak', 'lelet']</t>
  </si>
  <si>
    <t>['pulsa', 'kepotong', 'pas', 'sengaja', 'nyalain', 'data', 'posisi', 'kouta', 'udh', 'hbis', 'niat', 'maket', 'kepotong', 'maket', 'aplikasi', 'dimna', 'kouta']</t>
  </si>
  <si>
    <t>['maaf', 'telkomsel', 'lancar', 'updet', 'dibuka', 'buruk', 'mengecewakan', 'mohon', 'perhatiannya', 'terimakasih']</t>
  </si>
  <si>
    <t>['telkomsel', 'kalimantan', 'amin', 'jaya', 'lemot', 'sinyalnya', 'paket', 'mahal', 'jaringan', 'ngangkat', 'untung', 'provider']</t>
  </si>
  <si>
    <t>['telkomsel', 'aplikasi', 'telkomsel', 'buruan', 'perbaiki', 'kualitas', 'ditinggal', 'pemakai', 'setia', '']</t>
  </si>
  <si>
    <t>['aplikasi', 'dibuka', 'update', 'install', 'ulang', 'kebuka', 'aman', 'dibuka', 'web', '']</t>
  </si>
  <si>
    <t>['membuka', 'aplikasi', 'mytelkomsel', 'disaat', 'buka', 'muncul', 'tulisan', 'kesalahan', 'silakan', 'coba', 'mengikuti', 'metode', 'beliau', 'anjurkan', 'update', 'telkomsel', 'uninstall', 'ulang', 'tetep']</t>
  </si>
  <si>
    <t>['', 'niat', 'kartu', 'gua', 'main', 'ngejump', 'mulu', 'sinyal', 'mahal', 'mahal', 'sesuai', 'kualitas']</t>
  </si>
  <si>
    <t>['jelek', 'malu', 'maluin', 'perusahaan', 'bonafide', 'abal', 'abal', 'konsumen', 'raja', 'payah', 'loe', '']</t>
  </si>
  <si>
    <t>['auto', 'uninstl', 'karna', 'diupdate', 'apknya', 'dibuka', 'layar', 'putih', 'doank', '']</t>
  </si>
  <si>
    <t>['buka', 'apk', 'bsa', 'masuk', '']</t>
  </si>
  <si>
    <t>['sinyalnya', 'becus', 'assu', 'gada', 'beban', 'banget', 'pas', 'maen', 'game', 'male', 'kartu', 'telkomsel', 'nyesek', 'assu']</t>
  </si>
  <si>
    <t>['kuota', 'data', 'telkomsel', 'mahal', 'didunia']</t>
  </si>
  <si>
    <t>['mengisi', 'pulsa', 'membeli', 'paket', 'beli', 'paket', 'ngga', 'masuk', 'pulsa', 'habis']</t>
  </si>
  <si>
    <t>['mudah', 'jaringan', 'bagus', 'lelet']</t>
  </si>
  <si>
    <t>['abis', 'update', 'dibuka', 'layar', 'putih', 'doang']</t>
  </si>
  <si>
    <t>['disuruh', 'download', 'giliran', 'downld', 'nda', 'masuk', 'opss', 'kesalahan', '']</t>
  </si>
  <si>
    <t>['kualitas', 'sinyal']</t>
  </si>
  <si>
    <t>['mohon', 'telkomsel', 'tolong', 'diperbaiki', 'sinyal', 'internet', 'lag', 'hilang', 'didesa', 'kampai', 'kecamatan', 'talo', 'kabupaten', 'seluma', 'provinsi', 'bengkulu']</t>
  </si>
  <si>
    <t>['udah', 'kemarin', 'aplikasi', 'telkomsel', 'gabisa', 'buka', 'udah', 'uninstal', 'install', 'ttp', 'gabisa', 'udah', 'restart', 'ttp', 'gabisa', '']</t>
  </si>
  <si>
    <t>['fak', 'jaringan', 'telkomsel', 'auto', 'selamat', 'tinggal', 'otw', 'jaringan', 'sebelah', 'jos', '']</t>
  </si>
  <si>
    <t>['mahal', 'sebanding', 'kualitas', 'buruk', '']</t>
  </si>
  <si>
    <t>['knpa', 'harga']</t>
  </si>
  <si>
    <t>['redem', 'poin']</t>
  </si>
  <si>
    <t>['telkomsel', 'ngga', 'buruk', 'cek', 'pulsa', 'ngga', 'aplikasi', 'ngga', 'pindah', 'provider', 'telkom']</t>
  </si>
  <si>
    <t>['sgat', 'membantu', 'trima', 'ksih', '']</t>
  </si>
  <si>
    <t>['buruk', 'teu', 'asup', 'bangkee']</t>
  </si>
  <si>
    <t>['mengelek', 'mengelek', 'jaringan', 'telkomsel', 'kayak', 'taekk', 'main', 'mengelek', 'jaringan', 'hadeh', 'semogaa', 'kru', 'telkomsel', 'dibumi', 'kenak', 'kangker', 'otak', 'otak', 'masak', 'war', 'jaringan', 'gua', 'ngelek', 'sulit', 'diunderstand', 'semoga', 'your', 'every', 'day', 'suram']</t>
  </si>
  <si>
    <t>['terimakasih', 'telkomsel', 'apk', 'membantu', '']</t>
  </si>
  <si>
    <t>['mengisi', 'paket', 'data', 'mudah']</t>
  </si>
  <si>
    <t>['kesini', 'buruk', 'susah', 'login', '']</t>
  </si>
  <si>
    <t>['jaringan', 'daerah', 'riau', 'pelalawan', 'stabil']</t>
  </si>
  <si>
    <t>['ribet', 'pemasangannya', 'gada', 'perubahan', '']</t>
  </si>
  <si>
    <t>['ngerti', 'telkomnyet', 'paket', 'mahal', 'service', 'buruk', 'sinyal', 'bapuk']</t>
  </si>
  <si>
    <t>['kartu', 'telkomsel', 'jelek', 'beli', 'paket', 'data', 'kuota', 'nasional', 'gb', 'kouta', 'apps', 'gb', 'kouta', 'apps', 'berubah', 'kouta', 'omg', 'nonton', 'gb', 'gimana']</t>
  </si>
  <si>
    <t>['parah', 'telkomsel', 'hilang', 'signal', 'stabil', 'skrng', 'tolong', 'perbaikin', 'telkom', 'babi']</t>
  </si>
  <si>
    <t>['pulsa', 'jadikan', 'monetary', 'jatohnya', 'merugikan', 'orang']</t>
  </si>
  <si>
    <t>['apk', 'update', 'patah', 'trs', 'dri', 'apk', 'pdhl', 'ram', '']</t>
  </si>
  <si>
    <t>['kecewa', 'kartu', 'telkomsel', 'nggak', 'sinyal', 'udah', 'muter', 'kemana', 'cari', 'sinyal', 'nggak', 'tolong', 'perbaikin']</t>
  </si>
  <si>
    <t>['sinyal', 'telkomsel', 'buruk', 'provider', 'nomor', 'indonesia', 'karna', 'jaringan', 'jaringan', 'edge', 'hsdpa', 'turun', 'kualitas', '']</t>
  </si>
  <si>
    <t>['jaringan', 'udah', 'kalah', 'kartu', 'lemot', 'banget', 'telkomsel']</t>
  </si>
  <si>
    <t>['masuk', 'aplikasi', 'loading', 'buka', 'youtube', 'lancar', 'jaya']</t>
  </si>
  <si>
    <t>['tanggal', 'pilihan', 'paket', 'omg', 'sakti', 'langsung', 'combo', 'rb', 'cari', 'paket', 'bulanan', 'kayak', 'limbung', 'kah', 'telkomsel', 'jaringan', 'turun', 'stabil', 'pelanggan', 'kecewa', 'lho', '']</t>
  </si>
  <si>
    <t>['diinstall']</t>
  </si>
  <si>
    <t>['pengalaman', 'nyata', 'good', 'aplikasi', 'note', 'hoax', '']</t>
  </si>
  <si>
    <t>['stabil', 'hujan']</t>
  </si>
  <si>
    <t>['susah', 'banget', 'log', 'something', 'wrong', 'emosyi', 'makenya', 'sampah']</t>
  </si>
  <si>
    <t>['malas', 'apk']</t>
  </si>
  <si>
    <t>['tingkatkan', 'pelayanan', 'terbaik']</t>
  </si>
  <si>
    <t>['woi', 'ajg', 'beli', 'kuota', 'susah', 'jaringan', 'susah', 'harga', 'mahal', 'ganti', 'operator', 'ajalah', 'dikit', 'eror', 'dancok']</t>
  </si>
  <si>
    <t>['aplikasi', 'aneh', 'bin', 'ajaib']</t>
  </si>
  <si>
    <t>['sinyalnya', 'jelek', 'berkirim', 'pesan', 'gagal', '']</t>
  </si>
  <si>
    <t>['payah', 'aplikasi', 'operator', 'buka', 'pakai', 'kuota', 'kaya', 'axis', 'buka', 'aplikasinya', 'gratis', 'trus', 'paket', 'murah', 'hilang', '']</t>
  </si>
  <si>
    <t>['telkomsel', 'eror']</t>
  </si>
  <si>
    <t>['keren', 'loadingnya', 'lambat']</t>
  </si>
  <si>
    <t>['kecewa', 'jaringan', 'jelek', 'paket', 'internet', 'mahal', 'mohon', 'perbaiki', 'konsumen', 'setia', '']</t>
  </si>
  <si>
    <t>['tgl', 'sedanh', 'brada', 'depok', 'jaringan', 'telkomsel', 'jelek', 'srkali', 'internetan']</t>
  </si>
  <si>
    <t>['tauuuuuu', 'kesini', 'jeleq', 'trus', 'harga', 'paket', 'internet', 'mahal']</t>
  </si>
  <si>
    <t>['paket', 'mahal', 'mahal', 'jaringan', 'burukkkkkkkkkkkk']</t>
  </si>
  <si>
    <t>['pelayanan', 'terburuk', 'tipu', '']</t>
  </si>
  <si>
    <t>['sinyal', 'buruk', 'berlangganan', 'harga', 'paket', 'mahal', '']</t>
  </si>
  <si>
    <t>['signal', 'bagus', 'buka', 'you', 'tube', 'susah']</t>
  </si>
  <si>
    <t>['informasi', 'lengkap', 'pembelian', 'paket', 'kuota', 'mudah', 'cepat', 'bagus', '']</t>
  </si>
  <si>
    <t>['udah', 'telkom', 'kekurangan', 'bnyk', 'harga', 'paket', 'mahal', 'jaringan', 'minim', 'kecepatan', 'internet', 'lemot', 'sinyal', 'suka', 'hilang', 'lapor', 'kelebihan', 'kosong', 'omong', 'doang']</t>
  </si>
  <si>
    <t>['aplikasi', 'diupdate', 'masuk', 'bertahun', 'bukane', 'dibenahi', 'bagus', 'seakan', 'diblok', 'aplikasi', 'nyoba', 'masuk']</t>
  </si>
  <si>
    <t>['telkomsel', 'main', 'game', 'online', 'ilang', 'suka', 'ganti', 'mulu', 'puas']</t>
  </si>
  <si>
    <t>['susah', 'banget', 'login', 'kesel', 'gua', 'kirim', 'sms', 'udah', 'klik', 'opss', 'kesalahan', 'tolong', 'gimana', 'ngga', 'enak', 'telkomsel', 'ribet', 'login']</t>
  </si>
  <si>
    <t>['instal', 'aplikasi', 'masak', 'sebentar', 'verifikasi', 'mulu', 'batas', 'verikasi', 'detik', 'loading', 'banget', 'bukak', 'link', 'kadaluarsa', 'mulu', 'dimasukkin', 'mengecewakan']</t>
  </si>
  <si>
    <t>['paket', 'internet', 'mahal', 'jaringan', 'jelek']</t>
  </si>
  <si>
    <t>['mytelkomsel', 'chekin', 'dpatkan', 'hadiah', 'emggak', 'tolonglah', 'jngn', 'pelanggan', 'oada', 'pindah', 'tetangga', 'sebelah']</t>
  </si>
  <si>
    <t>['tgl', 'des', 'update', 'android', 'smartphone', 'update', 'android', 'telkomsel', 'terhapus', 'download', 'telkomsel']</t>
  </si>
  <si>
    <t>['sinyal', 'bagus', 'paket', 'murah', '']</t>
  </si>
  <si>
    <t>['jelek', 'masuk', 'aplikasi', 'telkomsel', 'akses', 'masuk', 'buruk', 'nama', 'brand', 'telkosel', 'kualitas', 'jelek', 'kecewa']</t>
  </si>
  <si>
    <t>['jelek', 'bagusan', 'update']</t>
  </si>
  <si>
    <t>['mempermudah', 'beli', 'kuota', 'internet']</t>
  </si>
  <si>
    <t>['terimaksih', 'telkomsel', 'audh', 'pelayanan', 'terbaik', 'pelanggan']</t>
  </si>
  <si>
    <t>['kualitas', 'sinyal', 'data', 'jelek', 'aplikasi', 'nge', 'bug', 'payah']</t>
  </si>
  <si>
    <t>['perbaiki', 'sinyal', 'min', 'udah', 'sinyal', 'leg', 'mulu', 'kayak', 'telkomsel', 'bagus', 'jaringan', 'dimana', 'kota', 'sinyal', 'ampun', 'buka', 'sosmed', 'lemot', 'tolong', 'perbaiki', 'sinyalnya']</t>
  </si>
  <si>
    <t>['jawa', 'udah', 'minggu', 'sinyal', 'buruk', 'sekaliii', '']</t>
  </si>
  <si>
    <t>['tinggal', 'daerah', 'seturan', 'yogyakarta', 'kualitas', 'jaringan', 'jelek', 'lambat', 'terputus', 'lag', 'ping', 'ngk', 'stabil', 'berubah', 'emosi', 'harga', 'paket', 'telkomsel', 'kompetitor']</t>
  </si>
  <si>
    <t>['aplikasi', 'lelet', 'jaringan', 'buruk']</t>
  </si>
  <si>
    <t>['ngk', 'masuk', 'tlngin', 'donk', 'kendala']</t>
  </si>
  <si>
    <t>['update', 'lemooooottt', 'dibuka', 'aplikasi', 'pdhl', 'buka', 'aplikasi', 'kecewa']</t>
  </si>
  <si>
    <t>['aplikasi', 'oke', 'jaringan', 'kesini', 'buruk', 'buka', 'youtube', 'loading', 'mlu', 'menit', 'ayolah', 'ditingkatin', 'lgi', 'kualitas', 'jaringannya', 'sampe', 'ganti', 'provider']</t>
  </si>
  <si>
    <t>['ngak', 'maketin', 'data', 'tulisan', 'gangguan', 'suruh', 'tunggu', 'mnit', 'coba', 'tunggu', 'samapai', 'mnit', 'ttep', 'ngak']</t>
  </si>
  <si>
    <t>['dear', 'admin', 'telkomsel', 'mohon', 'pembayaran', 'vritualnya', 'bni', 'mandiri', 'bca', 'bri', 'briva', 'masukan', 'mempermudah', 'pembayaran', 'pembelian', 'pulsa', 'app', 'sekian', 'terimakasih', '']</t>
  </si>
  <si>
    <t>['membantu', 'pilihan', 'paketnya']</t>
  </si>
  <si>
    <t>['aplikasinya', 'lemot', 'banget', 'masuk', 'kesalahan', 'melulu', 'developing', 'teamnya', 'jelek', 'menyusahkan', 'pelanggan']</t>
  </si>
  <si>
    <t>['mantap', 'membantu', 'promo']</t>
  </si>
  <si>
    <t>['masuk', 'metode', 'facebook', 'telkomsek', 'gps', 'motor', 'bosa', 'login', 'metode', 'otomatis', 'mengisi', 'paket', 'internet', 'nomer', 'telkomsel', 'nomernya', 'gps', 'motor', '']</t>
  </si>
  <si>
    <t>['sinyal', 'lelet', 'harga', 'paket', 'data', 'mahal', 'tolong', 'harga', 'terjangkau', '']</t>
  </si>
  <si>
    <t>['kualitas', 'sinyal', 'buruk', 'sinyal', 'hilang', 'udh', 'komplain', 'tetep', 'kualitas', 'buruk', 'tolong', 'tingkatin', 'kualitas', 'sinyalnya', 'kalah', 'indi', 'home', 'kecewain', 'costumer', 'karna', 'udh', 'bayar', 'paket', 'kuota', 'internet', 'sesuai', 'tarif', 'aplikasi', 'udah', 'komplain', 'kasih', 'bintang', 'jaringan', 'buruk', 'busuk', '']</t>
  </si>
  <si>
    <t>['sinyal', 'jelek', 'sangad', 'ngerjain', 'tugas', 'sinyal', 'hilang', 'taik', 'ngerjain', 'ngtd', 'mahal', 'doank']</t>
  </si>
  <si>
    <t>['paket', 'combo', 'sakti', 'hadirkan', 'quota', 'sosmed', 'pas', 'pemakiannya', 'maksudnya', 'bilamana', 'sosmed', 'quota', 'internet', 'utama', 'habis', 'memggunakan', 'quota', 'sosmed', 'quota', 'utama', 'keceptan', 'internet', 'beda', 'quota', 'utama', 'tersedia', 'quota', 'internet', 'utama', 'teraedia', 'quota', 'sosmed', 'bersamaan', 'quota', 'internet', 'applikasi', 'sosmed', 'quota', 'applikasi', 'sosmed', '']</t>
  </si>
  <si>
    <t>['udah', 'kali', 'pulsa', 'terpotong', 'alasan', 'akses', 'internet', 'non', 'paket', 'internetan', 'kartu', 'kuning', 'nggk', 'maksud', 'coba', '']</t>
  </si>
  <si>
    <t>['login', 'susahnya', 'ampun', 'kesalahan', 'ajg']</t>
  </si>
  <si>
    <t>['jaringan', 'kagaada', 'peningkatan', 'ancur', 'payah', '']</t>
  </si>
  <si>
    <t>['ditempat', 'jaringannya', 'bermasalah', 'daerah', 'mengalami', 'mengecewakan', 'lancar', 'udah', 'harganya', 'mahal', 'sinyalnya', 'jelek']</t>
  </si>
  <si>
    <t>['jelek', 'banget', 'pdhl', 'harga', 'paketannya', 'mahal']</t>
  </si>
  <si>
    <t>['eror', 'pas', 'daftar', '']</t>
  </si>
  <si>
    <t>['moga', 'menang', 'poin']</t>
  </si>
  <si>
    <t>['aplikasi', 'udah', 'akses', 'perbaiki', 'tolong', 'developer', 'duduk', 'manis', 'doang']</t>
  </si>
  <si>
    <t>['dwonload', 'udah', 'dwonload', 'barusan', 'udah', 'disuruh', 'dwonload', 'ulang', 'ngabisin', 'kuota']</t>
  </si>
  <si>
    <t>['berkaitan', 'kepentingan', 'masyarakat']</t>
  </si>
  <si>
    <t>['mudh', 'beli', 'paket', 'suka', 'aplikasinya', 'membantu', 'maaaf', 'telat', 'ngulas', 'nyaaaa', 'hehehe']</t>
  </si>
  <si>
    <t>['mantap', 'semoga', 'bermanfaat']</t>
  </si>
  <si>
    <t>['kualitas', 'jaringan', 'buruk', 'kaga', 'telkomsel', 'tolong', 'perbaiki', 'pelanggan', 'setia', 'telkomsel', 'kualitas', 'jaringan', 'sinyal', 'buruk', 'tolong', 'perbaiki', 'berharap', 'sepenuh', 'telkomsel', '']</t>
  </si>
  <si>
    <t>['mahal', 'doang', 'gaada', 'isi', 'jaringan', 'pdhl', 'jkt']</t>
  </si>
  <si>
    <t>['hancur', 'jaringan', 'bagus', 'pulak', 'jaringan', 'axis', 'posisi', 'kota', 'tolong', 'benahi', '']</t>
  </si>
  <si>
    <t>['mendingan', 'unstal', 'berat', 'buka']</t>
  </si>
  <si>
    <t>['pelanggan', 'setia', 'telkomsel']</t>
  </si>
  <si>
    <t>['isi', 'pulsa', 'ovo', 'kali', 'masuk', 'trus', 'komplain', 'ovo', 'sukses', 'suruh', 'hubungi', 'telkomsel', 'ehh', 'hubungi', 'matiin', 'maksdunya', 'coba', 'telkomsel', 'pelayanan', 'jelek']</t>
  </si>
  <si>
    <t>['bagus', 'membantu', 'appk']</t>
  </si>
  <si>
    <t>['masuk', 'aplikasi', 'tsel', 'kesini', 'jaringan', 'buruk', 'telkomsel', 'super', 'lemot', 'telkomsel', 'bagus', 'tolong', 'penjelasannya', 'terimakasih']</t>
  </si>
  <si>
    <t>['alhamdulillah', 'membantu', 'trimakasi', 'telkomsel']</t>
  </si>
  <si>
    <t>['jaringan', 'tanjung', 'uncang', 'batam']</t>
  </si>
  <si>
    <t>['kecewa', 'aplikasi', 'dibukanya', 'akses', 'internet', 'mudah']</t>
  </si>
  <si>
    <t>['apknya', 'bagus', 'memudahkan', 'pengisian', 'pulsa', 'beli', 'paket', 'data', 'kali', 'buka', 'wifi', 'eror', 'mengganggu', 'sistem', '']</t>
  </si>
  <si>
    <t>['update', 'versi', 'terbaru', 'jelek', 'buka']</t>
  </si>
  <si>
    <t>['request', 'poinnya', 'ditukar', 'pulsa']</t>
  </si>
  <si>
    <t>['susah', 'bat', 'masuk', 'apk', 'layarnya', 'putih', 'tolong', 'diperbaiki']</t>
  </si>
  <si>
    <t>['', 'desember', 'ngeleg', 'banget', 'jaringan', 'paketan', 'gb', 'tolong', 'perbaiki', 'ngeleg', 'beli', 'deh', '']</t>
  </si>
  <si>
    <t>['tingkatkan']</t>
  </si>
  <si>
    <t>['mantap', 'sinyalnya', 'bagus', 'terima', 'kasih', 'telkomsel', '']</t>
  </si>
  <si>
    <t>['sinyal', 'telkomsel', 'bagus', 'dimana']</t>
  </si>
  <si>
    <t>['customer', 'servis', 'bener', 'kesimpulannya', 'perbaikan']</t>
  </si>
  <si>
    <t>['', 'sinyale', 'kaya', 'asuuuuuuuuu', 'ora', 'neng', 'bekasi', 'ora', 'neng', 'tegal', 'bae', 'ndoboli', '']</t>
  </si>
  <si>
    <t>['sukaaaaaaaa', 'aplikasinyaaaaaaaa']</t>
  </si>
  <si>
    <t>['jaringan', 'telkomsel', 'skr', 'buruk', 'banget', 'bagus', 'banget']</t>
  </si>
  <si>
    <t>['telkomsel', 'juara', 'dlm', 'msalah', 'jaringan', 'smpe', 'beda', 'jaringan', 'abal', 'thank', 'telkomsel', 'menemani', 'sya', 'nyala', 'berkah']</t>
  </si>
  <si>
    <t>['muncul', 'kouta', 'facebook', 'dikeluarkan', 'pas', 'diteruskan', 'bayar', 'jaringan', 'lemot', 'perbaikan']</t>
  </si>
  <si>
    <t>['nyaman', 'telkomsel', '']</t>
  </si>
  <si>
    <t>['pas', 'udah', 'sampe']</t>
  </si>
  <si>
    <t>['gangguan', 'mulu', 'aplikasi', 'sinyalnya', 'cocok', 'banget', 'serasi', 'udh', 'paket', 'mahal', 'paket', 'mahal', 'sinyal', 'bagus', 'paket', 'mahal', 'sinyal', 'jelek', 'gangguan', 'mulu', 'coba', 'gangguan', 'minimal', 'kasih', 'paket', 'gratis', 'kek', 'pelit', 'untungnya', 'doang', '']</t>
  </si>
  <si>
    <t>['', 'banget', 'hallo', 'telkomsel']</t>
  </si>
  <si>
    <t>['', 'telkomsel', 'parah', 'mengambil', 'paket', 'internet', 'aplikasi', 'sulit', 'harga', 'mahal', 'dibanding', 'sebagus', 'kecewa']</t>
  </si>
  <si>
    <t>['intinya', 'mengecewakan', 'aplikasi', 'lalod', 'paket', 'bintang', '']</t>
  </si>
  <si>
    <t>['telkomsel', 'kebanggaan', 'masyarakat', 'indonesia']</t>
  </si>
  <si>
    <t>['lol', 'apalikasi', 'kebayakan', 'problem', 'bondo', '']</t>
  </si>
  <si>
    <t>['sebulan', 'login', '']</t>
  </si>
  <si>
    <t>['oke', 'terima', 'kasih']</t>
  </si>
  <si>
    <t>['jaringannya', 'jelek', 'pengen', 'ganti', 'kartu']</t>
  </si>
  <si>
    <t>['paket', 'gratis']</t>
  </si>
  <si>
    <t>['ngelag', 'parah', 'nyesel', 'gua', 'pakai', 'telkom', 'ngelag', 'ampun']</t>
  </si>
  <si>
    <t>['telkomsel', 'oke', 'pelayanan', 'bagus', 'oke', '']</t>
  </si>
  <si>
    <t>['maaf', 'dikasih', 'bintang', 'masuk', 'telkomsel', 'layarnya', 'putih', 'masuk', 'tolong', 'diperbaiki', 'lgi', 'trmksh']</t>
  </si>
  <si>
    <t>['jaringan', 'telkomsel', 'parah']</t>
  </si>
  <si>
    <t>['paket', 'internet', 'khusus', 'youtube', 'sinyal', 'susah', 'kali', 'ilang', 'paket', 'mahal', 'sinyal', 'udah', 'ujung', 'kepake', 'rugi']</t>
  </si>
  <si>
    <t>['apk', 'buka', 'kenap']</t>
  </si>
  <si>
    <t>['telkomsel', 'jaringan', 'terburuk', 'gasesuai', 'harga', 'paket', 'mahal', 'kualiatas', 'jaringan', '']</t>
  </si>
  <si>
    <t>['aplikasinya', 'membantu', 'banget', 'cuman', 'kadang', 'sinyalnya', 'cepat', 'hilang', 'pas', 'main', 'game', 'macet', 'lemot', 'aplikasinya', 'tolong', 'diperbaiki', '']</t>
  </si>
  <si>
    <t>['tolong', 'telkomsel', 'sinyal', 'perbaikin', 'sinyal', 'terkomsel', 'buruk', '']</t>
  </si>
  <si>
    <t>['buka', 'aplikasinya', 'loading', 'seloading', 'loadingnya', 'min', 'heran', 'jaringannya', 'ampe', 'nyoba', 'uninstall', 'trus', 'install', 'teruz', 'tulisannya', 'kesalan', '']</t>
  </si>
  <si>
    <t>['nggak', 'telkomsel', 'kemarin', 'beli', 'paket', 'unlimited', 'youtube', 'dipakai', 'bodo', 'cuman', 'ribuan', 'ehh', 'beli', 'paket', 'combo', 'sakti', 'ribuan', 'saldo', 'kepotong', 'paketnya', 'masuk', 'menghubungi', 'telkomsel', 'komplain', 'slow', 'response', 'jawabanya', 'cuman', 'mohon', 'menunggu']</t>
  </si>
  <si>
    <t>['bintang', 'main', 'pubgm', 'brp', 'menit', 'koneksi', 'hilang', 'alhasil', 'mati', '']</t>
  </si>
  <si>
    <t>['coba', 'bagus', 'nnti', 'tmbah', 'bintangnya']</t>
  </si>
  <si>
    <t>['aplikasi', 'abis', 'update', 'suka', 'eror', 'nggak', 'login']</t>
  </si>
  <si>
    <t>['najis', 'jaringan', 'ngelag', 'bangat', 'mending', 'indosat', 'telkomsel', 'kauta', 'doang', 'mahal', 'jaringan', 'kaya', 'nge', 'game', 'ngelag', 'ngelag', 'mulu', 'jelek', 'bat', 'nyesel', 'beli', 'kartu', 'telkomsel']</t>
  </si>
  <si>
    <t>['sayang', 'aplikasi', 'update', 'log', 'masuk', 'aplikasi']</t>
  </si>
  <si>
    <t>['membantu', 'lumayan']</t>
  </si>
  <si>
    <t>['signl', 'buruk', 'sesuai', 'janji', 'bintang']</t>
  </si>
  <si>
    <t>['harga', 'mahal', 'ngelag', 'manis', 'kayak', 'janji', 'pemerintah']</t>
  </si>
  <si>
    <t>['sinyal', 'telkom', 'jelek', 'udah', 'aplikasi', 'transaksi', 'propider', 'terbaik', 'pegang', 'telkom', 'indosat', 'boss']</t>
  </si>
  <si>
    <t>['', 'aplikasi', 'skrg', 'notif', 'udh', 'logout', 'pdhl', 'pnh', 'trs', 'login', 'notif', 'opsss', 'mslh', 'pdhl', 'udan', 'reinstall', 'kykny', 'ditngkatkan', 'pelayanan', 'pelanggan', 'puas', 'bintangny', 'tarik', 'biji', '']</t>
  </si>
  <si>
    <t>['jaringan', 'iii', '']</t>
  </si>
  <si>
    <t>['ribet', 'paketnya', '']</t>
  </si>
  <si>
    <t>['download', 'apk', 'nggak', 'apk', 'sinyal', 'bagus', 'nggak', 'kebuka', 'apk', 'lawak', '']</t>
  </si>
  <si>
    <t>['paket', 'darurat', 'aktif', 'otomatis', 'perintah', 'konsumen', 'isi', 'pulsa', 'pulsa', 'dipotong', 'menerus', 'manfaat', 'paket', 'darurat', 'merugikan', 'konsumen', '']</t>
  </si>
  <si>
    <t>['simpel', 'cepat']</t>
  </si>
  <si>
    <t>['kuota', 'pulsa', 'kesedot', 'cuuu', 'rugiiii', 'rugiiii', 'kali', 'kejadian', '']</t>
  </si>
  <si>
    <t>['tingkat', 'mantap']</t>
  </si>
  <si>
    <t>['buruk', 'buruk', 'kuota', 'bisanya', 'pulsa', 'kesedot', 'ribu', 'udah', 'gausah', 'maaf', 'bukti', 'ngembaliin', 'pulsa', 'soalanya', 'gabisa', 'kasih', 'bukti', 'apapun', 'kecuali', 'kesaksian', 'adik', 'mengalami', 'makasih', 'telkomsel', 'ganti', 'operator', 'nomer', 'telkomsel', 'menerima', 'kuota', 'kemendikbud', 'males', 'udah', '']</t>
  </si>
  <si>
    <t>['saranin', 'habis', 'paket', 'kuota', 'telkom', 'beli', 'pulsa', 'beli', 'paketnya', 'aplikasi', 'buka', 'aplikasi', 'beli', 'paketnya', 'nyedot', 'pulsanya', 'ngotak', '']</t>
  </si>
  <si>
    <t>['memudahkan', 'pengguna', 'kartu', 'telkomsel']</t>
  </si>
  <si>
    <t>['jaringan', 'jelek', 'tolong', 'diperbaiki', '']</t>
  </si>
  <si>
    <t>['menerima', 'pesan', 'tatuan', 'nyesel']</t>
  </si>
  <si>
    <t>['instal', 'samsung', 'android']</t>
  </si>
  <si>
    <t>['paket', 'data', 'masuk', 'aplikasi', 'susah', 'login', 'verifikasi', 'sms', 'email', 'mensos', 'aplikasi', 'otomatis', 'akun', 'verifikasi', 'tulisan', 'nunggu', 'dtk', 'maaf', 'kasih', 'bintang', 'mohon', 'perbaikin', 'serba', 'susah', 'ribet', 'login', 'pakai', 'nomor', 'hape', '']</t>
  </si>
  <si>
    <t>['mint', 'kuota', 'aktifkan', 'data', 'ambil', 'pulsanya', 'rugi']</t>
  </si>
  <si>
    <t>['ganggu', 'membeli', 'pdhal', 'kemarin']</t>
  </si>
  <si>
    <t>['larang', 'paketan', 'boyyyyyy']</t>
  </si>
  <si>
    <t>['minggu', 'login', 'mytelkomsel', 'gagal', 'tertulis', 'oops', 'kesalahan', 'ntah', 'penyebabnya', 'tolong', 'diperbaiki', '']</t>
  </si>
  <si>
    <t>['lemot', 'banget', 'jaringan']</t>
  </si>
  <si>
    <t>['belinyaa', 'mahal', 'jaringan', 'nyaa', 'kek', 'kntl']</t>
  </si>
  <si>
    <t>['buruk', 'aplikasi', 'login', 'ribet', 'kirim', 'link', 'login', 'kesalahan', 'mulu', 'tolong', 'perbaiki', 'telkomsel']</t>
  </si>
  <si>
    <t>['pelanggan', 'kecewa', 'dirumah', 'seringkali', 'sinyal', 'turun', 'terkadang', 'hilang', '']</t>
  </si>
  <si>
    <t>['udah', 'kali', 'pkek', 'telkomsel', 'pulsa', 'ribu', 'potong', 'sampek', 'habis', 'kuota', 'internet', 'pakek', 'nyesel', 'pakek', 'telkomsel', 'rugi']</t>
  </si>
  <si>
    <t>['butuh', 'peningkatan', 'jaringan', 'pln', 'padam', 'jaringan', 'langsung', 'hilang', 'hujan', 'deras', 'jaringan', 'terganggu']</t>
  </si>
  <si>
    <t>['tolong', 'diperbaiki', 'signal', 'internetnya', 'tsel', 'pelanggan', 'komplen', 'beralih', 'paket', 'mahal', 'kualitas', 'payah']</t>
  </si>
  <si>
    <t>['mahal', 'paketan', 'combo', 'sakti', 'option', 'murah', 'pelanggan', 'telkomsel', 'gold', 'pelanggan', 'diprioritaskan', 'tolong', 'diperbaiki', 'telkomsel', 'terima', 'kasih']</t>
  </si>
  <si>
    <t>['telkomsel', 'hati', 'fasilitasnya', 'keren', 'banget']</t>
  </si>
  <si>
    <t>['min', 'apk', 'telkomsel', 'dibuka', 'update', 'apk', 'tolong', 'min', '']</t>
  </si>
  <si>
    <t>['sinyalnya', 'parah', 'ajh', 'nii', 'telkomsel']</t>
  </si>
  <si>
    <t>['jaringan', 'sungguh', 'lemot', 'paket', 'mahal', 'jaringan', '']</t>
  </si>
  <si>
    <t>['gimana', 'jaringan', 'telkomsel', 'sinyal', 'forji', 'lemo', 'engga', 'kaya', 'jaringan', 'lancar', 'lemot', 'hadehh', 'kecewa', 'bngt']</t>
  </si>
  <si>
    <t>['kuota', 'game', 'kuota', 'internet', 'fungsi', 'kuota', 'game', 'kuota', 'internet', '']</t>
  </si>
  <si>
    <t>['mempermudah', 'banget', '']</t>
  </si>
  <si>
    <t>['beli', 'paket', 'data', 'unlimitedmak', 'muat', 'game', 'online', 'fafaritku', 'gimana', 'boss']</t>
  </si>
  <si>
    <t>['woi', 'ngasih', 'promo', 'nomor', 'nomor', 'teman', 'dapet', 'promonya', 'nomor', 'promonya']</t>
  </si>
  <si>
    <t>['mudah', 'cepat', 'mahal', 'ketolong', 'banget', 'paket', 'sakti', 'pilihannya', 'beli', 'udah', 'tolong', 'paket', 'sakti', 'tuk', 'diperbanyak', 'pilihannya', '']</t>
  </si>
  <si>
    <t>['beli', 'paket', 'data', 'mahal', 'jaringannya', 'rusak', 'rugi', 'paket', 'gua', 'oyyyyyy']</t>
  </si>
  <si>
    <t>['telkom', 'membaik', 'memburuk', 'sinyal', 'lemot', 'karuan', 'nyedot', 'data', 'nggak', 'pemerasan', 'payah']</t>
  </si>
  <si>
    <t>['aplikasinya', 'dibuka', 'versi', 'terbaru', 'koneksi', 'internet', 'bagus', '']</t>
  </si>
  <si>
    <t>['update', 'masuk', 'nomer']</t>
  </si>
  <si>
    <t>['jaringan', 'suka', 'hilang', 'hilang', 'main', 'game', 'njirr']</t>
  </si>
  <si>
    <t>['isi', 'ulang', 'pembayaran', 'bca', 'terkendala', 'metode', 'pembayaran', 'linkaja', 'bawa', 'browser', 'apk', 'linkaja', 'hasil', 'menyelesaikan', 'transaksi', 'mohon', 'perbaiki', '']</t>
  </si>
  <si>
    <t>['gatau', 'kecewa', 'telkomsel', 'giliran', 'chek', 'ilang', 'ngeghosting', 'doang', '']</t>
  </si>
  <si>
    <t>['aplikasi', 'ancurrrr', 'lelet', 'login', 'error', 'konfirmasi', 'payah', 'bangkrut']</t>
  </si>
  <si>
    <t>['aplikasi', 'keren', 'membeli', 'paket']</t>
  </si>
  <si>
    <t>['membantu', 'paket', 'lengkap']</t>
  </si>
  <si>
    <t>['aplikasi', 'terberat', 'dunia', 'marketplace', 'kalah', 'berat', 'aplikasi', 'jaringan', 'lelet', 'paket', 'lengkap', 'banget', 'namanya', 'kasih', 'rating', 'bintang', 'nol', '']</t>
  </si>
  <si>
    <t>['telkomsel', 'bnyak', 'jebakan', 'kadang', 'suruh', 'paket', 'darurat', 'parahnya', 'sengaja', 'kpencet']</t>
  </si>
  <si>
    <t>['sinyal', 'berkurang', 'kualitas', 'lemot', 'lemot', '']</t>
  </si>
  <si>
    <t>['sinyal', 'stabil', 'kadang', 'kadang']</t>
  </si>
  <si>
    <t>['sekrang', 'mahal', 'kartu', 'hallo', 'paketannya', 'rb', 'gb', 'tlp', 'menit', 'kartu', 'halo', 'kembalikan', 'prabyar', 'telkomsel', 'menawarkan', 'enak', 'zonk', 'enak', 'prabayar', 'milih', 'pketan', 'manis', 'pahit']</t>
  </si>
  <si>
    <t>['login', 'may', 'telkomsel']</t>
  </si>
  <si>
    <t>['apk', 'susah', 'buka', 'sinyal', 'kacau', '']</t>
  </si>
  <si>
    <t>['mkasih', 'membantu']</t>
  </si>
  <si>
    <t>['jaringan', 'telkomsel', 'salahkah', 'beli', 'kouta', 'knp', 'lag', 'jaringanya']</t>
  </si>
  <si>
    <t>['bermanfaat', 'psti', 'tmbh', 'retingnya', 'bos']</t>
  </si>
  <si>
    <t>['operator', 'sampah', 'sinyal', 'susah', 'udah', 'harga', 'kuota', 'mahal', 'program', 'pemerintah', 'memper', 'kuat', 'sinyal', '']</t>
  </si>
  <si>
    <t>['masuk', 'pdl', 'udh', 'login', 'berkali', 'kali']</t>
  </si>
  <si>
    <t>['pakai', 'telkomsel', 'jaringan', 'terbaik', 'butuhkan', 'diakses', 'telkomsel', 'telkomsel']</t>
  </si>
  <si>
    <t>['sinyal', 'susahh', 'kesini', 'desember', '']</t>
  </si>
  <si>
    <t>['kualitas', 'jaringan', 'telkomsel', 'buruk', 'perubahan', 'signal', 'full', 'ngadat', 'tolong', 'perbaiki', 'pascabayar', 'prioritaskan', 'prabayar', 'prioritaskan', '']</t>
  </si>
  <si>
    <t>['', 'telkomsel', 'hebat']</t>
  </si>
  <si>
    <t>['harga', 'kian', 'mahal', 'jaringan', 'lemot', 'nonton', 'tub', 'default', 'game', 'laggg', 'parah', 'kerja', 'mengecewakan']</t>
  </si>
  <si>
    <t>['maaf', 'sblumnya', 'dri', 'mytelkomsel', 'apk', 'terllu', 'jelek', 'masuk', 'login', 'mohon', 'perbaikin', 'pelanggan', 'kecewa']</t>
  </si>
  <si>
    <t>['tolong', 'optimalkan', 'jaringan', 'sesuai', 'bintang', 'kasih', 'optimal', '']</t>
  </si>
  <si>
    <t>['', 'telkomsel', 'lemot', 'banget', 'masuk', 'aplikasi', 'telkomsel']</t>
  </si>
  <si>
    <t>['lemot', 'kntl', 'kek', 'babi']</t>
  </si>
  <si>
    <t>['gimanah', 'chrk', 'iiiin', 'nyaaaaaaaaaaaaaaaaaah', 'astagah', 'akuh', 'cari', 'nggak', 'adah', 'udah', 'lamah', 'astagah', 'dancooooooook', '']</t>
  </si>
  <si>
    <t>['apk', 'bagus', 'membantu']</t>
  </si>
  <si>
    <t>['bintang', 'cocok', 'kualitas', 'signal', 'low', 'pulsa', 'sedot', 'data', 'dimatikan', '']</t>
  </si>
  <si>
    <t>['bug', 'diperbaiki', 'pulsa', 'beli', '']</t>
  </si>
  <si>
    <t>['ditingkat']</t>
  </si>
  <si>
    <t>['aplikasi', 'buka', 'warna', 'putih', 'nutup', 'download', 'ulang']</t>
  </si>
  <si>
    <t>['pelanggan', 'setia', 'telkomsel', 'beli', 'paket', 'combo', 'sakti', 'max', 'nonton', 'disney', 'kuota', 'utama', 'berkurang', 'buta', 'yaa', 'tertera', 'langganan', 'disney', 'hotstar', 'kuota', 'utama', 'bukanya', 'korupsi', 'yaa', 'mafia', 'gila', 'uang', 'cuman', 'indonesia', 'mafia', 'sarang', 'terbesar', 'mafia', 'dukung', 'indonesia', 'hukum', 'indonesia', 'indah', 'kehidupan', 'mafia', 'indonesia', 'halal']</t>
  </si>
  <si>
    <t>['setuju', 'paket', 'darurat']</t>
  </si>
  <si>
    <t>['terkoneksi', 'internet', 'provdr']</t>
  </si>
  <si>
    <t>['wkwkwkkk', 'anjlok', 'ratingnya', 'bintang', 'kasih', 'berhubung', 'jelek', 'udah', 'esmosi', 'jaringannya', '']</t>
  </si>
  <si>
    <t>['apk', 'sngat', 'bagus', 'saa', 'cret', 'bintang', 'karna', 'apk', 'bagus', 'mengisi', 'paket', 'mudah', 'cepat']</t>
  </si>
  <si>
    <t>['gpp', 'harga', 'buka', 'aplikasi', 'ngebleng', 'aplikasi', 'kaya', 'gini', 'berat', 'gensin', 'infact', 'busyeet']</t>
  </si>
  <si>
    <t>['parah', 'update', 'dibuka']</t>
  </si>
  <si>
    <t>['kualitas', 'jaringan', 'informasi', 'ambigu']</t>
  </si>
  <si>
    <t>['mudah', 'lancar', 'dimana', '']</t>
  </si>
  <si>
    <t>['aplikasi', 'sinyalnya', 'bagus', 'sayang', 'klau', 'internet', 'habis', 'pulsa', 'langsung', 'terpotong', 'aplikasi', 'telkomsel', 'namanya', 'berbagi', 'internet', 'intenet', 'operator', 'operator', 'saranku', 'tolong', 'aplikasinya', 'diperbaiki', 'penggunanya', 'senang', 'terima', 'kasih', '']</t>
  </si>
  <si>
    <t>['kayaknya', 'membantu']</t>
  </si>
  <si>
    <t>['membantu', 'pembelian']</t>
  </si>
  <si>
    <t>['knapa', 'buka', 'telkomsel', '']</t>
  </si>
  <si>
    <t>['nyoba', 'telkomsel', 'paketan', 'intenet', 'mahal', 'kuota']</t>
  </si>
  <si>
    <t>['udah', 'paketan', 'mahal', 'sinyal', 'kayak', 'gini', 'masuk', 'akal']</t>
  </si>
  <si>
    <t>['tolong', 'tingkatkan', 'kualitas', 'jaringan', 'internet', '']</t>
  </si>
  <si>
    <t>['kamar', 'tertutup', 'rapat', 'akses', 'suvarna', 'sutra']</t>
  </si>
  <si>
    <t>['mantab', 'suka']</t>
  </si>
  <si>
    <t>['bagus', 'pelayanan', 'cepat']</t>
  </si>
  <si>
    <t>['beli', 'paketan', 'aktiv', 'penyelesain', 'gabisa', 'langsung', '']</t>
  </si>
  <si>
    <t>['smoga', 'slalu', 'sukses', 'kedepan']</t>
  </si>
  <si>
    <t>['udah', 'login', 'sampe', 'hadiahnya', 'hilang', 'kimakkkk', 'aplikasi', 'ngak']</t>
  </si>
  <si>
    <t>['susah', 'akses', 'paket', 'nomor', 'beda', '']</t>
  </si>
  <si>
    <t>['loadingnya', 'pulsa', 'reguler', 'cepat', 'berkurang']</t>
  </si>
  <si>
    <t>['telkomsel', 'keapsih', 'lancar', 'pas', 'main', 'suka', 'ngleg', 'gimana', 'ganggu', 'orang', 'main', '']</t>
  </si>
  <si>
    <t>['burukkkk', 'udah', 'login', 'masuknya', 'susah', 'berkali', 'kali', 'nyoba', 'gagal', '']</t>
  </si>
  <si>
    <t>['update', 'dibuka', 'blank', 'warna', 'putih', '']</t>
  </si>
  <si>
    <t>['beli', 'pulsa', 'beli', 'paketan', 'seharga', 'pas', 'buka', 'telkomsel', 'beli', 'paket', 'pas', 'dicek', 'pulsanya', 'udah', 'kepotong', 'data', 'buka', 'app', 'dancok', 'mulut', '']</t>
  </si>
  <si>
    <t>['gabisa', 'dibuka', 'aplikasinya', 'dri', 'kemarin', 'terbaik', 'emang', '']</t>
  </si>
  <si>
    <t>['log', '']</t>
  </si>
  <si>
    <t>['sinyal', 'lelet', 'lemot', 'telkomsel', '']</t>
  </si>
  <si>
    <t>['aplikasi', 'bagus', 'paket', 'internet', 'tersediah', 'gratis', 'internet', 'gb', 'sebulan', '']</t>
  </si>
  <si>
    <t>['ngelag', 'ampun', '']</t>
  </si>
  <si>
    <t>['mahal', 'lelet', 'jaringan', 'harga', 'menetu']</t>
  </si>
  <si>
    <t>['puas', 'pelayanannya']</t>
  </si>
  <si>
    <t>['aplikasi', 'parahhh', 'upgrade', 'kebuka', 'suka', 'log', 'out', 'buka', 'lambat', 'naudzubillah', 'kacau', 'mending', 'uninstall', 'deh', 'kayaknya']</t>
  </si>
  <si>
    <t>['aplikasi', 'berjalan', 'buka', 'putih', 'login', 'pdhl', 'nomer', 'anak', 'situ', 'anak', 'pondok', 'jam', 'imo', 'nomer', 'telkomsel', 'login', 'sll', 'info', 'kesalahan', 'mending', 'tutup', 'aplikasi', 'aplikasi', 'error']</t>
  </si>
  <si>
    <t>['aplikasi', 'skr', 'lemot', 'susah', 'dibuka', '']</t>
  </si>
  <si>
    <t>['abis', 'beli', 'paket', 'telkomsel', 'beli', 'mytelkomsel', 'muncul', 'troli', 'beli', 'paket', 'berhubung', 'amplikasi', 'mytelkomsel', 'hapus', 'download', 'log', 'kesalahan', 'sms', 'verifikasi', 'log', 'masuk', 'kesalahan', 'beli', 'paket', 'udah', 'balasan', 'selamat', 'paket', 'berhasil', 'beli', 'coba', 'youtube', 'google', 'buka', 'gimana']</t>
  </si>
  <si>
    <t>['masik', 'heran', 'login', 'rada', 'nge', 'lag', 'gitu', 'jaringan', 'kah', 'aplikasi', 'kah', 'but', 'yahh', 'aplikasinya', 'membantu', 'kali', '']</t>
  </si>
  <si>
    <t>['aplikasi', 'bagus', 'membantu', 'pembelian', 'paket', 'internet', 'pokoknya', 'ngga', 'rugilah', 'make', 'aplikasi', 'telkomsel']</t>
  </si>
  <si>
    <t>['good', 'app', 'harapan', 'signal', 'slalu', 'bguss', '']</t>
  </si>
  <si>
    <t>['menu', 'daily', 'cek', 'hilang', 'klaim', 'hadiah', '']</t>
  </si>
  <si>
    <t>['memuat', 'aplikasi', 'eror', '']</t>
  </si>
  <si>
    <t>['tanggal', 'nov', 'telkomsel', 'buka', 'daftar', 'paket', 'susah', 'pelanggan', 'setia', 'telkomsel', 'tolong', 'tindak', 'pelayanan', 'buruk', '']</t>
  </si>
  <si>
    <t>['pelanggan', 'setia', 'telkomsel', 'merauke', 'papua', 'telkomsel', 'diakses', 'pelayanan', 'memuaskan', 'isi', 'paket', 'darurat', 'masuk', 'pulsa', 'dipotong', 'notifikasi', 'komplain', 'slow', 'respon', 'membantu', '']</t>
  </si>
  <si>
    <t>['rugi', 'pakai', 'habis', '']</t>
  </si>
  <si>
    <t>['bagus', 'petling', 'lais', 'muba', 'pakai', 'kartu', 'kart', 'telkomsel']</t>
  </si>
  <si>
    <t>['mantap', 'mudah', 'hemat']</t>
  </si>
  <si>
    <t>['paket', 'loss']</t>
  </si>
  <si>
    <t>['sya', 'download', 'pda', 'msuk', 'apknya', 'layrnya', 'putih', 'gitu', 'msuk', 'msuk']</t>
  </si>
  <si>
    <t>['aplikasi', 'ngak', 'bukak', 'tolong', 'telkomsel', 'lancar', 'kendala', 'tolong', 'telkomsel', '']</t>
  </si>
  <si>
    <t>['perbaiki', 'jaringanya', 'setan']</t>
  </si>
  <si>
    <t>['jelekkkkkkkkk', 'bangetttttttt', 'mengecewakan']</t>
  </si>
  <si>
    <t>['bagus', 'membatu', 'mengecek', 'paket', 'pulsa', 'pembelian', 'paket', 'murah', '']</t>
  </si>
  <si>
    <t>['pelanggan', 'setia', 'telkomsel', 'mahal', 'beli', 'paket', 'trus', 'aplikasi', 'susah', 'pelanggan', 'keluarga', 'sya', 'smua', 'pakk', 'telkomsel', '']</t>
  </si>
  <si>
    <t>['tolong', 'kartu', 'menyedot', 'pulsa', 'pemberitahuan', 'mengakibatkan', 'nyaman', 'kartu', 'telkomsel']</t>
  </si>
  <si>
    <t>['pulsa', 'beli', 'paket', 'combo', 'sakti', 'gb', 'harga', 'pulsa', 'mencukupi', 'piye', 'iki', '']</t>
  </si>
  <si>
    <t>['buruk', 'jaringan', 'hrg', 'kuota', 'mahal']</t>
  </si>
  <si>
    <t>['beli', 'paket', 'telkomsel', 'gagal', 'pulsa', 'beli', 'paket', '']</t>
  </si>
  <si>
    <t>['error', 'liat', 'sisa', 'kuota', 'ngga', 'mohon', 'perbaiki', 'kualitas', 'terima', 'kasih', '']</t>
  </si>
  <si>
    <t>['aplikasi', 'parah', 'kalah', 'aplikasi', 'susah', 'buka', 'jaringan', 'bagus', '']</t>
  </si>
  <si>
    <t>['pket', 'internetnya', 'ribet', 'lgi', 'unlimited', 'pmbgian', 'internet', 'mahal', 'tpi', 'costumer', 'kcewa']</t>
  </si>
  <si>
    <t>['bbrp', 'jaringannya', 'buruk', 'masuk', 'app', 'mytsel', 'mengirim', 'pesan', 'pending', 'mohon', 'diperbaiki', 'kenyamanan', 'pelanggan', 'terima', 'kasih', '']</t>
  </si>
  <si>
    <t>['mantap', 'baguss', 'harga', 'paket', 'internet', 'pas', 'kantong', 'tolong', 'perbaikan', 'jaringan', 'internet', 'baguss', 'kadang', 'kali', 'suka', 'lose', 'koneksi', 'ngelagg', 'ber', 'internet', 'trmksih']</t>
  </si>
  <si>
    <t>['semalem', 'masuk', 'apl', 'ancuuurrrrr', 'mutu', 'apl']</t>
  </si>
  <si>
    <t>['gua', 'turunin', 'bintang', 'jaringan', 'buruk', 'buruk', 'terburuk', 'faktanya', 'mahal', 'harga', 'paketnya', 'kualitas', 'signal', 'super', 'buruk', 'udah', 'beranjak', 'simpati', 'ancur', 'fakta', 'plus', 'omongkosong', 'iklan', 'doank']</t>
  </si>
  <si>
    <t>['nggak', 'download']</t>
  </si>
  <si>
    <t>['signal', 'tanggal', 'november', 'down', 'parah', 'provider', 'cepat', 'koreksi', 'terkendala', 'cuaca', 'smartfren', 'lancar', 'jernih', 'cuaca', 'buruk', 'paketnya', 'murah', '']</t>
  </si>
  <si>
    <t>['istimewa', 'paket', 'data', 'sesuaikan', 'harganya', 'kwalitasnya', 'terima', 'kasih', '']</t>
  </si>
  <si>
    <t>['telkomsel', 'oke', 'mahal', 'lemot', 'masuk', 'aplikasi', 'susahnya', 'ampun']</t>
  </si>
  <si>
    <t>['', 'bintang', 'sempurna', 'bintang', 'lbh', '']</t>
  </si>
  <si>
    <t>['sinyal', 'network', 'kerjaan', 'hancur', 'berkali', 'ulang', 'input', 'upload', 'data', 'tolong', 'harga', 'paket', 'mahal', 'kualitas', 'ditingkatkan', 'bobrokan']</t>
  </si>
  <si>
    <t>['metode', 'log', 'ribet', 'klik', 'tautan', 'udh', 'diklik', 'tautannya', 'stuck', 'kesalahan', 'kyk', 'gitu']</t>
  </si>
  <si>
    <t>['telkomsel', 'bagus', 'cuman', 'kebijakan', 'harga', 'paket', 'bertambah', 'berat', 'ringan', 'nggak', 'rakyat', 'indonesia', '']</t>
  </si>
  <si>
    <t>['beli', 'pulsanya', 'murah']</t>
  </si>
  <si>
    <t>['jaringan', 'jelek', 'bangt', 'telkomsel', 'beda', 'kayak', 'main', 'game', 'akses', 'susah', 'banget', 'mohon', 'perbaiki', 'jaringannya', 'udah', 'beli', 'kuota', 'mahal', 'sinyalnya', 'mendukung', 'nyesel', 'beli', 'telkomsel', 'tolong', 'ampun', 'kartu', 'kayak', 'nonton', 'vidio', 'susahnya', 'ampun', 'iya', 'mode', 'pesawat', 'ampe', 'berkali', 'kali', 'woe', 'tolong', 'telkomsel', 'penggunanya', 'kecewa', '']</t>
  </si>
  <si>
    <t>['turunin', 'bintang', 'jaringannya', 'lemot', 'banget', 'nggak', 'tolong', 'jaringannya', 'diperbaiki']</t>
  </si>
  <si>
    <t>['app', 'dibuka', 'blank', 'white', 'screen', 'sinyal', 'buruk', 'tolong', 'diperbaiki', '']</t>
  </si>
  <si>
    <t>['kartu', 'kartu', 'haru', 'sinyal', 'labil']</t>
  </si>
  <si>
    <t>['gimana', 'udah', 'gabisa', 'login', 'aplikasi', '']</t>
  </si>
  <si>
    <t>['respon', 'buruk', 'telekomunikasi', 'indonesia', '']</t>
  </si>
  <si>
    <t>['', 'dpat', 'hadiah', 'kasi', '']</t>
  </si>
  <si>
    <t>['buruk', 'masuk', 'masuk', 'susah', 'masuk', 'telkomsel']</t>
  </si>
  <si>
    <t>['apk', 'error', 'memuat', 'data', 'update']</t>
  </si>
  <si>
    <t>['log', 'kali', 'buka', 'apps', 'ribet', 'udah', 'centang', 'stay', 'log', 'kena', 'log', 'out', 'pas', 'tutup', 'apps', '']</t>
  </si>
  <si>
    <t>['gabisa', 'masuk', 'apknya']</t>
  </si>
  <si>
    <t>['mudahkan', 'murahkan', 'membeli', 'paket', 'data', 'bosku', 'sukses', 'telkomsel', 'melayani', 'fast', 'respons', 'jelajah', 'nusantara', 'perekat', 'bangsa', 'telkomsel', 'hati', 'pelanggan', 'indonesia', '']</t>
  </si>
  <si>
    <t>['mahal', 'lelet', 'kasih', 'koment', 'bagus', 'orang', 'jujur', 'sorry', '']</t>
  </si>
  <si>
    <t>['suka', 'telkomse', 'smnjak', 'jadul', 'sampe', 'kekinian', 'slalu', 'setia', 'telkomsel', 'telkomsel', 'aga', 'lemot', 'tpi', 'tetep', 'pegang', 'telkomsel', 'mudah', 'han', 'telkomsel', 'perbaiki']</t>
  </si>
  <si>
    <t>['memuaskan', 'banget']</t>
  </si>
  <si>
    <t>['nyesel', 'klu', 'download', 'apk', 'telkomsel', 'mantap', 'jaringan', 'bagus', 'trimakasih']</t>
  </si>
  <si>
    <t>['knapa', 'login', '']</t>
  </si>
  <si>
    <t>['mahal', 'lambat', '']</t>
  </si>
  <si>
    <t>['aplikasi', 'error', 'tanggal', 'november', 'parah', 'coba', 'install', 'ulang', 'error', 'login', 'nomor', 'processor', 'snapdragon', '']</t>
  </si>
  <si>
    <t>['kesel', 'aplikasinya', 'eror', 'trus', '']</t>
  </si>
  <si>
    <t>['data', '']</t>
  </si>
  <si>
    <t>['jelek', 'aplikasinya', 'log', 'out', 'masuk', 'susah']</t>
  </si>
  <si>
    <t>['aplikasi', 'buka', 'berhari', 'mencobanya']</t>
  </si>
  <si>
    <t>['kesulitan', 'beda', '']</t>
  </si>
  <si>
    <t>['ulasan', 'hapus', 'gimana', 'aplikasi', 'kehaous', 'download', 'bsa', 'install', 'bsa', 'udah', 'gini', 'trus', 'klah', 'lrovider', 'sebelah']</t>
  </si>
  <si>
    <t>['aplikasi', 'membantu', 'banget']</t>
  </si>
  <si>
    <t>['mohon', 'perbaiki', 'susah', 'masuk', 'telkomsel', 'link', 'masuk', 'ribet', 'nomer', 'tercantum', 'verivikasi', 'otomatis']</t>
  </si>
  <si>
    <t>['sempurna', 'login', 'susah', '']</t>
  </si>
  <si>
    <t>['sinyal', 'telkomsel', 'udah', 'bener', 'bobrok', 'malas', 'telkomsel']</t>
  </si>
  <si>
    <t>['sinyal', 'buruk', 'nga', 'sebanding', 'biaya', 'mahal']</t>
  </si>
  <si>
    <t>['semoga', 'ngelek', 'sinyalnya', '']</t>
  </si>
  <si>
    <t>['mendukung', 'gojek']</t>
  </si>
  <si>
    <t>['lancar', 'jaringan']</t>
  </si>
  <si>
    <t>['aplikasi', 'jelek', 'eror', 'update', '']</t>
  </si>
  <si>
    <t>['pelanggan', 'setia', 'telkomsel', 'kecewa', 'kualitas', 'sinyal', 'bagus', 'harga', 'kuaota', 'internet', 'mahal', 'promo', 'sesuai', 'telkomsel', 'hadiah', 'chec', 'check', 'check', 'tutup', 'poin', 'ditukar', 'pulsa', 'dikenapakn', 'tarif', '']</t>
  </si>
  <si>
    <t>['kemarin', 'buka', 'aplikasi', 'nggak', 'daerah', 'sinyalnya', 'telkomsel', 'parah', 'paket', 'datanya', 'mahal', '']</t>
  </si>
  <si>
    <t>['perusahaan', 'harga', 'produk', 'mahal', 'kualitas', 'aplikasi', 'buruk', 'sinyal', 'buruk']</t>
  </si>
  <si>
    <t>['jelek', 'lambat', 'mahal']</t>
  </si>
  <si>
    <t>['jaringan', 'internet', 'lemot', 'mengganggu', 'kinerja']</t>
  </si>
  <si>
    <t>['aplikasi', 'tod', 'jelek', 'bngt', 'pdhl', 'internet', 'cpt', 'bukak', 'app', 'telkom', 'bet']</t>
  </si>
  <si>
    <t>['paket', 'dikasih', 'murah', 'alhamdulillah']</t>
  </si>
  <si>
    <t>['kesini', 'telkomsel', 'sampah', 'sinyal', 'stabil', 'harga', 'mahal', 'payah', 'telkomsel']</t>
  </si>
  <si>
    <t>['yoh', 'baguss', 'lelet', 'mahal', 'jrgan', 'luas', 'luas', 'hrganya', 'pokoknya', 'bugus', 'mkin', 'mkin', 'mhal', 'intrnetnya', 'dikit', 'kuatanya']</t>
  </si>
  <si>
    <t>['buruk', 'kualitas', 'sinyalnya', 'log', 'susahnya', 'ampun', 'malam', 'siang', 'masuk', 'kesalahan', 'terulang', 'ulang', 'mahal', 'tpi', 'buruk', 'sinyal', '']</t>
  </si>
  <si>
    <t>['pendapat']</t>
  </si>
  <si>
    <t>['ngak', 'diskon']</t>
  </si>
  <si>
    <t>['paket', 'internet', 'lamasuk', 'tolong', 'cepat', 'perbiki']</t>
  </si>
  <si>
    <t>['oke', 'berusaha', 'optimal', '']</t>
  </si>
  <si>
    <t>['dibuka', 'error', 'mendadak', '']</t>
  </si>
  <si>
    <t>['ceklis', 'harian', 'pas', 'ceklis', 'hilang', 'daily', 'ceklis', 'kali', 'tolong', '']</t>
  </si>
  <si>
    <t>['sinyal', 'telkomsel', 'sulit', 'tolong', 'perbaiki', 'udh', 'semingguan', 'kepentingan', 'mendadak', 'sulit', 'menghubunginya', 'pengguna', 'setia', 'telkomsel', 'mohon', 'perbaiki']</t>
  </si>
  <si>
    <t>['bagus', 'signal', 'telkomsel', 'daerah', 'makassar', '']</t>
  </si>
  <si>
    <t>['daerah', 'bondowoso', 'sinyal', 'buruk', 'aplikasi', 'telkomsel', 'dibuka', 'diunistal', 'diinstal', 'lgi', 'terima', 'ksih']</t>
  </si>
  <si>
    <t>['bagus', 'rekomendasikan', 'pengguna', 'telkomsel', 'download', 'aplikasi', 'bertransaksi', 'mudah', 'aman', 'nyaman', 'genggaman', 'pertahankan', 'mytelkomsel']</t>
  </si>
  <si>
    <t>['telkomsel', 'jejaring', 'sosial', 'perusahaan', 'terkemuka', 'indonesia', 'sayang', 'penawaran', 'segudang', 'peraturan', 'orang', 'awam', 'paham']</t>
  </si>
  <si>
    <t>['aplikasinya', 'lemot', 'susah', 'dibukanya', 'bermutu', 'mohon', 'diperbaiki', '']</t>
  </si>
  <si>
    <t>['aplikasi', 'telkomsel', 'hilang', 'download', 'gag', '']</t>
  </si>
  <si>
    <t>['parah', 'layanan', 'telkomsel', 'pulsa', 'beli', 'paket', 'internet', 'ketengan', 'kuota', 'utama', 'seharga', 'sms', 'pulsa', 'matematika', 'darimana', 'pulsa', 'membeli', 'paket', 'harga', '']</t>
  </si>
  <si>
    <t>['error', 'gagal', 'loading', 'tendang', 'ganti', 'pindah', 'maunukar', 'poin', 'developer', 'tendang', 'ganti', 'developer', 'desain', 'aplikasi', 'berat', 'jaringan', 'telkomsel', 'ahir', 'gangguan', 'super', 'lemot', '']</t>
  </si>
  <si>
    <t>['dear', 'admin', 'isi', 'pulsa', 'pulsanya', 'berkurang', 'panggilan', 'sms', 'tolong', 'sprti', 'kasih', 'penjelasan', 'solusi', 'masuk', 'aplikasi', 'knp', 'jdi', 'payah', 'banget', 'telkomsel', '']</t>
  </si>
  <si>
    <t>['pokokx', 'bgus', 'simple']</t>
  </si>
  <si>
    <t>['tolong', 'perbaiki', 'apk', 'apk', 'rusak', 'beli', 'paket', 'banget', 'udh', 'terdaftar', 'beli', 'paket', 'paket', 'masuk', 'pulsa', 'udah', 'berkurang', 'tolong', 'perbaiki', 'apk', 'iniiiiii']</t>
  </si>
  <si>
    <t>['promo', 'buy', 'mahal']</t>
  </si>
  <si>
    <t>['apk', 'smakin', 'busuk', 'apk', 'jorok']</t>
  </si>
  <si>
    <t>['update', 'login', 'tarif', 'jaringan', 'buruk', 'direnungkan', 'pertahanan', 'telkomsel', 'pindah', 'haluan', '']</t>
  </si>
  <si>
    <t>['murah', 'paketan']</t>
  </si>
  <si>
    <t>['aplikasinya', 'banget', 'mempermudah', 'pelanggan', 'telkomsel', '']</t>
  </si>
  <si>
    <t>['aplikasi', 'gabisa', 'masuk', 'bad']</t>
  </si>
  <si>
    <t>['harga', 'kualitas', 'nurun']</t>
  </si>
  <si>
    <t>['udah', 'isi', 'pulsa', 'pas', 'ambil', 'paket', 'alhasilpulsa', 'tersedot', 'sia', '']</t>
  </si>
  <si>
    <t>['kasih', 'bintang', 'karna', 'sinyal', 'suka', 'koneksi', 'sinyal', 'jaringan', '']</t>
  </si>
  <si>
    <t>['update', 'terbaru', 'apk', 'buka', 'gerangan', 'kawan', '']</t>
  </si>
  <si>
    <t>['alhamdulillah', 'memakai', 'kartu', 'telkomsel', 'paket', 'nelpon', 'murah', 'paket', 'internet', 'murah', 'pelanggan', 'telkomsel', 'setia', 'semoga', 'telkomsel', 'jaya']</t>
  </si>
  <si>
    <t>['semoga', 'kedepannya', 'sinyal', 'terbaik', 'indonesia', 'terpelosok', 'sinyalnya', 'memuaskan']</t>
  </si>
  <si>
    <t>['udah', 'download', 'trus', 'login', 'trs', 'muncul', 'notif', 'update', 'aplikasi', 'udh', 'download', 'trs', 'suruh', 'update', 'loginya', 'masya', 'allah', 'susah', 'bener', 'berandanya', 'memuat', 'halaman', 'sinyal', 'full', 'buka', 'aplikasi', 'lancar', 'kali', 'kecewa', 'telkomsel', '']</t>
  </si>
  <si>
    <t>['jaringan', 'telkomsel', 'setan', 'bagus', 'im', '']</t>
  </si>
  <si>
    <t>['login', 'susah', 'pakai', 'link', 'magic', 'detik', 'emang', 'pikir', 'internet', 'telkomsel', 'cepat', 'penjuru', 'mikir', 'pakai', 'otak', 'jangkauan', 'terluas', 'emang', 'kecepatan', 'pelosok', 'kbps', 'sinyal', 'opr', 'tabrakan', 'sinyal', 'internet', 'telkomsel', 'terlemot', 'opr', 'maklum', 'proyek', 'tua', 'bentar', 'tumbang', 'rekomendasi', 'titik', '']</t>
  </si>
  <si>
    <t>['gangguan', 'sistem', 'terosss']</t>
  </si>
  <si>
    <t>['aplikasi', 'telkomsel', 'blank', 'putih', 'tampil', 'interfacenya']</t>
  </si>
  <si>
    <t>['urgent', 'banget', 'buka', 'aplikasi', 'blank', 'putih', 'ikon', 'menu', 'dibawah', 'maaf', 'banget', 'aplikasi', 'banget', 'gitu', 'jaringan', 'buka', 'lancar', 'jaya', 'cek', 'update', 'aplikasi', 'cba', 'uninstal', 'login', 'haduh', 'telkomsel', 'engkau', 'ribetnya', '']</t>
  </si>
  <si>
    <t>['udah', 'apl', 'dbuka', 'kesel', 'dehhhhhhhh', 'tolonglah', 'diperbaiki', '']</t>
  </si>
  <si>
    <t>['bagus', 'aplikasinya', 'tolong', 'dilengkapi', 'detail', 'info', 'kuota', 'multimedia', 'daily', 'app', 'maxstream', 'gamemax', 'musik', 'max', 'aplikasi', 'dukung', 'kuota', 'multi', 'media', 'lengkap']</t>
  </si>
  <si>
    <t>['aplikasi', 'rusak', 'login', 'udah', 'capek', 'capek', 'check', 'tinggal', 'claim', 'bonus', 'gini']</t>
  </si>
  <si>
    <t>['kesini', 'jelek', 'sinyal', 'daerah', 'citra', 'buset', 'mending', 'pindah', 'jaringan', '']</t>
  </si>
  <si>
    <t>['aplikasi', 'mantap', '']</t>
  </si>
  <si>
    <t>['knapa', 'jaringan', 'internet', 'buruk', 'banter', '']</t>
  </si>
  <si>
    <t>['recomended', 'jir', 'install', 'kuota', 'gratis', 'mantep']</t>
  </si>
  <si>
    <t>['mantap', 'lancar']</t>
  </si>
  <si>
    <t>['terhormat', 'telkomsel', 'semenjak', 'mengikuti', 'operator', 'telkomsel', 'kartu', 'telkomsel', 'pindah', 'kartu', 'hallo', 'data', 'kaga', 'kaga', 'maukj', 'telkomsel', 'jaga', 'masuk', 'masukin', 'voucher', 'kaga', 'tolong', 'perbaiki']</t>
  </si>
  <si>
    <t>['paraaaah', 'buka']</t>
  </si>
  <si>
    <t>['pengguna', 'telkomsel', 'kati', 'notif', 'harga', 'paket', 'unlimited', 'rb', 'cek', 'telkomsel', 'ngga', 'tolong', 'bantu', 'admin']</t>
  </si>
  <si>
    <t>['paket', 'mahal', 'combo', '']</t>
  </si>
  <si>
    <t>['pas', 'isi', 'pulsa', 'pulsa', 'potong']</t>
  </si>
  <si>
    <t>['kecewa', 'bolak', 'masuk', 'mytelkom', 'masukk', 'aman', 'sajaa', 'eror', 'banget', 'telkomsel', 'kecewa']</t>
  </si>
  <si>
    <t>['telkomsel', 'buruk', 'isi', 'pulsa', 'rb', 'beli', 'paket', 'proses', 'maklum', 'proses', 'cek', 'pulsa', 'berkurang', 'apapun', 'paketannya', 'terbeli', 'cek', 'riwayat', 'data', 'dikurangi', 'mikir', 'data', 'msh', 'pakai', 'jaringan', 'sim', 'knp', 'gini', 'pulsa', 'utuh', '']</t>
  </si>
  <si>
    <t>['diakses', 'dijaringan', 'internet', 'telkomsel', '']</t>
  </si>
  <si>
    <t>['udah', 'daftar', 'internet', 'pulsa', 'reguler', 'berkurang', 'akses', 'internet', 'aneh', 'dualkali', 'bangetttttttttt']</t>
  </si>
  <si>
    <t>['mantap', 'telkomsel', 'kol', 'daitli', 'cek', 'hilang', 'mohon', 'lihat', '']</t>
  </si>
  <si>
    <t>['apk', 'bgs']</t>
  </si>
  <si>
    <t>['sanagt', 'cepat', 'isi', 'pulsa', 'data']</t>
  </si>
  <si>
    <t>['bumn', 'berkedok', 'rampok', 'masyarakat', 'dirampok', 'ngajar', 'mending', 'make', 'im', 'asing', 'murah', 'jaringan', 'stabil', 'ngerampok', '']</t>
  </si>
  <si>
    <t>['paket', 'super', 'murah', 'mudah', 'mudahan']</t>
  </si>
  <si>
    <t>['apps', 'buka', 'sehabis', 'update', 'tolong', 'perbaiki', 'min']</t>
  </si>
  <si>
    <t>['telkomsel', 'mahal', 'doang', 'sinyal', 'buruk']</t>
  </si>
  <si>
    <t>['jaringannya', 'mohon', 'diperbaiki', 'min', 'pengaruh', 'cuaca', 'kadang', 'sinyal', 'ilang']</t>
  </si>
  <si>
    <t>['pembelian', 'paket', 'notifikasi', 'menunggu', 'kuota', 'masuk', 'oulsa', 'terpotong', 'menggangu', 'pengguna', 'setia', 'telkomsel', '']</t>
  </si>
  <si>
    <t>['pakai', 'sim', 'card', 'telkomsel', '']</t>
  </si>
  <si>
    <t>['hang', '']</t>
  </si>
  <si>
    <t>['ulasannya', 'mudah', 'mengerti']</t>
  </si>
  <si>
    <t>['login', 'akun', 'via', 'sms', 'coba', 'smsnya', 'masuk', 'fucekk']</t>
  </si>
  <si>
    <t>['kuranng', 'bagus', 'lemot', 'telkomsel']</t>
  </si>
  <si>
    <t>['cape', 'ngumpulin', 'daily', 'check', 'giga', 'ngga', 'diklaim', '']</t>
  </si>
  <si>
    <t>['daftar', 'mytelkosel', 'bacaan', 'maaf', 'sistem', 'sibuk', 'cobalagi', 'mohonperbaikan', 'unistal']</t>
  </si>
  <si>
    <t>['mudah', 'hadiah']</t>
  </si>
  <si>
    <t>['susah', 'banget', 'udh', 'beli', 'notifnya']</t>
  </si>
  <si>
    <t>['pulsa', 'kepotong', 'kuota', 'habis', 'buruk', 'provider', 'motong', 'pulsa', 'kuota', 'habis', 'payah', 'buruk', '']</t>
  </si>
  <si>
    <t>['seminggu', 'membeli', 'paketan', 'aplikasi', 'telkomsel', 'kali', 'klik', 'sllu', 'mncul', 'tulisan', 'cek', 'kmbli', 'koneksi', 'ulangi', 'transaksi', 'menit', 'udah', 'uninstal', 'bolak', 'instal', 'beli', 'paketan']</t>
  </si>
  <si>
    <t>['bagus', 'membatu']</t>
  </si>
  <si>
    <t>['beli', 'pulsa', 'mudah', 'app', 'mytelkomsel']</t>
  </si>
  <si>
    <t>['semoga', 'beruntung', 'ijin', 'allah', 'aamiin', '']</t>
  </si>
  <si>
    <t>['buka', 'cma', 'putih', 'doank', 'login', '']</t>
  </si>
  <si>
    <t>['harganya', 'mahal', 'paketan', 'telpon', 'beli', 'ganti', 'paket', 'mahal']</t>
  </si>
  <si>
    <t>['paket', 'udh', 'mahal', 'jaringannya', 'buruk', 'kepuasan']</t>
  </si>
  <si>
    <t>['cepat', 'jangkauan', 'luas']</t>
  </si>
  <si>
    <t>['sinyal', 'suka', 'paket', 'internet', 'cpt', 'abis', 'blum', 'sampe', 'cpt', 'dpt', 'notif', 'paket', 'tanggal', 'sekian', 'lahh', 'daftar', 'bbrpa', 'udh', 'notif', 'trus', 'login', 'nomor', 'suka', 'lelettt', 'jelass', 'emosi', 'timbulnya', 'kesell']</t>
  </si>
  <si>
    <t>['nggak', 'kaya', 'telkomsel', 'sinyalnya', 'lemot', 'tingkatkan', 'bagus', 'kayak']</t>
  </si>
  <si>
    <t>['memudahkan', 'pelanggan', 'telkomsel', 'terimakasih', 'telkomsel', 'semoga', 'berkembang', 'maju', 'amin']</t>
  </si>
  <si>
    <t>['kecewa', 'pemotongan', 'pulsa', 'heran', 'sisa', 'pulsa', 'nol']</t>
  </si>
  <si>
    <t>['kuota', 'utama', 'kuota', 'sosial', 'media', 'makai', 'sosmed', 'knpa', 'dikurangi', 'kuota', 'utama', 'sampe', 'habis', 'kuota', 'utamanya', 'pakai', 'sosmed', 'kepaikai', 'kuota', 'sosmedbya', 'aduuuuhhh', 'kuota', 'udah', 'pemakaian', 'kuotanya', 'ngga', 'nyesuain', 'pakai', 'paraahhh', 'perbaiki', 'ngecewain', '']</t>
  </si>
  <si>
    <t>['bismillah', 'semoga', 'rezeki']</t>
  </si>
  <si>
    <t>['terimakasih', 'telkomsel', 'signal', 'kualitas', 'bagus', '']</t>
  </si>
  <si>
    <t>['telkomsel', 'taik', 'udah', 'upgrade', 'ngelag', 'masuk', 'apk', 'telkomsel', 'keq', 'taik']</t>
  </si>
  <si>
    <t>['memakai', 'pulsa', 'rp', 'akses', 'internet', 'non', 'paket', 'nikmati', 'kuota', 'gb', 'berlaku', 'akses', 'internet', '']</t>
  </si>
  <si>
    <t>['jaringannya', 'menurun']</t>
  </si>
  <si>
    <t>['beli', 'paket', 'youtube', 'unlimited', 'klu', 'dipotong', 'kuota', 'utama']</t>
  </si>
  <si>
    <t>['memudahkan', 'keperluan', 'telkomsel']</t>
  </si>
  <si>
    <t>['kayak', 'ngambil', 'kaoin']</t>
  </si>
  <si>
    <t>['jaringan', 'lemot', 'kuota', 'mahal']</t>
  </si>
  <si>
    <t>['erorr', 'susah', 'memuat', 'loading', 'gampang', 'nutup', 'hadeehhhh']</t>
  </si>
  <si>
    <t>['admin', 'tolong', 'update', 'donk', 'dipakai', 'jalan', 'android', '']</t>
  </si>
  <si>
    <t>['mempermudah', 'cek', 'pulsa', 'paket', 'internet', 'mudah', 'paket', 'internet', 'isi', 'ulang', 'pulsa', 'utamakan', 'murah', 'harga', 'paket', 'internet', 'terimakasih']</t>
  </si>
  <si>
    <t>['bagus', 'terjangkau', 'top', '']</t>
  </si>
  <si>
    <t>['', 'update', 'aplikasi', 'klik', 'update', 'download', 'instal', 'buka', 'aplikasi', 'buka', 'hapus', 'ulang', 'berkali', 'kali', 'buka']</t>
  </si>
  <si>
    <t>['nyesel', 'paket', 'halo', 'sinyal', 'internetnya', 'jelek', 'nggak', 'perubahan', '']</t>
  </si>
  <si>
    <t>['', 'telkomsel', 'masuk', 'masuk', 'udah', 'layar', 'putih', 'mohon', 'diperbaikilah', '']</t>
  </si>
  <si>
    <t>['bagus', 'cepat', 'bbanyak', 'pilihan']</t>
  </si>
  <si>
    <t>['telkomsel', 'oke', 'jangkauannya', 'luas', 'layanannya', 'puas', 'hati', 'was', 'was', 'gemessss', '']</t>
  </si>
  <si>
    <t>['jaringan', 'telkom', 'diperbaiki', 'jaringan', 'buruk']</t>
  </si>
  <si>
    <t>['ditingkatkan', 'jaringannya', 'lemott']</t>
  </si>
  <si>
    <t>['taggal', 'des', 'jaringan', 'jelek', 'chat', 'tolong', 'perbaiki', 'min']</t>
  </si>
  <si>
    <t>['terbaik', 'promonx', '']</t>
  </si>
  <si>
    <t>['kuota', 'combo', 'sakti', 'unlomited', 'youtube', 'donk', '']</t>
  </si>
  <si>
    <t>['beli', 'paket', 'apapun', 'mytsel', 'gangguan', 'sistem', 'silahkan', 'coba', 'menit', 'udah', 'coba', 'berhari', 'ttp', 'tolong', 'maintenance', 'pelanggan', 'mudah', 'akses', 'cepat', 'trims']</t>
  </si>
  <si>
    <t>['', 'pgi', 'kenap', 'paketan', 'kombo', 'saktiku', 'hargax', 'tmbah', 'mahal']</t>
  </si>
  <si>
    <t>['', 'telkomsel', 'simpel', '']</t>
  </si>
  <si>
    <t>['promo', 'undian', 'menarik']</t>
  </si>
  <si>
    <t>['mudah', 'penggunaannya', '']</t>
  </si>
  <si>
    <t>['paketannya', 'mahal', 'mahal', 'worth', '']</t>
  </si>
  <si>
    <t>['pulsa', 'suka', 'ilang']</t>
  </si>
  <si>
    <t>['paketnya', 'tipu', 'paket', 'game', 'maen', 'game', 'paket', 'youtube', 'buka', 'youtube', 'mahal', 'jaringan', 'lemot', 'butuh', 'kuota', 'reguler', 'adain', 'paket', 'game', 'stream', 'giga', 'game', 'max', 'unlimited', 'pakai', 'kuota', 'reguler', '']</t>
  </si>
  <si>
    <t>['aplikasi', 'buka', 'berwarna', 'putih', 'uninstall', 'trus', 'download', 'pas', 'masukin', 'nomor', 'dikirim', 'link', 'trus', 'link', 'klik', 'eror', 'semoga', 'diperbaiki', 'secepatnya']</t>
  </si>
  <si>
    <t>['bagus', 'ditingkatkan', 'minimal', 'pertahankan']</t>
  </si>
  <si>
    <t>['senang', 'aplikasi', 'tolong', 'ditingkatkat', 'ntt', 'karna', 'biaya', 'beli', 'paket', 'internet', 'mahal', '']</t>
  </si>
  <si>
    <t>['banyakin', 'promo', 'suka', 'ngadat']</t>
  </si>
  <si>
    <t>['aplikasi', 'kadang', 'suka', 'susah', 'dibuka', 'suka', 'error']</t>
  </si>
  <si>
    <t>['mantap', 'transaksi', 'praktis']</t>
  </si>
  <si>
    <t>['aplikasi', 'terburuk', 'miliki']</t>
  </si>
  <si>
    <t>['beli', 'paket', 'gala', 'multimedia', 'kepake', 'nonton', 'netflix', 'dll', 'kepake', 'sebentar', 'pas', 'cek', 'paketnya', 'udah', 'dijual', 'deskripsinya', 'pas', 'habis', 'kuota', 'teathring', 'hap', 'satunya', 'buka', 'aplikasi', 'telkomsel', 'aplikasi', 'kecewa', 'kasih', 'bintang', 'dikasi', 'bintang', 'auto', 'uninstal', '']</t>
  </si>
  <si>
    <t>['pengguna', 'ultra', 'kemarin', 'update', 'android', 'update', 'restart', 'aplikasi', 'telkomsel', 'hilang', 'coba', 'instal', 'playstore', 'mohon', 'bantuannya', '']</t>
  </si>
  <si>
    <t>['gunanya']</t>
  </si>
  <si>
    <t>['gini', 'klw', 'ksih', 'pinjm', 'plsa', 'palsu']</t>
  </si>
  <si>
    <t>['mantap', 'bermanfaat', '']</t>
  </si>
  <si>
    <t>['jelek', 'isi', 'ilang', 'bln', 'telkomsel', 'jaringan', 'brp', 'jelek']</t>
  </si>
  <si>
    <t>['sinyal', 'terkadang', 'gangguan', 'vidio', 'com']</t>
  </si>
  <si>
    <t>['pilihan', 'terbaik', 'dimanapun']</t>
  </si>
  <si>
    <t>['informasi', 'aktif', 'kartu', 'akurat', 'app', 'kode', 'dial']</t>
  </si>
  <si>
    <t>['gua', 'kouta']</t>
  </si>
  <si>
    <t>['menu', 'login', 'harian', 'ilang', 'developer', 'pler']</t>
  </si>
  <si>
    <t>['jaringan', 'telpon', 'mantap']</t>
  </si>
  <si>
    <t>['parah', 'beli', 'kuota', 'gb', 'udah', 'gabisa', 'sisa', 'gb']</t>
  </si>
  <si>
    <t>['imgin', 'masuk', 'website', 'binance', 'kena', 'internet', 'mengganggu']</t>
  </si>
  <si>
    <t>['udah', 'login', 'sampe', 'dapet', 'kuota', 'gratis', 'tombol', 'check', 'ilang', 'niat', 'ngasih', 'ditampilkan', 'kek', 'gitu']</t>
  </si>
  <si>
    <t>['masuknya', 'gimana', 'bos']</t>
  </si>
  <si>
    <t>['jaringan', 'bego', 'pantai', 'mendingan']</t>
  </si>
  <si>
    <t>['mengecewakan', 'jaringan', 'lelet', 'banget', 'tarif', 'kuota', 'bertambah', 'mahal', '']</t>
  </si>
  <si>
    <t>['turunkan', 'bintangnya', 'smakin', 'kesini', 'tarif', 'smakin', 'mahal', 'jaringan', 'buruk']</t>
  </si>
  <si>
    <t>['tambahin', 'misi']</t>
  </si>
  <si>
    <t>['puas', 'promo', 'telkomsel', '']</t>
  </si>
  <si>
    <t>['hadehhh', 'capek', 'deh']</t>
  </si>
  <si>
    <t>['mantap', 'telkomsel', 'berguna', 'kehidupan', 'semoga', 'murah', 'murah', 'pembelian', 'paket', 'data', 'harapkan', 'kalangan', 'menengah']</t>
  </si>
  <si>
    <t>['oke', 'mantap', 'skli', 'telokomsel']</t>
  </si>
  <si>
    <t>['payah', 'buka', 'layar', 'putih', 'doang']</t>
  </si>
  <si>
    <t>['sinyal', 'kayak', 'orang', 'sakit', 'kemajuan', 'harga', 'mahal', 'mending', 'pindah', 'woi', '']</t>
  </si>
  <si>
    <t>['jaringan', 'buruk', 'sinyal', 'suka', 'ilang', 'mendadak']</t>
  </si>
  <si>
    <t>['aplikasi', 'kebuka', 'putih', 'doang', 'nunggu', 'ampe', 'lumutan', 'putih', 'doang', 'udah', 'kaga', 'jaringan', 'suka', 'ilang', 'pindah', 'jaringan', 'stabil', 'daerah', 'telkomsel', 'kenceng', 'kalah', 'sebel', 'main', 'game']</t>
  </si>
  <si>
    <t>['jaringan', 'tolong', 'diperbaiki', 'udah', 'pket', 'mahal', 'jaringan', 'lelet', 'beli', 'pket', 'klau', 'bsa', 'dipake', '']</t>
  </si>
  <si>
    <t>['mengaktifkan', 'sket', 'lokal']</t>
  </si>
  <si>
    <t>['siip', 'manfaat']</t>
  </si>
  <si>
    <t>['terkomsel', 'emang', 'keren']</t>
  </si>
  <si>
    <t>['', 'fleksibel', 'payah']</t>
  </si>
  <si>
    <t>['suka', 'apk', 'telkomsel', 'fitur', 'butuhkan', 'jaya', 'teruss', 'telkomsel', '']</t>
  </si>
  <si>
    <t>['tunggu', 'perkembangan']</t>
  </si>
  <si>
    <t>['aplikasi', 'kayak', 'eek']</t>
  </si>
  <si>
    <t>['assalamualimum', 'maaf', 'donlodt', 'tafi', 'masuk', 'iya', 'knpa', 'iya', 'tolong', 'bantu', 'perbaiki', 'trmkasih', '']</t>
  </si>
  <si>
    <t>['mari', 'ganti', 'provider', 'telkomsel', 'payah', 'udah', 'kaya', 'telkomsel', 'jaman', 'gua', 'stop', 'provider', 'aplikasi', 'telkomsel', 'buang', 'duit', 'menunggu', 'depok', 'kecewa', 'telkomsel', '']</t>
  </si>
  <si>
    <t>['', 'pket', 'mingguannya']</t>
  </si>
  <si>
    <t>['ngasih', 'vhoucher', 'lawak']</t>
  </si>
  <si>
    <t>['membantu', 'pekerjaan', '']</t>
  </si>
  <si>
    <t>['pokoknya', 'mantap', 'sayang', 'sinyal', 'sulit', 'pas', 'darurat']</t>
  </si>
  <si>
    <t>['parah', 'paska', 'bayar', 'merugikan', 'coba', 'kasih', 'pelayanan', 'parah', 'sengsara', 'paska', 'bayar', 'nyusahin', 'anjrit', '']</t>
  </si>
  <si>
    <t>['telkomsel', 'anak', 'usaha', 'telkom', 'bumn', 'coba', 'nasionalis', 'nilai', 'manfaat', 'pelanggan', 'kemudahan', 'informasi', 'produk', 'telkomsel', 'meningkatkan', 'kepuasan', 'pelanggan', 'gendut', 'pejabat', 'telkomsel', 'paket', 'dimurahkan', 'iklan', 'dikurangi', 'durasinya', 'undian', 'diperbanyak', 'transparan', 'pengumuman', 'hasilnya', 'spt', 'telkomsel', 'kebanggaan', 'kesukaan', 'anak', 'bangsa', 'nilai', 'bintang', '']</t>
  </si>
  <si>
    <t>['siallll', 'sya', 'check', 'sebulan', 'nggk', 'klaim', 'gnti', 'udah', 'gini']</t>
  </si>
  <si>
    <t>['suka', 'suka', 'banget', 'mantul']</t>
  </si>
  <si>
    <t>['jaringan', 'telkomsel', 'sesuai', 'harga', 'harga', 'mahal', 'kualitas', 'buruk', 'memprihatinkan', 'pelanggan', 'setia', 'telkomsel', 'merasakan', 'perubahan', 'significan', 'kualitas', 'jaringan', 'pelayanan', 'call', 'center', 'membantu', 'mohon', 'bertanggung', 'diperbaiki', 'sesuai', 'harga', '']</t>
  </si>
  <si>
    <t>['udah', 'aplikasi', 'dibukaaa', 'white', 'screen', 'udah', 'loc', 'berkali', 'kali', 'install', 'berkali', 'kali', 'white', 'screen', 'udah', 'lapor', 'email', 'responnya', 'nunggu', 'mengecewakan', '']</t>
  </si>
  <si>
    <t>['jam', 'keatas', 'jaringan', 'erorr', 'burik', 'mgkin', 'jaringan']</t>
  </si>
  <si>
    <t>['aneh', 'jaringan', 'provide', 'aman', 'aman']</t>
  </si>
  <si>
    <t>['mempermudah', 'kenyamanya']</t>
  </si>
  <si>
    <t>['hilang', 'jaringan', 'woi']</t>
  </si>
  <si>
    <t>['aplikasinya', 'berat', 'bangett', 'lemot', 'jadinyaa']</t>
  </si>
  <si>
    <t>['sialan', 'njim']</t>
  </si>
  <si>
    <t>['min', 'telkoml', 'hilang', 'update', 'sofwer', 'skrng', 'instal', 'gagal', 'menginsal', 'trs', 'hohon']</t>
  </si>
  <si>
    <t>['jaringan', 'sll', 'buruk', 'mahal', 'doang', 'paeah', 'jelek', 'jaringan', 'kartu', '']</t>
  </si>
  <si>
    <t>['malam', 'kak', 'butuh', 'solusi', 'donk', 'ganti', 'instal', 'telkomsel', '']</t>
  </si>
  <si>
    <t>['harga', 'mahal', 'min']</t>
  </si>
  <si>
    <t>['udah', 'paket', 'mahal', 'sinyal', 'jelek', 'parah', 'kaya', 'telkomsel']</t>
  </si>
  <si>
    <t>['kuata', 'doang', 'mahal', 'jaringan', 'lemot', 'laen', 'kali']</t>
  </si>
  <si>
    <t>['telkomsel', 'taii', 'paket', 'internet', 'malam', 'jam', 'kesedot', 'pulsa', 'konsisten', 'memeras', 'pulsa', 'penggunannya', '']</t>
  </si>
  <si>
    <t>['pindah', 'nomor', 'sesi', 'kali']</t>
  </si>
  <si>
    <t>['paket', 'jahat', 'udah', 'mahal', 'telkom', 'pliss', 'paket', 'wort', 'gua', 'dimahal', 'naiknya']</t>
  </si>
  <si>
    <t>['knp', 'memakai', 'sisa', 'kouta', 'sisa', 'kouta']</t>
  </si>
  <si>
    <t>['jaringan', 'telkomsel', 'hancur', 'lebur', 'parah', 'rusak', 'berat', 'wilayah', 'jawa', 'timur', 'hancuuuuuuuurrrrrr']</t>
  </si>
  <si>
    <t>['', 'login', 'kebanyakan', 'mahal', 'doang']</t>
  </si>
  <si>
    <t>['', 'bintang', 'dlu', 'klu', 'sinyal', 'bonus', 'oke', 'bru', 'kasih', '']</t>
  </si>
  <si>
    <t>['semoga', 'telkomsel', 'pelayanan', 'terbaik', '']</t>
  </si>
  <si>
    <t>['simpel', 'mudah', 'jenis', 'transaksi', 'telkomsel', 'terimakasih']</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</si>
</sst>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29"/>
    <col customWidth="1" min="4" max="7" width="8.71"/>
  </cols>
  <sheetData>
    <row r="1">
      <c r="B1" s="1" t="s">
        <v>0</v>
      </c>
      <c r="C1" s="2" t="s">
        <v>1</v>
      </c>
      <c r="D1" s="1" t="s">
        <v>2</v>
      </c>
    </row>
    <row r="2">
      <c r="A2" s="1">
        <v>0.0</v>
      </c>
      <c r="B2" s="3" t="s">
        <v>3</v>
      </c>
      <c r="C2" s="3" t="str">
        <f>IFERROR(__xludf.DUMMYFUNCTION("GOOGLETRANSLATE(B2,""id"",""en"")"),"['Help', 'hope', 'package', 'internet', 'super', 'cheap']")</f>
        <v>['Help', 'hope', 'package', 'internet', 'super', 'cheap']</v>
      </c>
      <c r="D2" s="3">
        <v>5.0</v>
      </c>
    </row>
    <row r="3">
      <c r="A3" s="1">
        <v>2.0</v>
      </c>
      <c r="B3" s="3" t="s">
        <v>4</v>
      </c>
      <c r="C3" s="3" t="str">
        <f>IFERROR(__xludf.DUMMYFUNCTION("GOOGLETRANSLATE(B3,""id"",""en"")"),"['network', 'internet', 'chaotic', 'please', 'repaired', 'network', 'hadehh']")</f>
        <v>['network', 'internet', 'chaotic', 'please', 'repaired', 'network', 'hadehh']</v>
      </c>
      <c r="D3" s="3">
        <v>1.0</v>
      </c>
    </row>
    <row r="4">
      <c r="A4" s="1">
        <v>3.0</v>
      </c>
      <c r="B4" s="3" t="s">
        <v>5</v>
      </c>
      <c r="C4" s="3" t="str">
        <f>IFERROR(__xludf.DUMMYFUNCTION("GOOGLETRANSLATE(B4,""id"",""en"")"),"['Hopefully', 'his net', 'slow', ""]")</f>
        <v>['Hopefully', 'his net', 'slow', "]</v>
      </c>
      <c r="D4" s="3">
        <v>3.0</v>
      </c>
    </row>
    <row r="5">
      <c r="A5" s="1">
        <v>4.0</v>
      </c>
      <c r="B5" s="3" t="s">
        <v>6</v>
      </c>
      <c r="C5" s="3" t="str">
        <f>IFERROR(__xludf.DUMMYFUNCTION("GOOGLETRANSLATE(B5,""id"",""en"")"),"['', 'star', 'Telkomsel', 'Network', 'Aceh', 'Disappointed', 'Bangat']")</f>
        <v>['', 'star', 'Telkomsel', 'Network', 'Aceh', 'Disappointed', 'Bangat']</v>
      </c>
      <c r="D5" s="3">
        <v>1.0</v>
      </c>
    </row>
    <row r="6">
      <c r="A6" s="1">
        <v>5.0</v>
      </c>
      <c r="B6" s="3" t="s">
        <v>7</v>
      </c>
      <c r="C6" s="3" t="str">
        <f>IFERROR(__xludf.DUMMYFUNCTION("GOOGLETRANSLATE(B6,""id"",""en"")"),"['My APK', 'Berguma']")</f>
        <v>['My APK', 'Berguma']</v>
      </c>
      <c r="D6" s="3">
        <v>4.0</v>
      </c>
    </row>
    <row r="7">
      <c r="A7" s="1">
        <v>6.0</v>
      </c>
      <c r="B7" s="3" t="s">
        <v>8</v>
      </c>
      <c r="C7" s="3" t="str">
        <f>IFERROR(__xludf.DUMMYFUNCTION("GOOGLETRANSLATE(B7,""id"",""en"")"),"['Maintained', 'Enhanced', 'Service']")</f>
        <v>['Maintained', 'Enhanced', 'Service']</v>
      </c>
      <c r="D7" s="3">
        <v>5.0</v>
      </c>
    </row>
    <row r="8">
      <c r="A8" s="1">
        <v>7.0</v>
      </c>
      <c r="B8" s="3" t="s">
        <v>9</v>
      </c>
      <c r="C8" s="3" t="str">
        <f>IFERROR(__xludf.DUMMYFUNCTION("GOOGLETRANSLATE(B8,""id"",""en"")"),"['expensive', 'Doank', 'garbage', 'reach', 'spacious', 'Mending', 'ilangin', 'Telkomsel', 'indo', 'die', 'kau', 'telkomsell']")</f>
        <v>['expensive', 'Doank', 'garbage', 'reach', 'spacious', 'Mending', 'ilangin', 'Telkomsel', 'indo', 'die', 'kau', 'telkomsell']</v>
      </c>
      <c r="D8" s="3">
        <v>1.0</v>
      </c>
    </row>
    <row r="9">
      <c r="A9" s="1">
        <v>8.0</v>
      </c>
      <c r="B9" s="3" t="s">
        <v>10</v>
      </c>
      <c r="C9" s="3" t="str">
        <f>IFERROR(__xludf.DUMMYFUNCTION("GOOGLETRANSLATE(B9,""id"",""en"")"),"['pigii', 'times',' buy ',' package ',' data ',' direct ',' APK ',' here ',' APK ',' admin ',' please ',' read ',' Direct ',' Benerin ',' Ngga ',' Nurun ',' Ranking ']")</f>
        <v>['pigii', 'times',' buy ',' package ',' data ',' direct ',' APK ',' here ',' APK ',' admin ',' please ',' read ',' Direct ',' Benerin ',' Ngga ',' Nurun ',' Ranking ']</v>
      </c>
      <c r="D9" s="3">
        <v>1.0</v>
      </c>
    </row>
    <row r="10">
      <c r="A10" s="1">
        <v>9.0</v>
      </c>
      <c r="B10" s="3" t="s">
        <v>11</v>
      </c>
      <c r="C10" s="3" t="str">
        <f>IFERROR(__xludf.DUMMYFUNCTION("GOOGLETRANSLATE(B10,""id"",""en"")"),"['Network', 'Eeee', 'Network', 'Please', 'Repair', 'Read', 'Help', 'Review', 'People']")</f>
        <v>['Network', 'Eeee', 'Network', 'Please', 'Repair', 'Read', 'Help', 'Review', 'People']</v>
      </c>
      <c r="D10" s="3">
        <v>1.0</v>
      </c>
    </row>
    <row r="11">
      <c r="A11" s="1">
        <v>10.0</v>
      </c>
      <c r="B11" s="3" t="s">
        <v>12</v>
      </c>
      <c r="C11" s="3" t="str">
        <f>IFERROR(__xludf.DUMMYFUNCTION("GOOGLETRANSLATE(B11,""id"",""en"")"),"['ksini', 'chaotic', 'bln', 'times', 'extend', 'signal', 'like', 'error', 'mnding', 'card', 'telkom']")</f>
        <v>['ksini', 'chaotic', 'bln', 'times', 'extend', 'signal', 'like', 'error', 'mnding', 'card', 'telkom']</v>
      </c>
      <c r="D11" s="3">
        <v>1.0</v>
      </c>
    </row>
    <row r="12">
      <c r="A12" s="1">
        <v>11.0</v>
      </c>
      <c r="B12" s="3" t="s">
        <v>13</v>
      </c>
      <c r="C12" s="3" t="str">
        <f>IFERROR(__xludf.DUMMYFUNCTION("GOOGLETRANSLATE(B12,""id"",""en"")"),"['Application', 'Nipu', 'Uda', 'Dowlod', 'Login', 'Account', 'Uda', 'Entering', 'Masi', 'NGK']")</f>
        <v>['Application', 'Nipu', 'Uda', 'Dowlod', 'Login', 'Account', 'Uda', 'Entering', 'Masi', 'NGK']</v>
      </c>
      <c r="D12" s="3">
        <v>1.0</v>
      </c>
    </row>
    <row r="13">
      <c r="A13" s="1">
        <v>12.0</v>
      </c>
      <c r="B13" s="3" t="s">
        <v>14</v>
      </c>
      <c r="C13" s="3" t="str">
        <f>IFERROR(__xludf.DUMMYFUNCTION("GOOGLETRANSLATE(B13,""id"",""en"")"),"['disturbance']")</f>
        <v>['disturbance']</v>
      </c>
      <c r="D13" s="3">
        <v>5.0</v>
      </c>
    </row>
    <row r="14">
      <c r="A14" s="1">
        <v>13.0</v>
      </c>
      <c r="B14" s="3" t="s">
        <v>15</v>
      </c>
      <c r="C14" s="3" t="str">
        <f>IFERROR(__xludf.DUMMYFUNCTION("GOOGLETRANSLATE(B14,""id"",""en"")"),"['expensive', 'doang', 'network', 'destroyed']")</f>
        <v>['expensive', 'doang', 'network', 'destroyed']</v>
      </c>
      <c r="D14" s="3">
        <v>1.0</v>
      </c>
    </row>
    <row r="15">
      <c r="A15" s="1">
        <v>14.0</v>
      </c>
      <c r="B15" s="3" t="s">
        <v>16</v>
      </c>
      <c r="C15" s="3" t="str">
        <f>IFERROR(__xludf.DUMMYFUNCTION("GOOGLETRANSLATE(B15,""id"",""en"")"),"['Buy', 'Package', 'Credit', '']")</f>
        <v>['Buy', 'Package', 'Credit', '']</v>
      </c>
      <c r="D15" s="3">
        <v>1.0</v>
      </c>
    </row>
    <row r="16">
      <c r="A16" s="1">
        <v>15.0</v>
      </c>
      <c r="B16" s="3" t="s">
        <v>17</v>
      </c>
      <c r="C16" s="3" t="str">
        <f>IFERROR(__xludf.DUMMYFUNCTION("GOOGLETRANSLATE(B16,""id"",""en"")"),"['Telkomsel', 'annoying', 'buy', 'package', 'worth', 'enter', 'number', 'Please', 'noticed', 'take', 'profit', 'he knows',' Money ',' Ludes', 'thousand', 'Gara', 'Telkomsel', 'Network', 'Please', 'Improvement', 'Terms',' Thank ',' Love ']")</f>
        <v>['Telkomsel', 'annoying', 'buy', 'package', 'worth', 'enter', 'number', 'Please', 'noticed', 'take', 'profit', 'he knows',' Money ',' Ludes', 'thousand', 'Gara', 'Telkomsel', 'Network', 'Please', 'Improvement', 'Terms',' Thank ',' Love ']</v>
      </c>
      <c r="D16" s="3">
        <v>1.0</v>
      </c>
    </row>
    <row r="17">
      <c r="A17" s="1">
        <v>16.0</v>
      </c>
      <c r="B17" s="3" t="s">
        <v>18</v>
      </c>
      <c r="C17" s="3" t="str">
        <f>IFERROR(__xludf.DUMMYFUNCTION("GOOGLETRANSLATE(B17,""id"",""en"")"),"['WKWKWK', 'Review', 'Delete', 'Telkomsel', 'Area', 'Pulo', 'Gadung', 'Ramawangun', 'Signal', 'Ancur', 'User', 'Faithful', ' Telkomsel ',' signal ',' threat ',' rich ',' bgin ',' tired ',' moved ',' provider ',' next door ',' provider ',' next door ',' ch"&amp;"eap ',' point ' , 'fast', '']")</f>
        <v>['WKWKWK', 'Review', 'Delete', 'Telkomsel', 'Area', 'Pulo', 'Gadung', 'Ramawangun', 'Signal', 'Ancur', 'User', 'Faithful', ' Telkomsel ',' signal ',' threat ',' rich ',' bgin ',' tired ',' moved ',' provider ',' next door ',' provider ',' next door ',' cheap ',' point ' , 'fast', '']</v>
      </c>
      <c r="D17" s="3">
        <v>1.0</v>
      </c>
    </row>
    <row r="18">
      <c r="A18" s="1">
        <v>17.0</v>
      </c>
      <c r="B18" s="3" t="s">
        <v>19</v>
      </c>
      <c r="C18" s="3" t="str">
        <f>IFERROR(__xludf.DUMMYFUNCTION("GOOGLETRANSLATE(B18,""id"",""en"")"),"['Hope', 'Can', 'Hadia', 'Good']")</f>
        <v>['Hope', 'Can', 'Hadia', 'Good']</v>
      </c>
      <c r="D18" s="3">
        <v>5.0</v>
      </c>
    </row>
    <row r="19">
      <c r="A19" s="1">
        <v>18.0</v>
      </c>
      <c r="B19" s="3" t="s">
        <v>20</v>
      </c>
      <c r="C19" s="3" t="str">
        <f>IFERROR(__xludf.DUMMYFUNCTION("GOOGLETRANSLATE(B19,""id"",""en"")"),"['network', 'Telkomsel', 'lost', 'price', 'package', 'count', 'expensive', 'difficult', 'signal', 'network', 'lost', 'already', ' Gini ']")</f>
        <v>['network', 'Telkomsel', 'lost', 'price', 'package', 'count', 'expensive', 'difficult', 'signal', 'network', 'lost', 'already', ' Gini ']</v>
      </c>
      <c r="D19" s="3">
        <v>2.0</v>
      </c>
    </row>
    <row r="20">
      <c r="A20" s="1">
        <v>19.0</v>
      </c>
      <c r="B20" s="3" t="s">
        <v>21</v>
      </c>
      <c r="C20" s="3" t="str">
        <f>IFERROR(__xludf.DUMMYFUNCTION("GOOGLETRANSLATE(B20,""id"",""en"")"),"['Quality', 'Network', 'Bad', 'Enhanced', 'Quality', 'Network', 'Customer', 'Faithful', 'Telkomsel', 'Move', 'Provider', 'Continues',' Please ',' pay attention ',' Thank you ', ""]")</f>
        <v>['Quality', 'Network', 'Bad', 'Enhanced', 'Quality', 'Network', 'Customer', 'Faithful', 'Telkomsel', 'Move', 'Provider', 'Continues',' Please ',' pay attention ',' Thank you ', "]</v>
      </c>
      <c r="D20" s="3">
        <v>1.0</v>
      </c>
    </row>
    <row r="21" ht="15.75" customHeight="1">
      <c r="A21" s="1">
        <v>20.0</v>
      </c>
      <c r="B21" s="3" t="s">
        <v>22</v>
      </c>
      <c r="C21" s="3" t="str">
        <f>IFERROR(__xludf.DUMMYFUNCTION("GOOGLETRANSLATE(B21,""id"",""en"")"),"['Network', 'rotten', 'signal', 'ugly', 'basically', 'severe']")</f>
        <v>['Network', 'rotten', 'signal', 'ugly', 'basically', 'severe']</v>
      </c>
      <c r="D21" s="3">
        <v>1.0</v>
      </c>
    </row>
    <row r="22" ht="15.75" customHeight="1">
      <c r="A22" s="1">
        <v>22.0</v>
      </c>
      <c r="B22" s="3" t="s">
        <v>23</v>
      </c>
      <c r="C22" s="3" t="str">
        <f>IFERROR(__xludf.DUMMYFUNCTION("GOOGLETRANSLATE(B22,""id"",""en"")"),"['buy', 'package', 'guarantee', 'network', 'expected', 'fate', 'stay', 'remote', 'slow', 'already', 'berp', 'week', ' Wellcome ',' Indonesia ']")</f>
        <v>['buy', 'package', 'guarantee', 'network', 'expected', 'fate', 'stay', 'remote', 'slow', 'already', 'berp', 'week', ' Wellcome ',' Indonesia ']</v>
      </c>
      <c r="D22" s="3">
        <v>1.0</v>
      </c>
    </row>
    <row r="23" ht="15.75" customHeight="1">
      <c r="A23" s="1">
        <v>23.0</v>
      </c>
      <c r="B23" s="3" t="s">
        <v>24</v>
      </c>
      <c r="C23" s="3" t="str">
        <f>IFERROR(__xludf.DUMMYFUNCTION("GOOGLETRANSLATE(B23,""id"",""en"")"),"['Satisfied', 'Dangan', 'Playana']")</f>
        <v>['Satisfied', 'Dangan', 'Playana']</v>
      </c>
      <c r="D23" s="3">
        <v>5.0</v>
      </c>
    </row>
    <row r="24" ht="15.75" customHeight="1">
      <c r="A24" s="1">
        <v>24.0</v>
      </c>
      <c r="B24" s="3" t="s">
        <v>25</v>
      </c>
      <c r="C24" s="3" t="str">
        <f>IFERROR(__xludf.DUMMYFUNCTION("GOOGLETRANSLATE(B24,""id"",""en"")"),"['Exchange', 'Tsel', 'Points', 'Program', 'Exchange', 'Sweetches', 'Time', 'Choice', 'Prizes', 'Take', ""]")</f>
        <v>['Exchange', 'Tsel', 'Points', 'Program', 'Exchange', 'Sweetches', 'Time', 'Choice', 'Prizes', 'Take', "]</v>
      </c>
      <c r="D24" s="3">
        <v>1.0</v>
      </c>
    </row>
    <row r="25" ht="15.75" customHeight="1">
      <c r="A25" s="1">
        <v>25.0</v>
      </c>
      <c r="B25" s="3" t="s">
        <v>26</v>
      </c>
      <c r="C25" s="3" t="str">
        <f>IFERROR(__xludf.DUMMYFUNCTION("GOOGLETRANSLATE(B25,""id"",""en"")"),"['Application', 'Get', 'Gift', 'Check', 'Promo', 'Package', 'Cheap', 'Mantap', 'Satisfied', 'Telkomsel']")</f>
        <v>['Application', 'Get', 'Gift', 'Check', 'Promo', 'Package', 'Cheap', 'Mantap', 'Satisfied', 'Telkomsel']</v>
      </c>
      <c r="D25" s="3">
        <v>5.0</v>
      </c>
    </row>
    <row r="26" ht="15.75" customHeight="1">
      <c r="A26" s="1">
        <v>26.0</v>
      </c>
      <c r="B26" s="3" t="s">
        <v>27</v>
      </c>
      <c r="C26" s="3" t="str">
        <f>IFERROR(__xludf.DUMMYFUNCTION("GOOGLETRANSLATE(B26,""id"",""en"")"),"['blank', 'Mulu', 'open', 'APK', 'APK', 'HP', 'APK', 'please', 'difficult', 'check', 'kouta', 'gini', ' Trs']")</f>
        <v>['blank', 'Mulu', 'open', 'APK', 'APK', 'HP', 'APK', 'please', 'difficult', 'check', 'kouta', 'gini', ' Trs']</v>
      </c>
      <c r="D26" s="3">
        <v>1.0</v>
      </c>
    </row>
    <row r="27" ht="15.75" customHeight="1">
      <c r="A27" s="1">
        <v>27.0</v>
      </c>
      <c r="B27" s="3" t="s">
        <v>28</v>
      </c>
      <c r="C27" s="3" t="str">
        <f>IFERROR(__xludf.DUMMYFUNCTION("GOOGLETRANSLATE(B27,""id"",""en"")"),"['NGK', 'exciting', 'NGK', 'Event', 'Diamond', ""]")</f>
        <v>['NGK', 'exciting', 'NGK', 'Event', 'Diamond', "]</v>
      </c>
      <c r="D27" s="3">
        <v>2.0</v>
      </c>
    </row>
    <row r="28" ht="15.75" customHeight="1">
      <c r="A28" s="1">
        <v>28.0</v>
      </c>
      <c r="B28" s="3" t="s">
        <v>29</v>
      </c>
      <c r="C28" s="3" t="str">
        <f>IFERROR(__xludf.DUMMYFUNCTION("GOOGLETRANSLATE(B28,""id"",""en"")"),"['mayan', 'good', 'adlh', 'sell', 'kouta', 'expensive', 'anjrot', 'collapse', 'kek', 'price', 'quota', ""]")</f>
        <v>['mayan', 'good', 'adlh', 'sell', 'kouta', 'expensive', 'anjrot', 'collapse', 'kek', 'price', 'quota', "]</v>
      </c>
      <c r="D28" s="3">
        <v>2.0</v>
      </c>
    </row>
    <row r="29" ht="15.75" customHeight="1">
      <c r="A29" s="1">
        <v>29.0</v>
      </c>
      <c r="B29" s="3" t="s">
        <v>30</v>
      </c>
      <c r="C29" s="3" t="str">
        <f>IFERROR(__xludf.DUMMYFUNCTION("GOOGLETRANSLATE(B29,""id"",""en"")"),"['Download', 'Application', 'Telkomsel', 'Bro', 'Easy', 'Transaction', '']")</f>
        <v>['Download', 'Application', 'Telkomsel', 'Bro', 'Easy', 'Transaction', '']</v>
      </c>
      <c r="D29" s="3">
        <v>5.0</v>
      </c>
    </row>
    <row r="30" ht="15.75" customHeight="1">
      <c r="A30" s="1">
        <v>30.0</v>
      </c>
      <c r="B30" s="3" t="s">
        <v>31</v>
      </c>
      <c r="C30" s="3" t="str">
        <f>IFERROR(__xludf.DUMMYFUNCTION("GOOGLETRANSLATE(B30,""id"",""en"")"),"['Application', 'Open', '']")</f>
        <v>['Application', 'Open', '']</v>
      </c>
      <c r="D30" s="3">
        <v>5.0</v>
      </c>
    </row>
    <row r="31" ht="15.75" customHeight="1">
      <c r="A31" s="1">
        <v>31.0</v>
      </c>
      <c r="B31" s="3" t="s">
        <v>32</v>
      </c>
      <c r="C31" s="3" t="str">
        <f>IFERROR(__xludf.DUMMYFUNCTION("GOOGLETRANSLATE(B31,""id"",""en"")"),"['Paketan', 'expensive', 'Maling', 'credit', 'missing', 'signal', 'puckek']")</f>
        <v>['Paketan', 'expensive', 'Maling', 'credit', 'missing', 'signal', 'puckek']</v>
      </c>
      <c r="D31" s="3">
        <v>1.0</v>
      </c>
    </row>
    <row r="32" ht="15.75" customHeight="1">
      <c r="A32" s="1">
        <v>32.0</v>
      </c>
      <c r="B32" s="3" t="s">
        <v>33</v>
      </c>
      <c r="C32" s="3" t="str">
        <f>IFERROR(__xludf.DUMMYFUNCTION("GOOGLETRANSLATE(B32,""id"",""en"")"),"['Give', 'Kupatan', 'Network', 'Mahalin', '']")</f>
        <v>['Give', 'Kupatan', 'Network', 'Mahalin', '']</v>
      </c>
      <c r="D32" s="3">
        <v>1.0</v>
      </c>
    </row>
    <row r="33" ht="15.75" customHeight="1">
      <c r="A33" s="1">
        <v>33.0</v>
      </c>
      <c r="B33" s="3" t="s">
        <v>34</v>
      </c>
      <c r="C33" s="3" t="str">
        <f>IFERROR(__xludf.DUMMYFUNCTION("GOOGLETRANSLATE(B33,""id"",""en"")"),"['quota', 'watch', 'nganggin', 'quota', 'main', 'strange', 'really']")</f>
        <v>['quota', 'watch', 'nganggin', 'quota', 'main', 'strange', 'really']</v>
      </c>
      <c r="D33" s="3">
        <v>2.0</v>
      </c>
    </row>
    <row r="34" ht="15.75" customHeight="1">
      <c r="A34" s="1">
        <v>34.0</v>
      </c>
      <c r="B34" s="3" t="s">
        <v>35</v>
      </c>
      <c r="C34" s="3" t="str">
        <f>IFERROR(__xludf.DUMMYFUNCTION("GOOGLETRANSLATE(B34,""id"",""en"")"),"['Keep', 'Sharing', 'Blessings', 'Success', 'Jaya', '']")</f>
        <v>['Keep', 'Sharing', 'Blessings', 'Success', 'Jaya', '']</v>
      </c>
      <c r="D34" s="3">
        <v>5.0</v>
      </c>
    </row>
    <row r="35" ht="15.75" customHeight="1">
      <c r="A35" s="1">
        <v>35.0</v>
      </c>
      <c r="B35" s="3" t="s">
        <v>36</v>
      </c>
      <c r="C35" s="3" t="str">
        <f>IFERROR(__xludf.DUMMYFUNCTION("GOOGLETRANSLATE(B35,""id"",""en"")"),"['Telkomsel', 'deliberate', 'Take', 'pulse', 'features', 'MyTelkomsel', 'Prevent', 'pulse', 'drained', 'package', 'internet', 'run out']")</f>
        <v>['Telkomsel', 'deliberate', 'Take', 'pulse', 'features', 'MyTelkomsel', 'Prevent', 'pulse', 'drained', 'package', 'internet', 'run out']</v>
      </c>
      <c r="D35" s="3">
        <v>1.0</v>
      </c>
    </row>
    <row r="36" ht="15.75" customHeight="1">
      <c r="A36" s="1">
        <v>36.0</v>
      </c>
      <c r="B36" s="3" t="s">
        <v>37</v>
      </c>
      <c r="C36" s="3" t="str">
        <f>IFERROR(__xludf.DUMMYFUNCTION("GOOGLETRANSLATE(B36,""id"",""en"")"),"['Telkomsel', 'hope', 'innovate']")</f>
        <v>['Telkomsel', 'hope', 'innovate']</v>
      </c>
      <c r="D36" s="3">
        <v>5.0</v>
      </c>
    </row>
    <row r="37" ht="15.75" customHeight="1">
      <c r="A37" s="1">
        <v>37.0</v>
      </c>
      <c r="B37" s="3" t="s">
        <v>38</v>
      </c>
      <c r="C37" s="3" t="str">
        <f>IFERROR(__xludf.DUMMYFUNCTION("GOOGLETRANSLATE(B37,""id"",""en"")"),"['price', 'package', 'Sakti', 'expensive', 'economy', 'difficult', 'please', 'Telkomsel', 'price', 'package', 'Lower', 'thank', ' love']")</f>
        <v>['price', 'package', 'Sakti', 'expensive', 'economy', 'difficult', 'please', 'Telkomsel', 'price', 'package', 'Lower', 'thank', ' love']</v>
      </c>
      <c r="D37" s="3">
        <v>1.0</v>
      </c>
    </row>
    <row r="38" ht="15.75" customHeight="1">
      <c r="A38" s="1">
        <v>38.0</v>
      </c>
      <c r="B38" s="3" t="s">
        <v>39</v>
      </c>
      <c r="C38" s="3" t="str">
        <f>IFERROR(__xludf.DUMMYFUNCTION("GOOGLETRANSLATE(B38,""id"",""en"")"),"['Ugly', 'ALIH']")</f>
        <v>['Ugly', 'ALIH']</v>
      </c>
      <c r="D38" s="3">
        <v>1.0</v>
      </c>
    </row>
    <row r="39" ht="15.75" customHeight="1">
      <c r="A39" s="1">
        <v>39.0</v>
      </c>
      <c r="B39" s="3" t="s">
        <v>40</v>
      </c>
      <c r="C39" s="3" t="str">
        <f>IFERROR(__xludf.DUMMYFUNCTION("GOOGLETRANSLATE(B39,""id"",""en"")"),"['Signal', 'severe', 'home', 'edge', 'road', 'raya', 'province', 'mtr', 'tower', 'telkomsel', 'already', 'so', ' Pulza ',' Take ',' Mulu ',' DPT ',' SMS ',' Thank you ',' Returns', 'Pulza', 'Emergency', 'Pulza', 'Emergency', 'Out', 'Quota' , 'already', 'b"&amp;"uy', 'please', 'fix it', 'troubling', 'Rating', 'Telkomsel', 'bad', '']")</f>
        <v>['Signal', 'severe', 'home', 'edge', 'road', 'raya', 'province', 'mtr', 'tower', 'telkomsel', 'already', 'so', ' Pulza ',' Take ',' Mulu ',' DPT ',' SMS ',' Thank you ',' Returns', 'Pulza', 'Emergency', 'Pulza', 'Emergency', 'Out', 'Quota' , 'already', 'buy', 'please', 'fix it', 'troubling', 'Rating', 'Telkomsel', 'bad', '']</v>
      </c>
      <c r="D39" s="3">
        <v>1.0</v>
      </c>
    </row>
    <row r="40" ht="15.75" customHeight="1">
      <c r="A40" s="1">
        <v>40.0</v>
      </c>
      <c r="B40" s="3" t="s">
        <v>41</v>
      </c>
      <c r="C40" s="3" t="str">
        <f>IFERROR(__xludf.DUMMYFUNCTION("GOOGLETRANSLATE(B40,""id"",""en"")"),"['hassle', '']")</f>
        <v>['hassle', '']</v>
      </c>
      <c r="D40" s="3">
        <v>5.0</v>
      </c>
    </row>
    <row r="41" ht="15.75" customHeight="1">
      <c r="A41" s="1">
        <v>41.0</v>
      </c>
      <c r="B41" s="3" t="s">
        <v>42</v>
      </c>
      <c r="C41" s="3" t="str">
        <f>IFERROR(__xludf.DUMMYFUNCTION("GOOGLETRANSLATE(B41,""id"",""en"")"),"['Good', 'really', 'appilation', 'free', 'buy', 'just', 'SEDIK', 'check', 'assault', 'koata', 'hanis',' okay ',' okay', '']")</f>
        <v>['Good', 'really', 'appilation', 'free', 'buy', 'just', 'SEDIK', 'check', 'assault', 'koata', 'hanis',' okay ',' okay', '']</v>
      </c>
      <c r="D41" s="3">
        <v>5.0</v>
      </c>
    </row>
    <row r="42" ht="15.75" customHeight="1">
      <c r="A42" s="1">
        <v>42.0</v>
      </c>
      <c r="B42" s="3" t="s">
        <v>43</v>
      </c>
      <c r="C42" s="3" t="str">
        <f>IFERROR(__xludf.DUMMYFUNCTION("GOOGLETRANSLATE(B42,""id"",""en"")"),"['Network', 'Signal', 'worrying "",' ']")</f>
        <v>['Network', 'Signal', 'worrying ",' ']</v>
      </c>
      <c r="D42" s="3">
        <v>3.0</v>
      </c>
    </row>
    <row r="43" ht="15.75" customHeight="1">
      <c r="A43" s="1">
        <v>43.0</v>
      </c>
      <c r="B43" s="3" t="s">
        <v>44</v>
      </c>
      <c r="C43" s="3" t="str">
        <f>IFERROR(__xludf.DUMMYFUNCTION("GOOGLETRANSLATE(B43,""id"",""en"")"),"['Signal', 'Telkom', 'smooth']")</f>
        <v>['Signal', 'Telkom', 'smooth']</v>
      </c>
      <c r="D43" s="3">
        <v>5.0</v>
      </c>
    </row>
    <row r="44" ht="15.75" customHeight="1">
      <c r="A44" s="1">
        <v>45.0</v>
      </c>
      <c r="B44" s="3" t="s">
        <v>45</v>
      </c>
      <c r="C44" s="3" t="str">
        <f>IFERROR(__xludf.DUMMYFUNCTION("GOOGLETRANSLATE(B44,""id"",""en"")"),"['Telkomsel', 'internet', 'slow', 'really', 'forest', 'speed', 'internet', 'reach', 'Mbps', 'quota', 'internet', 'coakes']")</f>
        <v>['Telkomsel', 'internet', 'slow', 'really', 'forest', 'speed', 'internet', 'reach', 'Mbps', 'quota', 'internet', 'coakes']</v>
      </c>
      <c r="D44" s="3">
        <v>1.0</v>
      </c>
    </row>
    <row r="45" ht="15.75" customHeight="1">
      <c r="A45" s="1">
        <v>46.0</v>
      </c>
      <c r="B45" s="3" t="s">
        <v>46</v>
      </c>
      <c r="C45" s="3" t="str">
        <f>IFERROR(__xludf.DUMMYFUNCTION("GOOGLETRANSLATE(B45,""id"",""en"")"),"['', 'satisfying', 'star']")</f>
        <v>['', 'satisfying', 'star']</v>
      </c>
      <c r="D45" s="3">
        <v>4.0</v>
      </c>
    </row>
    <row r="46" ht="15.75" customHeight="1">
      <c r="A46" s="1">
        <v>47.0</v>
      </c>
      <c r="B46" s="3" t="s">
        <v>47</v>
      </c>
      <c r="C46" s="3" t="str">
        <f>IFERROR(__xludf.DUMMYFUNCTION("GOOGLETRANSLATE(B46,""id"",""en"")"),"['tells', 'experience']")</f>
        <v>['tells', 'experience']</v>
      </c>
      <c r="D46" s="3">
        <v>5.0</v>
      </c>
    </row>
    <row r="47" ht="15.75" customHeight="1">
      <c r="A47" s="1">
        <v>48.0</v>
      </c>
      <c r="B47" s="3" t="s">
        <v>48</v>
      </c>
      <c r="C47" s="3" t="str">
        <f>IFERROR(__xludf.DUMMYFUNCTION("GOOGLETRANSLATE(B47,""id"",""en"")"),"['signal', 'difficult', 'Jambi']")</f>
        <v>['signal', 'difficult', 'Jambi']</v>
      </c>
      <c r="D47" s="3">
        <v>5.0</v>
      </c>
    </row>
    <row r="48" ht="15.75" customHeight="1">
      <c r="A48" s="1">
        <v>49.0</v>
      </c>
      <c r="B48" s="3" t="s">
        <v>49</v>
      </c>
      <c r="C48" s="3" t="str">
        <f>IFERROR(__xludf.DUMMYFUNCTION("GOOGLETRANSLATE(B48,""id"",""en"")"),"['Knp', 'buy', 'quota', 'play', 'game', 'ngelag', 'really', 'jdi', 'enthusiasm', 'nge', 'game', 'beg', ' repair']")</f>
        <v>['Knp', 'buy', 'quota', 'play', 'game', 'ngelag', 'really', 'jdi', 'enthusiasm', 'nge', 'game', 'beg', ' repair']</v>
      </c>
      <c r="D48" s="3">
        <v>1.0</v>
      </c>
    </row>
    <row r="49" ht="15.75" customHeight="1">
      <c r="A49" s="1">
        <v>50.0</v>
      </c>
      <c r="B49" s="3" t="s">
        <v>50</v>
      </c>
      <c r="C49" s="3" t="str">
        <f>IFERROR(__xludf.DUMMYFUNCTION("GOOGLETRANSLATE(B49,""id"",""en"")"),"['Honey', 'Support', 'RAM']")</f>
        <v>['Honey', 'Support', 'RAM']</v>
      </c>
      <c r="D49" s="3">
        <v>5.0</v>
      </c>
    </row>
    <row r="50" ht="15.75" customHeight="1">
      <c r="A50" s="1">
        <v>51.0</v>
      </c>
      <c r="B50" s="3" t="s">
        <v>51</v>
      </c>
      <c r="C50" s="3" t="str">
        <f>IFERROR(__xludf.DUMMYFUNCTION("GOOGLETRANSLATE(B50,""id"",""en"")"),"['signal', 'difficult', 'Msih', 'City', '']")</f>
        <v>['signal', 'difficult', 'Msih', 'City', '']</v>
      </c>
      <c r="D50" s="3">
        <v>1.0</v>
      </c>
    </row>
    <row r="51" ht="15.75" customHeight="1">
      <c r="A51" s="1">
        <v>52.0</v>
      </c>
      <c r="B51" s="3" t="s">
        <v>52</v>
      </c>
      <c r="C51" s="3" t="str">
        <f>IFERROR(__xludf.DUMMYFUNCTION("GOOGLETRANSLATE(B51,""id"",""en"")"),"['hope', 'advanced', 'success']")</f>
        <v>['hope', 'advanced', 'success']</v>
      </c>
      <c r="D51" s="3">
        <v>5.0</v>
      </c>
    </row>
    <row r="52" ht="15.75" customHeight="1">
      <c r="A52" s="1">
        <v>53.0</v>
      </c>
      <c r="B52" s="3" t="s">
        <v>53</v>
      </c>
      <c r="C52" s="3" t="str">
        <f>IFERROR(__xludf.DUMMYFUNCTION("GOOGLETRANSLATE(B52,""id"",""en"")"),"['Enjoy', 'Telkomsel', '']")</f>
        <v>['Enjoy', 'Telkomsel', '']</v>
      </c>
      <c r="D52" s="3">
        <v>5.0</v>
      </c>
    </row>
    <row r="53" ht="15.75" customHeight="1">
      <c r="A53" s="1">
        <v>54.0</v>
      </c>
      <c r="B53" s="3" t="s">
        <v>54</v>
      </c>
      <c r="C53" s="3" t="str">
        <f>IFERROR(__xludf.DUMMYFUNCTION("GOOGLETRANSLATE(B53,""id"",""en"")"),"['Pay', 'Bill', 'Persusually', 'Ask', 'Bot', 'Telegram', 'Veronika', 'Payed', 'Bill', 'Hello', 'Turn Off', 'The card', ' Enabled ',' strange ',' tired ']")</f>
        <v>['Pay', 'Bill', 'Persusually', 'Ask', 'Bot', 'Telegram', 'Veronika', 'Payed', 'Bill', 'Hello', 'Turn Off', 'The card', ' Enabled ',' strange ',' tired ']</v>
      </c>
      <c r="D53" s="3">
        <v>1.0</v>
      </c>
    </row>
    <row r="54" ht="15.75" customHeight="1">
      <c r="A54" s="1">
        <v>55.0</v>
      </c>
      <c r="B54" s="3" t="s">
        <v>55</v>
      </c>
      <c r="C54" s="3" t="str">
        <f>IFERROR(__xludf.DUMMYFUNCTION("GOOGLETRANSLATE(B54,""id"",""en"")"),"['Pulse', 'main', 'Cut', 'Mulu', 'Help', 'Solve', ""]")</f>
        <v>['Pulse', 'main', 'Cut', 'Mulu', 'Help', 'Solve', "]</v>
      </c>
      <c r="D54" s="3">
        <v>1.0</v>
      </c>
    </row>
    <row r="55" ht="15.75" customHeight="1">
      <c r="A55" s="1">
        <v>56.0</v>
      </c>
      <c r="B55" s="3" t="s">
        <v>56</v>
      </c>
      <c r="C55" s="3" t="str">
        <f>IFERROR(__xludf.DUMMYFUNCTION("GOOGLETRANSLATE(B55,""id"",""en"")"),"['Mantul', 'Application', 'Credit', 'Day', 'Data', ""]")</f>
        <v>['Mantul', 'Application', 'Credit', 'Day', 'Data', "]</v>
      </c>
      <c r="D55" s="3">
        <v>5.0</v>
      </c>
    </row>
    <row r="56" ht="15.75" customHeight="1">
      <c r="A56" s="1">
        <v>57.0</v>
      </c>
      <c r="B56" s="3" t="s">
        <v>57</v>
      </c>
      <c r="C56" s="3" t="str">
        <f>IFERROR(__xludf.DUMMYFUNCTION("GOOGLETRANSLATE(B56,""id"",""en"")"),"['stupid', 'expensive', 'doang', 'ajg', 'signal', 'ugly', 'gblk', 'idiot', 'person', 'knits',' according to ',' ama ',' price ',' price ',' expensive ',' signal ',' ugly ',' bgo ',' bgo ',' bgo ',' bgo ',' bgo ',' anjg ']")</f>
        <v>['stupid', 'expensive', 'doang', 'ajg', 'signal', 'ugly', 'gblk', 'idiot', 'person', 'knits',' according to ',' ama ',' price ',' price ',' expensive ',' signal ',' ugly ',' bgo ',' bgo ',' bgo ',' bgo ',' bgo ',' anjg ']</v>
      </c>
      <c r="D56" s="3">
        <v>1.0</v>
      </c>
    </row>
    <row r="57" ht="15.75" customHeight="1">
      <c r="A57" s="1">
        <v>58.0</v>
      </c>
      <c r="B57" s="3" t="s">
        <v>58</v>
      </c>
      <c r="C57" s="3" t="str">
        <f>IFERROR(__xludf.DUMMYFUNCTION("GOOGLETRANSLATE(B57,""id"",""en"")"),"['already', 'buy', 'Package', 'Tel', 'Pulse', 'Ludes', 'Satan', 'emang']")</f>
        <v>['already', 'buy', 'Package', 'Tel', 'Pulse', 'Ludes', 'Satan', 'emang']</v>
      </c>
      <c r="D57" s="3">
        <v>1.0</v>
      </c>
    </row>
    <row r="58" ht="15.75" customHeight="1">
      <c r="A58" s="1">
        <v>59.0</v>
      </c>
      <c r="B58" s="3" t="s">
        <v>59</v>
      </c>
      <c r="C58" s="3" t="str">
        <f>IFERROR(__xludf.DUMMYFUNCTION("GOOGLETRANSLATE(B58,""id"",""en"")"),"['signal', 'download', 'slow', 'already', 'times', 'complement', 'change', 'cape', 'replace', 'card']")</f>
        <v>['signal', 'download', 'slow', 'already', 'times', 'complement', 'change', 'cape', 'replace', 'card']</v>
      </c>
      <c r="D58" s="3">
        <v>1.0</v>
      </c>
    </row>
    <row r="59" ht="15.75" customHeight="1">
      <c r="A59" s="1">
        <v>60.0</v>
      </c>
      <c r="B59" s="3" t="s">
        <v>60</v>
      </c>
      <c r="C59" s="3" t="str">
        <f>IFERROR(__xludf.DUMMYFUNCTION("GOOGLETRANSLATE(B59,""id"",""en"")"),"['application', 'run', 'smooth', 'realm', 'thank', 'love', 'update', 'Telkomsel']")</f>
        <v>['application', 'run', 'smooth', 'realm', 'thank', 'love', 'update', 'Telkomsel']</v>
      </c>
      <c r="D59" s="3">
        <v>5.0</v>
      </c>
    </row>
    <row r="60" ht="15.75" customHeight="1">
      <c r="A60" s="1">
        <v>61.0</v>
      </c>
      <c r="B60" s="3" t="s">
        <v>61</v>
      </c>
      <c r="C60" s="3" t="str">
        <f>IFERROR(__xludf.DUMMYFUNCTION("GOOGLETRANSLATE(B60,""id"",""en"")"),"['Network', 'bad', 'play', 'lag', 'Mulu', 'use', 'Telkomsel', '']")</f>
        <v>['Network', 'bad', 'play', 'lag', 'Mulu', 'use', 'Telkomsel', '']</v>
      </c>
      <c r="D60" s="3">
        <v>1.0</v>
      </c>
    </row>
    <row r="61" ht="15.75" customHeight="1">
      <c r="A61" s="1">
        <v>62.0</v>
      </c>
      <c r="B61" s="3" t="s">
        <v>62</v>
      </c>
      <c r="C61" s="3" t="str">
        <f>IFERROR(__xludf.DUMMYFUNCTION("GOOGLETRANSLATE(B61,""id"",""en"")"),"['Star', 'describes', 'quality', 'network', 'card', 'prime', '']")</f>
        <v>['Star', 'describes', 'quality', 'network', 'card', 'prime', '']</v>
      </c>
      <c r="D61" s="3">
        <v>1.0</v>
      </c>
    </row>
    <row r="62" ht="15.75" customHeight="1">
      <c r="A62" s="1">
        <v>63.0</v>
      </c>
      <c r="B62" s="3" t="s">
        <v>63</v>
      </c>
      <c r="C62" s="3" t="str">
        <f>IFERROR(__xludf.DUMMYFUNCTION("GOOGLETRANSLATE(B62,""id"",""en"")"),"['application', 'already', 'ugly', 'because', 'package', 'games', 'rise', 'really', 'wekk']")</f>
        <v>['application', 'already', 'ugly', 'because', 'package', 'games', 'rise', 'really', 'wekk']</v>
      </c>
      <c r="D62" s="3">
        <v>2.0</v>
      </c>
    </row>
    <row r="63" ht="15.75" customHeight="1">
      <c r="A63" s="1">
        <v>64.0</v>
      </c>
      <c r="B63" s="3" t="s">
        <v>64</v>
      </c>
      <c r="C63" s="3" t="str">
        <f>IFERROR(__xludf.DUMMYFUNCTION("GOOGLETRANSLATE(B63,""id"",""en"")"),"['pulse', 'RB', 'download', 'App', 'Telkomsel', 'lie']")</f>
        <v>['pulse', 'RB', 'download', 'App', 'Telkomsel', 'lie']</v>
      </c>
      <c r="D63" s="3">
        <v>1.0</v>
      </c>
    </row>
    <row r="64" ht="15.75" customHeight="1">
      <c r="A64" s="1">
        <v>65.0</v>
      </c>
      <c r="B64" s="3" t="s">
        <v>65</v>
      </c>
      <c r="C64" s="3" t="str">
        <f>IFERROR(__xludf.DUMMYFUNCTION("GOOGLETRANSLATE(B64,""id"",""en"")"),"['Kasi', 'star', 'Karna', 'Switch', 'Points', 'Package']")</f>
        <v>['Kasi', 'star', 'Karna', 'Switch', 'Points', 'Package']</v>
      </c>
      <c r="D64" s="3">
        <v>1.0</v>
      </c>
    </row>
    <row r="65" ht="15.75" customHeight="1">
      <c r="A65" s="1">
        <v>66.0</v>
      </c>
      <c r="B65" s="3" t="s">
        <v>66</v>
      </c>
      <c r="C65" s="3" t="str">
        <f>IFERROR(__xludf.DUMMYFUNCTION("GOOGLETRANSLATE(B65,""id"",""en"")"),"['Good', 'the application', 'hope', 'success']")</f>
        <v>['Good', 'the application', 'hope', 'success']</v>
      </c>
      <c r="D65" s="3">
        <v>5.0</v>
      </c>
    </row>
    <row r="66" ht="15.75" customHeight="1">
      <c r="A66" s="1">
        <v>68.0</v>
      </c>
      <c r="B66" s="3" t="s">
        <v>67</v>
      </c>
      <c r="C66" s="3" t="str">
        <f>IFERROR(__xludf.DUMMYFUNCTION("GOOGLETRANSLATE(B66,""id"",""en"")"),"['pulse', 'abis', 'pepek']")</f>
        <v>['pulse', 'abis', 'pepek']</v>
      </c>
      <c r="D66" s="3">
        <v>3.0</v>
      </c>
    </row>
    <row r="67" ht="15.75" customHeight="1">
      <c r="A67" s="1">
        <v>69.0</v>
      </c>
      <c r="B67" s="3" t="s">
        <v>68</v>
      </c>
      <c r="C67" s="3" t="str">
        <f>IFERROR(__xludf.DUMMYFUNCTION("GOOGLETRANSLATE(B67,""id"",""en"")"),"['steady']")</f>
        <v>['steady']</v>
      </c>
      <c r="D67" s="3">
        <v>5.0</v>
      </c>
    </row>
    <row r="68" ht="15.75" customHeight="1">
      <c r="A68" s="1">
        <v>70.0</v>
      </c>
      <c r="B68" s="3" t="s">
        <v>69</v>
      </c>
      <c r="C68" s="3" t="str">
        <f>IFERROR(__xludf.DUMMYFUNCTION("GOOGLETRANSLATE(B68,""id"",""en"")"),"['Mandatory', 'Download', 'Gessss']")</f>
        <v>['Mandatory', 'Download', 'Gessss']</v>
      </c>
      <c r="D68" s="3">
        <v>5.0</v>
      </c>
    </row>
    <row r="69" ht="15.75" customHeight="1">
      <c r="A69" s="1">
        <v>71.0</v>
      </c>
      <c r="B69" s="3" t="s">
        <v>70</v>
      </c>
      <c r="C69" s="3" t="str">
        <f>IFERROR(__xludf.DUMMYFUNCTION("GOOGLETRANSLATE(B69,""id"",""en"")"),"['Good', 'makes it easy', 'thank you']")</f>
        <v>['Good', 'makes it easy', 'thank you']</v>
      </c>
      <c r="D69" s="3">
        <v>5.0</v>
      </c>
    </row>
    <row r="70" ht="15.75" customHeight="1">
      <c r="A70" s="1">
        <v>72.0</v>
      </c>
      <c r="B70" s="3" t="s">
        <v>71</v>
      </c>
      <c r="C70" s="3" t="str">
        <f>IFERROR(__xludf.DUMMYFUNCTION("GOOGLETRANSLATE(B70,""id"",""en"")"),"['application', 'makes it easy', 'transact', 'pulses', 'data', 'etc.', '']")</f>
        <v>['application', 'makes it easy', 'transact', 'pulses', 'data', 'etc.', '']</v>
      </c>
      <c r="D70" s="3">
        <v>5.0</v>
      </c>
    </row>
    <row r="71" ht="15.75" customHeight="1">
      <c r="A71" s="1">
        <v>73.0</v>
      </c>
      <c r="B71" s="3" t="s">
        <v>72</v>
      </c>
      <c r="C71" s="3" t="str">
        <f>IFERROR(__xludf.DUMMYFUNCTION("GOOGLETRANSLATE(B71,""id"",""en"")"),"['promo', 'program', 'interesting', 'ngak', 'bonus', 'waaaaw', '']")</f>
        <v>['promo', 'program', 'interesting', 'ngak', 'bonus', 'waaaaw', '']</v>
      </c>
      <c r="D71" s="3">
        <v>5.0</v>
      </c>
    </row>
    <row r="72" ht="15.75" customHeight="1">
      <c r="A72" s="1">
        <v>74.0</v>
      </c>
      <c r="B72" s="3" t="s">
        <v>73</v>
      </c>
      <c r="C72" s="3" t="str">
        <f>IFERROR(__xludf.DUMMYFUNCTION("GOOGLETRANSLATE(B72,""id"",""en"")"),"['The application', 'good', 'really', 'traksaksi', 'Telkomsel', 'easy', 'the application', 'complicated', 'lots',' promo ',' happy ',' really ',' success', '']")</f>
        <v>['The application', 'good', 'really', 'traksaksi', 'Telkomsel', 'easy', 'the application', 'complicated', 'lots',' promo ',' happy ',' really ',' success', '']</v>
      </c>
      <c r="D72" s="3">
        <v>5.0</v>
      </c>
    </row>
    <row r="73" ht="15.75" customHeight="1">
      <c r="A73" s="1">
        <v>75.0</v>
      </c>
      <c r="B73" s="3" t="s">
        <v>74</v>
      </c>
      <c r="C73" s="3" t="str">
        <f>IFERROR(__xludf.DUMMYFUNCTION("GOOGLETRANSLATE(B73,""id"",""en"")"),"['Ngaco']")</f>
        <v>['Ngaco']</v>
      </c>
      <c r="D73" s="3">
        <v>1.0</v>
      </c>
    </row>
    <row r="74" ht="15.75" customHeight="1">
      <c r="A74" s="1">
        <v>76.0</v>
      </c>
      <c r="B74" s="3" t="s">
        <v>75</v>
      </c>
      <c r="C74" s="3" t="str">
        <f>IFERROR(__xludf.DUMMYFUNCTION("GOOGLETRANSLATE(B74,""id"",""en"")"),"['Okk', 'easy']")</f>
        <v>['Okk', 'easy']</v>
      </c>
      <c r="D74" s="3">
        <v>5.0</v>
      </c>
    </row>
    <row r="75" ht="15.75" customHeight="1">
      <c r="A75" s="1">
        <v>78.0</v>
      </c>
      <c r="B75" s="3" t="s">
        <v>76</v>
      </c>
      <c r="C75" s="3" t="str">
        <f>IFERROR(__xludf.DUMMYFUNCTION("GOOGLETRANSLATE(B75,""id"",""en"")"),"['price', 'package', 'expensive', 'move', 'package', 'OMG', 'forced', 'subscribe', 'package', 'Disney', 'application', 'Disney', ' Come on ',' Eliminate ',' Package ',' Disney ',' Price ',' Package ',' Quota ',' Cheap ', ""]")</f>
        <v>['price', 'package', 'expensive', 'move', 'package', 'OMG', 'forced', 'subscribe', 'package', 'Disney', 'application', 'Disney', ' Come on ',' Eliminate ',' Package ',' Disney ',' Price ',' Package ',' Quota ',' Cheap ', "]</v>
      </c>
      <c r="D75" s="3">
        <v>1.0</v>
      </c>
    </row>
    <row r="76" ht="15.75" customHeight="1">
      <c r="A76" s="1">
        <v>79.0</v>
      </c>
      <c r="B76" s="3" t="s">
        <v>77</v>
      </c>
      <c r="C76" s="3" t="str">
        <f>IFERROR(__xludf.DUMMYFUNCTION("GOOGLETRANSLATE(B76,""id"",""en"")"),"['', 'trs', 'tngkan']")</f>
        <v>['', 'trs', 'tngkan']</v>
      </c>
      <c r="D76" s="3">
        <v>5.0</v>
      </c>
    </row>
    <row r="77" ht="15.75" customHeight="1">
      <c r="A77" s="1">
        <v>80.0</v>
      </c>
      <c r="B77" s="3" t="s">
        <v>78</v>
      </c>
      <c r="C77" s="3" t="str">
        <f>IFERROR(__xludf.DUMMYFUNCTION("GOOGLETRANSLATE(B77,""id"",""en"")"),"['Sometimes', 'error']")</f>
        <v>['Sometimes', 'error']</v>
      </c>
      <c r="D77" s="3">
        <v>5.0</v>
      </c>
    </row>
    <row r="78" ht="15.75" customHeight="1">
      <c r="A78" s="1">
        <v>81.0</v>
      </c>
      <c r="B78" s="3" t="s">
        <v>79</v>
      </c>
      <c r="C78" s="3" t="str">
        <f>IFERROR(__xludf.DUMMYFUNCTION("GOOGLETRANSLATE(B78,""id"",""en"")"),"['Alhamdulillah', 'Satisfied', 'Service']")</f>
        <v>['Alhamdulillah', 'Satisfied', 'Service']</v>
      </c>
      <c r="D78" s="3">
        <v>5.0</v>
      </c>
    </row>
    <row r="79" ht="15.75" customHeight="1">
      <c r="A79" s="1">
        <v>82.0</v>
      </c>
      <c r="B79" s="3" t="s">
        <v>80</v>
      </c>
      <c r="C79" s="3" t="str">
        <f>IFERROR(__xludf.DUMMYFUNCTION("GOOGLETRANSLATE(B79,""id"",""en"")"),"['Login', 'Difficult', 'Good']")</f>
        <v>['Login', 'Difficult', 'Good']</v>
      </c>
      <c r="D79" s="3">
        <v>4.0</v>
      </c>
    </row>
    <row r="80" ht="15.75" customHeight="1">
      <c r="A80" s="1">
        <v>83.0</v>
      </c>
      <c r="B80" s="3" t="s">
        <v>81</v>
      </c>
      <c r="C80" s="3" t="str">
        <f>IFERROR(__xludf.DUMMYFUNCTION("GOOGLETRANSLATE(B80,""id"",""en"")"),"['playing game', '']")</f>
        <v>['playing game', '']</v>
      </c>
      <c r="D80" s="3">
        <v>1.0</v>
      </c>
    </row>
    <row r="81" ht="15.75" customHeight="1">
      <c r="A81" s="1">
        <v>84.0</v>
      </c>
      <c r="B81" s="3" t="s">
        <v>82</v>
      </c>
      <c r="C81" s="3" t="str">
        <f>IFERROR(__xludf.DUMMYFUNCTION("GOOGLETRANSLATE(B81,""id"",""en"")"),"['Application', 'Cool', 'really', 'like']")</f>
        <v>['Application', 'Cool', 'really', 'like']</v>
      </c>
      <c r="D81" s="3">
        <v>5.0</v>
      </c>
    </row>
    <row r="82" ht="15.75" customHeight="1">
      <c r="A82" s="1">
        <v>85.0</v>
      </c>
      <c r="B82" s="3" t="s">
        <v>83</v>
      </c>
      <c r="C82" s="3" t="str">
        <f>IFERROR(__xludf.DUMMYFUNCTION("GOOGLETRANSLATE(B82,""id"",""en"")"),"['easy', 'buy', 'package', 'etc.']")</f>
        <v>['easy', 'buy', 'package', 'etc.']</v>
      </c>
      <c r="D82" s="3">
        <v>5.0</v>
      </c>
    </row>
    <row r="83" ht="15.75" customHeight="1">
      <c r="A83" s="1">
        <v>86.0</v>
      </c>
      <c r="B83" s="3" t="s">
        <v>84</v>
      </c>
      <c r="C83" s="3" t="str">
        <f>IFERROR(__xludf.DUMMYFUNCTION("GOOGLETRANSLATE(B83,""id"",""en"")"),"['Pulses', 'expensive', 'Network', 'ugly', 'Telkomsel', 'Kayak', 'Dibikin', 'Network', 'Good']")</f>
        <v>['Pulses', 'expensive', 'Network', 'ugly', 'Telkomsel', 'Kayak', 'Dibikin', 'Network', 'Good']</v>
      </c>
      <c r="D83" s="3">
        <v>1.0</v>
      </c>
    </row>
    <row r="84" ht="15.75" customHeight="1">
      <c r="A84" s="1">
        <v>88.0</v>
      </c>
      <c r="B84" s="3" t="s">
        <v>85</v>
      </c>
      <c r="C84" s="3" t="str">
        <f>IFERROR(__xludf.DUMMYFUNCTION("GOOGLETRANSLATE(B84,""id"",""en"")"),"['Really', 'Telkomsel', 'Best', 'People', 'Poor']")</f>
        <v>['Really', 'Telkomsel', 'Best', 'People', 'Poor']</v>
      </c>
      <c r="D84" s="3">
        <v>5.0</v>
      </c>
    </row>
    <row r="85" ht="15.75" customHeight="1">
      <c r="A85" s="1">
        <v>89.0</v>
      </c>
      <c r="B85" s="3" t="s">
        <v>86</v>
      </c>
      <c r="C85" s="3" t="str">
        <f>IFERROR(__xludf.DUMMYFUNCTION("GOOGLETRANSLATE(B85,""id"",""en"")"),"['difficult', 'transaction', 'failed', 'times', 'week']")</f>
        <v>['difficult', 'transaction', 'failed', 'times', 'week']</v>
      </c>
      <c r="D85" s="3">
        <v>3.0</v>
      </c>
    </row>
    <row r="86" ht="15.75" customHeight="1">
      <c r="A86" s="1">
        <v>90.0</v>
      </c>
      <c r="B86" s="3" t="s">
        <v>87</v>
      </c>
      <c r="C86" s="3" t="str">
        <f>IFERROR(__xludf.DUMMYFUNCTION("GOOGLETRANSLATE(B86,""id"",""en"")"),"['signal', 'Telkomsel', 'bad', 'already', 'package', 'expensive', 'package', 'weekly', 'mending', 'signal', 'good', 'bad', ' Daily ',' Check ',' Get ',' Bonus', 'Severe', 'Telkomsel', 'Change', 'Card', 'Gini', 'The story', 'mah']")</f>
        <v>['signal', 'Telkomsel', 'bad', 'already', 'package', 'expensive', 'package', 'weekly', 'mending', 'signal', 'good', 'bad', ' Daily ',' Check ',' Get ',' Bonus', 'Severe', 'Telkomsel', 'Change', 'Card', 'Gini', 'The story', 'mah']</v>
      </c>
      <c r="D86" s="3">
        <v>1.0</v>
      </c>
    </row>
    <row r="87" ht="15.75" customHeight="1">
      <c r="A87" s="1">
        <v>92.0</v>
      </c>
      <c r="B87" s="3" t="s">
        <v>88</v>
      </c>
      <c r="C87" s="3" t="str">
        <f>IFERROR(__xludf.DUMMYFUNCTION("GOOGLETRANSLATE(B87,""id"",""en"")"),"['Quality', 'Network', 'Internet', 'Lose', 'Yellow', 'Lemot']")</f>
        <v>['Quality', 'Network', 'Internet', 'Lose', 'Yellow', 'Lemot']</v>
      </c>
      <c r="D87" s="3">
        <v>1.0</v>
      </c>
    </row>
    <row r="88" ht="15.75" customHeight="1">
      <c r="A88" s="1">
        <v>93.0</v>
      </c>
      <c r="B88" s="3" t="s">
        <v>89</v>
      </c>
      <c r="C88" s="3" t="str">
        <f>IFERROR(__xludf.DUMMYFUNCTION("GOOGLETRANSLATE(B88,""id"",""en"")"),"['signal', 'ugly', 'update', 'mulu', ""]")</f>
        <v>['signal', 'ugly', 'update', 'mulu', "]</v>
      </c>
      <c r="D88" s="3">
        <v>1.0</v>
      </c>
    </row>
    <row r="89" ht="15.75" customHeight="1">
      <c r="A89" s="1">
        <v>94.0</v>
      </c>
      <c r="B89" s="3" t="s">
        <v>90</v>
      </c>
      <c r="C89" s="3" t="str">
        <f>IFERROR(__xludf.DUMMYFUNCTION("GOOGLETRANSLATE(B89,""id"",""en"")"),"['Telkomsel', 'Leading']")</f>
        <v>['Telkomsel', 'Leading']</v>
      </c>
      <c r="D89" s="3">
        <v>5.0</v>
      </c>
    </row>
    <row r="90" ht="15.75" customHeight="1">
      <c r="A90" s="1">
        <v>95.0</v>
      </c>
      <c r="B90" s="3" t="s">
        <v>91</v>
      </c>
      <c r="C90" s="3" t="str">
        <f>IFERROR(__xludf.DUMMYFUNCTION("GOOGLETRANSLATE(B90,""id"",""en"")"),"['Network', 'Lemott']")</f>
        <v>['Network', 'Lemott']</v>
      </c>
      <c r="D90" s="3">
        <v>1.0</v>
      </c>
    </row>
    <row r="91" ht="15.75" customHeight="1">
      <c r="A91" s="1">
        <v>96.0</v>
      </c>
      <c r="B91" s="3" t="s">
        <v>92</v>
      </c>
      <c r="C91" s="3" t="str">
        <f>IFERROR(__xludf.DUMMYFUNCTION("GOOGLETRANSLATE(B91,""id"",""en"")"),"['Application', 'Open']")</f>
        <v>['Application', 'Open']</v>
      </c>
      <c r="D91" s="3">
        <v>1.0</v>
      </c>
    </row>
    <row r="92" ht="15.75" customHeight="1">
      <c r="A92" s="1">
        <v>97.0</v>
      </c>
      <c r="B92" s="3" t="s">
        <v>93</v>
      </c>
      <c r="C92" s="3" t="str">
        <f>IFERROR(__xludf.DUMMYFUNCTION("GOOGLETRANSLATE(B92,""id"",""en"")"),"['Network', 'Please', 'Enhanced']")</f>
        <v>['Network', 'Please', 'Enhanced']</v>
      </c>
      <c r="D92" s="3">
        <v>5.0</v>
      </c>
    </row>
    <row r="93" ht="15.75" customHeight="1">
      <c r="A93" s="1">
        <v>98.0</v>
      </c>
      <c r="B93" s="3" t="s">
        <v>94</v>
      </c>
      <c r="C93" s="3" t="str">
        <f>IFERROR(__xludf.DUMMYFUNCTION("GOOGLETRANSLATE(B93,""id"",""en"")"),"['card', 'freak', 'play', 'game', 'northern', 'mulu', 'gini', 'go bankrupt', 'kau']")</f>
        <v>['card', 'freak', 'play', 'game', 'northern', 'mulu', 'gini', 'go bankrupt', 'kau']</v>
      </c>
      <c r="D93" s="3">
        <v>1.0</v>
      </c>
    </row>
    <row r="94" ht="15.75" customHeight="1">
      <c r="A94" s="1">
        <v>99.0</v>
      </c>
      <c r="B94" s="3" t="s">
        <v>95</v>
      </c>
      <c r="C94" s="3" t="str">
        <f>IFERROR(__xludf.DUMMYFUNCTION("GOOGLETRANSLATE(B94,""id"",""en"")"),"['Try', 'good', 'love', 'star', '']")</f>
        <v>['Try', 'good', 'love', 'star', '']</v>
      </c>
      <c r="D94" s="3">
        <v>3.0</v>
      </c>
    </row>
    <row r="95" ht="15.75" customHeight="1">
      <c r="A95" s="1">
        <v>100.0</v>
      </c>
      <c r="B95" s="3" t="s">
        <v>96</v>
      </c>
      <c r="C95" s="3" t="str">
        <f>IFERROR(__xludf.DUMMYFUNCTION("GOOGLETRANSLATE(B95,""id"",""en"")"),"['Service', 'Good', 'Not bad', 'EIMPLE', 'RIBET', 'EASY', 'VICT']")</f>
        <v>['Service', 'Good', 'Not bad', 'EIMPLE', 'RIBET', 'EASY', 'VICT']</v>
      </c>
      <c r="D95" s="3">
        <v>5.0</v>
      </c>
    </row>
    <row r="96" ht="15.75" customHeight="1">
      <c r="A96" s="1">
        <v>101.0</v>
      </c>
      <c r="B96" s="3" t="s">
        <v>97</v>
      </c>
      <c r="C96" s="3" t="str">
        <f>IFERROR(__xludf.DUMMYFUNCTION("GOOGLETRANSLATE(B96,""id"",""en"")"),"['network', 'Telkomsel', 'already', 'week', 'no', 'smooth', 'district', 'Agam', '']")</f>
        <v>['network', 'Telkomsel', 'already', 'week', 'no', 'smooth', 'district', 'Agam', '']</v>
      </c>
      <c r="D96" s="3">
        <v>5.0</v>
      </c>
    </row>
    <row r="97" ht="15.75" customHeight="1">
      <c r="A97" s="1">
        <v>102.0</v>
      </c>
      <c r="B97" s="3" t="s">
        <v>98</v>
      </c>
      <c r="C97" s="3" t="str">
        <f>IFERROR(__xludf.DUMMYFUNCTION("GOOGLETRANSLATE(B97,""id"",""en"")"),"['Out', 'update', 'opened', 'repeated', '']")</f>
        <v>['Out', 'update', 'opened', 'repeated', '']</v>
      </c>
      <c r="D97" s="3">
        <v>3.0</v>
      </c>
    </row>
    <row r="98" ht="15.75" customHeight="1">
      <c r="A98" s="1">
        <v>103.0</v>
      </c>
      <c r="B98" s="3" t="s">
        <v>99</v>
      </c>
      <c r="C98" s="3" t="str">
        <f>IFERROR(__xludf.DUMMYFUNCTION("GOOGLETRANSLATE(B98,""id"",""en"")"),"['how', 'as bushes', 'buy', 'package', 'expensive', 'price', 'Please', 'explanation']")</f>
        <v>['how', 'as bushes', 'buy', 'package', 'expensive', 'price', 'Please', 'explanation']</v>
      </c>
      <c r="D98" s="3">
        <v>4.0</v>
      </c>
    </row>
    <row r="99" ht="15.75" customHeight="1">
      <c r="A99" s="1">
        <v>106.0</v>
      </c>
      <c r="B99" s="3" t="s">
        <v>100</v>
      </c>
      <c r="C99" s="3" t="str">
        <f>IFERROR(__xludf.DUMMYFUNCTION("GOOGLETRANSLATE(B99,""id"",""en"")"),"['star']")</f>
        <v>['star']</v>
      </c>
      <c r="D99" s="3">
        <v>4.0</v>
      </c>
    </row>
    <row r="100" ht="15.75" customHeight="1">
      <c r="A100" s="1">
        <v>107.0</v>
      </c>
      <c r="B100" s="3" t="s">
        <v>101</v>
      </c>
      <c r="C100" s="3" t="str">
        <f>IFERROR(__xludf.DUMMYFUNCTION("GOOGLETRANSLATE(B100,""id"",""en"")"),"['', 'useful']")</f>
        <v>['', 'useful']</v>
      </c>
      <c r="D100" s="3">
        <v>5.0</v>
      </c>
    </row>
    <row r="101" ht="15.75" customHeight="1">
      <c r="A101" s="1">
        <v>108.0</v>
      </c>
      <c r="B101" s="3" t="s">
        <v>102</v>
      </c>
      <c r="C101" s="3" t="str">
        <f>IFERROR(__xludf.DUMMYFUNCTION("GOOGLETRANSLATE(B101,""id"",""en"")"),"['Please', 'Of Text']")</f>
        <v>['Please', 'Of Text']</v>
      </c>
      <c r="D101" s="3">
        <v>3.0</v>
      </c>
    </row>
    <row r="102" ht="15.75" customHeight="1">
      <c r="A102" s="1">
        <v>109.0</v>
      </c>
      <c r="B102" s="3" t="s">
        <v>103</v>
      </c>
      <c r="C102" s="3" t="str">
        <f>IFERROR(__xludf.DUMMYFUNCTION("GOOGLETRANSLATE(B102,""id"",""en"")"),"['times', 'get', 'Lottery', 'Telkomsel', 'Point', '']")</f>
        <v>['times', 'get', 'Lottery', 'Telkomsel', 'Point', '']</v>
      </c>
      <c r="D102" s="3">
        <v>5.0</v>
      </c>
    </row>
    <row r="103" ht="15.75" customHeight="1">
      <c r="A103" s="1">
        <v>110.0</v>
      </c>
      <c r="B103" s="3" t="s">
        <v>104</v>
      </c>
      <c r="C103" s="3" t="str">
        <f>IFERROR(__xludf.DUMMYFUNCTION("GOOGLETRANSLATE(B103,""id"",""en"")"),"['check', 'the application', 'quota', 'extra', 'right', 'claim', 'mulu', 'system', 'busy', 'turn', 'buy', 'packetan', ' Posts', 'System', 'Busy', 'Tipu', 'Tipu', 'Males',' liedure ', ""]")</f>
        <v>['check', 'the application', 'quota', 'extra', 'right', 'claim', 'mulu', 'system', 'busy', 'turn', 'buy', 'packetan', ' Posts', 'System', 'Busy', 'Tipu', 'Tipu', 'Males',' liedure ', "]</v>
      </c>
      <c r="D103" s="3">
        <v>1.0</v>
      </c>
    </row>
    <row r="104" ht="15.75" customHeight="1">
      <c r="A104" s="1">
        <v>111.0</v>
      </c>
      <c r="B104" s="3" t="s">
        <v>105</v>
      </c>
      <c r="C104" s="3" t="str">
        <f>IFERROR(__xludf.DUMMYFUNCTION("GOOGLETRANSLATE(B104,""id"",""en"")"),"['Good', 'makes it easy', 'complete', 'Simple', 'makes it easy', 'counter']")</f>
        <v>['Good', 'makes it easy', 'complete', 'Simple', 'makes it easy', 'counter']</v>
      </c>
      <c r="D104" s="3">
        <v>5.0</v>
      </c>
    </row>
    <row r="105" ht="15.75" customHeight="1">
      <c r="A105" s="1">
        <v>112.0</v>
      </c>
      <c r="B105" s="3" t="s">
        <v>106</v>
      </c>
      <c r="C105" s="3" t="str">
        <f>IFERROR(__xludf.DUMMYFUNCTION("GOOGLETRANSLATE(B105,""id"",""en"")"),"['signal']")</f>
        <v>['signal']</v>
      </c>
      <c r="D105" s="3">
        <v>2.0</v>
      </c>
    </row>
    <row r="106" ht="15.75" customHeight="1">
      <c r="A106" s="1">
        <v>113.0</v>
      </c>
      <c r="B106" s="3" t="s">
        <v>107</v>
      </c>
      <c r="C106" s="3" t="str">
        <f>IFERROR(__xludf.DUMMYFUNCTION("GOOGLETRANSLATE(B106,""id"",""en"")"),"['quota', 'free']")</f>
        <v>['quota', 'free']</v>
      </c>
      <c r="D106" s="3">
        <v>4.0</v>
      </c>
    </row>
    <row r="107" ht="15.75" customHeight="1">
      <c r="A107" s="1">
        <v>114.0</v>
      </c>
      <c r="B107" s="3" t="s">
        <v>108</v>
      </c>
      <c r="C107" s="3" t="str">
        <f>IFERROR(__xludf.DUMMYFUNCTION("GOOGLETRANSLATE(B107,""id"",""en"")"),"['Update', 'confused', 'buy', 'package', 'call']")</f>
        <v>['Update', 'confused', 'buy', 'package', 'call']</v>
      </c>
      <c r="D107" s="3">
        <v>1.0</v>
      </c>
    </row>
    <row r="108" ht="15.75" customHeight="1">
      <c r="A108" s="1">
        <v>115.0</v>
      </c>
      <c r="B108" s="3" t="s">
        <v>109</v>
      </c>
      <c r="C108" s="3" t="str">
        <f>IFERROR(__xludf.DUMMYFUNCTION("GOOGLETRANSLATE(B108,""id"",""en"")"),"['return', 'credit', 'rb', 'udh', 'contents',' package ',' rb ',' mb ',' access', 'internet', 'access',' internet ',' package ',' automatic ',' pulse ',' rb ',' ptong ']")</f>
        <v>['return', 'credit', 'rb', 'udh', 'contents',' package ',' rb ',' mb ',' access', 'internet', 'access',' internet ',' package ',' automatic ',' pulse ',' rb ',' ptong ']</v>
      </c>
      <c r="D108" s="3">
        <v>1.0</v>
      </c>
    </row>
    <row r="109" ht="15.75" customHeight="1">
      <c r="A109" s="1">
        <v>116.0</v>
      </c>
      <c r="B109" s="3" t="s">
        <v>110</v>
      </c>
      <c r="C109" s="3" t="str">
        <f>IFERROR(__xludf.DUMMYFUNCTION("GOOGLETRANSLATE(B109,""id"",""en"")"),"['Severe', 'quota', 'youtube']")</f>
        <v>['Severe', 'quota', 'youtube']</v>
      </c>
      <c r="D109" s="3">
        <v>1.0</v>
      </c>
    </row>
    <row r="110" ht="15.75" customHeight="1">
      <c r="A110" s="1">
        <v>117.0</v>
      </c>
      <c r="B110" s="3" t="s">
        <v>111</v>
      </c>
      <c r="C110" s="3" t="str">
        <f>IFERROR(__xludf.DUMMYFUNCTION("GOOGLETRANSLATE(B110,""id"",""en"")"),"['bug', 'update', 'the latest', 'how', 'solution', 'mentally', 'slide']")</f>
        <v>['bug', 'update', 'the latest', 'how', 'solution', 'mentally', 'slide']</v>
      </c>
      <c r="D110" s="3">
        <v>1.0</v>
      </c>
    </row>
    <row r="111" ht="15.75" customHeight="1">
      <c r="A111" s="1">
        <v>118.0</v>
      </c>
      <c r="B111" s="3" t="s">
        <v>112</v>
      </c>
      <c r="C111" s="3" t="str">
        <f>IFERROR(__xludf.DUMMYFUNCTION("GOOGLETRANSLATE(B111,""id"",""en"")"),"['bad connection', '']")</f>
        <v>['bad connection', '']</v>
      </c>
      <c r="D111" s="3">
        <v>1.0</v>
      </c>
    </row>
    <row r="112" ht="15.75" customHeight="1">
      <c r="A112" s="1">
        <v>119.0</v>
      </c>
      <c r="B112" s="3" t="s">
        <v>113</v>
      </c>
      <c r="C112" s="3" t="str">
        <f>IFERROR(__xludf.DUMMYFUNCTION("GOOGLETRANSLATE(B112,""id"",""en"")"),"['No', 'promo']")</f>
        <v>['No', 'promo']</v>
      </c>
      <c r="D112" s="3">
        <v>5.0</v>
      </c>
    </row>
    <row r="113" ht="15.75" customHeight="1">
      <c r="A113" s="1">
        <v>120.0</v>
      </c>
      <c r="B113" s="3" t="s">
        <v>114</v>
      </c>
      <c r="C113" s="3" t="str">
        <f>IFERROR(__xludf.DUMMYFUNCTION("GOOGLETRANSLATE(B113,""id"",""en"")"),"['Network', 'Ngentod', 'Where']")</f>
        <v>['Network', 'Ngentod', 'Where']</v>
      </c>
      <c r="D113" s="3">
        <v>1.0</v>
      </c>
    </row>
    <row r="114" ht="15.75" customHeight="1">
      <c r="A114" s="1">
        <v>121.0</v>
      </c>
      <c r="B114" s="3" t="s">
        <v>115</v>
      </c>
      <c r="C114" s="3" t="str">
        <f>IFERROR(__xludf.DUMMYFUNCTION("GOOGLETRANSLATE(B114,""id"",""en"")"),"['happy', 'pembatan', 'quota', 'internet', 'cheap']")</f>
        <v>['happy', 'pembatan', 'quota', 'internet', 'cheap']</v>
      </c>
      <c r="D114" s="3">
        <v>5.0</v>
      </c>
    </row>
    <row r="115" ht="15.75" customHeight="1">
      <c r="A115" s="1">
        <v>122.0</v>
      </c>
      <c r="B115" s="3" t="s">
        <v>116</v>
      </c>
      <c r="C115" s="3" t="str">
        <f>IFERROR(__xludf.DUMMYFUNCTION("GOOGLETRANSLATE(B115,""id"",""en"")"),"['signal', 'ugly', 'knp', 'pulse', 'reduced', 'package', 'internet', 'msh', '']")</f>
        <v>['signal', 'ugly', 'knp', 'pulse', 'reduced', 'package', 'internet', 'msh', '']</v>
      </c>
      <c r="D115" s="3">
        <v>1.0</v>
      </c>
    </row>
    <row r="116" ht="15.75" customHeight="1">
      <c r="A116" s="1">
        <v>124.0</v>
      </c>
      <c r="B116" s="3" t="s">
        <v>117</v>
      </c>
      <c r="C116" s="3" t="str">
        <f>IFERROR(__xludf.DUMMYFUNCTION("GOOGLETRANSLATE(B116,""id"",""en"")"),"['The network', 'pig']")</f>
        <v>['The network', 'pig']</v>
      </c>
      <c r="D116" s="3">
        <v>1.0</v>
      </c>
    </row>
    <row r="117" ht="15.75" customHeight="1">
      <c r="A117" s="1">
        <v>125.0</v>
      </c>
      <c r="B117" s="3" t="s">
        <v>118</v>
      </c>
      <c r="C117" s="3" t="str">
        <f>IFERROR(__xludf.DUMMYFUNCTION("GOOGLETRANSLATE(B117,""id"",""en"")"),"['', 'Application', 'foster', 'pig']")</f>
        <v>['', 'Application', 'foster', 'pig']</v>
      </c>
      <c r="D117" s="3">
        <v>5.0</v>
      </c>
    </row>
    <row r="118" ht="15.75" customHeight="1">
      <c r="A118" s="1">
        <v>126.0</v>
      </c>
      <c r="B118" s="3" t="s">
        <v>119</v>
      </c>
      <c r="C118" s="3" t="str">
        <f>IFERROR(__xludf.DUMMYFUNCTION("GOOGLETRANSLATE(B118,""id"",""en"")"),"['already', 'price', 'package', 'expensive', 'quota', 'little', 'network', 'bad', 'price', 'expensive', 'quality', 'worth', ' Advantages', 'thought out', 'quality', 'network', 'perore']")</f>
        <v>['already', 'price', 'package', 'expensive', 'quota', 'little', 'network', 'bad', 'price', 'expensive', 'quality', 'worth', ' Advantages', 'thought out', 'quality', 'network', 'perore']</v>
      </c>
      <c r="D118" s="3">
        <v>1.0</v>
      </c>
    </row>
    <row r="119" ht="15.75" customHeight="1">
      <c r="A119" s="1">
        <v>127.0</v>
      </c>
      <c r="B119" s="3" t="s">
        <v>120</v>
      </c>
      <c r="C119" s="3" t="str">
        <f>IFERROR(__xludf.DUMMYFUNCTION("GOOGLETRANSLATE(B119,""id"",""en"")"),"['service', 'bad', 'response', 'solve', 'no "",' need ',' speech ',' pulse ',' cheek ',' automatic ',' day ',' no ',' Feel ',' subscribe ',' ']")</f>
        <v>['service', 'bad', 'response', 'solve', 'no ",' need ',' speech ',' pulse ',' cheek ',' automatic ',' day ',' no ',' Feel ',' subscribe ',' ']</v>
      </c>
      <c r="D119" s="3">
        <v>1.0</v>
      </c>
    </row>
    <row r="120" ht="15.75" customHeight="1">
      <c r="A120" s="1">
        <v>128.0</v>
      </c>
      <c r="B120" s="3" t="s">
        <v>121</v>
      </c>
      <c r="C120" s="3" t="str">
        <f>IFERROR(__xludf.DUMMYFUNCTION("GOOGLETRANSLATE(B120,""id"",""en"")"),"['Delusing', 'Data', 'Telkomsel', 'Downlod', 'Application', 'Telkomsel', 'Branda', 'Ngak', 'That's',' Knpa ',' Min ',' Gmna ',' Min ',' ']")</f>
        <v>['Delusing', 'Data', 'Telkomsel', 'Downlod', 'Application', 'Telkomsel', 'Branda', 'Ngak', 'That's',' Knpa ',' Min ',' Gmna ',' Min ',' ']</v>
      </c>
      <c r="D120" s="3">
        <v>5.0</v>
      </c>
    </row>
    <row r="121" ht="15.75" customHeight="1">
      <c r="A121" s="1">
        <v>129.0</v>
      </c>
      <c r="B121" s="3" t="s">
        <v>122</v>
      </c>
      <c r="C121" s="3" t="str">
        <f>IFERROR(__xludf.DUMMYFUNCTION("GOOGLETRANSLATE(B121,""id"",""en"")"),"['Please', 'multiplied', 'discount', 'quota', 'good', 'Jobb', '']")</f>
        <v>['Please', 'multiplied', 'discount', 'quota', 'good', 'Jobb', '']</v>
      </c>
      <c r="D121" s="3">
        <v>5.0</v>
      </c>
    </row>
    <row r="122" ht="15.75" customHeight="1">
      <c r="A122" s="1">
        <v>130.0</v>
      </c>
      <c r="B122" s="3" t="s">
        <v>123</v>
      </c>
      <c r="C122" s="3" t="str">
        <f>IFERROR(__xludf.DUMMYFUNCTION("GOOGLETRANSLATE(B122,""id"",""en"")"),"['network', 'Telkomsel', 'bad', 'hope', 'Telkomsel', 'service', 'public', 'believe', 'community', 'improvement', 'greetings',' respect ',' ']")</f>
        <v>['network', 'Telkomsel', 'bad', 'hope', 'Telkomsel', 'service', 'public', 'believe', 'community', 'improvement', 'greetings',' respect ',' ']</v>
      </c>
      <c r="D122" s="3">
        <v>1.0</v>
      </c>
    </row>
    <row r="123" ht="15.75" customHeight="1">
      <c r="A123" s="1">
        <v>131.0</v>
      </c>
      <c r="B123" s="3" t="s">
        <v>124</v>
      </c>
      <c r="C123" s="3" t="str">
        <f>IFERROR(__xludf.DUMMYFUNCTION("GOOGLETRANSLATE(B123,""id"",""en"")"),"['Disappointed', 'Daily', 'check', 'reset', 'check', 'repeated', 'please', 'fix', 'bug', 'Telkomsel']")</f>
        <v>['Disappointed', 'Daily', 'check', 'reset', 'check', 'repeated', 'please', 'fix', 'bug', 'Telkomsel']</v>
      </c>
      <c r="D123" s="3">
        <v>5.0</v>
      </c>
    </row>
    <row r="124" ht="15.75" customHeight="1">
      <c r="A124" s="1">
        <v>132.0</v>
      </c>
      <c r="B124" s="3" t="s">
        <v>125</v>
      </c>
      <c r="C124" s="3" t="str">
        <f>IFERROR(__xludf.DUMMYFUNCTION("GOOGLETRANSLATE(B124,""id"",""en"")"),"['Trimakasih', 'Aplekasi', 'Sya', 'Check', 'City', 'Telkomzel', 'Extraordinary']")</f>
        <v>['Trimakasih', 'Aplekasi', 'Sya', 'Check', 'City', 'Telkomzel', 'Extraordinary']</v>
      </c>
      <c r="D124" s="3">
        <v>5.0</v>
      </c>
    </row>
    <row r="125" ht="15.75" customHeight="1">
      <c r="A125" s="1">
        <v>133.0</v>
      </c>
      <c r="B125" s="3" t="s">
        <v>126</v>
      </c>
      <c r="C125" s="3" t="str">
        <f>IFERROR(__xludf.DUMMYFUNCTION("GOOGLETRANSLATE(B125,""id"",""en"")"),"['Telkomsel', 'Gini', 'yaa', 'pulse', 'sumps',' continued ',' run out ',' claim ',' giga ',' notification ',' pulse ',' run out ',' Dizziness', 'Telkomsel', 'Disappointed', '']")</f>
        <v>['Telkomsel', 'Gini', 'yaa', 'pulse', 'sumps',' continued ',' run out ',' claim ',' giga ',' notification ',' pulse ',' run out ',' Dizziness', 'Telkomsel', 'Disappointed', '']</v>
      </c>
      <c r="D125" s="3">
        <v>4.0</v>
      </c>
    </row>
    <row r="126" ht="15.75" customHeight="1">
      <c r="A126" s="1">
        <v>134.0</v>
      </c>
      <c r="B126" s="3" t="s">
        <v>127</v>
      </c>
      <c r="C126" s="3" t="str">
        <f>IFERROR(__xludf.DUMMYFUNCTION("GOOGLETRANSLATE(B126,""id"",""en"")"),"['apk', 'ugly', 'bangett', 'tpi', 'boong']")</f>
        <v>['apk', 'ugly', 'bangett', 'tpi', 'boong']</v>
      </c>
      <c r="D126" s="3">
        <v>5.0</v>
      </c>
    </row>
    <row r="127" ht="15.75" customHeight="1">
      <c r="A127" s="1">
        <v>135.0</v>
      </c>
      <c r="B127" s="3" t="s">
        <v>128</v>
      </c>
      <c r="C127" s="3" t="str">
        <f>IFERROR(__xludf.DUMMYFUNCTION("GOOGLETRANSLATE(B127,""id"",""en"")"),"['love', 'star', 'card', 'SIM', 'expensive', 'package', 'nelfon', 'expectation', 'hope', 'Telkomsel', 'less',' price ',' Package ',' Nelfonya ',' ']")</f>
        <v>['love', 'star', 'card', 'SIM', 'expensive', 'package', 'nelfon', 'expectation', 'hope', 'Telkomsel', 'less',' price ',' Package ',' Nelfonya ',' ']</v>
      </c>
      <c r="D127" s="3">
        <v>3.0</v>
      </c>
    </row>
    <row r="128" ht="15.75" customHeight="1">
      <c r="A128" s="1">
        <v>136.0</v>
      </c>
      <c r="B128" s="3" t="s">
        <v>129</v>
      </c>
      <c r="C128" s="3" t="str">
        <f>IFERROR(__xludf.DUMMYFUNCTION("GOOGLETRANSLATE(B128,""id"",""en"")"),"['like', 'Applakan']")</f>
        <v>['like', 'Applakan']</v>
      </c>
      <c r="D128" s="3">
        <v>5.0</v>
      </c>
    </row>
    <row r="129" ht="15.75" customHeight="1">
      <c r="A129" s="1">
        <v>137.0</v>
      </c>
      <c r="B129" s="3" t="s">
        <v>130</v>
      </c>
      <c r="C129" s="3" t="str">
        <f>IFERROR(__xludf.DUMMYFUNCTION("GOOGLETRANSLATE(B129,""id"",""en"")"),"['solution', 'data', 'run out', 'bgmn', 'buy', 'package', 'application', '']")</f>
        <v>['solution', 'data', 'run out', 'bgmn', 'buy', 'package', 'application', '']</v>
      </c>
      <c r="D129" s="3">
        <v>1.0</v>
      </c>
    </row>
    <row r="130" ht="15.75" customHeight="1">
      <c r="A130" s="1">
        <v>138.0</v>
      </c>
      <c r="B130" s="3" t="s">
        <v>131</v>
      </c>
      <c r="C130" s="3" t="str">
        <f>IFERROR(__xludf.DUMMYFUNCTION("GOOGLETRANSLATE(B130,""id"",""en"")"),"['Help', 'accuracy', 'efficient', 'consumer', ""]")</f>
        <v>['Help', 'accuracy', 'efficient', 'consumer', "]</v>
      </c>
      <c r="D130" s="3">
        <v>5.0</v>
      </c>
    </row>
    <row r="131" ht="15.75" customHeight="1">
      <c r="A131" s="1">
        <v>139.0</v>
      </c>
      <c r="B131" s="3" t="s">
        <v>132</v>
      </c>
      <c r="C131" s="3" t="str">
        <f>IFERROR(__xludf.DUMMYFUNCTION("GOOGLETRANSLATE(B131,""id"",""en"")"),"['already', 'update', 'MyTelkomsel', 'blank', 'white', 'network', 'slow', 'right', 'city', 'chaotic', 'here', 'bad', ' quality', '']")</f>
        <v>['already', 'update', 'MyTelkomsel', 'blank', 'white', 'network', 'slow', 'right', 'city', 'chaotic', 'here', 'bad', ' quality', '']</v>
      </c>
      <c r="D131" s="3">
        <v>1.0</v>
      </c>
    </row>
    <row r="132" ht="15.75" customHeight="1">
      <c r="A132" s="1">
        <v>140.0</v>
      </c>
      <c r="B132" s="3" t="s">
        <v>133</v>
      </c>
      <c r="C132" s="3" t="str">
        <f>IFERROR(__xludf.DUMMYFUNCTION("GOOGLETRANSLATE(B132,""id"",""en"")"),"['signal', 'rusaakkk', 'quota', 'problematic', 'already', 'buy', 'quota', 'unlimited', 'right', 'package', 'main', ' Anjg ',' emang ',' telkontod ']")</f>
        <v>['signal', 'rusaakkk', 'quota', 'problematic', 'already', 'buy', 'quota', 'unlimited', 'right', 'package', 'main', ' Anjg ',' emang ',' telkontod ']</v>
      </c>
      <c r="D132" s="3">
        <v>1.0</v>
      </c>
    </row>
    <row r="133" ht="15.75" customHeight="1">
      <c r="A133" s="1">
        <v>141.0</v>
      </c>
      <c r="B133" s="3" t="s">
        <v>134</v>
      </c>
      <c r="C133" s="3" t="str">
        <f>IFERROR(__xludf.DUMMYFUNCTION("GOOGLETRANSLATE(B133,""id"",""en"")"),"['quota', 'watch', 'no']")</f>
        <v>['quota', 'watch', 'no']</v>
      </c>
      <c r="D133" s="3">
        <v>3.0</v>
      </c>
    </row>
    <row r="134" ht="15.75" customHeight="1">
      <c r="A134" s="1">
        <v>142.0</v>
      </c>
      <c r="B134" s="3" t="s">
        <v>135</v>
      </c>
      <c r="C134" s="3" t="str">
        <f>IFERROR(__xludf.DUMMYFUNCTION("GOOGLETRANSLATE(B134,""id"",""en"")"),"['mantaaaaaaaaap', 'just']")</f>
        <v>['mantaaaaaaaaap', 'just']</v>
      </c>
      <c r="D134" s="3">
        <v>5.0</v>
      </c>
    </row>
    <row r="135" ht="15.75" customHeight="1">
      <c r="A135" s="1">
        <v>143.0</v>
      </c>
      <c r="B135" s="3" t="s">
        <v>136</v>
      </c>
      <c r="C135" s="3" t="str">
        <f>IFERROR(__xludf.DUMMYFUNCTION("GOOGLETRANSLATE(B135,""id"",""en"")"),"['Package', 'already', 'expensive', 'network', 'broken']")</f>
        <v>['Package', 'already', 'expensive', 'network', 'broken']</v>
      </c>
      <c r="D135" s="3">
        <v>1.0</v>
      </c>
    </row>
    <row r="136" ht="15.75" customHeight="1">
      <c r="A136" s="1">
        <v>144.0</v>
      </c>
      <c r="B136" s="3" t="s">
        <v>137</v>
      </c>
      <c r="C136" s="3" t="str">
        <f>IFERROR(__xludf.DUMMYFUNCTION("GOOGLETRANSLATE(B136,""id"",""en"")"),"['Stay', 'Pride', 'Negeri', '']")</f>
        <v>['Stay', 'Pride', 'Negeri', '']</v>
      </c>
      <c r="D136" s="3">
        <v>5.0</v>
      </c>
    </row>
    <row r="137" ht="15.75" customHeight="1">
      <c r="A137" s="1">
        <v>145.0</v>
      </c>
      <c r="B137" s="3" t="s">
        <v>138</v>
      </c>
      <c r="C137" s="3" t="str">
        <f>IFERROR(__xludf.DUMMYFUNCTION("GOOGLETRANSLATE(B137,""id"",""en"")"),"['Restless',' Karna ',' buy ',' pulse ',' thousand ',' buy ',' package ',' price ',' thousand ',' knp ',' left ',' pulses', ' sufficient ',' total ',' nominal ',' pulse ',' thousand ',' please ',' obstacle ']")</f>
        <v>['Restless',' Karna ',' buy ',' pulse ',' thousand ',' buy ',' package ',' price ',' thousand ',' knp ',' left ',' pulses', ' sufficient ',' total ',' nominal ',' pulse ',' thousand ',' please ',' obstacle ']</v>
      </c>
      <c r="D137" s="3">
        <v>1.0</v>
      </c>
    </row>
    <row r="138" ht="15.75" customHeight="1">
      <c r="A138" s="1">
        <v>146.0</v>
      </c>
      <c r="B138" s="3" t="s">
        <v>139</v>
      </c>
      <c r="C138" s="3" t="str">
        <f>IFERROR(__xludf.DUMMYFUNCTION("GOOGLETRANSLATE(B138,""id"",""en"")"),"['Signal', 'good', 'on the road', 'toll']")</f>
        <v>['Signal', 'good', 'on the road', 'toll']</v>
      </c>
      <c r="D138" s="3">
        <v>5.0</v>
      </c>
    </row>
    <row r="139" ht="15.75" customHeight="1">
      <c r="A139" s="1">
        <v>147.0</v>
      </c>
      <c r="B139" s="3" t="s">
        <v>140</v>
      </c>
      <c r="C139" s="3" t="str">
        <f>IFERROR(__xludf.DUMMYFUNCTION("GOOGLETRANSLATE(B139,""id"",""en"")"),"['application', 'buy', 'pusa', 'turn off', 'data', 'enter', 'pulse', 'list', 'package', 'pulse', 'cheek', 'continuous',' Disappointed ',' Please ',' Increase ',' Application ']")</f>
        <v>['application', 'buy', 'pusa', 'turn off', 'data', 'enter', 'pulse', 'list', 'package', 'pulse', 'cheek', 'continuous',' Disappointed ',' Please ',' Increase ',' Application ']</v>
      </c>
      <c r="D139" s="3">
        <v>1.0</v>
      </c>
    </row>
    <row r="140" ht="15.75" customHeight="1">
      <c r="A140" s="1">
        <v>148.0</v>
      </c>
      <c r="B140" s="3" t="s">
        <v>141</v>
      </c>
      <c r="C140" s="3" t="str">
        <f>IFERROR(__xludf.DUMMYFUNCTION("GOOGLETRANSLATE(B140,""id"",""en"")"),"['Disappointed', 'Application', 'Pay', 'Bill', 'Card', 'Hello', 'Link', 'Entering', 'Bill', 'Application', 'Telkomsel', 'Increases',' ']")</f>
        <v>['Disappointed', 'Application', 'Pay', 'Bill', 'Card', 'Hello', 'Link', 'Entering', 'Bill', 'Application', 'Telkomsel', 'Increases',' ']</v>
      </c>
      <c r="D140" s="3">
        <v>1.0</v>
      </c>
    </row>
    <row r="141" ht="15.75" customHeight="1">
      <c r="A141" s="1">
        <v>150.0</v>
      </c>
      <c r="B141" s="3" t="s">
        <v>142</v>
      </c>
      <c r="C141" s="3" t="str">
        <f>IFERROR(__xludf.DUMMYFUNCTION("GOOGLETRANSLATE(B141,""id"",""en"")"),"['Apasih', 'run out', 'top', 'buy', 'package', 'gabisa', 'strange', 'top', 'buy', 'package', 'disorder', 'system', ' Credit ',' missing ']")</f>
        <v>['Apasih', 'run out', 'top', 'buy', 'package', 'gabisa', 'strange', 'top', 'buy', 'package', 'disorder', 'system', ' Credit ',' missing ']</v>
      </c>
      <c r="D141" s="3">
        <v>1.0</v>
      </c>
    </row>
    <row r="142" ht="15.75" customHeight="1">
      <c r="A142" s="1">
        <v>151.0</v>
      </c>
      <c r="B142" s="3" t="s">
        <v>143</v>
      </c>
      <c r="C142" s="3" t="str">
        <f>IFERROR(__xludf.DUMMYFUNCTION("GOOGLETRANSLATE(B142,""id"",""en"")"),"['I', 'play', 'game', 'signal', 'ngeleg', 'me', 'love', 'star']")</f>
        <v>['I', 'play', 'game', 'signal', 'ngeleg', 'me', 'love', 'star']</v>
      </c>
      <c r="D142" s="3">
        <v>1.0</v>
      </c>
    </row>
    <row r="143" ht="15.75" customHeight="1">
      <c r="A143" s="1">
        <v>152.0</v>
      </c>
      <c r="B143" s="3" t="s">
        <v>144</v>
      </c>
      <c r="C143" s="3" t="str">
        <f>IFERROR(__xludf.DUMMYFUNCTION("GOOGLETRANSLATE(B143,""id"",""en"")"),"['Application', 'Open', 'Mending', 'Install']")</f>
        <v>['Application', 'Open', 'Mending', 'Install']</v>
      </c>
      <c r="D143" s="3">
        <v>1.0</v>
      </c>
    </row>
    <row r="144" ht="15.75" customHeight="1">
      <c r="A144" s="1">
        <v>153.0</v>
      </c>
      <c r="B144" s="3" t="s">
        <v>145</v>
      </c>
      <c r="C144" s="3" t="str">
        <f>IFERROR(__xludf.DUMMYFUNCTION("GOOGLETRANSLATE(B144,""id"",""en"")"),"['Change', 'card', 'serve', 'broken']")</f>
        <v>['Change', 'card', 'serve', 'broken']</v>
      </c>
      <c r="D144" s="3">
        <v>5.0</v>
      </c>
    </row>
    <row r="145" ht="15.75" customHeight="1">
      <c r="A145" s="1">
        <v>154.0</v>
      </c>
      <c r="B145" s="3" t="s">
        <v>146</v>
      </c>
      <c r="C145" s="3" t="str">
        <f>IFERROR(__xludf.DUMMYFUNCTION("GOOGLETRANSLATE(B145,""id"",""en"")"),"['Package', 'Data', 'expensive', '']")</f>
        <v>['Package', 'Data', 'expensive', '']</v>
      </c>
      <c r="D145" s="3">
        <v>4.0</v>
      </c>
    </row>
    <row r="146" ht="15.75" customHeight="1">
      <c r="A146" s="1">
        <v>155.0</v>
      </c>
      <c r="B146" s="3" t="s">
        <v>147</v>
      </c>
      <c r="C146" s="3" t="str">
        <f>IFERROR(__xludf.DUMMYFUNCTION("GOOGLETRANSLATE(B146,""id"",""en"")"),"['Cool', 'ngak']")</f>
        <v>['Cool', 'ngak']</v>
      </c>
      <c r="D146" s="3">
        <v>2.0</v>
      </c>
    </row>
    <row r="147" ht="15.75" customHeight="1">
      <c r="A147" s="1">
        <v>156.0</v>
      </c>
      <c r="B147" s="3" t="s">
        <v>148</v>
      </c>
      <c r="C147" s="3" t="str">
        <f>IFERROR(__xludf.DUMMYFUNCTION("GOOGLETRANSLATE(B147,""id"",""en"")"),"['Change', 'signal', 'difficult', 'how', ""]")</f>
        <v>['Change', 'signal', 'difficult', 'how', "]</v>
      </c>
      <c r="D147" s="3">
        <v>2.0</v>
      </c>
    </row>
    <row r="148" ht="15.75" customHeight="1">
      <c r="A148" s="1">
        <v>157.0</v>
      </c>
      <c r="B148" s="3" t="s">
        <v>149</v>
      </c>
      <c r="C148" s="3" t="str">
        <f>IFERROR(__xludf.DUMMYFUNCTION("GOOGLETRANSLATE(B148,""id"",""en"")"),"['Star', 'package', 'unlimited', 'price']")</f>
        <v>['Star', 'package', 'unlimited', 'price']</v>
      </c>
      <c r="D148" s="3">
        <v>3.0</v>
      </c>
    </row>
    <row r="149" ht="15.75" customHeight="1">
      <c r="A149" s="1">
        <v>158.0</v>
      </c>
      <c r="B149" s="3" t="s">
        <v>150</v>
      </c>
      <c r="C149" s="3" t="str">
        <f>IFERROR(__xludf.DUMMYFUNCTION("GOOGLETRANSLATE(B149,""id"",""en"")"),"['Please', 'Benerin', 'Network', 'Telkomsel']")</f>
        <v>['Please', 'Benerin', 'Network', 'Telkomsel']</v>
      </c>
      <c r="D149" s="3">
        <v>1.0</v>
      </c>
    </row>
    <row r="150" ht="15.75" customHeight="1">
      <c r="A150" s="1">
        <v>159.0</v>
      </c>
      <c r="B150" s="3" t="s">
        <v>151</v>
      </c>
      <c r="C150" s="3" t="str">
        <f>IFERROR(__xludf.DUMMYFUNCTION("GOOGLETRANSLATE(B150,""id"",""en"")"),"['Lumping', 'Kouta', 'Ribet', 'quota', 'local', 'quota', 'video', 'rempong', 'ngeselin', 'Different', 'city', 'already', ' NGK ',' Dipake ',' expensive ',' ']")</f>
        <v>['Lumping', 'Kouta', 'Ribet', 'quota', 'local', 'quota', 'video', 'rempong', 'ngeselin', 'Different', 'city', 'already', ' NGK ',' Dipake ',' expensive ',' ']</v>
      </c>
      <c r="D150" s="3">
        <v>1.0</v>
      </c>
    </row>
    <row r="151" ht="15.75" customHeight="1">
      <c r="A151" s="1">
        <v>160.0</v>
      </c>
      <c r="B151" s="3" t="s">
        <v>152</v>
      </c>
      <c r="C151" s="3" t="str">
        <f>IFERROR(__xludf.DUMMYFUNCTION("GOOGLETRANSLATE(B151,""id"",""en"")"),"['Network', 'Telkomsel', 'Real', 'Quality', 'UDH', 'Costs', 'Packages', 'Expensive', 'Customers', 'Satisfied', ""]")</f>
        <v>['Network', 'Telkomsel', 'Real', 'Quality', 'UDH', 'Costs', 'Packages', 'Expensive', 'Customers', 'Satisfied', "]</v>
      </c>
      <c r="D151" s="3">
        <v>1.0</v>
      </c>
    </row>
    <row r="152" ht="15.75" customHeight="1">
      <c r="A152" s="1">
        <v>161.0</v>
      </c>
      <c r="B152" s="3" t="s">
        <v>153</v>
      </c>
      <c r="C152" s="3" t="str">
        <f>IFERROR(__xludf.DUMMYFUNCTION("GOOGLETRANSLATE(B152,""id"",""en"")"),"['Stop', 'Spread', 'Advertising', 'Advertising', 'Promo', 'Tinyak', 'Rely on', 'Think', 'Provider', 'Legend', 'Worth', 'Use', ' Track ',' Location ',' Liat ',' Condition ',' Service ',' Signal ',' BURIK ',' ']")</f>
        <v>['Stop', 'Spread', 'Advertising', 'Advertising', 'Promo', 'Tinyak', 'Rely on', 'Think', 'Provider', 'Legend', 'Worth', 'Use', ' Track ',' Location ',' Liat ',' Condition ',' Service ',' Signal ',' BURIK ',' ']</v>
      </c>
      <c r="D152" s="3">
        <v>1.0</v>
      </c>
    </row>
    <row r="153" ht="15.75" customHeight="1">
      <c r="A153" s="1">
        <v>163.0</v>
      </c>
      <c r="B153" s="3" t="s">
        <v>154</v>
      </c>
      <c r="C153" s="3" t="str">
        <f>IFERROR(__xludf.DUMMYFUNCTION("GOOGLETRANSLATE(B153,""id"",""en"")"),"['Trimaxi', 'Telkomsel', 'Hopefully', 'in the future', 'features', 'interesting', 'Telkomsel', '']")</f>
        <v>['Trimaxi', 'Telkomsel', 'Hopefully', 'in the future', 'features', 'interesting', 'Telkomsel', '']</v>
      </c>
      <c r="D153" s="3">
        <v>5.0</v>
      </c>
    </row>
    <row r="154" ht="15.75" customHeight="1">
      <c r="A154" s="1">
        <v>164.0</v>
      </c>
      <c r="B154" s="3" t="s">
        <v>155</v>
      </c>
      <c r="C154" s="3" t="str">
        <f>IFERROR(__xludf.DUMMYFUNCTION("GOOGLETRANSLATE(B154,""id"",""en"")"),"['Love', 'Control', 'Credit', 'Credit', 'Cut', 'Use', 'Lost', 'Provider', 'Next "",' Use ',' Control ',' Credit ',' ']")</f>
        <v>['Love', 'Control', 'Credit', 'Credit', 'Cut', 'Use', 'Lost', 'Provider', 'Next ",' Use ',' Control ',' Credit ',' ']</v>
      </c>
      <c r="D154" s="3">
        <v>4.0</v>
      </c>
    </row>
    <row r="155" ht="15.75" customHeight="1">
      <c r="A155" s="1">
        <v>165.0</v>
      </c>
      <c r="B155" s="3" t="s">
        <v>156</v>
      </c>
      <c r="C155" s="3" t="str">
        <f>IFERROR(__xludf.DUMMYFUNCTION("GOOGLETRANSLATE(B155,""id"",""en"")"),"['fast', 'fix', 'donk', 'yes', 'delete', 'data', 'entry', 'application', 'Telkomsel', ""]")</f>
        <v>['fast', 'fix', 'donk', 'yes', 'delete', 'data', 'entry', 'application', 'Telkomsel', "]</v>
      </c>
      <c r="D155" s="3">
        <v>1.0</v>
      </c>
    </row>
    <row r="156" ht="15.75" customHeight="1">
      <c r="A156" s="1">
        <v>166.0</v>
      </c>
      <c r="B156" s="3" t="s">
        <v>157</v>
      </c>
      <c r="C156" s="3" t="str">
        <f>IFERROR(__xludf.DUMMYFUNCTION("GOOGLETRANSLATE(B156,""id"",""en"")"),"['network', 'abal', ""]")</f>
        <v>['network', 'abal', "]</v>
      </c>
      <c r="D156" s="3">
        <v>1.0</v>
      </c>
    </row>
    <row r="157" ht="15.75" customHeight="1">
      <c r="A157" s="1">
        <v>167.0</v>
      </c>
      <c r="B157" s="3" t="s">
        <v>158</v>
      </c>
      <c r="C157" s="3" t="str">
        <f>IFERROR(__xludf.DUMMYFUNCTION("GOOGLETRANSLATE(B157,""id"",""en"")"),"['Useful', 'Useful']")</f>
        <v>['Useful', 'Useful']</v>
      </c>
      <c r="D157" s="3">
        <v>5.0</v>
      </c>
    </row>
    <row r="158" ht="15.75" customHeight="1">
      <c r="A158" s="1">
        <v>168.0</v>
      </c>
      <c r="B158" s="3" t="s">
        <v>159</v>
      </c>
      <c r="C158" s="3" t="str">
        <f>IFERROR(__xludf.DUMMYFUNCTION("GOOGLETRANSLATE(B158,""id"",""en"")"),"['Telkomsel', 'good']")</f>
        <v>['Telkomsel', 'good']</v>
      </c>
      <c r="D158" s="3">
        <v>5.0</v>
      </c>
    </row>
    <row r="159" ht="15.75" customHeight="1">
      <c r="A159" s="1">
        <v>169.0</v>
      </c>
      <c r="B159" s="3" t="s">
        <v>160</v>
      </c>
      <c r="C159" s="3" t="str">
        <f>IFERROR(__xludf.DUMMYFUNCTION("GOOGLETRANSLATE(B159,""id"",""en"")"),"['Use', 'Telkomsel', 'Region', 'Sukabumi', 'The network', 'ugly', 'signal', 'slow', 'used', 'play', 'mobile', 'Legend', ' Ngellag ',' use ',' Play ',' Video ',' Lemot ',' No ',' Road ',' Road ',' Recommendation ',' Region ',' Sukabumi ',' Use ',' Indosat "&amp;"' , 'Good', 'Telkomsel', 'Jakarta', 'Banten', 'Bandar', 'Lampung', 'Okay', 'Good', 'Region', 'Sukabumi', 'ugly', 'really', ' already ',' package ',' expensive ',' used ',' loss']")</f>
        <v>['Use', 'Telkomsel', 'Region', 'Sukabumi', 'The network', 'ugly', 'signal', 'slow', 'used', 'play', 'mobile', 'Legend', ' Ngellag ',' use ',' Play ',' Video ',' Lemot ',' No ',' Road ',' Road ',' Recommendation ',' Region ',' Sukabumi ',' Use ',' Indosat ' , 'Good', 'Telkomsel', 'Jakarta', 'Banten', 'Bandar', 'Lampung', 'Okay', 'Good', 'Region', 'Sukabumi', 'ugly', 'really', ' already ',' package ',' expensive ',' used ',' loss']</v>
      </c>
      <c r="D159" s="3">
        <v>1.0</v>
      </c>
    </row>
    <row r="160" ht="15.75" customHeight="1">
      <c r="A160" s="1">
        <v>170.0</v>
      </c>
      <c r="B160" s="3" t="s">
        <v>161</v>
      </c>
      <c r="C160" s="3" t="str">
        <f>IFERROR(__xludf.DUMMYFUNCTION("GOOGLETRANSLATE(B160,""id"",""en"")"),"['Telkomsel', 'Dear', 'just', 'Need', 'Speed', 'Network', 'Stabilan', 'Network']")</f>
        <v>['Telkomsel', 'Dear', 'just', 'Need', 'Speed', 'Network', 'Stabilan', 'Network']</v>
      </c>
      <c r="D160" s="3">
        <v>1.0</v>
      </c>
    </row>
    <row r="161" ht="15.75" customHeight="1">
      <c r="A161" s="1">
        <v>171.0</v>
      </c>
      <c r="B161" s="3" t="s">
        <v>162</v>
      </c>
      <c r="C161" s="3" t="str">
        <f>IFERROR(__xludf.DUMMYFUNCTION("GOOGLETRANSLATE(B161,""id"",""en"")"),"['Network', 'Sometimes', 'Sometimes', 'What', 'Please', 'Benerin']")</f>
        <v>['Network', 'Sometimes', 'Sometimes', 'What', 'Please', 'Benerin']</v>
      </c>
      <c r="D161" s="3">
        <v>1.0</v>
      </c>
    </row>
    <row r="162" ht="15.75" customHeight="1">
      <c r="A162" s="1">
        <v>172.0</v>
      </c>
      <c r="B162" s="3" t="s">
        <v>163</v>
      </c>
      <c r="C162" s="3" t="str">
        <f>IFERROR(__xludf.DUMMYFUNCTION("GOOGLETRANSLATE(B162,""id"",""en"")"),"['Network', 'Lemoot', 'Paketan', 'Uda', 'expensive', 'The network', 'rotatekk']")</f>
        <v>['Network', 'Lemoot', 'Paketan', 'Uda', 'expensive', 'The network', 'rotatekk']</v>
      </c>
      <c r="D162" s="3">
        <v>1.0</v>
      </c>
    </row>
    <row r="163" ht="15.75" customHeight="1">
      <c r="A163" s="1">
        <v>173.0</v>
      </c>
      <c r="B163" s="3" t="s">
        <v>164</v>
      </c>
      <c r="C163" s="3" t="str">
        <f>IFERROR(__xludf.DUMMYFUNCTION("GOOGLETRANSLATE(B163,""id"",""en"")"),"['Jaringn', 'Moga', '']")</f>
        <v>['Jaringn', 'Moga', '']</v>
      </c>
      <c r="D163" s="3">
        <v>5.0</v>
      </c>
    </row>
    <row r="164" ht="15.75" customHeight="1">
      <c r="A164" s="1">
        <v>174.0</v>
      </c>
      <c r="B164" s="3" t="s">
        <v>165</v>
      </c>
      <c r="C164" s="3" t="str">
        <f>IFERROR(__xludf.DUMMYFUNCTION("GOOGLETRANSLATE(B164,""id"",""en"")"),"['pig', 'pulse', 'cut']")</f>
        <v>['pig', 'pulse', 'cut']</v>
      </c>
      <c r="D164" s="3">
        <v>1.0</v>
      </c>
    </row>
    <row r="165" ht="15.75" customHeight="1">
      <c r="A165" s="1">
        <v>175.0</v>
      </c>
      <c r="B165" s="3" t="s">
        <v>166</v>
      </c>
      <c r="C165" s="3" t="str">
        <f>IFERROR(__xludf.DUMMYFUNCTION("GOOGLETRANSLATE(B165,""id"",""en"")"),"['steady', 'steady', 'soul']")</f>
        <v>['steady', 'steady', 'soul']</v>
      </c>
      <c r="D165" s="3">
        <v>5.0</v>
      </c>
    </row>
    <row r="166" ht="15.75" customHeight="1">
      <c r="A166" s="1">
        <v>176.0</v>
      </c>
      <c r="B166" s="3" t="s">
        <v>167</v>
      </c>
      <c r="C166" s="3" t="str">
        <f>IFERROR(__xludf.DUMMYFUNCTION("GOOGLETRANSLATE(B166,""id"",""en"")"),"['sippp', 'multiply', 'promo', 'package', 'internet', 'yaaa', '']")</f>
        <v>['sippp', 'multiply', 'promo', 'package', 'internet', 'yaaa', '']</v>
      </c>
      <c r="D166" s="3">
        <v>5.0</v>
      </c>
    </row>
    <row r="167" ht="15.75" customHeight="1">
      <c r="A167" s="1">
        <v>177.0</v>
      </c>
      <c r="B167" s="3" t="s">
        <v>168</v>
      </c>
      <c r="C167" s="3" t="str">
        <f>IFERROR(__xludf.DUMMYFUNCTION("GOOGLETRANSLATE(B167,""id"",""en"")"),"['Satisfied', 'buy', 'package']")</f>
        <v>['Satisfied', 'buy', 'package']</v>
      </c>
      <c r="D167" s="3">
        <v>5.0</v>
      </c>
    </row>
    <row r="168" ht="15.75" customHeight="1">
      <c r="A168" s="1">
        <v>178.0</v>
      </c>
      <c r="B168" s="3" t="s">
        <v>169</v>
      </c>
      <c r="C168" s="3" t="str">
        <f>IFERROR(__xludf.DUMMYFUNCTION("GOOGLETRANSLATE(B168,""id"",""en"")"),"['Exchange', 'Telkomsel', 'Points', 'Package', 'Internet', 'Clickbait', 'Improved', 'Downloader', 'APK', 'Yes', 'Really', 'Disappointing']")</f>
        <v>['Exchange', 'Telkomsel', 'Points', 'Package', 'Internet', 'Clickbait', 'Improved', 'Downloader', 'APK', 'Yes', 'Really', 'Disappointing']</v>
      </c>
      <c r="D168" s="3">
        <v>1.0</v>
      </c>
    </row>
    <row r="169" ht="15.75" customHeight="1">
      <c r="A169" s="1">
        <v>179.0</v>
      </c>
      <c r="B169" s="3" t="s">
        <v>170</v>
      </c>
      <c r="C169" s="3" t="str">
        <f>IFERROR(__xludf.DUMMYFUNCTION("GOOGLETRANSLATE(B169,""id"",""en"")"),"['hours', 'slow', 'nauzubillah']")</f>
        <v>['hours', 'slow', 'nauzubillah']</v>
      </c>
      <c r="D169" s="3">
        <v>1.0</v>
      </c>
    </row>
    <row r="170" ht="15.75" customHeight="1">
      <c r="A170" s="1">
        <v>180.0</v>
      </c>
      <c r="B170" s="3" t="s">
        <v>171</v>
      </c>
      <c r="C170" s="3" t="str">
        <f>IFERROR(__xludf.DUMMYFUNCTION("GOOGLETRANSLATE(B170,""id"",""en"")"),"['appl', 'good']")</f>
        <v>['appl', 'good']</v>
      </c>
      <c r="D170" s="3">
        <v>5.0</v>
      </c>
    </row>
    <row r="171" ht="15.75" customHeight="1">
      <c r="A171" s="1">
        <v>181.0</v>
      </c>
      <c r="B171" s="3" t="s">
        <v>172</v>
      </c>
      <c r="C171" s="3" t="str">
        <f>IFERROR(__xludf.DUMMYFUNCTION("GOOGLETRANSLATE(B171,""id"",""en"")"),"['Hasted', 'because', 'balance', 'pulse', 'sllu', 'truncated', 'dng', 'telkomsel']")</f>
        <v>['Hasted', 'because', 'balance', 'pulse', 'sllu', 'truncated', 'dng', 'telkomsel']</v>
      </c>
      <c r="D171" s="3">
        <v>1.0</v>
      </c>
    </row>
    <row r="172" ht="15.75" customHeight="1">
      <c r="A172" s="1">
        <v>182.0</v>
      </c>
      <c r="B172" s="3" t="s">
        <v>173</v>
      </c>
      <c r="C172" s="3" t="str">
        <f>IFERROR(__xludf.DUMMYFUNCTION("GOOGLETRANSLATE(B172,""id"",""en"")"),"['', 'transfer', 'pulse']")</f>
        <v>['', 'transfer', 'pulse']</v>
      </c>
      <c r="D172" s="3">
        <v>1.0</v>
      </c>
    </row>
    <row r="173" ht="15.75" customHeight="1">
      <c r="A173" s="1">
        <v>183.0</v>
      </c>
      <c r="B173" s="3" t="s">
        <v>174</v>
      </c>
      <c r="C173" s="3" t="str">
        <f>IFERROR(__xludf.DUMMYFUNCTION("GOOGLETRANSLATE(B173,""id"",""en"")"),"['Package', 'multimedia', 'chat', 'video', 'msh', 'minus', 'package', 'main', 'next door', 'package', 'expensive']")</f>
        <v>['Package', 'multimedia', 'chat', 'video', 'msh', 'minus', 'package', 'main', 'next door', 'package', 'expensive']</v>
      </c>
      <c r="D173" s="3">
        <v>1.0</v>
      </c>
    </row>
    <row r="174" ht="15.75" customHeight="1">
      <c r="A174" s="1">
        <v>184.0</v>
      </c>
      <c r="B174" s="3" t="s">
        <v>175</v>
      </c>
      <c r="C174" s="3" t="str">
        <f>IFERROR(__xludf.DUMMYFUNCTION("GOOGLETRANSLATE(B174,""id"",""en"")"),"['Organized', 'Hallo']")</f>
        <v>['Organized', 'Hallo']</v>
      </c>
      <c r="D174" s="3">
        <v>5.0</v>
      </c>
    </row>
    <row r="175" ht="15.75" customHeight="1">
      <c r="A175" s="1">
        <v>185.0</v>
      </c>
      <c r="B175" s="3" t="s">
        <v>176</v>
      </c>
      <c r="C175" s="3" t="str">
        <f>IFERROR(__xludf.DUMMYFUNCTION("GOOGLETRANSLATE(B175,""id"",""en"")"),"['applicationx', 'good', 'klu', 'data', 'check', '']")</f>
        <v>['applicationx', 'good', 'klu', 'data', 'check', '']</v>
      </c>
      <c r="D175" s="3">
        <v>4.0</v>
      </c>
    </row>
    <row r="176" ht="15.75" customHeight="1">
      <c r="A176" s="1">
        <v>186.0</v>
      </c>
      <c r="B176" s="3" t="s">
        <v>177</v>
      </c>
      <c r="C176" s="3" t="str">
        <f>IFERROR(__xludf.DUMMYFUNCTION("GOOGLETRANSLATE(B176,""id"",""en"")"),"['version', 'Open']")</f>
        <v>['version', 'Open']</v>
      </c>
      <c r="D176" s="3">
        <v>4.0</v>
      </c>
    </row>
    <row r="177" ht="15.75" customHeight="1">
      <c r="A177" s="1">
        <v>187.0</v>
      </c>
      <c r="B177" s="3" t="s">
        <v>178</v>
      </c>
      <c r="C177" s="3" t="str">
        <f>IFERROR(__xludf.DUMMYFUNCTION("GOOGLETRANSLATE(B177,""id"",""en"")"),"['Blokk', 'Nape', 'package', 'expensive']")</f>
        <v>['Blokk', 'Nape', 'package', 'expensive']</v>
      </c>
      <c r="D177" s="3">
        <v>1.0</v>
      </c>
    </row>
    <row r="178" ht="15.75" customHeight="1">
      <c r="A178" s="1">
        <v>188.0</v>
      </c>
      <c r="B178" s="3" t="s">
        <v>179</v>
      </c>
      <c r="C178" s="3" t="str">
        <f>IFERROR(__xludf.DUMMYFUNCTION("GOOGLETRANSLATE(B178,""id"",""en"")"),"['Telkomsel', 'great', 'trimakasih', 'accompany']")</f>
        <v>['Telkomsel', 'great', 'trimakasih', 'accompany']</v>
      </c>
      <c r="D178" s="3">
        <v>5.0</v>
      </c>
    </row>
    <row r="179" ht="15.75" customHeight="1">
      <c r="A179" s="1">
        <v>189.0</v>
      </c>
      <c r="B179" s="3" t="s">
        <v>180</v>
      </c>
      <c r="C179" s="3" t="str">
        <f>IFERROR(__xludf.DUMMYFUNCTION("GOOGLETRANSLATE(B179,""id"",""en"")"),"['hopefully']")</f>
        <v>['hopefully']</v>
      </c>
      <c r="D179" s="3">
        <v>4.0</v>
      </c>
    </row>
    <row r="180" ht="15.75" customHeight="1">
      <c r="A180" s="1">
        <v>190.0</v>
      </c>
      <c r="B180" s="3" t="s">
        <v>181</v>
      </c>
      <c r="C180" s="3" t="str">
        <f>IFERROR(__xludf.DUMMYFUNCTION("GOOGLETRANSLATE(B180,""id"",""en"")"),"['dead', 'lights',' network ',' signal ',' bad ',' Telkomsel ',' best ',' easy ',' hopefully ',' Telkomsel ',' data ',' internet ',' unlimited ',' cheapest ',' affordable ',' community ']")</f>
        <v>['dead', 'lights',' network ',' signal ',' bad ',' Telkomsel ',' best ',' easy ',' hopefully ',' Telkomsel ',' data ',' internet ',' unlimited ',' cheapest ',' affordable ',' community ']</v>
      </c>
      <c r="D180" s="3">
        <v>5.0</v>
      </c>
    </row>
    <row r="181" ht="15.75" customHeight="1">
      <c r="A181" s="1">
        <v>191.0</v>
      </c>
      <c r="B181" s="3" t="s">
        <v>182</v>
      </c>
      <c r="C181" s="3" t="str">
        <f>IFERROR(__xludf.DUMMYFUNCTION("GOOGLETRANSLATE(B181,""id"",""en"")"),"['thank', 'love', 'already', 'fix', 'application', 'klw', 'application', 'simple', 'Alhamdulillah', 'satisfied', 'application', '']")</f>
        <v>['thank', 'love', 'already', 'fix', 'application', 'klw', 'application', 'simple', 'Alhamdulillah', 'satisfied', 'application', '']</v>
      </c>
      <c r="D181" s="3">
        <v>5.0</v>
      </c>
    </row>
    <row r="182" ht="15.75" customHeight="1">
      <c r="A182" s="1">
        <v>192.0</v>
      </c>
      <c r="B182" s="3" t="s">
        <v>183</v>
      </c>
      <c r="C182" s="3" t="str">
        <f>IFERROR(__xludf.DUMMYFUNCTION("GOOGLETRANSLATE(B182,""id"",""en"")"),"['Disappointed', 'Telkomsel', 'Dilapidated', 'The Network']")</f>
        <v>['Disappointed', 'Telkomsel', 'Dilapidated', 'The Network']</v>
      </c>
      <c r="D182" s="3">
        <v>1.0</v>
      </c>
    </row>
    <row r="183" ht="15.75" customHeight="1">
      <c r="A183" s="1">
        <v>193.0</v>
      </c>
      <c r="B183" s="3" t="s">
        <v>184</v>
      </c>
      <c r="C183" s="3" t="str">
        <f>IFERROR(__xludf.DUMMYFUNCTION("GOOGLETRANSLATE(B183,""id"",""en"")"),"['ugly', 'signal']")</f>
        <v>['ugly', 'signal']</v>
      </c>
      <c r="D183" s="3">
        <v>1.0</v>
      </c>
    </row>
    <row r="184" ht="15.75" customHeight="1">
      <c r="A184" s="1">
        <v>194.0</v>
      </c>
      <c r="B184" s="3" t="s">
        <v>185</v>
      </c>
      <c r="C184" s="3" t="str">
        <f>IFERROR(__xludf.DUMMYFUNCTION("GOOGLETRANSLATE(B184,""id"",""en"")"),"['', 'Indonesia', 'Telkomsel', 'Forever', 'Ilove', 'Telkomsel', '']")</f>
        <v>['', 'Indonesia', 'Telkomsel', 'Forever', 'Ilove', 'Telkomsel', '']</v>
      </c>
      <c r="D184" s="3">
        <v>5.0</v>
      </c>
    </row>
    <row r="185" ht="15.75" customHeight="1">
      <c r="A185" s="1">
        <v>195.0</v>
      </c>
      <c r="B185" s="3" t="s">
        <v>186</v>
      </c>
      <c r="C185" s="3" t="str">
        <f>IFERROR(__xludf.DUMMYFUNCTION("GOOGLETRANSLATE(B185,""id"",""en"")"),"['Goblog', 'Package', 'Main', 'Login', 'Game', 'Play', 'Network', 'Reconect', 'Out', 'Match', 'Finish', 'Reconect', ' Cave ',' Ngebug ',' right ',' Change ',' Data ',' Card ',' Current ',' Times', 'Telkom', 'Severe', ""]")</f>
        <v>['Goblog', 'Package', 'Main', 'Login', 'Game', 'Play', 'Network', 'Reconect', 'Out', 'Match', 'Finish', 'Reconect', ' Cave ',' Ngebug ',' right ',' Change ',' Data ',' Card ',' Current ',' Times', 'Telkom', 'Severe', "]</v>
      </c>
      <c r="D185" s="3">
        <v>1.0</v>
      </c>
    </row>
    <row r="186" ht="15.75" customHeight="1">
      <c r="A186" s="1">
        <v>196.0</v>
      </c>
      <c r="B186" s="3" t="s">
        <v>187</v>
      </c>
      <c r="C186" s="3" t="str">
        <f>IFERROR(__xludf.DUMMYFUNCTION("GOOGLETRANSLATE(B186,""id"",""en"")"),"['Network', 'Internet', 'night', 'stable']")</f>
        <v>['Network', 'Internet', 'night', 'stable']</v>
      </c>
      <c r="D186" s="3">
        <v>5.0</v>
      </c>
    </row>
    <row r="187" ht="15.75" customHeight="1">
      <c r="A187" s="1">
        <v>198.0</v>
      </c>
      <c r="B187" s="3" t="s">
        <v>188</v>
      </c>
      <c r="C187" s="3" t="str">
        <f>IFERROR(__xludf.DUMMYFUNCTION("GOOGLETRANSLATE(B187,""id"",""en"")"),"['Telkomsel', 'Network', 'Stable', 'Play', 'Game', 'Quota', 'Internet', 'Please', 'Repaired', 'Comfort', 'Consumer', ""]")</f>
        <v>['Telkomsel', 'Network', 'Stable', 'Play', 'Game', 'Quota', 'Internet', 'Please', 'Repaired', 'Comfort', 'Consumer', "]</v>
      </c>
      <c r="D187" s="3">
        <v>2.0</v>
      </c>
    </row>
    <row r="188" ht="15.75" customHeight="1">
      <c r="A188" s="1">
        <v>199.0</v>
      </c>
      <c r="B188" s="3" t="s">
        <v>189</v>
      </c>
      <c r="C188" s="3" t="str">
        <f>IFERROR(__xludf.DUMMYFUNCTION("GOOGLETRANSLATE(B188,""id"",""en"")"),"['Telkomsel', 'sucks',' yaa ',' contents', 'pulse', 'dri', 'app', 'mytel', 'gbsa', 'contents',' quota ',' gbsa ',' Haduuhhh ',' Really ',' Bad ']")</f>
        <v>['Telkomsel', 'sucks',' yaa ',' contents', 'pulse', 'dri', 'app', 'mytel', 'gbsa', 'contents',' quota ',' gbsa ',' Haduuhhh ',' Really ',' Bad ']</v>
      </c>
      <c r="D188" s="3">
        <v>1.0</v>
      </c>
    </row>
    <row r="189" ht="15.75" customHeight="1">
      <c r="A189" s="1">
        <v>200.0</v>
      </c>
      <c r="B189" s="3" t="s">
        <v>190</v>
      </c>
      <c r="C189" s="3" t="str">
        <f>IFERROR(__xludf.DUMMYFUNCTION("GOOGLETRANSLATE(B189,""id"",""en"")"),"['Good', 'save', 'fun']")</f>
        <v>['Good', 'save', 'fun']</v>
      </c>
      <c r="D189" s="3">
        <v>5.0</v>
      </c>
    </row>
    <row r="190" ht="15.75" customHeight="1">
      <c r="A190" s="1">
        <v>201.0</v>
      </c>
      <c r="B190" s="3" t="s">
        <v>191</v>
      </c>
      <c r="C190" s="3" t="str">
        <f>IFERROR(__xludf.DUMMYFUNCTION("GOOGLETRANSLATE(B190,""id"",""en"")"),"['Network', 'it's better', 'the application', 'opened', '']")</f>
        <v>['Network', 'it's better', 'the application', 'opened', '']</v>
      </c>
      <c r="D190" s="3">
        <v>4.0</v>
      </c>
    </row>
    <row r="191" ht="15.75" customHeight="1">
      <c r="A191" s="1">
        <v>202.0</v>
      </c>
      <c r="B191" s="3" t="s">
        <v>192</v>
      </c>
      <c r="C191" s="3" t="str">
        <f>IFERROR(__xludf.DUMMYFUNCTION("GOOGLETRANSLATE(B191,""id"",""en"")"),"['Application', 'open', 'Sunday']")</f>
        <v>['Application', 'open', 'Sunday']</v>
      </c>
      <c r="D191" s="3">
        <v>4.0</v>
      </c>
    </row>
    <row r="192" ht="15.75" customHeight="1">
      <c r="A192" s="1">
        <v>204.0</v>
      </c>
      <c r="B192" s="3" t="s">
        <v>193</v>
      </c>
      <c r="C192" s="3" t="str">
        <f>IFERROR(__xludf.DUMMYFUNCTION("GOOGLETRANSLATE(B192,""id"",""en"")"),"['Sorry', 'here', 'Telkomsel', 'Ribet', 'tlng']")</f>
        <v>['Sorry', 'here', 'Telkomsel', 'Ribet', 'tlng']</v>
      </c>
      <c r="D192" s="3">
        <v>5.0</v>
      </c>
    </row>
    <row r="193" ht="15.75" customHeight="1">
      <c r="A193" s="1">
        <v>205.0</v>
      </c>
      <c r="B193" s="3" t="s">
        <v>194</v>
      </c>
      <c r="C193" s="3" t="str">
        <f>IFERROR(__xludf.DUMMYFUNCTION("GOOGLETRANSLATE(B193,""id"",""en"")"),"['Satisfied', 'Service', 'Telkomsel']")</f>
        <v>['Satisfied', 'Service', 'Telkomsel']</v>
      </c>
      <c r="D193" s="3">
        <v>5.0</v>
      </c>
    </row>
    <row r="194" ht="15.75" customHeight="1">
      <c r="A194" s="1">
        <v>206.0</v>
      </c>
      <c r="B194" s="3" t="s">
        <v>195</v>
      </c>
      <c r="C194" s="3" t="str">
        <f>IFERROR(__xludf.DUMMYFUNCTION("GOOGLETRANSLATE(B194,""id"",""en"")"),"['emang', 'operator', 'telek', 'buy', 'package', 'abis', 'at the beginning', 'mah', 'date', 'ngk', 'taik', 'telkomsel']")</f>
        <v>['emang', 'operator', 'telek', 'buy', 'package', 'abis', 'at the beginning', 'mah', 'date', 'ngk', 'taik', 'telkomsel']</v>
      </c>
      <c r="D194" s="3">
        <v>1.0</v>
      </c>
    </row>
    <row r="195" ht="15.75" customHeight="1">
      <c r="A195" s="1">
        <v>207.0</v>
      </c>
      <c r="B195" s="3" t="s">
        <v>196</v>
      </c>
      <c r="C195" s="3" t="str">
        <f>IFERROR(__xludf.DUMMYFUNCTION("GOOGLETRANSLATE(B195,""id"",""en"")"),"['package', 'expensive', 'standard', 'high school', 'quality', 'signal', 'area', 'sometimes',' like ',' disorder ',' please ',' enhanced ',' quality ',' signal ',' user ',' satisfied ',' service ',' Telkomsel ']")</f>
        <v>['package', 'expensive', 'standard', 'high school', 'quality', 'signal', 'area', 'sometimes',' like ',' disorder ',' please ',' enhanced ',' quality ',' signal ',' user ',' satisfied ',' service ',' Telkomsel ']</v>
      </c>
      <c r="D195" s="3">
        <v>3.0</v>
      </c>
    </row>
    <row r="196" ht="15.75" customHeight="1">
      <c r="A196" s="1">
        <v>208.0</v>
      </c>
      <c r="B196" s="3" t="s">
        <v>197</v>
      </c>
      <c r="C196" s="3" t="str">
        <f>IFERROR(__xludf.DUMMYFUNCTION("GOOGLETRANSLATE(B196,""id"",""en"")"),"['How', 'buy', 'package', 'data', 'nggk', 'enter']")</f>
        <v>['How', 'buy', 'package', 'data', 'nggk', 'enter']</v>
      </c>
      <c r="D196" s="3">
        <v>1.0</v>
      </c>
    </row>
    <row r="197" ht="15.75" customHeight="1">
      <c r="A197" s="1">
        <v>209.0</v>
      </c>
      <c r="B197" s="3" t="s">
        <v>198</v>
      </c>
      <c r="C197" s="3" t="str">
        <f>IFERROR(__xludf.DUMMYFUNCTION("GOOGLETRANSLATE(B197,""id"",""en"")"),"['application', 'already', 'good', 'complaints',' minus', 'really', 'response', 'slow', 'really', 'solution', 'menu', 'bot', ' help']")</f>
        <v>['application', 'already', 'good', 'complaints',' minus', 'really', 'response', 'slow', 'really', 'solution', 'menu', 'bot', ' help']</v>
      </c>
      <c r="D197" s="3">
        <v>1.0</v>
      </c>
    </row>
    <row r="198" ht="15.75" customHeight="1">
      <c r="A198" s="1">
        <v>210.0</v>
      </c>
      <c r="B198" s="3" t="s">
        <v>199</v>
      </c>
      <c r="C198" s="3" t="str">
        <f>IFERROR(__xludf.DUMMYFUNCTION("GOOGLETRANSLATE(B198,""id"",""en"")"),"['hope', 'blessing', 'amen']")</f>
        <v>['hope', 'blessing', 'amen']</v>
      </c>
      <c r="D198" s="3">
        <v>5.0</v>
      </c>
    </row>
    <row r="199" ht="15.75" customHeight="1">
      <c r="A199" s="1">
        <v>211.0</v>
      </c>
      <c r="B199" s="3" t="s">
        <v>200</v>
      </c>
      <c r="C199" s="3" t="str">
        <f>IFERROR(__xludf.DUMMYFUNCTION("GOOGLETRANSLATE(B199,""id"",""en"")"),"['network', 'slow', 'really', 'appl', 'already', 'month', 'opened', 'operator', 'AFK', 'service', 'told', 'try', ' BBRP ',' garbage ',' Bener ']")</f>
        <v>['network', 'slow', 'really', 'appl', 'already', 'month', 'opened', 'operator', 'AFK', 'service', 'told', 'try', ' BBRP ',' garbage ',' Bener ']</v>
      </c>
      <c r="D199" s="3">
        <v>1.0</v>
      </c>
    </row>
    <row r="200" ht="15.75" customHeight="1">
      <c r="A200" s="1">
        <v>212.0</v>
      </c>
      <c r="B200" s="3" t="s">
        <v>201</v>
      </c>
      <c r="C200" s="3" t="str">
        <f>IFERROR(__xludf.DUMMYFUNCTION("GOOGLETRANSLATE(B200,""id"",""en"")"),"['Disappointed', 'Customer', 'loyal', 'package', 'internet', ""]")</f>
        <v>['Disappointed', 'Customer', 'loyal', 'package', 'internet', "]</v>
      </c>
      <c r="D200" s="3">
        <v>1.0</v>
      </c>
    </row>
    <row r="201" ht="15.75" customHeight="1">
      <c r="A201" s="1">
        <v>213.0</v>
      </c>
      <c r="B201" s="3" t="s">
        <v>202</v>
      </c>
      <c r="C201" s="3" t="str">
        <f>IFERROR(__xludf.DUMMYFUNCTION("GOOGLETRANSLATE(B201,""id"",""en"")"),"['Good', 'Bangat', 'Application', 'Tap', 'Direct', 'Thank you', 'Telkomsel', '']")</f>
        <v>['Good', 'Bangat', 'Application', 'Tap', 'Direct', 'Thank you', 'Telkomsel', '']</v>
      </c>
      <c r="D201" s="3">
        <v>4.0</v>
      </c>
    </row>
    <row r="202" ht="15.75" customHeight="1">
      <c r="A202" s="1">
        <v>214.0</v>
      </c>
      <c r="B202" s="3" t="s">
        <v>203</v>
      </c>
      <c r="C202" s="3" t="str">
        <f>IFERROR(__xludf.DUMMYFUNCTION("GOOGLETRANSLATE(B202,""id"",""en"")"),"['thank', 'love', 'MyTelkomsell', 'help', 'menhecka', 'pulse']")</f>
        <v>['thank', 'love', 'MyTelkomsell', 'help', 'menhecka', 'pulse']</v>
      </c>
      <c r="D202" s="3">
        <v>5.0</v>
      </c>
    </row>
    <row r="203" ht="15.75" customHeight="1">
      <c r="A203" s="1">
        <v>215.0</v>
      </c>
      <c r="B203" s="3" t="s">
        <v>204</v>
      </c>
      <c r="C203" s="3" t="str">
        <f>IFERROR(__xludf.DUMMYFUNCTION("GOOGLETRANSLATE(B203,""id"",""en"")"),"['Hi', 'Telkomsel', 'knp', 'network', 'Telkomsel', 'slow', 'use', 'card', 'network', 'slow', 'really', 'knp', ' ']")</f>
        <v>['Hi', 'Telkomsel', 'knp', 'network', 'Telkomsel', 'slow', 'use', 'card', 'network', 'slow', 'really', 'knp', ' ']</v>
      </c>
      <c r="D203" s="3">
        <v>1.0</v>
      </c>
    </row>
    <row r="204" ht="15.75" customHeight="1">
      <c r="A204" s="1">
        <v>217.0</v>
      </c>
      <c r="B204" s="3" t="s">
        <v>205</v>
      </c>
      <c r="C204" s="3" t="str">
        <f>IFERROR(__xludf.DUMMYFUNCTION("GOOGLETRANSLATE(B204,""id"",""en"")"),"['card', 'buy', 'quota', 'limited', 'buy', 'unlimeted']")</f>
        <v>['card', 'buy', 'quota', 'limited', 'buy', 'unlimeted']</v>
      </c>
      <c r="D204" s="3">
        <v>1.0</v>
      </c>
    </row>
    <row r="205" ht="15.75" customHeight="1">
      <c r="A205" s="1">
        <v>218.0</v>
      </c>
      <c r="B205" s="3" t="s">
        <v>206</v>
      </c>
      <c r="C205" s="3" t="str">
        <f>IFERROR(__xludf.DUMMYFUNCTION("GOOGLETRANSLATE(B205,""id"",""en"")"),"['UDH', 'expensive', 'signal', 'ugly', 'unclean', 'that's',' yesterday ',' buy ',' quota ',' GB ',' Dipake ',' GB ',' Tomorrow ',' Tomorrow ',' Direct ',' Out ',' Hadeh ',' Gaje ',' Bet ',' Provider ',' Gajelas']")</f>
        <v>['UDH', 'expensive', 'signal', 'ugly', 'unclean', 'that's',' yesterday ',' buy ',' quota ',' GB ',' Dipake ',' GB ',' Tomorrow ',' Tomorrow ',' Direct ',' Out ',' Hadeh ',' Gaje ',' Bet ',' Provider ',' Gajelas']</v>
      </c>
      <c r="D205" s="3">
        <v>1.0</v>
      </c>
    </row>
    <row r="206" ht="15.75" customHeight="1">
      <c r="A206" s="1">
        <v>219.0</v>
      </c>
      <c r="B206" s="3" t="s">
        <v>207</v>
      </c>
      <c r="C206" s="3" t="str">
        <f>IFERROR(__xludf.DUMMYFUNCTION("GOOGLETRANSLATE(B206,""id"",""en"")"),"['Good', 'Trusted', '']")</f>
        <v>['Good', 'Trusted', '']</v>
      </c>
      <c r="D206" s="3">
        <v>5.0</v>
      </c>
    </row>
    <row r="207" ht="15.75" customHeight="1">
      <c r="A207" s="1">
        <v>220.0</v>
      </c>
      <c r="B207" s="3" t="s">
        <v>208</v>
      </c>
      <c r="C207" s="3" t="str">
        <f>IFERROR(__xludf.DUMMYFUNCTION("GOOGLETRANSLATE(B207,""id"",""en"")"),"['Application', 'Difficult', 'Opened', 'Delete', 'History']")</f>
        <v>['Application', 'Difficult', 'Opened', 'Delete', 'History']</v>
      </c>
      <c r="D207" s="3">
        <v>2.0</v>
      </c>
    </row>
    <row r="208" ht="15.75" customHeight="1">
      <c r="A208" s="1">
        <v>221.0</v>
      </c>
      <c r="B208" s="3" t="s">
        <v>209</v>
      </c>
      <c r="C208" s="3" t="str">
        <f>IFERROR(__xludf.DUMMYFUNCTION("GOOGLETRANSLATE(B208,""id"",""en"")"),"['application', 'easy', 'buy', 'package', 'cheap']")</f>
        <v>['application', 'easy', 'buy', 'package', 'cheap']</v>
      </c>
      <c r="D208" s="3">
        <v>5.0</v>
      </c>
    </row>
    <row r="209" ht="15.75" customHeight="1">
      <c r="A209" s="1">
        <v>222.0</v>
      </c>
      <c r="B209" s="3" t="s">
        <v>210</v>
      </c>
      <c r="C209" s="3" t="str">
        <f>IFERROR(__xludf.DUMMYFUNCTION("GOOGLETRANSLATE(B209,""id"",""en"")"),"['petrified', 'purchase', 'payment']")</f>
        <v>['petrified', 'purchase', 'payment']</v>
      </c>
      <c r="D209" s="3">
        <v>4.0</v>
      </c>
    </row>
    <row r="210" ht="15.75" customHeight="1">
      <c r="A210" s="1">
        <v>223.0</v>
      </c>
      <c r="B210" s="3" t="s">
        <v>211</v>
      </c>
      <c r="C210" s="3" t="str">
        <f>IFERROR(__xludf.DUMMYFUNCTION("GOOGLETRANSLATE(B210,""id"",""en"")"),"['application', 'good', 'bonus', 'buy', 'pulse', 'makasi', 'telkomsel', 'ngepain', 'see', 'hahah', 'hahah']")</f>
        <v>['application', 'good', 'bonus', 'buy', 'pulse', 'makasi', 'telkomsel', 'ngepain', 'see', 'hahah', 'hahah']</v>
      </c>
      <c r="D210" s="3">
        <v>5.0</v>
      </c>
    </row>
    <row r="211" ht="15.75" customHeight="1">
      <c r="A211" s="1">
        <v>224.0</v>
      </c>
      <c r="B211" s="3" t="s">
        <v>212</v>
      </c>
      <c r="C211" s="3" t="str">
        <f>IFERROR(__xludf.DUMMYFUNCTION("GOOGLETRANSLATE(B211,""id"",""en"")"),"['What', 'Wrong', 'with', 'You', 'crazy', 'slow', 'signal', 'price', 'quota', 'expensive', 'please', 'ugly', ' very', '']")</f>
        <v>['What', 'Wrong', 'with', 'You', 'crazy', 'slow', 'signal', 'price', 'quota', 'expensive', 'please', 'ugly', ' very', '']</v>
      </c>
      <c r="D211" s="3">
        <v>1.0</v>
      </c>
    </row>
    <row r="212" ht="15.75" customHeight="1">
      <c r="A212" s="1">
        <v>225.0</v>
      </c>
      <c r="B212" s="3" t="s">
        <v>213</v>
      </c>
      <c r="C212" s="3" t="str">
        <f>IFERROR(__xludf.DUMMYFUNCTION("GOOGLETRANSLATE(B212,""id"",""en"")"),"['In the future', 'slow', 'gajelas',' buy ',' package ',' unlimd ',' multimedia ',' smooth ',' game ',' smooth ',' slow ',' lazy ',' buy ',' package ',' unlimited ',' udha ',' slow ',' price ',' naek ',' price ',' skrang ',' miris', 'sad']")</f>
        <v>['In the future', 'slow', 'gajelas',' buy ',' package ',' unlimd ',' multimedia ',' smooth ',' game ',' smooth ',' slow ',' lazy ',' buy ',' package ',' unlimited ',' udha ',' slow ',' price ',' naek ',' price ',' skrang ',' miris', 'sad']</v>
      </c>
      <c r="D212" s="3">
        <v>2.0</v>
      </c>
    </row>
    <row r="213" ht="15.75" customHeight="1">
      <c r="A213" s="1">
        <v>226.0</v>
      </c>
      <c r="B213" s="3" t="s">
        <v>214</v>
      </c>
      <c r="C213" s="3" t="str">
        <f>IFERROR(__xludf.DUMMYFUNCTION("GOOGLETRANSLATE(B213,""id"",""en"")"),"['Improve']")</f>
        <v>['Improve']</v>
      </c>
      <c r="D213" s="3">
        <v>5.0</v>
      </c>
    </row>
    <row r="214" ht="15.75" customHeight="1">
      <c r="A214" s="1">
        <v>227.0</v>
      </c>
      <c r="B214" s="3" t="s">
        <v>215</v>
      </c>
      <c r="C214" s="3" t="str">
        <f>IFERROR(__xludf.DUMMYFUNCTION("GOOGLETRANSLATE(B214,""id"",""en"")"),"['UDH', 'Check', 'Claim', 'Error', 'Telkomsel', 'Loss', 'Recommended', 'Rich', 'GituV']")</f>
        <v>['UDH', 'Check', 'Claim', 'Error', 'Telkomsel', 'Loss', 'Recommended', 'Rich', 'GituV']</v>
      </c>
      <c r="D214" s="3">
        <v>1.0</v>
      </c>
    </row>
    <row r="215" ht="15.75" customHeight="1">
      <c r="A215" s="1">
        <v>228.0</v>
      </c>
      <c r="B215" s="3" t="s">
        <v>216</v>
      </c>
      <c r="C215" s="3" t="str">
        <f>IFERROR(__xludf.DUMMYFUNCTION("GOOGLETRANSLATE(B215,""id"",""en"")"),"['Please', 'repaired', 'quality', 'signal', 'in the city', 'signal', 'lined']")</f>
        <v>['Please', 'repaired', 'quality', 'signal', 'in the city', 'signal', 'lined']</v>
      </c>
      <c r="D215" s="3">
        <v>5.0</v>
      </c>
    </row>
    <row r="216" ht="15.75" customHeight="1">
      <c r="A216" s="1">
        <v>229.0</v>
      </c>
      <c r="B216" s="3" t="s">
        <v>217</v>
      </c>
      <c r="C216" s="3" t="str">
        <f>IFERROR(__xludf.DUMMYFUNCTION("GOOGLETRANSLATE(B216,""id"",""en"")"),"['Assalammualaikum', 'Telkomsel', 'Love', 'Proud of', 'Karna', 'Products',' Telkosel ',' Free ',' Call ',' Points', 'Exchange', 'Exchange', ' Pay ',' Roli ',' Please ',' Explanation ',' Tenthan ',' Points', 'Thank you', 'Telkosel', ""]")</f>
        <v>['Assalammualaikum', 'Telkomsel', 'Love', 'Proud of', 'Karna', 'Products',' Telkosel ',' Free ',' Call ',' Points', 'Exchange', 'Exchange', ' Pay ',' Roli ',' Please ',' Explanation ',' Tenthan ',' Points', 'Thank you', 'Telkosel', "]</v>
      </c>
      <c r="D216" s="3">
        <v>5.0</v>
      </c>
    </row>
    <row r="217" ht="15.75" customHeight="1">
      <c r="A217" s="1">
        <v>230.0</v>
      </c>
      <c r="B217" s="3" t="s">
        <v>218</v>
      </c>
      <c r="C217" s="3" t="str">
        <f>IFERROR(__xludf.DUMMYFUNCTION("GOOGLETRANSLATE(B217,""id"",""en"")"),"['Telkomsel', 'Application', 'Telkomsel', 'Error', 'UDH', 'Very', 'Action', 'Untk', 'fix', 'heart', 'heart', 'Costumer', ' Disappointed ',' Switch ',' Operator ',' Service ',' satisfying ',' ']")</f>
        <v>['Telkomsel', 'Application', 'Telkomsel', 'Error', 'UDH', 'Very', 'Action', 'Untk', 'fix', 'heart', 'heart', 'Costumer', ' Disappointed ',' Switch ',' Operator ',' Service ',' satisfying ',' ']</v>
      </c>
      <c r="D217" s="3">
        <v>1.0</v>
      </c>
    </row>
    <row r="218" ht="15.75" customHeight="1">
      <c r="A218" s="1">
        <v>231.0</v>
      </c>
      <c r="B218" s="3" t="s">
        <v>219</v>
      </c>
      <c r="C218" s="3" t="str">
        <f>IFERROR(__xludf.DUMMYFUNCTION("GOOGLETRANSLATE(B218,""id"",""en"")"),"['Dour', 'Song', 'Price']")</f>
        <v>['Dour', 'Song', 'Price']</v>
      </c>
      <c r="D218" s="3">
        <v>5.0</v>
      </c>
    </row>
    <row r="219" ht="15.75" customHeight="1">
      <c r="A219" s="1">
        <v>232.0</v>
      </c>
      <c r="B219" s="3" t="s">
        <v>220</v>
      </c>
      <c r="C219" s="3" t="str">
        <f>IFERROR(__xludf.DUMMYFUNCTION("GOOGLETRANSLATE(B219,""id"",""en"")"),"['Not bad', 'Disappointed', 'Season', 'APK', 'Ntah', 'Developer', 'Sleepy', 'GMN', 'YAK', 'UDH', 'CONTACT', 'BLM', ' Fix ',' DMN ',' Times', 'Login', 'APK', 'Telkomsel', 'Force', 'Close', 'Try', 'Uninstall', 'Install', 'bgtu', 'bgtu' , 'Mulu', 'emergence'"&amp;", 'KEK', 'spend', 'quota', 'gtu', 'plis',' fix ',' already ',' s, ',' gtu ',' open ',' APK ']")</f>
        <v>['Not bad', 'Disappointed', 'Season', 'APK', 'Ntah', 'Developer', 'Sleepy', 'GMN', 'YAK', 'UDH', 'CONTACT', 'BLM', ' Fix ',' DMN ',' Times', 'Login', 'APK', 'Telkomsel', 'Force', 'Close', 'Try', 'Uninstall', 'Install', 'bgtu', 'bgtu' , 'Mulu', 'emergence', 'KEK', 'spend', 'quota', 'gtu', 'plis',' fix ',' already ',' s, ',' gtu ',' open ',' APK ']</v>
      </c>
      <c r="D219" s="3">
        <v>1.0</v>
      </c>
    </row>
    <row r="220" ht="15.75" customHeight="1">
      <c r="A220" s="1">
        <v>233.0</v>
      </c>
      <c r="B220" s="3" t="s">
        <v>221</v>
      </c>
      <c r="C220" s="3" t="str">
        <f>IFERROR(__xludf.DUMMYFUNCTION("GOOGLETRANSLATE(B220,""id"",""en"")"),"['disappointing', 'already', 'daily', 'check', 'collect', 'stamp', 'exchanged', 'gift', 'error', 'times',' nge ',' quota ',' Data ',' exchanged ',' Stamp ',' Disappointed ',' ']")</f>
        <v>['disappointing', 'already', 'daily', 'check', 'collect', 'stamp', 'exchanged', 'gift', 'error', 'times',' nge ',' quota ',' Data ',' exchanged ',' Stamp ',' Disappointed ',' ']</v>
      </c>
      <c r="D220" s="3">
        <v>5.0</v>
      </c>
    </row>
    <row r="221" ht="15.75" customHeight="1">
      <c r="A221" s="1">
        <v>234.0</v>
      </c>
      <c r="B221" s="3" t="s">
        <v>222</v>
      </c>
      <c r="C221" s="3" t="str">
        <f>IFERROR(__xludf.DUMMYFUNCTION("GOOGLETRANSLATE(B221,""id"",""en"")"),"['Change', 'Provider', 'Telkom', 'Package', 'Expensive', 'Doang', 'Network', 'Stable', 'Cheap', 'Package', 'Network', 'Stable', ' block']")</f>
        <v>['Change', 'Provider', 'Telkom', 'Package', 'Expensive', 'Doang', 'Network', 'Stable', 'Cheap', 'Package', 'Network', 'Stable', ' block']</v>
      </c>
      <c r="D221" s="3">
        <v>1.0</v>
      </c>
    </row>
    <row r="222" ht="15.75" customHeight="1">
      <c r="A222" s="1">
        <v>235.0</v>
      </c>
      <c r="B222" s="3" t="s">
        <v>223</v>
      </c>
      <c r="C222" s="3" t="str">
        <f>IFERROR(__xludf.DUMMYFUNCTION("GOOGLETRANSLATE(B222,""id"",""en"")"),"['Help', 'Customer']")</f>
        <v>['Help', 'Customer']</v>
      </c>
      <c r="D222" s="3">
        <v>5.0</v>
      </c>
    </row>
    <row r="223" ht="15.75" customHeight="1">
      <c r="A223" s="1">
        <v>236.0</v>
      </c>
      <c r="B223" s="3" t="s">
        <v>224</v>
      </c>
      <c r="C223" s="3" t="str">
        <f>IFERROR(__xludf.DUMMYFUNCTION("GOOGLETRANSLATE(B223,""id"",""en"")"),"['already', 'damaged', 'network', 'Telkom', 'Lombok', 'Kayak', 'Telkom', 'Ancur', 'Paketan', 'Play', 'Expensive', 'Network', ' Slow ',' Kek ',' Snail ',' ']")</f>
        <v>['already', 'damaged', 'network', 'Telkom', 'Lombok', 'Kayak', 'Telkom', 'Ancur', 'Paketan', 'Play', 'Expensive', 'Network', ' Slow ',' Kek ',' Snail ',' ']</v>
      </c>
      <c r="D223" s="3">
        <v>1.0</v>
      </c>
    </row>
    <row r="224" ht="15.75" customHeight="1">
      <c r="A224" s="1">
        <v>237.0</v>
      </c>
      <c r="B224" s="3" t="s">
        <v>225</v>
      </c>
      <c r="C224" s="3" t="str">
        <f>IFERROR(__xludf.DUMMYFUNCTION("GOOGLETRANSLATE(B224,""id"",""en"")"),"['Telkomsel', 'suggest', 'resigned', 'world', 'provider', 'network', 'bad', 'price', 'doang', 'expensive', 'according to', 'price', ' Disappointed ',' heavy ',' use ',' provider ',' Telkomsel ']")</f>
        <v>['Telkomsel', 'suggest', 'resigned', 'world', 'provider', 'network', 'bad', 'price', 'doang', 'expensive', 'according to', 'price', ' Disappointed ',' heavy ',' use ',' provider ',' Telkomsel ']</v>
      </c>
      <c r="D224" s="3">
        <v>1.0</v>
      </c>
    </row>
    <row r="225" ht="15.75" customHeight="1">
      <c r="A225" s="1">
        <v>238.0</v>
      </c>
      <c r="B225" s="3" t="s">
        <v>226</v>
      </c>
      <c r="C225" s="3" t="str">
        <f>IFERROR(__xludf.DUMMYFUNCTION("GOOGLETRANSLATE(B225,""id"",""en"")"),"['Hopefully', 'promo', 'cheap', 'festive']")</f>
        <v>['Hopefully', 'promo', 'cheap', 'festive']</v>
      </c>
      <c r="D225" s="3">
        <v>4.0</v>
      </c>
    </row>
    <row r="226" ht="15.75" customHeight="1">
      <c r="A226" s="1">
        <v>239.0</v>
      </c>
      <c r="B226" s="3" t="s">
        <v>227</v>
      </c>
      <c r="C226" s="3" t="str">
        <f>IFERROR(__xludf.DUMMYFUNCTION("GOOGLETRANSLATE(B226,""id"",""en"")"),"['Network', 'Internet', 'Telkom', 'Region', 'Cisewu', 'Garut', 'Clock', 'Sampe', 'Clock', 'Like', 'Down', 'Sampe', ' Speed ​​',' Kayak ',' conch ',' deliberate ']")</f>
        <v>['Network', 'Internet', 'Telkom', 'Region', 'Cisewu', 'Garut', 'Clock', 'Sampe', 'Clock', 'Like', 'Down', 'Sampe', ' Speed ​​',' Kayak ',' conch ',' deliberate ']</v>
      </c>
      <c r="D226" s="3">
        <v>2.0</v>
      </c>
    </row>
    <row r="227" ht="15.75" customHeight="1">
      <c r="A227" s="1">
        <v>240.0</v>
      </c>
      <c r="B227" s="3" t="s">
        <v>228</v>
      </c>
      <c r="C227" s="3" t="str">
        <f>IFERROR(__xludf.DUMMYFUNCTION("GOOGLETRANSLATE(B227,""id"",""en"")"),"['Hello', 'Telkomsel', 'Hobbies',' Disappointing ',' Pelangement ',' Buy ',' Package ',' Expensive ',' Come ',' Bad ',' The Network ',' Expensive ',' good']")</f>
        <v>['Hello', 'Telkomsel', 'Hobbies',' Disappointing ',' Pelangement ',' Buy ',' Package ',' Expensive ',' Come ',' Bad ',' The Network ',' Expensive ',' good']</v>
      </c>
      <c r="D227" s="3">
        <v>1.0</v>
      </c>
    </row>
    <row r="228" ht="15.75" customHeight="1">
      <c r="A228" s="1">
        <v>241.0</v>
      </c>
      <c r="B228" s="3" t="s">
        <v>229</v>
      </c>
      <c r="C228" s="3" t="str">
        <f>IFERROR(__xludf.DUMMYFUNCTION("GOOGLETRANSLATE(B228,""id"",""en"")"),"['number', 'choice', 'package', 'Different', 'number', 'Telkomsel', 'expensive', 'thousand', 'get', 'GB', 'colleague', 'buy', ' thousand ',' GB ',' GB ',' GB ',' please ',' seam ',' use ',' ']")</f>
        <v>['number', 'choice', 'package', 'Different', 'number', 'Telkomsel', 'expensive', 'thousand', 'get', 'GB', 'colleague', 'buy', ' thousand ',' GB ',' GB ',' GB ',' please ',' seam ',' use ',' ']</v>
      </c>
      <c r="D228" s="3">
        <v>2.0</v>
      </c>
    </row>
    <row r="229" ht="15.75" customHeight="1">
      <c r="A229" s="1">
        <v>242.0</v>
      </c>
      <c r="B229" s="3" t="s">
        <v>230</v>
      </c>
      <c r="C229" s="3" t="str">
        <f>IFERROR(__xludf.DUMMYFUNCTION("GOOGLETRANSLATE(B229,""id"",""en"")"),"['version', 'application', 'Telkomsel', 'open', 'screen', 'white', 'update', 'version', 'normal', 'open', 'direct', 'star', ' Kayak ',' rules', 'menu', 'Telkomsel', 'quota', 'yesterday', 'quota', 'missing', 'menu', ""]")</f>
        <v>['version', 'application', 'Telkomsel', 'open', 'screen', 'white', 'update', 'version', 'normal', 'open', 'direct', 'star', ' Kayak ',' rules', 'menu', 'Telkomsel', 'quota', 'yesterday', 'quota', 'missing', 'menu', "]</v>
      </c>
      <c r="D229" s="3">
        <v>5.0</v>
      </c>
    </row>
    <row r="230" ht="15.75" customHeight="1">
      <c r="A230" s="1">
        <v>243.0</v>
      </c>
      <c r="B230" s="3" t="s">
        <v>231</v>
      </c>
      <c r="C230" s="3" t="str">
        <f>IFERROR(__xludf.DUMMYFUNCTION("GOOGLETRANSLATE(B230,""id"",""en"")"),"['Mantul', 'cheap', 'cheap']")</f>
        <v>['Mantul', 'cheap', 'cheap']</v>
      </c>
      <c r="D230" s="3">
        <v>5.0</v>
      </c>
    </row>
    <row r="231" ht="15.75" customHeight="1">
      <c r="A231" s="1">
        <v>244.0</v>
      </c>
      <c r="B231" s="3" t="s">
        <v>232</v>
      </c>
      <c r="C231" s="3" t="str">
        <f>IFERROR(__xludf.DUMMYFUNCTION("GOOGLETRANSLATE(B231,""id"",""en"")"),"['Apliment', 'already', 'week', 'buy', 'package', 'Tuker', 'Points', 'can']")</f>
        <v>['Apliment', 'already', 'week', 'buy', 'package', 'Tuker', 'Points', 'can']</v>
      </c>
      <c r="D231" s="3">
        <v>1.0</v>
      </c>
    </row>
    <row r="232" ht="15.75" customHeight="1">
      <c r="A232" s="1">
        <v>245.0</v>
      </c>
      <c r="B232" s="3" t="s">
        <v>233</v>
      </c>
      <c r="C232" s="3" t="str">
        <f>IFERROR(__xludf.DUMMYFUNCTION("GOOGLETRANSLATE(B232,""id"",""en"")"),"['Good', 'signal']")</f>
        <v>['Good', 'signal']</v>
      </c>
      <c r="D232" s="3">
        <v>5.0</v>
      </c>
    </row>
    <row r="233" ht="15.75" customHeight="1">
      <c r="A233" s="1">
        <v>246.0</v>
      </c>
      <c r="B233" s="3" t="s">
        <v>234</v>
      </c>
      <c r="C233" s="3" t="str">
        <f>IFERROR(__xludf.DUMMYFUNCTION("GOOGLETRANSLATE(B233,""id"",""en"")"),"['The application', 'Sometimes', 'slow', 'love', 'star', 'already', 'feature', 'key', 'pulse', 'kayak', 'application', 'next door']")</f>
        <v>['The application', 'Sometimes', 'slow', 'love', 'star', 'already', 'feature', 'key', 'pulse', 'kayak', 'application', 'next door']</v>
      </c>
      <c r="D233" s="3">
        <v>3.0</v>
      </c>
    </row>
    <row r="234" ht="15.75" customHeight="1">
      <c r="A234" s="1">
        <v>247.0</v>
      </c>
      <c r="B234" s="3" t="s">
        <v>235</v>
      </c>
      <c r="C234" s="3" t="str">
        <f>IFERROR(__xludf.DUMMYFUNCTION("GOOGLETRANSLATE(B234,""id"",""en"")"),"['Package', 'Quota', 'Combo', 'Sakti', 'GB', '']")</f>
        <v>['Package', 'Quota', 'Combo', 'Sakti', 'GB', '']</v>
      </c>
      <c r="D234" s="3">
        <v>2.0</v>
      </c>
    </row>
    <row r="235" ht="15.75" customHeight="1">
      <c r="A235" s="1">
        <v>248.0</v>
      </c>
      <c r="B235" s="3" t="s">
        <v>236</v>
      </c>
      <c r="C235" s="3" t="str">
        <f>IFERROR(__xludf.DUMMYFUNCTION("GOOGLETRANSLATE(B235,""id"",""en"")"),"['Enhanced', 'lag']")</f>
        <v>['Enhanced', 'lag']</v>
      </c>
      <c r="D235" s="3">
        <v>3.0</v>
      </c>
    </row>
    <row r="236" ht="15.75" customHeight="1">
      <c r="A236" s="1">
        <v>249.0</v>
      </c>
      <c r="B236" s="3" t="s">
        <v>237</v>
      </c>
      <c r="C236" s="3" t="str">
        <f>IFERROR(__xludf.DUMMYFUNCTION("GOOGLETRANSLATE(B236,""id"",""en"")"),"['Take', 'package', 'difficult', 'network', 'problematic', 'pulse']")</f>
        <v>['Take', 'package', 'difficult', 'network', 'problematic', 'pulse']</v>
      </c>
      <c r="D236" s="3">
        <v>1.0</v>
      </c>
    </row>
    <row r="237" ht="15.75" customHeight="1">
      <c r="A237" s="1">
        <v>250.0</v>
      </c>
      <c r="B237" s="3" t="s">
        <v>238</v>
      </c>
      <c r="C237" s="3" t="str">
        <f>IFERROR(__xludf.DUMMYFUNCTION("GOOGLETRANSLATE(B237,""id"",""en"")"),"['Perdana', 'Telkomsel']")</f>
        <v>['Perdana', 'Telkomsel']</v>
      </c>
      <c r="D237" s="3">
        <v>5.0</v>
      </c>
    </row>
    <row r="238" ht="15.75" customHeight="1">
      <c r="A238" s="1">
        <v>251.0</v>
      </c>
      <c r="B238" s="3" t="s">
        <v>239</v>
      </c>
      <c r="C238" s="3" t="str">
        <f>IFERROR(__xludf.DUMMYFUNCTION("GOOGLETRANSLATE(B238,""id"",""en"")"),"['Data', 'internet', 'expensive', 'network', 'numb']")</f>
        <v>['Data', 'internet', 'expensive', 'network', 'numb']</v>
      </c>
      <c r="D238" s="3">
        <v>1.0</v>
      </c>
    </row>
    <row r="239" ht="15.75" customHeight="1">
      <c r="A239" s="1">
        <v>252.0</v>
      </c>
      <c r="B239" s="3" t="s">
        <v>240</v>
      </c>
      <c r="C239" s="3" t="str">
        <f>IFERROR(__xludf.DUMMYFUNCTION("GOOGLETRANSLATE(B239,""id"",""en"")"),"['disappointing', 'choice', 'package', 'limited', 'quota', 'internet', 'divided', 'person', 'need', 'quota', 'quota', 'special', ' Application ',' Performance ',' Quality ',' Telkomsel ',' Decreases', 'Unfortunate', '']")</f>
        <v>['disappointing', 'choice', 'package', 'limited', 'quota', 'internet', 'divided', 'person', 'need', 'quota', 'quota', 'special', ' Application ',' Performance ',' Quality ',' Telkomsel ',' Decreases', 'Unfortunate', '']</v>
      </c>
      <c r="D239" s="3">
        <v>1.0</v>
      </c>
    </row>
    <row r="240" ht="15.75" customHeight="1">
      <c r="A240" s="1">
        <v>253.0</v>
      </c>
      <c r="B240" s="3" t="s">
        <v>241</v>
      </c>
      <c r="C240" s="3" t="str">
        <f>IFERROR(__xludf.DUMMYFUNCTION("GOOGLETRANSLATE(B240,""id"",""en"")"),"['based', 'good', 'puncture', 'need']")</f>
        <v>['based', 'good', 'puncture', 'need']</v>
      </c>
      <c r="D240" s="3">
        <v>4.0</v>
      </c>
    </row>
    <row r="241" ht="15.75" customHeight="1">
      <c r="A241" s="1">
        <v>254.0</v>
      </c>
      <c r="B241" s="3" t="s">
        <v>242</v>
      </c>
      <c r="C241" s="3" t="str">
        <f>IFERROR(__xludf.DUMMYFUNCTION("GOOGLETRANSLATE(B241,""id"",""en"")"),"['Telkomsel', 'slow', 'really', 'buy', 'package', 'no', 'kepake', 'Gara', 'Gara', 'the network', 'slow', '']")</f>
        <v>['Telkomsel', 'slow', 'really', 'buy', 'package', 'no', 'kepake', 'Gara', 'Gara', 'the network', 'slow', '']</v>
      </c>
      <c r="D241" s="3">
        <v>1.0</v>
      </c>
    </row>
    <row r="242" ht="15.75" customHeight="1">
      <c r="A242" s="1">
        <v>255.0</v>
      </c>
      <c r="B242" s="3" t="s">
        <v>243</v>
      </c>
      <c r="C242" s="3" t="str">
        <f>IFERROR(__xludf.DUMMYFUNCTION("GOOGLETRANSLATE(B242,""id"",""en"")"),"['present']")</f>
        <v>['present']</v>
      </c>
      <c r="D242" s="3">
        <v>5.0</v>
      </c>
    </row>
    <row r="243" ht="15.75" customHeight="1">
      <c r="A243" s="1">
        <v>256.0</v>
      </c>
      <c r="B243" s="3" t="s">
        <v>244</v>
      </c>
      <c r="C243" s="3" t="str">
        <f>IFERROR(__xludf.DUMMYFUNCTION("GOOGLETRANSLATE(B243,""id"",""en"")"),"['package', 'application', 'expensive', 'network', 'stable', 'expensive', 'active', 'boss',' package ',' run out ',' fit ',' "", 'Eliminate', 'Package', 'Hooq', 'No', 'Nambah', 'Lost', 'Lost', 'Suggestion', 'Extend', 'Active', 'Package', 'Dose' , 'price',"&amp;" 'package', 'because', 'Indonesia', 'people', 'rich', 'boss', 'era', 'difficult', 'add', 'annoying', 'people']")</f>
        <v>['package', 'application', 'expensive', 'network', 'stable', 'expensive', 'active', 'boss',' package ',' run out ',' fit ',' ", 'Eliminate', 'Package', 'Hooq', 'No', 'Nambah', 'Lost', 'Lost', 'Suggestion', 'Extend', 'Active', 'Package', 'Dose' , 'price', 'package', 'because', 'Indonesia', 'people', 'rich', 'boss', 'era', 'difficult', 'add', 'annoying', 'people']</v>
      </c>
      <c r="D243" s="3">
        <v>1.0</v>
      </c>
    </row>
    <row r="244" ht="15.75" customHeight="1">
      <c r="A244" s="1">
        <v>257.0</v>
      </c>
      <c r="B244" s="3" t="s">
        <v>245</v>
      </c>
      <c r="C244" s="3" t="str">
        <f>IFERROR(__xludf.DUMMYFUNCTION("GOOGLETRANSLATE(B244,""id"",""en"")"),"['Package', 'expensive', '']")</f>
        <v>['Package', 'expensive', '']</v>
      </c>
      <c r="D244" s="3">
        <v>3.0</v>
      </c>
    </row>
    <row r="245" ht="15.75" customHeight="1">
      <c r="A245" s="1">
        <v>258.0</v>
      </c>
      <c r="B245" s="3" t="s">
        <v>246</v>
      </c>
      <c r="C245" s="3" t="str">
        <f>IFERROR(__xludf.DUMMYFUNCTION("GOOGLETRANSLATE(B245,""id"",""en"")"),"['thank', 'love', 'Telkomsel', 'promo', 'package', 'internat', 'cheap']")</f>
        <v>['thank', 'love', 'Telkomsel', 'promo', 'package', 'internat', 'cheap']</v>
      </c>
      <c r="D245" s="3">
        <v>5.0</v>
      </c>
    </row>
    <row r="246" ht="15.75" customHeight="1">
      <c r="A246" s="1">
        <v>259.0</v>
      </c>
      <c r="B246" s="3" t="s">
        <v>247</v>
      </c>
      <c r="C246" s="3" t="str">
        <f>IFERROR(__xludf.DUMMYFUNCTION("GOOGLETRANSLATE(B246,""id"",""en"")"),"['Good', 'pulse', 'discount']")</f>
        <v>['Good', 'pulse', 'discount']</v>
      </c>
      <c r="D246" s="3">
        <v>5.0</v>
      </c>
    </row>
    <row r="247" ht="15.75" customHeight="1">
      <c r="A247" s="1">
        <v>260.0</v>
      </c>
      <c r="B247" s="3" t="s">
        <v>248</v>
      </c>
      <c r="C247" s="3" t="str">
        <f>IFERROR(__xludf.DUMMYFUNCTION("GOOGLETRANSLATE(B247,""id"",""en"")"),"['Telkomsel', 'Dear', 'network', 'internet', 'ugly', 'package', 'data', 'sell', 'expensive', 'conscious',' search ',' money ',' era ',' difficult ',' please ',' fix ',' network ',' internet ',' perman ',' package ',' internet ',' compare ',' operator ',' "&amp;"Telkomsel ',' deficiency ' , 'Hopefully', 'Telkomsel', '']")</f>
        <v>['Telkomsel', 'Dear', 'network', 'internet', 'ugly', 'package', 'data', 'sell', 'expensive', 'conscious',' search ',' money ',' era ',' difficult ',' please ',' fix ',' network ',' internet ',' perman ',' package ',' internet ',' compare ',' operator ',' Telkomsel ',' deficiency ' , 'Hopefully', 'Telkomsel', '']</v>
      </c>
      <c r="D247" s="3">
        <v>1.0</v>
      </c>
    </row>
    <row r="248" ht="15.75" customHeight="1">
      <c r="A248" s="1">
        <v>261.0</v>
      </c>
      <c r="B248" s="3" t="s">
        <v>249</v>
      </c>
      <c r="C248" s="3" t="str">
        <f>IFERROR(__xludf.DUMMYFUNCTION("GOOGLETRANSLATE(B248,""id"",""en"")"),"['expensive', 'disappointed', 'quality', 'network', 'feel', 'disappointment', 'price', 'quality', 'down', 'severe', 'play', 'game', ' Ngellag ',' watch ',' Tiktok ',' broken ',' disappointed ']")</f>
        <v>['expensive', 'disappointed', 'quality', 'network', 'feel', 'disappointment', 'price', 'quality', 'down', 'severe', 'play', 'game', ' Ngellag ',' watch ',' Tiktok ',' broken ',' disappointed ']</v>
      </c>
      <c r="D248" s="3">
        <v>1.0</v>
      </c>
    </row>
    <row r="249" ht="15.75" customHeight="1">
      <c r="A249" s="1">
        <v>262.0</v>
      </c>
      <c r="B249" s="3" t="s">
        <v>250</v>
      </c>
      <c r="C249" s="3" t="str">
        <f>IFERROR(__xludf.DUMMYFUNCTION("GOOGLETRANSLATE(B249,""id"",""en"")"),"['hope', 'Jaya', 'Telkomsel', 'love', 'discount', 'customers', 'loyal']")</f>
        <v>['hope', 'Jaya', 'Telkomsel', 'love', 'discount', 'customers', 'loyal']</v>
      </c>
      <c r="D249" s="3">
        <v>5.0</v>
      </c>
    </row>
    <row r="250" ht="15.75" customHeight="1">
      <c r="A250" s="1">
        <v>263.0</v>
      </c>
      <c r="B250" s="3" t="s">
        <v>251</v>
      </c>
      <c r="C250" s="3" t="str">
        <f>IFERROR(__xludf.DUMMYFUNCTION("GOOGLETRANSLATE(B250,""id"",""en"")"),"['Alhamdullilah', 'application', 'open', 'thank', 'love', 'Telkomsel', '']")</f>
        <v>['Alhamdullilah', 'application', 'open', 'thank', 'love', 'Telkomsel', '']</v>
      </c>
      <c r="D250" s="3">
        <v>5.0</v>
      </c>
    </row>
    <row r="251" ht="15.75" customHeight="1">
      <c r="A251" s="1">
        <v>264.0</v>
      </c>
      <c r="B251" s="3" t="s">
        <v>252</v>
      </c>
      <c r="C251" s="3" t="str">
        <f>IFERROR(__xludf.DUMMYFUNCTION("GOOGLETRANSLATE(B251,""id"",""en"")"),"['try', 'transaction', 'purchase', 'pulse']")</f>
        <v>['try', 'transaction', 'purchase', 'pulse']</v>
      </c>
      <c r="D251" s="3">
        <v>4.0</v>
      </c>
    </row>
    <row r="252" ht="15.75" customHeight="1">
      <c r="A252" s="1">
        <v>265.0</v>
      </c>
      <c r="B252" s="3" t="s">
        <v>253</v>
      </c>
      <c r="C252" s="3" t="str">
        <f>IFERROR(__xludf.DUMMYFUNCTION("GOOGLETRANSLATE(B252,""id"",""en"")"),"['hilarious', 'buy', 'package', 'pulse', 'already', 'according to', 'price', 'ehh', 'right', 'buy', 'katanta', 'pulse']")</f>
        <v>['hilarious', 'buy', 'package', 'pulse', 'already', 'according to', 'price', 'ehh', 'right', 'buy', 'katanta', 'pulse']</v>
      </c>
      <c r="D252" s="3">
        <v>1.0</v>
      </c>
    </row>
    <row r="253" ht="15.75" customHeight="1">
      <c r="A253" s="1">
        <v>266.0</v>
      </c>
      <c r="B253" s="3" t="s">
        <v>254</v>
      </c>
      <c r="C253" s="3" t="str">
        <f>IFERROR(__xludf.DUMMYFUNCTION("GOOGLETRANSLATE(B253,""id"",""en"")"),"['Notification', 'pop', 'annoying', 'play', 'game']")</f>
        <v>['Notification', 'pop', 'annoying', 'play', 'game']</v>
      </c>
      <c r="D253" s="3">
        <v>4.0</v>
      </c>
    </row>
    <row r="254" ht="15.75" customHeight="1">
      <c r="A254" s="1">
        <v>267.0</v>
      </c>
      <c r="B254" s="3" t="s">
        <v>255</v>
      </c>
      <c r="C254" s="3" t="str">
        <f>IFERROR(__xludf.DUMMYFUNCTION("GOOGLETRANSLATE(B254,""id"",""en"")"),"['APK', 'good', 'really', '']")</f>
        <v>['APK', 'good', 'really', '']</v>
      </c>
      <c r="D254" s="3">
        <v>5.0</v>
      </c>
    </row>
    <row r="255" ht="15.75" customHeight="1">
      <c r="A255" s="1">
        <v>268.0</v>
      </c>
      <c r="B255" s="3" t="s">
        <v>256</v>
      </c>
      <c r="C255" s="3" t="str">
        <f>IFERROR(__xludf.DUMMYFUNCTION("GOOGLETRANSLATE(B255,""id"",""en"")"),"['Slalu', 'best', 'maximize', 'lgii']")</f>
        <v>['Slalu', 'best', 'maximize', 'lgii']</v>
      </c>
      <c r="D255" s="3">
        <v>4.0</v>
      </c>
    </row>
    <row r="256" ht="15.75" customHeight="1">
      <c r="A256" s="1">
        <v>269.0</v>
      </c>
      <c r="B256" s="3" t="s">
        <v>257</v>
      </c>
      <c r="C256" s="3" t="str">
        <f>IFERROR(__xludf.DUMMYFUNCTION("GOOGLETRANSLATE(B256,""id"",""en"")"),"['Deliver', '']")</f>
        <v>['Deliver', '']</v>
      </c>
      <c r="D256" s="3">
        <v>5.0</v>
      </c>
    </row>
    <row r="257" ht="15.75" customHeight="1">
      <c r="A257" s="1">
        <v>270.0</v>
      </c>
      <c r="B257" s="3" t="s">
        <v>258</v>
      </c>
      <c r="C257" s="3" t="str">
        <f>IFERROR(__xludf.DUMMYFUNCTION("GOOGLETRANSLATE(B257,""id"",""en"")"),"['Good', 'Application', 'Sngat', 'Help', '']")</f>
        <v>['Good', 'Application', 'Sngat', 'Help', '']</v>
      </c>
      <c r="D257" s="3">
        <v>5.0</v>
      </c>
    </row>
    <row r="258" ht="15.75" customHeight="1">
      <c r="A258" s="1">
        <v>271.0</v>
      </c>
      <c r="B258" s="3" t="s">
        <v>259</v>
      </c>
      <c r="C258" s="3" t="str">
        <f>IFERROR(__xludf.DUMMYFUNCTION("GOOGLETRANSLATE(B258,""id"",""en"")"),"['Please', 'upgrade', 'card']")</f>
        <v>['Please', 'upgrade', 'card']</v>
      </c>
      <c r="D258" s="3">
        <v>5.0</v>
      </c>
    </row>
    <row r="259" ht="15.75" customHeight="1">
      <c r="A259" s="1">
        <v>272.0</v>
      </c>
      <c r="B259" s="3" t="s">
        <v>260</v>
      </c>
      <c r="C259" s="3" t="str">
        <f>IFERROR(__xludf.DUMMYFUNCTION("GOOGLETRANSLATE(B259,""id"",""en"")"),"['Ribet', 'MyTelkomsel']")</f>
        <v>['Ribet', 'MyTelkomsel']</v>
      </c>
      <c r="D259" s="3">
        <v>5.0</v>
      </c>
    </row>
    <row r="260" ht="15.75" customHeight="1">
      <c r="A260" s="1">
        <v>273.0</v>
      </c>
      <c r="B260" s="3" t="s">
        <v>261</v>
      </c>
      <c r="C260" s="3" t="str">
        <f>IFERROR(__xludf.DUMMYFUNCTION("GOOGLETRANSLATE(B260,""id"",""en"")"),"['Steady', 'Telkomsel', 'rival']")</f>
        <v>['Steady', 'Telkomsel', 'rival']</v>
      </c>
      <c r="D260" s="3">
        <v>5.0</v>
      </c>
    </row>
    <row r="261" ht="15.75" customHeight="1">
      <c r="A261" s="1">
        <v>274.0</v>
      </c>
      <c r="B261" s="3" t="s">
        <v>262</v>
      </c>
      <c r="C261" s="3" t="str">
        <f>IFERROR(__xludf.DUMMYFUNCTION("GOOGLETRANSLATE(B261,""id"",""en"")"),"['There', 'expensive', '']")</f>
        <v>['There', 'expensive', '']</v>
      </c>
      <c r="D261" s="3">
        <v>1.0</v>
      </c>
    </row>
    <row r="262" ht="15.75" customHeight="1">
      <c r="A262" s="1">
        <v>275.0</v>
      </c>
      <c r="B262" s="3" t="s">
        <v>263</v>
      </c>
      <c r="C262" s="3" t="str">
        <f>IFERROR(__xludf.DUMMYFUNCTION("GOOGLETRANSLATE(B262,""id"",""en"")"),"['Credit', 'Free', 'Telkomsel', 'Terimak', 'Love', '']")</f>
        <v>['Credit', 'Free', 'Telkomsel', 'Terimak', 'Love', '']</v>
      </c>
      <c r="D262" s="3">
        <v>1.0</v>
      </c>
    </row>
    <row r="263" ht="15.75" customHeight="1">
      <c r="A263" s="1">
        <v>276.0</v>
      </c>
      <c r="B263" s="3" t="s">
        <v>264</v>
      </c>
      <c r="C263" s="3" t="str">
        <f>IFERROR(__xludf.DUMMYFUNCTION("GOOGLETRANSLATE(B263,""id"",""en"")"),"['', 'Telkomsel', 'easy', 'buy', 'package']")</f>
        <v>['', 'Telkomsel', 'easy', 'buy', 'package']</v>
      </c>
      <c r="D263" s="3">
        <v>5.0</v>
      </c>
    </row>
    <row r="264" ht="15.75" customHeight="1">
      <c r="A264" s="1">
        <v>277.0</v>
      </c>
      <c r="B264" s="3" t="s">
        <v>265</v>
      </c>
      <c r="C264" s="3" t="str">
        <f>IFERROR(__xludf.DUMMYFUNCTION("GOOGLETRANSLATE(B264,""id"",""en"")"),"['Telkomnyet', 'AJG', 'User', 'Telkomsel', 'Extra', 'Unlimited', 'Dishop', 'emang', 'AJG', 'Telkomsel']")</f>
        <v>['Telkomnyet', 'AJG', 'User', 'Telkomsel', 'Extra', 'Unlimited', 'Dishop', 'emang', 'AJG', 'Telkomsel']</v>
      </c>
      <c r="D264" s="3">
        <v>2.0</v>
      </c>
    </row>
    <row r="265" ht="15.75" customHeight="1">
      <c r="A265" s="1">
        <v>278.0</v>
      </c>
      <c r="B265" s="3" t="s">
        <v>266</v>
      </c>
      <c r="C265" s="3" t="str">
        <f>IFERROR(__xludf.DUMMYFUNCTION("GOOGLETRANSLATE(B265,""id"",""en"")"),"['Network', 'lag']")</f>
        <v>['Network', 'lag']</v>
      </c>
      <c r="D265" s="3">
        <v>1.0</v>
      </c>
    </row>
    <row r="266" ht="15.75" customHeight="1">
      <c r="A266" s="1">
        <v>279.0</v>
      </c>
      <c r="B266" s="3" t="s">
        <v>267</v>
      </c>
      <c r="C266" s="3" t="str">
        <f>IFERROR(__xludf.DUMMYFUNCTION("GOOGLETRANSLATE(B266,""id"",""en"")"),"['Suggest', 'Make', 'Package', 'Internet', 'Clock', 'Access', 'Internet', 'Pay', 'thousand', 'Clock', 'that's']")</f>
        <v>['Suggest', 'Make', 'Package', 'Internet', 'Clock', 'Access', 'Internet', 'Pay', 'thousand', 'Clock', 'that's']</v>
      </c>
      <c r="D266" s="3">
        <v>3.0</v>
      </c>
    </row>
    <row r="267" ht="15.75" customHeight="1">
      <c r="A267" s="1">
        <v>280.0</v>
      </c>
      <c r="B267" s="3" t="s">
        <v>268</v>
      </c>
      <c r="C267" s="3" t="str">
        <f>IFERROR(__xludf.DUMMYFUNCTION("GOOGLETRANSLATE(B267,""id"",""en"")"),"['', 'area', 'mountains', 'clarification']")</f>
        <v>['', 'area', 'mountains', 'clarification']</v>
      </c>
      <c r="D267" s="3">
        <v>5.0</v>
      </c>
    </row>
    <row r="268" ht="15.75" customHeight="1">
      <c r="A268" s="1">
        <v>281.0</v>
      </c>
      <c r="B268" s="3" t="s">
        <v>269</v>
      </c>
      <c r="C268" s="3" t="str">
        <f>IFERROR(__xludf.DUMMYFUNCTION("GOOGLETRANSLATE(B268,""id"",""en"")"),"['steady', 'smga', 'in the future', 'bgus', 'satisfying', 'customer']")</f>
        <v>['steady', 'smga', 'in the future', 'bgus', 'satisfying', 'customer']</v>
      </c>
      <c r="D268" s="3">
        <v>5.0</v>
      </c>
    </row>
    <row r="269" ht="15.75" customHeight="1">
      <c r="A269" s="1">
        <v>282.0</v>
      </c>
      <c r="B269" s="3" t="s">
        <v>270</v>
      </c>
      <c r="C269" s="3" t="str">
        <f>IFERROR(__xludf.DUMMYFUNCTION("GOOGLETRANSLATE(B269,""id"",""en"")"),"['replace', 'Telkomsel', 'quota', 'fast', 'drained', 'no', 'Mantap', 'Telkomsel', 'appreciation', 'strategy', 'marketing', 'sorry', ' backward ',' Telkomsel ',' Move ',' Karna ',' Cheap ',' no ',' cheap ',' ']")</f>
        <v>['replace', 'Telkomsel', 'quota', 'fast', 'drained', 'no', 'Mantap', 'Telkomsel', 'appreciation', 'strategy', 'marketing', 'sorry', ' backward ',' Telkomsel ',' Move ',' Karna ',' Cheap ',' no ',' cheap ',' ']</v>
      </c>
      <c r="D269" s="3">
        <v>1.0</v>
      </c>
    </row>
    <row r="270" ht="15.75" customHeight="1">
      <c r="A270" s="1">
        <v>283.0</v>
      </c>
      <c r="B270" s="3" t="s">
        <v>271</v>
      </c>
      <c r="C270" s="3" t="str">
        <f>IFERROR(__xludf.DUMMYFUNCTION("GOOGLETRANSLATE(B270,""id"",""en"")"),"['like', 'the application']")</f>
        <v>['like', 'the application']</v>
      </c>
      <c r="D270" s="3">
        <v>4.0</v>
      </c>
    </row>
    <row r="271" ht="15.75" customHeight="1">
      <c r="A271" s="1">
        <v>284.0</v>
      </c>
      <c r="B271" s="3" t="s">
        <v>272</v>
      </c>
      <c r="C271" s="3" t="str">
        <f>IFERROR(__xludf.DUMMYFUNCTION("GOOGLETRANSLATE(B271,""id"",""en"")"),"['Telkomsel', 'promo', 'promo', 'cheap', 'example', 'combo', 'powerful', 'cheap', 'number', 'user', 'card', 'package', ' expensive ',' for example ',' package ',' combo ',' Sakti ',' choice ',' cheapest ',' price ',' card ',' cheap ',' choice ',' package "&amp;"',' below ' , 'price', 'that way', 'please', 'domg', 'policy', 'Telkomsel', 'package', 'luamayan', 'cheap', 'user', 'signal', 'good', ' good', '']")</f>
        <v>['Telkomsel', 'promo', 'promo', 'cheap', 'example', 'combo', 'powerful', 'cheap', 'number', 'user', 'card', 'package', ' expensive ',' for example ',' package ',' combo ',' Sakti ',' choice ',' cheapest ',' price ',' card ',' cheap ',' choice ',' package ',' below ' , 'price', 'that way', 'please', 'domg', 'policy', 'Telkomsel', 'package', 'luamayan', 'cheap', 'user', 'signal', 'good', ' good', '']</v>
      </c>
      <c r="D271" s="3">
        <v>1.0</v>
      </c>
    </row>
    <row r="272" ht="15.75" customHeight="1">
      <c r="A272" s="1">
        <v>285.0</v>
      </c>
      <c r="B272" s="3" t="s">
        <v>273</v>
      </c>
      <c r="C272" s="3" t="str">
        <f>IFERROR(__xludf.DUMMYFUNCTION("GOOGLETRANSLATE(B272,""id"",""en"")"),"['satisfying', 'convenience', 'usage', 'application']")</f>
        <v>['satisfying', 'convenience', 'usage', 'application']</v>
      </c>
      <c r="D272" s="3">
        <v>5.0</v>
      </c>
    </row>
    <row r="273" ht="15.75" customHeight="1">
      <c r="A273" s="1">
        <v>286.0</v>
      </c>
      <c r="B273" s="3" t="s">
        <v>274</v>
      </c>
      <c r="C273" s="3" t="str">
        <f>IFERROR(__xludf.DUMMYFUNCTION("GOOGLETRANSLATE(B273,""id"",""en"")"),"['expensive', 'cook', 'one hundred', 'point', '']")</f>
        <v>['expensive', 'cook', 'one hundred', 'point', '']</v>
      </c>
      <c r="D273" s="3">
        <v>2.0</v>
      </c>
    </row>
    <row r="274" ht="15.75" customHeight="1">
      <c r="A274" s="1">
        <v>287.0</v>
      </c>
      <c r="B274" s="3" t="s">
        <v>275</v>
      </c>
      <c r="C274" s="3" t="str">
        <f>IFERROR(__xludf.DUMMYFUNCTION("GOOGLETRANSLATE(B274,""id"",""en"")"),"['Sumbin', 'Severe', 'Network', 'Telkomsel', 'oath', 'Severe', 'Sangangkin', 'Customer', 'Sumbin', 'Good', 'Network', 'Sumbin', ' Severe ',' KARU ',' UDH ',' Card ',' Telkomsel ',' Network ',' Good ',' Gosh ',' Laen ',' Change ',' Card ',' Gara ',' Networ"&amp;"k ' , 'visits', 'improved', 'trimakasih']")</f>
        <v>['Sumbin', 'Severe', 'Network', 'Telkomsel', 'oath', 'Severe', 'Sangangkin', 'Customer', 'Sumbin', 'Good', 'Network', 'Sumbin', ' Severe ',' KARU ',' UDH ',' Card ',' Telkomsel ',' Network ',' Good ',' Gosh ',' Laen ',' Change ',' Card ',' Gara ',' Network ' , 'visits', 'improved', 'trimakasih']</v>
      </c>
      <c r="D274" s="3">
        <v>1.0</v>
      </c>
    </row>
    <row r="275" ht="15.75" customHeight="1">
      <c r="A275" s="1">
        <v>288.0</v>
      </c>
      <c r="B275" s="3" t="s">
        <v>276</v>
      </c>
      <c r="C275" s="3" t="str">
        <f>IFERROR(__xludf.DUMMYFUNCTION("GOOGLETRANSLATE(B275,""id"",""en"")"),"['Tebuka', 'Heranda', 'Woey']")</f>
        <v>['Tebuka', 'Heranda', 'Woey']</v>
      </c>
      <c r="D275" s="3">
        <v>1.0</v>
      </c>
    </row>
    <row r="276" ht="15.75" customHeight="1">
      <c r="A276" s="1">
        <v>289.0</v>
      </c>
      <c r="B276" s="3" t="s">
        <v>277</v>
      </c>
      <c r="C276" s="3" t="str">
        <f>IFERROR(__xludf.DUMMYFUNCTION("GOOGLETRANSLATE(B276,""id"",""en"")"),"['Application', 'great']")</f>
        <v>['Application', 'great']</v>
      </c>
      <c r="D276" s="3">
        <v>5.0</v>
      </c>
    </row>
    <row r="277" ht="15.75" customHeight="1">
      <c r="A277" s="1">
        <v>290.0</v>
      </c>
      <c r="B277" s="3" t="s">
        <v>278</v>
      </c>
      <c r="C277" s="3" t="str">
        <f>IFERROR(__xludf.DUMMYFUNCTION("GOOGLETRANSLATE(B277,""id"",""en"")"),"['fun', 'borrow', 'application', 'chance', 'exchange', 'point', 'gift', 'mytelkomsel', 'hope', 'chosen', 'winner', 'lottery', ' Hehehe', '']")</f>
        <v>['fun', 'borrow', 'application', 'chance', 'exchange', 'point', 'gift', 'mytelkomsel', 'hope', 'chosen', 'winner', 'lottery', ' Hehehe', '']</v>
      </c>
      <c r="D277" s="3">
        <v>5.0</v>
      </c>
    </row>
    <row r="278" ht="15.75" customHeight="1">
      <c r="A278" s="1">
        <v>291.0</v>
      </c>
      <c r="B278" s="3" t="s">
        <v>279</v>
      </c>
      <c r="C278" s="3" t="str">
        <f>IFERROR(__xludf.DUMMYFUNCTION("GOOGLETRANSLATE(B278,""id"",""en"")"),"['CBA', 'Points',' exchanged ',' pulse ',' package ',' data ',' emng ',' users', 'Telkomsel', 'shopping', 'mall', 'all', ' Pesen ',' MKN ',' Delivery ',' all ',' GTU ',' ']")</f>
        <v>['CBA', 'Points',' exchanged ',' pulse ',' package ',' data ',' emng ',' users', 'Telkomsel', 'shopping', 'mall', 'all', ' Pesen ',' MKN ',' Delivery ',' all ',' GTU ',' ']</v>
      </c>
      <c r="D278" s="3">
        <v>1.0</v>
      </c>
    </row>
    <row r="279" ht="15.75" customHeight="1">
      <c r="A279" s="1">
        <v>292.0</v>
      </c>
      <c r="B279" s="3" t="s">
        <v>280</v>
      </c>
      <c r="C279" s="3" t="str">
        <f>IFERROR(__xludf.DUMMYFUNCTION("GOOGLETRANSLATE(B279,""id"",""en"")"),"['min', 'sya', 'gabisa', 'buy', 'quota', 'ulimitied', 'pdahal', 'pulse', 'udh', 'bought', 'message', 'system', ' Busy ',' PDAH ',' JRINGAN ',' Safe ',' Ngerugin ',' Bnget ', ""]")</f>
        <v>['min', 'sya', 'gabisa', 'buy', 'quota', 'ulimitied', 'pdahal', 'pulse', 'udh', 'bought', 'message', 'system', ' Busy ',' PDAH ',' JRINGAN ',' Safe ',' Ngerugin ',' Bnget ', "]</v>
      </c>
      <c r="D279" s="3">
        <v>1.0</v>
      </c>
    </row>
    <row r="280" ht="15.75" customHeight="1">
      <c r="A280" s="1">
        <v>293.0</v>
      </c>
      <c r="B280" s="3" t="s">
        <v>281</v>
      </c>
      <c r="C280" s="3" t="str">
        <f>IFERROR(__xludf.DUMMYFUNCTION("GOOGLETRANSLATE(B280,""id"",""en"")"),"['hope', 'signal', 'good']")</f>
        <v>['hope', 'signal', 'good']</v>
      </c>
      <c r="D280" s="3">
        <v>5.0</v>
      </c>
    </row>
    <row r="281" ht="15.75" customHeight="1">
      <c r="A281" s="1">
        <v>294.0</v>
      </c>
      <c r="B281" s="3" t="s">
        <v>282</v>
      </c>
      <c r="C281" s="3" t="str">
        <f>IFERROR(__xludf.DUMMYFUNCTION("GOOGLETRANSLATE(B281,""id"",""en"")"),"['Points', 'exchanged', 'Points', 'Switch', 'Reedem']")</f>
        <v>['Points', 'exchanged', 'Points', 'Switch', 'Reedem']</v>
      </c>
      <c r="D281" s="3">
        <v>2.0</v>
      </c>
    </row>
    <row r="282" ht="15.75" customHeight="1">
      <c r="A282" s="1">
        <v>295.0</v>
      </c>
      <c r="B282" s="3" t="s">
        <v>283</v>
      </c>
      <c r="C282" s="3" t="str">
        <f>IFERROR(__xludf.DUMMYFUNCTION("GOOGLETRANSLATE(B282,""id"",""en"")"),"['Sip', 'Anyway']")</f>
        <v>['Sip', 'Anyway']</v>
      </c>
      <c r="D282" s="3">
        <v>5.0</v>
      </c>
    </row>
    <row r="283" ht="15.75" customHeight="1">
      <c r="A283" s="1">
        <v>296.0</v>
      </c>
      <c r="B283" s="3" t="s">
        <v>284</v>
      </c>
      <c r="C283" s="3" t="str">
        <f>IFERROR(__xludf.DUMMYFUNCTION("GOOGLETRANSLATE(B283,""id"",""en"")"),"['', 'help']")</f>
        <v>['', 'help']</v>
      </c>
      <c r="D283" s="3">
        <v>5.0</v>
      </c>
    </row>
    <row r="284" ht="15.75" customHeight="1">
      <c r="A284" s="1">
        <v>297.0</v>
      </c>
      <c r="B284" s="3" t="s">
        <v>285</v>
      </c>
      <c r="C284" s="3" t="str">
        <f>IFERROR(__xludf.DUMMYFUNCTION("GOOGLETRANSLATE(B284,""id"",""en"")"),"['Help', 'The', 'Best', 'pokonya']")</f>
        <v>['Help', 'The', 'Best', 'pokonya']</v>
      </c>
      <c r="D284" s="3">
        <v>5.0</v>
      </c>
    </row>
    <row r="285" ht="15.75" customHeight="1">
      <c r="A285" s="1">
        <v>298.0</v>
      </c>
      <c r="B285" s="3" t="s">
        <v>286</v>
      </c>
      <c r="C285" s="3" t="str">
        <f>IFERROR(__xludf.DUMMYFUNCTION("GOOGLETRANSLATE(B285,""id"",""en"")"),"['Display', 'DIFTR', 'Package', 'Sorry', 'Products',' Package ',' Register ',' JWBN ',' Server ',' Offers', 'reply', 'Bad', ' network ',' in place ',' hope ',' in the future ',' pky ',' kal ',' teng ', ""]")</f>
        <v>['Display', 'DIFTR', 'Package', 'Sorry', 'Products',' Package ',' Register ',' JWBN ',' Server ',' Offers', 'reply', 'Bad', ' network ',' in place ',' hope ',' in the future ',' pky ',' kal ',' teng ', "]</v>
      </c>
      <c r="D285" s="3">
        <v>1.0</v>
      </c>
    </row>
    <row r="286" ht="15.75" customHeight="1">
      <c r="A286" s="1">
        <v>299.0</v>
      </c>
      <c r="B286" s="3" t="s">
        <v>287</v>
      </c>
      <c r="C286" s="3" t="str">
        <f>IFERROR(__xludf.DUMMYFUNCTION("GOOGLETRANSLATE(B286,""id"",""en"")"),"['Nice', 'Cool', 'VERYBGUS', '']")</f>
        <v>['Nice', 'Cool', 'VERYBGUS', '']</v>
      </c>
      <c r="D286" s="3">
        <v>5.0</v>
      </c>
    </row>
    <row r="287" ht="15.75" customHeight="1">
      <c r="A287" s="1">
        <v>300.0</v>
      </c>
      <c r="B287" s="3" t="s">
        <v>288</v>
      </c>
      <c r="C287" s="3" t="str">
        <f>IFERROR(__xludf.DUMMYFUNCTION("GOOGLETRANSLATE(B287,""id"",""en"")"),"['Telkomsel', 'what', 'quota', 'main', 'Package', 'YouTube', 'watch', 'YouTube', 'Cut', 'quota', 'main', 'quota', ' YouTube ',' please ',' fix ',' system ']")</f>
        <v>['Telkomsel', 'what', 'quota', 'main', 'Package', 'YouTube', 'watch', 'YouTube', 'Cut', 'quota', 'main', 'quota', ' YouTube ',' please ',' fix ',' system ']</v>
      </c>
      <c r="D287" s="3">
        <v>1.0</v>
      </c>
    </row>
    <row r="288" ht="15.75" customHeight="1">
      <c r="A288" s="1">
        <v>301.0</v>
      </c>
      <c r="B288" s="3" t="s">
        <v>289</v>
      </c>
      <c r="C288" s="3" t="str">
        <f>IFERROR(__xludf.DUMMYFUNCTION("GOOGLETRANSLATE(B288,""id"",""en"")"),"['Mantab', 'child', 'company', 'plate', 'red', 'price', 'medium', 'price', 'populat', 'buy', 'people', 'Indonesia', ' ']")</f>
        <v>['Mantab', 'child', 'company', 'plate', 'red', 'price', 'medium', 'price', 'populat', 'buy', 'people', 'Indonesia', ' ']</v>
      </c>
      <c r="D288" s="3">
        <v>5.0</v>
      </c>
    </row>
    <row r="289" ht="15.75" customHeight="1">
      <c r="A289" s="1">
        <v>302.0</v>
      </c>
      <c r="B289" s="3" t="s">
        <v>290</v>
      </c>
      <c r="C289" s="3" t="str">
        <f>IFERROR(__xludf.DUMMYFUNCTION("GOOGLETRANSLATE(B289,""id"",""en"")"),"['Open', 'Application', 'Dikkomsel', 'Download', 'Open', 'Nga', 'Delete', 'Download', 'Nga', 'Harm']")</f>
        <v>['Open', 'Application', 'Dikkomsel', 'Download', 'Open', 'Nga', 'Delete', 'Download', 'Nga', 'Harm']</v>
      </c>
      <c r="D289" s="3">
        <v>1.0</v>
      </c>
    </row>
    <row r="290" ht="15.75" customHeight="1">
      <c r="A290" s="1">
        <v>303.0</v>
      </c>
      <c r="B290" s="3" t="s">
        <v>291</v>
      </c>
      <c r="C290" s="3" t="str">
        <f>IFERROR(__xludf.DUMMYFUNCTION("GOOGLETRANSLATE(B290,""id"",""en"")"),"['Alhamdulillah', 'app', 'Telkomsel', 'help', 'buy', 'package', 'internet', 'home', 'trimakasih', 'May', 'Telkomsel', 'hope', ' Jaya ',' Slalu ',' Tamtah ',' Success', 'Amin', ""]")</f>
        <v>['Alhamdulillah', 'app', 'Telkomsel', 'help', 'buy', 'package', 'internet', 'home', 'trimakasih', 'May', 'Telkomsel', 'hope', ' Jaya ',' Slalu ',' Tamtah ',' Success', 'Amin', "]</v>
      </c>
      <c r="D290" s="3">
        <v>5.0</v>
      </c>
    </row>
    <row r="291" ht="15.75" customHeight="1">
      <c r="A291" s="1">
        <v>304.0</v>
      </c>
      <c r="B291" s="3" t="s">
        <v>292</v>
      </c>
      <c r="C291" s="3" t="str">
        <f>IFERROR(__xludf.DUMMYFUNCTION("GOOGLETRANSLATE(B291,""id"",""en"")"),"['Exchange', 'Point', 'Game', 'Jdi', 'Good']")</f>
        <v>['Exchange', 'Point', 'Game', 'Jdi', 'Good']</v>
      </c>
      <c r="D291" s="3">
        <v>1.0</v>
      </c>
    </row>
    <row r="292" ht="15.75" customHeight="1">
      <c r="A292" s="1">
        <v>305.0</v>
      </c>
      <c r="B292" s="3" t="s">
        <v>293</v>
      </c>
      <c r="C292" s="3" t="str">
        <f>IFERROR(__xludf.DUMMYFUNCTION("GOOGLETRANSLATE(B292,""id"",""en"")"),"['Good', 'makes it easy', 'buy', 'package', 'counter']")</f>
        <v>['Good', 'makes it easy', 'buy', 'package', 'counter']</v>
      </c>
      <c r="D292" s="3">
        <v>5.0</v>
      </c>
    </row>
    <row r="293" ht="15.75" customHeight="1">
      <c r="A293" s="1">
        <v>306.0</v>
      </c>
      <c r="B293" s="3" t="s">
        <v>294</v>
      </c>
      <c r="C293" s="3" t="str">
        <f>IFERROR(__xludf.DUMMYFUNCTION("GOOGLETRANSLATE(B293,""id"",""en"")"),"['signal', 'Telkomsel', 'noon', 'already', 'signal', 'mulu', 'difficult', 'need', 'please', 'fix']")</f>
        <v>['signal', 'Telkomsel', 'noon', 'already', 'signal', 'mulu', 'difficult', 'need', 'please', 'fix']</v>
      </c>
      <c r="D293" s="3">
        <v>1.0</v>
      </c>
    </row>
    <row r="294" ht="15.75" customHeight="1">
      <c r="A294" s="1">
        <v>307.0</v>
      </c>
      <c r="B294" s="3" t="s">
        <v>295</v>
      </c>
      <c r="C294" s="3" t="str">
        <f>IFERROR(__xludf.DUMMYFUNCTION("GOOGLETRANSLATE(B294,""id"",""en"")"),"['Good', 'really', 'promo', 'Not bad', 'hope', 'success', 'Telkomsel']")</f>
        <v>['Good', 'really', 'promo', 'Not bad', 'hope', 'success', 'Telkomsel']</v>
      </c>
      <c r="D294" s="3">
        <v>5.0</v>
      </c>
    </row>
    <row r="295" ht="15.75" customHeight="1">
      <c r="A295" s="1">
        <v>308.0</v>
      </c>
      <c r="B295" s="3" t="s">
        <v>296</v>
      </c>
      <c r="C295" s="3" t="str">
        <f>IFERROR(__xludf.DUMMYFUNCTION("GOOGLETRANSLATE(B295,""id"",""en"")"),"['already', 'activated', 'package', 'data', 'leftover', 'pulses',' tetep ',' scorched ',' already ',' xnya ',' network ',' ugly ',' Please ',' Fix ',' Atuh ',' Network ',' Taken ',' Remnant ',' Credit ',' ']")</f>
        <v>['already', 'activated', 'package', 'data', 'leftover', 'pulses',' tetep ',' scorched ',' already ',' xnya ',' network ',' ugly ',' Please ',' Fix ',' Atuh ',' Network ',' Taken ',' Remnant ',' Credit ',' ']</v>
      </c>
      <c r="D295" s="3">
        <v>1.0</v>
      </c>
    </row>
    <row r="296" ht="15.75" customHeight="1">
      <c r="A296" s="1">
        <v>310.0</v>
      </c>
      <c r="B296" s="3" t="s">
        <v>297</v>
      </c>
      <c r="C296" s="3" t="str">
        <f>IFERROR(__xludf.DUMMYFUNCTION("GOOGLETRANSLATE(B296,""id"",""en"")"),"['mksh', 'cave', 'get', 'quota', 'Maytelkomsel', 'darling', 'buy', 'pulse', 'like', 'Cut', 'Maytelkomsel', 'what', ' ']")</f>
        <v>['mksh', 'cave', 'get', 'quota', 'Maytelkomsel', 'darling', 'buy', 'pulse', 'like', 'Cut', 'Maytelkomsel', 'what', ' ']</v>
      </c>
      <c r="D296" s="3">
        <v>5.0</v>
      </c>
    </row>
    <row r="297" ht="15.75" customHeight="1">
      <c r="A297" s="1">
        <v>311.0</v>
      </c>
      <c r="B297" s="3" t="s">
        <v>298</v>
      </c>
      <c r="C297" s="3" t="str">
        <f>IFERROR(__xludf.DUMMYFUNCTION("GOOGLETRANSLATE(B297,""id"",""en"")"),"['Luckle', 'promo']")</f>
        <v>['Luckle', 'promo']</v>
      </c>
      <c r="D297" s="3">
        <v>4.0</v>
      </c>
    </row>
    <row r="298" ht="15.75" customHeight="1">
      <c r="A298" s="1">
        <v>312.0</v>
      </c>
      <c r="B298" s="3" t="s">
        <v>299</v>
      </c>
      <c r="C298" s="3" t="str">
        <f>IFERROR(__xludf.DUMMYFUNCTION("GOOGLETRANSLATE(B298,""id"",""en"")"),"['Open', 'App', 'Tsel']")</f>
        <v>['Open', 'App', 'Tsel']</v>
      </c>
      <c r="D298" s="3">
        <v>5.0</v>
      </c>
    </row>
    <row r="299" ht="15.75" customHeight="1">
      <c r="A299" s="1">
        <v>313.0</v>
      </c>
      <c r="B299" s="3" t="s">
        <v>300</v>
      </c>
      <c r="C299" s="3" t="str">
        <f>IFERROR(__xludf.DUMMYFUNCTION("GOOGLETRANSLATE(B299,""id"",""en"")"),"['', 'signal', 'bad', 'price', 'expensive']")</f>
        <v>['', 'signal', 'bad', 'price', 'expensive']</v>
      </c>
      <c r="D299" s="3">
        <v>1.0</v>
      </c>
    </row>
    <row r="300" ht="15.75" customHeight="1">
      <c r="A300" s="1">
        <v>316.0</v>
      </c>
      <c r="B300" s="3" t="s">
        <v>301</v>
      </c>
      <c r="C300" s="3" t="str">
        <f>IFERROR(__xludf.DUMMYFUNCTION("GOOGLETRANSLATE(B300,""id"",""en"")"),"['It's easy', 'purchase', 'package', 'pulse', 'promotion', 'good']")</f>
        <v>['It's easy', 'purchase', 'package', 'pulse', 'promotion', 'good']</v>
      </c>
      <c r="D300" s="3">
        <v>5.0</v>
      </c>
    </row>
    <row r="301" ht="15.75" customHeight="1">
      <c r="A301" s="1">
        <v>317.0</v>
      </c>
      <c r="B301" s="3" t="s">
        <v>302</v>
      </c>
      <c r="C301" s="3" t="str">
        <f>IFERROR(__xludf.DUMMYFUNCTION("GOOGLETRANSLATE(B301,""id"",""en"")"),"['Java', 'Indonesia', 'own', 'name', 'religion', 'Islam', 'country', 'Indonesia', 'Marty', 'Muliana', 'child', 'said' Indonesia ',' Indonesia ',' Marty ',' Friedman ',' comment ',' house ',' IIIII ',' comment ',' dear ',' deh ',' love ',' where ',' alread"&amp;"y ' , 'deh', 'love', 'devi', 'liu', 'name', 'baby', 'islamic', 'male', 'male', 'known', 'public', 'add', ' Thousands', 'shop', 'sell', 'play']")</f>
        <v>['Java', 'Indonesia', 'own', 'name', 'religion', 'Islam', 'country', 'Indonesia', 'Marty', 'Muliana', 'child', 'said' Indonesia ',' Indonesia ',' Marty ',' Friedman ',' comment ',' house ',' IIIII ',' comment ',' dear ',' deh ',' love ',' where ',' already ' , 'deh', 'love', 'devi', 'liu', 'name', 'baby', 'islamic', 'male', 'male', 'known', 'public', 'add', ' Thousands', 'shop', 'sell', 'play']</v>
      </c>
      <c r="D301" s="3">
        <v>1.0</v>
      </c>
    </row>
    <row r="302" ht="15.75" customHeight="1">
      <c r="A302" s="1">
        <v>318.0</v>
      </c>
      <c r="B302" s="3" t="s">
        <v>303</v>
      </c>
      <c r="C302" s="3" t="str">
        <f>IFERROR(__xludf.DUMMYFUNCTION("GOOGLETRANSLATE(B302,""id"",""en"")"),"['pdhl', 'Telkom', 'can', 'promo', 'can', 'signal', 'difficult', '']")</f>
        <v>['pdhl', 'Telkom', 'can', 'promo', 'can', 'signal', 'difficult', '']</v>
      </c>
      <c r="D302" s="3">
        <v>1.0</v>
      </c>
    </row>
    <row r="303" ht="15.75" customHeight="1">
      <c r="A303" s="1">
        <v>319.0</v>
      </c>
      <c r="B303" s="3" t="s">
        <v>304</v>
      </c>
      <c r="C303" s="3" t="str">
        <f>IFERROR(__xludf.DUMMYFUNCTION("GOOGLETRANSLATE(B303,""id"",""en"")"),"['Good', 'help', 'user']")</f>
        <v>['Good', 'help', 'user']</v>
      </c>
      <c r="D303" s="3">
        <v>5.0</v>
      </c>
    </row>
    <row r="304" ht="15.75" customHeight="1">
      <c r="A304" s="1">
        <v>320.0</v>
      </c>
      <c r="B304" s="3" t="s">
        <v>305</v>
      </c>
      <c r="C304" s="3" t="str">
        <f>IFERROR(__xludf.DUMMYFUNCTION("GOOGLETRANSLATE(B304,""id"",""en"")"),"['Unfortunately', 'quota', 'free']")</f>
        <v>['Unfortunately', 'quota', 'free']</v>
      </c>
      <c r="D304" s="3">
        <v>5.0</v>
      </c>
    </row>
    <row r="305" ht="15.75" customHeight="1">
      <c r="A305" s="1">
        <v>321.0</v>
      </c>
      <c r="B305" s="3" t="s">
        <v>306</v>
      </c>
      <c r="C305" s="3" t="str">
        <f>IFERROR(__xludf.DUMMYFUNCTION("GOOGLETRANSLATE(B305,""id"",""en"")"),"['Telkomsel', 'dead', 'electricity', 'network', 'disturbed', 'upset', 'play', 'game', 'dead', 'electricity', 'wifi', 'die', ' Quota ',' use ',' overcome ', ""]")</f>
        <v>['Telkomsel', 'dead', 'electricity', 'network', 'disturbed', 'upset', 'play', 'game', 'dead', 'electricity', 'wifi', 'die', ' Quota ',' use ',' overcome ', "]</v>
      </c>
      <c r="D305" s="3">
        <v>3.0</v>
      </c>
    </row>
    <row r="306" ht="15.75" customHeight="1">
      <c r="A306" s="1">
        <v>322.0</v>
      </c>
      <c r="B306" s="3" t="s">
        <v>307</v>
      </c>
      <c r="C306" s="3" t="str">
        <f>IFERROR(__xludf.DUMMYFUNCTION("GOOGLETRANSLATE(B306,""id"",""en"")"),"['The application', 'heavy', 'really', 'error', 'blank', 'white', 'delete', 'data', 'login', 'reset']")</f>
        <v>['The application', 'heavy', 'really', 'error', 'blank', 'white', 'delete', 'data', 'login', 'reset']</v>
      </c>
      <c r="D306" s="3">
        <v>1.0</v>
      </c>
    </row>
    <row r="307" ht="15.75" customHeight="1">
      <c r="A307" s="1">
        <v>323.0</v>
      </c>
      <c r="B307" s="3" t="s">
        <v>308</v>
      </c>
      <c r="C307" s="3" t="str">
        <f>IFERROR(__xludf.DUMMYFUNCTION("GOOGLETRANSLATE(B307,""id"",""en"")"),"['happy', 'application']")</f>
        <v>['happy', 'application']</v>
      </c>
      <c r="D307" s="3">
        <v>5.0</v>
      </c>
    </row>
    <row r="308" ht="15.75" customHeight="1">
      <c r="A308" s="1">
        <v>324.0</v>
      </c>
      <c r="B308" s="3" t="s">
        <v>309</v>
      </c>
      <c r="C308" s="3" t="str">
        <f>IFERROR(__xludf.DUMMYFUNCTION("GOOGLETRANSLATE(B308,""id"",""en"")"),"['respect', 'crew', 'users',' Telkomsel ',' support ',' Telkomsel ',' best ',' begging ',' price ',' product ',' Telkomsel ',' dumped ',' Because ',' like ',' like ',' turned ',' price ',' product ',' cell ',' thank you ', ""]")</f>
        <v>['respect', 'crew', 'users',' Telkomsel ',' support ',' Telkomsel ',' best ',' begging ',' price ',' product ',' Telkomsel ',' dumped ',' Because ',' like ',' like ',' turned ',' price ',' product ',' cell ',' thank you ', "]</v>
      </c>
      <c r="D308" s="3">
        <v>1.0</v>
      </c>
    </row>
    <row r="309" ht="15.75" customHeight="1">
      <c r="A309" s="1">
        <v>325.0</v>
      </c>
      <c r="B309" s="3" t="s">
        <v>310</v>
      </c>
      <c r="C309" s="3" t="str">
        <f>IFERROR(__xludf.DUMMYFUNCTION("GOOGLETRANSLATE(B309,""id"",""en"")"),"['update', 'notification', 'package', 'unlimitite', 'TPI', 'right', 'check', 'ngk', 'package', 'unlimitite', 'update', 'change', ' NGK ',' Cleansia ',' Please ',' Expert ',' Admin ',' Telkomsel ',' Dear ',' Package ',' Unlimitite ',' NGK ',' Notification "&amp;"',' Enter ',' right ' , 'check', 'NGK']")</f>
        <v>['update', 'notification', 'package', 'unlimitite', 'TPI', 'right', 'check', 'ngk', 'package', 'unlimitite', 'update', 'change', ' NGK ',' Cleansia ',' Please ',' Expert ',' Admin ',' Telkomsel ',' Dear ',' Package ',' Unlimitite ',' NGK ',' Notification ',' Enter ',' right ' , 'check', 'NGK']</v>
      </c>
      <c r="D309" s="3">
        <v>2.0</v>
      </c>
    </row>
    <row r="310" ht="15.75" customHeight="1">
      <c r="A310" s="1">
        <v>326.0</v>
      </c>
      <c r="B310" s="3" t="s">
        <v>311</v>
      </c>
      <c r="C310" s="3" t="str">
        <f>IFERROR(__xludf.DUMMYFUNCTION("GOOGLETRANSLATE(B310,""id"",""en"")"),"['expensive']")</f>
        <v>['expensive']</v>
      </c>
      <c r="D310" s="3">
        <v>5.0</v>
      </c>
    </row>
    <row r="311" ht="15.75" customHeight="1">
      <c r="A311" s="1">
        <v>327.0</v>
      </c>
      <c r="B311" s="3" t="s">
        <v>312</v>
      </c>
      <c r="C311" s="3" t="str">
        <f>IFERROR(__xludf.DUMMYFUNCTION("GOOGLETRANSLATE(B311,""id"",""en"")"),"['best']")</f>
        <v>['best']</v>
      </c>
      <c r="D311" s="3">
        <v>5.0</v>
      </c>
    </row>
    <row r="312" ht="15.75" customHeight="1">
      <c r="A312" s="1">
        <v>328.0</v>
      </c>
      <c r="B312" s="3" t="s">
        <v>313</v>
      </c>
      <c r="C312" s="3" t="str">
        <f>IFERROR(__xludf.DUMMYFUNCTION("GOOGLETRANSLATE(B312,""id"",""en"")"),"['right', 'really', 'package', 'super', 'kayak', 'gni', '']")</f>
        <v>['right', 'really', 'package', 'super', 'kayak', 'gni', '']</v>
      </c>
      <c r="D312" s="3">
        <v>5.0</v>
      </c>
    </row>
    <row r="313" ht="15.75" customHeight="1">
      <c r="A313" s="1">
        <v>329.0</v>
      </c>
      <c r="B313" s="3" t="s">
        <v>314</v>
      </c>
      <c r="C313" s="3" t="str">
        <f>IFERROR(__xludf.DUMMYFUNCTION("GOOGLETRANSLATE(B313,""id"",""en"")"),"['Telkomsel', 'Please', 'Repaired', 'Network', 'Village', 'Current']")</f>
        <v>['Telkomsel', 'Please', 'Repaired', 'Network', 'Village', 'Current']</v>
      </c>
      <c r="D313" s="3">
        <v>4.0</v>
      </c>
    </row>
    <row r="314" ht="15.75" customHeight="1">
      <c r="A314" s="1">
        <v>330.0</v>
      </c>
      <c r="B314" s="3" t="s">
        <v>315</v>
      </c>
      <c r="C314" s="3" t="str">
        <f>IFERROR(__xludf.DUMMYFUNCTION("GOOGLETRANSLATE(B314,""id"",""en"")"),"['Please', 'repaired', 'signal', 'ugly', 'good', 'ugly', 'Please', 'fast', 'repair']")</f>
        <v>['Please', 'repaired', 'signal', 'ugly', 'good', 'ugly', 'Please', 'fast', 'repair']</v>
      </c>
      <c r="D314" s="3">
        <v>2.0</v>
      </c>
    </row>
    <row r="315" ht="15.75" customHeight="1">
      <c r="A315" s="1">
        <v>331.0</v>
      </c>
      <c r="B315" s="3" t="s">
        <v>316</v>
      </c>
      <c r="C315" s="3" t="str">
        <f>IFERROR(__xludf.DUMMYFUNCTION("GOOGLETRANSLATE(B315,""id"",""en"")"),"['Memermm', 'already', 'service', 'information', 'Telkomsel', 'promo', 'purchase', 'product']")</f>
        <v>['Memermm', 'already', 'service', 'information', 'Telkomsel', 'promo', 'purchase', 'product']</v>
      </c>
      <c r="D315" s="3">
        <v>5.0</v>
      </c>
    </row>
    <row r="316" ht="15.75" customHeight="1">
      <c r="A316" s="1">
        <v>333.0</v>
      </c>
      <c r="B316" s="3" t="s">
        <v>317</v>
      </c>
      <c r="C316" s="3" t="str">
        <f>IFERROR(__xludf.DUMMYFUNCTION("GOOGLETRANSLATE(B316,""id"",""en"")"),"['Application', 'fun']")</f>
        <v>['Application', 'fun']</v>
      </c>
      <c r="D316" s="3">
        <v>5.0</v>
      </c>
    </row>
    <row r="317" ht="15.75" customHeight="1">
      <c r="A317" s="1">
        <v>334.0</v>
      </c>
      <c r="B317" s="3" t="s">
        <v>318</v>
      </c>
      <c r="C317" s="3" t="str">
        <f>IFERROR(__xludf.DUMMYFUNCTION("GOOGLETRANSLATE(B317,""id"",""en"")"),"['Hrga', 'expensive', 'TPI', 'bnyak', 'conditions', 'loss']")</f>
        <v>['Hrga', 'expensive', 'TPI', 'bnyak', 'conditions', 'loss']</v>
      </c>
      <c r="D317" s="3">
        <v>1.0</v>
      </c>
    </row>
    <row r="318" ht="15.75" customHeight="1">
      <c r="A318" s="1">
        <v>336.0</v>
      </c>
      <c r="B318" s="3" t="s">
        <v>319</v>
      </c>
      <c r="C318" s="3" t="str">
        <f>IFERROR(__xludf.DUMMYFUNCTION("GOOGLETRANSLATE(B318,""id"",""en"")"),"['Disappointed', 'Telkomsel', 'already', 'network', 'stable', 'please', 'fix', 'network', 'strong', 'remote', 'country']")</f>
        <v>['Disappointed', 'Telkomsel', 'already', 'network', 'stable', 'please', 'fix', 'network', 'strong', 'remote', 'country']</v>
      </c>
      <c r="D318" s="3">
        <v>1.0</v>
      </c>
    </row>
    <row r="319" ht="15.75" customHeight="1">
      <c r="A319" s="1">
        <v>337.0</v>
      </c>
      <c r="B319" s="3" t="s">
        <v>320</v>
      </c>
      <c r="C319" s="3" t="str">
        <f>IFERROR(__xludf.DUMMYFUNCTION("GOOGLETRANSLATE(B319,""id"",""en"")"),"['Turn', 'Exchange', 'Points', 'Slalu', 'System', 'Busy']")</f>
        <v>['Turn', 'Exchange', 'Points', 'Slalu', 'System', 'Busy']</v>
      </c>
      <c r="D319" s="3">
        <v>2.0</v>
      </c>
    </row>
    <row r="320" ht="15.75" customHeight="1">
      <c r="A320" s="1">
        <v>338.0</v>
      </c>
      <c r="B320" s="3" t="s">
        <v>321</v>
      </c>
      <c r="C320" s="3" t="str">
        <f>IFERROR(__xludf.DUMMYFUNCTION("GOOGLETRANSLATE(B320,""id"",""en"")"),"['makes it easier', 'buy', 'package', 'and', 'pulse', 'application', 'Telkomsel', '']")</f>
        <v>['makes it easier', 'buy', 'package', 'and', 'pulse', 'application', 'Telkomsel', '']</v>
      </c>
      <c r="D320" s="3">
        <v>5.0</v>
      </c>
    </row>
    <row r="321" ht="15.75" customHeight="1">
      <c r="A321" s="1">
        <v>339.0</v>
      </c>
      <c r="B321" s="3" t="s">
        <v>322</v>
      </c>
      <c r="C321" s="3" t="str">
        <f>IFERROR(__xludf.DUMMYFUNCTION("GOOGLETRANSLATE(B321,""id"",""en"")"),"['Telkomsel', 'Dihati', 'Leading', 'Signal', 'Service', 'Call', 'Center', 'GraPARI', 'Service', 'Hopefully', 'Jaya', 'Quality', ' according to ',' rates', 'hope', 'in the future', 'rates',' parallel ',' operator ',' thank ',' love ']")</f>
        <v>['Telkomsel', 'Dihati', 'Leading', 'Signal', 'Service', 'Call', 'Center', 'GraPARI', 'Service', 'Hopefully', 'Jaya', 'Quality', ' according to ',' rates', 'hope', 'in the future', 'rates',' parallel ',' operator ',' thank ',' love ']</v>
      </c>
      <c r="D321" s="3">
        <v>5.0</v>
      </c>
    </row>
    <row r="322" ht="15.75" customHeight="1">
      <c r="A322" s="1">
        <v>340.0</v>
      </c>
      <c r="B322" s="3" t="s">
        <v>323</v>
      </c>
      <c r="C322" s="3" t="str">
        <f>IFERROR(__xludf.DUMMYFUNCTION("GOOGLETRANSLATE(B322,""id"",""en"")"),"['Simple', 'suggested']")</f>
        <v>['Simple', 'suggested']</v>
      </c>
      <c r="D322" s="3">
        <v>5.0</v>
      </c>
    </row>
    <row r="323" ht="15.75" customHeight="1">
      <c r="A323" s="1">
        <v>341.0</v>
      </c>
      <c r="B323" s="3" t="s">
        <v>324</v>
      </c>
      <c r="C323" s="3" t="str">
        <f>IFERROR(__xludf.DUMMYFUNCTION("GOOGLETRANSLATE(B323,""id"",""en"")"),"['Good', 'easy', 'used']")</f>
        <v>['Good', 'easy', 'used']</v>
      </c>
      <c r="D323" s="3">
        <v>5.0</v>
      </c>
    </row>
    <row r="324" ht="15.75" customHeight="1">
      <c r="A324" s="1">
        <v>342.0</v>
      </c>
      <c r="B324" s="3" t="s">
        <v>325</v>
      </c>
      <c r="C324" s="3" t="str">
        <f>IFERROR(__xludf.DUMMYFUNCTION("GOOGLETRANSLATE(B324,""id"",""en"")"),"['ugly', 'really', 'kouta', 'youtube', 'kouta', 'main', 'GB', 'star', '']")</f>
        <v>['ugly', 'really', 'kouta', 'youtube', 'kouta', 'main', 'GB', 'star', '']</v>
      </c>
      <c r="D324" s="3">
        <v>1.0</v>
      </c>
    </row>
    <row r="325" ht="15.75" customHeight="1">
      <c r="A325" s="1">
        <v>343.0</v>
      </c>
      <c r="B325" s="3" t="s">
        <v>326</v>
      </c>
      <c r="C325" s="3" t="str">
        <f>IFERROR(__xludf.DUMMYFUNCTION("GOOGLETRANSLATE(B325,""id"",""en"")"),"['anjingggggg', 'signal', 'ugly', 'expensive', 'buy', 'package', '']")</f>
        <v>['anjingggggg', 'signal', 'ugly', 'expensive', 'buy', 'package', '']</v>
      </c>
      <c r="D325" s="3">
        <v>3.0</v>
      </c>
    </row>
    <row r="326" ht="15.75" customHeight="1">
      <c r="A326" s="1">
        <v>344.0</v>
      </c>
      <c r="B326" s="3" t="s">
        <v>327</v>
      </c>
      <c r="C326" s="3" t="str">
        <f>IFERROR(__xludf.DUMMYFUNCTION("GOOGLETRANSLATE(B326,""id"",""en"")"),"['easy', 'arscliety', 'pulse']")</f>
        <v>['easy', 'arscliety', 'pulse']</v>
      </c>
      <c r="D326" s="3">
        <v>5.0</v>
      </c>
    </row>
    <row r="327" ht="15.75" customHeight="1">
      <c r="A327" s="1">
        <v>345.0</v>
      </c>
      <c r="B327" s="3" t="s">
        <v>328</v>
      </c>
      <c r="C327" s="3" t="str">
        <f>IFERROR(__xludf.DUMMYFUNCTION("GOOGLETRANSLATE(B327,""id"",""en"")"),"['Telkomsel', 'Understand']")</f>
        <v>['Telkomsel', 'Understand']</v>
      </c>
      <c r="D327" s="3">
        <v>5.0</v>
      </c>
    </row>
    <row r="328" ht="15.75" customHeight="1">
      <c r="A328" s="1">
        <v>346.0</v>
      </c>
      <c r="B328" s="3" t="s">
        <v>329</v>
      </c>
      <c r="C328" s="3" t="str">
        <f>IFERROR(__xludf.DUMMYFUNCTION("GOOGLETRANSLATE(B328,""id"",""en"")"),"['Comfortable', 'concept', 'points',' getting ',' Points', 'buy', 'pulse', 'nominal', 'exchanged', 'internet', 'cost', 'cost', ' expensive ',' price ',' normal ',' quota ',' ']")</f>
        <v>['Comfortable', 'concept', 'points',' getting ',' Points', 'buy', 'pulse', 'nominal', 'exchanged', 'internet', 'cost', 'cost', ' expensive ',' price ',' normal ',' quota ',' ']</v>
      </c>
      <c r="D328" s="3">
        <v>1.0</v>
      </c>
    </row>
    <row r="329" ht="15.75" customHeight="1">
      <c r="A329" s="1">
        <v>347.0</v>
      </c>
      <c r="B329" s="3" t="s">
        <v>330</v>
      </c>
      <c r="C329" s="3" t="str">
        <f>IFERROR(__xludf.DUMMYFUNCTION("GOOGLETRANSLATE(B329,""id"",""en"")"),"['Ribet', 'BLI', 'Credit', 'Pay', 'BCA', 'Gada', 'Males']")</f>
        <v>['Ribet', 'BLI', 'Credit', 'Pay', 'BCA', 'Gada', 'Males']</v>
      </c>
      <c r="D329" s="3">
        <v>1.0</v>
      </c>
    </row>
    <row r="330" ht="15.75" customHeight="1">
      <c r="A330" s="1">
        <v>348.0</v>
      </c>
      <c r="B330" s="3" t="s">
        <v>331</v>
      </c>
      <c r="C330" s="3" t="str">
        <f>IFERROR(__xludf.DUMMYFUNCTION("GOOGLETRANSLATE(B330,""id"",""en"")"),"['Ojo', 'banned', 'package', 'internet']")</f>
        <v>['Ojo', 'banned', 'package', 'internet']</v>
      </c>
      <c r="D330" s="3">
        <v>5.0</v>
      </c>
    </row>
    <row r="331" ht="15.75" customHeight="1">
      <c r="A331" s="1">
        <v>349.0</v>
      </c>
      <c r="B331" s="3" t="s">
        <v>332</v>
      </c>
      <c r="C331" s="3" t="str">
        <f>IFERROR(__xludf.DUMMYFUNCTION("GOOGLETRANSLATE(B331,""id"",""en"")"),"['network', 'slow', 'price', 'package', 'expensive', 'suits', 'price', 'quality', 'severe', '']")</f>
        <v>['network', 'slow', 'price', 'package', 'expensive', 'suits', 'price', 'quality', 'severe', '']</v>
      </c>
      <c r="D331" s="3">
        <v>1.0</v>
      </c>
    </row>
    <row r="332" ht="15.75" customHeight="1">
      <c r="A332" s="1">
        <v>350.0</v>
      </c>
      <c r="B332" s="3" t="s">
        <v>333</v>
      </c>
      <c r="C332" s="3" t="str">
        <f>IFERROR(__xludf.DUMMYFUNCTION("GOOGLETRANSLATE(B332,""id"",""en"")"),"['times',' enter ',' noisy ',' voice ',' Teng ',' Tong ',' Matiin ',' Silent ',' voice ',' what ',' Developer ',' tacked ',' Love ',' sound ',' that's']")</f>
        <v>['times',' enter ',' noisy ',' voice ',' Teng ',' Tong ',' Matiin ',' Silent ',' voice ',' what ',' Developer ',' tacked ',' Love ',' sound ',' that's']</v>
      </c>
      <c r="D332" s="3">
        <v>1.0</v>
      </c>
    </row>
    <row r="333" ht="15.75" customHeight="1">
      <c r="A333" s="1">
        <v>351.0</v>
      </c>
      <c r="B333" s="3" t="s">
        <v>334</v>
      </c>
      <c r="C333" s="3" t="str">
        <f>IFERROR(__xludf.DUMMYFUNCTION("GOOGLETRANSLATE(B333,""id"",""en"")"),"['Help', 'skx', 'purchase', 'package', 'plsa', 'mantaap', '']")</f>
        <v>['Help', 'skx', 'purchase', 'package', 'plsa', 'mantaap', '']</v>
      </c>
      <c r="D333" s="3">
        <v>4.0</v>
      </c>
    </row>
    <row r="334" ht="15.75" customHeight="1">
      <c r="A334" s="1">
        <v>353.0</v>
      </c>
      <c r="B334" s="3" t="s">
        <v>335</v>
      </c>
      <c r="C334" s="3" t="str">
        <f>IFERROR(__xludf.DUMMYFUNCTION("GOOGLETRANSLATE(B334,""id"",""en"")"),"['Sometimes',' Open ',' Sometimes', 'Error', 'Sometimes',' Credit ',' Tiris', 'Open', 'Quota', 'Full', 'Ferifikasi', 'Please', ' Increase ',' quota ',' cheap ',' bgtu ']")</f>
        <v>['Sometimes',' Open ',' Sometimes', 'Error', 'Sometimes',' Credit ',' Tiris', 'Open', 'Quota', 'Full', 'Ferifikasi', 'Please', ' Increase ',' quota ',' cheap ',' bgtu ']</v>
      </c>
      <c r="D334" s="3">
        <v>4.0</v>
      </c>
    </row>
    <row r="335" ht="15.75" customHeight="1">
      <c r="A335" s="1">
        <v>354.0</v>
      </c>
      <c r="B335" s="3" t="s">
        <v>336</v>
      </c>
      <c r="C335" s="3" t="str">
        <f>IFERROR(__xludf.DUMMYFUNCTION("GOOGLETRANSLATE(B335,""id"",""en"")"),"['difficult', 'open', 'for days', 'results', 'already', 'chat', 'mimin', 'veeonika', 'hasih', 'filling', 'kenuh', 'date' Genesis', 'etc.', 'changed', 'haduhhhh', 'how', 'solution', 'tok', 'CER', '']")</f>
        <v>['difficult', 'open', 'for days', 'results', 'already', 'chat', 'mimin', 'veeonika', 'hasih', 'filling', 'kenuh', 'date' Genesis', 'etc.', 'changed', 'haduhhhh', 'how', 'solution', 'tok', 'CER', '']</v>
      </c>
      <c r="D335" s="3">
        <v>1.0</v>
      </c>
    </row>
    <row r="336" ht="15.75" customHeight="1">
      <c r="A336" s="1">
        <v>356.0</v>
      </c>
      <c r="B336" s="3" t="s">
        <v>337</v>
      </c>
      <c r="C336" s="3" t="str">
        <f>IFERROR(__xludf.DUMMYFUNCTION("GOOGLETRANSLATE(B336,""id"",""en"")"),"['apk', 'Telkomsel', 'blank', 'open', 'display', 'color', 'white', 'bkn', 'telkomsel', 'proof', 'review', 'named', ' Ragiel ',' Problems', 'Please', 'Fix']")</f>
        <v>['apk', 'Telkomsel', 'blank', 'open', 'display', 'color', 'white', 'bkn', 'telkomsel', 'proof', 'review', 'named', ' Ragiel ',' Problems', 'Please', 'Fix']</v>
      </c>
      <c r="D336" s="3">
        <v>5.0</v>
      </c>
    </row>
    <row r="337" ht="15.75" customHeight="1">
      <c r="A337" s="1">
        <v>357.0</v>
      </c>
      <c r="B337" s="3" t="s">
        <v>338</v>
      </c>
      <c r="C337" s="3" t="str">
        <f>IFERROR(__xludf.DUMMYFUNCTION("GOOGLETRANSLATE(B337,""id"",""en"")"),"['Sinyal', 'Gajelas', 'Bangettt', 'Bar', 'Full', 'Connect', '']")</f>
        <v>['Sinyal', 'Gajelas', 'Bangettt', 'Bar', 'Full', 'Connect', '']</v>
      </c>
      <c r="D337" s="3">
        <v>1.0</v>
      </c>
    </row>
    <row r="338" ht="15.75" customHeight="1">
      <c r="A338" s="1">
        <v>358.0</v>
      </c>
      <c r="B338" s="3" t="s">
        <v>339</v>
      </c>
      <c r="C338" s="3" t="str">
        <f>IFERROR(__xludf.DUMMYFUNCTION("GOOGLETRANSLATE(B338,""id"",""en"")"),"['The review', 'deleted', 'pulse', 'chick', 'quota', 'so', 'name', 'steal', 'report', 'police']")</f>
        <v>['The review', 'deleted', 'pulse', 'chick', 'quota', 'so', 'name', 'steal', 'report', 'police']</v>
      </c>
      <c r="D338" s="3">
        <v>1.0</v>
      </c>
    </row>
    <row r="339" ht="15.75" customHeight="1">
      <c r="A339" s="1">
        <v>359.0</v>
      </c>
      <c r="B339" s="3" t="s">
        <v>340</v>
      </c>
      <c r="C339" s="3" t="str">
        <f>IFERROR(__xludf.DUMMYFUNCTION("GOOGLETRANSLATE(B339,""id"",""en"")"),"['Please', 'Add', 'Feature', 'Transfer', 'Quota', 'Feature', 'Lock', 'Credit', '']")</f>
        <v>['Please', 'Add', 'Feature', 'Transfer', 'Quota', 'Feature', 'Lock', 'Credit', '']</v>
      </c>
      <c r="D339" s="3">
        <v>5.0</v>
      </c>
    </row>
    <row r="340" ht="15.75" customHeight="1">
      <c r="A340" s="1">
        <v>360.0</v>
      </c>
      <c r="B340" s="3" t="s">
        <v>341</v>
      </c>
      <c r="C340" s="3" t="str">
        <f>IFERROR(__xludf.DUMMYFUNCTION("GOOGLETRANSLATE(B340,""id"",""en"")"),"['Notif', 'SMS', '']")</f>
        <v>['Notif', 'SMS', '']</v>
      </c>
      <c r="D340" s="3">
        <v>2.0</v>
      </c>
    </row>
    <row r="341" ht="15.75" customHeight="1">
      <c r="A341" s="1">
        <v>361.0</v>
      </c>
      <c r="B341" s="3" t="s">
        <v>342</v>
      </c>
      <c r="C341" s="3" t="str">
        <f>IFERROR(__xludf.DUMMYFUNCTION("GOOGLETRANSLATE(B341,""id"",""en"")"),"['Steady', 'trusted']")</f>
        <v>['Steady', 'trusted']</v>
      </c>
      <c r="D341" s="3">
        <v>5.0</v>
      </c>
    </row>
    <row r="342" ht="15.75" customHeight="1">
      <c r="A342" s="1">
        <v>362.0</v>
      </c>
      <c r="B342" s="3" t="s">
        <v>343</v>
      </c>
      <c r="C342" s="3" t="str">
        <f>IFERROR(__xludf.DUMMYFUNCTION("GOOGLETRANSLATE(B342,""id"",""en"")"),"['Kadek', 'Budi', 'Adnyana']")</f>
        <v>['Kadek', 'Budi', 'Adnyana']</v>
      </c>
      <c r="D342" s="3">
        <v>5.0</v>
      </c>
    </row>
    <row r="343" ht="15.75" customHeight="1">
      <c r="A343" s="1">
        <v>363.0</v>
      </c>
      <c r="B343" s="3" t="s">
        <v>344</v>
      </c>
      <c r="C343" s="3" t="str">
        <f>IFERROR(__xludf.DUMMYFUNCTION("GOOGLETRANSLATE(B343,""id"",""en"")"),"['Download', 'MyTelkomsel', 'Feel', 'Benefits']")</f>
        <v>['Download', 'MyTelkomsel', 'Feel', 'Benefits']</v>
      </c>
      <c r="D343" s="3">
        <v>5.0</v>
      </c>
    </row>
    <row r="344" ht="15.75" customHeight="1">
      <c r="A344" s="1">
        <v>364.0</v>
      </c>
      <c r="B344" s="3" t="s">
        <v>345</v>
      </c>
      <c r="C344" s="3" t="str">
        <f>IFERROR(__xludf.DUMMYFUNCTION("GOOGLETRANSLATE(B344,""id"",""en"")"),"['Good', 'really', 'help', ""]")</f>
        <v>['Good', 'really', 'help', "]</v>
      </c>
      <c r="D344" s="3">
        <v>5.0</v>
      </c>
    </row>
    <row r="345" ht="15.75" customHeight="1">
      <c r="A345" s="1">
        <v>365.0</v>
      </c>
      <c r="B345" s="3" t="s">
        <v>346</v>
      </c>
      <c r="C345" s="3" t="str">
        <f>IFERROR(__xludf.DUMMYFUNCTION("GOOGLETRANSLATE(B345,""id"",""en"")"),"['Hello', 'Telkomsel', 'sorry', 'just', 'gave', 'star', 'because', 'contents',' pulses', 'already', 'really', 'chick', ' Nakar ',' pulse ',' package ',' internet ',' hunter ',' cut ',' pulses', 'where', 'pulses',' lost ']")</f>
        <v>['Hello', 'Telkomsel', 'sorry', 'just', 'gave', 'star', 'because', 'contents',' pulses', 'already', 'really', 'chick', ' Nakar ',' pulse ',' package ',' internet ',' hunter ',' cut ',' pulses', 'where', 'pulses',' lost ']</v>
      </c>
      <c r="D345" s="3">
        <v>1.0</v>
      </c>
    </row>
    <row r="346" ht="15.75" customHeight="1">
      <c r="A346" s="1">
        <v>366.0</v>
      </c>
      <c r="B346" s="3" t="s">
        <v>347</v>
      </c>
      <c r="C346" s="3" t="str">
        <f>IFERROR(__xludf.DUMMYFUNCTION("GOOGLETRANSLATE(B346,""id"",""en"")"),"['Mantab', 'application', '']")</f>
        <v>['Mantab', 'application', '']</v>
      </c>
      <c r="D346" s="3">
        <v>5.0</v>
      </c>
    </row>
    <row r="347" ht="15.75" customHeight="1">
      <c r="A347" s="1">
        <v>369.0</v>
      </c>
      <c r="B347" s="3" t="s">
        <v>348</v>
      </c>
      <c r="C347" s="3" t="str">
        <f>IFERROR(__xludf.DUMMYFUNCTION("GOOGLETRANSLATE(B347,""id"",""en"")"),"['Steady', 'help']")</f>
        <v>['Steady', 'help']</v>
      </c>
      <c r="D347" s="3">
        <v>4.0</v>
      </c>
    </row>
    <row r="348" ht="15.75" customHeight="1">
      <c r="A348" s="1">
        <v>370.0</v>
      </c>
      <c r="B348" s="3" t="s">
        <v>349</v>
      </c>
      <c r="C348" s="3" t="str">
        <f>IFERROR(__xludf.DUMMYFUNCTION("GOOGLETRANSLATE(B348,""id"",""en"")"),"['Info', 'Available', 'Lotsin', 'Promo', 'Save', 'Internet', '']")</f>
        <v>['Info', 'Available', 'Lotsin', 'Promo', 'Save', 'Internet', '']</v>
      </c>
      <c r="D348" s="3">
        <v>5.0</v>
      </c>
    </row>
    <row r="349" ht="15.75" customHeight="1">
      <c r="A349" s="1">
        <v>371.0</v>
      </c>
      <c r="B349" s="3" t="s">
        <v>350</v>
      </c>
      <c r="C349" s="3" t="str">
        <f>IFERROR(__xludf.DUMMYFUNCTION("GOOGLETRANSLATE(B349,""id"",""en"")"),"['Fraud', 'Exchange', 'Points', 'Voucher', 'Hotel', 'Cheap', 'Pas', 'Used', 'Voucher', 'Invalid']")</f>
        <v>['Fraud', 'Exchange', 'Points', 'Voucher', 'Hotel', 'Cheap', 'Pas', 'Used', 'Voucher', 'Invalid']</v>
      </c>
      <c r="D349" s="3">
        <v>1.0</v>
      </c>
    </row>
    <row r="350" ht="15.75" customHeight="1">
      <c r="A350" s="1">
        <v>372.0</v>
      </c>
      <c r="B350" s="3" t="s">
        <v>351</v>
      </c>
      <c r="C350" s="3" t="str">
        <f>IFERROR(__xludf.DUMMYFUNCTION("GOOGLETRANSLATE(B350,""id"",""en"")"),"['Likes', 'APK']")</f>
        <v>['Likes', 'APK']</v>
      </c>
      <c r="D350" s="3">
        <v>5.0</v>
      </c>
    </row>
    <row r="351" ht="15.75" customHeight="1">
      <c r="A351" s="1">
        <v>373.0</v>
      </c>
      <c r="B351" s="3" t="s">
        <v>352</v>
      </c>
      <c r="C351" s="3" t="str">
        <f>IFERROR(__xludf.DUMMYFUNCTION("GOOGLETRANSLATE(B351,""id"",""en"")"),"['', 'Telkomsel', 'mantaps']")</f>
        <v>['', 'Telkomsel', 'mantaps']</v>
      </c>
      <c r="D351" s="3">
        <v>5.0</v>
      </c>
    </row>
    <row r="352" ht="15.75" customHeight="1">
      <c r="A352" s="1">
        <v>374.0</v>
      </c>
      <c r="B352" s="3" t="s">
        <v>353</v>
      </c>
      <c r="C352" s="3" t="str">
        <f>IFERROR(__xludf.DUMMYFUNCTION("GOOGLETRANSLATE(B352,""id"",""en"")"),"['Help', 'makes it easier', 'search', 'package', 'cheap', 'suits', 'budget', 'top']")</f>
        <v>['Help', 'makes it easier', 'search', 'package', 'cheap', 'suits', 'budget', 'top']</v>
      </c>
      <c r="D352" s="3">
        <v>5.0</v>
      </c>
    </row>
    <row r="353" ht="15.75" customHeight="1">
      <c r="A353" s="1">
        <v>375.0</v>
      </c>
      <c r="B353" s="3" t="s">
        <v>354</v>
      </c>
      <c r="C353" s="3" t="str">
        <f>IFERROR(__xludf.DUMMYFUNCTION("GOOGLETRANSLATE(B353,""id"",""en"")"),"['Network', 'Telkomsel', 'Good', 'Disappointed', 'Signal', 'Full', 'TPI', 'Connection', 'Loading', 'Disappointed', 'Switch']")</f>
        <v>['Network', 'Telkomsel', 'Good', 'Disappointed', 'Signal', 'Full', 'TPI', 'Connection', 'Loading', 'Disappointed', 'Switch']</v>
      </c>
      <c r="D353" s="3">
        <v>1.0</v>
      </c>
    </row>
    <row r="354" ht="15.75" customHeight="1">
      <c r="A354" s="1">
        <v>376.0</v>
      </c>
      <c r="B354" s="3" t="s">
        <v>355</v>
      </c>
      <c r="C354" s="3" t="str">
        <f>IFERROR(__xludf.DUMMYFUNCTION("GOOGLETRANSLATE(B354,""id"",""en"")"),"['open', '']")</f>
        <v>['open', '']</v>
      </c>
      <c r="D354" s="3">
        <v>1.0</v>
      </c>
    </row>
    <row r="355" ht="15.75" customHeight="1">
      <c r="A355" s="1">
        <v>377.0</v>
      </c>
      <c r="B355" s="3" t="s">
        <v>356</v>
      </c>
      <c r="C355" s="3" t="str">
        <f>IFERROR(__xludf.DUMMYFUNCTION("GOOGLETRANSLATE(B355,""id"",""en"")"),"['Yesterday', 'Points', 'Nukerin', 'Balance', 'Bonus', 'Link', 'Points', 'Nukerin', 'Balance', 'Bonus', 'Link', ""]")</f>
        <v>['Yesterday', 'Points', 'Nukerin', 'Balance', 'Bonus', 'Link', 'Points', 'Nukerin', 'Balance', 'Bonus', 'Link', "]</v>
      </c>
      <c r="D355" s="3">
        <v>2.0</v>
      </c>
    </row>
    <row r="356" ht="15.75" customHeight="1">
      <c r="A356" s="1">
        <v>378.0</v>
      </c>
      <c r="B356" s="3" t="s">
        <v>357</v>
      </c>
      <c r="C356" s="3" t="str">
        <f>IFERROR(__xludf.DUMMYFUNCTION("GOOGLETRANSLATE(B356,""id"",""en"")"),"['Help', 'thank', 'love', ""]")</f>
        <v>['Help', 'thank', 'love', "]</v>
      </c>
      <c r="D356" s="3">
        <v>5.0</v>
      </c>
    </row>
    <row r="357" ht="15.75" customHeight="1">
      <c r="A357" s="1">
        <v>379.0</v>
      </c>
      <c r="B357" s="3" t="s">
        <v>358</v>
      </c>
      <c r="C357" s="3" t="str">
        <f>IFERROR(__xludf.DUMMYFUNCTION("GOOGLETRANSLATE(B357,""id"",""en"")"),"['Please', 'Yesterday', 'Card', 'Telkomsel', 'Gabisa', 'Registration', 'Request', 'Process', 'Wait', 'All Day', 'Blum']")</f>
        <v>['Please', 'Yesterday', 'Card', 'Telkomsel', 'Gabisa', 'Registration', 'Request', 'Process', 'Wait', 'All Day', 'Blum']</v>
      </c>
      <c r="D357" s="3">
        <v>1.0</v>
      </c>
    </row>
    <row r="358" ht="15.75" customHeight="1">
      <c r="A358" s="1">
        <v>380.0</v>
      </c>
      <c r="B358" s="3" t="s">
        <v>359</v>
      </c>
      <c r="C358" s="3" t="str">
        <f>IFERROR(__xludf.DUMMYFUNCTION("GOOGLETRANSLATE(B358,""id"",""en"")"),"['Open', 'Application', 'Loading', 'Lamaaa', 'really']")</f>
        <v>['Open', 'Application', 'Loading', 'Lamaaa', 'really']</v>
      </c>
      <c r="D358" s="3">
        <v>3.0</v>
      </c>
    </row>
    <row r="359" ht="15.75" customHeight="1">
      <c r="A359" s="1">
        <v>381.0</v>
      </c>
      <c r="B359" s="3" t="s">
        <v>360</v>
      </c>
      <c r="C359" s="3" t="str">
        <f>IFERROR(__xludf.DUMMYFUNCTION("GOOGLETRANSLATE(B359,""id"",""en"")"),"['skr', 'open', 'screen', 'white', 'because', 'user', 'loyal', 'prepaid', 'switch', 'post', 'pay', 'card', ' Hello ',' Tawarin ',' Function ',' Closed ',' Application ',' Please ',' Explanation ',' Improvement ',' ']")</f>
        <v>['skr', 'open', 'screen', 'white', 'because', 'user', 'loyal', 'prepaid', 'switch', 'post', 'pay', 'card', ' Hello ',' Tawarin ',' Function ',' Closed ',' Application ',' Please ',' Explanation ',' Improvement ',' ']</v>
      </c>
      <c r="D359" s="3">
        <v>1.0</v>
      </c>
    </row>
    <row r="360" ht="15.75" customHeight="1">
      <c r="A360" s="1">
        <v>382.0</v>
      </c>
      <c r="B360" s="3" t="s">
        <v>361</v>
      </c>
      <c r="C360" s="3" t="str">
        <f>IFERROR(__xludf.DUMMYFUNCTION("GOOGLETRANSLATE(B360,""id"",""en"")"),"['Application', 'Bagss']")</f>
        <v>['Application', 'Bagss']</v>
      </c>
      <c r="D360" s="3">
        <v>5.0</v>
      </c>
    </row>
    <row r="361" ht="15.75" customHeight="1">
      <c r="A361" s="1">
        <v>384.0</v>
      </c>
      <c r="B361" s="3" t="s">
        <v>362</v>
      </c>
      <c r="C361" s="3" t="str">
        <f>IFERROR(__xludf.DUMMYFUNCTION("GOOGLETRANSLATE(B361,""id"",""en"")"),"['Telkomsel', 'best']")</f>
        <v>['Telkomsel', 'best']</v>
      </c>
      <c r="D361" s="3">
        <v>5.0</v>
      </c>
    </row>
    <row r="362" ht="15.75" customHeight="1">
      <c r="A362" s="1">
        <v>385.0</v>
      </c>
      <c r="B362" s="3" t="s">
        <v>363</v>
      </c>
      <c r="C362" s="3" t="str">
        <f>IFERROR(__xludf.DUMMYFUNCTION("GOOGLETRANSLATE(B362,""id"",""en"")"),"['price', 'package', 'internet', 'torture', 'economy', 'family']")</f>
        <v>['price', 'package', 'internet', 'torture', 'economy', 'family']</v>
      </c>
      <c r="D362" s="3">
        <v>1.0</v>
      </c>
    </row>
    <row r="363" ht="15.75" customHeight="1">
      <c r="A363" s="1">
        <v>387.0</v>
      </c>
      <c r="B363" s="3" t="s">
        <v>364</v>
      </c>
      <c r="C363" s="3" t="str">
        <f>IFERROR(__xludf.DUMMYFUNCTION("GOOGLETRANSLATE(B363,""id"",""en"")"),"['bad', 'bad', 'bad', 'hope', 'fast', 'berangalt', 'hajj', 'hit', 'nation', 'package', 'limit', 'emang', ' "", 'Package', 'Please', 'Fix', 'Leet']")</f>
        <v>['bad', 'bad', 'bad', 'hope', 'fast', 'berangalt', 'hajj', 'hit', 'nation', 'package', 'limit', 'emang', ' ", 'Package', 'Please', 'Fix', 'Leet']</v>
      </c>
      <c r="D363" s="3">
        <v>3.0</v>
      </c>
    </row>
    <row r="364" ht="15.75" customHeight="1">
      <c r="A364" s="1">
        <v>388.0</v>
      </c>
      <c r="B364" s="3" t="s">
        <v>365</v>
      </c>
      <c r="C364" s="3" t="str">
        <f>IFERROR(__xludf.DUMMYFUNCTION("GOOGLETRANSLATE(B364,""id"",""en"")"),"['easy', 'transaction', 'buy', 'package', 'internet']")</f>
        <v>['easy', 'transaction', 'buy', 'package', 'internet']</v>
      </c>
      <c r="D364" s="3">
        <v>5.0</v>
      </c>
    </row>
    <row r="365" ht="15.75" customHeight="1">
      <c r="A365" s="1">
        <v>389.0</v>
      </c>
      <c r="B365" s="3" t="s">
        <v>366</v>
      </c>
      <c r="C365" s="3" t="str">
        <f>IFERROR(__xludf.DUMMYFUNCTION("GOOGLETRANSLATE(B365,""id"",""en"")"),"['Haloooo', 'Telkomsel', 'Network', 'The widest', 'Stay', 'City', 'Network', 'Kayak', 'Live', 'Forest', ""]")</f>
        <v>['Haloooo', 'Telkomsel', 'Network', 'The widest', 'Stay', 'City', 'Network', 'Kayak', 'Live', 'Forest', "]</v>
      </c>
      <c r="D365" s="3">
        <v>5.0</v>
      </c>
    </row>
    <row r="366" ht="15.75" customHeight="1">
      <c r="A366" s="1">
        <v>390.0</v>
      </c>
      <c r="B366" s="3" t="s">
        <v>367</v>
      </c>
      <c r="C366" s="3" t="str">
        <f>IFERROR(__xludf.DUMMYFUNCTION("GOOGLETRANSLATE(B366,""id"",""en"")"),"['It's easy', 'good']")</f>
        <v>['It's easy', 'good']</v>
      </c>
      <c r="D366" s="3">
        <v>5.0</v>
      </c>
    </row>
    <row r="367" ht="15.75" customHeight="1">
      <c r="A367" s="1">
        <v>391.0</v>
      </c>
      <c r="B367" s="3" t="s">
        <v>368</v>
      </c>
      <c r="C367" s="3" t="str">
        <f>IFERROR(__xludf.DUMMYFUNCTION("GOOGLETRANSLATE(B367,""id"",""en"")"),"['Love', 'Star', 'Fix', 'Open']")</f>
        <v>['Love', 'Star', 'Fix', 'Open']</v>
      </c>
      <c r="D367" s="3">
        <v>5.0</v>
      </c>
    </row>
    <row r="368" ht="15.75" customHeight="1">
      <c r="A368" s="1">
        <v>392.0</v>
      </c>
      <c r="B368" s="3" t="s">
        <v>369</v>
      </c>
      <c r="C368" s="3" t="str">
        <f>IFERROR(__xludf.DUMMYFUNCTION("GOOGLETRANSLATE(B368,""id"",""en"")"),"['Good', 'signal', 'strong', 'Where']")</f>
        <v>['Good', 'signal', 'strong', 'Where']</v>
      </c>
      <c r="D368" s="3">
        <v>5.0</v>
      </c>
    </row>
    <row r="369" ht="15.75" customHeight="1">
      <c r="A369" s="1">
        <v>393.0</v>
      </c>
      <c r="B369" s="3" t="s">
        <v>370</v>
      </c>
      <c r="C369" s="3" t="str">
        <f>IFERROR(__xludf.DUMMYFUNCTION("GOOGLETRANSLATE(B369,""id"",""en"")"),"['Makass', 'Telkomsel', 'Hopefully', 'Package', 'Cheap']")</f>
        <v>['Makass', 'Telkomsel', 'Hopefully', 'Package', 'Cheap']</v>
      </c>
      <c r="D369" s="3">
        <v>5.0</v>
      </c>
    </row>
    <row r="370" ht="15.75" customHeight="1">
      <c r="A370" s="1">
        <v>394.0</v>
      </c>
      <c r="B370" s="3" t="s">
        <v>371</v>
      </c>
      <c r="C370" s="3" t="str">
        <f>IFERROR(__xludf.DUMMYFUNCTION("GOOGLETRANSLATE(B370,""id"",""en"")"),"['Ribet', 'Brow', 'The application']")</f>
        <v>['Ribet', 'Brow', 'The application']</v>
      </c>
      <c r="D370" s="3">
        <v>1.0</v>
      </c>
    </row>
    <row r="371" ht="15.75" customHeight="1">
      <c r="A371" s="1">
        <v>395.0</v>
      </c>
      <c r="B371" s="3" t="s">
        <v>372</v>
      </c>
      <c r="C371" s="3" t="str">
        <f>IFERROR(__xludf.DUMMYFUNCTION("GOOGLETRANSLATE(B371,""id"",""en"")"),"['waduhh', 'minn', 'kouta', 'gb', 'knya', 'ilang', 'padal', 'contents',' pulse ',' Hadhh ',' back ',' Sis', ' Love ',' Bintang ',' ']")</f>
        <v>['waduhh', 'minn', 'kouta', 'gb', 'knya', 'ilang', 'padal', 'contents',' pulse ',' Hadhh ',' back ',' Sis', ' Love ',' Bintang ',' ']</v>
      </c>
      <c r="D371" s="3">
        <v>5.0</v>
      </c>
    </row>
    <row r="372" ht="15.75" customHeight="1">
      <c r="A372" s="1">
        <v>396.0</v>
      </c>
      <c r="B372" s="3" t="s">
        <v>373</v>
      </c>
      <c r="C372" s="3" t="str">
        <f>IFERROR(__xludf.DUMMYFUNCTION("GOOGLETRANSLATE(B372,""id"",""en"")"),"['Application', 'Helpful']")</f>
        <v>['Application', 'Helpful']</v>
      </c>
      <c r="D372" s="3">
        <v>5.0</v>
      </c>
    </row>
    <row r="373" ht="15.75" customHeight="1">
      <c r="A373" s="1">
        <v>397.0</v>
      </c>
      <c r="B373" s="3" t="s">
        <v>374</v>
      </c>
      <c r="C373" s="3" t="str">
        <f>IFERROR(__xludf.DUMMYFUNCTION("GOOGLETRANSLATE(B373,""id"",""en"")"),"['Quality', 'perfect']")</f>
        <v>['Quality', 'perfect']</v>
      </c>
      <c r="D373" s="3">
        <v>4.0</v>
      </c>
    </row>
    <row r="374" ht="15.75" customHeight="1">
      <c r="A374" s="1">
        <v>398.0</v>
      </c>
      <c r="B374" s="3" t="s">
        <v>375</v>
      </c>
      <c r="C374" s="3" t="str">
        <f>IFERROR(__xludf.DUMMYFUNCTION("GOOGLETRANSLATE(B374,""id"",""en"")"),"['Application', 'Good', 'Lottery', 'Prize', 'Recommended', 'Thanks', 'MyTelkomsel']")</f>
        <v>['Application', 'Good', 'Lottery', 'Prize', 'Recommended', 'Thanks', 'MyTelkomsel']</v>
      </c>
      <c r="D374" s="3">
        <v>5.0</v>
      </c>
    </row>
    <row r="375" ht="15.75" customHeight="1">
      <c r="A375" s="1">
        <v>399.0</v>
      </c>
      <c r="B375" s="3" t="s">
        <v>376</v>
      </c>
      <c r="C375" s="3" t="str">
        <f>IFERROR(__xludf.DUMMYFUNCTION("GOOGLETRANSLATE(B375,""id"",""en"")"),"['Help', 'check']")</f>
        <v>['Help', 'check']</v>
      </c>
      <c r="D375" s="3">
        <v>5.0</v>
      </c>
    </row>
    <row r="376" ht="15.75" customHeight="1">
      <c r="A376" s="1">
        <v>400.0</v>
      </c>
      <c r="B376" s="3" t="s">
        <v>377</v>
      </c>
      <c r="C376" s="3" t="str">
        <f>IFERROR(__xludf.DUMMYFUNCTION("GOOGLETRANSLATE(B376,""id"",""en"")"),"['Region', 'Kecamatan', 'JAWINAK', 'BANTEN', 'Signal', 'Please', 'Enhanced', 'Quality', 'Divine', 'Jam', 'Jakarta', 'Signal', ' bad', '']")</f>
        <v>['Region', 'Kecamatan', 'JAWINAK', 'BANTEN', 'Signal', 'Please', 'Enhanced', 'Quality', 'Divine', 'Jam', 'Jakarta', 'Signal', ' bad', '']</v>
      </c>
      <c r="D376" s="3">
        <v>3.0</v>
      </c>
    </row>
    <row r="377" ht="15.75" customHeight="1">
      <c r="A377" s="1">
        <v>401.0</v>
      </c>
      <c r="B377" s="3" t="s">
        <v>378</v>
      </c>
      <c r="C377" s="3" t="str">
        <f>IFERROR(__xludf.DUMMYFUNCTION("GOOGLETRANSLATE(B377,""id"",""en"")"),"['Service', 'smooth']")</f>
        <v>['Service', 'smooth']</v>
      </c>
      <c r="D377" s="3">
        <v>5.0</v>
      </c>
    </row>
    <row r="378" ht="15.75" customHeight="1">
      <c r="A378" s="1">
        <v>402.0</v>
      </c>
      <c r="B378" s="3" t="s">
        <v>68</v>
      </c>
      <c r="C378" s="3" t="str">
        <f>IFERROR(__xludf.DUMMYFUNCTION("GOOGLETRANSLATE(B378,""id"",""en"")"),"['steady']")</f>
        <v>['steady']</v>
      </c>
      <c r="D378" s="3">
        <v>5.0</v>
      </c>
    </row>
    <row r="379" ht="15.75" customHeight="1">
      <c r="A379" s="1">
        <v>403.0</v>
      </c>
      <c r="B379" s="3" t="s">
        <v>379</v>
      </c>
      <c r="C379" s="3" t="str">
        <f>IFERROR(__xludf.DUMMYFUNCTION("GOOGLETRANSLATE(B379,""id"",""en"")"),"['Fix', 'signal', 'min', 'price', 'expensive', 'signal', 'kek', 'managed', 'gini', 'mah', 'person', ' Move ',' operator ',' fix it ',' min ',' price ',' expensive ',' ']")</f>
        <v>['Fix', 'signal', 'min', 'price', 'expensive', 'signal', 'kek', 'managed', 'gini', 'mah', 'person', ' Move ',' operator ',' fix it ',' min ',' price ',' expensive ',' ']</v>
      </c>
      <c r="D379" s="3">
        <v>1.0</v>
      </c>
    </row>
    <row r="380" ht="15.75" customHeight="1">
      <c r="A380" s="1">
        <v>404.0</v>
      </c>
      <c r="B380" s="3" t="s">
        <v>380</v>
      </c>
      <c r="C380" s="3" t="str">
        <f>IFERROR(__xludf.DUMMYFUNCTION("GOOGLETRANSLATE(B380,""id"",""en"")"),"['Yay', 'already', 'Open', 'The application', 'thank you']")</f>
        <v>['Yay', 'already', 'Open', 'The application', 'thank you']</v>
      </c>
      <c r="D380" s="3">
        <v>5.0</v>
      </c>
    </row>
    <row r="381" ht="15.75" customHeight="1">
      <c r="A381" s="1">
        <v>405.0</v>
      </c>
      <c r="B381" s="3" t="s">
        <v>381</v>
      </c>
      <c r="C381" s="3" t="str">
        <f>IFERROR(__xludf.DUMMYFUNCTION("GOOGLETRANSLATE(B381,""id"",""en"")"),"['Signal', 'Increase']")</f>
        <v>['Signal', 'Increase']</v>
      </c>
      <c r="D381" s="3">
        <v>3.0</v>
      </c>
    </row>
    <row r="382" ht="15.75" customHeight="1">
      <c r="A382" s="1">
        <v>406.0</v>
      </c>
      <c r="B382" s="3" t="s">
        <v>382</v>
      </c>
      <c r="C382" s="3" t="str">
        <f>IFERROR(__xludf.DUMMYFUNCTION("GOOGLETRANSLATE(B382,""id"",""en"")"),"['Check', 'Full', 'Application', 'Sudden', 'Error', 'Accessible', 'Turn', 'Reedem', 'Point', 'Tens',' Times', 'FAIL', ' Contact ',' cs', 'tip', 'point', 'scorched', 'cunning', 'pattern', 'business']")</f>
        <v>['Check', 'Full', 'Application', 'Sudden', 'Error', 'Accessible', 'Turn', 'Reedem', 'Point', 'Tens',' Times', 'FAIL', ' Contact ',' cs', 'tip', 'point', 'scorched', 'cunning', 'pattern', 'business']</v>
      </c>
      <c r="D382" s="3">
        <v>1.0</v>
      </c>
    </row>
    <row r="383" ht="15.75" customHeight="1">
      <c r="A383" s="1">
        <v>408.0</v>
      </c>
      <c r="B383" s="3" t="s">
        <v>383</v>
      </c>
      <c r="C383" s="3" t="str">
        <f>IFERROR(__xludf.DUMMYFUNCTION("GOOGLETRANSLATE(B383,""id"",""en"")"),"['package', 'internet', 'offered', 'emang', 'already', 'good', 'really', ""]")</f>
        <v>['package', 'internet', 'offered', 'emang', 'already', 'good', 'really', "]</v>
      </c>
      <c r="D383" s="3">
        <v>4.0</v>
      </c>
    </row>
    <row r="384" ht="15.75" customHeight="1">
      <c r="A384" s="1">
        <v>409.0</v>
      </c>
      <c r="B384" s="3" t="s">
        <v>384</v>
      </c>
      <c r="C384" s="3" t="str">
        <f>IFERROR(__xludf.DUMMYFUNCTION("GOOGLETRANSLATE(B384,""id"",""en"")"),"['Sya', 'Menon', 'Activate', 'Package', 'Sya', '']")</f>
        <v>['Sya', 'Menon', 'Activate', 'Package', 'Sya', '']</v>
      </c>
      <c r="D384" s="3">
        <v>4.0</v>
      </c>
    </row>
    <row r="385" ht="15.75" customHeight="1">
      <c r="A385" s="1">
        <v>410.0</v>
      </c>
      <c r="B385" s="3" t="s">
        <v>385</v>
      </c>
      <c r="C385" s="3" t="str">
        <f>IFERROR(__xludf.DUMMYFUNCTION("GOOGLETRANSLATE(B385,""id"",""en"")"),"['Disappointed', 'Bet', 'cave', 'Telkom', 'pulse', 'ilang', 'data', 'dead', 'pdhl', 'already', 'pakwt', 'expensive', ' run out ',' buy ',' pulse ',' suck ',' Obero ',' child ',' Dajjal ']")</f>
        <v>['Disappointed', 'Bet', 'cave', 'Telkom', 'pulse', 'ilang', 'data', 'dead', 'pdhl', 'already', 'pakwt', 'expensive', ' run out ',' buy ',' pulse ',' suck ',' Obero ',' child ',' Dajjal ']</v>
      </c>
      <c r="D385" s="3">
        <v>1.0</v>
      </c>
    </row>
    <row r="386" ht="15.75" customHeight="1">
      <c r="A386" s="1">
        <v>412.0</v>
      </c>
      <c r="B386" s="3" t="s">
        <v>386</v>
      </c>
      <c r="C386" s="3" t="str">
        <f>IFERROR(__xludf.DUMMYFUNCTION("GOOGLETRANSLATE(B386,""id"",""en"")"),"['Hello', 'Telkomsel', 'users',' loyal ',' Telkomsel ',' TPI ',' because ',' TELKOMSEL ',' YNG ',' Different ',' dlu ',' Move ',' At God's', 'please', 'Telkomsel', 'repaired', 'Network', 'Bigitu', 'Weak', 'Region', 'Cikupa', 'Balaraja', 'Tangrang', 'Kouta"&amp;"' , 'access',' etc. ',' except ',' Google ',' Jngan ',' yng ',' sucked ',' kouta ',' main ',' kouta ',' multimedia ',' already ',' run out ',' Koutaa ',' main ',' difficult ',' yng ',' access', 'internet']")</f>
        <v>['Hello', 'Telkomsel', 'users',' loyal ',' Telkomsel ',' TPI ',' because ',' TELKOMSEL ',' YNG ',' Different ',' dlu ',' Move ',' At God's', 'please', 'Telkomsel', 'repaired', 'Network', 'Bigitu', 'Weak', 'Region', 'Cikupa', 'Balaraja', 'Tangrang', 'Kouta' , 'access',' etc. ',' except ',' Google ',' Jngan ',' yng ',' sucked ',' kouta ',' main ',' kouta ',' multimedia ',' already ',' run out ',' Koutaa ',' main ',' difficult ',' yng ',' access', 'internet']</v>
      </c>
      <c r="D386" s="3">
        <v>1.0</v>
      </c>
    </row>
    <row r="387" ht="15.75" customHeight="1">
      <c r="A387" s="1">
        <v>413.0</v>
      </c>
      <c r="B387" s="3" t="s">
        <v>387</v>
      </c>
      <c r="C387" s="3" t="str">
        <f>IFERROR(__xludf.DUMMYFUNCTION("GOOGLETRANSLATE(B387,""id"",""en"")"),"['Success', 'Tuk', 'Telkomsel']")</f>
        <v>['Success', 'Tuk', 'Telkomsel']</v>
      </c>
      <c r="D387" s="3">
        <v>5.0</v>
      </c>
    </row>
    <row r="388" ht="15.75" customHeight="1">
      <c r="A388" s="1">
        <v>414.0</v>
      </c>
      <c r="B388" s="3" t="s">
        <v>180</v>
      </c>
      <c r="C388" s="3" t="str">
        <f>IFERROR(__xludf.DUMMYFUNCTION("GOOGLETRANSLATE(B388,""id"",""en"")"),"['hopefully']")</f>
        <v>['hopefully']</v>
      </c>
      <c r="D388" s="3">
        <v>5.0</v>
      </c>
    </row>
    <row r="389" ht="15.75" customHeight="1">
      <c r="A389" s="1">
        <v>415.0</v>
      </c>
      <c r="B389" s="3" t="s">
        <v>388</v>
      </c>
      <c r="C389" s="3" t="str">
        <f>IFERROR(__xludf.DUMMYFUNCTION("GOOGLETRANSLATE(B389,""id"",""en"")"),"['Move', 'number', 'Kaga', 'already', 'Link', 'Fastification']")</f>
        <v>['Move', 'number', 'Kaga', 'already', 'Link', 'Fastification']</v>
      </c>
      <c r="D389" s="3">
        <v>1.0</v>
      </c>
    </row>
    <row r="390" ht="15.75" customHeight="1">
      <c r="A390" s="1">
        <v>416.0</v>
      </c>
      <c r="B390" s="3" t="s">
        <v>389</v>
      </c>
      <c r="C390" s="3" t="str">
        <f>IFERROR(__xludf.DUMMYFUNCTION("GOOGLETRANSLATE(B390,""id"",""en"")"),"['hi', 'Telkomsel', 'price', 'quota', 'expensive', 'network', 'slow', 'consumer', 'disappointed']")</f>
        <v>['hi', 'Telkomsel', 'price', 'quota', 'expensive', 'network', 'slow', 'consumer', 'disappointed']</v>
      </c>
      <c r="D390" s="3">
        <v>1.0</v>
      </c>
    </row>
    <row r="391" ht="15.75" customHeight="1">
      <c r="A391" s="1">
        <v>417.0</v>
      </c>
      <c r="B391" s="3" t="s">
        <v>390</v>
      </c>
      <c r="C391" s="3" t="str">
        <f>IFERROR(__xludf.DUMMYFUNCTION("GOOGLETRANSLATE(B391,""id"",""en"")"),"['expensive', 'padhal', 'customer']")</f>
        <v>['expensive', 'padhal', 'customer']</v>
      </c>
      <c r="D391" s="3">
        <v>3.0</v>
      </c>
    </row>
    <row r="392" ht="15.75" customHeight="1">
      <c r="A392" s="1">
        <v>419.0</v>
      </c>
      <c r="B392" s="3" t="s">
        <v>391</v>
      </c>
      <c r="C392" s="3" t="str">
        <f>IFERROR(__xludf.DUMMYFUNCTION("GOOGLETRANSLATE(B392,""id"",""en"")"),"['December', 'application', 'opened', '']")</f>
        <v>['December', 'application', 'opened', '']</v>
      </c>
      <c r="D392" s="3">
        <v>1.0</v>
      </c>
    </row>
    <row r="393" ht="15.75" customHeight="1">
      <c r="A393" s="1">
        <v>420.0</v>
      </c>
      <c r="B393" s="3" t="s">
        <v>392</v>
      </c>
      <c r="C393" s="3" t="str">
        <f>IFERROR(__xludf.DUMMYFUNCTION("GOOGLETRANSLATE(B393,""id"",""en"")"),"['thank', 'love', 'service', 'Telkomsel', 'makes it easy', 'business']")</f>
        <v>['thank', 'love', 'service', 'Telkomsel', 'makes it easy', 'business']</v>
      </c>
      <c r="D393" s="3">
        <v>5.0</v>
      </c>
    </row>
    <row r="394" ht="15.75" customHeight="1">
      <c r="A394" s="1">
        <v>421.0</v>
      </c>
      <c r="B394" s="3" t="s">
        <v>393</v>
      </c>
      <c r="C394" s="3" t="str">
        <f>IFERROR(__xludf.DUMMYFUNCTION("GOOGLETRANSLATE(B394,""id"",""en"")"),"['Help', 'users', 'Telkomsel']")</f>
        <v>['Help', 'users', 'Telkomsel']</v>
      </c>
      <c r="D394" s="3">
        <v>5.0</v>
      </c>
    </row>
    <row r="395" ht="15.75" customHeight="1">
      <c r="A395" s="1">
        <v>422.0</v>
      </c>
      <c r="B395" s="3" t="s">
        <v>394</v>
      </c>
      <c r="C395" s="3" t="str">
        <f>IFERROR(__xludf.DUMMYFUNCTION("GOOGLETRANSLATE(B395,""id"",""en"")"),"['love', 'star', 'convenience', 'use', 'application', 'price', 'package', 'affordable', 'Mohom', 'sorry', 'suggestion', 'Telkomsel', ' Hold ',' Package ',' Unlimited ',' Imternet ',' Full ',' Bounds', 'FUP', 'Value', 'User', 'Package', 'Internet', 'Jngn',"&amp;" 'Thank you' ]")</f>
        <v>['love', 'star', 'convenience', 'use', 'application', 'price', 'package', 'affordable', 'Mohom', 'sorry', 'suggestion', 'Telkomsel', ' Hold ',' Package ',' Unlimited ',' Imternet ',' Full ',' Bounds', 'FUP', 'Value', 'User', 'Package', 'Internet', 'Jngn', 'Thank you' ]</v>
      </c>
      <c r="D395" s="3">
        <v>5.0</v>
      </c>
    </row>
    <row r="396" ht="15.75" customHeight="1">
      <c r="A396" s="1">
        <v>423.0</v>
      </c>
      <c r="B396" s="3" t="s">
        <v>395</v>
      </c>
      <c r="C396" s="3" t="str">
        <f>IFERROR(__xludf.DUMMYFUNCTION("GOOGLETRANSLATE(B396,""id"",""en"")"),"['update', 'just', 'turn', 'enter', 'application', 'Gembel', 'really', 'difficult', 'hard', 'Telkomsel', 'recommeded', 'really']")</f>
        <v>['update', 'just', 'turn', 'enter', 'application', 'Gembel', 'really', 'difficult', 'hard', 'Telkomsel', 'recommeded', 'really']</v>
      </c>
      <c r="D396" s="3">
        <v>1.0</v>
      </c>
    </row>
    <row r="397" ht="15.75" customHeight="1">
      <c r="A397" s="1">
        <v>424.0</v>
      </c>
      <c r="B397" s="3" t="s">
        <v>396</v>
      </c>
      <c r="C397" s="3" t="str">
        <f>IFERROR(__xludf.DUMMYFUNCTION("GOOGLETRANSLATE(B397,""id"",""en"")"),"['Not bad', 'Kasi', 'star']")</f>
        <v>['Not bad', 'Kasi', 'star']</v>
      </c>
      <c r="D397" s="3">
        <v>3.0</v>
      </c>
    </row>
    <row r="398" ht="15.75" customHeight="1">
      <c r="A398" s="1">
        <v>425.0</v>
      </c>
      <c r="B398" s="3" t="s">
        <v>397</v>
      </c>
      <c r="C398" s="3" t="str">
        <f>IFERROR(__xludf.DUMMYFUNCTION("GOOGLETRANSLATE(B398,""id"",""en"")"),"['Try', 'Bossku']")</f>
        <v>['Try', 'Bossku']</v>
      </c>
      <c r="D398" s="3">
        <v>2.0</v>
      </c>
    </row>
    <row r="399" ht="15.75" customHeight="1">
      <c r="A399" s="1">
        <v>426.0</v>
      </c>
      <c r="B399" s="3" t="s">
        <v>398</v>
      </c>
      <c r="C399" s="3" t="str">
        <f>IFERROR(__xludf.DUMMYFUNCTION("GOOGLETRANSLATE(B399,""id"",""en"")"),"['Package', 'missing', 'apply', 'package', 'kek', 'package', 'ilang', 'please', 'fix']")</f>
        <v>['Package', 'missing', 'apply', 'package', 'kek', 'package', 'ilang', 'please', 'fix']</v>
      </c>
      <c r="D399" s="3">
        <v>1.0</v>
      </c>
    </row>
    <row r="400" ht="15.75" customHeight="1">
      <c r="A400" s="1">
        <v>427.0</v>
      </c>
      <c r="B400" s="3" t="s">
        <v>399</v>
      </c>
      <c r="C400" s="3" t="str">
        <f>IFERROR(__xludf.DUMMYFUNCTION("GOOGLETRANSLATE(B400,""id"",""en"")"),"['Gopay', 'cashback', 'kaga', 'consistent', 'already', 'mah', 'signal', 'bapuk']")</f>
        <v>['Gopay', 'cashback', 'kaga', 'consistent', 'already', 'mah', 'signal', 'bapuk']</v>
      </c>
      <c r="D400" s="3">
        <v>1.0</v>
      </c>
    </row>
    <row r="401" ht="15.75" customHeight="1">
      <c r="A401" s="1">
        <v>428.0</v>
      </c>
      <c r="B401" s="3" t="s">
        <v>400</v>
      </c>
      <c r="C401" s="3" t="str">
        <f>IFERROR(__xludf.DUMMYFUNCTION("GOOGLETRANSLATE(B401,""id"",""en"")"),"['Persute', '']")</f>
        <v>['Persute', '']</v>
      </c>
      <c r="D401" s="3">
        <v>5.0</v>
      </c>
    </row>
    <row r="402" ht="15.75" customHeight="1">
      <c r="A402" s="1">
        <v>429.0</v>
      </c>
      <c r="B402" s="3" t="s">
        <v>401</v>
      </c>
      <c r="C402" s="3" t="str">
        <f>IFERROR(__xludf.DUMMYFUNCTION("GOOGLETRANSLATE(B402,""id"",""en"")"),"['Star', 'Prove']")</f>
        <v>['Star', 'Prove']</v>
      </c>
      <c r="D402" s="3">
        <v>5.0</v>
      </c>
    </row>
    <row r="403" ht="15.75" customHeight="1">
      <c r="A403" s="1">
        <v>430.0</v>
      </c>
      <c r="B403" s="3" t="s">
        <v>402</v>
      </c>
      <c r="C403" s="3" t="str">
        <f>IFERROR(__xludf.DUMMYFUNCTION("GOOGLETRANSLATE(B403,""id"",""en"")"),"['Simple', 'Ribet']")</f>
        <v>['Simple', 'Ribet']</v>
      </c>
      <c r="D403" s="3">
        <v>5.0</v>
      </c>
    </row>
    <row r="404" ht="15.75" customHeight="1">
      <c r="A404" s="1">
        <v>431.0</v>
      </c>
      <c r="B404" s="3" t="s">
        <v>403</v>
      </c>
      <c r="C404" s="3" t="str">
        <f>IFERROR(__xludf.DUMMYFUNCTION("GOOGLETRANSLATE(B404,""id"",""en"")"),"['emang', 'telkom']")</f>
        <v>['emang', 'telkom']</v>
      </c>
      <c r="D404" s="3">
        <v>1.0</v>
      </c>
    </row>
    <row r="405" ht="15.75" customHeight="1">
      <c r="A405" s="1">
        <v>432.0</v>
      </c>
      <c r="B405" s="3" t="s">
        <v>404</v>
      </c>
      <c r="C405" s="3" t="str">
        <f>IFERROR(__xludf.DUMMYFUNCTION("GOOGLETRANSLATE(B405,""id"",""en"")"),"['Application', 'Sngat', 'Help', 'really', 'cheap']")</f>
        <v>['Application', 'Sngat', 'Help', 'really', 'cheap']</v>
      </c>
      <c r="D405" s="3">
        <v>4.0</v>
      </c>
    </row>
    <row r="406" ht="15.75" customHeight="1">
      <c r="A406" s="1">
        <v>433.0</v>
      </c>
      <c r="B406" s="3" t="s">
        <v>405</v>
      </c>
      <c r="C406" s="3" t="str">
        <f>IFERROR(__xludf.DUMMYFUNCTION("GOOGLETRANSLATE(B406,""id"",""en"")"),"['Application', 'Download', '']")</f>
        <v>['Application', 'Download', '']</v>
      </c>
      <c r="D406" s="3">
        <v>1.0</v>
      </c>
    </row>
    <row r="407" ht="15.75" customHeight="1">
      <c r="A407" s="1">
        <v>434.0</v>
      </c>
      <c r="B407" s="3" t="s">
        <v>406</v>
      </c>
      <c r="C407" s="3" t="str">
        <f>IFERROR(__xludf.DUMMYFUNCTION("GOOGLETRANSLATE(B407,""id"",""en"")"),"['promo', 'package', 'interesting']")</f>
        <v>['promo', 'package', 'interesting']</v>
      </c>
      <c r="D407" s="3">
        <v>5.0</v>
      </c>
    </row>
    <row r="408" ht="15.75" customHeight="1">
      <c r="A408" s="1">
        <v>435.0</v>
      </c>
      <c r="B408" s="3" t="s">
        <v>407</v>
      </c>
      <c r="C408" s="3" t="str">
        <f>IFERROR(__xludf.DUMMYFUNCTION("GOOGLETRANSLATE(B408,""id"",""en"")"),"['Good', 'Package', 'Latest']")</f>
        <v>['Good', 'Package', 'Latest']</v>
      </c>
      <c r="D408" s="3">
        <v>5.0</v>
      </c>
    </row>
    <row r="409" ht="15.75" customHeight="1">
      <c r="A409" s="1">
        <v>436.0</v>
      </c>
      <c r="B409" s="3" t="s">
        <v>408</v>
      </c>
      <c r="C409" s="3" t="str">
        <f>IFERROR(__xludf.DUMMYFUNCTION("GOOGLETRANSLATE(B409,""id"",""en"")"),"['Telkomsel', 'internet', 'fast', 'saving']")</f>
        <v>['Telkomsel', 'internet', 'fast', 'saving']</v>
      </c>
      <c r="D409" s="3">
        <v>5.0</v>
      </c>
    </row>
    <row r="410" ht="15.75" customHeight="1">
      <c r="A410" s="1">
        <v>437.0</v>
      </c>
      <c r="B410" s="3" t="s">
        <v>409</v>
      </c>
      <c r="C410" s="3" t="str">
        <f>IFERROR(__xludf.DUMMYFUNCTION("GOOGLETRANSLATE(B410,""id"",""en"")"),"['As be', 'smooth', 'signal', 'like', 'Telkomsel and', 'Telkomsel']")</f>
        <v>['As be', 'smooth', 'signal', 'like', 'Telkomsel and', 'Telkomsel']</v>
      </c>
      <c r="D410" s="3">
        <v>5.0</v>
      </c>
    </row>
    <row r="411" ht="15.75" customHeight="1">
      <c r="A411" s="1">
        <v>438.0</v>
      </c>
      <c r="B411" s="3" t="s">
        <v>410</v>
      </c>
      <c r="C411" s="3" t="str">
        <f>IFERROR(__xludf.DUMMYFUNCTION("GOOGLETRANSLATE(B411,""id"",""en"")"),"['Application', 'Good', 'Loves It']")</f>
        <v>['Application', 'Good', 'Loves It']</v>
      </c>
      <c r="D411" s="3">
        <v>5.0</v>
      </c>
    </row>
    <row r="412" ht="15.75" customHeight="1">
      <c r="A412" s="1">
        <v>439.0</v>
      </c>
      <c r="B412" s="3" t="s">
        <v>411</v>
      </c>
      <c r="C412" s="3" t="str">
        <f>IFERROR(__xludf.DUMMYFUNCTION("GOOGLETRANSLATE(B412,""id"",""en"")"),"['Network', 'card', 'bad', 'please', 'repaired', 'the network', '']")</f>
        <v>['Network', 'card', 'bad', 'please', 'repaired', 'the network', '']</v>
      </c>
      <c r="D412" s="3">
        <v>2.0</v>
      </c>
    </row>
    <row r="413" ht="15.75" customHeight="1">
      <c r="A413" s="1">
        <v>440.0</v>
      </c>
      <c r="B413" s="3" t="s">
        <v>412</v>
      </c>
      <c r="C413" s="3" t="str">
        <f>IFERROR(__xludf.DUMMYFUNCTION("GOOGLETRANSLATE(B413,""id"",""en"")"),"['Good', 'The application', '']")</f>
        <v>['Good', 'The application', '']</v>
      </c>
      <c r="D413" s="3">
        <v>5.0</v>
      </c>
    </row>
    <row r="414" ht="15.75" customHeight="1">
      <c r="A414" s="1">
        <v>441.0</v>
      </c>
      <c r="B414" s="3" t="s">
        <v>413</v>
      </c>
      <c r="C414" s="3" t="str">
        <f>IFERROR(__xludf.DUMMYFUNCTION("GOOGLETRANSLATE(B414,""id"",""en"")"),"['Help', 'Jaya', 'Telkomsel']")</f>
        <v>['Help', 'Jaya', 'Telkomsel']</v>
      </c>
      <c r="D414" s="3">
        <v>5.0</v>
      </c>
    </row>
    <row r="415" ht="15.75" customHeight="1">
      <c r="A415" s="1">
        <v>442.0</v>
      </c>
      <c r="B415" s="3" t="s">
        <v>414</v>
      </c>
      <c r="C415" s="3" t="str">
        <f>IFERROR(__xludf.DUMMYFUNCTION("GOOGLETRANSLATE(B415,""id"",""en"")"),"['expensive', 'expensive', 'satisfied']")</f>
        <v>['expensive', 'expensive', 'satisfied']</v>
      </c>
      <c r="D415" s="3">
        <v>4.0</v>
      </c>
    </row>
    <row r="416" ht="15.75" customHeight="1">
      <c r="A416" s="1">
        <v>443.0</v>
      </c>
      <c r="B416" s="3" t="s">
        <v>415</v>
      </c>
      <c r="C416" s="3" t="str">
        <f>IFERROR(__xludf.DUMMYFUNCTION("GOOGLETRANSLATE(B416,""id"",""en"")"),"['Sorry', 'Please', 'Repaired', 'The Network', 'Full', 'Ehh', 'Pas',' Loading ',' Loading ',' Loading ',' Expensive ',' Network ',' Telkomsel ',' price ',' package ',' expensive ',' quality ',' ']")</f>
        <v>['Sorry', 'Please', 'Repaired', 'The Network', 'Full', 'Ehh', 'Pas',' Loading ',' Loading ',' Loading ',' Expensive ',' Network ',' Telkomsel ',' price ',' package ',' expensive ',' quality ',' ']</v>
      </c>
      <c r="D416" s="3">
        <v>2.0</v>
      </c>
    </row>
    <row r="417" ht="15.75" customHeight="1">
      <c r="A417" s="1">
        <v>444.0</v>
      </c>
      <c r="B417" s="3" t="s">
        <v>416</v>
      </c>
      <c r="C417" s="3" t="str">
        <f>IFERROR(__xludf.DUMMYFUNCTION("GOOGLETRANSLATE(B417,""id"",""en"")"),"['Andal']")</f>
        <v>['Andal']</v>
      </c>
      <c r="D417" s="3">
        <v>5.0</v>
      </c>
    </row>
    <row r="418" ht="15.75" customHeight="1">
      <c r="A418" s="1">
        <v>445.0</v>
      </c>
      <c r="B418" s="3" t="s">
        <v>417</v>
      </c>
      <c r="C418" s="3" t="str">
        <f>IFERROR(__xludf.DUMMYFUNCTION("GOOGLETRANSLATE(B418,""id"",""en"")"),"['FUP', 'kbps', 'package', 'unlimited', 'max', 'lie', 'should', 'kbps', 'mentok', 'kbps']")</f>
        <v>['FUP', 'kbps', 'package', 'unlimited', 'max', 'lie', 'should', 'kbps', 'mentok', 'kbps']</v>
      </c>
      <c r="D418" s="3">
        <v>1.0</v>
      </c>
    </row>
    <row r="419" ht="15.75" customHeight="1">
      <c r="A419" s="1">
        <v>446.0</v>
      </c>
      <c r="B419" s="3" t="s">
        <v>418</v>
      </c>
      <c r="C419" s="3" t="str">
        <f>IFERROR(__xludf.DUMMYFUNCTION("GOOGLETRANSLATE(B419,""id"",""en"")"),"['Hi', 'Telkomsel', 'Dear', 'users',' Telkomsel ',' Disappointed ',' Point ',' Exchange ',' Point ',' Package ',' Data ',' fill ',' Credit ',' thousand ',' Points', 'Exchange', 'Point', 'Package', 'Data', 'Worn', 'Costs',' Additional ',' Point ',' Additio"&amp;"nal ',' Price ' , 'Where', 'Point', 'Bonus', 'Customer', 'Excited', 'Whatever', 'Free', 'Addition', 'Price', ""]")</f>
        <v>['Hi', 'Telkomsel', 'Dear', 'users',' Telkomsel ',' Disappointed ',' Point ',' Exchange ',' Point ',' Package ',' Data ',' fill ',' Credit ',' thousand ',' Points', 'Exchange', 'Point', 'Package', 'Data', 'Worn', 'Costs',' Additional ',' Point ',' Additional ',' Price ' , 'Where', 'Point', 'Bonus', 'Customer', 'Excited', 'Whatever', 'Free', 'Addition', 'Price', "]</v>
      </c>
      <c r="D419" s="3">
        <v>3.0</v>
      </c>
    </row>
    <row r="420" ht="15.75" customHeight="1">
      <c r="A420" s="1">
        <v>447.0</v>
      </c>
      <c r="B420" s="3" t="s">
        <v>419</v>
      </c>
      <c r="C420" s="3" t="str">
        <f>IFERROR(__xludf.DUMMYFUNCTION("GOOGLETRANSLATE(B420,""id"",""en"")"),"['', 'Telkomsel', 'Come', 'Good', '']")</f>
        <v>['', 'Telkomsel', 'Come', 'Good', '']</v>
      </c>
      <c r="D420" s="3">
        <v>5.0</v>
      </c>
    </row>
    <row r="421" ht="15.75" customHeight="1">
      <c r="A421" s="1">
        <v>448.0</v>
      </c>
      <c r="B421" s="3" t="s">
        <v>420</v>
      </c>
      <c r="C421" s="3" t="str">
        <f>IFERROR(__xludf.DUMMYFUNCTION("GOOGLETRANSLATE(B421,""id"",""en"")"),"['ugly', 'really', 'sympathy', 'disappointed', 'sympathy', 'card', 'win', 'expensive', 'doang', 'signal', 'bapuk', 'severe', ' ']")</f>
        <v>['ugly', 'really', 'sympathy', 'disappointed', 'sympathy', 'card', 'win', 'expensive', 'doang', 'signal', 'bapuk', 'severe', ' ']</v>
      </c>
      <c r="D421" s="3">
        <v>1.0</v>
      </c>
    </row>
    <row r="422" ht="15.75" customHeight="1">
      <c r="A422" s="1">
        <v>449.0</v>
      </c>
      <c r="B422" s="3" t="s">
        <v>421</v>
      </c>
      <c r="C422" s="3" t="str">
        <f>IFERROR(__xludf.DUMMYFUNCTION("GOOGLETRANSLATE(B422,""id"",""en"")"),"['Application', 'Open', 'Oppo', 'Android', '']")</f>
        <v>['Application', 'Open', 'Oppo', 'Android', '']</v>
      </c>
      <c r="D422" s="3">
        <v>1.0</v>
      </c>
    </row>
    <row r="423" ht="15.75" customHeight="1">
      <c r="A423" s="1">
        <v>450.0</v>
      </c>
      <c r="B423" s="3" t="s">
        <v>422</v>
      </c>
      <c r="C423" s="3" t="str">
        <f>IFERROR(__xludf.DUMMYFUNCTION("GOOGLETRANSLATE(B423,""id"",""en"")"),"['Telkomsel', 'sucked', 'pulses',' Kya ',' Dracula ',' credit ',' ilang ',' notification ',' skli ',' contents', 'malem', 'th', ' HBS ',' PDHL ',' PAKETAN ',' BLM ',' HBS ',' TLG ',' Evaluated ',' Different ',' Card ',' Buy ',' Paketan ',' Telkomsel ',' D"&amp;"elicious' , 'Ribet', 'BLM', 'HBS', 'Credit', 'Sumpot', 'then', 'ilang', 'Natural', 'so', 'Not bad', ""]")</f>
        <v>['Telkomsel', 'sucked', 'pulses',' Kya ',' Dracula ',' credit ',' ilang ',' notification ',' skli ',' contents', 'malem', 'th', ' HBS ',' PDHL ',' PAKETAN ',' BLM ',' HBS ',' TLG ',' Evaluated ',' Different ',' Card ',' Buy ',' Paketan ',' Telkomsel ',' Delicious' , 'Ribet', 'BLM', 'HBS', 'Credit', 'Sumpot', 'then', 'ilang', 'Natural', 'so', 'Not bad', "]</v>
      </c>
      <c r="D423" s="3">
        <v>2.0</v>
      </c>
    </row>
    <row r="424" ht="15.75" customHeight="1">
      <c r="A424" s="1">
        <v>451.0</v>
      </c>
      <c r="B424" s="3" t="s">
        <v>423</v>
      </c>
      <c r="C424" s="3" t="str">
        <f>IFERROR(__xludf.DUMMYFUNCTION("GOOGLETRANSLATE(B424,""id"",""en"")"),"['merchandise', 'outlets', 'Telkomsel', 'limited', 'it seems', 'promoted', 'Alhamdulillah', 'go home', 'hand', 'empty', 'hehee']")</f>
        <v>['merchandise', 'outlets', 'Telkomsel', 'limited', 'it seems', 'promoted', 'Alhamdulillah', 'go home', 'hand', 'empty', 'hehee']</v>
      </c>
      <c r="D424" s="3">
        <v>1.0</v>
      </c>
    </row>
    <row r="425" ht="15.75" customHeight="1">
      <c r="A425" s="1">
        <v>452.0</v>
      </c>
      <c r="B425" s="3" t="s">
        <v>424</v>
      </c>
      <c r="C425" s="3" t="str">
        <f>IFERROR(__xludf.DUMMYFUNCTION("GOOGLETRANSLATE(B425,""id"",""en"")"),"['sekqrqng', 'love', 'star', 'dlu', 'because', 'network', 'slow']")</f>
        <v>['sekqrqng', 'love', 'star', 'dlu', 'because', 'network', 'slow']</v>
      </c>
      <c r="D425" s="3">
        <v>4.0</v>
      </c>
    </row>
    <row r="426" ht="15.75" customHeight="1">
      <c r="A426" s="1">
        <v>453.0</v>
      </c>
      <c r="B426" s="3" t="s">
        <v>425</v>
      </c>
      <c r="C426" s="3" t="str">
        <f>IFERROR(__xludf.DUMMYFUNCTION("GOOGLETRANSLATE(B426,""id"",""en"")"),"['Exchange', 'Points', 'Voucher', 'Lazada', 'clicked', 'Out', 'Gimmick', 'Doang', 'Season', ""]")</f>
        <v>['Exchange', 'Points', 'Voucher', 'Lazada', 'clicked', 'Out', 'Gimmick', 'Doang', 'Season', "]</v>
      </c>
      <c r="D426" s="3">
        <v>1.0</v>
      </c>
    </row>
    <row r="427" ht="15.75" customHeight="1">
      <c r="A427" s="1">
        <v>454.0</v>
      </c>
      <c r="B427" s="3" t="s">
        <v>426</v>
      </c>
      <c r="C427" s="3" t="str">
        <f>IFERROR(__xludf.DUMMYFUNCTION("GOOGLETRANSLATE(B427,""id"",""en"")"),"['migration', 'migration', 'mending', 'operator', 'next door', 'slow', 'signal', 'sometimes',' expensive ',' janjiin ',' promo ',' doang ',' run out ',' bullset ',' deh ']")</f>
        <v>['migration', 'migration', 'mending', 'operator', 'next door', 'slow', 'signal', 'sometimes',' expensive ',' janjiin ',' promo ',' doang ',' run out ',' bullset ',' deh ']</v>
      </c>
      <c r="D427" s="3">
        <v>1.0</v>
      </c>
    </row>
    <row r="428" ht="15.75" customHeight="1">
      <c r="A428" s="1">
        <v>455.0</v>
      </c>
      <c r="B428" s="3" t="s">
        <v>427</v>
      </c>
      <c r="C428" s="3" t="str">
        <f>IFERROR(__xludf.DUMMYFUNCTION("GOOGLETRANSLATE(B428,""id"",""en"")"),"['See', 'strong', 'network']")</f>
        <v>['See', 'strong', 'network']</v>
      </c>
      <c r="D428" s="3">
        <v>5.0</v>
      </c>
    </row>
    <row r="429" ht="15.75" customHeight="1">
      <c r="A429" s="1">
        <v>456.0</v>
      </c>
      <c r="B429" s="3" t="s">
        <v>428</v>
      </c>
      <c r="C429" s="3" t="str">
        <f>IFERROR(__xludf.DUMMYFUNCTION("GOOGLETRANSLATE(B429,""id"",""en"")"),"['Service', 'card', 'Hallo', 'Increase']")</f>
        <v>['Service', 'card', 'Hallo', 'Increase']</v>
      </c>
      <c r="D429" s="3">
        <v>5.0</v>
      </c>
    </row>
    <row r="430" ht="15.75" customHeight="1">
      <c r="A430" s="1">
        <v>457.0</v>
      </c>
      <c r="B430" s="3" t="s">
        <v>429</v>
      </c>
      <c r="C430" s="3" t="str">
        <f>IFERROR(__xludf.DUMMYFUNCTION("GOOGLETRANSLATE(B430,""id"",""en"")"),"['Severe', 'sympathy', 'buy', 'data', 'please', 'love', 'best', 'complain', 'good', 'threat', 'package', 'expensive', ' Quality ',' cheap ',' poor ',' ']")</f>
        <v>['Severe', 'sympathy', 'buy', 'data', 'please', 'love', 'best', 'complain', 'good', 'threat', 'package', 'expensive', ' Quality ',' cheap ',' poor ',' ']</v>
      </c>
      <c r="D430" s="3">
        <v>1.0</v>
      </c>
    </row>
    <row r="431" ht="15.75" customHeight="1">
      <c r="A431" s="1">
        <v>458.0</v>
      </c>
      <c r="B431" s="3" t="s">
        <v>430</v>
      </c>
      <c r="C431" s="3" t="str">
        <f>IFERROR(__xludf.DUMMYFUNCTION("GOOGLETRANSLATE(B431,""id"",""en"")"),"['wonder', 'rating', 'comment', 'negative', 'rating', 'network', 'threat', 'no', 'good', 'connection', 'gerangan', 'friend', ' ']")</f>
        <v>['wonder', 'rating', 'comment', 'negative', 'rating', 'network', 'threat', 'no', 'good', 'connection', 'gerangan', 'friend', ' ']</v>
      </c>
      <c r="D431" s="3">
        <v>1.0</v>
      </c>
    </row>
    <row r="432" ht="15.75" customHeight="1">
      <c r="A432" s="1">
        <v>459.0</v>
      </c>
      <c r="B432" s="3" t="s">
        <v>431</v>
      </c>
      <c r="C432" s="3" t="str">
        <f>IFERROR(__xludf.DUMMYFUNCTION("GOOGLETRANSLATE(B432,""id"",""en"")"),"['star', 'Telkomsel', 'hope', 'success', 'competitor']")</f>
        <v>['star', 'Telkomsel', 'hope', 'success', 'competitor']</v>
      </c>
      <c r="D432" s="3">
        <v>4.0</v>
      </c>
    </row>
    <row r="433" ht="15.75" customHeight="1">
      <c r="A433" s="1">
        <v>460.0</v>
      </c>
      <c r="B433" s="3" t="s">
        <v>432</v>
      </c>
      <c r="C433" s="3" t="str">
        <f>IFERROR(__xludf.DUMMYFUNCTION("GOOGLETRANSLATE(B433,""id"",""en"")"),"['Card', 'Application', 'Telkomsel', 'Easy', 'Buy', 'Package', 'Telephone', 'Internet', '']")</f>
        <v>['Card', 'Application', 'Telkomsel', 'Easy', 'Buy', 'Package', 'Telephone', 'Internet', '']</v>
      </c>
      <c r="D433" s="3">
        <v>5.0</v>
      </c>
    </row>
    <row r="434" ht="15.75" customHeight="1">
      <c r="A434" s="1">
        <v>461.0</v>
      </c>
      <c r="B434" s="3" t="s">
        <v>433</v>
      </c>
      <c r="C434" s="3" t="str">
        <f>IFERROR(__xludf.DUMMYFUNCTION("GOOGLETRANSLATE(B434,""id"",""en"")"),"['Please', 'tidak', 'use', 'package', 'data', 'power', 'buy', 'pakat', 'location', 'ngak', 'data', 'please' His attention ',' ']")</f>
        <v>['Please', 'tidak', 'use', 'package', 'data', 'power', 'buy', 'pakat', 'location', 'ngak', 'data', 'please' His attention ',' ']</v>
      </c>
      <c r="D434" s="3">
        <v>5.0</v>
      </c>
    </row>
    <row r="435" ht="15.75" customHeight="1">
      <c r="A435" s="1">
        <v>462.0</v>
      </c>
      <c r="B435" s="3" t="s">
        <v>434</v>
      </c>
      <c r="C435" s="3" t="str">
        <f>IFERROR(__xludf.DUMMYFUNCTION("GOOGLETRANSLATE(B435,""id"",""en"")"),"['Speed', 'Package', 'Unlimited', 'Telkom', 'Taste', 'Package', 'Unlimited', 'Smartfren', 'Najis', 'Severe']")</f>
        <v>['Speed', 'Package', 'Unlimited', 'Telkom', 'Taste', 'Package', 'Unlimited', 'Smartfren', 'Najis', 'Severe']</v>
      </c>
      <c r="D435" s="3">
        <v>1.0</v>
      </c>
    </row>
    <row r="436" ht="15.75" customHeight="1">
      <c r="A436" s="1">
        <v>463.0</v>
      </c>
      <c r="B436" s="3" t="s">
        <v>435</v>
      </c>
      <c r="C436" s="3" t="str">
        <f>IFERROR(__xludf.DUMMYFUNCTION("GOOGLETRANSLATE(B436,""id"",""en"")"),"['Exchange', 'Points', 'Gifts', 'Points', 'Lucky', 'Basic', 'liar']")</f>
        <v>['Exchange', 'Points', 'Gifts', 'Points', 'Lucky', 'Basic', 'liar']</v>
      </c>
      <c r="D436" s="3">
        <v>3.0</v>
      </c>
    </row>
    <row r="437" ht="15.75" customHeight="1">
      <c r="A437" s="1">
        <v>464.0</v>
      </c>
      <c r="B437" s="3" t="s">
        <v>436</v>
      </c>
      <c r="C437" s="3" t="str">
        <f>IFERROR(__xludf.DUMMYFUNCTION("GOOGLETRANSLATE(B437,""id"",""en"")"),"['Disappointed', 'Telkomsel', 'buy', 'quota', 'SMS', 'Package', 'Activate', 'Tomorrow', 'already', 'pulses']")</f>
        <v>['Disappointed', 'Telkomsel', 'buy', 'quota', 'SMS', 'Package', 'Activate', 'Tomorrow', 'already', 'pulses']</v>
      </c>
      <c r="D437" s="3">
        <v>1.0</v>
      </c>
    </row>
    <row r="438" ht="15.75" customHeight="1">
      <c r="A438" s="1">
        <v>465.0</v>
      </c>
      <c r="B438" s="3" t="s">
        <v>437</v>
      </c>
      <c r="C438" s="3" t="str">
        <f>IFERROR(__xludf.DUMMYFUNCTION("GOOGLETRANSLATE(B438,""id"",""en"")"),"['Steady', 'Anyway']")</f>
        <v>['Steady', 'Anyway']</v>
      </c>
      <c r="D438" s="3">
        <v>5.0</v>
      </c>
    </row>
    <row r="439" ht="15.75" customHeight="1">
      <c r="A439" s="1">
        <v>466.0</v>
      </c>
      <c r="B439" s="3" t="s">
        <v>438</v>
      </c>
      <c r="C439" s="3" t="str">
        <f>IFERROR(__xludf.DUMMYFUNCTION("GOOGLETRANSLATE(B439,""id"",""en"")"),"['heavy', 'open']")</f>
        <v>['heavy', 'open']</v>
      </c>
      <c r="D439" s="3">
        <v>3.0</v>
      </c>
    </row>
    <row r="440" ht="15.75" customHeight="1">
      <c r="A440" s="1">
        <v>467.0</v>
      </c>
      <c r="B440" s="3" t="s">
        <v>439</v>
      </c>
      <c r="C440" s="3" t="str">
        <f>IFERROR(__xludf.DUMMYFUNCTION("GOOGLETRANSLATE(B440,""id"",""en"")"),"['suggestion', 'gift', 'Points', 'Package', 'Data', 'Internet', 'Free', 'Enter', 'Increases']")</f>
        <v>['suggestion', 'gift', 'Points', 'Package', 'Data', 'Internet', 'Free', 'Enter', 'Increases']</v>
      </c>
      <c r="D440" s="3">
        <v>5.0</v>
      </c>
    </row>
    <row r="441" ht="15.75" customHeight="1">
      <c r="A441" s="1">
        <v>468.0</v>
      </c>
      <c r="B441" s="3" t="s">
        <v>440</v>
      </c>
      <c r="C441" s="3" t="str">
        <f>IFERROR(__xludf.DUMMYFUNCTION("GOOGLETRANSLATE(B441,""id"",""en"")"),"['hope', 'Event', 'application', 'real']")</f>
        <v>['hope', 'Event', 'application', 'real']</v>
      </c>
      <c r="D441" s="3">
        <v>5.0</v>
      </c>
    </row>
    <row r="442" ht="15.75" customHeight="1">
      <c r="A442" s="1">
        <v>469.0</v>
      </c>
      <c r="B442" s="3" t="s">
        <v>441</v>
      </c>
      <c r="C442" s="3" t="str">
        <f>IFERROR(__xludf.DUMMYFUNCTION("GOOGLETRANSLATE(B442,""id"",""en"")"),"['said', 'repaired', 'clock', 'getting', 'prank', 'concluded', 'proportional', '']")</f>
        <v>['said', 'repaired', 'clock', 'getting', 'prank', 'concluded', 'proportional', '']</v>
      </c>
      <c r="D442" s="3">
        <v>1.0</v>
      </c>
    </row>
    <row r="443" ht="15.75" customHeight="1">
      <c r="A443" s="1">
        <v>470.0</v>
      </c>
      <c r="B443" s="3" t="s">
        <v>442</v>
      </c>
      <c r="C443" s="3" t="str">
        <f>IFERROR(__xludf.DUMMYFUNCTION("GOOGLETRANSLATE(B443,""id"",""en"")"),"['Ngeapain', 'Chat', 'Dibales', '']")</f>
        <v>['Ngeapain', 'Chat', 'Dibales', '']</v>
      </c>
      <c r="D443" s="3">
        <v>1.0</v>
      </c>
    </row>
    <row r="444" ht="15.75" customHeight="1">
      <c r="A444" s="1">
        <v>471.0</v>
      </c>
      <c r="B444" s="3" t="s">
        <v>443</v>
      </c>
      <c r="C444" s="3" t="str">
        <f>IFERROR(__xludf.DUMMYFUNCTION("GOOGLETRANSLATE(B444,""id"",""en"")"),"['Disappointed', 'Claim', 'Special', 'Reward', 'Daily', 'Check', 'Quota', 'GB', 'Page', 'Daily', 'Cheick', 'Confirmed', ' Bahwasannya ',' success', 'claim', 'reward', 'reward', 'quota', 'claim', 'entry', 'account', 'regret', 'absent', 'reality', 'gajebo' "&amp;"]")</f>
        <v>['Disappointed', 'Claim', 'Special', 'Reward', 'Daily', 'Check', 'Quota', 'GB', 'Page', 'Daily', 'Cheick', 'Confirmed', ' Bahwasannya ',' success', 'claim', 'reward', 'reward', 'quota', 'claim', 'entry', 'account', 'regret', 'absent', 'reality', 'gajebo' ]</v>
      </c>
      <c r="D444" s="3">
        <v>2.0</v>
      </c>
    </row>
    <row r="445" ht="15.75" customHeight="1">
      <c r="A445" s="1">
        <v>472.0</v>
      </c>
      <c r="B445" s="3" t="s">
        <v>444</v>
      </c>
      <c r="C445" s="3" t="str">
        <f>IFERROR(__xludf.DUMMYFUNCTION("GOOGLETRANSLATE(B445,""id"",""en"")"),"['Telkomsel', 'Minjem', 'pulses',' Facebook ',' Pay ',' TPI ',' Knapa ',' Capital ',' Mulu ',' Untk ',' Disconnect ',' Udh ',' Sya ',' paid up ']")</f>
        <v>['Telkomsel', 'Minjem', 'pulses',' Facebook ',' Pay ',' TPI ',' Knapa ',' Capital ',' Mulu ',' Untk ',' Disconnect ',' Udh ',' Sya ',' paid up ']</v>
      </c>
      <c r="D445" s="3">
        <v>1.0</v>
      </c>
    </row>
    <row r="446" ht="15.75" customHeight="1">
      <c r="A446" s="1">
        <v>473.0</v>
      </c>
      <c r="B446" s="3" t="s">
        <v>445</v>
      </c>
      <c r="C446" s="3" t="str">
        <f>IFERROR(__xludf.DUMMYFUNCTION("GOOGLETRANSLATE(B446,""id"",""en"")"),"['Application', 'petrified']")</f>
        <v>['Application', 'petrified']</v>
      </c>
      <c r="D446" s="3">
        <v>5.0</v>
      </c>
    </row>
    <row r="447" ht="15.75" customHeight="1">
      <c r="A447" s="1">
        <v>474.0</v>
      </c>
      <c r="B447" s="3" t="s">
        <v>446</v>
      </c>
      <c r="C447" s="3" t="str">
        <f>IFERROR(__xludf.DUMMYFUNCTION("GOOGLETRANSLATE(B447,""id"",""en"")"),"['slow']")</f>
        <v>['slow']</v>
      </c>
      <c r="D447" s="3">
        <v>1.0</v>
      </c>
    </row>
    <row r="448" ht="15.75" customHeight="1">
      <c r="A448" s="1">
        <v>475.0</v>
      </c>
      <c r="B448" s="3" t="s">
        <v>447</v>
      </c>
      <c r="C448" s="3" t="str">
        <f>IFERROR(__xludf.DUMMYFUNCTION("GOOGLETRANSLATE(B448,""id"",""en"")"),"['Convenience', '']")</f>
        <v>['Convenience', '']</v>
      </c>
      <c r="D448" s="3">
        <v>5.0</v>
      </c>
    </row>
    <row r="449" ht="15.75" customHeight="1">
      <c r="A449" s="1">
        <v>476.0</v>
      </c>
      <c r="B449" s="3" t="s">
        <v>448</v>
      </c>
      <c r="C449" s="3" t="str">
        <f>IFERROR(__xludf.DUMMYFUNCTION("GOOGLETRANSLATE(B449,""id"",""en"")"),"['Satisfied', 'Network', 'Thank you', 'Telkomcell']")</f>
        <v>['Satisfied', 'Network', 'Thank you', 'Telkomcell']</v>
      </c>
      <c r="D449" s="3">
        <v>5.0</v>
      </c>
    </row>
    <row r="450" ht="15.75" customHeight="1">
      <c r="A450" s="1">
        <v>477.0</v>
      </c>
      <c r="B450" s="3" t="s">
        <v>449</v>
      </c>
      <c r="C450" s="3" t="str">
        <f>IFERROR(__xludf.DUMMYFUNCTION("GOOGLETRANSLATE(B450,""id"",""en"")"),"['Please', 'Telkomsel', 'purpose', 'pulse', 'truncated', 'list', 'package', 'already', 'no', 'entry', 'package', 'truncated', ' BANGJE ',' BTUL ',' ']")</f>
        <v>['Please', 'Telkomsel', 'purpose', 'pulse', 'truncated', 'list', 'package', 'already', 'no', 'entry', 'package', 'truncated', ' BANGJE ',' BTUL ',' ']</v>
      </c>
      <c r="D450" s="3">
        <v>1.0</v>
      </c>
    </row>
    <row r="451" ht="15.75" customHeight="1">
      <c r="A451" s="1">
        <v>478.0</v>
      </c>
      <c r="B451" s="3" t="s">
        <v>450</v>
      </c>
      <c r="C451" s="3" t="str">
        <f>IFERROR(__xludf.DUMMYFUNCTION("GOOGLETRANSLATE(B451,""id"",""en"")"),"['BGUUUS', 'Klau', 'Cheap', 'Satisfied']")</f>
        <v>['BGUUUS', 'Klau', 'Cheap', 'Satisfied']</v>
      </c>
      <c r="D451" s="3">
        <v>3.0</v>
      </c>
    </row>
    <row r="452" ht="15.75" customHeight="1">
      <c r="A452" s="1">
        <v>479.0</v>
      </c>
      <c r="B452" s="3" t="s">
        <v>451</v>
      </c>
      <c r="C452" s="3" t="str">
        <f>IFERROR(__xludf.DUMMYFUNCTION("GOOGLETRANSLATE(B452,""id"",""en"")"),"['', 'update', 'pulse', 'filled', 'where', '']")</f>
        <v>['', 'update', 'pulse', 'filled', 'where', '']</v>
      </c>
      <c r="D452" s="3">
        <v>1.0</v>
      </c>
    </row>
    <row r="453" ht="15.75" customHeight="1">
      <c r="A453" s="1">
        <v>481.0</v>
      </c>
      <c r="B453" s="3" t="s">
        <v>452</v>
      </c>
      <c r="C453" s="3" t="str">
        <f>IFERROR(__xludf.DUMMYFUNCTION("GOOGLETRANSLATE(B453,""id"",""en"")"),"['Please', 'sorry', 'application', 'hundreds',' ngeframe ',' severe ',' pub ',' jugak ',' signal ',' Telkomsel ',' down ',' strange ',' very']")</f>
        <v>['Please', 'sorry', 'application', 'hundreds',' ngeframe ',' severe ',' pub ',' jugak ',' signal ',' Telkomsel ',' down ',' strange ',' very']</v>
      </c>
      <c r="D453" s="3">
        <v>1.0</v>
      </c>
    </row>
    <row r="454" ht="15.75" customHeight="1">
      <c r="A454" s="1">
        <v>482.0</v>
      </c>
      <c r="B454" s="3" t="s">
        <v>453</v>
      </c>
      <c r="C454" s="3" t="str">
        <f>IFERROR(__xludf.DUMMYFUNCTION("GOOGLETRANSLATE(B454,""id"",""en"")"),"['expensive', 'complicated']")</f>
        <v>['expensive', 'complicated']</v>
      </c>
      <c r="D454" s="3">
        <v>3.0</v>
      </c>
    </row>
    <row r="455" ht="15.75" customHeight="1">
      <c r="A455" s="1">
        <v>483.0</v>
      </c>
      <c r="B455" s="3" t="s">
        <v>454</v>
      </c>
      <c r="C455" s="3" t="str">
        <f>IFERROR(__xludf.DUMMYFUNCTION("GOOGLETRANSLATE(B455,""id"",""en"")"),"['Maintain', 'Quality']")</f>
        <v>['Maintain', 'Quality']</v>
      </c>
      <c r="D455" s="3">
        <v>5.0</v>
      </c>
    </row>
    <row r="456" ht="15.75" customHeight="1">
      <c r="A456" s="1">
        <v>484.0</v>
      </c>
      <c r="B456" s="3" t="s">
        <v>455</v>
      </c>
      <c r="C456" s="3" t="str">
        <f>IFERROR(__xludf.DUMMYFUNCTION("GOOGLETRANSLATE(B456,""id"",""en"")"),"['Bini', 'happy']")</f>
        <v>['Bini', 'happy']</v>
      </c>
      <c r="D456" s="3">
        <v>5.0</v>
      </c>
    </row>
    <row r="457" ht="15.75" customHeight="1">
      <c r="A457" s="1">
        <v>485.0</v>
      </c>
      <c r="B457" s="3" t="s">
        <v>456</v>
      </c>
      <c r="C457" s="3" t="str">
        <f>IFERROR(__xludf.DUMMYFUNCTION("GOOGLETRANSLATE(B457,""id"",""en"")"),"['apk', 'satisfying', 'Enda', 'promo', '']")</f>
        <v>['apk', 'satisfying', 'Enda', 'promo', '']</v>
      </c>
      <c r="D457" s="3">
        <v>5.0</v>
      </c>
    </row>
    <row r="458" ht="15.75" customHeight="1">
      <c r="A458" s="1">
        <v>486.0</v>
      </c>
      <c r="B458" s="3" t="s">
        <v>457</v>
      </c>
      <c r="C458" s="3" t="str">
        <f>IFERROR(__xludf.DUMMYFUNCTION("GOOGLETRANSLATE(B458,""id"",""en"")"),"['Wait', 'quality', 'improve']")</f>
        <v>['Wait', 'quality', 'improve']</v>
      </c>
      <c r="D458" s="3">
        <v>2.0</v>
      </c>
    </row>
    <row r="459" ht="15.75" customHeight="1">
      <c r="A459" s="1">
        <v>487.0</v>
      </c>
      <c r="B459" s="3" t="s">
        <v>458</v>
      </c>
      <c r="C459" s="3" t="str">
        <f>IFERROR(__xludf.DUMMYFUNCTION("GOOGLETRANSLATE(B459,""id"",""en"")"),"['Experience', 'Bad', 'Stay', 'Medan', 'Thank', 'Love', 'Medan', 'December', 'WIB', ""]")</f>
        <v>['Experience', 'Bad', 'Stay', 'Medan', 'Thank', 'Love', 'Medan', 'December', 'WIB', "]</v>
      </c>
      <c r="D459" s="3">
        <v>4.0</v>
      </c>
    </row>
    <row r="460" ht="15.75" customHeight="1">
      <c r="A460" s="1">
        <v>488.0</v>
      </c>
      <c r="B460" s="3" t="s">
        <v>459</v>
      </c>
      <c r="C460" s="3" t="str">
        <f>IFERROR(__xludf.DUMMYFUNCTION("GOOGLETRANSLATE(B460,""id"",""en"")"),"['his pants', 'exchanged', 'scaligus']")</f>
        <v>['his pants', 'exchanged', 'scaligus']</v>
      </c>
      <c r="D460" s="3">
        <v>3.0</v>
      </c>
    </row>
    <row r="461" ht="15.75" customHeight="1">
      <c r="A461" s="1">
        <v>489.0</v>
      </c>
      <c r="B461" s="3" t="s">
        <v>460</v>
      </c>
      <c r="C461" s="3" t="str">
        <f>IFERROR(__xludf.DUMMYFUNCTION("GOOGLETRANSLATE(B461,""id"",""en"")"),"['Paketan', 'expensive', 'signal', 'pulp']")</f>
        <v>['Paketan', 'expensive', 'signal', 'pulp']</v>
      </c>
      <c r="D461" s="3">
        <v>1.0</v>
      </c>
    </row>
    <row r="462" ht="15.75" customHeight="1">
      <c r="A462" s="1">
        <v>490.0</v>
      </c>
      <c r="B462" s="3" t="s">
        <v>461</v>
      </c>
      <c r="C462" s="3" t="str">
        <f>IFERROR(__xludf.DUMMYFUNCTION("GOOGLETRANSLATE(B462,""id"",""en"")"),"['Steady', 'tenan', 'Telkomsel', 'keep','A ',' network ',' internet ',' best ',' ugly ',' stable ',' your customer ',' Go ',' Leave You ',' Network ',' Your Internet ',' Repaired ',' Quality ',' Network ',' Your Internet ',' Strong ',' Signal ',' Network "&amp;"',' Your Internet ',' Repaired ' , 'go', 'move', 'use', 'card', 'cellular', 'counted', 'January', 'June', 'progress', 'network', 'internet you', ""]")</f>
        <v>['Steady', 'tenan', 'Telkomsel', 'keep','A ',' network ',' internet ',' best ',' ugly ',' stable ',' your customer ',' Go ',' Leave You ',' Network ',' Your Internet ',' Repaired ',' Quality ',' Network ',' Your Internet ',' Strong ',' Signal ',' Network ',' Your Internet ',' Repaired ' , 'go', 'move', 'use', 'card', 'cellular', 'counted', 'January', 'June', 'progress', 'network', 'internet you', "]</v>
      </c>
      <c r="D462" s="3">
        <v>1.0</v>
      </c>
    </row>
    <row r="463" ht="15.75" customHeight="1">
      <c r="A463" s="1">
        <v>491.0</v>
      </c>
      <c r="B463" s="3" t="s">
        <v>462</v>
      </c>
      <c r="C463" s="3" t="str">
        <f>IFERROR(__xludf.DUMMYFUNCTION("GOOGLETRANSLATE(B463,""id"",""en"")"),"['thank', 'love', 'Telkomsel', 'service', 'Telkomsel', 'easy', 'check', 'quota', 'update', 'payment', 'card', 'hello', ' Vouchers', 'interesting', '']")</f>
        <v>['thank', 'love', 'Telkomsel', 'service', 'Telkomsel', 'easy', 'check', 'quota', 'update', 'payment', 'card', 'hello', ' Vouchers', 'interesting', '']</v>
      </c>
      <c r="D463" s="3">
        <v>5.0</v>
      </c>
    </row>
    <row r="464" ht="15.75" customHeight="1">
      <c r="A464" s="1">
        <v>492.0</v>
      </c>
      <c r="B464" s="3" t="s">
        <v>463</v>
      </c>
      <c r="C464" s="3" t="str">
        <f>IFERROR(__xludf.DUMMYFUNCTION("GOOGLETRANSLATE(B464,""id"",""en"")"),"['Telkomsel', 'Quality', 'awake', 'Good']")</f>
        <v>['Telkomsel', 'Quality', 'awake', 'Good']</v>
      </c>
      <c r="D464" s="3">
        <v>5.0</v>
      </c>
    </row>
    <row r="465" ht="15.75" customHeight="1">
      <c r="A465" s="1">
        <v>493.0</v>
      </c>
      <c r="B465" s="3" t="s">
        <v>464</v>
      </c>
      <c r="C465" s="3" t="str">
        <f>IFERROR(__xludf.DUMMYFUNCTION("GOOGLETRANSLATE(B465,""id"",""en"")"),"['Application', 'Teremot', 'Sampe', 'Season', 'Wait', 'Loading', 'UDH', 'Change', 'Connection', 'Loading', 'Peabah', ""]")</f>
        <v>['Application', 'Teremot', 'Sampe', 'Season', 'Wait', 'Loading', 'UDH', 'Change', 'Connection', 'Loading', 'Peabah', "]</v>
      </c>
      <c r="D465" s="3">
        <v>1.0</v>
      </c>
    </row>
    <row r="466" ht="15.75" customHeight="1">
      <c r="A466" s="1">
        <v>494.0</v>
      </c>
      <c r="B466" s="3" t="s">
        <v>465</v>
      </c>
      <c r="C466" s="3" t="str">
        <f>IFERROR(__xludf.DUMMYFUNCTION("GOOGLETRANSLATE(B466,""id"",""en"")"),"['Application', 'Eat', 'Memory', 'MB', 'Apps',' Provider ',' right ',' Open ',' Heavy ',' BGD ',' Wait ',' seconds', ' entry ',' most ',' features', 'additional', 'rare', 'people', 'see', 'the application', 'heavy', 'use', 'see', 'remaining', 'quota' , 'b"&amp;"uy', 'package', 'hope', 'repaired', 'update', 'change', 'significant', 'thx', ""]")</f>
        <v>['Application', 'Eat', 'Memory', 'MB', 'Apps',' Provider ',' right ',' Open ',' Heavy ',' BGD ',' Wait ',' seconds', ' entry ',' most ',' features', 'additional', 'rare', 'people', 'see', 'the application', 'heavy', 'use', 'see', 'remaining', 'quota' , 'buy', 'package', 'hope', 'repaired', 'update', 'change', 'significant', 'thx', "]</v>
      </c>
      <c r="D466" s="3">
        <v>3.0</v>
      </c>
    </row>
    <row r="467" ht="15.75" customHeight="1">
      <c r="A467" s="1">
        <v>495.0</v>
      </c>
      <c r="B467" s="3" t="s">
        <v>466</v>
      </c>
      <c r="C467" s="3" t="str">
        <f>IFERROR(__xludf.DUMMYFUNCTION("GOOGLETRANSLATE(B467,""id"",""en"")"),"['Sianjing', 'Telkomsel', 'Package', 'Cheap', 'Expensive', 'Bangke', 'Kapok', 'Telkomsel', 'relief', 'users',' Telkomsel ',' Removed ',' The package is', '']")</f>
        <v>['Sianjing', 'Telkomsel', 'Package', 'Cheap', 'Expensive', 'Bangke', 'Kapok', 'Telkomsel', 'relief', 'users',' Telkomsel ',' Removed ',' The package is', '']</v>
      </c>
      <c r="D467" s="3">
        <v>1.0</v>
      </c>
    </row>
    <row r="468" ht="15.75" customHeight="1">
      <c r="A468" s="1">
        <v>496.0</v>
      </c>
      <c r="B468" s="3" t="s">
        <v>467</v>
      </c>
      <c r="C468" s="3" t="str">
        <f>IFERROR(__xludf.DUMMYFUNCTION("GOOGLETRANSLATE(B468,""id"",""en"")"),"['Masi', 'Blom', 'opened', 'GMNA', 'INIII']")</f>
        <v>['Masi', 'Blom', 'opened', 'GMNA', 'INIII']</v>
      </c>
      <c r="D468" s="3">
        <v>1.0</v>
      </c>
    </row>
    <row r="469" ht="15.75" customHeight="1">
      <c r="A469" s="1">
        <v>497.0</v>
      </c>
      <c r="B469" s="3" t="s">
        <v>468</v>
      </c>
      <c r="C469" s="3" t="str">
        <f>IFERROR(__xludf.DUMMYFUNCTION("GOOGLETRANSLATE(B469,""id"",""en"")"),"['', 'number', 'price', 'package', 'forgiveness', '']")</f>
        <v>['', 'number', 'price', 'package', 'forgiveness', '']</v>
      </c>
      <c r="D469" s="3">
        <v>4.0</v>
      </c>
    </row>
    <row r="470" ht="15.75" customHeight="1">
      <c r="A470" s="1">
        <v>498.0</v>
      </c>
      <c r="B470" s="3" t="s">
        <v>469</v>
      </c>
      <c r="C470" s="3" t="str">
        <f>IFERROR(__xludf.DUMMYFUNCTION("GOOGLETRANSLATE(B470,""id"",""en"")"),"['Good', 'Sihhh', 'Prizes', 'Enhanced', 'Doank', 'On', 'Use', 'Prizes', 'Extended', 'Makasi', 'Telkomsel', ""]")</f>
        <v>['Good', 'Sihhh', 'Prizes', 'Enhanced', 'Doank', 'On', 'Use', 'Prizes', 'Extended', 'Makasi', 'Telkomsel', "]</v>
      </c>
      <c r="D470" s="3">
        <v>5.0</v>
      </c>
    </row>
    <row r="471" ht="15.75" customHeight="1">
      <c r="A471" s="1">
        <v>499.0</v>
      </c>
      <c r="B471" s="3" t="s">
        <v>470</v>
      </c>
      <c r="C471" s="3" t="str">
        <f>IFERROR(__xludf.DUMMYFUNCTION("GOOGLETRANSLATE(B471,""id"",""en"")"),"['Love', 'BLM', 'Download']")</f>
        <v>['Love', 'BLM', 'Download']</v>
      </c>
      <c r="D471" s="3">
        <v>3.0</v>
      </c>
    </row>
    <row r="472" ht="15.75" customHeight="1">
      <c r="A472" s="1">
        <v>500.0</v>
      </c>
      <c r="B472" s="3" t="s">
        <v>471</v>
      </c>
      <c r="C472" s="3" t="str">
        <f>IFERROR(__xludf.DUMMYFUNCTION("GOOGLETRANSLATE(B472,""id"",""en"")"),"['']")</f>
        <v>['']</v>
      </c>
      <c r="D472" s="3">
        <v>5.0</v>
      </c>
    </row>
    <row r="473" ht="15.75" customHeight="1">
      <c r="A473" s="1">
        <v>501.0</v>
      </c>
      <c r="B473" s="3" t="s">
        <v>472</v>
      </c>
      <c r="C473" s="3" t="str">
        <f>IFERROR(__xludf.DUMMYFUNCTION("GOOGLETRANSLATE(B473,""id"",""en"")"),"['Use', 'Telkomsel', 'TOP']")</f>
        <v>['Use', 'Telkomsel', 'TOP']</v>
      </c>
      <c r="D473" s="3">
        <v>4.0</v>
      </c>
    </row>
    <row r="474" ht="15.75" customHeight="1">
      <c r="A474" s="1">
        <v>502.0</v>
      </c>
      <c r="B474" s="3" t="s">
        <v>473</v>
      </c>
      <c r="C474" s="3" t="str">
        <f>IFERROR(__xludf.DUMMYFUNCTION("GOOGLETRANSLATE(B474,""id"",""en"")"),"['Easy', 'Alpa']")</f>
        <v>['Easy', 'Alpa']</v>
      </c>
      <c r="D474" s="3">
        <v>5.0</v>
      </c>
    </row>
    <row r="475" ht="15.75" customHeight="1">
      <c r="A475" s="1">
        <v>503.0</v>
      </c>
      <c r="B475" s="3" t="s">
        <v>474</v>
      </c>
      <c r="C475" s="3" t="str">
        <f>IFERROR(__xludf.DUMMYFUNCTION("GOOGLETRANSLATE(B475,""id"",""en"")"),"['many years',' card ',' Telkomsel ',' Change ',' Kasi ',' promo ',' see ',' friend ',' family ',' card ',' Telkomsel ',' promo ',' good', '']")</f>
        <v>['many years',' card ',' Telkomsel ',' Change ',' Kasi ',' promo ',' see ',' friend ',' family ',' card ',' Telkomsel ',' promo ',' good', '']</v>
      </c>
      <c r="D475" s="3">
        <v>1.0</v>
      </c>
    </row>
    <row r="476" ht="15.75" customHeight="1">
      <c r="A476" s="1">
        <v>504.0</v>
      </c>
      <c r="B476" s="3" t="s">
        <v>475</v>
      </c>
      <c r="C476" s="3" t="str">
        <f>IFERROR(__xludf.DUMMYFUNCTION("GOOGLETRANSLATE(B476,""id"",""en"")"),"['Telkomsel', 'password', 'yearnn', 'Makinnn', 'cam', 'pukii']")</f>
        <v>['Telkomsel', 'password', 'yearnn', 'Makinnn', 'cam', 'pukii']</v>
      </c>
      <c r="D476" s="3">
        <v>1.0</v>
      </c>
    </row>
    <row r="477" ht="15.75" customHeight="1">
      <c r="A477" s="1">
        <v>505.0</v>
      </c>
      <c r="B477" s="3" t="s">
        <v>476</v>
      </c>
      <c r="C477" s="3" t="str">
        <f>IFERROR(__xludf.DUMMYFUNCTION("GOOGLETRANSLATE(B477,""id"",""en"")"),"['knpa', 'buy', 'internet', 'combo', 'card', 'expensive', 'age', 'card', 'already', 'change']")</f>
        <v>['knpa', 'buy', 'internet', 'combo', 'card', 'expensive', 'age', 'card', 'already', 'change']</v>
      </c>
      <c r="D477" s="3">
        <v>1.0</v>
      </c>
    </row>
    <row r="478" ht="15.75" customHeight="1">
      <c r="A478" s="1">
        <v>506.0</v>
      </c>
      <c r="B478" s="3" t="s">
        <v>477</v>
      </c>
      <c r="C478" s="3" t="str">
        <f>IFERROR(__xludf.DUMMYFUNCTION("GOOGLETRANSLATE(B478,""id"",""en"")"),"['Disappointed', 'Telkomsel', 'Citeureup', 'The network', 'Difficult', 'Disconnect', 'Disconnect', 'User', 'Card', 'Telkomsel']")</f>
        <v>['Disappointed', 'Telkomsel', 'Citeureup', 'The network', 'Difficult', 'Disconnect', 'Disconnect', 'User', 'Card', 'Telkomsel']</v>
      </c>
      <c r="D478" s="3">
        <v>3.0</v>
      </c>
    </row>
    <row r="479" ht="15.75" customHeight="1">
      <c r="A479" s="1">
        <v>508.0</v>
      </c>
      <c r="B479" s="3" t="s">
        <v>478</v>
      </c>
      <c r="C479" s="3" t="str">
        <f>IFERROR(__xludf.DUMMYFUNCTION("GOOGLETRANSLATE(B479,""id"",""en"")"),"Of course")</f>
        <v>Of course</v>
      </c>
      <c r="D479" s="3">
        <v>4.0</v>
      </c>
    </row>
    <row r="480" ht="15.75" customHeight="1">
      <c r="A480" s="1">
        <v>509.0</v>
      </c>
      <c r="B480" s="3" t="s">
        <v>479</v>
      </c>
      <c r="C480" s="3" t="str">
        <f>IFERROR(__xludf.DUMMYFUNCTION("GOOGLETRANSLATE(B480,""id"",""en"")"),"['Tekomsel', 'awesome']")</f>
        <v>['Tekomsel', 'awesome']</v>
      </c>
      <c r="D480" s="3">
        <v>1.0</v>
      </c>
    </row>
    <row r="481" ht="15.75" customHeight="1">
      <c r="A481" s="1">
        <v>510.0</v>
      </c>
      <c r="B481" s="3" t="s">
        <v>480</v>
      </c>
      <c r="C481" s="3" t="str">
        <f>IFERROR(__xludf.DUMMYFUNCTION("GOOGLETRANSLATE(B481,""id"",""en"")"),"['expensive', 'package', 'bang']")</f>
        <v>['expensive', 'package', 'bang']</v>
      </c>
      <c r="D481" s="3">
        <v>1.0</v>
      </c>
    </row>
    <row r="482" ht="15.75" customHeight="1">
      <c r="A482" s="1">
        <v>511.0</v>
      </c>
      <c r="B482" s="3" t="s">
        <v>481</v>
      </c>
      <c r="C482" s="3" t="str">
        <f>IFERROR(__xludf.DUMMYFUNCTION("GOOGLETRANSLATE(B482,""id"",""en"")"),"['Quality', 'signal', 'Telkomsel', 'deliberate', 'derived', 'area', 'signal', 'Telkomsel', 'decent', 'good', 'disappointing', 'said']")</f>
        <v>['Quality', 'signal', 'Telkomsel', 'deliberate', 'derived', 'area', 'signal', 'Telkomsel', 'decent', 'good', 'disappointing', 'said']</v>
      </c>
      <c r="D482" s="3">
        <v>2.0</v>
      </c>
    </row>
    <row r="483" ht="15.75" customHeight="1">
      <c r="A483" s="1">
        <v>512.0</v>
      </c>
      <c r="B483" s="3" t="s">
        <v>482</v>
      </c>
      <c r="C483" s="3" t="str">
        <f>IFERROR(__xludf.DUMMYFUNCTION("GOOGLETRANSLATE(B483,""id"",""en"")"),"['experience', 'application', 'good', 'darling', 'expensive', 'packagex', 'network', 'bags', 'loading', 'not "",' need ',' information ',' interesting ',' Telkomsel ']")</f>
        <v>['experience', 'application', 'good', 'darling', 'expensive', 'packagex', 'network', 'bags', 'loading', 'not ",' need ',' information ',' interesting ',' Telkomsel ']</v>
      </c>
      <c r="D483" s="3">
        <v>3.0</v>
      </c>
    </row>
    <row r="484" ht="15.75" customHeight="1">
      <c r="A484" s="1">
        <v>513.0</v>
      </c>
      <c r="B484" s="3" t="s">
        <v>483</v>
      </c>
      <c r="C484" s="3" t="str">
        <f>IFERROR(__xludf.DUMMYFUNCTION("GOOGLETRANSLATE(B484,""id"",""en"")"),"['Steady', 'instant']")</f>
        <v>['Steady', 'instant']</v>
      </c>
      <c r="D484" s="3">
        <v>5.0</v>
      </c>
    </row>
    <row r="485" ht="15.75" customHeight="1">
      <c r="A485" s="1">
        <v>514.0</v>
      </c>
      <c r="B485" s="3" t="s">
        <v>484</v>
      </c>
      <c r="C485" s="3" t="str">
        <f>IFERROR(__xludf.DUMMYFUNCTION("GOOGLETRANSLATE(B485,""id"",""en"")"),"['game', 'cool', 'mission', 'easy', 'basically', 'exciting', 'deh', ""]")</f>
        <v>['game', 'cool', 'mission', 'easy', 'basically', 'exciting', 'deh', "]</v>
      </c>
      <c r="D485" s="3">
        <v>5.0</v>
      </c>
    </row>
    <row r="486" ht="15.75" customHeight="1">
      <c r="A486" s="1">
        <v>515.0</v>
      </c>
      <c r="B486" s="3" t="s">
        <v>485</v>
      </c>
      <c r="C486" s="3" t="str">
        <f>IFERROR(__xludf.DUMMYFUNCTION("GOOGLETRANSLATE(B486,""id"",""en"")"),"['November', 'Yesterday', 'Buy', 'Combo', 'Sakti', 'Unlimited', 'price', 'RB', 'November', 'RB', 'December', 'already', ' rb ',' fast ',' really ',' rise ']")</f>
        <v>['November', 'Yesterday', 'Buy', 'Combo', 'Sakti', 'Unlimited', 'price', 'RB', 'November', 'RB', 'December', 'already', ' rb ',' fast ',' really ',' rise ']</v>
      </c>
      <c r="D486" s="3">
        <v>2.0</v>
      </c>
    </row>
    <row r="487" ht="15.75" customHeight="1">
      <c r="A487" s="1">
        <v>516.0</v>
      </c>
      <c r="B487" s="3" t="s">
        <v>486</v>
      </c>
      <c r="C487" s="3" t="str">
        <f>IFERROR(__xludf.DUMMYFUNCTION("GOOGLETRANSLATE(B487,""id"",""en"")"),"['Admin', 'Slowreson', 'pulse', 'ilang']")</f>
        <v>['Admin', 'Slowreson', 'pulse', 'ilang']</v>
      </c>
      <c r="D487" s="3">
        <v>1.0</v>
      </c>
    </row>
    <row r="488" ht="15.75" customHeight="1">
      <c r="A488" s="1">
        <v>517.0</v>
      </c>
      <c r="B488" s="3" t="s">
        <v>487</v>
      </c>
      <c r="C488" s="3" t="str">
        <f>IFERROR(__xludf.DUMMYFUNCTION("GOOGLETRANSLATE(B488,""id"",""en"")"),"['mantep', 'cool', 'streaming', 'music', 'slow', 'taunya', 'quota', 'abis',' pulse ',' main ',' suck ',' knp ',' separate', '']")</f>
        <v>['mantep', 'cool', 'streaming', 'music', 'slow', 'taunya', 'quota', 'abis',' pulse ',' main ',' suck ',' knp ',' separate', '']</v>
      </c>
      <c r="D488" s="3">
        <v>1.0</v>
      </c>
    </row>
    <row r="489" ht="15.75" customHeight="1">
      <c r="A489" s="1">
        <v>518.0</v>
      </c>
      <c r="B489" s="3" t="s">
        <v>488</v>
      </c>
      <c r="C489" s="3" t="str">
        <f>IFERROR(__xludf.DUMMYFUNCTION("GOOGLETRANSLATE(B489,""id"",""en"")"),"['Thank you', 'Application', 'Telkomsel', 'Help', 'Leet']")</f>
        <v>['Thank you', 'Application', 'Telkomsel', 'Help', 'Leet']</v>
      </c>
      <c r="D489" s="3">
        <v>4.0</v>
      </c>
    </row>
    <row r="490" ht="15.75" customHeight="1">
      <c r="A490" s="1">
        <v>519.0</v>
      </c>
      <c r="B490" s="3" t="s">
        <v>489</v>
      </c>
      <c r="C490" s="3" t="str">
        <f>IFERROR(__xludf.DUMMYFUNCTION("GOOGLETRANSLATE(B490,""id"",""en"")"),"['Please', 'Quota', 'Telkomsel', 'Located', 'Monthly', 'Combo', 'Sakti', 'Giga', 'thousand']")</f>
        <v>['Please', 'Quota', 'Telkomsel', 'Located', 'Monthly', 'Combo', 'Sakti', 'Giga', 'thousand']</v>
      </c>
      <c r="D490" s="3">
        <v>5.0</v>
      </c>
    </row>
    <row r="491" ht="15.75" customHeight="1">
      <c r="A491" s="1">
        <v>520.0</v>
      </c>
      <c r="B491" s="3" t="s">
        <v>490</v>
      </c>
      <c r="C491" s="3" t="str">
        <f>IFERROR(__xludf.DUMMYFUNCTION("GOOGLETRANSLATE(B491,""id"",""en"")"),"['Good', 'Increases', 'Service', 'Consumer', 'Miss', 'Need']")</f>
        <v>['Good', 'Increases', 'Service', 'Consumer', 'Miss', 'Need']</v>
      </c>
      <c r="D491" s="3">
        <v>5.0</v>
      </c>
    </row>
    <row r="492" ht="15.75" customHeight="1">
      <c r="A492" s="1">
        <v>521.0</v>
      </c>
      <c r="B492" s="3" t="s">
        <v>491</v>
      </c>
      <c r="C492" s="3" t="str">
        <f>IFERROR(__xludf.DUMMYFUNCTION("GOOGLETRANSLATE(B492,""id"",""en"")"),"['Signal', 'Telkomsel', 'Complex', 'Agriculture', 'Astiri', 'Permai', 'Citayem', 'Depok', 'Severe', 'really', 'stable', 'really', ' Dgedrop ',' Please ',' Expert ']")</f>
        <v>['Signal', 'Telkomsel', 'Complex', 'Agriculture', 'Astiri', 'Permai', 'Citayem', 'Depok', 'Severe', 'really', 'stable', 'really', ' Dgedrop ',' Please ',' Expert ']</v>
      </c>
      <c r="D492" s="3">
        <v>1.0</v>
      </c>
    </row>
    <row r="493" ht="15.75" customHeight="1">
      <c r="A493" s="1">
        <v>522.0</v>
      </c>
      <c r="B493" s="3" t="s">
        <v>492</v>
      </c>
      <c r="C493" s="3" t="str">
        <f>IFERROR(__xludf.DUMMYFUNCTION("GOOGLETRANSLATE(B493,""id"",""en"")"),"['Hopefully', 'Package', 'Kombo', 'Cheap']")</f>
        <v>['Hopefully', 'Package', 'Kombo', 'Cheap']</v>
      </c>
      <c r="D493" s="3">
        <v>5.0</v>
      </c>
    </row>
    <row r="494" ht="15.75" customHeight="1">
      <c r="A494" s="1">
        <v>523.0</v>
      </c>
      <c r="B494" s="3" t="s">
        <v>493</v>
      </c>
      <c r="C494" s="3" t="str">
        <f>IFERROR(__xludf.DUMMYFUNCTION("GOOGLETRANSLATE(B494,""id"",""en"")"),"['like', 'application', 'Telkomsel']")</f>
        <v>['like', 'application', 'Telkomsel']</v>
      </c>
      <c r="D494" s="3">
        <v>5.0</v>
      </c>
    </row>
    <row r="495" ht="15.75" customHeight="1">
      <c r="A495" s="1">
        <v>524.0</v>
      </c>
      <c r="B495" s="3" t="s">
        <v>494</v>
      </c>
      <c r="C495" s="3" t="str">
        <f>IFERROR(__xludf.DUMMYFUNCTION("GOOGLETRANSLATE(B495,""id"",""en"")"),"['cave', 'love', 'star', 'njing', 'cave', 'already', 'th', 'card', 'signal', 'difficult', 'njing', 'benerin', ' Napa ',' njing ',' area ',' cave ',' njing ',' ']")</f>
        <v>['cave', 'love', 'star', 'njing', 'cave', 'already', 'th', 'card', 'signal', 'difficult', 'njing', 'benerin', ' Napa ',' njing ',' area ',' cave ',' njing ',' ']</v>
      </c>
      <c r="D495" s="3">
        <v>1.0</v>
      </c>
    </row>
    <row r="496" ht="15.75" customHeight="1">
      <c r="A496" s="1">
        <v>525.0</v>
      </c>
      <c r="B496" s="3" t="s">
        <v>495</v>
      </c>
      <c r="C496" s="3" t="str">
        <f>IFERROR(__xludf.DUMMYFUNCTION("GOOGLETRANSLATE(B496,""id"",""en"")"),"['Benerin', 'signal', 'Main', 'Game', 'Jumping', 'Signal', ""]")</f>
        <v>['Benerin', 'signal', 'Main', 'Game', 'Jumping', 'Signal', "]</v>
      </c>
      <c r="D496" s="3">
        <v>1.0</v>
      </c>
    </row>
    <row r="497" ht="15.75" customHeight="1">
      <c r="A497" s="1">
        <v>526.0</v>
      </c>
      <c r="B497" s="3" t="s">
        <v>496</v>
      </c>
      <c r="C497" s="3" t="str">
        <f>IFERROR(__xludf.DUMMYFUNCTION("GOOGLETRANSLATE(B497,""id"",""en"")"),"['Sometimes', 'signal', 'missing', 'own']")</f>
        <v>['Sometimes', 'signal', 'missing', 'own']</v>
      </c>
      <c r="D497" s="3">
        <v>4.0</v>
      </c>
    </row>
    <row r="498" ht="15.75" customHeight="1">
      <c r="A498" s="1">
        <v>527.0</v>
      </c>
      <c r="B498" s="3" t="s">
        <v>497</v>
      </c>
      <c r="C498" s="3" t="str">
        <f>IFERROR(__xludf.DUMMYFUNCTION("GOOGLETRANSLATE(B498,""id"",""en"")"),"['Wow', 'Cool', 'Skali', 'Tmn', 'Tmn', 'APK', 'Good']")</f>
        <v>['Wow', 'Cool', 'Skali', 'Tmn', 'Tmn', 'APK', 'Good']</v>
      </c>
      <c r="D498" s="3">
        <v>5.0</v>
      </c>
    </row>
    <row r="499" ht="15.75" customHeight="1">
      <c r="A499" s="1">
        <v>528.0</v>
      </c>
      <c r="B499" s="3" t="s">
        <v>498</v>
      </c>
      <c r="C499" s="3" t="str">
        <f>IFERROR(__xludf.DUMMYFUNCTION("GOOGLETRANSLATE(B499,""id"",""en"")"),"['The name', 'area', 'wanaraya', 'Batola', 'sick', 'severe', 'play', 'game', 'ngeleg', 'lose', 'poor', 'Telkomsel', ' expensive ',' sick ',' net ',' please ',' Telkomsel ',' area ',' person ',' area ',' moved ',' provider ',' axis']")</f>
        <v>['The name', 'area', 'wanaraya', 'Batola', 'sick', 'severe', 'play', 'game', 'ngeleg', 'lose', 'poor', 'Telkomsel', ' expensive ',' sick ',' net ',' please ',' Telkomsel ',' area ',' person ',' area ',' moved ',' provider ',' axis']</v>
      </c>
      <c r="D499" s="3">
        <v>1.0</v>
      </c>
    </row>
    <row r="500" ht="15.75" customHeight="1">
      <c r="A500" s="1">
        <v>529.0</v>
      </c>
      <c r="B500" s="3" t="s">
        <v>499</v>
      </c>
      <c r="C500" s="3" t="str">
        <f>IFERROR(__xludf.DUMMYFUNCTION("GOOGLETRANSLATE(B500,""id"",""en"")"),"['Hello', 'Telkomsel', 'application', 'yaa', 'open', 'update', 'uninstall', 'try', 'tetep', 'appears',' color ',' white ',' Please, 'Help']")</f>
        <v>['Hello', 'Telkomsel', 'application', 'yaa', 'open', 'update', 'uninstall', 'try', 'tetep', 'appears',' color ',' white ',' Please, 'Help']</v>
      </c>
      <c r="D500" s="3">
        <v>1.0</v>
      </c>
    </row>
    <row r="501" ht="15.75" customHeight="1">
      <c r="A501" s="1">
        <v>530.0</v>
      </c>
      <c r="B501" s="3" t="s">
        <v>500</v>
      </c>
      <c r="C501" s="3" t="str">
        <f>IFERROR(__xludf.DUMMYFUNCTION("GOOGLETRANSLATE(B501,""id"",""en"")"),"['The network', 'Bgusin']")</f>
        <v>['The network', 'Bgusin']</v>
      </c>
      <c r="D501" s="3">
        <v>4.0</v>
      </c>
    </row>
    <row r="502" ht="15.75" customHeight="1">
      <c r="A502" s="1">
        <v>531.0</v>
      </c>
      <c r="B502" s="3" t="s">
        <v>501</v>
      </c>
      <c r="C502" s="3" t="str">
        <f>IFERROR(__xludf.DUMMYFUNCTION("GOOGLETRANSLATE(B502,""id"",""en"")"),"['APK's', 'really']")</f>
        <v>['APK's', 'really']</v>
      </c>
      <c r="D502" s="3">
        <v>5.0</v>
      </c>
    </row>
    <row r="503" ht="15.75" customHeight="1">
      <c r="A503" s="1">
        <v>532.0</v>
      </c>
      <c r="B503" s="3" t="s">
        <v>502</v>
      </c>
      <c r="C503" s="3" t="str">
        <f>IFERROR(__xludf.DUMMYFUNCTION("GOOGLETRANSLATE(B503,""id"",""en"")"),"['discount', 'expensive', 'yes', 'friend', 'discount', 'big', 'please', 'conspore', 'purchase', 'package', 'price']")</f>
        <v>['discount', 'expensive', 'yes', 'friend', 'discount', 'big', 'please', 'conspore', 'purchase', 'package', 'price']</v>
      </c>
      <c r="D503" s="3">
        <v>1.0</v>
      </c>
    </row>
    <row r="504" ht="15.75" customHeight="1">
      <c r="A504" s="1">
        <v>533.0</v>
      </c>
      <c r="B504" s="3" t="s">
        <v>503</v>
      </c>
      <c r="C504" s="3" t="str">
        <f>IFERROR(__xludf.DUMMYFUNCTION("GOOGLETRANSLATE(B504,""id"",""en"")"),"['Star', 'Nge', 'lag', 'Network', 'You', 'Tahe']")</f>
        <v>['Star', 'Nge', 'lag', 'Network', 'You', 'Tahe']</v>
      </c>
      <c r="D504" s="3">
        <v>1.0</v>
      </c>
    </row>
    <row r="505" ht="15.75" customHeight="1">
      <c r="A505" s="1">
        <v>534.0</v>
      </c>
      <c r="B505" s="3" t="s">
        <v>504</v>
      </c>
      <c r="C505" s="3" t="str">
        <f>IFERROR(__xludf.DUMMYFUNCTION("GOOGLETRANSLATE(B505,""id"",""en"")"),"['Increase', 'Performance', 'MyTelkomsel', 'tks']")</f>
        <v>['Increase', 'Performance', 'MyTelkomsel', 'tks']</v>
      </c>
      <c r="D505" s="3">
        <v>4.0</v>
      </c>
    </row>
    <row r="506" ht="15.75" customHeight="1">
      <c r="A506" s="1">
        <v>535.0</v>
      </c>
      <c r="B506" s="3" t="s">
        <v>505</v>
      </c>
      <c r="C506" s="3" t="str">
        <f>IFERROR(__xludf.DUMMYFUNCTION("GOOGLETRANSLATE(B506,""id"",""en"")"),"['signal', 'bapuk', 'price', 'doang', 'expensive', 'note', 'network', 'internet', '']")</f>
        <v>['signal', 'bapuk', 'price', 'doang', 'expensive', 'note', 'network', 'internet', '']</v>
      </c>
      <c r="D506" s="3">
        <v>1.0</v>
      </c>
    </row>
    <row r="507" ht="15.75" customHeight="1">
      <c r="A507" s="1">
        <v>536.0</v>
      </c>
      <c r="B507" s="3" t="s">
        <v>506</v>
      </c>
      <c r="C507" s="3" t="str">
        <f>IFERROR(__xludf.DUMMYFUNCTION("GOOGLETRANSLATE(B507,""id"",""en"")"),"['The network', 'fix']")</f>
        <v>['The network', 'fix']</v>
      </c>
      <c r="D507" s="3">
        <v>1.0</v>
      </c>
    </row>
    <row r="508" ht="15.75" customHeight="1">
      <c r="A508" s="1">
        <v>537.0</v>
      </c>
      <c r="B508" s="3" t="s">
        <v>507</v>
      </c>
      <c r="C508" s="3" t="str">
        <f>IFERROR(__xludf.DUMMYFUNCTION("GOOGLETRANSLATE(B508,""id"",""en"")"),"['App', 'Good', 'Bangat']")</f>
        <v>['App', 'Good', 'Bangat']</v>
      </c>
      <c r="D508" s="3">
        <v>5.0</v>
      </c>
    </row>
    <row r="509" ht="15.75" customHeight="1">
      <c r="A509" s="1">
        <v>538.0</v>
      </c>
      <c r="B509" s="3" t="s">
        <v>508</v>
      </c>
      <c r="C509" s="3" t="str">
        <f>IFERROR(__xludf.DUMMYFUNCTION("GOOGLETRANSLATE(B509,""id"",""en"")"),"['Trobe', 'Region', 'Gresik', 'South', '']")</f>
        <v>['Trobe', 'Region', 'Gresik', 'South', '']</v>
      </c>
      <c r="D509" s="3">
        <v>5.0</v>
      </c>
    </row>
    <row r="510" ht="15.75" customHeight="1">
      <c r="A510" s="1">
        <v>539.0</v>
      </c>
      <c r="B510" s="3" t="s">
        <v>509</v>
      </c>
      <c r="C510" s="3" t="str">
        <f>IFERROR(__xludf.DUMMYFUNCTION("GOOGLETRANSLATE(B510,""id"",""en"")"),"['Network', 'sometimes', 'bad']")</f>
        <v>['Network', 'sometimes', 'bad']</v>
      </c>
      <c r="D510" s="3">
        <v>2.0</v>
      </c>
    </row>
    <row r="511" ht="15.75" customHeight="1">
      <c r="A511" s="1">
        <v>540.0</v>
      </c>
      <c r="B511" s="3" t="s">
        <v>510</v>
      </c>
      <c r="C511" s="3" t="str">
        <f>IFERROR(__xludf.DUMMYFUNCTION("GOOGLETRANSLATE(B511,""id"",""en"")"),"['', 'South Jakarta', 'stay', 'lung "",' telkosel ',' later ',' bad ']")</f>
        <v>['', 'South Jakarta', 'stay', 'lung ",' telkosel ',' later ',' bad ']</v>
      </c>
      <c r="D511" s="3">
        <v>1.0</v>
      </c>
    </row>
    <row r="512" ht="15.75" customHeight="1">
      <c r="A512" s="1">
        <v>541.0</v>
      </c>
      <c r="B512" s="3" t="s">
        <v>511</v>
      </c>
      <c r="C512" s="3" t="str">
        <f>IFERROR(__xludf.DUMMYFUNCTION("GOOGLETRANSLATE(B512,""id"",""en"")"),"['Season', 'slow', 'APK', 'enter', 'open', 'veranda']")</f>
        <v>['Season', 'slow', 'APK', 'enter', 'open', 'veranda']</v>
      </c>
      <c r="D512" s="3">
        <v>2.0</v>
      </c>
    </row>
    <row r="513" ht="15.75" customHeight="1">
      <c r="A513" s="1">
        <v>542.0</v>
      </c>
      <c r="B513" s="3" t="s">
        <v>512</v>
      </c>
      <c r="C513" s="3" t="str">
        <f>IFERROR(__xludf.DUMMYFUNCTION("GOOGLETRANSLATE(B513,""id"",""en"")"),"['system', 'package', 'run out', 'already', 'that's',' sucked ',' pulse ',' yakali ',' telkomsel ',' expensive ',' doang ',' system ',' Child ',' Internship ']")</f>
        <v>['system', 'package', 'run out', 'already', 'that's',' sucked ',' pulse ',' yakali ',' telkomsel ',' expensive ',' doang ',' system ',' Child ',' Internship ']</v>
      </c>
      <c r="D513" s="3">
        <v>1.0</v>
      </c>
    </row>
    <row r="514" ht="15.75" customHeight="1">
      <c r="A514" s="1">
        <v>543.0</v>
      </c>
      <c r="B514" s="3" t="s">
        <v>513</v>
      </c>
      <c r="C514" s="3" t="str">
        <f>IFERROR(__xludf.DUMMYFUNCTION("GOOGLETRANSLATE(B514,""id"",""en"")"),"['Not bad', 'Network', 'Leet']")</f>
        <v>['Not bad', 'Network', 'Leet']</v>
      </c>
      <c r="D514" s="3">
        <v>4.0</v>
      </c>
    </row>
    <row r="515" ht="15.75" customHeight="1">
      <c r="A515" s="1">
        <v>545.0</v>
      </c>
      <c r="B515" s="3" t="s">
        <v>514</v>
      </c>
      <c r="C515" s="3" t="str">
        <f>IFERROR(__xludf.DUMMYFUNCTION("GOOGLETRANSLATE(B515,""id"",""en"")"),"['Love', 'star', 'Network', 'Telkomsel', 'ugly', 'really', 'Padaha', 'person', 'next door', 'use', 'Telkomsel', 'smooth', ' Current ',' that's', 'Wrong', 'Please', 'explained', 'hope', 'play', 'smooth', 'use', 'Telkomsel', 'ngeleg', 'really', 'please' , '"&amp;"Help', 'Telkomsel', 'Play', 'Smooth', 'Thanks', ""]")</f>
        <v>['Love', 'star', 'Network', 'Telkomsel', 'ugly', 'really', 'Padaha', 'person', 'next door', 'use', 'Telkomsel', 'smooth', ' Current ',' that's', 'Wrong', 'Please', 'explained', 'hope', 'play', 'smooth', 'use', 'Telkomsel', 'ngeleg', 'really', 'please' , 'Help', 'Telkomsel', 'Play', 'Smooth', 'Thanks', "]</v>
      </c>
      <c r="D515" s="3">
        <v>1.0</v>
      </c>
    </row>
    <row r="516" ht="15.75" customHeight="1">
      <c r="A516" s="1">
        <v>546.0</v>
      </c>
      <c r="B516" s="3" t="s">
        <v>515</v>
      </c>
      <c r="C516" s="3" t="str">
        <f>IFERROR(__xludf.DUMMYFUNCTION("GOOGLETRANSLATE(B516,""id"",""en"")"),"['quota', 'balance', 'cheap', 'thank you']")</f>
        <v>['quota', 'balance', 'cheap', 'thank you']</v>
      </c>
      <c r="D516" s="3">
        <v>5.0</v>
      </c>
    </row>
    <row r="517" ht="15.75" customHeight="1">
      <c r="A517" s="1">
        <v>547.0</v>
      </c>
      <c r="B517" s="3" t="s">
        <v>516</v>
      </c>
      <c r="C517" s="3" t="str">
        <f>IFERROR(__xludf.DUMMYFUNCTION("GOOGLETRANSLATE(B517,""id"",""en"")"),"['Telkomsel', 'Okay', 'Anyway']")</f>
        <v>['Telkomsel', 'Okay', 'Anyway']</v>
      </c>
      <c r="D517" s="3">
        <v>5.0</v>
      </c>
    </row>
    <row r="518" ht="15.75" customHeight="1">
      <c r="A518" s="1">
        <v>548.0</v>
      </c>
      <c r="B518" s="3" t="s">
        <v>517</v>
      </c>
      <c r="C518" s="3" t="str">
        <f>IFERROR(__xludf.DUMMYFUNCTION("GOOGLETRANSLATE(B518,""id"",""en"")"),"['Sip', 'really', '']")</f>
        <v>['Sip', 'really', '']</v>
      </c>
      <c r="D518" s="3">
        <v>5.0</v>
      </c>
    </row>
    <row r="519" ht="15.75" customHeight="1">
      <c r="A519" s="1">
        <v>549.0</v>
      </c>
      <c r="B519" s="3" t="s">
        <v>518</v>
      </c>
      <c r="C519" s="3" t="str">
        <f>IFERROR(__xludf.DUMMYFUNCTION("GOOGLETRANSLATE(B519,""id"",""en"")"),"['Good', 'skali']")</f>
        <v>['Good', 'skali']</v>
      </c>
      <c r="D519" s="3">
        <v>5.0</v>
      </c>
    </row>
    <row r="520" ht="15.75" customHeight="1">
      <c r="A520" s="1">
        <v>550.0</v>
      </c>
      <c r="B520" s="3" t="s">
        <v>519</v>
      </c>
      <c r="C520" s="3" t="str">
        <f>IFERROR(__xludf.DUMMYFUNCTION("GOOGLETRANSLATE(B520,""id"",""en"")"),"['update', 'popping up', 'December', 'application', 'Andro', 'Samsung', 'owned', 'appears',' opened ',' screen ',' white ',' minutes', ' Just now ',' update ',' minutes', 'comment', 'release', '']")</f>
        <v>['update', 'popping up', 'December', 'application', 'Andro', 'Samsung', 'owned', 'appears',' opened ',' screen ',' white ',' minutes', ' Just now ',' update ',' minutes', 'comment', 'release', '']</v>
      </c>
      <c r="D520" s="3">
        <v>1.0</v>
      </c>
    </row>
    <row r="521" ht="15.75" customHeight="1">
      <c r="A521" s="1">
        <v>551.0</v>
      </c>
      <c r="B521" s="3" t="s">
        <v>520</v>
      </c>
      <c r="C521" s="3" t="str">
        <f>IFERROR(__xludf.DUMMYFUNCTION("GOOGLETRANSLATE(B521,""id"",""en"")"),"['Satisfied', 'Telkomsel']")</f>
        <v>['Satisfied', 'Telkomsel']</v>
      </c>
      <c r="D521" s="3">
        <v>5.0</v>
      </c>
    </row>
    <row r="522" ht="15.75" customHeight="1">
      <c r="A522" s="1">
        <v>552.0</v>
      </c>
      <c r="B522" s="3" t="s">
        <v>521</v>
      </c>
      <c r="C522" s="3" t="str">
        <f>IFERROR(__xludf.DUMMYFUNCTION("GOOGLETRANSLATE(B522,""id"",""en"")"),"['Hello', 'Developer', 'IVEN', 'Points',' Telkomsel ',' Can ',' Diamond ',' Mobile ',' Legend ',' Hopefully ',' Read ',' Amin ']")</f>
        <v>['Hello', 'Developer', 'IVEN', 'Points',' Telkomsel ',' Can ',' Diamond ',' Mobile ',' Legend ',' Hopefully ',' Read ',' Amin ']</v>
      </c>
      <c r="D522" s="3">
        <v>5.0</v>
      </c>
    </row>
    <row r="523" ht="15.75" customHeight="1">
      <c r="A523" s="1">
        <v>553.0</v>
      </c>
      <c r="B523" s="3" t="s">
        <v>522</v>
      </c>
      <c r="C523" s="3" t="str">
        <f>IFERROR(__xludf.DUMMYFUNCTION("GOOGLETRANSLATE(B523,""id"",""en"")"),"['Telkomsel', 'EMG', 'expensive', 'PKT', 'TPI', 'Please', 'Fix', 'Quality', 'Sousal', 'City', 'TPI', 'Telkomsel', ' seriesiiiingggggg ',' disorder ',' ']")</f>
        <v>['Telkomsel', 'EMG', 'expensive', 'PKT', 'TPI', 'Please', 'Fix', 'Quality', 'Sousal', 'City', 'TPI', 'Telkomsel', ' seriesiiiingggggg ',' disorder ',' ']</v>
      </c>
      <c r="D523" s="3">
        <v>2.0</v>
      </c>
    </row>
    <row r="524" ht="15.75" customHeight="1">
      <c r="A524" s="1">
        <v>554.0</v>
      </c>
      <c r="B524" s="3" t="s">
        <v>523</v>
      </c>
      <c r="C524" s="3" t="str">
        <f>IFERROR(__xludf.DUMMYFUNCTION("GOOGLETRANSLATE(B524,""id"",""en"")"),"['Satisfied', 'Network', 'slow']")</f>
        <v>['Satisfied', 'Network', 'slow']</v>
      </c>
      <c r="D524" s="3">
        <v>1.0</v>
      </c>
    </row>
    <row r="525" ht="15.75" customHeight="1">
      <c r="A525" s="1">
        <v>555.0</v>
      </c>
      <c r="B525" s="3" t="s">
        <v>524</v>
      </c>
      <c r="C525" s="3" t="str">
        <f>IFERROR(__xludf.DUMMYFUNCTION("GOOGLETRANSLATE(B525,""id"",""en"")"),"['Disappointed', 'really', 'already', 'many years',' Telkomsel ',' buy ',' Kouta ',' times', 'my computer', 'used', 'Manahan', 'the price', ' Honey ',' dear ',' really ',' GB ',' She ',' ']")</f>
        <v>['Disappointed', 'really', 'already', 'many years',' Telkomsel ',' buy ',' Kouta ',' times', 'my computer', 'used', 'Manahan', 'the price', ' Honey ',' dear ',' really ',' GB ',' She ',' ']</v>
      </c>
      <c r="D525" s="3">
        <v>1.0</v>
      </c>
    </row>
    <row r="526" ht="15.75" customHeight="1">
      <c r="A526" s="1">
        <v>556.0</v>
      </c>
      <c r="B526" s="3" t="s">
        <v>525</v>
      </c>
      <c r="C526" s="3" t="str">
        <f>IFERROR(__xludf.DUMMYFUNCTION("GOOGLETRANSLATE(B526,""id"",""en"")"),"['signal', 'here', 'good', 'package', 'expensive', 'signal', 'bad', 'handlebars', 'pig', 'ngan']")</f>
        <v>['signal', 'here', 'good', 'package', 'expensive', 'signal', 'bad', 'handlebars', 'pig', 'ngan']</v>
      </c>
      <c r="D526" s="3">
        <v>1.0</v>
      </c>
    </row>
    <row r="527" ht="15.75" customHeight="1">
      <c r="A527" s="1">
        <v>557.0</v>
      </c>
      <c r="B527" s="3" t="s">
        <v>526</v>
      </c>
      <c r="C527" s="3" t="str">
        <f>IFERROR(__xludf.DUMMYFUNCTION("GOOGLETRANSLATE(B527,""id"",""en"")"),"['Telkomsel', 'expensive', 'network', 'good', 'beg', 'enhanced', 'service', 'era', 'high school', 'skrg', 'likes', 'Telkomsel']")</f>
        <v>['Telkomsel', 'expensive', 'network', 'good', 'beg', 'enhanced', 'service', 'era', 'high school', 'skrg', 'likes', 'Telkomsel']</v>
      </c>
      <c r="D527" s="3">
        <v>5.0</v>
      </c>
    </row>
    <row r="528" ht="15.75" customHeight="1">
      <c r="A528" s="1">
        <v>558.0</v>
      </c>
      <c r="B528" s="3" t="s">
        <v>527</v>
      </c>
      <c r="C528" s="3" t="str">
        <f>IFERROR(__xludf.DUMMYFUNCTION("GOOGLETRANSLATE(B528,""id"",""en"")"),"['Service', 'Telkomsel']")</f>
        <v>['Service', 'Telkomsel']</v>
      </c>
      <c r="D528" s="3">
        <v>5.0</v>
      </c>
    </row>
    <row r="529" ht="15.75" customHeight="1">
      <c r="A529" s="1">
        <v>559.0</v>
      </c>
      <c r="B529" s="3" t="s">
        <v>528</v>
      </c>
      <c r="C529" s="3" t="str">
        <f>IFERROR(__xludf.DUMMYFUNCTION("GOOGLETRANSLATE(B529,""id"",""en"")"),"['Kouta', 'promo']")</f>
        <v>['Kouta', 'promo']</v>
      </c>
      <c r="D529" s="3">
        <v>5.0</v>
      </c>
    </row>
    <row r="530" ht="15.75" customHeight="1">
      <c r="A530" s="1">
        <v>560.0</v>
      </c>
      <c r="B530" s="3" t="s">
        <v>529</v>
      </c>
      <c r="C530" s="3" t="str">
        <f>IFERROR(__xludf.DUMMYFUNCTION("GOOGLETRANSLATE(B530,""id"",""en"")"),"['win']")</f>
        <v>['win']</v>
      </c>
      <c r="D530" s="3">
        <v>5.0</v>
      </c>
    </row>
    <row r="531" ht="15.75" customHeight="1">
      <c r="A531" s="1">
        <v>561.0</v>
      </c>
      <c r="B531" s="3" t="s">
        <v>530</v>
      </c>
      <c r="C531" s="3" t="str">
        <f>IFERROR(__xludf.DUMMYFUNCTION("GOOGLETRANSLATE(B531,""id"",""en"")"),"['Package', 'Kouta', 'expensive', 'pulse', 'suck']")</f>
        <v>['Package', 'Kouta', 'expensive', 'pulse', 'suck']</v>
      </c>
      <c r="D531" s="3">
        <v>2.0</v>
      </c>
    </row>
    <row r="532" ht="15.75" customHeight="1">
      <c r="A532" s="1">
        <v>562.0</v>
      </c>
      <c r="B532" s="3" t="s">
        <v>531</v>
      </c>
      <c r="C532" s="3" t="str">
        <f>IFERROR(__xludf.DUMMYFUNCTION("GOOGLETRANSLATE(B532,""id"",""en"")"),"['Sorry', 'HRP', 'checked', 'just', 'Fill', 'PLSA', 'BLM', 'UDH', 'getting', 'Cut', 'Mksd', 'Mint', ' Please ',' checked ',' Jga ',' at the time ',' play ',' game ',' Jaringn ',' Hilng ',' GTU ',' Seling ',' Cut ',' plsa ',' Nomr ' , 'code', 'tlong', 'che"&amp;"ck']")</f>
        <v>['Sorry', 'HRP', 'checked', 'just', 'Fill', 'PLSA', 'BLM', 'UDH', 'getting', 'Cut', 'Mksd', 'Mint', ' Please ',' checked ',' Jga ',' at the time ',' play ',' game ',' Jaringn ',' Hilng ',' GTU ',' Seling ',' Cut ',' plsa ',' Nomr ' , 'code', 'tlong', 'check']</v>
      </c>
      <c r="D532" s="3">
        <v>2.0</v>
      </c>
    </row>
    <row r="533" ht="15.75" customHeight="1">
      <c r="A533" s="1">
        <v>563.0</v>
      </c>
      <c r="B533" s="3" t="s">
        <v>532</v>
      </c>
      <c r="C533" s="3" t="str">
        <f>IFERROR(__xludf.DUMMYFUNCTION("GOOGLETRANSLATE(B533,""id"",""en"")"),"['Telkomsel', 'Consumers',' Leave ',' miserable ',' buy ',' package ',' expensive ',' expensive ',' network ',' internet ',' broke ',' Connect ',' Please, 'Work', 'Location', 'Village', 'Cengkong', 'Purwasari', 'County', 'Karawang', 'Javanese', 'West', 'R"&amp;"elying on', 'Internet', 'Moving' , 'card', 'please', 'help', 'work', ""]")</f>
        <v>['Telkomsel', 'Consumers',' Leave ',' miserable ',' buy ',' package ',' expensive ',' expensive ',' network ',' internet ',' broke ',' Connect ',' Please, 'Work', 'Location', 'Village', 'Cengkong', 'Purwasari', 'County', 'Karawang', 'Javanese', 'West', 'Relying on', 'Internet', 'Moving' , 'card', 'please', 'help', 'work', "]</v>
      </c>
      <c r="D533" s="3">
        <v>1.0</v>
      </c>
    </row>
    <row r="534" ht="15.75" customHeight="1">
      <c r="A534" s="1">
        <v>564.0</v>
      </c>
      <c r="B534" s="3" t="s">
        <v>533</v>
      </c>
      <c r="C534" s="3" t="str">
        <f>IFERROR(__xludf.DUMMYFUNCTION("GOOGLETRANSLATE(B534,""id"",""en"")"),"['Comfortable', 'package']")</f>
        <v>['Comfortable', 'package']</v>
      </c>
      <c r="D534" s="3">
        <v>5.0</v>
      </c>
    </row>
    <row r="535" ht="15.75" customHeight="1">
      <c r="A535" s="1">
        <v>565.0</v>
      </c>
      <c r="B535" s="3" t="s">
        <v>534</v>
      </c>
      <c r="C535" s="3" t="str">
        <f>IFERROR(__xludf.DUMMYFUNCTION("GOOGLETRANSLATE(B535,""id"",""en"")"),"['Ajng', 'pulses', 'sumps', 'mulu']")</f>
        <v>['Ajng', 'pulses', 'sumps', 'mulu']</v>
      </c>
      <c r="D535" s="3">
        <v>1.0</v>
      </c>
    </row>
    <row r="536" ht="15.75" customHeight="1">
      <c r="A536" s="1">
        <v>566.0</v>
      </c>
      <c r="B536" s="3" t="s">
        <v>535</v>
      </c>
      <c r="C536" s="3" t="str">
        <f>IFERROR(__xludf.DUMMYFUNCTION("GOOGLETRANSLATE(B536,""id"",""en"")"),"['Tsel', 'corrupt', 'buy', 'unlimited', 'apps',' open ',' tiktok ',' chat ',' adminate ',' bangat ',' loading ',' corrupt ',' Cuih ']")</f>
        <v>['Tsel', 'corrupt', 'buy', 'unlimited', 'apps',' open ',' tiktok ',' chat ',' adminate ',' bangat ',' loading ',' corrupt ',' Cuih ']</v>
      </c>
      <c r="D536" s="3">
        <v>1.0</v>
      </c>
    </row>
    <row r="537" ht="15.75" customHeight="1">
      <c r="A537" s="1">
        <v>567.0</v>
      </c>
      <c r="B537" s="3" t="s">
        <v>536</v>
      </c>
      <c r="C537" s="3" t="str">
        <f>IFERROR(__xludf.DUMMYFUNCTION("GOOGLETRANSLATE(B537,""id"",""en"")"),"['BBR', 'opened', 'opened', 'update', 'the latest', '']")</f>
        <v>['BBR', 'opened', 'opened', 'update', 'the latest', '']</v>
      </c>
      <c r="D537" s="3">
        <v>4.0</v>
      </c>
    </row>
    <row r="538" ht="15.75" customHeight="1">
      <c r="A538" s="1">
        <v>568.0</v>
      </c>
      <c r="B538" s="3" t="s">
        <v>537</v>
      </c>
      <c r="C538" s="3" t="str">
        <f>IFERROR(__xludf.DUMMYFUNCTION("GOOGLETRANSLATE(B538,""id"",""en"")"),"['like', 'really', 'application', 'good', 'help', 'hope', 'like', 'application', '']")</f>
        <v>['like', 'really', 'application', 'good', 'help', 'hope', 'like', 'application', '']</v>
      </c>
      <c r="D538" s="3">
        <v>5.0</v>
      </c>
    </row>
    <row r="539" ht="15.75" customHeight="1">
      <c r="A539" s="1">
        <v>569.0</v>
      </c>
      <c r="B539" s="3" t="s">
        <v>538</v>
      </c>
      <c r="C539" s="3" t="str">
        <f>IFERROR(__xludf.DUMMYFUNCTION("GOOGLETRANSLATE(B539,""id"",""en"")"),"['signal', 'lag', 'open', 'You', 'Tube', 'Loading', 'quota']")</f>
        <v>['signal', 'lag', 'open', 'You', 'Tube', 'Loading', 'quota']</v>
      </c>
      <c r="D539" s="3">
        <v>2.0</v>
      </c>
    </row>
    <row r="540" ht="15.75" customHeight="1">
      <c r="A540" s="1">
        <v>570.0</v>
      </c>
      <c r="B540" s="3" t="s">
        <v>539</v>
      </c>
      <c r="C540" s="3" t="str">
        <f>IFERROR(__xludf.DUMMYFUNCTION("GOOGLETRANSLATE(B540,""id"",""en"")"),"['package', 'expensive', 'customer', 'loyal', 'use', 'number', 'offer', 'expensive', 'beg', 'love', 'promo', ' ']")</f>
        <v>['package', 'expensive', 'customer', 'loyal', 'use', 'number', 'offer', 'expensive', 'beg', 'love', 'promo', ' ']</v>
      </c>
      <c r="D540" s="3">
        <v>5.0</v>
      </c>
    </row>
    <row r="541" ht="15.75" customHeight="1">
      <c r="A541" s="1">
        <v>571.0</v>
      </c>
      <c r="B541" s="3" t="s">
        <v>540</v>
      </c>
      <c r="C541" s="3" t="str">
        <f>IFERROR(__xludf.DUMMYFUNCTION("GOOGLETRANSLATE(B541,""id"",""en"")"),"['Make', 'Telkomsel', 'application', 'Open', 'mean', 'White', 'blank', 'smooth', 'disappointed', 'application']")</f>
        <v>['Make', 'Telkomsel', 'application', 'Open', 'mean', 'White', 'blank', 'smooth', 'disappointed', 'application']</v>
      </c>
      <c r="D541" s="3">
        <v>2.0</v>
      </c>
    </row>
    <row r="542" ht="15.75" customHeight="1">
      <c r="A542" s="1">
        <v>572.0</v>
      </c>
      <c r="B542" s="3" t="s">
        <v>541</v>
      </c>
      <c r="C542" s="3" t="str">
        <f>IFERROR(__xludf.DUMMYFUNCTION("GOOGLETRANSLATE(B542,""id"",""en"")"),"['hope', 'gift', 'special', 'Telkomsel', 'yak', ""]")</f>
        <v>['hope', 'gift', 'special', 'Telkomsel', 'yak', "]</v>
      </c>
      <c r="D542" s="3">
        <v>5.0</v>
      </c>
    </row>
    <row r="543" ht="15.75" customHeight="1">
      <c r="A543" s="1">
        <v>573.0</v>
      </c>
      <c r="B543" s="3" t="s">
        <v>542</v>
      </c>
      <c r="C543" s="3" t="str">
        <f>IFERROR(__xludf.DUMMYFUNCTION("GOOGLETRANSLATE(B543,""id"",""en"")"),"['number', 'Telkomsel', 'person', 'cloning', 'interrupted', 'report', 'how', '']")</f>
        <v>['number', 'Telkomsel', 'person', 'cloning', 'interrupted', 'report', 'how', '']</v>
      </c>
      <c r="D543" s="3">
        <v>5.0</v>
      </c>
    </row>
    <row r="544" ht="15.75" customHeight="1">
      <c r="A544" s="1">
        <v>574.0</v>
      </c>
      <c r="B544" s="3" t="s">
        <v>543</v>
      </c>
      <c r="C544" s="3" t="str">
        <f>IFERROR(__xludf.DUMMYFUNCTION("GOOGLETRANSLATE(B544,""id"",""en"")"),"['Assalamualaikum', 'min', 'update', 'expensive', 'quality', 'fix', 'strange', 'really', 'loyalty', 'limit', 'limit', 'fail', ' Session ',' Thesis', 'Gara', 'Gara', 'Signal', 'Lemot', 'Buffring', 'Region', 'City', 'Really', 'Disappointed', 'Telkomsel', """&amp;"]")</f>
        <v>['Assalamualaikum', 'min', 'update', 'expensive', 'quality', 'fix', 'strange', 'really', 'loyalty', 'limit', 'limit', 'fail', ' Session ',' Thesis', 'Gara', 'Gara', 'Signal', 'Lemot', 'Buffring', 'Region', 'City', 'Really', 'Disappointed', 'Telkomsel', "]</v>
      </c>
      <c r="D544" s="3">
        <v>1.0</v>
      </c>
    </row>
    <row r="545" ht="15.75" customHeight="1">
      <c r="A545" s="1">
        <v>575.0</v>
      </c>
      <c r="B545" s="3" t="s">
        <v>544</v>
      </c>
      <c r="C545" s="3" t="str">
        <f>IFERROR(__xludf.DUMMYFUNCTION("GOOGLETRANSLATE(B545,""id"",""en"")"),"['disappointed', 'Telkomsel', 'package', 'expensive', 'buy', 'network', 'disappointing', 'subscribe', 'Telkomsel', 'network', 'leg', 'continuous' disappointed', '']")</f>
        <v>['disappointed', 'Telkomsel', 'package', 'expensive', 'buy', 'network', 'disappointing', 'subscribe', 'Telkomsel', 'network', 'leg', 'continuous' disappointed', '']</v>
      </c>
      <c r="D545" s="3">
        <v>1.0</v>
      </c>
    </row>
    <row r="546" ht="15.75" customHeight="1">
      <c r="A546" s="1">
        <v>576.0</v>
      </c>
      <c r="B546" s="3" t="s">
        <v>545</v>
      </c>
      <c r="C546" s="3" t="str">
        <f>IFERROR(__xludf.DUMMYFUNCTION("GOOGLETRANSLATE(B546,""id"",""en"")"),"['KSNI', 'Network', 'Telkomsel', 'MKN', 'Lost', 'Mulu', 'Blood', 'PDHAL', 'Package', 'Expensive', 'Sampe', 'Move', ' deh ',' klu ',' bgni ']")</f>
        <v>['KSNI', 'Network', 'Telkomsel', 'MKN', 'Lost', 'Mulu', 'Blood', 'PDHAL', 'Package', 'Expensive', 'Sampe', 'Move', ' deh ',' klu ',' bgni ']</v>
      </c>
      <c r="D546" s="3">
        <v>3.0</v>
      </c>
    </row>
    <row r="547" ht="15.75" customHeight="1">
      <c r="A547" s="1">
        <v>577.0</v>
      </c>
      <c r="B547" s="3" t="s">
        <v>546</v>
      </c>
      <c r="C547" s="3" t="str">
        <f>IFERROR(__xludf.DUMMYFUNCTION("GOOGLETRANSLATE(B547,""id"",""en"")"),"['Good', 'basically', 'siiipppp', 'good', '']")</f>
        <v>['Good', 'basically', 'siiipppp', 'good', '']</v>
      </c>
      <c r="D547" s="3">
        <v>5.0</v>
      </c>
    </row>
    <row r="548" ht="15.75" customHeight="1">
      <c r="A548" s="1">
        <v>578.0</v>
      </c>
      <c r="B548" s="3" t="s">
        <v>547</v>
      </c>
      <c r="C548" s="3" t="str">
        <f>IFERROR(__xludf.DUMMYFUNCTION("GOOGLETRANSLATE(B548,""id"",""en"")"),"['card', 'expensive', 'package', 'expensive', 'network', 'kek', 'chapter', 'emotion', 'ngeselin']")</f>
        <v>['card', 'expensive', 'package', 'expensive', 'network', 'kek', 'chapter', 'emotion', 'ngeselin']</v>
      </c>
      <c r="D548" s="3">
        <v>1.0</v>
      </c>
    </row>
    <row r="549" ht="15.75" customHeight="1">
      <c r="A549" s="1">
        <v>579.0</v>
      </c>
      <c r="B549" s="3" t="s">
        <v>548</v>
      </c>
      <c r="C549" s="3" t="str">
        <f>IFERROR(__xludf.DUMMYFUNCTION("GOOGLETRANSLATE(B549,""id"",""en"")"),"['Updated', 'Road', 'Normal', 'Increases']")</f>
        <v>['Updated', 'Road', 'Normal', 'Increases']</v>
      </c>
      <c r="D549" s="3">
        <v>5.0</v>
      </c>
    </row>
    <row r="550" ht="15.75" customHeight="1">
      <c r="A550" s="1">
        <v>580.0</v>
      </c>
      <c r="B550" s="3" t="s">
        <v>549</v>
      </c>
      <c r="C550" s="3" t="str">
        <f>IFERROR(__xludf.DUMMYFUNCTION("GOOGLETRANSLATE(B550,""id"",""en"")"),"['activated', 'package', 'updete', 'application', 'Telkomsel', 'package', 'ilang', 'pulse', 'Telkomsel', '']")</f>
        <v>['activated', 'package', 'updete', 'application', 'Telkomsel', 'package', 'ilang', 'pulse', 'Telkomsel', '']</v>
      </c>
      <c r="D550" s="3">
        <v>1.0</v>
      </c>
    </row>
    <row r="551" ht="15.75" customHeight="1">
      <c r="A551" s="1">
        <v>581.0</v>
      </c>
      <c r="B551" s="3" t="s">
        <v>550</v>
      </c>
      <c r="C551" s="3" t="str">
        <f>IFERROR(__xludf.DUMMYFUNCTION("GOOGLETRANSLATE(B551,""id"",""en"")"),"['Sybkasih', 'Bintang', 'Sorry', 'Telkomsel', 'Behind', 'Knp', 'Network', 'Lemot', 'Vicall', 'Disconnect', 'Honest', 'A family', ' SGT ',' Disappointed ',' User ',' Costumer ',' Run ',' Perdana ',' Please ',' Dri ',' Telkomsel ',' repair ',' Network ',' J"&amp;"akarta ',' Serang ' , 'Banten', 'special', 'area', 'Tirtayasa', 'thank', 'love']")</f>
        <v>['Sybkasih', 'Bintang', 'Sorry', 'Telkomsel', 'Behind', 'Knp', 'Network', 'Lemot', 'Vicall', 'Disconnect', 'Honest', 'A family', ' SGT ',' Disappointed ',' User ',' Costumer ',' Run ',' Perdana ',' Please ',' Dri ',' Telkomsel ',' repair ',' Network ',' Jakarta ',' Serang ' , 'Banten', 'special', 'area', 'Tirtayasa', 'thank', 'love']</v>
      </c>
      <c r="D551" s="3">
        <v>1.0</v>
      </c>
    </row>
    <row r="552" ht="15.75" customHeight="1">
      <c r="A552" s="1">
        <v>582.0</v>
      </c>
      <c r="B552" s="3" t="s">
        <v>551</v>
      </c>
      <c r="C552" s="3" t="str">
        <f>IFERROR(__xludf.DUMMYFUNCTION("GOOGLETRANSLATE(B552,""id"",""en"")"),"['Delicious', 'check']")</f>
        <v>['Delicious', 'check']</v>
      </c>
      <c r="D552" s="3">
        <v>5.0</v>
      </c>
    </row>
    <row r="553" ht="15.75" customHeight="1">
      <c r="A553" s="1">
        <v>583.0</v>
      </c>
      <c r="B553" s="3" t="s">
        <v>552</v>
      </c>
      <c r="C553" s="3" t="str">
        <f>IFERROR(__xludf.DUMMYFUNCTION("GOOGLETRANSLATE(B553,""id"",""en"")"),"['Reach', 'Extensive', 'Ollial', 'Movers', 'Negri']")</f>
        <v>['Reach', 'Extensive', 'Ollial', 'Movers', 'Negri']</v>
      </c>
      <c r="D553" s="3">
        <v>5.0</v>
      </c>
    </row>
    <row r="554" ht="15.75" customHeight="1">
      <c r="A554" s="1">
        <v>584.0</v>
      </c>
      <c r="B554" s="3" t="s">
        <v>553</v>
      </c>
      <c r="C554" s="3" t="str">
        <f>IFERROR(__xludf.DUMMYFUNCTION("GOOGLETRANSLATE(B554,""id"",""en"")"),"['Help', 'get', 'gift', ""]")</f>
        <v>['Help', 'get', 'gift', "]</v>
      </c>
      <c r="D554" s="3">
        <v>5.0</v>
      </c>
    </row>
    <row r="555" ht="15.75" customHeight="1">
      <c r="A555" s="1">
        <v>585.0</v>
      </c>
      <c r="B555" s="3" t="s">
        <v>554</v>
      </c>
      <c r="C555" s="3" t="str">
        <f>IFERROR(__xludf.DUMMYFUNCTION("GOOGLETRANSLATE(B555,""id"",""en"")"),"['application', 'makes it easy', '']")</f>
        <v>['application', 'makes it easy', '']</v>
      </c>
      <c r="D555" s="3">
        <v>4.0</v>
      </c>
    </row>
    <row r="556" ht="15.75" customHeight="1">
      <c r="A556" s="1">
        <v>586.0</v>
      </c>
      <c r="B556" s="3" t="s">
        <v>555</v>
      </c>
      <c r="C556" s="3" t="str">
        <f>IFERROR(__xludf.DUMMYFUNCTION("GOOGLETRANSLATE(B556,""id"",""en"")"),"['Telkomsel', 'skrg', 'rotten', 'ugly']")</f>
        <v>['Telkomsel', 'skrg', 'rotten', 'ugly']</v>
      </c>
      <c r="D556" s="3">
        <v>1.0</v>
      </c>
    </row>
    <row r="557" ht="15.75" customHeight="1">
      <c r="A557" s="1">
        <v>587.0</v>
      </c>
      <c r="B557" s="3" t="s">
        <v>556</v>
      </c>
      <c r="C557" s="3" t="str">
        <f>IFERROR(__xludf.DUMMYFUNCTION("GOOGLETRANSLATE(B557,""id"",""en"")"),"['Star', 'Karna', 'Package', 'Local', 'Package', 'Local', 'Package', 'Internet', 'Max', 'How', 'Udh', 'Kepepet']")</f>
        <v>['Star', 'Karna', 'Package', 'Local', 'Package', 'Local', 'Package', 'Internet', 'Max', 'How', 'Udh', 'Kepepet']</v>
      </c>
      <c r="D557" s="3">
        <v>1.0</v>
      </c>
    </row>
    <row r="558" ht="15.75" customHeight="1">
      <c r="A558" s="1">
        <v>589.0</v>
      </c>
      <c r="B558" s="3" t="s">
        <v>557</v>
      </c>
      <c r="C558" s="3" t="str">
        <f>IFERROR(__xludf.DUMMYFUNCTION("GOOGLETRANSLATE(B558,""id"",""en"")"),"['update', 'feature', 'open', 'contents', 'package', 'kouta', 'difficult']")</f>
        <v>['update', 'feature', 'open', 'contents', 'package', 'kouta', 'difficult']</v>
      </c>
      <c r="D558" s="3">
        <v>1.0</v>
      </c>
    </row>
    <row r="559" ht="15.75" customHeight="1">
      <c r="A559" s="1">
        <v>590.0</v>
      </c>
      <c r="B559" s="3" t="s">
        <v>558</v>
      </c>
      <c r="C559" s="3" t="str">
        <f>IFERROR(__xludf.DUMMYFUNCTION("GOOGLETRANSLATE(B559,""id"",""en"")"),"['Mantul', 'Application', 'Anyway', 'Download', 'No', 'Overcome', '']")</f>
        <v>['Mantul', 'Application', 'Anyway', 'Download', 'No', 'Overcome', '']</v>
      </c>
      <c r="D559" s="3">
        <v>5.0</v>
      </c>
    </row>
    <row r="560" ht="15.75" customHeight="1">
      <c r="A560" s="1">
        <v>591.0</v>
      </c>
      <c r="B560" s="3" t="s">
        <v>559</v>
      </c>
      <c r="C560" s="3" t="str">
        <f>IFERROR(__xludf.DUMMYFUNCTION("GOOGLETRANSLATE(B560,""id"",""en"")"),"['failed', 'activation', 'package', '']")</f>
        <v>['failed', 'activation', 'package', '']</v>
      </c>
      <c r="D560" s="3">
        <v>1.0</v>
      </c>
    </row>
    <row r="561" ht="15.75" customHeight="1">
      <c r="A561" s="1">
        <v>592.0</v>
      </c>
      <c r="B561" s="3" t="s">
        <v>560</v>
      </c>
      <c r="C561" s="3" t="str">
        <f>IFERROR(__xludf.DUMMYFUNCTION("GOOGLETRANSLATE(B561,""id"",""en"")"),"['application', 'help', 'steady', 'please', 'increase', 'promo', 'package', 'combo', 'customer', 'Telkomsel', 'cheap', 'festive', ' ']")</f>
        <v>['application', 'help', 'steady', 'please', 'increase', 'promo', 'package', 'combo', 'customer', 'Telkomsel', 'cheap', 'festive', ' ']</v>
      </c>
      <c r="D561" s="3">
        <v>5.0</v>
      </c>
    </row>
    <row r="562" ht="15.75" customHeight="1">
      <c r="A562" s="1">
        <v>593.0</v>
      </c>
      <c r="B562" s="3" t="s">
        <v>561</v>
      </c>
      <c r="C562" s="3" t="str">
        <f>IFERROR(__xludf.DUMMYFUNCTION("GOOGLETRANSLATE(B562,""id"",""en"")"),"['Hello', 'Center', 'Telkomsel', 'Open', 'Application', 'Longkomsel', 'Opened', 'Please', 'Fix', 'Application', 'Telkomsel', 'Accept', ' Kasij ']")</f>
        <v>['Hello', 'Center', 'Telkomsel', 'Open', 'Application', 'Longkomsel', 'Opened', 'Please', 'Fix', 'Application', 'Telkomsel', 'Accept', ' Kasij ']</v>
      </c>
      <c r="D562" s="3">
        <v>1.0</v>
      </c>
    </row>
    <row r="563" ht="15.75" customHeight="1">
      <c r="A563" s="1">
        <v>594.0</v>
      </c>
      <c r="B563" s="3" t="s">
        <v>562</v>
      </c>
      <c r="C563" s="3" t="str">
        <f>IFERROR(__xludf.DUMMYFUNCTION("GOOGLETRANSLATE(B563,""id"",""en"")"),"['Application', 'MyTelkomsel', 'Best', 'User', 'Telkomsel']")</f>
        <v>['Application', 'MyTelkomsel', 'Best', 'User', 'Telkomsel']</v>
      </c>
      <c r="D563" s="3">
        <v>5.0</v>
      </c>
    </row>
    <row r="564" ht="15.75" customHeight="1">
      <c r="A564" s="1">
        <v>596.0</v>
      </c>
      <c r="B564" s="3" t="s">
        <v>563</v>
      </c>
      <c r="C564" s="3" t="str">
        <f>IFERROR(__xludf.DUMMYFUNCTION("GOOGLETRANSLATE(B564,""id"",""en"")"),"['easy', 'contents', 'pulse', 'contents', 'data', 'basically', 'cool', 'deh', 'application']")</f>
        <v>['easy', 'contents', 'pulse', 'contents', 'data', 'basically', 'cool', 'deh', 'application']</v>
      </c>
      <c r="D564" s="3">
        <v>5.0</v>
      </c>
    </row>
    <row r="565" ht="15.75" customHeight="1">
      <c r="A565" s="1">
        <v>597.0</v>
      </c>
      <c r="B565" s="3" t="s">
        <v>564</v>
      </c>
      <c r="C565" s="3" t="str">
        <f>IFERROR(__xludf.DUMMYFUNCTION("GOOGLETRANSLATE(B565,""id"",""en"")"),"['perfect', 'select', 'purchase', 'type', 'quota', 'check', 'quota', 'check', 'pulse', 'easy', ""]")</f>
        <v>['perfect', 'select', 'purchase', 'type', 'quota', 'check', 'quota', 'check', 'pulse', 'easy', "]</v>
      </c>
      <c r="D565" s="3">
        <v>5.0</v>
      </c>
    </row>
    <row r="566" ht="15.75" customHeight="1">
      <c r="A566" s="1">
        <v>598.0</v>
      </c>
      <c r="B566" s="3" t="s">
        <v>565</v>
      </c>
      <c r="C566" s="3" t="str">
        <f>IFERROR(__xludf.DUMMYFUNCTION("GOOGLETRANSLATE(B566,""id"",""en"")"),"['Not bad', 'good', 'help']")</f>
        <v>['Not bad', 'good', 'help']</v>
      </c>
      <c r="D566" s="3">
        <v>4.0</v>
      </c>
    </row>
    <row r="567" ht="15.75" customHeight="1">
      <c r="A567" s="1">
        <v>599.0</v>
      </c>
      <c r="B567" s="3" t="s">
        <v>566</v>
      </c>
      <c r="C567" s="3" t="str">
        <f>IFERROR(__xludf.DUMMYFUNCTION("GOOGLETRANSLATE(B567,""id"",""en"")"),"['A month', 'APL', 'Open', 'Really', 'Harm', '']")</f>
        <v>['A month', 'APL', 'Open', 'Really', 'Harm', '']</v>
      </c>
      <c r="D567" s="3">
        <v>1.0</v>
      </c>
    </row>
    <row r="568" ht="15.75" customHeight="1">
      <c r="A568" s="1">
        <v>601.0</v>
      </c>
      <c r="B568" s="3" t="s">
        <v>567</v>
      </c>
      <c r="C568" s="3" t="str">
        <f>IFERROR(__xludf.DUMMYFUNCTION("GOOGLETRANSLATE(B568,""id"",""en"")"),"['application']")</f>
        <v>['application']</v>
      </c>
      <c r="D568" s="3">
        <v>5.0</v>
      </c>
    </row>
    <row r="569" ht="15.75" customHeight="1">
      <c r="A569" s="1">
        <v>602.0</v>
      </c>
      <c r="B569" s="3" t="s">
        <v>568</v>
      </c>
      <c r="C569" s="3" t="str">
        <f>IFERROR(__xludf.DUMMYFUNCTION("GOOGLETRANSLATE(B569,""id"",""en"")"),"['Telkomsel', 'signal', 'bad', 'package', 'super', 'expensive', 'signal', 'poor']")</f>
        <v>['Telkomsel', 'signal', 'bad', 'package', 'super', 'expensive', 'signal', 'poor']</v>
      </c>
      <c r="D569" s="3">
        <v>1.0</v>
      </c>
    </row>
    <row r="570" ht="15.75" customHeight="1">
      <c r="A570" s="1">
        <v>603.0</v>
      </c>
      <c r="B570" s="3" t="s">
        <v>569</v>
      </c>
      <c r="C570" s="3" t="str">
        <f>IFERROR(__xludf.DUMMYFUNCTION("GOOGLETRANSLATE(B570,""id"",""en"")"),"['Operator', 'cellular', 'steady']")</f>
        <v>['Operator', 'cellular', 'steady']</v>
      </c>
      <c r="D570" s="3">
        <v>5.0</v>
      </c>
    </row>
    <row r="571" ht="15.75" customHeight="1">
      <c r="A571" s="1">
        <v>604.0</v>
      </c>
      <c r="B571" s="3" t="s">
        <v>570</v>
      </c>
      <c r="C571" s="3" t="str">
        <f>IFERROR(__xludf.DUMMYFUNCTION("GOOGLETRANSLATE(B571,""id"",""en"")"),"['try', '']")</f>
        <v>['try', '']</v>
      </c>
      <c r="D571" s="3">
        <v>4.0</v>
      </c>
    </row>
    <row r="572" ht="15.75" customHeight="1">
      <c r="A572" s="1">
        <v>605.0</v>
      </c>
      <c r="B572" s="3" t="s">
        <v>571</v>
      </c>
      <c r="C572" s="3" t="str">
        <f>IFERROR(__xludf.DUMMYFUNCTION("GOOGLETRANSLATE(B572,""id"",""en"")"),"['Hopefully', 'Download', '']")</f>
        <v>['Hopefully', 'Download', '']</v>
      </c>
      <c r="D572" s="3">
        <v>5.0</v>
      </c>
    </row>
    <row r="573" ht="15.75" customHeight="1">
      <c r="A573" s="1">
        <v>606.0</v>
      </c>
      <c r="B573" s="3" t="s">
        <v>572</v>
      </c>
      <c r="C573" s="3" t="str">
        <f>IFERROR(__xludf.DUMMYFUNCTION("GOOGLETRANSLATE(B573,""id"",""en"")"),"['Severe', 'limit', 'bills',' buy ',' extrakouta ',' rb ',' notif ',' exceed ',' limit ',' limit ',' rb ',' rb ',' above ',' RB ',' complain ',' application ',' Instagram ',' office ',' center ',' kah ',' equalize ',' perception ',' results', 'result', """&amp;"]")</f>
        <v>['Severe', 'limit', 'bills',' buy ',' extrakouta ',' rb ',' notif ',' exceed ',' limit ',' limit ',' rb ',' rb ',' above ',' RB ',' complain ',' application ',' Instagram ',' office ',' center ',' kah ',' equalize ',' perception ',' results', 'result', "]</v>
      </c>
      <c r="D573" s="3">
        <v>1.0</v>
      </c>
    </row>
    <row r="574" ht="15.75" customHeight="1">
      <c r="A574" s="1">
        <v>607.0</v>
      </c>
      <c r="B574" s="3" t="s">
        <v>573</v>
      </c>
      <c r="C574" s="3" t="str">
        <f>IFERROR(__xludf.DUMMYFUNCTION("GOOGLETRANSLATE(B574,""id"",""en"")"),"['open', 'Facebook', 'free', 'package', 'data', 'may', 'here', 'expensive', 'quota', 'unlimited', 'watch', 'open', ' Facebook ',' Shere ',' Video ',' Story ',' Send ',' PDAVY ',' Signal ',' Good ',' Disappointed ',' TPI ',' How ',' Signal ',' Pling ' , 'G"&amp;"ood', 'Telkomsel', '']")</f>
        <v>['open', 'Facebook', 'free', 'package', 'data', 'may', 'here', 'expensive', 'quota', 'unlimited', 'watch', 'open', ' Facebook ',' Shere ',' Video ',' Story ',' Send ',' PDAVY ',' Signal ',' Good ',' Disappointed ',' TPI ',' How ',' Signal ',' Pling ' , 'Good', 'Telkomsel', '']</v>
      </c>
      <c r="D574" s="3">
        <v>2.0</v>
      </c>
    </row>
    <row r="575" ht="15.75" customHeight="1">
      <c r="A575" s="1">
        <v>608.0</v>
      </c>
      <c r="B575" s="3" t="s">
        <v>574</v>
      </c>
      <c r="C575" s="3" t="str">
        <f>IFERROR(__xludf.DUMMYFUNCTION("GOOGLETRANSLATE(B575,""id"",""en"")"),"['anywhere', 'Telkomsel', 'best', 'tuk', 'communicating', 'network', 'broad', 'world', ""]")</f>
        <v>['anywhere', 'Telkomsel', 'best', 'tuk', 'communicating', 'network', 'broad', 'world', "]</v>
      </c>
      <c r="D575" s="3">
        <v>5.0</v>
      </c>
    </row>
    <row r="576" ht="15.75" customHeight="1">
      <c r="A576" s="1">
        <v>609.0</v>
      </c>
      <c r="B576" s="3" t="s">
        <v>575</v>
      </c>
      <c r="C576" s="3" t="str">
        <f>IFERROR(__xludf.DUMMYFUNCTION("GOOGLETRANSLATE(B576,""id"",""en"")"),"['Star', 'Kasi', 'promo']")</f>
        <v>['Star', 'Kasi', 'promo']</v>
      </c>
      <c r="D576" s="3">
        <v>5.0</v>
      </c>
    </row>
    <row r="577" ht="15.75" customHeight="1">
      <c r="A577" s="1">
        <v>610.0</v>
      </c>
      <c r="B577" s="3" t="s">
        <v>576</v>
      </c>
      <c r="C577" s="3" t="str">
        <f>IFERROR(__xludf.DUMMYFUNCTION("GOOGLETRANSLATE(B577,""id"",""en"")"),"['Telkomsel', 'Nukar', 'use', 'Points',' Sometimes', 'Lost', 'What', 'Please', 'Fix', 'Nukar', 'Diamond', 'Game', ' Lost ',' weird ']")</f>
        <v>['Telkomsel', 'Nukar', 'use', 'Points',' Sometimes', 'Lost', 'What', 'Please', 'Fix', 'Nukar', 'Diamond', 'Game', ' Lost ',' weird ']</v>
      </c>
      <c r="D577" s="3">
        <v>2.0</v>
      </c>
    </row>
    <row r="578" ht="15.75" customHeight="1">
      <c r="A578" s="1">
        <v>611.0</v>
      </c>
      <c r="B578" s="3" t="s">
        <v>107</v>
      </c>
      <c r="C578" s="3" t="str">
        <f>IFERROR(__xludf.DUMMYFUNCTION("GOOGLETRANSLATE(B578,""id"",""en"")"),"['quota', 'free']")</f>
        <v>['quota', 'free']</v>
      </c>
      <c r="D578" s="3">
        <v>5.0</v>
      </c>
    </row>
    <row r="579" ht="15.75" customHeight="1">
      <c r="A579" s="1">
        <v>612.0</v>
      </c>
      <c r="B579" s="3" t="s">
        <v>577</v>
      </c>
      <c r="C579" s="3" t="str">
        <f>IFERROR(__xludf.DUMMYFUNCTION("GOOGLETRANSLATE(B579,""id"",""en"")"),"['min', 'down', 'network', 'mah', 'tasty', 'telkomsel', 'saia', 'raw', 'hanam']")</f>
        <v>['min', 'down', 'network', 'mah', 'tasty', 'telkomsel', 'saia', 'raw', 'hanam']</v>
      </c>
      <c r="D579" s="3">
        <v>3.0</v>
      </c>
    </row>
    <row r="580" ht="15.75" customHeight="1">
      <c r="A580" s="1">
        <v>613.0</v>
      </c>
      <c r="B580" s="3" t="s">
        <v>578</v>
      </c>
      <c r="C580" s="3" t="str">
        <f>IFERROR(__xludf.DUMMYFUNCTION("GOOGLETRANSLATE(B580,""id"",""en"")"),"['Network', 'stable', 'apply', 'quota', ""]")</f>
        <v>['Network', 'stable', 'apply', 'quota', "]</v>
      </c>
      <c r="D580" s="3">
        <v>5.0</v>
      </c>
    </row>
    <row r="581" ht="15.75" customHeight="1">
      <c r="A581" s="1">
        <v>614.0</v>
      </c>
      <c r="B581" s="3" t="s">
        <v>579</v>
      </c>
      <c r="C581" s="3" t="str">
        <f>IFERROR(__xludf.DUMMYFUNCTION("GOOGLETRANSLATE(B581,""id"",""en"")"),"['late', 'signal', 'down', 'kek', 'vehicle', 'dufan', 'access',' internet ',' slow ',' kek ',' snail ',' sometimes', ' MatiMatian ',' Kek ',' Lights', 'Di -hurung', 'Remang', 'Remang', 'Improved', 'Heavy', 'Location', 'Cikarang', 'West', 'Complaint', 'Cus"&amp;"tomer' , 'Service', 'Overthin', 'Bot']")</f>
        <v>['late', 'signal', 'down', 'kek', 'vehicle', 'dufan', 'access',' internet ',' slow ',' kek ',' snail ',' sometimes', ' MatiMatian ',' Kek ',' Lights', 'Di -hurung', 'Remang', 'Remang', 'Improved', 'Heavy', 'Location', 'Cikarang', 'West', 'Complaint', 'Customer' , 'Service', 'Overthin', 'Bot']</v>
      </c>
      <c r="D581" s="3">
        <v>1.0</v>
      </c>
    </row>
    <row r="582" ht="15.75" customHeight="1">
      <c r="A582" s="1">
        <v>615.0</v>
      </c>
      <c r="B582" s="3" t="s">
        <v>580</v>
      </c>
      <c r="C582" s="3" t="str">
        <f>IFERROR(__xludf.DUMMYFUNCTION("GOOGLETRANSLATE(B582,""id"",""en"")"),"['Please', 'buy', 'package', 'active', 'pulse', 'connection', 'smooth']")</f>
        <v>['Please', 'buy', 'package', 'active', 'pulse', 'connection', 'smooth']</v>
      </c>
      <c r="D582" s="3">
        <v>1.0</v>
      </c>
    </row>
    <row r="583" ht="15.75" customHeight="1">
      <c r="A583" s="1">
        <v>616.0</v>
      </c>
      <c r="B583" s="3" t="s">
        <v>581</v>
      </c>
      <c r="C583" s="3" t="str">
        <f>IFERROR(__xludf.DUMMYFUNCTION("GOOGLETRANSLATE(B583,""id"",""en"")"),"['love', 'buy', 'package', 'promo', 'special', 'pay', 'use', 'ewalet', '']")</f>
        <v>['love', 'buy', 'package', 'promo', 'special', 'pay', 'use', 'ewalet', '']</v>
      </c>
      <c r="D583" s="3">
        <v>3.0</v>
      </c>
    </row>
    <row r="584" ht="15.75" customHeight="1">
      <c r="A584" s="1">
        <v>617.0</v>
      </c>
      <c r="B584" s="3" t="s">
        <v>582</v>
      </c>
      <c r="C584" s="3" t="str">
        <f>IFERROR(__xludf.DUMMYFUNCTION("GOOGLETRANSLATE(B584,""id"",""en"")"),"['Please', 'Sis', 'signalnyo', 'tmpat', 'slow', 'fix', 'service']]")</f>
        <v>['Please', 'Sis', 'signalnyo', 'tmpat', 'slow', 'fix', 'service']]</v>
      </c>
      <c r="D584" s="3">
        <v>4.0</v>
      </c>
    </row>
    <row r="585" ht="15.75" customHeight="1">
      <c r="A585" s="1">
        <v>618.0</v>
      </c>
      <c r="B585" s="3" t="s">
        <v>583</v>
      </c>
      <c r="C585" s="3" t="str">
        <f>IFERROR(__xludf.DUMMYFUNCTION("GOOGLETRANSLATE(B585,""id"",""en"")"),"['here', 'knp', 'the application', 'slow', 'difficult', 'open', 'then', 'that's']")</f>
        <v>['here', 'knp', 'the application', 'slow', 'difficult', 'open', 'then', 'that's']</v>
      </c>
      <c r="D585" s="3">
        <v>3.0</v>
      </c>
    </row>
    <row r="586" ht="15.75" customHeight="1">
      <c r="A586" s="1">
        <v>619.0</v>
      </c>
      <c r="B586" s="3" t="s">
        <v>584</v>
      </c>
      <c r="C586" s="3" t="str">
        <f>IFERROR(__xludf.DUMMYFUNCTION("GOOGLETRANSLATE(B586,""id"",""en"")"),"['Sorry', 'fill out', 'credit', 'directly', 'Cut', 'pulse', 'gmn', 'solution', ""]")</f>
        <v>['Sorry', 'fill out', 'credit', 'directly', 'Cut', 'pulse', 'gmn', 'solution', "]</v>
      </c>
      <c r="D586" s="3">
        <v>3.0</v>
      </c>
    </row>
    <row r="587" ht="15.75" customHeight="1">
      <c r="A587" s="1">
        <v>620.0</v>
      </c>
      <c r="B587" s="3" t="s">
        <v>585</v>
      </c>
      <c r="C587" s="3" t="str">
        <f>IFERROR(__xludf.DUMMYFUNCTION("GOOGLETRANSLATE(B587,""id"",""en"")"),"['', 'comment', 'forward', 'Telkomsel']")</f>
        <v>['', 'comment', 'forward', 'Telkomsel']</v>
      </c>
      <c r="D587" s="3">
        <v>5.0</v>
      </c>
    </row>
    <row r="588" ht="15.75" customHeight="1">
      <c r="A588" s="1">
        <v>621.0</v>
      </c>
      <c r="B588" s="3" t="s">
        <v>586</v>
      </c>
      <c r="C588" s="3" t="str">
        <f>IFERROR(__xludf.DUMMYFUNCTION("GOOGLETRANSLATE(B588,""id"",""en"")"),"['application', 'MyTelkomsel', 'good', 'it's easy', 'users', '']")</f>
        <v>['application', 'MyTelkomsel', 'good', 'it's easy', 'users', '']</v>
      </c>
      <c r="D588" s="3">
        <v>5.0</v>
      </c>
    </row>
    <row r="589" ht="15.75" customHeight="1">
      <c r="A589" s="1">
        <v>622.0</v>
      </c>
      <c r="B589" s="3" t="s">
        <v>587</v>
      </c>
      <c r="C589" s="3" t="str">
        <f>IFERROR(__xludf.DUMMYFUNCTION("GOOGLETRANSLATE(B589,""id"",""en"")"),"['', 'Good', 'a month', 'pakenya']")</f>
        <v>['', 'Good', 'a month', 'pakenya']</v>
      </c>
      <c r="D589" s="3">
        <v>4.0</v>
      </c>
    </row>
    <row r="590" ht="15.75" customHeight="1">
      <c r="A590" s="1">
        <v>623.0</v>
      </c>
      <c r="B590" s="3" t="s">
        <v>588</v>
      </c>
      <c r="C590" s="3" t="str">
        <f>IFERROR(__xludf.DUMMYFUNCTION("GOOGLETRANSLATE(B590,""id"",""en"")"),"['Price', 'Deliberate', 'Ride', 'Fill', 'Credit', 'Rb', 'Hadeh', 'Number', 'Sumpot', 'Hadeh']")</f>
        <v>['Price', 'Deliberate', 'Ride', 'Fill', 'Credit', 'Rb', 'Hadeh', 'Number', 'Sumpot', 'Hadeh']</v>
      </c>
      <c r="D590" s="3">
        <v>1.0</v>
      </c>
    </row>
    <row r="591" ht="15.75" customHeight="1">
      <c r="A591" s="1">
        <v>624.0</v>
      </c>
      <c r="B591" s="3" t="s">
        <v>478</v>
      </c>
      <c r="C591" s="3" t="str">
        <f>IFERROR(__xludf.DUMMYFUNCTION("GOOGLETRANSLATE(B591,""id"",""en"")"),"Of course")</f>
        <v>Of course</v>
      </c>
      <c r="D591" s="3">
        <v>5.0</v>
      </c>
    </row>
    <row r="592" ht="15.75" customHeight="1">
      <c r="A592" s="1">
        <v>625.0</v>
      </c>
      <c r="B592" s="3" t="s">
        <v>589</v>
      </c>
      <c r="C592" s="3" t="str">
        <f>IFERROR(__xludf.DUMMYFUNCTION("GOOGLETRANSLATE(B592,""id"",""en"")"),"['Star', 'signal', 'Telkomsel', 'threat', 'severe', 'ugly', 'really', 'rich']")</f>
        <v>['Star', 'signal', 'Telkomsel', 'threat', 'severe', 'ugly', 'really', 'rich']</v>
      </c>
      <c r="D592" s="3">
        <v>1.0</v>
      </c>
    </row>
    <row r="593" ht="15.75" customHeight="1">
      <c r="A593" s="1">
        <v>626.0</v>
      </c>
      <c r="B593" s="3" t="s">
        <v>590</v>
      </c>
      <c r="C593" s="3" t="str">
        <f>IFERROR(__xludf.DUMMYFUNCTION("GOOGLETRANSLATE(B593,""id"",""en"")"),"['Good', 'mmbantu']")</f>
        <v>['Good', 'mmbantu']</v>
      </c>
      <c r="D593" s="3">
        <v>5.0</v>
      </c>
    </row>
    <row r="594" ht="15.75" customHeight="1">
      <c r="A594" s="1">
        <v>627.0</v>
      </c>
      <c r="B594" s="3" t="s">
        <v>591</v>
      </c>
      <c r="C594" s="3" t="str">
        <f>IFERROR(__xludf.DUMMYFUNCTION("GOOGLETRANSLATE(B594,""id"",""en"")"),"['already', 'th', 'use', 'Telkomsel', 'Network', 'no', 'as good', 'hope', 'in the future', 'service', 'Telkomsel', ""]")</f>
        <v>['already', 'th', 'use', 'Telkomsel', 'Network', 'no', 'as good', 'hope', 'in the future', 'service', 'Telkomsel', "]</v>
      </c>
      <c r="D594" s="3">
        <v>5.0</v>
      </c>
    </row>
    <row r="595" ht="15.75" customHeight="1">
      <c r="A595" s="1">
        <v>628.0</v>
      </c>
      <c r="B595" s="3" t="s">
        <v>592</v>
      </c>
      <c r="C595" s="3" t="str">
        <f>IFERROR(__xludf.DUMMYFUNCTION("GOOGLETRANSLATE(B595,""id"",""en"")"),"['Telkomsel']")</f>
        <v>['Telkomsel']</v>
      </c>
      <c r="D595" s="3">
        <v>5.0</v>
      </c>
    </row>
    <row r="596" ht="15.75" customHeight="1">
      <c r="A596" s="1">
        <v>629.0</v>
      </c>
      <c r="B596" s="3" t="s">
        <v>593</v>
      </c>
      <c r="C596" s="3" t="str">
        <f>IFERROR(__xludf.DUMMYFUNCTION("GOOGLETRANSLATE(B596,""id"",""en"")"),"['Simple', 'easy']")</f>
        <v>['Simple', 'easy']</v>
      </c>
      <c r="D596" s="3">
        <v>5.0</v>
      </c>
    </row>
    <row r="597" ht="15.75" customHeight="1">
      <c r="A597" s="1">
        <v>630.0</v>
      </c>
      <c r="B597" s="3" t="s">
        <v>594</v>
      </c>
      <c r="C597" s="3" t="str">
        <f>IFERROR(__xludf.DUMMYFUNCTION("GOOGLETRANSLATE(B597,""id"",""en"")"),"['Error', 'Rating', 'Love']")</f>
        <v>['Error', 'Rating', 'Love']</v>
      </c>
      <c r="D597" s="3">
        <v>5.0</v>
      </c>
    </row>
    <row r="598" ht="15.75" customHeight="1">
      <c r="A598" s="1">
        <v>631.0</v>
      </c>
      <c r="B598" s="3" t="s">
        <v>595</v>
      </c>
      <c r="C598" s="3" t="str">
        <f>IFERROR(__xludf.DUMMYFUNCTION("GOOGLETRANSLATE(B598,""id"",""en"")"),"['Tatat', 'msh', 'expensive']")</f>
        <v>['Tatat', 'msh', 'expensive']</v>
      </c>
      <c r="D598" s="3">
        <v>4.0</v>
      </c>
    </row>
    <row r="599" ht="15.75" customHeight="1">
      <c r="A599" s="1">
        <v>632.0</v>
      </c>
      <c r="B599" s="3" t="s">
        <v>596</v>
      </c>
      <c r="C599" s="3" t="str">
        <f>IFERROR(__xludf.DUMMYFUNCTION("GOOGLETRANSLATE(B599,""id"",""en"")"),"['Respond']")</f>
        <v>['Respond']</v>
      </c>
      <c r="D599" s="3">
        <v>5.0</v>
      </c>
    </row>
    <row r="600" ht="15.75" customHeight="1">
      <c r="A600" s="1">
        <v>633.0</v>
      </c>
      <c r="B600" s="3" t="s">
        <v>597</v>
      </c>
      <c r="C600" s="3" t="str">
        <f>IFERROR(__xludf.DUMMYFUNCTION("GOOGLETRANSLATE(B600,""id"",""en"")"),"['', 'Telkomsel', 'good', 'easy', 'sustenance', 'sari', 'uuh']")</f>
        <v>['', 'Telkomsel', 'good', 'easy', 'sustenance', 'sari', 'uuh']</v>
      </c>
      <c r="D600" s="3">
        <v>5.0</v>
      </c>
    </row>
    <row r="601" ht="15.75" customHeight="1">
      <c r="A601" s="1">
        <v>634.0</v>
      </c>
      <c r="B601" s="3" t="s">
        <v>598</v>
      </c>
      <c r="C601" s="3" t="str">
        <f>IFERROR(__xludf.DUMMYFUNCTION("GOOGLETRANSLATE(B601,""id"",""en"")"),"['Good', 'boss', 'promo', 'bonus', 'package', 'internet', 'saktiny', 'klw', 'extend', 'boss']")</f>
        <v>['Good', 'boss', 'promo', 'bonus', 'package', 'internet', 'saktiny', 'klw', 'extend', 'boss']</v>
      </c>
      <c r="D601" s="3">
        <v>5.0</v>
      </c>
    </row>
    <row r="602" ht="15.75" customHeight="1">
      <c r="A602" s="1">
        <v>635.0</v>
      </c>
      <c r="B602" s="3" t="s">
        <v>599</v>
      </c>
      <c r="C602" s="3" t="str">
        <f>IFERROR(__xludf.DUMMYFUNCTION("GOOGLETRANSLATE(B602,""id"",""en"")"),"['Mantap', 'Please', 'Increase', 'Service', 'Bonus', 'Points']")</f>
        <v>['Mantap', 'Please', 'Increase', 'Service', 'Bonus', 'Points']</v>
      </c>
      <c r="D602" s="3">
        <v>5.0</v>
      </c>
    </row>
    <row r="603" ht="15.75" customHeight="1">
      <c r="A603" s="1">
        <v>636.0</v>
      </c>
      <c r="B603" s="3" t="s">
        <v>600</v>
      </c>
      <c r="C603" s="3" t="str">
        <f>IFERROR(__xludf.DUMMYFUNCTION("GOOGLETRANSLATE(B603,""id"",""en"")"),"['pulse', 'price', 'package', 'voucher', 'discount', 'purchase', 'package', 'bought', 'discount', 'direct', 'reduce', 'price', ' purchase ',' kyk ',' cashback ',' lazy ',' heh ',' fill in ',' pulses', ""]")</f>
        <v>['pulse', 'price', 'package', 'voucher', 'discount', 'purchase', 'package', 'bought', 'discount', 'direct', 'reduce', 'price', ' purchase ',' kyk ',' cashback ',' lazy ',' heh ',' fill in ',' pulses', "]</v>
      </c>
      <c r="D603" s="3">
        <v>2.0</v>
      </c>
    </row>
    <row r="604" ht="15.75" customHeight="1">
      <c r="A604" s="1">
        <v>637.0</v>
      </c>
      <c r="B604" s="3" t="s">
        <v>601</v>
      </c>
      <c r="C604" s="3" t="str">
        <f>IFERROR(__xludf.DUMMYFUNCTION("GOOGLETRANSLATE(B604,""id"",""en"")"),"['Application', 'update', 'its web', 'repair', 'upgraded', 'Lemmot', 'noon', 'think', 'kalell', 'literate', 'night', 'bandwidth', ' good', '']")</f>
        <v>['Application', 'update', 'its web', 'repair', 'upgraded', 'Lemmot', 'noon', 'think', 'kalell', 'literate', 'night', 'bandwidth', ' good', '']</v>
      </c>
      <c r="D604" s="3">
        <v>1.0</v>
      </c>
    </row>
    <row r="605" ht="15.75" customHeight="1">
      <c r="A605" s="1">
        <v>638.0</v>
      </c>
      <c r="B605" s="3" t="s">
        <v>602</v>
      </c>
      <c r="C605" s="3" t="str">
        <f>IFERROR(__xludf.DUMMYFUNCTION("GOOGLETRANSLATE(B605,""id"",""en"")"),"['Telkomsel', 'Anyway', 'Satisfied']")</f>
        <v>['Telkomsel', 'Anyway', 'Satisfied']</v>
      </c>
      <c r="D605" s="3">
        <v>5.0</v>
      </c>
    </row>
    <row r="606" ht="15.75" customHeight="1">
      <c r="A606" s="1">
        <v>639.0</v>
      </c>
      <c r="B606" s="3" t="s">
        <v>603</v>
      </c>
      <c r="C606" s="3" t="str">
        <f>IFERROR(__xludf.DUMMYFUNCTION("GOOGLETRANSLATE(B606,""id"",""en"")"),"['Hopefully', 'Telkom', 'shrub', 'school', 'inland', 'info', 'CPT', 'Didpt', 'price', 'quota', 'kerllu', 'expensive', ' Students', 'Lotim', 'NTB', 'Mudh', 'reach', '']")</f>
        <v>['Hopefully', 'Telkom', 'shrub', 'school', 'inland', 'info', 'CPT', 'Didpt', 'price', 'quota', 'kerllu', 'expensive', ' Students', 'Lotim', 'NTB', 'Mudh', 'reach', '']</v>
      </c>
      <c r="D606" s="3">
        <v>5.0</v>
      </c>
    </row>
    <row r="607" ht="15.75" customHeight="1">
      <c r="A607" s="1">
        <v>640.0</v>
      </c>
      <c r="B607" s="3" t="s">
        <v>604</v>
      </c>
      <c r="C607" s="3" t="str">
        <f>IFERROR(__xludf.DUMMYFUNCTION("GOOGLETRANSLATE(B607,""id"",""en"")"),"['Sorry', 'expensive', 'price', 'data']")</f>
        <v>['Sorry', 'expensive', 'price', 'data']</v>
      </c>
      <c r="D607" s="3">
        <v>5.0</v>
      </c>
    </row>
    <row r="608" ht="15.75" customHeight="1">
      <c r="A608" s="1">
        <v>641.0</v>
      </c>
      <c r="B608" s="3" t="s">
        <v>605</v>
      </c>
      <c r="C608" s="3" t="str">
        <f>IFERROR(__xludf.DUMMYFUNCTION("GOOGLETRANSLATE(B608,""id"",""en"")"),"['Update', 'App', 'Telkomsel', 'Ida', 'REWAHERUS', 'TERH', '']")</f>
        <v>['Update', 'App', 'Telkomsel', 'Ida', 'REWAHERUS', 'TERH', '']</v>
      </c>
      <c r="D608" s="3">
        <v>4.0</v>
      </c>
    </row>
    <row r="609" ht="15.75" customHeight="1">
      <c r="A609" s="1">
        <v>642.0</v>
      </c>
      <c r="B609" s="3" t="s">
        <v>606</v>
      </c>
      <c r="C609" s="3" t="str">
        <f>IFERROR(__xludf.DUMMYFUNCTION("GOOGLETRANSLATE(B609,""id"",""en"")"),"['Shipp', 'Simple', 'Ribet', 'Miss', 'Thanks', ""]")</f>
        <v>['Shipp', 'Simple', 'Ribet', 'Miss', 'Thanks', "]</v>
      </c>
      <c r="D609" s="3">
        <v>5.0</v>
      </c>
    </row>
    <row r="610" ht="15.75" customHeight="1">
      <c r="A610" s="1">
        <v>643.0</v>
      </c>
      <c r="B610" s="3" t="s">
        <v>607</v>
      </c>
      <c r="C610" s="3" t="str">
        <f>IFERROR(__xludf.DUMMYFUNCTION("GOOGLETRANSLATE(B610,""id"",""en"")"),"['Alhamdulillah', 'already', 'no', 'blank']")</f>
        <v>['Alhamdulillah', 'already', 'no', 'blank']</v>
      </c>
      <c r="D610" s="3">
        <v>5.0</v>
      </c>
    </row>
    <row r="611" ht="15.75" customHeight="1">
      <c r="A611" s="1">
        <v>644.0</v>
      </c>
      <c r="B611" s="3" t="s">
        <v>608</v>
      </c>
      <c r="C611" s="3" t="str">
        <f>IFERROR(__xludf.DUMMYFUNCTION("GOOGLETRANSLATE(B611,""id"",""en"")"),"['Since', 'Update', 'Price', 'Quota', 'Changed', 'Change', 'Expensive', 'Appropriate']")</f>
        <v>['Since', 'Update', 'Price', 'Quota', 'Changed', 'Change', 'Expensive', 'Appropriate']</v>
      </c>
      <c r="D611" s="3">
        <v>1.0</v>
      </c>
    </row>
    <row r="612" ht="15.75" customHeight="1">
      <c r="A612" s="1">
        <v>645.0</v>
      </c>
      <c r="B612" s="3" t="s">
        <v>609</v>
      </c>
      <c r="C612" s="3" t="str">
        <f>IFERROR(__xludf.DUMMYFUNCTION("GOOGLETRANSLATE(B612,""id"",""en"")"),"['Application', 'Tida', 'opened', 'Blank', 'Severe', 'Network', 'ugly', 'Severe']")</f>
        <v>['Application', 'Tida', 'opened', 'Blank', 'Severe', 'Network', 'ugly', 'Severe']</v>
      </c>
      <c r="D612" s="3">
        <v>1.0</v>
      </c>
    </row>
    <row r="613" ht="15.75" customHeight="1">
      <c r="A613" s="1">
        <v>646.0</v>
      </c>
      <c r="B613" s="3" t="s">
        <v>610</v>
      </c>
      <c r="C613" s="3" t="str">
        <f>IFERROR(__xludf.DUMMYFUNCTION("GOOGLETRANSLATE(B613,""id"",""en"")"),"['Exchange', 'Points', 'Telkomsel', 'Bintang']")</f>
        <v>['Exchange', 'Points', 'Telkomsel', 'Bintang']</v>
      </c>
      <c r="D613" s="3">
        <v>1.0</v>
      </c>
    </row>
    <row r="614" ht="15.75" customHeight="1">
      <c r="A614" s="1">
        <v>647.0</v>
      </c>
      <c r="B614" s="3" t="s">
        <v>611</v>
      </c>
      <c r="C614" s="3" t="str">
        <f>IFERROR(__xludf.DUMMYFUNCTION("GOOGLETRANSLATE(B614,""id"",""en"")"),"['Exchange', 'Package', 'Free']")</f>
        <v>['Exchange', 'Package', 'Free']</v>
      </c>
      <c r="D614" s="3">
        <v>1.0</v>
      </c>
    </row>
    <row r="615" ht="15.75" customHeight="1">
      <c r="A615" s="1">
        <v>648.0</v>
      </c>
      <c r="B615" s="3" t="s">
        <v>612</v>
      </c>
      <c r="C615" s="3" t="str">
        <f>IFERROR(__xludf.DUMMYFUNCTION("GOOGLETRANSLATE(B615,""id"",""en"")"),"['network', 'slow', 'city', 'Different', 'ama', 'gini', 'strange', 'smooth', 'really', 'scrol', 'scrol', 'cocofun', ' So ',' open ',' Google ',' good ',' slow ',' Erro ',' really ',' network ',' Please ',' fix ']")</f>
        <v>['network', 'slow', 'city', 'Different', 'ama', 'gini', 'strange', 'smooth', 'really', 'scrol', 'scrol', 'cocofun', ' So ',' open ',' Google ',' good ',' slow ',' Erro ',' really ',' network ',' Please ',' fix ']</v>
      </c>
      <c r="D615" s="3">
        <v>1.0</v>
      </c>
    </row>
    <row r="616" ht="15.75" customHeight="1">
      <c r="A616" s="1">
        <v>649.0</v>
      </c>
      <c r="B616" s="3" t="s">
        <v>613</v>
      </c>
      <c r="C616" s="3" t="str">
        <f>IFERROR(__xludf.DUMMYFUNCTION("GOOGLETRANSLATE(B616,""id"",""en"")"),"['application', 'open', 'poor', 'Telkomsel']")</f>
        <v>['application', 'open', 'poor', 'Telkomsel']</v>
      </c>
      <c r="D616" s="3">
        <v>1.0</v>
      </c>
    </row>
    <row r="617" ht="15.75" customHeight="1">
      <c r="A617" s="1">
        <v>650.0</v>
      </c>
      <c r="B617" s="3" t="s">
        <v>614</v>
      </c>
      <c r="C617" s="3" t="str">
        <f>IFERROR(__xludf.DUMMYFUNCTION("GOOGLETRANSLATE(B617,""id"",""en"")"),"['Trimkaish', 'Telkomsel', 'package', 'cheap', 'expensive', 'search', 'money', 'difficult', ""]")</f>
        <v>['Trimkaish', 'Telkomsel', 'package', 'cheap', 'expensive', 'search', 'money', 'difficult', "]</v>
      </c>
      <c r="D617" s="3">
        <v>5.0</v>
      </c>
    </row>
    <row r="618" ht="15.75" customHeight="1">
      <c r="A618" s="1">
        <v>651.0</v>
      </c>
      <c r="B618" s="3" t="s">
        <v>615</v>
      </c>
      <c r="C618" s="3" t="str">
        <f>IFERROR(__xludf.DUMMYFUNCTION("GOOGLETRANSLATE(B618,""id"",""en"")"),"['prank', 'Telkomsel', 'automatic', 'subscribe', 'Disney', 'Hotstar', 'quota', 'watch', 'GB', 'turn', 'watch', 'movie', ' Application ',' Disney ',' Hotstar ',' Kekeke ',' quota ',' main ',' Tefak ',' Tefak ',' Out ',' quota ',' main ',' Keke "", 'quota' "&amp;", 'watching', 'kayak', 'gini', 'mending', 'type', 'quota', 'jadiin', 'full', 'quota', 'main', 'hadeeh', 'nipu', ' Mulu ',' Operator ']")</f>
        <v>['prank', 'Telkomsel', 'automatic', 'subscribe', 'Disney', 'Hotstar', 'quota', 'watch', 'GB', 'turn', 'watch', 'movie', ' Application ',' Disney ',' Hotstar ',' Kekeke ',' quota ',' main ',' Tefak ',' Tefak ',' Out ',' quota ',' main ',' Keke ", 'quota' , 'watching', 'kayak', 'gini', 'mending', 'type', 'quota', 'jadiin', 'full', 'quota', 'main', 'hadeeh', 'nipu', ' Mulu ',' Operator ']</v>
      </c>
      <c r="D618" s="3">
        <v>1.0</v>
      </c>
    </row>
    <row r="619" ht="15.75" customHeight="1">
      <c r="A619" s="1">
        <v>652.0</v>
      </c>
      <c r="B619" s="3" t="s">
        <v>616</v>
      </c>
      <c r="C619" s="3" t="str">
        <f>IFERROR(__xludf.DUMMYFUNCTION("GOOGLETRANSLATE(B619,""id"",""en"")"),"['Application', 'Telkomsel', 'Sya', 'open', 'Udh', 'a month', 'Sya', 'UDH', 'Try', 'Update', 'Sya', 'Udh', ' Try ',' Delete ',' APK ',' then ',' Download ',' Gmna ',' ']]")</f>
        <v>['Application', 'Telkomsel', 'Sya', 'open', 'Udh', 'a month', 'Sya', 'UDH', 'Try', 'Update', 'Sya', 'Udh', ' Try ',' Delete ',' APK ',' then ',' Download ',' Gmna ',' ']]</v>
      </c>
      <c r="D619" s="3">
        <v>3.0</v>
      </c>
    </row>
    <row r="620" ht="15.75" customHeight="1">
      <c r="A620" s="1">
        <v>653.0</v>
      </c>
      <c r="B620" s="3" t="s">
        <v>617</v>
      </c>
      <c r="C620" s="3" t="str">
        <f>IFERROR(__xludf.DUMMYFUNCTION("GOOGLETRANSLATE(B620,""id"",""en"")"),"['Quality', 'Signal', 'Mantap', '']")</f>
        <v>['Quality', 'Signal', 'Mantap', '']</v>
      </c>
      <c r="D620" s="3">
        <v>5.0</v>
      </c>
    </row>
    <row r="621" ht="15.75" customHeight="1">
      <c r="A621" s="1">
        <v>654.0</v>
      </c>
      <c r="B621" s="3" t="s">
        <v>618</v>
      </c>
      <c r="C621" s="3" t="str">
        <f>IFERROR(__xludf.DUMMYFUNCTION("GOOGLETRANSLATE(B621,""id"",""en"")"),"['', 'Test', 'dlu']")</f>
        <v>['', 'Test', 'dlu']</v>
      </c>
      <c r="D621" s="3">
        <v>5.0</v>
      </c>
    </row>
    <row r="622" ht="15.75" customHeight="1">
      <c r="A622" s="1">
        <v>655.0</v>
      </c>
      <c r="B622" s="3" t="s">
        <v>619</v>
      </c>
      <c r="C622" s="3" t="str">
        <f>IFERROR(__xludf.DUMMYFUNCTION("GOOGLETRANSLATE(B622,""id"",""en"")"),"['Good', 'help']")</f>
        <v>['Good', 'help']</v>
      </c>
      <c r="D622" s="3">
        <v>5.0</v>
      </c>
    </row>
    <row r="623" ht="15.75" customHeight="1">
      <c r="A623" s="1">
        <v>656.0</v>
      </c>
      <c r="B623" s="3" t="s">
        <v>620</v>
      </c>
      <c r="C623" s="3" t="str">
        <f>IFERROR(__xludf.DUMMYFUNCTION("GOOGLETRANSLATE(B623,""id"",""en"")"),"['quota', 'cheap', 'ilangin', 'quota', 'mahalin', 'mending', 'change', 'signal', 'kgk', 'stable', 'haduhh']")</f>
        <v>['quota', 'cheap', 'ilangin', 'quota', 'mahalin', 'mending', 'change', 'signal', 'kgk', 'stable', 'haduhh']</v>
      </c>
      <c r="D623" s="3">
        <v>1.0</v>
      </c>
    </row>
    <row r="624" ht="15.75" customHeight="1">
      <c r="A624" s="1">
        <v>657.0</v>
      </c>
      <c r="B624" s="3" t="s">
        <v>621</v>
      </c>
      <c r="C624" s="3" t="str">
        <f>IFERROR(__xludf.DUMMYFUNCTION("GOOGLETRANSLATE(B624,""id"",""en"")"),"['', 'star', 'network', 'my area', 'slow']")</f>
        <v>['', 'star', 'network', 'my area', 'slow']</v>
      </c>
      <c r="D624" s="3">
        <v>3.0</v>
      </c>
    </row>
    <row r="625" ht="15.75" customHeight="1">
      <c r="A625" s="1">
        <v>658.0</v>
      </c>
      <c r="B625" s="3" t="s">
        <v>622</v>
      </c>
      <c r="C625" s="3" t="str">
        <f>IFERROR(__xludf.DUMMYFUNCTION("GOOGLETRANSLATE(B625,""id"",""en"")"),"['thank', 'love', 'it's easy']")</f>
        <v>['thank', 'love', 'it's easy']</v>
      </c>
      <c r="D625" s="3">
        <v>5.0</v>
      </c>
    </row>
    <row r="626" ht="15.75" customHeight="1">
      <c r="A626" s="1">
        <v>659.0</v>
      </c>
      <c r="B626" s="3" t="s">
        <v>623</v>
      </c>
      <c r="C626" s="3" t="str">
        <f>IFERROR(__xludf.DUMMYFUNCTION("GOOGLETRANSLATE(B626,""id"",""en"")"),"['network', 'Telkomsel', 'poor', 'really', 'bad', 'fast', 'fix', 'lose', 'competitiveness', 'rivals']")</f>
        <v>['network', 'Telkomsel', 'poor', 'really', 'bad', 'fast', 'fix', 'lose', 'competitiveness', 'rivals']</v>
      </c>
      <c r="D626" s="3">
        <v>1.0</v>
      </c>
    </row>
    <row r="627" ht="15.75" customHeight="1">
      <c r="A627" s="1">
        <v>660.0</v>
      </c>
      <c r="B627" s="3" t="s">
        <v>624</v>
      </c>
      <c r="C627" s="3" t="str">
        <f>IFERROR(__xludf.DUMMYFUNCTION("GOOGLETRANSLATE(B627,""id"",""en"")"),"['Sebelya', 'sorry', 'love', 'star', 'buy', 'package', 'cut', 'enter', 'what', '']")</f>
        <v>['Sebelya', 'sorry', 'love', 'star', 'buy', 'package', 'cut', 'enter', 'what', '']</v>
      </c>
      <c r="D627" s="3">
        <v>1.0</v>
      </c>
    </row>
    <row r="628" ht="15.75" customHeight="1">
      <c r="A628" s="1">
        <v>661.0</v>
      </c>
      <c r="B628" s="3" t="s">
        <v>625</v>
      </c>
      <c r="C628" s="3" t="str">
        <f>IFERROR(__xludf.DUMMYFUNCTION("GOOGLETRANSLATE(B628,""id"",""en"")"),"['enter', '']")</f>
        <v>['enter', '']</v>
      </c>
      <c r="D628" s="3">
        <v>1.0</v>
      </c>
    </row>
    <row r="629" ht="15.75" customHeight="1">
      <c r="A629" s="1">
        <v>662.0</v>
      </c>
      <c r="B629" s="3" t="s">
        <v>626</v>
      </c>
      <c r="C629" s="3" t="str">
        <f>IFERROR(__xludf.DUMMYFUNCTION("GOOGLETRANSLATE(B629,""id"",""en"")"),"['Disappointed', 'really', 'Telkomsel', 'internet', 'slow', 'really', ""]")</f>
        <v>['Disappointed', 'really', 'Telkomsel', 'internet', 'slow', 'really', "]</v>
      </c>
      <c r="D629" s="3">
        <v>3.0</v>
      </c>
    </row>
    <row r="630" ht="15.75" customHeight="1">
      <c r="A630" s="1">
        <v>663.0</v>
      </c>
      <c r="B630" s="3" t="s">
        <v>627</v>
      </c>
      <c r="C630" s="3" t="str">
        <f>IFERROR(__xludf.DUMMYFUNCTION("GOOGLETRANSLATE(B630,""id"",""en"")"),"['', 'Telkomsel', 'makes it easy', 'prlanggar', 'buy', 'package', 'simple', 'complicated', 'like', 'multiply', 'promo', ""]")</f>
        <v>['', 'Telkomsel', 'makes it easy', 'prlanggar', 'buy', 'package', 'simple', 'complicated', 'like', 'multiply', 'promo', "]</v>
      </c>
      <c r="D630" s="3">
        <v>5.0</v>
      </c>
    </row>
    <row r="631" ht="15.75" customHeight="1">
      <c r="A631" s="1">
        <v>664.0</v>
      </c>
      <c r="B631" s="3" t="s">
        <v>628</v>
      </c>
      <c r="C631" s="3" t="str">
        <f>IFERROR(__xludf.DUMMYFUNCTION("GOOGLETRANSLATE(B631,""id"",""en"")"),"['Please', 'network', 'fix', 'rich', 'gini', 'package', 'expensive', 'equivalent', 'network', 'cave', 'comfortable', 'rich', ' Gini ',' please ',' yahh ',' please ']")</f>
        <v>['Please', 'network', 'fix', 'rich', 'gini', 'package', 'expensive', 'equivalent', 'network', 'cave', 'comfortable', 'rich', ' Gini ',' please ',' yahh ',' please ']</v>
      </c>
      <c r="D631" s="3">
        <v>1.0</v>
      </c>
    </row>
    <row r="632" ht="15.75" customHeight="1">
      <c r="A632" s="1">
        <v>665.0</v>
      </c>
      <c r="B632" s="3" t="s">
        <v>629</v>
      </c>
      <c r="C632" s="3" t="str">
        <f>IFERROR(__xludf.DUMMYFUNCTION("GOOGLETRANSLATE(B632,""id"",""en"")"),"['network', 'erosion', 'loss',' Gara ',' Lost ',' network ',' claim ',' tip ',' strong ',' gini ',' mah ',' bad ',' Instead ',' hadewhhh ']")</f>
        <v>['network', 'erosion', 'loss',' Gara ',' Lost ',' network ',' claim ',' tip ',' strong ',' gini ',' mah ',' bad ',' Instead ',' hadewhhh ']</v>
      </c>
      <c r="D632" s="3">
        <v>1.0</v>
      </c>
    </row>
    <row r="633" ht="15.75" customHeight="1">
      <c r="A633" s="1">
        <v>668.0</v>
      </c>
      <c r="B633" s="3" t="s">
        <v>630</v>
      </c>
      <c r="C633" s="3" t="str">
        <f>IFERROR(__xludf.DUMMYFUNCTION("GOOGLETRANSLATE(B633,""id"",""en"")"),"['Severe', 'Telkomsel', 'mah', 'slow', 'complicated', 'contact', 'pdhl', 'already', 'Castumer', 'complain', 'fix', 'service', ' Trash ',' Advertising ',' Doang ',' Bener ',' PDAH ',' MAH ',' ']")</f>
        <v>['Severe', 'Telkomsel', 'mah', 'slow', 'complicated', 'contact', 'pdhl', 'already', 'Castumer', 'complain', 'fix', 'service', ' Trash ',' Advertising ',' Doang ',' Bener ',' PDAH ',' MAH ',' ']</v>
      </c>
      <c r="D633" s="3">
        <v>1.0</v>
      </c>
    </row>
    <row r="634" ht="15.75" customHeight="1">
      <c r="A634" s="1">
        <v>669.0</v>
      </c>
      <c r="B634" s="3" t="s">
        <v>631</v>
      </c>
      <c r="C634" s="3" t="str">
        <f>IFERROR(__xludf.DUMMYFUNCTION("GOOGLETRANSLATE(B634,""id"",""en"")"),"['Bagux', 'Simple']")</f>
        <v>['Bagux', 'Simple']</v>
      </c>
      <c r="D634" s="3">
        <v>5.0</v>
      </c>
    </row>
    <row r="635" ht="15.75" customHeight="1">
      <c r="A635" s="1">
        <v>671.0</v>
      </c>
      <c r="B635" s="3" t="s">
        <v>632</v>
      </c>
      <c r="C635" s="3" t="str">
        <f>IFERROR(__xludf.DUMMYFUNCTION("GOOGLETRANSLATE(B635,""id"",""en"")"),"['Please', 'Increase', 'Network', 'Ende', 'NTT']")</f>
        <v>['Please', 'Increase', 'Network', 'Ende', 'NTT']</v>
      </c>
      <c r="D635" s="3">
        <v>5.0</v>
      </c>
    </row>
    <row r="636" ht="15.75" customHeight="1">
      <c r="A636" s="1">
        <v>672.0</v>
      </c>
      <c r="B636" s="3" t="s">
        <v>633</v>
      </c>
      <c r="C636" s="3" t="str">
        <f>IFERROR(__xludf.DUMMYFUNCTION("GOOGLETRANSLATE(B636,""id"",""en"")"),"['Good', 'easy']")</f>
        <v>['Good', 'easy']</v>
      </c>
      <c r="D636" s="3">
        <v>4.0</v>
      </c>
    </row>
    <row r="637" ht="15.75" customHeight="1">
      <c r="A637" s="1">
        <v>673.0</v>
      </c>
      <c r="B637" s="3" t="s">
        <v>634</v>
      </c>
      <c r="C637" s="3" t="str">
        <f>IFERROR(__xludf.DUMMYFUNCTION("GOOGLETRANSLATE(B637,""id"",""en"")"),"['Thank you', 'hope', 'smooth']")</f>
        <v>['Thank you', 'hope', 'smooth']</v>
      </c>
      <c r="D637" s="3">
        <v>5.0</v>
      </c>
    </row>
    <row r="638" ht="15.75" customHeight="1">
      <c r="A638" s="1">
        <v>674.0</v>
      </c>
      <c r="B638" s="3" t="s">
        <v>635</v>
      </c>
      <c r="C638" s="3" t="str">
        <f>IFERROR(__xludf.DUMMYFUNCTION("GOOGLETRANSLATE(B638,""id"",""en"")"),"['Terima', 'Kasih', 'card', 'Telkomsel', 'buy', 'card', 'Telkomsel', 'direct', 'quota', 'Rbu', 'thank you', 'card', ' Telkomsel ',' ']")</f>
        <v>['Terima', 'Kasih', 'card', 'Telkomsel', 'buy', 'card', 'Telkomsel', 'direct', 'quota', 'Rbu', 'thank you', 'card', ' Telkomsel ',' ']</v>
      </c>
      <c r="D638" s="3">
        <v>5.0</v>
      </c>
    </row>
    <row r="639" ht="15.75" customHeight="1">
      <c r="A639" s="1">
        <v>675.0</v>
      </c>
      <c r="B639" s="3" t="s">
        <v>636</v>
      </c>
      <c r="C639" s="3" t="str">
        <f>IFERROR(__xludf.DUMMYFUNCTION("GOOGLETRANSLATE(B639,""id"",""en"")"),"['Sometimes', 'slow']")</f>
        <v>['Sometimes', 'slow']</v>
      </c>
      <c r="D639" s="3">
        <v>4.0</v>
      </c>
    </row>
    <row r="640" ht="15.75" customHeight="1">
      <c r="A640" s="1">
        <v>678.0</v>
      </c>
      <c r="B640" s="3" t="s">
        <v>637</v>
      </c>
      <c r="C640" s="3" t="str">
        <f>IFERROR(__xludf.DUMMYFUNCTION("GOOGLETRANSLATE(B640,""id"",""en"")"),"['Satisfied', 'package', 'expensive', 'kya', '']")</f>
        <v>['Satisfied', 'package', 'expensive', 'kya', '']</v>
      </c>
      <c r="D640" s="3">
        <v>5.0</v>
      </c>
    </row>
    <row r="641" ht="15.75" customHeight="1">
      <c r="A641" s="1">
        <v>679.0</v>
      </c>
      <c r="B641" s="3" t="s">
        <v>638</v>
      </c>
      <c r="C641" s="3" t="str">
        <f>IFERROR(__xludf.DUMMYFUNCTION("GOOGLETRANSLATE(B641,""id"",""en"")"),"['Switch', 'Points']")</f>
        <v>['Switch', 'Points']</v>
      </c>
      <c r="D641" s="3">
        <v>5.0</v>
      </c>
    </row>
    <row r="642" ht="15.75" customHeight="1">
      <c r="A642" s="1">
        <v>680.0</v>
      </c>
      <c r="B642" s="3" t="s">
        <v>639</v>
      </c>
      <c r="C642" s="3" t="str">
        <f>IFERROR(__xludf.DUMMYFUNCTION("GOOGLETRANSLATE(B642,""id"",""en"")"),"['Please', 'Murah', 'signal', 'play', 'like', 'ngeleg', 'mulu', 'loss',' gini ',' mulu ',' please ',' Muraha ',' The signal ',' difficult ',' communicates', 'improvement', 'ignore', 'card', 'Telkomsel']")</f>
        <v>['Please', 'Murah', 'signal', 'play', 'like', 'ngeleg', 'mulu', 'loss',' gini ',' mulu ',' please ',' Muraha ',' The signal ',' difficult ',' communicates', 'improvement', 'ignore', 'card', 'Telkomsel']</v>
      </c>
      <c r="D642" s="3">
        <v>2.0</v>
      </c>
    </row>
    <row r="643" ht="15.75" customHeight="1">
      <c r="A643" s="1">
        <v>682.0</v>
      </c>
      <c r="B643" s="3" t="s">
        <v>640</v>
      </c>
      <c r="C643" s="3" t="str">
        <f>IFERROR(__xludf.DUMMYFUNCTION("GOOGLETRANSLATE(B643,""id"",""en"")"),"['Simpaty', 'here', 'expensive', 'udh', 'that's',' signal ',' lemothaya ',' customer ',' already ',' package ',' option ',' expensive ',' BNGT ',' card ',' UDH ',' choice ',' package ',' cheap ',' ']")</f>
        <v>['Simpaty', 'here', 'expensive', 'udh', 'that's',' signal ',' lemothaya ',' customer ',' already ',' package ',' option ',' expensive ',' BNGT ',' card ',' UDH ',' choice ',' package ',' cheap ',' ']</v>
      </c>
      <c r="D643" s="3">
        <v>1.0</v>
      </c>
    </row>
    <row r="644" ht="15.75" customHeight="1">
      <c r="A644" s="1">
        <v>683.0</v>
      </c>
      <c r="B644" s="3" t="s">
        <v>641</v>
      </c>
      <c r="C644" s="3" t="str">
        <f>IFERROR(__xludf.DUMMYFUNCTION("GOOGLETRANSLATE(B644,""id"",""en"")"),"['jarinagn', 'please', 'jumping', '']")</f>
        <v>['jarinagn', 'please', 'jumping', '']</v>
      </c>
      <c r="D644" s="3">
        <v>5.0</v>
      </c>
    </row>
    <row r="645" ht="15.75" customHeight="1">
      <c r="A645" s="1">
        <v>684.0</v>
      </c>
      <c r="B645" s="3" t="s">
        <v>642</v>
      </c>
      <c r="C645" s="3" t="str">
        <f>IFERROR(__xludf.DUMMYFUNCTION("GOOGLETRANSLATE(B645,""id"",""en"")"),"['WOI', 'Telkomsel', 'Network', 'Internet', 'Leet', '']")</f>
        <v>['WOI', 'Telkomsel', 'Network', 'Internet', 'Leet', '']</v>
      </c>
      <c r="D645" s="3">
        <v>5.0</v>
      </c>
    </row>
    <row r="646" ht="15.75" customHeight="1">
      <c r="A646" s="1">
        <v>685.0</v>
      </c>
      <c r="B646" s="3" t="s">
        <v>643</v>
      </c>
      <c r="C646" s="3" t="str">
        <f>IFERROR(__xludf.DUMMYFUNCTION("GOOGLETRANSLATE(B646,""id"",""en"")"),"['Good', 'fast']")</f>
        <v>['Good', 'fast']</v>
      </c>
      <c r="D646" s="3">
        <v>5.0</v>
      </c>
    </row>
    <row r="647" ht="15.75" customHeight="1">
      <c r="A647" s="1">
        <v>686.0</v>
      </c>
      <c r="B647" s="3" t="s">
        <v>644</v>
      </c>
      <c r="C647" s="3" t="str">
        <f>IFERROR(__xludf.DUMMYFUNCTION("GOOGLETRANSLATE(B647,""id"",""en"")"),"['Promo']")</f>
        <v>['Promo']</v>
      </c>
      <c r="D647" s="3">
        <v>1.0</v>
      </c>
    </row>
    <row r="648" ht="15.75" customHeight="1">
      <c r="A648" s="1">
        <v>687.0</v>
      </c>
      <c r="B648" s="3" t="s">
        <v>645</v>
      </c>
      <c r="C648" s="3" t="str">
        <f>IFERROR(__xludf.DUMMYFUNCTION("GOOGLETRANSLATE(B648,""id"",""en"")"),"['Network', 'ugly', 'package', 'expensive', 'severe', 'emang', 'management', '']")</f>
        <v>['Network', 'ugly', 'package', 'expensive', 'severe', 'emang', 'management', '']</v>
      </c>
      <c r="D648" s="3">
        <v>1.0</v>
      </c>
    </row>
    <row r="649" ht="15.75" customHeight="1">
      <c r="A649" s="1">
        <v>688.0</v>
      </c>
      <c r="B649" s="3" t="s">
        <v>646</v>
      </c>
      <c r="C649" s="3" t="str">
        <f>IFERROR(__xludf.DUMMYFUNCTION("GOOGLETRANSLATE(B649,""id"",""en"")"),"['screen', 'interface', 'blank', 'white', 'response', 'galaxy', 'beg', 'repaired', 'application', ""]")</f>
        <v>['screen', 'interface', 'blank', 'white', 'response', 'galaxy', 'beg', 'repaired', 'application', "]</v>
      </c>
      <c r="D649" s="3">
        <v>4.0</v>
      </c>
    </row>
    <row r="650" ht="15.75" customHeight="1">
      <c r="A650" s="1">
        <v>689.0</v>
      </c>
      <c r="B650" s="3" t="s">
        <v>647</v>
      </c>
      <c r="C650" s="3" t="str">
        <f>IFERROR(__xludf.DUMMYFUNCTION("GOOGLETRANSLATE(B650,""id"",""en"")"),"['thank you', 'application', 'opened', '']")</f>
        <v>['thank you', 'application', 'opened', '']</v>
      </c>
      <c r="D650" s="3">
        <v>4.0</v>
      </c>
    </row>
    <row r="651" ht="15.75" customHeight="1">
      <c r="A651" s="1">
        <v>690.0</v>
      </c>
      <c r="B651" s="3" t="s">
        <v>648</v>
      </c>
      <c r="C651" s="3" t="str">
        <f>IFERROR(__xludf.DUMMYFUNCTION("GOOGLETRANSLATE(B651,""id"",""en"")"),"['Satisfied', 'use', 'Telkomsel', 'signal', 'strong', 'disruption', 'success',' Telkomsel ',' package ',' internet ',' cheap ',' thank you ',' Telkomsel ']")</f>
        <v>['Satisfied', 'use', 'Telkomsel', 'signal', 'strong', 'disruption', 'success',' Telkomsel ',' package ',' internet ',' cheap ',' thank you ',' Telkomsel ']</v>
      </c>
      <c r="D651" s="3">
        <v>5.0</v>
      </c>
    </row>
    <row r="652" ht="15.75" customHeight="1">
      <c r="A652" s="1">
        <v>691.0</v>
      </c>
      <c r="B652" s="3" t="s">
        <v>649</v>
      </c>
      <c r="C652" s="3" t="str">
        <f>IFERROR(__xludf.DUMMYFUNCTION("GOOGLETRANSLATE(B652,""id"",""en"")"),"['Please', 'Mintuan', 'Quality', 'Signal', 'INRERNET', 'Region', 'Remote', 'Remote', 'Help', 'Interact', 'User']")</f>
        <v>['Please', 'Mintuan', 'Quality', 'Signal', 'INRERNET', 'Region', 'Remote', 'Remote', 'Help', 'Interact', 'User']</v>
      </c>
      <c r="D652" s="3">
        <v>5.0</v>
      </c>
    </row>
    <row r="653" ht="15.75" customHeight="1">
      <c r="A653" s="1">
        <v>692.0</v>
      </c>
      <c r="B653" s="3" t="s">
        <v>650</v>
      </c>
      <c r="C653" s="3" t="str">
        <f>IFERROR(__xludf.DUMMYFUNCTION("GOOGLETRANSLATE(B653,""id"",""en"")"),"['application', 'sound', 'login', 'cool', ""]")</f>
        <v>['application', 'sound', 'login', 'cool', "]</v>
      </c>
      <c r="D653" s="3">
        <v>3.0</v>
      </c>
    </row>
    <row r="654" ht="15.75" customHeight="1">
      <c r="A654" s="1">
        <v>693.0</v>
      </c>
      <c r="B654" s="3" t="s">
        <v>651</v>
      </c>
      <c r="C654" s="3" t="str">
        <f>IFERROR(__xludf.DUMMYFUNCTION("GOOGLETRANSLATE(B654,""id"",""en"")"),"['Network', 'stable']")</f>
        <v>['Network', 'stable']</v>
      </c>
      <c r="D654" s="3">
        <v>5.0</v>
      </c>
    </row>
    <row r="655" ht="15.75" customHeight="1">
      <c r="A655" s="1">
        <v>694.0</v>
      </c>
      <c r="B655" s="3" t="s">
        <v>652</v>
      </c>
      <c r="C655" s="3" t="str">
        <f>IFERROR(__xludf.DUMMYFUNCTION("GOOGLETRANSLATE(B655,""id"",""en"")"),"['material', 'principal', 'package', 'internet', 'follow', 'mending', 'network', 'optimal', 'uda', 'price', 'network', 'slow', ' Stayed ',' area ',' suburbs', 'City', '']")</f>
        <v>['material', 'principal', 'package', 'internet', 'follow', 'mending', 'network', 'optimal', 'uda', 'price', 'network', 'slow', ' Stayed ',' area ',' suburbs', 'City', '']</v>
      </c>
      <c r="D655" s="3">
        <v>2.0</v>
      </c>
    </row>
    <row r="656" ht="15.75" customHeight="1">
      <c r="A656" s="1">
        <v>695.0</v>
      </c>
      <c r="B656" s="3" t="s">
        <v>653</v>
      </c>
      <c r="C656" s="3" t="str">
        <f>IFERROR(__xludf.DUMMYFUNCTION("GOOGLETRANSLATE(B656,""id"",""en"")"),"['Okay', 'Constraints', 'Consistent', 'Network', 'Disorders', 'Severe', 'Malem', 'Disruption', 'SMPE', 'Many', 'Hilihhhh', 'kintil']")</f>
        <v>['Okay', 'Constraints', 'Consistent', 'Network', 'Disorders', 'Severe', 'Malem', 'Disruption', 'SMPE', 'Many', 'Hilihhhh', 'kintil']</v>
      </c>
      <c r="D656" s="3">
        <v>1.0</v>
      </c>
    </row>
    <row r="657" ht="15.75" customHeight="1">
      <c r="A657" s="1">
        <v>696.0</v>
      </c>
      <c r="B657" s="3" t="s">
        <v>654</v>
      </c>
      <c r="C657" s="3" t="str">
        <f>IFERROR(__xludf.DUMMYFUNCTION("GOOGLETRANSLATE(B657,""id"",""en"")"),"['Hopefully', 'Ajh', 'Read', 'please', 'Telkomsel', 'pulse', 'thousand', 'buy', 'thousand', 'buy', 'package', 'combo', ' Sakti ',' Rp ',' thousand ',' go home ',' check ',' pulse ',' reduced ',' thousand ',' data ',' ajh ',' flame ',' please ',' fix ' ]")</f>
        <v>['Hopefully', 'Ajh', 'Read', 'please', 'Telkomsel', 'pulse', 'thousand', 'buy', 'thousand', 'buy', 'package', 'combo', ' Sakti ',' Rp ',' thousand ',' go home ',' check ',' pulse ',' reduced ',' thousand ',' data ',' ajh ',' flame ',' please ',' fix ' ]</v>
      </c>
      <c r="D657" s="3">
        <v>1.0</v>
      </c>
    </row>
    <row r="658" ht="15.75" customHeight="1">
      <c r="A658" s="1">
        <v>697.0</v>
      </c>
      <c r="B658" s="3" t="s">
        <v>655</v>
      </c>
      <c r="C658" s="3" t="str">
        <f>IFERROR(__xludf.DUMMYFUNCTION("GOOGLETRANSLATE(B658,""id"",""en"")"),"['Telkomsel', 'advanced', 'people', 'Indonesia', 'medium', 'down']")</f>
        <v>['Telkomsel', 'advanced', 'people', 'Indonesia', 'medium', 'down']</v>
      </c>
      <c r="D658" s="3">
        <v>5.0</v>
      </c>
    </row>
    <row r="659" ht="15.75" customHeight="1">
      <c r="A659" s="1">
        <v>698.0</v>
      </c>
      <c r="B659" s="3" t="s">
        <v>656</v>
      </c>
      <c r="C659" s="3" t="str">
        <f>IFERROR(__xludf.DUMMYFUNCTION("GOOGLETRANSLATE(B659,""id"",""en"")"),"['thank', 'love', 'love', 'Telkomsel']")</f>
        <v>['thank', 'love', 'love', 'Telkomsel']</v>
      </c>
      <c r="D659" s="3">
        <v>5.0</v>
      </c>
    </row>
    <row r="660" ht="15.75" customHeight="1">
      <c r="A660" s="1">
        <v>700.0</v>
      </c>
      <c r="B660" s="3" t="s">
        <v>657</v>
      </c>
      <c r="C660" s="3" t="str">
        <f>IFERROR(__xludf.DUMMYFUNCTION("GOOGLETRANSLATE(B660,""id"",""en"")"),"['Redem', 'Points', 'Ilagin', 'Golbok']")</f>
        <v>['Redem', 'Points', 'Ilagin', 'Golbok']</v>
      </c>
      <c r="D660" s="3">
        <v>1.0</v>
      </c>
    </row>
    <row r="661" ht="15.75" customHeight="1">
      <c r="A661" s="1">
        <v>701.0</v>
      </c>
      <c r="B661" s="3" t="s">
        <v>658</v>
      </c>
      <c r="C661" s="3" t="str">
        <f>IFERROR(__xludf.DUMMYFUNCTION("GOOGLETRANSLATE(B661,""id"",""en"")"),"['Please', 'The network', 'Optimize', 'Region', 'Rural']")</f>
        <v>['Please', 'The network', 'Optimize', 'Region', 'Rural']</v>
      </c>
      <c r="D661" s="3">
        <v>5.0</v>
      </c>
    </row>
    <row r="662" ht="15.75" customHeight="1">
      <c r="A662" s="1">
        <v>702.0</v>
      </c>
      <c r="B662" s="3" t="s">
        <v>659</v>
      </c>
      <c r="C662" s="3" t="str">
        <f>IFERROR(__xludf.DUMMYFUNCTION("GOOGLETRANSLATE(B662,""id"",""en"")"),"['Application', 'Help']")</f>
        <v>['Application', 'Help']</v>
      </c>
      <c r="D662" s="3">
        <v>5.0</v>
      </c>
    </row>
    <row r="663" ht="15.75" customHeight="1">
      <c r="A663" s="1">
        <v>703.0</v>
      </c>
      <c r="B663" s="3" t="s">
        <v>660</v>
      </c>
      <c r="C663" s="3" t="str">
        <f>IFERROR(__xludf.DUMMYFUNCTION("GOOGLETRANSLATE(B663,""id"",""en"")"),"['Woii', 'credit', 'borrow', 'pay', 'play', 'take', 'boss', 'contents', 'pulse', 'thousand', 'bucked']")</f>
        <v>['Woii', 'credit', 'borrow', 'pay', 'play', 'take', 'boss', 'contents', 'pulse', 'thousand', 'bucked']</v>
      </c>
      <c r="D663" s="3">
        <v>3.0</v>
      </c>
    </row>
    <row r="664" ht="15.75" customHeight="1">
      <c r="A664" s="1">
        <v>704.0</v>
      </c>
      <c r="B664" s="3" t="s">
        <v>661</v>
      </c>
      <c r="C664" s="3" t="str">
        <f>IFERROR(__xludf.DUMMYFUNCTION("GOOGLETRANSLATE(B664,""id"",""en"")"),"['signal', 'bad', 'home', 'stable', 'ugly', 'bang', 'please', 'fix', 'signal', 'internet', 'area', 'kollet', ' KCamatan ',' Panongan ',' Tangerang ',' County ']")</f>
        <v>['signal', 'bad', 'home', 'stable', 'ugly', 'bang', 'please', 'fix', 'signal', 'internet', 'area', 'kollet', ' KCamatan ',' Panongan ',' Tangerang ',' County ']</v>
      </c>
      <c r="D664" s="3">
        <v>1.0</v>
      </c>
    </row>
    <row r="665" ht="15.75" customHeight="1">
      <c r="A665" s="1">
        <v>705.0</v>
      </c>
      <c r="B665" s="3" t="s">
        <v>662</v>
      </c>
      <c r="C665" s="3" t="str">
        <f>IFERROR(__xludf.DUMMYFUNCTION("GOOGLETRANSLATE(B665,""id"",""en"")"),"['Have', 'update', 'no', 'update', 'plus', 'network', 'here', 'annoying']")</f>
        <v>['Have', 'update', 'no', 'update', 'plus', 'network', 'here', 'annoying']</v>
      </c>
      <c r="D665" s="3">
        <v>1.0</v>
      </c>
    </row>
    <row r="666" ht="15.75" customHeight="1">
      <c r="A666" s="1">
        <v>706.0</v>
      </c>
      <c r="B666" s="3" t="s">
        <v>663</v>
      </c>
      <c r="C666" s="3" t="str">
        <f>IFERROR(__xludf.DUMMYFUNCTION("GOOGLETRANSLATE(B666,""id"",""en"")"),"['Application', 'published', 'TPI', 'according to', 'results', 'promote', 'application', 'Sya', '']")</f>
        <v>['Application', 'published', 'TPI', 'according to', 'results', 'promote', 'application', 'Sya', '']</v>
      </c>
      <c r="D666" s="3">
        <v>4.0</v>
      </c>
    </row>
    <row r="667" ht="15.75" customHeight="1">
      <c r="A667" s="1">
        <v>707.0</v>
      </c>
      <c r="B667" s="3" t="s">
        <v>664</v>
      </c>
      <c r="C667" s="3" t="str">
        <f>IFERROR(__xludf.DUMMYFUNCTION("GOOGLETRANSLATE(B667,""id"",""en"")"),"['Excuse', 'Sis',' signal ',' network ',' sympathy ',' kosambi ',' West ',' bad ',' really ',' play ',' game ',' ngelag ',' ']")</f>
        <v>['Excuse', 'Sis',' signal ',' network ',' sympathy ',' kosambi ',' West ',' bad ',' really ',' play ',' game ',' ngelag ',' ']</v>
      </c>
      <c r="D667" s="3">
        <v>3.0</v>
      </c>
    </row>
    <row r="668" ht="15.75" customHeight="1">
      <c r="A668" s="1">
        <v>708.0</v>
      </c>
      <c r="B668" s="3" t="s">
        <v>665</v>
      </c>
      <c r="C668" s="3" t="str">
        <f>IFERROR(__xludf.DUMMYFUNCTION("GOOGLETRANSLATE(B668,""id"",""en"")"),"['APL', 'Making Mengmuda', 'Package', 'Promotions', '']")</f>
        <v>['APL', 'Making Mengmuda', 'Package', 'Promotions', '']</v>
      </c>
      <c r="D668" s="3">
        <v>4.0</v>
      </c>
    </row>
    <row r="669" ht="15.75" customHeight="1">
      <c r="A669" s="1">
        <v>709.0</v>
      </c>
      <c r="B669" s="3" t="s">
        <v>666</v>
      </c>
      <c r="C669" s="3" t="str">
        <f>IFERROR(__xludf.DUMMYFUNCTION("GOOGLETRANSLATE(B669,""id"",""en"")"),"['poor', 'knp', 'leftover', 'pulse', 'direct', 'chick', 'internet', 'leftover', 'quota', 'giga', 'hbs', ""]")</f>
        <v>['poor', 'knp', 'leftover', 'pulse', 'direct', 'chick', 'internet', 'leftover', 'quota', 'giga', 'hbs', "]</v>
      </c>
      <c r="D669" s="3">
        <v>1.0</v>
      </c>
    </row>
    <row r="670" ht="15.75" customHeight="1">
      <c r="A670" s="1">
        <v>710.0</v>
      </c>
      <c r="B670" s="3" t="s">
        <v>667</v>
      </c>
      <c r="C670" s="3" t="str">
        <f>IFERROR(__xludf.DUMMYFUNCTION("GOOGLETRANSLATE(B670,""id"",""en"")"),"['Application', 'Help', ""]")</f>
        <v>['Application', 'Help', "]</v>
      </c>
      <c r="D670" s="3">
        <v>5.0</v>
      </c>
    </row>
    <row r="671" ht="15.75" customHeight="1">
      <c r="A671" s="1">
        <v>711.0</v>
      </c>
      <c r="B671" s="3" t="s">
        <v>668</v>
      </c>
      <c r="C671" s="3" t="str">
        <f>IFERROR(__xludf.DUMMYFUNCTION("GOOGLETRANSLATE(B671,""id"",""en"")"),"['', 'Telkomsel', 'Nothing', 'secondly']")</f>
        <v>['', 'Telkomsel', 'Nothing', 'secondly']</v>
      </c>
      <c r="D671" s="3">
        <v>5.0</v>
      </c>
    </row>
    <row r="672" ht="15.75" customHeight="1">
      <c r="A672" s="1">
        <v>712.0</v>
      </c>
      <c r="B672" s="3" t="s">
        <v>669</v>
      </c>
      <c r="C672" s="3" t="str">
        <f>IFERROR(__xludf.DUMMYFUNCTION("GOOGLETRANSLATE(B672,""id"",""en"")"),"['Not bad', 'Promi']")</f>
        <v>['Not bad', 'Promi']</v>
      </c>
      <c r="D672" s="3">
        <v>5.0</v>
      </c>
    </row>
    <row r="673" ht="15.75" customHeight="1">
      <c r="A673" s="1">
        <v>713.0</v>
      </c>
      <c r="B673" s="3" t="s">
        <v>670</v>
      </c>
      <c r="C673" s="3" t="str">
        <f>IFERROR(__xludf.DUMMYFUNCTION("GOOGLETRANSLATE(B673,""id"",""en"")"),"['yahh', 'enter', 'into', 'application', 'after', 'input', 'link', 'magic', 'run out', 'written', 'link', 'valid', ' expiration ',' enter ',' Facebook ']")</f>
        <v>['yahh', 'enter', 'into', 'application', 'after', 'input', 'link', 'magic', 'run out', 'written', 'link', 'valid', ' expiration ',' enter ',' Facebook ']</v>
      </c>
      <c r="D673" s="3">
        <v>1.0</v>
      </c>
    </row>
    <row r="674" ht="15.75" customHeight="1">
      <c r="A674" s="1">
        <v>714.0</v>
      </c>
      <c r="B674" s="3" t="s">
        <v>671</v>
      </c>
      <c r="C674" s="3" t="str">
        <f>IFERROR(__xludf.DUMMYFUNCTION("GOOGLETRANSLATE(B674,""id"",""en"")"),"['Badkkk', 'waiter', 'quality', 'network', 'fill in', 'pulse', 'cut', 'buy', 'package', 'lelattttt', ""]")</f>
        <v>['Badkkk', 'waiter', 'quality', 'network', 'fill in', 'pulse', 'cut', 'buy', 'package', 'lelattttt', "]</v>
      </c>
      <c r="D674" s="3">
        <v>1.0</v>
      </c>
    </row>
    <row r="675" ht="15.75" customHeight="1">
      <c r="A675" s="1">
        <v>715.0</v>
      </c>
      <c r="B675" s="3" t="s">
        <v>672</v>
      </c>
      <c r="C675" s="3" t="str">
        <f>IFERROR(__xludf.DUMMYFUNCTION("GOOGLETRANSLATE(B675,""id"",""en"")"),"['Telkomsel', 'stingy', 'quota', 'expensive', 'usage', 'internet', 'fast', 'endless',' network ',' bad ',' please ',' love ',' wisdom ',' user ',' loyal ',' Telkomsel ']")</f>
        <v>['Telkomsel', 'stingy', 'quota', 'expensive', 'usage', 'internet', 'fast', 'endless',' network ',' bad ',' please ',' love ',' wisdom ',' user ',' loyal ',' Telkomsel ']</v>
      </c>
      <c r="D675" s="3">
        <v>5.0</v>
      </c>
    </row>
    <row r="676" ht="15.75" customHeight="1">
      <c r="A676" s="1">
        <v>716.0</v>
      </c>
      <c r="B676" s="3" t="s">
        <v>673</v>
      </c>
      <c r="C676" s="3" t="str">
        <f>IFERROR(__xludf.DUMMYFUNCTION("GOOGLETRANSLATE(B676,""id"",""en"")"),"['apps', 'best', 'boss']")</f>
        <v>['apps', 'best', 'boss']</v>
      </c>
      <c r="D676" s="3">
        <v>5.0</v>
      </c>
    </row>
    <row r="677" ht="15.75" customHeight="1">
      <c r="A677" s="1">
        <v>717.0</v>
      </c>
      <c r="B677" s="3" t="s">
        <v>674</v>
      </c>
      <c r="C677" s="3" t="str">
        <f>IFERROR(__xludf.DUMMYFUNCTION("GOOGLETRANSLATE(B677,""id"",""en"")"),"['Signal', 'difficult', 'telephone', 'difficult', 'ugly', 'really']")</f>
        <v>['Signal', 'difficult', 'telephone', 'difficult', 'ugly', 'really']</v>
      </c>
      <c r="D677" s="3">
        <v>1.0</v>
      </c>
    </row>
    <row r="678" ht="15.75" customHeight="1">
      <c r="A678" s="1">
        <v>718.0</v>
      </c>
      <c r="B678" s="3" t="s">
        <v>675</v>
      </c>
      <c r="C678" s="3" t="str">
        <f>IFERROR(__xludf.DUMMYFUNCTION("GOOGLETRANSLATE(B678,""id"",""en"")"),"['access',' Telkomsel ',' Error ',' Loading ',' Page ',' Karna ',' System ',' Troubled ',' already ',' update ',' already ',' a week ',' Please 'info', '']")</f>
        <v>['access',' Telkomsel ',' Error ',' Loading ',' Page ',' Karna ',' System ',' Troubled ',' already ',' update ',' already ',' a week ',' Please 'info', '']</v>
      </c>
      <c r="D678" s="3">
        <v>3.0</v>
      </c>
    </row>
    <row r="679" ht="15.75" customHeight="1">
      <c r="A679" s="1">
        <v>720.0</v>
      </c>
      <c r="B679" s="3" t="s">
        <v>676</v>
      </c>
      <c r="C679" s="3" t="str">
        <f>IFERROR(__xludf.DUMMYFUNCTION("GOOGLETRANSLATE(B679,""id"",""en"")"),"['knp', 'network', 'Telkomsel', 'bad', 'tuk', 'internet', 'pdhal', 'quota', 'expensive', ""]")</f>
        <v>['knp', 'network', 'Telkomsel', 'bad', 'tuk', 'internet', 'pdhal', 'quota', 'expensive', "]</v>
      </c>
      <c r="D679" s="3">
        <v>2.0</v>
      </c>
    </row>
    <row r="680" ht="15.75" customHeight="1">
      <c r="A680" s="1">
        <v>721.0</v>
      </c>
      <c r="B680" s="3" t="s">
        <v>677</v>
      </c>
      <c r="C680" s="3" t="str">
        <f>IFERROR(__xludf.DUMMYFUNCTION("GOOGLETRANSLATE(B680,""id"",""en"")"),"['reported', 'Network', 'the fastest', 'real', 'slow', 'already', 'recovery', 'cable', 'network', 'jasuka', 'network', 'recover', ' real ',' tetep ',' December ',' easy ',' fix ',' compensation ',' bonus', 'purchase', 'package', 'data', 'pulse', 'customer"&amp;"', 'disappointed' , 'Telkomsel', 'paying', 'cost', 'quota', 'pulse', 'expensive', 'network', 'bad', '']")</f>
        <v>['reported', 'Network', 'the fastest', 'real', 'slow', 'already', 'recovery', 'cable', 'network', 'jasuka', 'network', 'recover', ' real ',' tetep ',' December ',' easy ',' fix ',' compensation ',' bonus', 'purchase', 'package', 'data', 'pulse', 'customer', 'disappointed' , 'Telkomsel', 'paying', 'cost', 'quota', 'pulse', 'expensive', 'network', 'bad', '']</v>
      </c>
      <c r="D680" s="3">
        <v>1.0</v>
      </c>
    </row>
    <row r="681" ht="15.75" customHeight="1">
      <c r="A681" s="1">
        <v>722.0</v>
      </c>
      <c r="B681" s="3" t="s">
        <v>678</v>
      </c>
      <c r="C681" s="3" t="str">
        <f>IFERROR(__xludf.DUMMYFUNCTION("GOOGLETRANSLATE(B681,""id"",""en"")"),"['Young', 'Hopefully', 'Win', 'Lottery', 'Car', 'Home', 'Village', 'Bus', 'Amin', 'Amin', 'Amin', ""]")</f>
        <v>['Young', 'Hopefully', 'Win', 'Lottery', 'Car', 'Home', 'Village', 'Bus', 'Amin', 'Amin', 'Amin', "]</v>
      </c>
      <c r="D681" s="3">
        <v>5.0</v>
      </c>
    </row>
    <row r="682" ht="15.75" customHeight="1">
      <c r="A682" s="1">
        <v>723.0</v>
      </c>
      <c r="B682" s="3" t="s">
        <v>679</v>
      </c>
      <c r="C682" s="3" t="str">
        <f>IFERROR(__xludf.DUMMYFUNCTION("GOOGLETRANSLATE(B682,""id"",""en"")"),"['Please', 'love', 'pulse', 'free', 'area', 'sell', 'pulse', 'thousand', 'doang']")</f>
        <v>['Please', 'love', 'pulse', 'free', 'area', 'sell', 'pulse', 'thousand', 'doang']</v>
      </c>
      <c r="D682" s="3">
        <v>5.0</v>
      </c>
    </row>
    <row r="683" ht="15.75" customHeight="1">
      <c r="A683" s="1">
        <v>724.0</v>
      </c>
      <c r="B683" s="3" t="s">
        <v>680</v>
      </c>
      <c r="C683" s="3" t="str">
        <f>IFERROR(__xludf.DUMMYFUNCTION("GOOGLETRANSLATE(B683,""id"",""en"")"),"['expensive', 'card']")</f>
        <v>['expensive', 'card']</v>
      </c>
      <c r="D683" s="3">
        <v>5.0</v>
      </c>
    </row>
    <row r="684" ht="15.75" customHeight="1">
      <c r="A684" s="1">
        <v>725.0</v>
      </c>
      <c r="B684" s="3" t="s">
        <v>681</v>
      </c>
      <c r="C684" s="3" t="str">
        <f>IFERROR(__xludf.DUMMYFUNCTION("GOOGLETRANSLATE(B684,""id"",""en"")"),"['Alhamdulillah', 'apk', 'Telkomsel', 'update', 'opened', 'monthly', 'opened', 'appears',' color ',' white ',' brave ',' gave ',' star', '']")</f>
        <v>['Alhamdulillah', 'apk', 'Telkomsel', 'update', 'opened', 'monthly', 'opened', 'appears',' color ',' white ',' brave ',' gave ',' star', '']</v>
      </c>
      <c r="D684" s="3">
        <v>5.0</v>
      </c>
    </row>
    <row r="685" ht="15.75" customHeight="1">
      <c r="A685" s="1">
        <v>726.0</v>
      </c>
      <c r="B685" s="3" t="s">
        <v>682</v>
      </c>
      <c r="C685" s="3" t="str">
        <f>IFERROR(__xludf.DUMMYFUNCTION("GOOGLETRANSLATE(B685,""id"",""en"")"),"['Try', 'Young', 'hopefully', 'work', 'Telkomsel', ""]")</f>
        <v>['Try', 'Young', 'hopefully', 'work', 'Telkomsel', "]</v>
      </c>
      <c r="D685" s="3">
        <v>5.0</v>
      </c>
    </row>
    <row r="686" ht="15.75" customHeight="1">
      <c r="A686" s="1">
        <v>727.0</v>
      </c>
      <c r="B686" s="3" t="s">
        <v>683</v>
      </c>
      <c r="C686" s="3" t="str">
        <f>IFERROR(__xludf.DUMMYFUNCTION("GOOGLETRANSLATE(B686,""id"",""en"")"),"['Test', 'Try', 'dlu', 'match']")</f>
        <v>['Test', 'Try', 'dlu', 'match']</v>
      </c>
      <c r="D686" s="3">
        <v>4.0</v>
      </c>
    </row>
    <row r="687" ht="15.75" customHeight="1">
      <c r="A687" s="1">
        <v>728.0</v>
      </c>
      <c r="B687" s="3" t="s">
        <v>684</v>
      </c>
      <c r="C687" s="3" t="str">
        <f>IFERROR(__xludf.DUMMYFUNCTION("GOOGLETRANSLATE(B687,""id"",""en"")"),"['Like', 'SMA', 'Telkomsel', 'TPI', 'Difficult', 'Entering', 'Posts',' Connection ',' Network ',' Good ',' Really ',' Disappointing ',' Please, 'Fix', 'Mimin', 'Really', 'Disappointing']")</f>
        <v>['Like', 'SMA', 'Telkomsel', 'TPI', 'Difficult', 'Entering', 'Posts',' Connection ',' Network ',' Good ',' Really ',' Disappointing ',' Please, 'Fix', 'Mimin', 'Really', 'Disappointing']</v>
      </c>
      <c r="D687" s="3">
        <v>3.0</v>
      </c>
    </row>
    <row r="688" ht="15.75" customHeight="1">
      <c r="A688" s="1">
        <v>729.0</v>
      </c>
      <c r="B688" s="3" t="s">
        <v>685</v>
      </c>
      <c r="C688" s="3" t="str">
        <f>IFERROR(__xludf.DUMMYFUNCTION("GOOGLETRANSLATE(B688,""id"",""en"")"),"['Help', 'thank', 'love']")</f>
        <v>['Help', 'thank', 'love']</v>
      </c>
      <c r="D688" s="3">
        <v>5.0</v>
      </c>
    </row>
    <row r="689" ht="15.75" customHeight="1">
      <c r="A689" s="1">
        <v>730.0</v>
      </c>
      <c r="B689" s="3" t="s">
        <v>686</v>
      </c>
      <c r="C689" s="3" t="str">
        <f>IFERROR(__xludf.DUMMYFUNCTION("GOOGLETRANSLATE(B689,""id"",""en"")"),"['Try', 'dlu']")</f>
        <v>['Try', 'dlu']</v>
      </c>
      <c r="D689" s="3">
        <v>5.0</v>
      </c>
    </row>
    <row r="690" ht="15.75" customHeight="1">
      <c r="A690" s="1">
        <v>731.0</v>
      </c>
      <c r="B690" s="3" t="s">
        <v>687</v>
      </c>
      <c r="C690" s="3" t="str">
        <f>IFERROR(__xludf.DUMMYFUNCTION("GOOGLETRANSLATE(B690,""id"",""en"")"),"['afternoon', 'min', 'confirm', 'city', 'network', 'Telkomsel', 'for a while', 'life', 'for a while', 'dead', 'Udh', 'min', ' Please, 'work', 'City', 'Aceh', 'southeast']")</f>
        <v>['afternoon', 'min', 'confirm', 'city', 'network', 'Telkomsel', 'for a while', 'life', 'for a while', 'dead', 'Udh', 'min', ' Please, 'work', 'City', 'Aceh', 'southeast']</v>
      </c>
      <c r="D690" s="3">
        <v>3.0</v>
      </c>
    </row>
    <row r="691" ht="15.75" customHeight="1">
      <c r="A691" s="1">
        <v>734.0</v>
      </c>
      <c r="B691" s="3" t="s">
        <v>688</v>
      </c>
      <c r="C691" s="3" t="str">
        <f>IFERROR(__xludf.DUMMYFUNCTION("GOOGLETRANSLATE(B691,""id"",""en"")"),"['difficult', 'buy', 'package', 'said', 'connection', 'Body', 'repeated', 'connection', 'wifi', 'home', 'kenceng', 'until' Update ',' installed ',' reset ',' please ',' repair ', ""]")</f>
        <v>['difficult', 'buy', 'package', 'said', 'connection', 'Body', 'repeated', 'connection', 'wifi', 'home', 'kenceng', 'until' Update ',' installed ',' reset ',' please ',' repair ', "]</v>
      </c>
      <c r="D691" s="3">
        <v>1.0</v>
      </c>
    </row>
    <row r="692" ht="15.75" customHeight="1">
      <c r="A692" s="1">
        <v>735.0</v>
      </c>
      <c r="B692" s="3" t="s">
        <v>689</v>
      </c>
      <c r="C692" s="3" t="str">
        <f>IFERROR(__xludf.DUMMYFUNCTION("GOOGLETRANSLATE(B692,""id"",""en"")"),"['Sis', 'expensive', 'package', 'internet', 'Please', 'cheap', 'little', ""]")</f>
        <v>['Sis', 'expensive', 'package', 'internet', 'Please', 'cheap', 'little', "]</v>
      </c>
      <c r="D692" s="3">
        <v>3.0</v>
      </c>
    </row>
    <row r="693" ht="15.75" customHeight="1">
      <c r="A693" s="1">
        <v>736.0</v>
      </c>
      <c r="B693" s="3" t="s">
        <v>690</v>
      </c>
      <c r="C693" s="3" t="str">
        <f>IFERROR(__xludf.DUMMYFUNCTION("GOOGLETRANSLATE(B693,""id"",""en"")"),"['Try', 'satisfying', 'Kasi', 'star', '']")</f>
        <v>['Try', 'satisfying', 'Kasi', 'star', '']</v>
      </c>
      <c r="D693" s="3">
        <v>3.0</v>
      </c>
    </row>
    <row r="694" ht="15.75" customHeight="1">
      <c r="A694" s="1">
        <v>737.0</v>
      </c>
      <c r="B694" s="3" t="s">
        <v>691</v>
      </c>
      <c r="C694" s="3" t="str">
        <f>IFERROR(__xludf.DUMMYFUNCTION("GOOGLETRANSLATE(B694,""id"",""en"")"),"['Stay', 'Center', 'City', 'Serasa', 'Stay', 'inland', 'After', 'Network', 'Mentok', 'Board', 'Full', 'Disappointed', ' ']")</f>
        <v>['Stay', 'Center', 'City', 'Serasa', 'Stay', 'inland', 'After', 'Network', 'Mentok', 'Board', 'Full', 'Disappointed', ' ']</v>
      </c>
      <c r="D694" s="3">
        <v>1.0</v>
      </c>
    </row>
    <row r="695" ht="15.75" customHeight="1">
      <c r="A695" s="1">
        <v>738.0</v>
      </c>
      <c r="B695" s="3" t="s">
        <v>692</v>
      </c>
      <c r="C695" s="3" t="str">
        <f>IFERROR(__xludf.DUMMYFUNCTION("GOOGLETRANSLATE(B695,""id"",""en"")"),"['Telkomsel', 'expensive', 'package', 'data', 'please', 'pulse', 'sos',' activate ',' run out ',' package ',' want ',' sos', ' Sorry ',' System ',' busy ',' already ',' NGK ',' friendly ',' bags', 'makes it easier', 'Customer', '']")</f>
        <v>['Telkomsel', 'expensive', 'package', 'data', 'please', 'pulse', 'sos',' activate ',' run out ',' package ',' want ',' sos', ' Sorry ',' System ',' busy ',' already ',' NGK ',' friendly ',' bags', 'makes it easier', 'Customer', '']</v>
      </c>
      <c r="D695" s="3">
        <v>3.0</v>
      </c>
    </row>
    <row r="696" ht="15.75" customHeight="1">
      <c r="A696" s="1">
        <v>739.0</v>
      </c>
      <c r="B696" s="3" t="s">
        <v>693</v>
      </c>
      <c r="C696" s="3" t="str">
        <f>IFERROR(__xludf.DUMMYFUNCTION("GOOGLETRANSLATE(B696,""id"",""en"")"),"['Difficult', 'enter', 'update']")</f>
        <v>['Difficult', 'enter', 'update']</v>
      </c>
      <c r="D696" s="3">
        <v>2.0</v>
      </c>
    </row>
    <row r="697" ht="15.75" customHeight="1">
      <c r="A697" s="1">
        <v>740.0</v>
      </c>
      <c r="B697" s="3" t="s">
        <v>694</v>
      </c>
      <c r="C697" s="3" t="str">
        <f>IFERROR(__xludf.DUMMYFUNCTION("GOOGLETRANSLATE(B697,""id"",""en"")"),"['application', 'good', 'used', 'package', 'buy', 'package', 'quality', 'star', 'lack', 'network', 'place', '']")</f>
        <v>['application', 'good', 'used', 'package', 'buy', 'package', 'quality', 'star', 'lack', 'network', 'place', '']</v>
      </c>
      <c r="D697" s="3">
        <v>4.0</v>
      </c>
    </row>
    <row r="698" ht="15.75" customHeight="1">
      <c r="A698" s="1">
        <v>741.0</v>
      </c>
      <c r="B698" s="3" t="s">
        <v>695</v>
      </c>
      <c r="C698" s="3" t="str">
        <f>IFERROR(__xludf.DUMMYFUNCTION("GOOGLETRANSLATE(B698,""id"",""en"")"),"['Disappointed', 'Network', 'Telkomsel', 'Gada', 'Good', 'Maki', 'Maki', 'The Network', 'Kek', 'Gini', 'Switch', 'Tri', ' Axis', 'Kek', 'gini']")</f>
        <v>['Disappointed', 'Network', 'Telkomsel', 'Gada', 'Good', 'Maki', 'Maki', 'The Network', 'Kek', 'Gini', 'Switch', 'Tri', ' Axis', 'Kek', 'gini']</v>
      </c>
      <c r="D698" s="3">
        <v>1.0</v>
      </c>
    </row>
    <row r="699" ht="15.75" customHeight="1">
      <c r="A699" s="1">
        <v>742.0</v>
      </c>
      <c r="B699" s="3" t="s">
        <v>696</v>
      </c>
      <c r="C699" s="3" t="str">
        <f>IFERROR(__xludf.DUMMYFUNCTION("GOOGLETRANSLATE(B699,""id"",""en"")"),"['access', 'fast', 'satisfying', 'customer']")</f>
        <v>['access', 'fast', 'satisfying', 'customer']</v>
      </c>
      <c r="D699" s="3">
        <v>5.0</v>
      </c>
    </row>
    <row r="700" ht="15.75" customHeight="1">
      <c r="A700" s="1">
        <v>743.0</v>
      </c>
      <c r="B700" s="3" t="s">
        <v>697</v>
      </c>
      <c r="C700" s="3" t="str">
        <f>IFERROR(__xludf.DUMMYFUNCTION("GOOGLETRANSLATE(B700,""id"",""en"")"),"['Operator', 'Signal', 'Bad', 'South Kalimantan']")</f>
        <v>['Operator', 'Signal', 'Bad', 'South Kalimantan']</v>
      </c>
      <c r="D700" s="3">
        <v>1.0</v>
      </c>
    </row>
    <row r="701" ht="15.75" customHeight="1">
      <c r="A701" s="1">
        <v>744.0</v>
      </c>
      <c r="B701" s="3" t="s">
        <v>698</v>
      </c>
      <c r="C701" s="3" t="str">
        <f>IFERROR(__xludf.DUMMYFUNCTION("GOOGLETRANSLATE(B701,""id"",""en"")"),"['Mantab', 'Cape', 'Counter']")</f>
        <v>['Mantab', 'Cape', 'Counter']</v>
      </c>
      <c r="D701" s="3">
        <v>5.0</v>
      </c>
    </row>
    <row r="702" ht="15.75" customHeight="1">
      <c r="A702" s="1">
        <v>745.0</v>
      </c>
      <c r="B702" s="3" t="s">
        <v>699</v>
      </c>
      <c r="C702" s="3" t="str">
        <f>IFERROR(__xludf.DUMMYFUNCTION("GOOGLETRANSLATE(B702,""id"",""en"")"),"['buy', 'package', 'failed', 'server', 'failed', 'pulse', 'lahhhh']")</f>
        <v>['buy', 'package', 'failed', 'server', 'failed', 'pulse', 'lahhhh']</v>
      </c>
      <c r="D702" s="3">
        <v>2.0</v>
      </c>
    </row>
    <row r="703" ht="15.75" customHeight="1">
      <c r="A703" s="1">
        <v>746.0</v>
      </c>
      <c r="B703" s="3" t="s">
        <v>700</v>
      </c>
      <c r="C703" s="3" t="str">
        <f>IFERROR(__xludf.DUMMYFUNCTION("GOOGLETRANSLATE(B703,""id"",""en"")"),"['what', 'provider', 'network', 'widest', 'Indonesia', 'use', 'Telkomsel', 'stay', 'Jempong', 'City', 'Mataram', 'NTB', ' signal ',' disappointing ',' stay ',' in the middle ',' city ',' signal ',' provider ',' internet ',' widest ',' Indonesia ', ""]")</f>
        <v>['what', 'provider', 'network', 'widest', 'Indonesia', 'use', 'Telkomsel', 'stay', 'Jempong', 'City', 'Mataram', 'NTB', ' signal ',' disappointing ',' stay ',' in the middle ',' city ',' signal ',' provider ',' internet ',' widest ',' Indonesia ', "]</v>
      </c>
      <c r="D703" s="3">
        <v>1.0</v>
      </c>
    </row>
    <row r="704" ht="15.75" customHeight="1">
      <c r="A704" s="1">
        <v>747.0</v>
      </c>
      <c r="B704" s="3" t="s">
        <v>701</v>
      </c>
      <c r="C704" s="3" t="str">
        <f>IFERROR(__xludf.DUMMYFUNCTION("GOOGLETRANSLATE(B704,""id"",""en"")"),"['application', 'good', 'price', 'offered', 'expensive']")</f>
        <v>['application', 'good', 'price', 'offered', 'expensive']</v>
      </c>
      <c r="D704" s="3">
        <v>4.0</v>
      </c>
    </row>
    <row r="705" ht="15.75" customHeight="1">
      <c r="A705" s="1">
        <v>748.0</v>
      </c>
      <c r="B705" s="3" t="s">
        <v>702</v>
      </c>
      <c r="C705" s="3" t="str">
        <f>IFERROR(__xludf.DUMMYFUNCTION("GOOGLETRANSLATE(B705,""id"",""en"")"),"['Janagan', 'expensive', 'expensive', 'competitors', 'cheap', 'BUMN', 'Mr.', 'home', 'Dii', 'proud of', ""]")</f>
        <v>['Janagan', 'expensive', 'expensive', 'competitors', 'cheap', 'BUMN', 'Mr.', 'home', 'Dii', 'proud of', "]</v>
      </c>
      <c r="D705" s="3">
        <v>5.0</v>
      </c>
    </row>
    <row r="706" ht="15.75" customHeight="1">
      <c r="A706" s="1">
        <v>749.0</v>
      </c>
      <c r="B706" s="3" t="s">
        <v>703</v>
      </c>
      <c r="C706" s="3" t="str">
        <f>IFERROR(__xludf.DUMMYFUNCTION("GOOGLETRANSLATE(B706,""id"",""en"")"),"['cave', 'need', 'quota', 'emergency', 'please', 'active', 'already', 'many', '']")</f>
        <v>['cave', 'need', 'quota', 'emergency', 'please', 'active', 'already', 'many', '']</v>
      </c>
      <c r="D706" s="3">
        <v>1.0</v>
      </c>
    </row>
    <row r="707" ht="15.75" customHeight="1">
      <c r="A707" s="1">
        <v>750.0</v>
      </c>
      <c r="B707" s="3" t="s">
        <v>704</v>
      </c>
      <c r="C707" s="3" t="str">
        <f>IFERROR(__xludf.DUMMYFUNCTION("GOOGLETRANSLATE(B707,""id"",""en"")"),"['event', 'Tuker', 'points', 'really', 'Points', 'I', 'Thun', 'Sia', 'Bngt', 'bngsssd']")</f>
        <v>['event', 'Tuker', 'points', 'really', 'Points', 'I', 'Thun', 'Sia', 'Bngt', 'bngsssd']</v>
      </c>
      <c r="D707" s="3">
        <v>1.0</v>
      </c>
    </row>
    <row r="708" ht="15.75" customHeight="1">
      <c r="A708" s="1">
        <v>751.0</v>
      </c>
      <c r="B708" s="3" t="s">
        <v>705</v>
      </c>
      <c r="C708" s="3" t="str">
        <f>IFERROR(__xludf.DUMMYFUNCTION("GOOGLETRANSLATE(B708,""id"",""en"")"),"['Masi', 'gamemax', 'gamesilver', 'etc.', 'Masi', 'difficult', 'login', 'pin', 'down', 'cave', 'gini', 'a year', ' Masi ',' Hadeh ']")</f>
        <v>['Masi', 'gamemax', 'gamesilver', 'etc.', 'Masi', 'difficult', 'login', 'pin', 'down', 'cave', 'gini', 'a year', ' Masi ',' Hadeh ']</v>
      </c>
      <c r="D708" s="3">
        <v>1.0</v>
      </c>
    </row>
    <row r="709" ht="15.75" customHeight="1">
      <c r="A709" s="1">
        <v>752.0</v>
      </c>
      <c r="B709" s="3" t="s">
        <v>706</v>
      </c>
      <c r="C709" s="3" t="str">
        <f>IFERROR(__xludf.DUMMYFUNCTION("GOOGLETRANSLATE(B709,""id"",""en"")"),"['Good', 'like']")</f>
        <v>['Good', 'like']</v>
      </c>
      <c r="D709" s="3">
        <v>5.0</v>
      </c>
    </row>
    <row r="710" ht="15.75" customHeight="1">
      <c r="A710" s="1">
        <v>753.0</v>
      </c>
      <c r="B710" s="3" t="s">
        <v>707</v>
      </c>
      <c r="C710" s="3" t="str">
        <f>IFERROR(__xludf.DUMMYFUNCTION("GOOGLETRANSLATE(B710,""id"",""en"")"),"['Package', 'daily', 'thousand', 'GB', 'weekly', 'thousand', 'please', 'donk', 'down', 'price', 'package']")</f>
        <v>['Package', 'daily', 'thousand', 'GB', 'weekly', 'thousand', 'please', 'donk', 'down', 'price', 'package']</v>
      </c>
      <c r="D710" s="3">
        <v>5.0</v>
      </c>
    </row>
    <row r="711" ht="15.75" customHeight="1">
      <c r="A711" s="1">
        <v>754.0</v>
      </c>
      <c r="B711" s="3" t="s">
        <v>708</v>
      </c>
      <c r="C711" s="3" t="str">
        <f>IFERROR(__xludf.DUMMYFUNCTION("GOOGLETRANSLATE(B711,""id"",""en"")"),"['easy', 'help']")</f>
        <v>['easy', 'help']</v>
      </c>
      <c r="D711" s="3">
        <v>5.0</v>
      </c>
    </row>
    <row r="712" ht="15.75" customHeight="1">
      <c r="A712" s="1">
        <v>755.0</v>
      </c>
      <c r="B712" s="3" t="s">
        <v>709</v>
      </c>
      <c r="C712" s="3" t="str">
        <f>IFERROR(__xludf.DUMMYFUNCTION("GOOGLETRANSLATE(B712,""id"",""en"")"),"['signal', 'repaired']")</f>
        <v>['signal', 'repaired']</v>
      </c>
      <c r="D712" s="3">
        <v>3.0</v>
      </c>
    </row>
    <row r="713" ht="15.75" customHeight="1">
      <c r="A713" s="1">
        <v>756.0</v>
      </c>
      <c r="B713" s="3" t="s">
        <v>710</v>
      </c>
      <c r="C713" s="3" t="str">
        <f>IFERROR(__xludf.DUMMYFUNCTION("GOOGLETRANSLATE(B713,""id"",""en"")"),"['PHP', 'app', 'told', 'Daily', 'checkin', 'right', 'click', 'error', 'send', 'PHP', 'Customer', 'star', ' Downgrade ']")</f>
        <v>['PHP', 'app', 'told', 'Daily', 'checkin', 'right', 'click', 'error', 'send', 'PHP', 'Customer', 'star', ' Downgrade ']</v>
      </c>
      <c r="D713" s="3">
        <v>3.0</v>
      </c>
    </row>
    <row r="714" ht="15.75" customHeight="1">
      <c r="A714" s="1">
        <v>757.0</v>
      </c>
      <c r="B714" s="3" t="s">
        <v>711</v>
      </c>
      <c r="C714" s="3" t="str">
        <f>IFERROR(__xludf.DUMMYFUNCTION("GOOGLETRANSLATE(B714,""id"",""en"")"),"['YTH', 'Telkomsel', 'Please', 'Reinforced', 'Signal', 'Customer', 'Betah', 'Signal', 'Tsel', 'Thank', 'Love']")</f>
        <v>['YTH', 'Telkomsel', 'Please', 'Reinforced', 'Signal', 'Customer', 'Betah', 'Signal', 'Tsel', 'Thank', 'Love']</v>
      </c>
      <c r="D714" s="3">
        <v>5.0</v>
      </c>
    </row>
    <row r="715" ht="15.75" customHeight="1">
      <c r="A715" s="1">
        <v>758.0</v>
      </c>
      <c r="B715" s="3" t="s">
        <v>712</v>
      </c>
      <c r="C715" s="3" t="str">
        <f>IFERROR(__xludf.DUMMYFUNCTION("GOOGLETRANSLATE(B715,""id"",""en"")"),"['comfortable']")</f>
        <v>['comfortable']</v>
      </c>
      <c r="D715" s="3">
        <v>5.0</v>
      </c>
    </row>
    <row r="716" ht="15.75" customHeight="1">
      <c r="A716" s="1">
        <v>759.0</v>
      </c>
      <c r="B716" s="3" t="s">
        <v>713</v>
      </c>
      <c r="C716" s="3" t="str">
        <f>IFERROR(__xludf.DUMMYFUNCTION("GOOGLETRANSLATE(B716,""id"",""en"")"),"['Combo', 'Sakti', 'GB', 'Lost']")</f>
        <v>['Combo', 'Sakti', 'GB', 'Lost']</v>
      </c>
      <c r="D716" s="3">
        <v>2.0</v>
      </c>
    </row>
    <row r="717" ht="15.75" customHeight="1">
      <c r="A717" s="1">
        <v>760.0</v>
      </c>
      <c r="B717" s="3" t="s">
        <v>714</v>
      </c>
      <c r="C717" s="3" t="str">
        <f>IFERROR(__xludf.DUMMYFUNCTION("GOOGLETRANSLATE(B717,""id"",""en"")"),"['jringan', 'slow']")</f>
        <v>['jringan', 'slow']</v>
      </c>
      <c r="D717" s="3">
        <v>1.0</v>
      </c>
    </row>
    <row r="718" ht="15.75" customHeight="1">
      <c r="A718" s="1">
        <v>761.0</v>
      </c>
      <c r="B718" s="3" t="s">
        <v>715</v>
      </c>
      <c r="C718" s="3" t="str">
        <f>IFERROR(__xludf.DUMMYFUNCTION("GOOGLETRANSLATE(B718,""id"",""en"")"),"['Want', 'Package', 'Promo']")</f>
        <v>['Want', 'Package', 'Promo']</v>
      </c>
      <c r="D718" s="3">
        <v>5.0</v>
      </c>
    </row>
    <row r="719" ht="15.75" customHeight="1">
      <c r="A719" s="1">
        <v>762.0</v>
      </c>
      <c r="B719" s="3" t="s">
        <v>716</v>
      </c>
      <c r="C719" s="3" t="str">
        <f>IFERROR(__xludf.DUMMYFUNCTION("GOOGLETRANSLATE(B719,""id"",""en"")"),"['Telkomsel', 'ngeta', 'in', 'pulse', 'cave', 'sumps',' mulu ',' entry ',' sms', 'access',' internet ',' rates', ' non ',' package ',' cave ',' make ',' Telkomsel ',' package ',' internet ',' cave ',' tri ',' pulse ',' telkomsel ',' cave ',' sumps' , 'it "&amp;"happened', 'repeated', 'reset', ""]")</f>
        <v>['Telkomsel', 'ngeta', 'in', 'pulse', 'cave', 'sumps',' mulu ',' entry ',' sms', 'access',' internet ',' rates', ' non ',' package ',' cave ',' make ',' Telkomsel ',' package ',' internet ',' cave ',' tri ',' pulse ',' telkomsel ',' cave ',' sumps' , 'it happened', 'repeated', 'reset', "]</v>
      </c>
      <c r="D719" s="3">
        <v>1.0</v>
      </c>
    </row>
    <row r="720" ht="15.75" customHeight="1">
      <c r="A720" s="1">
        <v>763.0</v>
      </c>
      <c r="B720" s="3" t="s">
        <v>717</v>
      </c>
      <c r="C720" s="3" t="str">
        <f>IFERROR(__xludf.DUMMYFUNCTION("GOOGLETRANSLATE(B720,""id"",""en"")"),"['Telkomsel', 'program', 'special', 'user', 'loyal', 'number', 'already', 'expiration', 'activated', 'org', 'useful', ""]")</f>
        <v>['Telkomsel', 'program', 'special', 'user', 'loyal', 'number', 'already', 'expiration', 'activated', 'org', 'useful', "]</v>
      </c>
      <c r="D720" s="3">
        <v>4.0</v>
      </c>
    </row>
    <row r="721" ht="15.75" customHeight="1">
      <c r="A721" s="1">
        <v>764.0</v>
      </c>
      <c r="B721" s="3" t="s">
        <v>718</v>
      </c>
      <c r="C721" s="3" t="str">
        <f>IFERROR(__xludf.DUMMYFUNCTION("GOOGLETRANSLATE(B721,""id"",""en"")"),"['Disappointed', 'Disappointed', 'Sorry', 'Prove', 'Comfort', 'Convention']")</f>
        <v>['Disappointed', 'Disappointed', 'Sorry', 'Prove', 'Comfort', 'Convention']</v>
      </c>
      <c r="D721" s="3">
        <v>1.0</v>
      </c>
    </row>
    <row r="722" ht="15.75" customHeight="1">
      <c r="A722" s="1">
        <v>765.0</v>
      </c>
      <c r="B722" s="3" t="s">
        <v>719</v>
      </c>
      <c r="C722" s="3" t="str">
        <f>IFERROR(__xludf.DUMMYFUNCTION("GOOGLETRANSLATE(B722,""id"",""en"")"),"['Original', 'annoying', 'Telkomsel', 'BNYK', 'boong', 'then', 'bsa', 'data', 'activkn', 'pulled', 'blngnya', 'costs',' Internet ',' GNTI ',' KRTU ',' UDH ',' ']")</f>
        <v>['Original', 'annoying', 'Telkomsel', 'BNYK', 'boong', 'then', 'bsa', 'data', 'activkn', 'pulled', 'blngnya', 'costs',' Internet ',' GNTI ',' KRTU ',' UDH ',' ']</v>
      </c>
      <c r="D722" s="3">
        <v>5.0</v>
      </c>
    </row>
    <row r="723" ht="15.75" customHeight="1">
      <c r="A723" s="1">
        <v>766.0</v>
      </c>
      <c r="B723" s="3" t="s">
        <v>720</v>
      </c>
      <c r="C723" s="3" t="str">
        <f>IFERROR(__xludf.DUMMYFUNCTION("GOOGLETRANSLATE(B723,""id"",""en"")"),"['Please', 'Related', 'buy', 'package', 'unlimited', 'quota', 'ulimited', 'unlimited', 'dlu', 'quota', 'main', 'quota', ' main ',' run out ',' deh ',' Anlimited ']")</f>
        <v>['Please', 'Related', 'buy', 'package', 'unlimited', 'quota', 'ulimited', 'unlimited', 'dlu', 'quota', 'main', 'quota', ' main ',' run out ',' deh ',' Anlimited ']</v>
      </c>
      <c r="D723" s="3">
        <v>3.0</v>
      </c>
    </row>
    <row r="724" ht="15.75" customHeight="1">
      <c r="A724" s="1">
        <v>768.0</v>
      </c>
      <c r="B724" s="3" t="s">
        <v>721</v>
      </c>
      <c r="C724" s="3" t="str">
        <f>IFERROR(__xludf.DUMMYFUNCTION("GOOGLETRANSLATE(B724,""id"",""en"")"),"['Surabaya', 'The network', 'Murah', 'Woy', 'City', 'Network', 'Kayak', 'inland', ""]")</f>
        <v>['Surabaya', 'The network', 'Murah', 'Woy', 'City', 'Network', 'Kayak', 'inland', "]</v>
      </c>
      <c r="D724" s="3">
        <v>1.0</v>
      </c>
    </row>
    <row r="725" ht="15.75" customHeight="1">
      <c r="A725" s="1">
        <v>769.0</v>
      </c>
      <c r="B725" s="3" t="s">
        <v>722</v>
      </c>
      <c r="C725" s="3" t="str">
        <f>IFERROR(__xludf.DUMMYFUNCTION("GOOGLETRANSLATE(B725,""id"",""en"")"),"['love', 'star', 'buy', 'quota', 'omg', 'buy', 'quota', 'omg', 'functioning', 'buy', 'expensive', 'get', ' OMG ',' Dipake ',' Update ',' Version ',' Latest ',' Telkomsel ',' Tetep ',' Quota ',' OMG ',' Solution ', ""]")</f>
        <v>['love', 'star', 'buy', 'quota', 'omg', 'buy', 'quota', 'omg', 'functioning', 'buy', 'expensive', 'get', ' OMG ',' Dipake ',' Update ',' Version ',' Latest ',' Telkomsel ',' Tetep ',' Quota ',' OMG ',' Solution ', "]</v>
      </c>
      <c r="D725" s="3">
        <v>1.0</v>
      </c>
    </row>
    <row r="726" ht="15.75" customHeight="1">
      <c r="A726" s="1">
        <v>770.0</v>
      </c>
      <c r="B726" s="3" t="s">
        <v>723</v>
      </c>
      <c r="C726" s="3" t="str">
        <f>IFERROR(__xludf.DUMMYFUNCTION("GOOGLETRANSLATE(B726,""id"",""en"")"),"['Telkomsel', 'Credit', 'Sumpot', 'Credit', 'Call', 'SMS', 'Have', 'Package', 'Internet', 'Disappointed', 'Telkomsel', 'Disappointed']")</f>
        <v>['Telkomsel', 'Credit', 'Sumpot', 'Credit', 'Call', 'SMS', 'Have', 'Package', 'Internet', 'Disappointed', 'Telkomsel', 'Disappointed']</v>
      </c>
      <c r="D726" s="3">
        <v>1.0</v>
      </c>
    </row>
    <row r="727" ht="15.75" customHeight="1">
      <c r="A727" s="1">
        <v>771.0</v>
      </c>
      <c r="B727" s="3" t="s">
        <v>724</v>
      </c>
      <c r="C727" s="3" t="str">
        <f>IFERROR(__xludf.DUMMYFUNCTION("GOOGLETRANSLATE(B727,""id"",""en"")"),"['Signalntelkomsel', 'Makinnhari', 'Severe']")</f>
        <v>['Signalntelkomsel', 'Makinnhari', 'Severe']</v>
      </c>
      <c r="D727" s="3">
        <v>1.0</v>
      </c>
    </row>
    <row r="728" ht="15.75" customHeight="1">
      <c r="A728" s="1">
        <v>772.0</v>
      </c>
      <c r="B728" s="3" t="s">
        <v>725</v>
      </c>
      <c r="C728" s="3" t="str">
        <f>IFERROR(__xludf.DUMMYFUNCTION("GOOGLETRANSLATE(B728,""id"",""en"")"),"['Like', 'Error', 'Mulu', 'Open', 'Application']")</f>
        <v>['Like', 'Error', 'Mulu', 'Open', 'Application']</v>
      </c>
      <c r="D728" s="3">
        <v>1.0</v>
      </c>
    </row>
    <row r="729" ht="15.75" customHeight="1">
      <c r="A729" s="1">
        <v>774.0</v>
      </c>
      <c r="B729" s="3" t="s">
        <v>726</v>
      </c>
      <c r="C729" s="3" t="str">
        <f>IFERROR(__xludf.DUMMYFUNCTION("GOOGLETRANSLATE(B729,""id"",""en"")"),"['right', 'cave', 'discon', 'check', 'cave', 'ngak', 'login', 'buy', 'package', 'telkom']")</f>
        <v>['right', 'cave', 'discon', 'check', 'cave', 'ngak', 'login', 'buy', 'package', 'telkom']</v>
      </c>
      <c r="D729" s="3">
        <v>1.0</v>
      </c>
    </row>
    <row r="730" ht="15.75" customHeight="1">
      <c r="A730" s="1">
        <v>775.0</v>
      </c>
      <c r="B730" s="3" t="s">
        <v>727</v>
      </c>
      <c r="C730" s="3" t="str">
        <f>IFERROR(__xludf.DUMMYFUNCTION("GOOGLETRANSLATE(B730,""id"",""en"")"),"['Perna', 'Lottery']")</f>
        <v>['Perna', 'Lottery']</v>
      </c>
      <c r="D730" s="3">
        <v>1.0</v>
      </c>
    </row>
    <row r="731" ht="15.75" customHeight="1">
      <c r="A731" s="1">
        <v>776.0</v>
      </c>
      <c r="B731" s="3" t="s">
        <v>728</v>
      </c>
      <c r="C731" s="3" t="str">
        <f>IFERROR(__xludf.DUMMYFUNCTION("GOOGLETRANSLATE(B731,""id"",""en"")"),"['crazy', 'buy', 'pulse', 'just', 'Bukak', 'application', 'telkom', 'buy', 'package', 'direct', 'finished', 'pulses',' Anjjng ',' emng ']")</f>
        <v>['crazy', 'buy', 'pulse', 'just', 'Bukak', 'application', 'telkom', 'buy', 'package', 'direct', 'finished', 'pulses',' Anjjng ',' emng ']</v>
      </c>
      <c r="D731" s="3">
        <v>1.0</v>
      </c>
    </row>
    <row r="732" ht="15.75" customHeight="1">
      <c r="A732" s="1">
        <v>777.0</v>
      </c>
      <c r="B732" s="3" t="s">
        <v>729</v>
      </c>
      <c r="C732" s="3" t="str">
        <f>IFERROR(__xludf.DUMMYFUNCTION("GOOGLETRANSLATE(B732,""id"",""en"")"),"['open', '']")</f>
        <v>['open', '']</v>
      </c>
      <c r="D732" s="3">
        <v>4.0</v>
      </c>
    </row>
    <row r="733" ht="15.75" customHeight="1">
      <c r="A733" s="1">
        <v>778.0</v>
      </c>
      <c r="B733" s="3" t="s">
        <v>730</v>
      </c>
      <c r="C733" s="3" t="str">
        <f>IFERROR(__xludf.DUMMYFUNCTION("GOOGLETRANSLATE(B733,""id"",""en"")"),"['Service', 'fast', 'Indonesia']")</f>
        <v>['Service', 'fast', 'Indonesia']</v>
      </c>
      <c r="D733" s="3">
        <v>5.0</v>
      </c>
    </row>
    <row r="734" ht="15.75" customHeight="1">
      <c r="A734" s="1">
        <v>779.0</v>
      </c>
      <c r="B734" s="3" t="s">
        <v>731</v>
      </c>
      <c r="C734" s="3" t="str">
        <f>IFERROR(__xludf.DUMMYFUNCTION("GOOGLETRANSLATE(B734,""id"",""en"")"),"['Buy', 'Package', 'Credit', 'Like', 'Cut', 'First', '']")</f>
        <v>['Buy', 'Package', 'Credit', 'Like', 'Cut', 'First', '']</v>
      </c>
      <c r="D734" s="3">
        <v>4.0</v>
      </c>
    </row>
    <row r="735" ht="15.75" customHeight="1">
      <c r="A735" s="1">
        <v>780.0</v>
      </c>
      <c r="B735" s="3" t="s">
        <v>732</v>
      </c>
      <c r="C735" s="3" t="str">
        <f>IFERROR(__xludf.DUMMYFUNCTION("GOOGLETRANSLATE(B735,""id"",""en"")"),"['Singal', 'Wait', 'bad', 'provider', 'competed', 'improve', 'network', 'sympathy', 'miss', 'really', 'disappointed', 'sympathy']")</f>
        <v>['Singal', 'Wait', 'bad', 'provider', 'competed', 'improve', 'network', 'sympathy', 'miss', 'really', 'disappointed', 'sympathy']</v>
      </c>
      <c r="D735" s="3">
        <v>2.0</v>
      </c>
    </row>
    <row r="736" ht="15.75" customHeight="1">
      <c r="A736" s="1">
        <v>781.0</v>
      </c>
      <c r="B736" s="3" t="s">
        <v>733</v>
      </c>
      <c r="C736" s="3" t="str">
        <f>IFERROR(__xludf.DUMMYFUNCTION("GOOGLETRANSLATE(B736,""id"",""en"")"),"['Announcement', 'Winner', 'Gifts', 'Festival', 'broadcast', 'Ditv', 'National', 'See', 'Direct', 'Curious', ""]")</f>
        <v>['Announcement', 'Winner', 'Gifts', 'Festival', 'broadcast', 'Ditv', 'National', 'See', 'Direct', 'Curious', "]</v>
      </c>
      <c r="D736" s="3">
        <v>4.0</v>
      </c>
    </row>
    <row r="737" ht="15.75" customHeight="1">
      <c r="A737" s="1">
        <v>782.0</v>
      </c>
      <c r="B737" s="3" t="s">
        <v>734</v>
      </c>
      <c r="C737" s="3" t="str">
        <f>IFERROR(__xludf.DUMMYFUNCTION("GOOGLETRANSLATE(B737,""id"",""en"")"),"['Good', 'continue']")</f>
        <v>['Good', 'continue']</v>
      </c>
      <c r="D737" s="3">
        <v>5.0</v>
      </c>
    </row>
    <row r="738" ht="15.75" customHeight="1">
      <c r="A738" s="1">
        <v>783.0</v>
      </c>
      <c r="B738" s="3" t="s">
        <v>735</v>
      </c>
      <c r="C738" s="3" t="str">
        <f>IFERROR(__xludf.DUMMYFUNCTION("GOOGLETRANSLATE(B738,""id"",""en"")"),"['Price', 'Package', 'Combo', 'Sakti', 'Already', 'The Cooperation', 'Move', 'Package', 'Bye', 'Bye']")</f>
        <v>['Price', 'Package', 'Combo', 'Sakti', 'Already', 'The Cooperation', 'Move', 'Package', 'Bye', 'Bye']</v>
      </c>
      <c r="D738" s="3">
        <v>1.0</v>
      </c>
    </row>
    <row r="739" ht="15.75" customHeight="1">
      <c r="A739" s="1">
        <v>784.0</v>
      </c>
      <c r="B739" s="3" t="s">
        <v>736</v>
      </c>
      <c r="C739" s="3" t="str">
        <f>IFERROR(__xludf.DUMMYFUNCTION("GOOGLETRANSLATE(B739,""id"",""en"")"),"['NGK', 'open', 'already', 'update', 'already', 'uninstall', 'install', 'lgi']")</f>
        <v>['NGK', 'open', 'already', 'update', 'already', 'uninstall', 'install', 'lgi']</v>
      </c>
      <c r="D739" s="3">
        <v>3.0</v>
      </c>
    </row>
    <row r="740" ht="15.75" customHeight="1">
      <c r="A740" s="1">
        <v>785.0</v>
      </c>
      <c r="B740" s="3" t="s">
        <v>737</v>
      </c>
      <c r="C740" s="3" t="str">
        <f>IFERROR(__xludf.DUMMYFUNCTION("GOOGLETRANSLATE(B740,""id"",""en"")"),"['Good', 'application']")</f>
        <v>['Good', 'application']</v>
      </c>
      <c r="D740" s="3">
        <v>3.0</v>
      </c>
    </row>
    <row r="741" ht="15.75" customHeight="1">
      <c r="A741" s="1">
        <v>786.0</v>
      </c>
      <c r="B741" s="3" t="s">
        <v>738</v>
      </c>
      <c r="C741" s="3" t="str">
        <f>IFERROR(__xludf.DUMMYFUNCTION("GOOGLETRANSLATE(B741,""id"",""en"")"),"['Rain', 'ugly', 'network']")</f>
        <v>['Rain', 'ugly', 'network']</v>
      </c>
      <c r="D741" s="3">
        <v>1.0</v>
      </c>
    </row>
    <row r="742" ht="15.75" customHeight="1">
      <c r="A742" s="1">
        <v>787.0</v>
      </c>
      <c r="B742" s="3" t="s">
        <v>739</v>
      </c>
      <c r="C742" s="3" t="str">
        <f>IFERROR(__xludf.DUMMYFUNCTION("GOOGLETRANSLATE(B742,""id"",""en"")"),"['signalnyo', 'jekek', 'bangett', 'nyesell', 'right', 'play', 'game', 'no', 'sinyall', 'lgagi', 'job', 'signal', ' Hillangg ',' continue ',' ']")</f>
        <v>['signalnyo', 'jekek', 'bangett', 'nyesell', 'right', 'play', 'game', 'no', 'sinyall', 'lgagi', 'job', 'signal', ' Hillangg ',' continue ',' ']</v>
      </c>
      <c r="D742" s="3">
        <v>1.0</v>
      </c>
    </row>
    <row r="743" ht="15.75" customHeight="1">
      <c r="A743" s="1">
        <v>788.0</v>
      </c>
      <c r="B743" s="3" t="s">
        <v>740</v>
      </c>
      <c r="C743" s="3" t="str">
        <f>IFERROR(__xludf.DUMMYFUNCTION("GOOGLETRANSLATE(B743,""id"",""en"")"),"['Sunday', 'Open', 'Application', 'Telkomsel', '']")</f>
        <v>['Sunday', 'Open', 'Application', 'Telkomsel', '']</v>
      </c>
      <c r="D743" s="3">
        <v>1.0</v>
      </c>
    </row>
    <row r="744" ht="15.75" customHeight="1">
      <c r="A744" s="1">
        <v>789.0</v>
      </c>
      <c r="B744" s="3" t="s">
        <v>741</v>
      </c>
      <c r="C744" s="3" t="str">
        <f>IFERROR(__xludf.DUMMYFUNCTION("GOOGLETRANSLATE(B744,""id"",""en"")"),"['price', 'package', 'promo', 'discon', 'rare', 'kek', 'gini', 'switch', 'card', 'card']")</f>
        <v>['price', 'package', 'promo', 'discon', 'rare', 'kek', 'gini', 'switch', 'card', 'card']</v>
      </c>
      <c r="D744" s="3">
        <v>5.0</v>
      </c>
    </row>
    <row r="745" ht="15.75" customHeight="1">
      <c r="A745" s="1">
        <v>790.0</v>
      </c>
      <c r="B745" s="3" t="s">
        <v>742</v>
      </c>
      <c r="C745" s="3" t="str">
        <f>IFERROR(__xludf.DUMMYFUNCTION("GOOGLETRANSLATE(B745,""id"",""en"")"),"['Package', 'msh', 'no']")</f>
        <v>['Package', 'msh', 'no']</v>
      </c>
      <c r="D745" s="3">
        <v>4.0</v>
      </c>
    </row>
    <row r="746" ht="15.75" customHeight="1">
      <c r="A746" s="1">
        <v>791.0</v>
      </c>
      <c r="B746" s="3" t="s">
        <v>743</v>
      </c>
      <c r="C746" s="3" t="str">
        <f>IFERROR(__xludf.DUMMYFUNCTION("GOOGLETRANSLATE(B746,""id"",""en"")"),"['Network', 'Telkom', 'ugly', 'bad', 'ilangin', 'Telkom', 'face', 'earth', 'boong']")</f>
        <v>['Network', 'Telkom', 'ugly', 'bad', 'ilangin', 'Telkom', 'face', 'earth', 'boong']</v>
      </c>
      <c r="D746" s="3">
        <v>1.0</v>
      </c>
    </row>
    <row r="747" ht="15.75" customHeight="1">
      <c r="A747" s="1">
        <v>792.0</v>
      </c>
      <c r="B747" s="3" t="s">
        <v>744</v>
      </c>
      <c r="C747" s="3" t="str">
        <f>IFERROR(__xludf.DUMMYFUNCTION("GOOGLETRANSLATE(B747,""id"",""en"")"),"['', 'Min', 'Try', 'Telkomsel', 'Fill', 'Voucher', 'Busy', 'Scan', 'Simple', 'Telkomsel', 'Gara', 'Gara', 'Like ',' Season ',' bullak ',' counter ',' please ',' acts', 'continued', 'UDH', 'Bener', 'love', 'star', ""]")</f>
        <v>['', 'Min', 'Try', 'Telkomsel', 'Fill', 'Voucher', 'Busy', 'Scan', 'Simple', 'Telkomsel', 'Gara', 'Gara', 'Like ',' Season ',' bullak ',' counter ',' please ',' acts', 'continued', 'UDH', 'Bener', 'love', 'star', "]</v>
      </c>
      <c r="D747" s="3">
        <v>1.0</v>
      </c>
    </row>
    <row r="748" ht="15.75" customHeight="1">
      <c r="A748" s="1">
        <v>793.0</v>
      </c>
      <c r="B748" s="3" t="s">
        <v>745</v>
      </c>
      <c r="C748" s="3" t="str">
        <f>IFERROR(__xludf.DUMMYFUNCTION("GOOGLETRANSLATE(B748,""id"",""en"")"),"['Teklomsel', 'payamam', 'signal', 'ugly']")</f>
        <v>['Teklomsel', 'payamam', 'signal', 'ugly']</v>
      </c>
      <c r="D748" s="3">
        <v>1.0</v>
      </c>
    </row>
    <row r="749" ht="15.75" customHeight="1">
      <c r="A749" s="1">
        <v>794.0</v>
      </c>
      <c r="B749" s="3" t="s">
        <v>746</v>
      </c>
      <c r="C749" s="3" t="str">
        <f>IFERROR(__xludf.DUMMYFUNCTION("GOOGLETRANSLATE(B749,""id"",""en"")"),"['BISMILLAHIRRAHMANIRRAHIM', 'Hopefully', 'fortune', 'unexpected', 'Aamiin']")</f>
        <v>['BISMILLAHIRRAHMANIRRAHIM', 'Hopefully', 'fortune', 'unexpected', 'Aamiin']</v>
      </c>
      <c r="D749" s="3">
        <v>5.0</v>
      </c>
    </row>
    <row r="750" ht="15.75" customHeight="1">
      <c r="A750" s="1">
        <v>796.0</v>
      </c>
      <c r="B750" s="3" t="s">
        <v>747</v>
      </c>
      <c r="C750" s="3" t="str">
        <f>IFERROR(__xludf.DUMMYFUNCTION("GOOGLETRANSLATE(B750,""id"",""en"")"),"['Woy', 'please', 'signal', 'fix']")</f>
        <v>['Woy', 'please', 'signal', 'fix']</v>
      </c>
      <c r="D750" s="3">
        <v>1.0</v>
      </c>
    </row>
    <row r="751" ht="15.75" customHeight="1">
      <c r="A751" s="1">
        <v>797.0</v>
      </c>
      <c r="B751" s="3" t="s">
        <v>748</v>
      </c>
      <c r="C751" s="3" t="str">
        <f>IFERROR(__xludf.DUMMYFUNCTION("GOOGLETRANSLATE(B751,""id"",""en"")"),"['suggestion', 'access', 'application', 'Telkomsel', 'free', 'Hold', 'Lock', 'Lock', 'Credit', 'Comfort', 'Satisfaction', 'Customer']")</f>
        <v>['suggestion', 'access', 'application', 'Telkomsel', 'free', 'Hold', 'Lock', 'Lock', 'Credit', 'Comfort', 'Satisfaction', 'Customer']</v>
      </c>
      <c r="D751" s="3">
        <v>2.0</v>
      </c>
    </row>
    <row r="752" ht="15.75" customHeight="1">
      <c r="A752" s="1">
        <v>798.0</v>
      </c>
      <c r="B752" s="3" t="s">
        <v>749</v>
      </c>
      <c r="C752" s="3" t="str">
        <f>IFERROR(__xludf.DUMMYFUNCTION("GOOGLETRANSLATE(B752,""id"",""en"")"),"['Signal', 'Sangangat', 'Good']")</f>
        <v>['Signal', 'Sangangat', 'Good']</v>
      </c>
      <c r="D752" s="3">
        <v>5.0</v>
      </c>
    </row>
    <row r="753" ht="15.75" customHeight="1">
      <c r="A753" s="1">
        <v>799.0</v>
      </c>
      <c r="B753" s="3" t="s">
        <v>750</v>
      </c>
      <c r="C753" s="3" t="str">
        <f>IFERROR(__xludf.DUMMYFUNCTION("GOOGLETRANSLATE(B753,""id"",""en"")"),"['normal']")</f>
        <v>['normal']</v>
      </c>
      <c r="D753" s="3">
        <v>5.0</v>
      </c>
    </row>
    <row r="754" ht="15.75" customHeight="1">
      <c r="A754" s="1">
        <v>800.0</v>
      </c>
      <c r="B754" s="3" t="s">
        <v>751</v>
      </c>
      <c r="C754" s="3" t="str">
        <f>IFERROR(__xludf.DUMMYFUNCTION("GOOGLETRANSLATE(B754,""id"",""en"")"),"['expensive', 'bangetttttt', 'your package', 'broo']")</f>
        <v>['expensive', 'bangetttttt', 'your package', 'broo']</v>
      </c>
      <c r="D754" s="3">
        <v>1.0</v>
      </c>
    </row>
    <row r="755" ht="15.75" customHeight="1">
      <c r="A755" s="1">
        <v>801.0</v>
      </c>
      <c r="B755" s="3" t="s">
        <v>752</v>
      </c>
      <c r="C755" s="3" t="str">
        <f>IFERROR(__xludf.DUMMYFUNCTION("GOOGLETRANSLATE(B755,""id"",""en"")"),"['GIMNA', 'Application', 'Telkomsel', 'MLH', 'BLI', 'PKET', 'PKAI', 'JRINGAN']")</f>
        <v>['GIMNA', 'Application', 'Telkomsel', 'MLH', 'BLI', 'PKET', 'PKAI', 'JRINGAN']</v>
      </c>
      <c r="D755" s="3">
        <v>1.0</v>
      </c>
    </row>
    <row r="756" ht="15.75" customHeight="1">
      <c r="A756" s="1">
        <v>802.0</v>
      </c>
      <c r="B756" s="3" t="s">
        <v>753</v>
      </c>
      <c r="C756" s="3" t="str">
        <f>IFERROR(__xludf.DUMMYFUNCTION("GOOGLETRANSLATE(B756,""id"",""en"")"),"['Suggestion', 'theme', 'Choice', 'Gratitude', 'theme', 'dark', 'reduce', 'lighting', 'save', 'Batrai', 'thank', 'love']")</f>
        <v>['Suggestion', 'theme', 'Choice', 'Gratitude', 'theme', 'dark', 'reduce', 'lighting', 'save', 'Batrai', 'thank', 'love']</v>
      </c>
      <c r="D756" s="3">
        <v>5.0</v>
      </c>
    </row>
    <row r="757" ht="15.75" customHeight="1">
      <c r="A757" s="1">
        <v>804.0</v>
      </c>
      <c r="B757" s="3" t="s">
        <v>754</v>
      </c>
      <c r="C757" s="3" t="str">
        <f>IFERROR(__xludf.DUMMYFUNCTION("GOOGLETRANSLATE(B757,""id"",""en"")"),"['The application', 'skrg', 'bnyak', 'use', 'data', 'open', 'application', 'data', 'already', 'sumps',' ampe ',' tens', ' ']")</f>
        <v>['The application', 'skrg', 'bnyak', 'use', 'data', 'open', 'application', 'data', 'already', 'sumps',' ampe ',' tens', ' ']</v>
      </c>
      <c r="D757" s="3">
        <v>2.0</v>
      </c>
    </row>
    <row r="758" ht="15.75" customHeight="1">
      <c r="A758" s="1">
        <v>805.0</v>
      </c>
      <c r="B758" s="3" t="s">
        <v>755</v>
      </c>
      <c r="C758" s="3" t="str">
        <f>IFERROR(__xludf.DUMMYFUNCTION("GOOGLETRANSLATE(B758,""id"",""en"")"),"['Cool', 'Abis', 'Dehh']")</f>
        <v>['Cool', 'Abis', 'Dehh']</v>
      </c>
      <c r="D758" s="3">
        <v>5.0</v>
      </c>
    </row>
    <row r="759" ht="15.75" customHeight="1">
      <c r="A759" s="1">
        <v>806.0</v>
      </c>
      <c r="B759" s="3" t="s">
        <v>756</v>
      </c>
      <c r="C759" s="3" t="str">
        <f>IFERROR(__xludf.DUMMYFUNCTION("GOOGLETRANSLATE(B759,""id"",""en"")"),"['Pas', 'Mantab', '']")</f>
        <v>['Pas', 'Mantab', '']</v>
      </c>
      <c r="D759" s="3">
        <v>5.0</v>
      </c>
    </row>
    <row r="760" ht="15.75" customHeight="1">
      <c r="A760" s="1">
        <v>807.0</v>
      </c>
      <c r="B760" s="3" t="s">
        <v>757</v>
      </c>
      <c r="C760" s="3" t="str">
        <f>IFERROR(__xludf.DUMMYFUNCTION("GOOGLETRANSLATE(B760,""id"",""en"")"),"['Addin', 'Bonus', 'Game', 'Epep', 'Dog', 'Cave', 'Maen', 'COD', 'Dick', 'Admin', 'bangad']")</f>
        <v>['Addin', 'Bonus', 'Game', 'Epep', 'Dog', 'Cave', 'Maen', 'COD', 'Dick', 'Admin', 'bangad']</v>
      </c>
      <c r="D760" s="3">
        <v>1.0</v>
      </c>
    </row>
    <row r="761" ht="15.75" customHeight="1">
      <c r="A761" s="1">
        <v>808.0</v>
      </c>
      <c r="B761" s="3" t="s">
        <v>758</v>
      </c>
      <c r="C761" s="3" t="str">
        <f>IFERROR(__xludf.DUMMYFUNCTION("GOOGLETRANSLATE(B761,""id"",""en"")"),"['Nie', 'Telkomsel', 'Disappointed', 'Errr', 'finished', 'really', 'Errr', 'Chatingan']")</f>
        <v>['Nie', 'Telkomsel', 'Disappointed', 'Errr', 'finished', 'really', 'Errr', 'Chatingan']</v>
      </c>
      <c r="D761" s="3">
        <v>1.0</v>
      </c>
    </row>
    <row r="762" ht="15.75" customHeight="1">
      <c r="A762" s="1">
        <v>809.0</v>
      </c>
      <c r="B762" s="3" t="s">
        <v>759</v>
      </c>
      <c r="C762" s="3" t="str">
        <f>IFERROR(__xludf.DUMMYFUNCTION("GOOGLETRANSLATE(B762,""id"",""en"")"),"['expensive', 'price', 'package']")</f>
        <v>['expensive', 'price', 'package']</v>
      </c>
      <c r="D762" s="3">
        <v>5.0</v>
      </c>
    </row>
    <row r="763" ht="15.75" customHeight="1">
      <c r="A763" s="1">
        <v>810.0</v>
      </c>
      <c r="B763" s="3" t="s">
        <v>760</v>
      </c>
      <c r="C763" s="3" t="str">
        <f>IFERROR(__xludf.DUMMYFUNCTION("GOOGLETRANSLATE(B763,""id"",""en"")"),"['Steady', 'price', 'Lower']")</f>
        <v>['Steady', 'price', 'Lower']</v>
      </c>
      <c r="D763" s="3">
        <v>5.0</v>
      </c>
    </row>
    <row r="764" ht="15.75" customHeight="1">
      <c r="A764" s="1">
        <v>811.0</v>
      </c>
      <c r="B764" s="3" t="s">
        <v>761</v>
      </c>
      <c r="C764" s="3" t="str">
        <f>IFERROR(__xludf.DUMMYFUNCTION("GOOGLETRANSLATE(B764,""id"",""en"")"),"['Network', 'missing', '']")</f>
        <v>['Network', 'missing', '']</v>
      </c>
      <c r="D764" s="3">
        <v>1.0</v>
      </c>
    </row>
    <row r="765" ht="15.75" customHeight="1">
      <c r="A765" s="1">
        <v>812.0</v>
      </c>
      <c r="B765" s="3" t="s">
        <v>762</v>
      </c>
      <c r="C765" s="3" t="str">
        <f>IFERROR(__xludf.DUMMYFUNCTION("GOOGLETRANSLATE(B765,""id"",""en"")"),"['here', 'expensive', 'good', 'signal', 'ugly', 'like', 'ngilani', 'delete', 'provider']")</f>
        <v>['here', 'expensive', 'good', 'signal', 'ugly', 'like', 'ngilani', 'delete', 'provider']</v>
      </c>
      <c r="D765" s="3">
        <v>1.0</v>
      </c>
    </row>
    <row r="766" ht="15.75" customHeight="1">
      <c r="A766" s="1">
        <v>813.0</v>
      </c>
      <c r="B766" s="3" t="s">
        <v>763</v>
      </c>
      <c r="C766" s="3" t="str">
        <f>IFERROR(__xludf.DUMMYFUNCTION("GOOGLETRANSLATE(B766,""id"",""en"")"),"['Anyway', 'Satisfied', 'Use', 'Telkomsel']")</f>
        <v>['Anyway', 'Satisfied', 'Use', 'Telkomsel']</v>
      </c>
      <c r="D766" s="3">
        <v>5.0</v>
      </c>
    </row>
    <row r="767" ht="15.75" customHeight="1">
      <c r="A767" s="1">
        <v>814.0</v>
      </c>
      <c r="B767" s="3" t="s">
        <v>764</v>
      </c>
      <c r="C767" s="3" t="str">
        <f>IFERROR(__xludf.DUMMYFUNCTION("GOOGLETRANSLATE(B767,""id"",""en"")"),"['account', 'Road', 'Open', 'News', 'Something', 'Wrong', 'Signal', 'Quota', '']")</f>
        <v>['account', 'Road', 'Open', 'News', 'Something', 'Wrong', 'Signal', 'Quota', '']</v>
      </c>
      <c r="D767" s="3">
        <v>5.0</v>
      </c>
    </row>
    <row r="768" ht="15.75" customHeight="1">
      <c r="A768" s="1">
        <v>815.0</v>
      </c>
      <c r="B768" s="3" t="s">
        <v>765</v>
      </c>
      <c r="C768" s="3" t="str">
        <f>IFERROR(__xludf.DUMMYFUNCTION("GOOGLETRANSLATE(B768,""id"",""en"")"),"['update', 'continued', 'package', 'quota', 'internet', 'Mahalll', 'Provaider', 'Telkomsel', 'Bangkepatt', ""]")</f>
        <v>['update', 'continued', 'package', 'quota', 'internet', 'Mahalll', 'Provaider', 'Telkomsel', 'Bangkepatt', "]</v>
      </c>
      <c r="D768" s="3">
        <v>1.0</v>
      </c>
    </row>
    <row r="769" ht="15.75" customHeight="1">
      <c r="A769" s="1">
        <v>816.0</v>
      </c>
      <c r="B769" s="3" t="s">
        <v>766</v>
      </c>
      <c r="C769" s="3" t="str">
        <f>IFERROR(__xludf.DUMMYFUNCTION("GOOGLETRANSLATE(B769,""id"",""en"")"),"['steady', 'easy', 'buy', 'pulse', 'check', 'buy', 'quota']")</f>
        <v>['steady', 'easy', 'buy', 'pulse', 'check', 'buy', 'quota']</v>
      </c>
      <c r="D769" s="3">
        <v>4.0</v>
      </c>
    </row>
    <row r="770" ht="15.75" customHeight="1">
      <c r="A770" s="1">
        <v>817.0</v>
      </c>
      <c r="B770" s="3" t="s">
        <v>767</v>
      </c>
      <c r="C770" s="3" t="str">
        <f>IFERROR(__xludf.DUMMYFUNCTION("GOOGLETRANSLATE(B770,""id"",""en"")"),"['stupid', 'love', 'star', 'network', 'slow', 'center', 'city', 'paid', 'gave', 'bintng', ""]")</f>
        <v>['stupid', 'love', 'star', 'network', 'slow', 'center', 'city', 'paid', 'gave', 'bintng', "]</v>
      </c>
      <c r="D770" s="3">
        <v>1.0</v>
      </c>
    </row>
    <row r="771" ht="15.75" customHeight="1">
      <c r="A771" s="1">
        <v>818.0</v>
      </c>
      <c r="B771" s="3" t="s">
        <v>768</v>
      </c>
      <c r="C771" s="3" t="str">
        <f>IFERROR(__xludf.DUMMYFUNCTION("GOOGLETRANSLATE(B771,""id"",""en"")"),"['Satisfied', 'service', 'Telkomsel', 'hope', 'in the future', 'promo', 'promo', 'Telkomsel', ""]")</f>
        <v>['Satisfied', 'service', 'Telkomsel', 'hope', 'in the future', 'promo', 'promo', 'Telkomsel', "]</v>
      </c>
      <c r="D771" s="3">
        <v>5.0</v>
      </c>
    </row>
    <row r="772" ht="15.75" customHeight="1">
      <c r="A772" s="1">
        <v>819.0</v>
      </c>
      <c r="B772" s="3" t="s">
        <v>769</v>
      </c>
      <c r="C772" s="3" t="str">
        <f>IFERROR(__xludf.DUMMYFUNCTION("GOOGLETRANSLATE(B772,""id"",""en"")"),"['Ngentod', 'pig', 'monkey', 'ajingggg']")</f>
        <v>['Ngentod', 'pig', 'monkey', 'ajingggg']</v>
      </c>
      <c r="D772" s="3">
        <v>1.0</v>
      </c>
    </row>
    <row r="773" ht="15.75" customHeight="1">
      <c r="A773" s="1">
        <v>820.0</v>
      </c>
      <c r="B773" s="3" t="s">
        <v>770</v>
      </c>
      <c r="C773" s="3" t="str">
        <f>IFERROR(__xludf.DUMMYFUNCTION("GOOGLETRANSLATE(B773,""id"",""en"")"),"['Network', 'Benerin', 'lag', 'expensive', 'doang']")</f>
        <v>['Network', 'Benerin', 'lag', 'expensive', 'doang']</v>
      </c>
      <c r="D773" s="3">
        <v>1.0</v>
      </c>
    </row>
    <row r="774" ht="15.75" customHeight="1">
      <c r="A774" s="1">
        <v>821.0</v>
      </c>
      <c r="B774" s="3" t="s">
        <v>771</v>
      </c>
      <c r="C774" s="3" t="str">
        <f>IFERROR(__xludf.DUMMYFUNCTION("GOOGLETRANSLATE(B774,""id"",""en"")"),"['Good', 'application', '']")</f>
        <v>['Good', 'application', '']</v>
      </c>
      <c r="D774" s="3">
        <v>5.0</v>
      </c>
    </row>
    <row r="775" ht="15.75" customHeight="1">
      <c r="A775" s="1">
        <v>822.0</v>
      </c>
      <c r="B775" s="3" t="s">
        <v>772</v>
      </c>
      <c r="C775" s="3" t="str">
        <f>IFERROR(__xludf.DUMMYFUNCTION("GOOGLETRANSLATE(B775,""id"",""en"")"),"['apk', 'MyTelkomsel', 'help', 'in', 'choose', 'package', 'according to']")</f>
        <v>['apk', 'MyTelkomsel', 'help', 'in', 'choose', 'package', 'according to']</v>
      </c>
      <c r="D775" s="3">
        <v>5.0</v>
      </c>
    </row>
    <row r="776" ht="15.75" customHeight="1">
      <c r="A776" s="1">
        <v>823.0</v>
      </c>
      <c r="B776" s="3" t="s">
        <v>773</v>
      </c>
      <c r="C776" s="3" t="str">
        <f>IFERROR(__xludf.DUMMYFUNCTION("GOOGLETRANSLATE(B776,""id"",""en"")"),"['Koutaa', 'Geratis', 'Andk', 'Take', 'Cok']")</f>
        <v>['Koutaa', 'Geratis', 'Andk', 'Take', 'Cok']</v>
      </c>
      <c r="D776" s="3">
        <v>5.0</v>
      </c>
    </row>
    <row r="777" ht="15.75" customHeight="1">
      <c r="A777" s="1">
        <v>824.0</v>
      </c>
      <c r="B777" s="3" t="s">
        <v>774</v>
      </c>
      <c r="C777" s="3" t="str">
        <f>IFERROR(__xludf.DUMMYFUNCTION("GOOGLETRANSLATE(B777,""id"",""en"")"),"['Ngilake', 'buy', 'pulse', 'Detinent', 'second', 'back', 'pulse', 'just', 'return']")</f>
        <v>['Ngilake', 'buy', 'pulse', 'Detinent', 'second', 'back', 'pulse', 'just', 'return']</v>
      </c>
      <c r="D777" s="3">
        <v>1.0</v>
      </c>
    </row>
    <row r="778" ht="15.75" customHeight="1">
      <c r="A778" s="1">
        <v>825.0</v>
      </c>
      <c r="B778" s="3" t="s">
        <v>775</v>
      </c>
      <c r="C778" s="3" t="str">
        <f>IFERROR(__xludf.DUMMYFUNCTION("GOOGLETRANSLATE(B778,""id"",""en"")"),"['Package', 'The network']")</f>
        <v>['Package', 'The network']</v>
      </c>
      <c r="D778" s="3">
        <v>1.0</v>
      </c>
    </row>
    <row r="779" ht="15.75" customHeight="1">
      <c r="A779" s="1">
        <v>826.0</v>
      </c>
      <c r="B779" s="3" t="s">
        <v>776</v>
      </c>
      <c r="C779" s="3" t="str">
        <f>IFERROR(__xludf.DUMMYFUNCTION("GOOGLETRANSLATE(B779,""id"",""en"")"),"['service', 'best', 'provider', 'Indonesia', 'internet', 'smooth', 'hold', 'daily', 'check', 'happy', 'gift', 'quota', ' Internet ',' purchase ',' internet ',' cheap ',' Add ',' promo ',' internet ',' quota ',' price ',' affordable ',' thank ',' love ']")</f>
        <v>['service', 'best', 'provider', 'Indonesia', 'internet', 'smooth', 'hold', 'daily', 'check', 'happy', 'gift', 'quota', ' Internet ',' purchase ',' internet ',' cheap ',' Add ',' promo ',' internet ',' quota ',' price ',' affordable ',' thank ',' love ']</v>
      </c>
      <c r="D779" s="3">
        <v>5.0</v>
      </c>
    </row>
    <row r="780" ht="15.75" customHeight="1">
      <c r="A780" s="1">
        <v>827.0</v>
      </c>
      <c r="B780" s="3" t="s">
        <v>777</v>
      </c>
      <c r="C780" s="3" t="str">
        <f>IFERROR(__xludf.DUMMYFUNCTION("GOOGLETRANSLATE(B780,""id"",""en"")"),"['Application', 'Good', '']")</f>
        <v>['Application', 'Good', '']</v>
      </c>
      <c r="D780" s="3">
        <v>5.0</v>
      </c>
    </row>
    <row r="781" ht="15.75" customHeight="1">
      <c r="A781" s="1">
        <v>828.0</v>
      </c>
      <c r="B781" s="3" t="s">
        <v>778</v>
      </c>
      <c r="C781" s="3" t="str">
        <f>IFERROR(__xludf.DUMMYFUNCTION("GOOGLETRANSLATE(B781,""id"",""en"")"),"['lag', 'network', 'mnta', 'forgiveness', 'deh', 'already', 'quota', 'expensive', 'friendly', 'pouch', 'network', 'according to' price', '']")</f>
        <v>['lag', 'network', 'mnta', 'forgiveness', 'deh', 'already', 'quota', 'expensive', 'friendly', 'pouch', 'network', 'according to' price', '']</v>
      </c>
      <c r="D781" s="3">
        <v>1.0</v>
      </c>
    </row>
    <row r="782" ht="15.75" customHeight="1">
      <c r="A782" s="1">
        <v>829.0</v>
      </c>
      <c r="B782" s="3" t="s">
        <v>779</v>
      </c>
      <c r="C782" s="3" t="str">
        <f>IFERROR(__xludf.DUMMYFUNCTION("GOOGLETRANSLATE(B782,""id"",""en"")"),"['price', 'package', 'expensive', 'trouble', 'gag', 'kepakai', 'work', 'already', 'replace', 'number', 'rating', 'ugly', ' Down ',' star ',' ']")</f>
        <v>['price', 'package', 'expensive', 'trouble', 'gag', 'kepakai', 'work', 'already', 'replace', 'number', 'rating', 'ugly', ' Down ',' star ',' ']</v>
      </c>
      <c r="D782" s="3">
        <v>1.0</v>
      </c>
    </row>
    <row r="783" ht="15.75" customHeight="1">
      <c r="A783" s="1">
        <v>830.0</v>
      </c>
      <c r="B783" s="3" t="s">
        <v>780</v>
      </c>
      <c r="C783" s="3" t="str">
        <f>IFERROR(__xludf.DUMMYFUNCTION("GOOGLETRANSLATE(B783,""id"",""en"")"),"['convenience', 'number', 'Telkomsel', '']")</f>
        <v>['convenience', 'number', 'Telkomsel', '']</v>
      </c>
      <c r="D783" s="3">
        <v>5.0</v>
      </c>
    </row>
    <row r="784" ht="15.75" customHeight="1">
      <c r="A784" s="1">
        <v>831.0</v>
      </c>
      <c r="B784" s="3" t="s">
        <v>781</v>
      </c>
      <c r="C784" s="3" t="str">
        <f>IFERROR(__xludf.DUMMYFUNCTION("GOOGLETRANSLATE(B784,""id"",""en"")"),"['Greetings',' Indonesia ',' Sorry ',' Canda ',' Heeh ',' Cool ',' MyTelkomsel ',' Bid ',' User ',' Beginner ',' Kadi ',' Understand ',' Fill out ',' quota ',' pulse ',' Thanks', '']")</f>
        <v>['Greetings',' Indonesia ',' Sorry ',' Canda ',' Heeh ',' Cool ',' MyTelkomsel ',' Bid ',' User ',' Beginner ',' Kadi ',' Understand ',' Fill out ',' quota ',' pulse ',' Thanks', '']</v>
      </c>
      <c r="D784" s="3">
        <v>5.0</v>
      </c>
    </row>
    <row r="785" ht="15.75" customHeight="1">
      <c r="A785" s="1">
        <v>832.0</v>
      </c>
      <c r="B785" s="3" t="s">
        <v>782</v>
      </c>
      <c r="C785" s="3" t="str">
        <f>IFERROR(__xludf.DUMMYFUNCTION("GOOGLETRANSLATE(B785,""id"",""en"")"),"['help', 'convenience', 'convenience', 'thank', 'love', '']")</f>
        <v>['help', 'convenience', 'convenience', 'thank', 'love', '']</v>
      </c>
      <c r="D785" s="3">
        <v>5.0</v>
      </c>
    </row>
    <row r="786" ht="15.75" customHeight="1">
      <c r="A786" s="1">
        <v>833.0</v>
      </c>
      <c r="B786" s="3" t="s">
        <v>783</v>
      </c>
      <c r="C786" s="3" t="str">
        <f>IFERROR(__xludf.DUMMYFUNCTION("GOOGLETRANSLATE(B786,""id"",""en"")"),"['Good', 'Help', 'Terimkasih', 'Telkomsel']")</f>
        <v>['Good', 'Help', 'Terimkasih', 'Telkomsel']</v>
      </c>
      <c r="D786" s="3">
        <v>5.0</v>
      </c>
    </row>
    <row r="787" ht="15.75" customHeight="1">
      <c r="A787" s="1">
        <v>834.0</v>
      </c>
      <c r="B787" s="3" t="s">
        <v>784</v>
      </c>
      <c r="C787" s="3" t="str">
        <f>IFERROR(__xludf.DUMMYFUNCTION("GOOGLETRANSLATE(B787,""id"",""en"")"),"['knapa', 'buy', 'kouta', 'extend', 'disorder', 'buy', 'peket', 'can', 'canapa']")</f>
        <v>['knapa', 'buy', 'kouta', 'extend', 'disorder', 'buy', 'peket', 'can', 'canapa']</v>
      </c>
      <c r="D787" s="3">
        <v>3.0</v>
      </c>
    </row>
    <row r="788" ht="15.75" customHeight="1">
      <c r="A788" s="1">
        <v>835.0</v>
      </c>
      <c r="B788" s="3" t="s">
        <v>785</v>
      </c>
      <c r="C788" s="3" t="str">
        <f>IFERROR(__xludf.DUMMYFUNCTION("GOOGLETRANSLATE(B788,""id"",""en"")"),"['signal', 'ugly', 'in town', 'near', 'tower', 'nga', 'comfortable', 'times', 'signal', 'ugly', 'mulu']")</f>
        <v>['signal', 'ugly', 'in town', 'near', 'tower', 'nga', 'comfortable', 'times', 'signal', 'ugly', 'mulu']</v>
      </c>
      <c r="D788" s="3">
        <v>1.0</v>
      </c>
    </row>
    <row r="789" ht="15.75" customHeight="1">
      <c r="A789" s="1">
        <v>837.0</v>
      </c>
      <c r="B789" s="3" t="s">
        <v>786</v>
      </c>
      <c r="C789" s="3" t="str">
        <f>IFERROR(__xludf.DUMMYFUNCTION("GOOGLETRANSLATE(B789,""id"",""en"")"),"['Network', 'Telkomsel', 'Region', 'ugly', 'really']")</f>
        <v>['Network', 'Telkomsel', 'Region', 'ugly', 'really']</v>
      </c>
      <c r="D789" s="3">
        <v>3.0</v>
      </c>
    </row>
    <row r="790" ht="15.75" customHeight="1">
      <c r="A790" s="1">
        <v>838.0</v>
      </c>
      <c r="B790" s="3" t="s">
        <v>787</v>
      </c>
      <c r="C790" s="3" t="str">
        <f>IFERROR(__xludf.DUMMYFUNCTION("GOOGLETRANSLATE(B790,""id"",""en"")"),"['already', 'BBR', 'signal', 'ugly', 'really', 'center', 'city', 'play', 'game', 'disappointing', 'please', 'Lahh', ' already ',' th ',' jdi ',' customers', 'Telkomsel', 'response', 'complaints',' buy ',' quota ',' internet ',' expensive ',' satisfied ','"&amp;" disappointing ' ]")</f>
        <v>['already', 'BBR', 'signal', 'ugly', 'really', 'center', 'city', 'play', 'game', 'disappointing', 'please', 'Lahh', ' already ',' th ',' jdi ',' customers', 'Telkomsel', 'response', 'complaints',' buy ',' quota ',' internet ',' expensive ',' satisfied ',' disappointing ' ]</v>
      </c>
      <c r="D790" s="3">
        <v>1.0</v>
      </c>
    </row>
    <row r="791" ht="15.75" customHeight="1">
      <c r="A791" s="1">
        <v>839.0</v>
      </c>
      <c r="B791" s="3" t="s">
        <v>788</v>
      </c>
      <c r="C791" s="3" t="str">
        <f>IFERROR(__xludf.DUMMYFUNCTION("GOOGLETRANSLATE(B791,""id"",""en"")"),"['HRD', 'Please', 'The network', 'conditioned', 'price', 'card', 'package', 'was removed', 'quality', 'network', 'zero', 'update', ' APK ',' Playstore ',' Sometimes', 'Need', 'Duration', 'Clock', 'Capacity', 'APK', 'PALINGAN', 'MB', 'PROMO', 'MILL', 'IN' "&amp;", 'card', 'work', 'a day', 'bangse', 'brain', 'operator', 'Telkomsel', 'please', 'signal', 'BURIK', 'provider', 'fix', ' Sebagus', 'fix', 'signal', 'telkom', 'anjingggggggg']")</f>
        <v>['HRD', 'Please', 'The network', 'conditioned', 'price', 'card', 'package', 'was removed', 'quality', 'network', 'zero', 'update', ' APK ',' Playstore ',' Sometimes', 'Need', 'Duration', 'Clock', 'Capacity', 'APK', 'PALINGAN', 'MB', 'PROMO', 'MILL', 'IN' , 'card', 'work', 'a day', 'bangse', 'brain', 'operator', 'Telkomsel', 'please', 'signal', 'BURIK', 'provider', 'fix', ' Sebagus', 'fix', 'signal', 'telkom', 'anjingggggggg']</v>
      </c>
      <c r="D791" s="3">
        <v>1.0</v>
      </c>
    </row>
    <row r="792" ht="15.75" customHeight="1">
      <c r="A792" s="1">
        <v>840.0</v>
      </c>
      <c r="B792" s="3" t="s">
        <v>789</v>
      </c>
      <c r="C792" s="3" t="str">
        <f>IFERROR(__xludf.DUMMYFUNCTION("GOOGLETRANSLATE(B792,""id"",""en"")"),"['buy', 'card', 'Telkomsel', 'ntar', 'regret', 'ugly', 'ugly', 'quota', 'expensive', 'mending', 'card', 'next door' Cheap ',' signal ',' good ',' game ']")</f>
        <v>['buy', 'card', 'Telkomsel', 'ntar', 'regret', 'ugly', 'ugly', 'quota', 'expensive', 'mending', 'card', 'next door' Cheap ',' signal ',' good ',' game ']</v>
      </c>
      <c r="D792" s="3">
        <v>1.0</v>
      </c>
    </row>
    <row r="793" ht="15.75" customHeight="1">
      <c r="A793" s="1">
        <v>841.0</v>
      </c>
      <c r="B793" s="3" t="s">
        <v>790</v>
      </c>
      <c r="C793" s="3" t="str">
        <f>IFERROR(__xludf.DUMMYFUNCTION("GOOGLETRANSLATE(B793,""id"",""en"")"),"['Telkomsel', 'here', 'poor', 'yes',' good ',' rich ',' provider ',' just ',' it seems', 'severe', 'deh', 'open', ' Medsos', 'muter', 'please', 'customer', 'disappointed', 'intention', 'heart', 'moved', 'Telkomsel', 'network', 'in fact', 'according to', '"&amp;"expectation' , 'peachhh']")</f>
        <v>['Telkomsel', 'here', 'poor', 'yes',' good ',' rich ',' provider ',' just ',' it seems', 'severe', 'deh', 'open', ' Medsos', 'muter', 'please', 'customer', 'disappointed', 'intention', 'heart', 'moved', 'Telkomsel', 'network', 'in fact', 'according to', 'expectation' , 'peachhh']</v>
      </c>
      <c r="D793" s="3">
        <v>1.0</v>
      </c>
    </row>
    <row r="794" ht="15.75" customHeight="1">
      <c r="A794" s="1">
        <v>842.0</v>
      </c>
      <c r="B794" s="3" t="s">
        <v>791</v>
      </c>
      <c r="C794" s="3" t="str">
        <f>IFERROR(__xludf.DUMMYFUNCTION("GOOGLETRANSLATE(B794,""id"",""en"")"),"['like']")</f>
        <v>['like']</v>
      </c>
      <c r="D794" s="3">
        <v>5.0</v>
      </c>
    </row>
    <row r="795" ht="15.75" customHeight="1">
      <c r="A795" s="1">
        <v>843.0</v>
      </c>
      <c r="B795" s="3" t="s">
        <v>792</v>
      </c>
      <c r="C795" s="3" t="str">
        <f>IFERROR(__xludf.DUMMYFUNCTION("GOOGLETRANSLATE(B795,""id"",""en"")"),"['satisfying', 'service']")</f>
        <v>['satisfying', 'service']</v>
      </c>
      <c r="D795" s="3">
        <v>5.0</v>
      </c>
    </row>
    <row r="796" ht="15.75" customHeight="1">
      <c r="A796" s="1">
        <v>844.0</v>
      </c>
      <c r="B796" s="3" t="s">
        <v>793</v>
      </c>
      <c r="C796" s="3" t="str">
        <f>IFERROR(__xludf.DUMMYFUNCTION("GOOGLETRANSLATE(B796,""id"",""en"")"),"['Karna', 'card', 'quota', 'use', 'Telkomsel', 'times',' fill in ',' pulse ',' run out ',' pull ',' internet ',' quota ',' try', '']")</f>
        <v>['Karna', 'card', 'quota', 'use', 'Telkomsel', 'times',' fill in ',' pulse ',' run out ',' pull ',' internet ',' quota ',' try', '']</v>
      </c>
      <c r="D796" s="3">
        <v>1.0</v>
      </c>
    </row>
    <row r="797" ht="15.75" customHeight="1">
      <c r="A797" s="1">
        <v>845.0</v>
      </c>
      <c r="B797" s="3" t="s">
        <v>794</v>
      </c>
      <c r="C797" s="3" t="str">
        <f>IFERROR(__xludf.DUMMYFUNCTION("GOOGLETRANSLATE(B797,""id"",""en"")"),"['Disappointed', 'Telkomsel', 'slow', 'network', 'internet', 'cheap', 'package', 'promo', 'dead', 'electricity', 'die', 'network', ' slow ',' loyal ',' Telkomsel ',' star ',' Reduce ',' ']")</f>
        <v>['Disappointed', 'Telkomsel', 'slow', 'network', 'internet', 'cheap', 'package', 'promo', 'dead', 'electricity', 'die', 'network', ' slow ',' loyal ',' Telkomsel ',' star ',' Reduce ',' ']</v>
      </c>
      <c r="D797" s="3">
        <v>3.0</v>
      </c>
    </row>
    <row r="798" ht="15.75" customHeight="1">
      <c r="A798" s="1">
        <v>846.0</v>
      </c>
      <c r="B798" s="3" t="s">
        <v>795</v>
      </c>
      <c r="C798" s="3" t="str">
        <f>IFERROR(__xludf.DUMMYFUNCTION("GOOGLETRANSLATE(B798,""id"",""en"")"),"['times', 'relapse', 'disease', 'Telkomsel', 'error', 'fired', 'employees', 'cook', 'yes', 'application', 'error', 'mulu']")</f>
        <v>['times', 'relapse', 'disease', 'Telkomsel', 'error', 'fired', 'employees', 'cook', 'yes', 'application', 'error', 'mulu']</v>
      </c>
      <c r="D798" s="3">
        <v>1.0</v>
      </c>
    </row>
    <row r="799" ht="15.75" customHeight="1">
      <c r="A799" s="1">
        <v>847.0</v>
      </c>
      <c r="B799" s="3" t="s">
        <v>796</v>
      </c>
      <c r="C799" s="3" t="str">
        <f>IFERROR(__xludf.DUMMYFUNCTION("GOOGLETRANSLATE(B799,""id"",""en"")"),"['complaints',' buy ',' payment ',' package ',' failed ',' response ',' application ',' customer ',' service ',' andri ',' make ',' Telkomsel ',' disappointing ',' expensive ',' slow ',' mending ',' indoosat ',' star ',' ']")</f>
        <v>['complaints',' buy ',' payment ',' package ',' failed ',' response ',' application ',' customer ',' service ',' andri ',' make ',' Telkomsel ',' disappointing ',' expensive ',' slow ',' mending ',' indoosat ',' star ',' ']</v>
      </c>
      <c r="D799" s="3">
        <v>1.0</v>
      </c>
    </row>
    <row r="800" ht="15.75" customHeight="1">
      <c r="A800" s="1">
        <v>848.0</v>
      </c>
      <c r="B800" s="3" t="s">
        <v>797</v>
      </c>
      <c r="C800" s="3" t="str">
        <f>IFERROR(__xludf.DUMMYFUNCTION("GOOGLETRANSLATE(B800,""id"",""en"")"),"['satisfying', 'consumer', '']")</f>
        <v>['satisfying', 'consumer', '']</v>
      </c>
      <c r="D800" s="3">
        <v>5.0</v>
      </c>
    </row>
    <row r="801" ht="15.75" customHeight="1">
      <c r="A801" s="1">
        <v>849.0</v>
      </c>
      <c r="B801" s="3" t="s">
        <v>798</v>
      </c>
      <c r="C801" s="3" t="str">
        <f>IFERROR(__xludf.DUMMYFUNCTION("GOOGLETRANSLATE(B801,""id"",""en"")"),"['package', 'nelfon', 'package', 'internet', 'divided', 'nelfon', 'nelfon', 'application', 'package', 'bought', 'sia', ""]")</f>
        <v>['package', 'nelfon', 'package', 'internet', 'divided', 'nelfon', 'nelfon', 'application', 'package', 'bought', 'sia', "]</v>
      </c>
      <c r="D801" s="3">
        <v>1.0</v>
      </c>
    </row>
    <row r="802" ht="15.75" customHeight="1">
      <c r="A802" s="1">
        <v>850.0</v>
      </c>
      <c r="B802" s="3" t="s">
        <v>799</v>
      </c>
      <c r="C802" s="3" t="str">
        <f>IFERROR(__xludf.DUMMYFUNCTION("GOOGLETRANSLATE(B802,""id"",""en"")"),"['Please', 'repaired', 'Collect', 'SMS', 'Register', 'Send', 'Collect', 'SMS', 'Service', 'Message', 'Request', 'Collect', ' sms', 'rejected', 'number', 'known', 'detrimental', 'top', 'pulse', 'run out', 'collect', 'sms',' ']")</f>
        <v>['Please', 'repaired', 'Collect', 'SMS', 'Register', 'Send', 'Collect', 'SMS', 'Service', 'Message', 'Request', 'Collect', ' sms', 'rejected', 'number', 'known', 'detrimental', 'top', 'pulse', 'run out', 'collect', 'sms',' ']</v>
      </c>
      <c r="D802" s="3">
        <v>2.0</v>
      </c>
    </row>
    <row r="803" ht="15.75" customHeight="1">
      <c r="A803" s="1">
        <v>851.0</v>
      </c>
      <c r="B803" s="3" t="s">
        <v>800</v>
      </c>
      <c r="C803" s="3" t="str">
        <f>IFERROR(__xludf.DUMMYFUNCTION("GOOGLETRANSLATE(B803,""id"",""en"")"),"['Use', 'Thanks']")</f>
        <v>['Use', 'Thanks']</v>
      </c>
      <c r="D803" s="3">
        <v>5.0</v>
      </c>
    </row>
    <row r="804" ht="15.75" customHeight="1">
      <c r="A804" s="1">
        <v>852.0</v>
      </c>
      <c r="B804" s="3" t="s">
        <v>801</v>
      </c>
      <c r="C804" s="3" t="str">
        <f>IFERROR(__xludf.DUMMYFUNCTION("GOOGLETRANSLATE(B804,""id"",""en"")"),"['Contents', 'Credit', 'Cut', 'borrow', 'Credit', 'Activate', 'Pekah', 'Telekomsel', 'Star']")</f>
        <v>['Contents', 'Credit', 'Cut', 'borrow', 'Credit', 'Activate', 'Pekah', 'Telekomsel', 'Star']</v>
      </c>
      <c r="D804" s="3">
        <v>2.0</v>
      </c>
    </row>
    <row r="805" ht="15.75" customHeight="1">
      <c r="A805" s="1">
        <v>853.0</v>
      </c>
      <c r="B805" s="3" t="s">
        <v>802</v>
      </c>
      <c r="C805" s="3" t="str">
        <f>IFERROR(__xludf.DUMMYFUNCTION("GOOGLETRANSLATE(B805,""id"",""en"")"),"['Error', 'update', 'application', 'SNDRI', 'Kasi', 'Bintang', ""]")</f>
        <v>['Error', 'update', 'application', 'SNDRI', 'Kasi', 'Bintang', "]</v>
      </c>
      <c r="D805" s="3">
        <v>1.0</v>
      </c>
    </row>
    <row r="806" ht="15.75" customHeight="1">
      <c r="A806" s="1">
        <v>854.0</v>
      </c>
      <c r="B806" s="3" t="s">
        <v>803</v>
      </c>
      <c r="C806" s="3" t="str">
        <f>IFERROR(__xludf.DUMMYFUNCTION("GOOGLETRANSLATE(B806,""id"",""en"")"),"['Update', 'version', 'Application', 'Open', 'Screen', 'White', 'Appear', 'Please', 'Fix', 'User', 'Andorid', ""]")</f>
        <v>['Update', 'version', 'Application', 'Open', 'Screen', 'White', 'Appear', 'Please', 'Fix', 'User', 'Andorid', "]</v>
      </c>
      <c r="D806" s="3">
        <v>1.0</v>
      </c>
    </row>
    <row r="807" ht="15.75" customHeight="1">
      <c r="A807" s="1">
        <v>855.0</v>
      </c>
      <c r="B807" s="3" t="s">
        <v>804</v>
      </c>
      <c r="C807" s="3" t="str">
        <f>IFERROR(__xludf.DUMMYFUNCTION("GOOGLETRANSLATE(B807,""id"",""en"")"),"['', 'love', 'price', 'cheap', 'package', '']")</f>
        <v>['', 'love', 'price', 'cheap', 'package', '']</v>
      </c>
      <c r="D807" s="3">
        <v>5.0</v>
      </c>
    </row>
    <row r="808" ht="15.75" customHeight="1">
      <c r="A808" s="1">
        <v>856.0</v>
      </c>
      <c r="B808" s="3" t="s">
        <v>805</v>
      </c>
      <c r="C808" s="3" t="str">
        <f>IFERROR(__xludf.DUMMYFUNCTION("GOOGLETRANSLATE(B808,""id"",""en"")"),"['innovate', 'best']")</f>
        <v>['innovate', 'best']</v>
      </c>
      <c r="D808" s="3">
        <v>5.0</v>
      </c>
    </row>
    <row r="809" ht="15.75" customHeight="1">
      <c r="A809" s="1">
        <v>857.0</v>
      </c>
      <c r="B809" s="3" t="s">
        <v>806</v>
      </c>
      <c r="C809" s="3" t="str">
        <f>IFERROR(__xludf.DUMMYFUNCTION("GOOGLETRANSLATE(B809,""id"",""en"")"),"['Stlah', 'updated', 'opened', '']")</f>
        <v>['Stlah', 'updated', 'opened', '']</v>
      </c>
      <c r="D809" s="3">
        <v>1.0</v>
      </c>
    </row>
    <row r="810" ht="15.75" customHeight="1">
      <c r="A810" s="1">
        <v>858.0</v>
      </c>
      <c r="B810" s="3" t="s">
        <v>807</v>
      </c>
      <c r="C810" s="3" t="str">
        <f>IFERROR(__xludf.DUMMYFUNCTION("GOOGLETRANSLATE(B810,""id"",""en"")"),"['Strengthen', 'signal']")</f>
        <v>['Strengthen', 'signal']</v>
      </c>
      <c r="D810" s="3">
        <v>5.0</v>
      </c>
    </row>
    <row r="811" ht="15.75" customHeight="1">
      <c r="A811" s="1">
        <v>859.0</v>
      </c>
      <c r="B811" s="3" t="s">
        <v>808</v>
      </c>
      <c r="C811" s="3" t="str">
        <f>IFERROR(__xludf.DUMMYFUNCTION("GOOGLETRANSLATE(B811,""id"",""en"")"),"['Good', 'makes it easy']")</f>
        <v>['Good', 'makes it easy']</v>
      </c>
      <c r="D811" s="3">
        <v>4.0</v>
      </c>
    </row>
    <row r="812" ht="15.75" customHeight="1">
      <c r="A812" s="1">
        <v>860.0</v>
      </c>
      <c r="B812" s="3" t="s">
        <v>809</v>
      </c>
      <c r="C812" s="3" t="str">
        <f>IFERROR(__xludf.DUMMYFUNCTION("GOOGLETRANSLATE(B812,""id"",""en"")"),"['Network', 'Telkomsel', 'Good']")</f>
        <v>['Network', 'Telkomsel', 'Good']</v>
      </c>
      <c r="D812" s="3">
        <v>5.0</v>
      </c>
    </row>
    <row r="813" ht="15.75" customHeight="1">
      <c r="A813" s="1">
        <v>861.0</v>
      </c>
      <c r="B813" s="3" t="s">
        <v>810</v>
      </c>
      <c r="C813" s="3" t="str">
        <f>IFERROR(__xludf.DUMMYFUNCTION("GOOGLETRANSLATE(B813,""id"",""en"")"),"['network', 'Asuu', 'package', 'expensive', 'network', 'good', 'bangettt']")</f>
        <v>['network', 'Asuu', 'package', 'expensive', 'network', 'good', 'bangettt']</v>
      </c>
      <c r="D813" s="3">
        <v>1.0</v>
      </c>
    </row>
    <row r="814" ht="15.75" customHeight="1">
      <c r="A814" s="1">
        <v>862.0</v>
      </c>
      <c r="B814" s="3" t="s">
        <v>811</v>
      </c>
      <c r="C814" s="3" t="str">
        <f>IFERROR(__xludf.DUMMYFUNCTION("GOOGLETRANSLATE(B814,""id"",""en"")"),"['signal', 'embossed', 'ilang', 'price', 'quota', 'expensive', 'signal', 'ngelag']")</f>
        <v>['signal', 'embossed', 'ilang', 'price', 'quota', 'expensive', 'signal', 'ngelag']</v>
      </c>
      <c r="D814" s="3">
        <v>1.0</v>
      </c>
    </row>
    <row r="815" ht="15.75" customHeight="1">
      <c r="A815" s="1">
        <v>863.0</v>
      </c>
      <c r="B815" s="3" t="s">
        <v>812</v>
      </c>
      <c r="C815" s="3" t="str">
        <f>IFERROR(__xludf.DUMMYFUNCTION("GOOGLETRANSLATE(B815,""id"",""en"")"),"['love', 'star', 'disappointed', 'contents',' pulse ',' thousand ',' already ',' sucked ',' back ',' ama ',' chat ',' easy ',' hopefully ',' read ',' then ',' back ',' pulse ']")</f>
        <v>['love', 'star', 'disappointed', 'contents',' pulse ',' thousand ',' already ',' sucked ',' back ',' ama ',' chat ',' easy ',' hopefully ',' read ',' then ',' back ',' pulse ']</v>
      </c>
      <c r="D815" s="3">
        <v>1.0</v>
      </c>
    </row>
    <row r="816" ht="15.75" customHeight="1">
      <c r="A816" s="1">
        <v>864.0</v>
      </c>
      <c r="B816" s="3" t="s">
        <v>813</v>
      </c>
      <c r="C816" s="3" t="str">
        <f>IFERROR(__xludf.DUMMYFUNCTION("GOOGLETRANSLATE(B816,""id"",""en"")"),"['told', 'download', 'Telkomsel', 'it's like', 'pulse', 'rb', 'lie']")</f>
        <v>['told', 'download', 'Telkomsel', 'it's like', 'pulse', 'rb', 'lie']</v>
      </c>
      <c r="D816" s="3">
        <v>1.0</v>
      </c>
    </row>
    <row r="817" ht="15.75" customHeight="1">
      <c r="A817" s="1">
        <v>865.0</v>
      </c>
      <c r="B817" s="3" t="s">
        <v>814</v>
      </c>
      <c r="C817" s="3" t="str">
        <f>IFERROR(__xludf.DUMMYFUNCTION("GOOGLETRANSLATE(B817,""id"",""en"")"),"['Help', 'Pademi', 'advanced', 'front', 'greetings', 'healthy', 'Telkomsel', 'recommended']")</f>
        <v>['Help', 'Pademi', 'advanced', 'front', 'greetings', 'healthy', 'Telkomsel', 'recommended']</v>
      </c>
      <c r="D817" s="3">
        <v>5.0</v>
      </c>
    </row>
    <row r="818" ht="15.75" customHeight="1">
      <c r="A818" s="1">
        <v>866.0</v>
      </c>
      <c r="B818" s="3" t="s">
        <v>815</v>
      </c>
      <c r="C818" s="3" t="str">
        <f>IFERROR(__xludf.DUMMYFUNCTION("GOOGLETRANSLATE(B818,""id"",""en"")"),"['Outstanding', 'Information', 'Fast']")</f>
        <v>['Outstanding', 'Information', 'Fast']</v>
      </c>
      <c r="D818" s="3">
        <v>3.0</v>
      </c>
    </row>
    <row r="819" ht="15.75" customHeight="1">
      <c r="A819" s="1">
        <v>867.0</v>
      </c>
      <c r="B819" s="3" t="s">
        <v>816</v>
      </c>
      <c r="C819" s="3" t="str">
        <f>IFERROR(__xludf.DUMMYFUNCTION("GOOGLETRANSLATE(B819,""id"",""en"")"),"['Application', 'Telkomsel', 'no', 'open', 'yaa', ""]")</f>
        <v>['Application', 'Telkomsel', 'no', 'open', 'yaa', "]</v>
      </c>
      <c r="D819" s="3">
        <v>3.0</v>
      </c>
    </row>
    <row r="820" ht="15.75" customHeight="1">
      <c r="A820" s="1">
        <v>868.0</v>
      </c>
      <c r="B820" s="3" t="s">
        <v>817</v>
      </c>
      <c r="C820" s="3" t="str">
        <f>IFERROR(__xludf.DUMMYFUNCTION("GOOGLETRANSLATE(B820,""id"",""en"")"),"['signal', 'ganguan']")</f>
        <v>['signal', 'ganguan']</v>
      </c>
      <c r="D820" s="3">
        <v>4.0</v>
      </c>
    </row>
    <row r="821" ht="15.75" customHeight="1">
      <c r="A821" s="1">
        <v>869.0</v>
      </c>
      <c r="B821" s="3" t="s">
        <v>818</v>
      </c>
      <c r="C821" s="3" t="str">
        <f>IFERROR(__xludf.DUMMYFUNCTION("GOOGLETRANSLATE(B821,""id"",""en"")"),"['Telkomsel', 'Network', 'best', 'the widest', 'archipelago', 'hope', 'God', 'your servant', 'Win', 'Hadia', 'Lucky', 'Draw', ' Dri ',' Sexos', 'Amin', ""]")</f>
        <v>['Telkomsel', 'Network', 'best', 'the widest', 'archipelago', 'hope', 'God', 'your servant', 'Win', 'Hadia', 'Lucky', 'Draw', ' Dri ',' Sexos', 'Amin', "]</v>
      </c>
      <c r="D821" s="3">
        <v>5.0</v>
      </c>
    </row>
    <row r="822" ht="15.75" customHeight="1">
      <c r="A822" s="1">
        <v>870.0</v>
      </c>
      <c r="B822" s="3" t="s">
        <v>819</v>
      </c>
      <c r="C822" s="3" t="str">
        <f>IFERROR(__xludf.DUMMYFUNCTION("GOOGLETRANSLATE(B822,""id"",""en"")"),"['Alhamdulillah', 'opened', 'Application', 'MyTelkomsel', 'Trimz', 'Defend', 'Service', 'Best', 'Application', 'MyTelkomsel', ""]")</f>
        <v>['Alhamdulillah', 'opened', 'Application', 'MyTelkomsel', 'Trimz', 'Defend', 'Service', 'Best', 'Application', 'MyTelkomsel', "]</v>
      </c>
      <c r="D822" s="3">
        <v>5.0</v>
      </c>
    </row>
    <row r="823" ht="15.75" customHeight="1">
      <c r="A823" s="1">
        <v>871.0</v>
      </c>
      <c r="B823" s="3" t="s">
        <v>820</v>
      </c>
      <c r="C823" s="3" t="str">
        <f>IFERROR(__xludf.DUMMYFUNCTION("GOOGLETRANSLATE(B823,""id"",""en"")"),"['HRS', 'Good']")</f>
        <v>['HRS', 'Good']</v>
      </c>
      <c r="D823" s="3">
        <v>4.0</v>
      </c>
    </row>
    <row r="824" ht="15.75" customHeight="1">
      <c r="A824" s="1">
        <v>872.0</v>
      </c>
      <c r="B824" s="3" t="s">
        <v>821</v>
      </c>
      <c r="C824" s="3" t="str">
        <f>IFERROR(__xludf.DUMMYFUNCTION("GOOGLETRANSLATE(B824,""id"",""en"")"),"['APK', 'MyTelkomsel', 'already', 'opened', 'reset', 'cellphone', 'data', 'factory', 'download', 'tetep', 'open', 'screen', ' white ',' update ',' version ',' already ',' opened ',' smooth ',' Jaya ',' obstacle ',' thank ',' love ',' mytelkomsel ',' hope "&amp;"',' smooth ' , '']")</f>
        <v>['APK', 'MyTelkomsel', 'already', 'opened', 'reset', 'cellphone', 'data', 'factory', 'download', 'tetep', 'open', 'screen', ' white ',' update ',' version ',' already ',' opened ',' smooth ',' Jaya ',' obstacle ',' thank ',' love ',' mytelkomsel ',' hope ',' smooth ' , '']</v>
      </c>
      <c r="D824" s="3">
        <v>5.0</v>
      </c>
    </row>
    <row r="825" ht="15.75" customHeight="1">
      <c r="A825" s="1">
        <v>873.0</v>
      </c>
      <c r="B825" s="3" t="s">
        <v>822</v>
      </c>
      <c r="C825" s="3" t="str">
        <f>IFERROR(__xludf.DUMMYFUNCTION("GOOGLETRANSLATE(B825,""id"",""en"")"),"['thank', 'love', 'love', 'version', 'newest', 'open', 'application', 'Telkomsel', ""]")</f>
        <v>['thank', 'love', 'love', 'version', 'newest', 'open', 'application', 'Telkomsel', "]</v>
      </c>
      <c r="D825" s="3">
        <v>5.0</v>
      </c>
    </row>
    <row r="826" ht="15.75" customHeight="1">
      <c r="A826" s="1">
        <v>874.0</v>
      </c>
      <c r="B826" s="3" t="s">
        <v>823</v>
      </c>
      <c r="C826" s="3" t="str">
        <f>IFERROR(__xludf.DUMMYFUNCTION("GOOGLETRANSLATE(B826,""id"",""en"")"),"['Makasihah', 'Bagus', 'Bangettt']")</f>
        <v>['Makasihah', 'Bagus', 'Bangettt']</v>
      </c>
      <c r="D826" s="3">
        <v>5.0</v>
      </c>
    </row>
    <row r="827" ht="15.75" customHeight="1">
      <c r="A827" s="1">
        <v>875.0</v>
      </c>
      <c r="B827" s="3" t="s">
        <v>824</v>
      </c>
      <c r="C827" s="3" t="str">
        <f>IFERROR(__xludf.DUMMYFUNCTION("GOOGLETRANSLATE(B827,""id"",""en"")"),"['How', 'contents',' package ',' data ',' slow ',' network ',' full ',' bad ',' rich ',' gini ',' package ',' expensive ',' network ',' ugly ',' mulu ']")</f>
        <v>['How', 'contents',' package ',' data ',' slow ',' network ',' full ',' bad ',' rich ',' gini ',' package ',' expensive ',' network ',' ugly ',' mulu ']</v>
      </c>
      <c r="D827" s="3">
        <v>1.0</v>
      </c>
    </row>
    <row r="828" ht="15.75" customHeight="1">
      <c r="A828" s="1">
        <v>876.0</v>
      </c>
      <c r="B828" s="3" t="s">
        <v>825</v>
      </c>
      <c r="C828" s="3" t="str">
        <f>IFERROR(__xludf.DUMMYFUNCTION("GOOGLETRANSLATE(B828,""id"",""en"")"),"['Network', 'Daille', 'Application', 'Disappointing', '']")</f>
        <v>['Network', 'Daille', 'Application', 'Disappointing', '']</v>
      </c>
      <c r="D828" s="3">
        <v>1.0</v>
      </c>
    </row>
    <row r="829" ht="15.75" customHeight="1">
      <c r="A829" s="1">
        <v>877.0</v>
      </c>
      <c r="B829" s="3" t="s">
        <v>826</v>
      </c>
      <c r="C829" s="3" t="str">
        <f>IFERROR(__xludf.DUMMYFUNCTION("GOOGLETRANSLATE(B829,""id"",""en"")"),"['Good', 'lost', 'ama', 'smartfren', 'let', 'sympathy', 'rich', 'hole', 'ants',' signal ',' kaga ',' lag ']")</f>
        <v>['Good', 'lost', 'ama', 'smartfren', 'let', 'sympathy', 'rich', 'hole', 'ants',' signal ',' kaga ',' lag ']</v>
      </c>
      <c r="D829" s="3">
        <v>1.0</v>
      </c>
    </row>
    <row r="830" ht="15.75" customHeight="1">
      <c r="A830" s="1">
        <v>878.0</v>
      </c>
      <c r="B830" s="3" t="s">
        <v>827</v>
      </c>
      <c r="C830" s="3" t="str">
        <f>IFERROR(__xludf.DUMMYFUNCTION("GOOGLETRANSLATE(B830,""id"",""en"")"),"['lyingi', 'ama', 'package', 'zoom', 'mytelkomsel', 'dlm', 'description', 'minutes',' participant ',' reality ',' minute ',' die ',' Max ',' Participant ',' Disappointed ',' ']")</f>
        <v>['lyingi', 'ama', 'package', 'zoom', 'mytelkomsel', 'dlm', 'description', 'minutes',' participant ',' reality ',' minute ',' die ',' Max ',' Participant ',' Disappointed ',' ']</v>
      </c>
      <c r="D830" s="3">
        <v>1.0</v>
      </c>
    </row>
    <row r="831" ht="15.75" customHeight="1">
      <c r="A831" s="1">
        <v>879.0</v>
      </c>
      <c r="B831" s="3" t="s">
        <v>828</v>
      </c>
      <c r="C831" s="3" t="str">
        <f>IFERROR(__xludf.DUMMYFUNCTION("GOOGLETRANSLATE(B831,""id"",""en"")"),"['Application', 'Sangaaaaat', 'Kereen', 'Help']")</f>
        <v>['Application', 'Sangaaaaat', 'Kereen', 'Help']</v>
      </c>
      <c r="D831" s="3">
        <v>4.0</v>
      </c>
    </row>
    <row r="832" ht="15.75" customHeight="1">
      <c r="A832" s="1">
        <v>880.0</v>
      </c>
      <c r="B832" s="3" t="s">
        <v>829</v>
      </c>
      <c r="C832" s="3" t="str">
        <f>IFERROR(__xludf.DUMMYFUNCTION("GOOGLETRANSLATE(B832,""id"",""en"")"),"['Increase', 'quality', 'network', 'hope', 'network', 'remote', 'remote', ""]")</f>
        <v>['Increase', 'quality', 'network', 'hope', 'network', 'remote', 'remote', "]</v>
      </c>
      <c r="D832" s="3">
        <v>5.0</v>
      </c>
    </row>
    <row r="833" ht="15.75" customHeight="1">
      <c r="A833" s="1">
        <v>881.0</v>
      </c>
      <c r="B833" s="3" t="s">
        <v>830</v>
      </c>
      <c r="C833" s="3" t="str">
        <f>IFERROR(__xludf.DUMMYFUNCTION("GOOGLETRANSLATE(B833,""id"",""en"")"),"['Please', 'Telkomsel', 'Fill', 'Credit', 'Rb', 'Enter', 'Buy', 'Indomaret', 'Written', 'receipt', 'fill', 'pulse', ' RB ',' INDOMARET ',' Indomaret ',' Telkomsel ',' Corruption ',' Please ',' Thursday ',' DEC ', ""]")</f>
        <v>['Please', 'Telkomsel', 'Fill', 'Credit', 'Rb', 'Enter', 'Buy', 'Indomaret', 'Written', 'receipt', 'fill', 'pulse', ' RB ',' INDOMARET ',' Indomaret ',' Telkomsel ',' Corruption ',' Please ',' Thursday ',' DEC ', "]</v>
      </c>
      <c r="D833" s="3">
        <v>1.0</v>
      </c>
    </row>
    <row r="834" ht="15.75" customHeight="1">
      <c r="A834" s="1">
        <v>882.0</v>
      </c>
      <c r="B834" s="3" t="s">
        <v>831</v>
      </c>
      <c r="C834" s="3" t="str">
        <f>IFERROR(__xludf.DUMMYFUNCTION("GOOGLETRANSLATE(B834,""id"",""en"")"),"['Hate', 'Login', 'Severe', 'Uda', 'Expensive', 'It's', 'Ribet', 'Ngepain', 'Error', 'WiFi', 'Provider']")</f>
        <v>['Hate', 'Login', 'Severe', 'Uda', 'Expensive', 'It's', 'Ribet', 'Ngepain', 'Error', 'WiFi', 'Provider']</v>
      </c>
      <c r="D834" s="3">
        <v>1.0</v>
      </c>
    </row>
    <row r="835" ht="15.75" customHeight="1">
      <c r="A835" s="1">
        <v>883.0</v>
      </c>
      <c r="B835" s="3" t="s">
        <v>832</v>
      </c>
      <c r="C835" s="3" t="str">
        <f>IFERROR(__xludf.DUMMYFUNCTION("GOOGLETRANSLATE(B835,""id"",""en"")"),"['', 'Internet packages']")</f>
        <v>['', 'Internet packages']</v>
      </c>
      <c r="D835" s="3">
        <v>5.0</v>
      </c>
    </row>
    <row r="836" ht="15.75" customHeight="1">
      <c r="A836" s="1">
        <v>884.0</v>
      </c>
      <c r="B836" s="3" t="s">
        <v>833</v>
      </c>
      <c r="C836" s="3" t="str">
        <f>IFERROR(__xludf.DUMMYFUNCTION("GOOGLETRANSLATE(B836,""id"",""en"")"),"['ugly', 'ugly', 'APK', 'buy', 'quota', 'GB', 'RB', 'update', 'buy', 'network', 'smooth', 'Please', ' repaired ',' in the future ']")</f>
        <v>['ugly', 'ugly', 'APK', 'buy', 'quota', 'GB', 'RB', 'update', 'buy', 'network', 'smooth', 'Please', ' repaired ',' in the future ']</v>
      </c>
      <c r="D836" s="3">
        <v>1.0</v>
      </c>
    </row>
    <row r="837" ht="15.75" customHeight="1">
      <c r="A837" s="1">
        <v>885.0</v>
      </c>
      <c r="B837" s="3" t="s">
        <v>834</v>
      </c>
      <c r="C837" s="3" t="str">
        <f>IFERROR(__xludf.DUMMYFUNCTION("GOOGLETRANSLATE(B837,""id"",""en"")"),"['', 'Telkom', 'GMANA', 'Calculates', 'Package', 'Data', '']")</f>
        <v>['', 'Telkom', 'GMANA', 'Calculates', 'Package', 'Data', '']</v>
      </c>
      <c r="D837" s="3">
        <v>1.0</v>
      </c>
    </row>
    <row r="838" ht="15.75" customHeight="1">
      <c r="A838" s="1">
        <v>886.0</v>
      </c>
      <c r="B838" s="3" t="s">
        <v>835</v>
      </c>
      <c r="C838" s="3" t="str">
        <f>IFERROR(__xludf.DUMMYFUNCTION("GOOGLETRANSLATE(B838,""id"",""en"")"),"['price', 'buy', 'expensive', 'NOT', 'Cheap', 'Telkomsel', 'friendly', 'price', 'package', 'data', ""]")</f>
        <v>['price', 'buy', 'expensive', 'NOT', 'Cheap', 'Telkomsel', 'friendly', 'price', 'package', 'data', "]</v>
      </c>
      <c r="D838" s="3">
        <v>1.0</v>
      </c>
    </row>
    <row r="839" ht="15.75" customHeight="1">
      <c r="A839" s="1">
        <v>887.0</v>
      </c>
      <c r="B839" s="3" t="s">
        <v>478</v>
      </c>
      <c r="C839" s="3" t="str">
        <f>IFERROR(__xludf.DUMMYFUNCTION("GOOGLETRANSLATE(B839,""id"",""en"")"),"Of course")</f>
        <v>Of course</v>
      </c>
      <c r="D839" s="3">
        <v>5.0</v>
      </c>
    </row>
    <row r="840" ht="15.75" customHeight="1">
      <c r="A840" s="1">
        <v>888.0</v>
      </c>
      <c r="B840" s="3" t="s">
        <v>836</v>
      </c>
      <c r="C840" s="3" t="str">
        <f>IFERROR(__xludf.DUMMYFUNCTION("GOOGLETRANSLATE(B840,""id"",""en"")"),"['Play', 'Cut', 'pulse', 'job']")</f>
        <v>['Play', 'Cut', 'pulse', 'job']</v>
      </c>
      <c r="D840" s="3">
        <v>1.0</v>
      </c>
    </row>
    <row r="841" ht="15.75" customHeight="1">
      <c r="A841" s="1">
        <v>889.0</v>
      </c>
      <c r="B841" s="3" t="s">
        <v>478</v>
      </c>
      <c r="C841" s="3" t="str">
        <f>IFERROR(__xludf.DUMMYFUNCTION("GOOGLETRANSLATE(B841,""id"",""en"")"),"Of course")</f>
        <v>Of course</v>
      </c>
      <c r="D841" s="3">
        <v>3.0</v>
      </c>
    </row>
    <row r="842" ht="15.75" customHeight="1">
      <c r="A842" s="1">
        <v>890.0</v>
      </c>
      <c r="B842" s="3" t="s">
        <v>837</v>
      </c>
      <c r="C842" s="3" t="str">
        <f>IFERROR(__xludf.DUMMYFUNCTION("GOOGLETRANSLATE(B842,""id"",""en"")"),"['easy', 'buy', 'package']")</f>
        <v>['easy', 'buy', 'package']</v>
      </c>
      <c r="D842" s="3">
        <v>5.0</v>
      </c>
    </row>
    <row r="843" ht="15.75" customHeight="1">
      <c r="A843" s="1">
        <v>892.0</v>
      </c>
      <c r="B843" s="3" t="s">
        <v>838</v>
      </c>
      <c r="C843" s="3" t="str">
        <f>IFERROR(__xludf.DUMMYFUNCTION("GOOGLETRANSLATE(B843,""id"",""en"")"),"['signal', 'difficult', 'Lemottt', 'Open', 'Application', 'Telkomsel', 'Error', 'Must', 'Remnant', 'Credit', 'Lost', 'Samasekali', ' ']")</f>
        <v>['signal', 'difficult', 'Lemottt', 'Open', 'Application', 'Telkomsel', 'Error', 'Must', 'Remnant', 'Credit', 'Lost', 'Samasekali', ' ']</v>
      </c>
      <c r="D843" s="3">
        <v>1.0</v>
      </c>
    </row>
    <row r="844" ht="15.75" customHeight="1">
      <c r="A844" s="1">
        <v>893.0</v>
      </c>
      <c r="B844" s="3" t="s">
        <v>839</v>
      </c>
      <c r="C844" s="3" t="str">
        <f>IFERROR(__xludf.DUMMYFUNCTION("GOOGLETRANSLATE(B844,""id"",""en"")"),"['Network', 'knp', 'slow', 'Gosh', 'Doang', 'Loading', 'Kersias', 'Hadeh']")</f>
        <v>['Network', 'knp', 'slow', 'Gosh', 'Doang', 'Loading', 'Kersias', 'Hadeh']</v>
      </c>
      <c r="D844" s="3">
        <v>1.0</v>
      </c>
    </row>
    <row r="845" ht="15.75" customHeight="1">
      <c r="A845" s="1">
        <v>894.0</v>
      </c>
      <c r="B845" s="3" t="s">
        <v>840</v>
      </c>
      <c r="C845" s="3" t="str">
        <f>IFERROR(__xludf.DUMMYFUNCTION("GOOGLETRANSLATE(B845,""id"",""en"")"),"['signal', 'Telkomsel', 'Rokanhulu', 'Riau', 'resembles', 'banana', 'fried', 'drifting', 'river', 'rod', 'hubuh', ""]")</f>
        <v>['signal', 'Telkomsel', 'Rokanhulu', 'Riau', 'resembles', 'banana', 'fried', 'drifting', 'river', 'rod', 'hubuh', "]</v>
      </c>
      <c r="D845" s="3">
        <v>2.0</v>
      </c>
    </row>
    <row r="846" ht="15.75" customHeight="1">
      <c r="A846" s="1">
        <v>895.0</v>
      </c>
      <c r="B846" s="3" t="s">
        <v>841</v>
      </c>
      <c r="C846" s="3" t="str">
        <f>IFERROR(__xludf.DUMMYFUNCTION("GOOGLETRANSLATE(B846,""id"",""en"")"),"['TOT', 'signal', 'weak', 'bad', 'signal', 'missile', 'regret', 'buy', 'Telkomsel', 'times', 'buy']")</f>
        <v>['TOT', 'signal', 'weak', 'bad', 'signal', 'missile', 'regret', 'buy', 'Telkomsel', 'times', 'buy']</v>
      </c>
      <c r="D846" s="3">
        <v>1.0</v>
      </c>
    </row>
    <row r="847" ht="15.75" customHeight="1">
      <c r="A847" s="1">
        <v>896.0</v>
      </c>
      <c r="B847" s="3" t="s">
        <v>842</v>
      </c>
      <c r="C847" s="3" t="str">
        <f>IFERROR(__xludf.DUMMYFUNCTION("GOOGLETRANSLATE(B847,""id"",""en"")"),"['network', 'internet', 'obstacles', 'quota', 'expensive', 'signal', 'good', 'expensive', 'doang', 'network', 'pulp']")</f>
        <v>['network', 'internet', 'obstacles', 'quota', 'expensive', 'signal', 'good', 'expensive', 'doang', 'network', 'pulp']</v>
      </c>
      <c r="D847" s="3">
        <v>1.0</v>
      </c>
    </row>
    <row r="848" ht="15.75" customHeight="1">
      <c r="A848" s="1">
        <v>897.0</v>
      </c>
      <c r="B848" s="3" t="s">
        <v>843</v>
      </c>
      <c r="C848" s="3" t="str">
        <f>IFERROR(__xludf.DUMMYFUNCTION("GOOGLETRANSLATE(B848,""id"",""en"")"),"['Signal', 'Worse', 'Ngak', 'Ngilk', 'Signal', 'Down', 'Ngak', 'Please', 'Telkomsel', 'Improvement', 'Maximum', 'Sustainable', ' His consistency ']")</f>
        <v>['Signal', 'Worse', 'Ngak', 'Ngilk', 'Signal', 'Down', 'Ngak', 'Please', 'Telkomsel', 'Improvement', 'Maximum', 'Sustainable', ' His consistency ']</v>
      </c>
      <c r="D848" s="3">
        <v>1.0</v>
      </c>
    </row>
    <row r="849" ht="15.75" customHeight="1">
      <c r="A849" s="1">
        <v>898.0</v>
      </c>
      <c r="B849" s="3" t="s">
        <v>844</v>
      </c>
      <c r="C849" s="3" t="str">
        <f>IFERROR(__xludf.DUMMYFUNCTION("GOOGLETRANSLATE(B849,""id"",""en"")"),"['application', 'make it difficult', 'life', 'customer', 'tsel', 'choice', 'package', 'discount', 'promo', 'exchange', 'point', 'cut', ' pulses', 'admit', 'network', 'top', 'markotop', 'price', 'package', 'data', 'folding', 'operator', 'next door', '']")</f>
        <v>['application', 'make it difficult', 'life', 'customer', 'tsel', 'choice', 'package', 'discount', 'promo', 'exchange', 'point', 'cut', ' pulses', 'admit', 'network', 'top', 'markotop', 'price', 'package', 'data', 'folding', 'operator', 'next door', '']</v>
      </c>
      <c r="D849" s="3">
        <v>1.0</v>
      </c>
    </row>
    <row r="850" ht="15.75" customHeight="1">
      <c r="A850" s="1">
        <v>899.0</v>
      </c>
      <c r="B850" s="3" t="s">
        <v>845</v>
      </c>
      <c r="C850" s="3" t="str">
        <f>IFERROR(__xludf.DUMMYFUNCTION("GOOGLETRANSLATE(B850,""id"",""en"")"),"['Telkomsel', 'pepek', 'expensive', 'anjenggg', 'dikesa', 'kontolll']")</f>
        <v>['Telkomsel', 'pepek', 'expensive', 'anjenggg', 'dikesa', 'kontolll']</v>
      </c>
      <c r="D850" s="3">
        <v>1.0</v>
      </c>
    </row>
    <row r="851" ht="15.75" customHeight="1">
      <c r="A851" s="1">
        <v>900.0</v>
      </c>
      <c r="B851" s="3" t="s">
        <v>846</v>
      </c>
      <c r="C851" s="3" t="str">
        <f>IFERROR(__xludf.DUMMYFUNCTION("GOOGLETRANSLATE(B851,""id"",""en"")"),"['application', 'good']")</f>
        <v>['application', 'good']</v>
      </c>
      <c r="D851" s="3">
        <v>5.0</v>
      </c>
    </row>
    <row r="852" ht="15.75" customHeight="1">
      <c r="A852" s="1">
        <v>901.0</v>
      </c>
      <c r="B852" s="3" t="s">
        <v>847</v>
      </c>
      <c r="C852" s="3" t="str">
        <f>IFERROR(__xludf.DUMMYFUNCTION("GOOGLETRANSLATE(B852,""id"",""en"")"),"['knp', 'borrow', 'data', 'quota', 'byk', 'disappointed', 'kayak', 'intentionally', 'appears',' screen ',' ad ',' deliberate ',' Click ',' Contents', 'Credit', 'Next', 'get', 'Cut', 'Love', ""]")</f>
        <v>['knp', 'borrow', 'data', 'quota', 'byk', 'disappointed', 'kayak', 'intentionally', 'appears',' screen ',' ad ',' deliberate ',' Click ',' Contents', 'Credit', 'Next', 'get', 'Cut', 'Love', "]</v>
      </c>
      <c r="D852" s="3">
        <v>1.0</v>
      </c>
    </row>
    <row r="853" ht="15.75" customHeight="1">
      <c r="A853" s="1">
        <v>902.0</v>
      </c>
      <c r="B853" s="3" t="s">
        <v>848</v>
      </c>
      <c r="C853" s="3" t="str">
        <f>IFERROR(__xludf.DUMMYFUNCTION("GOOGLETRANSLATE(B853,""id"",""en"")"),"['Najis',' I ',' PKE ',' sympathy ',' yrs', 'good', 'network', 'skrng', 'network', 'dilapidated', 'bogor', 'bubulak', ' network ',' sometimes', 'then', 'quota', 'leftover', 'GB', 'UDH', 'slow', 'provider', 'sblah', 'good', 'inu', 'sympathy' , 'yrs', 'dila"&amp;"pidated', 'replace', 'pke', 'sblah', 'unclean', 'sympathy', 'network', 'dilapok']")</f>
        <v>['Najis',' I ',' PKE ',' sympathy ',' yrs', 'good', 'network', 'skrng', 'network', 'dilapidated', 'bogor', 'bubulak', ' network ',' sometimes', 'then', 'quota', 'leftover', 'GB', 'UDH', 'slow', 'provider', 'sblah', 'good', 'inu', 'sympathy' , 'yrs', 'dilapidated', 'replace', 'pke', 'sblah', 'unclean', 'sympathy', 'network', 'dilapok']</v>
      </c>
      <c r="D853" s="3">
        <v>1.0</v>
      </c>
    </row>
    <row r="854" ht="15.75" customHeight="1">
      <c r="A854" s="1">
        <v>903.0</v>
      </c>
      <c r="B854" s="3" t="s">
        <v>849</v>
      </c>
      <c r="C854" s="3" t="str">
        <f>IFERROR(__xludf.DUMMYFUNCTION("GOOGLETRANSLATE(B854,""id"",""en"")"),"['price', 'quota', 'expensive', 'package', 'thousand', 'signal', 'threat', 'plate', 'red', 'emang', 'right', ""]")</f>
        <v>['price', 'quota', 'expensive', 'package', 'thousand', 'signal', 'threat', 'plate', 'red', 'emang', 'right', "]</v>
      </c>
      <c r="D854" s="3">
        <v>1.0</v>
      </c>
    </row>
    <row r="855" ht="15.75" customHeight="1">
      <c r="A855" s="1">
        <v>904.0</v>
      </c>
      <c r="B855" s="3" t="s">
        <v>850</v>
      </c>
      <c r="C855" s="3" t="str">
        <f>IFERROR(__xludf.DUMMYFUNCTION("GOOGLETRANSLATE(B855,""id"",""en"")"),"['Good', 'Baget', 'Applks', '']")</f>
        <v>['Good', 'Baget', 'Applks', '']</v>
      </c>
      <c r="D855" s="3">
        <v>5.0</v>
      </c>
    </row>
    <row r="856" ht="15.75" customHeight="1">
      <c r="A856" s="1">
        <v>905.0</v>
      </c>
      <c r="B856" s="3" t="s">
        <v>851</v>
      </c>
      <c r="C856" s="3" t="str">
        <f>IFERROR(__xludf.DUMMYFUNCTION("GOOGLETRANSLATE(B856,""id"",""en"")"),"['Morning', 'Ngactivein', 'Package', 'YouTube', 'Connected', 'YouTube', 'Try', 'Complaint', 'Veronika', 'Forgiveness',' Raying ',' Really ',' Telkomsel ',' complain ',' difficult ',' signal ',' ugly ',' auto ',' waste ',' simcard ',' app ',' ']")</f>
        <v>['Morning', 'Ngactivein', 'Package', 'YouTube', 'Connected', 'YouTube', 'Try', 'Complaint', 'Veronika', 'Forgiveness',' Raying ',' Really ',' Telkomsel ',' complain ',' difficult ',' signal ',' ugly ',' auto ',' waste ',' simcard ',' app ',' ']</v>
      </c>
      <c r="D856" s="3">
        <v>1.0</v>
      </c>
    </row>
    <row r="857" ht="15.75" customHeight="1">
      <c r="A857" s="1">
        <v>906.0</v>
      </c>
      <c r="B857" s="3" t="s">
        <v>852</v>
      </c>
      <c r="C857" s="3" t="str">
        <f>IFERROR(__xludf.DUMMYFUNCTION("GOOGLETRANSLATE(B857,""id"",""en"")"),"['Okay', 'Bangat', 'Wherever', 'Position', 'Increase', 'Performance']")</f>
        <v>['Okay', 'Bangat', 'Wherever', 'Position', 'Increase', 'Performance']</v>
      </c>
      <c r="D857" s="3">
        <v>5.0</v>
      </c>
    </row>
    <row r="858" ht="15.75" customHeight="1">
      <c r="A858" s="1">
        <v>907.0</v>
      </c>
      <c r="B858" s="3" t="s">
        <v>853</v>
      </c>
      <c r="C858" s="3" t="str">
        <f>IFERROR(__xludf.DUMMYFUNCTION("GOOGLETRANSLATE(B858,""id"",""en"")"),"['difficult', 'enter', 'application', 'failed', 'uninstall', 'application', 'download', 'times',' enter ',' fail ',' repeat ',' install ',' repeat', '']")</f>
        <v>['difficult', 'enter', 'application', 'failed', 'uninstall', 'application', 'download', 'times',' enter ',' fail ',' repeat ',' install ',' repeat', '']</v>
      </c>
      <c r="D858" s="3">
        <v>1.0</v>
      </c>
    </row>
    <row r="859" ht="15.75" customHeight="1">
      <c r="A859" s="1">
        <v>908.0</v>
      </c>
      <c r="B859" s="3" t="s">
        <v>854</v>
      </c>
      <c r="C859" s="3" t="str">
        <f>IFERROR(__xludf.DUMMYFUNCTION("GOOGLETRANSLATE(B859,""id"",""en"")"),"['Move', 'Network', 'Telkomsel', 'lag']")</f>
        <v>['Move', 'Network', 'Telkomsel', 'lag']</v>
      </c>
      <c r="D859" s="3">
        <v>1.0</v>
      </c>
    </row>
    <row r="860" ht="15.75" customHeight="1">
      <c r="A860" s="1">
        <v>909.0</v>
      </c>
      <c r="B860" s="3" t="s">
        <v>855</v>
      </c>
      <c r="C860" s="3" t="str">
        <f>IFERROR(__xludf.DUMMYFUNCTION("GOOGLETRANSLATE(B860,""id"",""en"")"),"['A Week', 'Blank', 'Blank', 'Uda', 'Clearchace', 'Delete', 'Data', 'Reinstall', 'Msh', 'Blank', 'Hadehhh', ""]")</f>
        <v>['A Week', 'Blank', 'Blank', 'Uda', 'Clearchace', 'Delete', 'Data', 'Reinstall', 'Msh', 'Blank', 'Hadehhh', "]</v>
      </c>
      <c r="D860" s="3">
        <v>3.0</v>
      </c>
    </row>
    <row r="861" ht="15.75" customHeight="1">
      <c r="A861" s="1">
        <v>910.0</v>
      </c>
      <c r="B861" s="3" t="s">
        <v>856</v>
      </c>
      <c r="C861" s="3" t="str">
        <f>IFERROR(__xludf.DUMMYFUNCTION("GOOGLETRANSLATE(B861,""id"",""en"")"),"['Satisfied', 'disappointed', 'internet', 'missing']")</f>
        <v>['Satisfied', 'disappointed', 'internet', 'missing']</v>
      </c>
      <c r="D861" s="3">
        <v>5.0</v>
      </c>
    </row>
    <row r="862" ht="15.75" customHeight="1">
      <c r="A862" s="1">
        <v>912.0</v>
      </c>
      <c r="B862" s="3" t="s">
        <v>857</v>
      </c>
      <c r="C862" s="3" t="str">
        <f>IFERROR(__xludf.DUMMYFUNCTION("GOOGLETRANSLATE(B862,""id"",""en"")"),"['Telkomsel', 'king', 'signal', '']")</f>
        <v>['Telkomsel', 'king', 'signal', '']</v>
      </c>
      <c r="D862" s="3">
        <v>5.0</v>
      </c>
    </row>
    <row r="863" ht="15.75" customHeight="1">
      <c r="A863" s="1">
        <v>913.0</v>
      </c>
      <c r="B863" s="3" t="s">
        <v>858</v>
      </c>
      <c r="C863" s="3" t="str">
        <f>IFERROR(__xludf.DUMMYFUNCTION("GOOGLETRANSLATE(B863,""id"",""en"")"),"['ugly', 'bad', 'bkin', 'error', 'msk', 'buy', 'pulse', 'app', 'telkomsel', 'nggk', 'enter', 'pulse', ' payment ',' already ',' clear ',' gmn ',' mksd ',' please ',' really ',' lgi ',' ']")</f>
        <v>['ugly', 'bad', 'bkin', 'error', 'msk', 'buy', 'pulse', 'app', 'telkomsel', 'nggk', 'enter', 'pulse', ' payment ',' already ',' clear ',' gmn ',' mksd ',' please ',' really ',' lgi ',' ']</v>
      </c>
      <c r="D863" s="3">
        <v>2.0</v>
      </c>
    </row>
    <row r="864" ht="15.75" customHeight="1">
      <c r="A864" s="1">
        <v>914.0</v>
      </c>
      <c r="B864" s="3" t="s">
        <v>859</v>
      </c>
      <c r="C864" s="3" t="str">
        <f>IFERROR(__xludf.DUMMYFUNCTION("GOOGLETRANSLATE(B864,""id"",""en"")"),"['help', '']")</f>
        <v>['help', '']</v>
      </c>
      <c r="D864" s="3">
        <v>5.0</v>
      </c>
    </row>
    <row r="865" ht="15.75" customHeight="1">
      <c r="A865" s="1">
        <v>915.0</v>
      </c>
      <c r="B865" s="3" t="s">
        <v>860</v>
      </c>
      <c r="C865" s="3" t="str">
        <f>IFERROR(__xludf.DUMMYFUNCTION("GOOGLETRANSLATE(B865,""id"",""en"")"),"['repair']")</f>
        <v>['repair']</v>
      </c>
      <c r="D865" s="3">
        <v>5.0</v>
      </c>
    </row>
    <row r="866" ht="15.75" customHeight="1">
      <c r="A866" s="1">
        <v>916.0</v>
      </c>
      <c r="B866" s="3" t="s">
        <v>861</v>
      </c>
      <c r="C866" s="3" t="str">
        <f>IFERROR(__xludf.DUMMYFUNCTION("GOOGLETRANSLATE(B866,""id"",""en"")"),"['Like', 'Telkomsel', '']")</f>
        <v>['Like', 'Telkomsel', '']</v>
      </c>
      <c r="D866" s="3">
        <v>5.0</v>
      </c>
    </row>
    <row r="867" ht="15.75" customHeight="1">
      <c r="A867" s="1">
        <v>917.0</v>
      </c>
      <c r="B867" s="3" t="s">
        <v>862</v>
      </c>
      <c r="C867" s="3" t="str">
        <f>IFERROR(__xludf.DUMMYFUNCTION("GOOGLETRANSLATE(B867,""id"",""en"")"),"['ISIIN', 'Package', 'TELKOM', 'RIBED', 'BGTT', 'UDH', 'ISI', 'Credit', 'TPI', 'Mncul', 'Message', 'Credit', ' sufficient ',' bug ',' tlong ',' udh ',' expensive ',' wasteful ',' slow ',' network ',' laden ',' hadehh ']")</f>
        <v>['ISIIN', 'Package', 'TELKOM', 'RIBED', 'BGTT', 'UDH', 'ISI', 'Credit', 'TPI', 'Mncul', 'Message', 'Credit', ' sufficient ',' bug ',' tlong ',' udh ',' expensive ',' wasteful ',' slow ',' network ',' laden ',' hadehh ']</v>
      </c>
      <c r="D867" s="3">
        <v>1.0</v>
      </c>
    </row>
    <row r="868" ht="15.75" customHeight="1">
      <c r="A868" s="1">
        <v>918.0</v>
      </c>
      <c r="B868" s="3" t="s">
        <v>863</v>
      </c>
      <c r="C868" s="3" t="str">
        <f>IFERROR(__xludf.DUMMYFUNCTION("GOOGLETRANSLATE(B868,""id"",""en"")"),"['buy', 'package', 'Giganet', 'GB', 'price', 'network', 'in fact', 'slow', 'site', 'gambling', 'online', 'classify', ' Check ',' Network ',' boss', 'Ngepro', 'site', 'online', 'mang', 'work', 'professional', 'signal', 'broken', 'Lex', 'site' , 'account', "&amp;"'kluar', 'notification', 'skrng', 'buy', 'package', 'price', 'signal', 'soft', 'account', 'site', 'Lex', ' Fix ',' Laah ',' fans', 'sympathy', 'people', 'radical', '']")</f>
        <v>['buy', 'package', 'Giganet', 'GB', 'price', 'network', 'in fact', 'slow', 'site', 'gambling', 'online', 'classify', ' Check ',' Network ',' boss', 'Ngepro', 'site', 'online', 'mang', 'work', 'professional', 'signal', 'broken', 'Lex', 'site' , 'account', 'kluar', 'notification', 'skrng', 'buy', 'package', 'price', 'signal', 'soft', 'account', 'site', 'Lex', ' Fix ',' Laah ',' fans', 'sympathy', 'people', 'radical', '']</v>
      </c>
      <c r="D868" s="3">
        <v>1.0</v>
      </c>
    </row>
    <row r="869" ht="15.75" customHeight="1">
      <c r="A869" s="1">
        <v>919.0</v>
      </c>
      <c r="B869" s="3" t="s">
        <v>864</v>
      </c>
      <c r="C869" s="3" t="str">
        <f>IFERROR(__xludf.DUMMYFUNCTION("GOOGLETRANSLATE(B869,""id"",""en"")"),"['Login', 'best', 'network', 'slow', 'sometimes',' use ',' wifi ',' ngeleg ',' the application ',' open ',' emang ',' Telkomsel ',' disappointing', '']")</f>
        <v>['Login', 'best', 'network', 'slow', 'sometimes',' use ',' wifi ',' ngeleg ',' the application ',' open ',' emang ',' Telkomsel ',' disappointing', '']</v>
      </c>
      <c r="D869" s="3">
        <v>1.0</v>
      </c>
    </row>
    <row r="870" ht="15.75" customHeight="1">
      <c r="A870" s="1">
        <v>920.0</v>
      </c>
      <c r="B870" s="3" t="s">
        <v>865</v>
      </c>
      <c r="C870" s="3" t="str">
        <f>IFERROR(__xludf.DUMMYFUNCTION("GOOGLETRANSLATE(B870,""id"",""en"")"),"['Please', 'Telkom', 'Signal', 'Fix', 'Delicious', 'War', 'Network', 'Edge', 'Fuckaii', ""]")</f>
        <v>['Please', 'Telkom', 'Signal', 'Fix', 'Delicious', 'War', 'Network', 'Edge', 'Fuckaii', "]</v>
      </c>
      <c r="D870" s="3">
        <v>2.0</v>
      </c>
    </row>
    <row r="871" ht="15.75" customHeight="1">
      <c r="A871" s="1">
        <v>921.0</v>
      </c>
      <c r="B871" s="3" t="s">
        <v>866</v>
      </c>
      <c r="C871" s="3" t="str">
        <f>IFERROR(__xludf.DUMMYFUNCTION("GOOGLETRANSLATE(B871,""id"",""en"")"),"['internet', 'expensive', 'number', 'other', 'blm', 'changed', 'price']")</f>
        <v>['internet', 'expensive', 'number', 'other', 'blm', 'changed', 'price']</v>
      </c>
      <c r="D871" s="3">
        <v>3.0</v>
      </c>
    </row>
    <row r="872" ht="15.75" customHeight="1">
      <c r="A872" s="1">
        <v>923.0</v>
      </c>
      <c r="B872" s="3" t="s">
        <v>867</v>
      </c>
      <c r="C872" s="3" t="str">
        <f>IFERROR(__xludf.DUMMYFUNCTION("GOOGLETRANSLATE(B872,""id"",""en"")"),"['number', 'hijacked', 'person', 'WhatsApp', 'Telkomsel', 'please', 'improve', 'security', ""]")</f>
        <v>['number', 'hijacked', 'person', 'WhatsApp', 'Telkomsel', 'please', 'improve', 'security', "]</v>
      </c>
      <c r="D872" s="3">
        <v>1.0</v>
      </c>
    </row>
    <row r="873" ht="15.75" customHeight="1">
      <c r="A873" s="1">
        <v>924.0</v>
      </c>
      <c r="B873" s="3" t="s">
        <v>868</v>
      </c>
      <c r="C873" s="3" t="str">
        <f>IFERROR(__xludf.DUMMYFUNCTION("GOOGLETRANSLATE(B873,""id"",""en"")"),"['Increase', 'Quality', 'Network', 'Region']")</f>
        <v>['Increase', 'Quality', 'Network', 'Region']</v>
      </c>
      <c r="D873" s="3">
        <v>5.0</v>
      </c>
    </row>
    <row r="874" ht="15.75" customHeight="1">
      <c r="A874" s="1">
        <v>925.0</v>
      </c>
      <c r="B874" s="3" t="s">
        <v>869</v>
      </c>
      <c r="C874" s="3" t="str">
        <f>IFERROR(__xludf.DUMMYFUNCTION("GOOGLETRANSLATE(B874,""id"",""en"")"),"['buy', 'package', 'app', 'already', 'already', 'reset', 'install', 'kagak', 'ugly', 'really', 'app', 'service']")</f>
        <v>['buy', 'package', 'app', 'already', 'already', 'reset', 'install', 'kagak', 'ugly', 'really', 'app', 'service']</v>
      </c>
      <c r="D874" s="3">
        <v>1.0</v>
      </c>
    </row>
    <row r="875" ht="15.75" customHeight="1">
      <c r="A875" s="1">
        <v>926.0</v>
      </c>
      <c r="B875" s="3" t="s">
        <v>870</v>
      </c>
      <c r="C875" s="3" t="str">
        <f>IFERROR(__xludf.DUMMYFUNCTION("GOOGLETRANSLATE(B875,""id"",""en"")"),"['Steady', 'Increase', 'gartisan', 'quota']")</f>
        <v>['Steady', 'Increase', 'gartisan', 'quota']</v>
      </c>
      <c r="D875" s="3">
        <v>5.0</v>
      </c>
    </row>
    <row r="876" ht="15.75" customHeight="1">
      <c r="A876" s="1">
        <v>927.0</v>
      </c>
      <c r="B876" s="3" t="s">
        <v>871</v>
      </c>
      <c r="C876" s="3" t="str">
        <f>IFERROR(__xludf.DUMMYFUNCTION("GOOGLETRANSLATE(B876,""id"",""en"")"),"['Star', 'cave', 'love', 'star', 'ugly', 'Telkomsel', 'service', 'slow', 'response', 'package', 'cave', 'buy', ' morning ',' Sometimes', 'noon', 'entry', 'slow']")</f>
        <v>['Star', 'cave', 'love', 'star', 'ugly', 'Telkomsel', 'service', 'slow', 'response', 'package', 'cave', 'buy', ' morning ',' Sometimes', 'noon', 'entry', 'slow']</v>
      </c>
      <c r="D876" s="3">
        <v>1.0</v>
      </c>
    </row>
    <row r="877" ht="15.75" customHeight="1">
      <c r="A877" s="1">
        <v>929.0</v>
      </c>
      <c r="B877" s="3" t="s">
        <v>872</v>
      </c>
      <c r="C877" s="3" t="str">
        <f>IFERROR(__xludf.DUMMYFUNCTION("GOOGLETRANSLATE(B877,""id"",""en"")"),"['Pakat', 'Telkomsel', 'expensive', 'expensive']")</f>
        <v>['Pakat', 'Telkomsel', 'expensive', 'expensive']</v>
      </c>
      <c r="D877" s="3">
        <v>1.0</v>
      </c>
    </row>
    <row r="878" ht="15.75" customHeight="1">
      <c r="A878" s="1">
        <v>930.0</v>
      </c>
      <c r="B878" s="3" t="s">
        <v>873</v>
      </c>
      <c r="C878" s="3" t="str">
        <f>IFERROR(__xludf.DUMMYFUNCTION("GOOGLETRANSLATE(B878,""id"",""en"")"),"['easy', 'contents',' package ',' data ',' complicated ',' CRI ',' Counter ',' plsa ',' right ',' area ',' difficult ',' bngt ',' CRI ',' Telkomsel ',' Easy ',' oath ',' might ',' easy ',' ']")</f>
        <v>['easy', 'contents',' package ',' data ',' complicated ',' CRI ',' Counter ',' plsa ',' right ',' area ',' difficult ',' bngt ',' CRI ',' Telkomsel ',' Easy ',' oath ',' might ',' easy ',' ']</v>
      </c>
      <c r="D878" s="3">
        <v>5.0</v>
      </c>
    </row>
    <row r="879" ht="15.75" customHeight="1">
      <c r="A879" s="1">
        <v>931.0</v>
      </c>
      <c r="B879" s="3" t="s">
        <v>874</v>
      </c>
      <c r="C879" s="3" t="str">
        <f>IFERROR(__xludf.DUMMYFUNCTION("GOOGLETRANSLATE(B879,""id"",""en"")"),"['price', 'thousand', 'original', 'right', 'thousand', 'thousand', 'redunda', 'pulses', 'pass']")</f>
        <v>['price', 'thousand', 'original', 'right', 'thousand', 'thousand', 'redunda', 'pulses', 'pass']</v>
      </c>
      <c r="D879" s="3">
        <v>2.0</v>
      </c>
    </row>
    <row r="880" ht="15.75" customHeight="1">
      <c r="A880" s="1">
        <v>932.0</v>
      </c>
      <c r="B880" s="3" t="s">
        <v>875</v>
      </c>
      <c r="C880" s="3" t="str">
        <f>IFERROR(__xludf.DUMMYFUNCTION("GOOGLETRANSLATE(B880,""id"",""en"")"),"['Star', 'satisfying', 'Ntar', 'Addin', 'star']")</f>
        <v>['Star', 'satisfying', 'Ntar', 'Addin', 'star']</v>
      </c>
      <c r="D880" s="3">
        <v>3.0</v>
      </c>
    </row>
    <row r="881" ht="15.75" customHeight="1">
      <c r="A881" s="1">
        <v>933.0</v>
      </c>
      <c r="B881" s="3" t="s">
        <v>876</v>
      </c>
      <c r="C881" s="3" t="str">
        <f>IFERROR(__xludf.DUMMYFUNCTION("GOOGLETRANSLATE(B881,""id"",""en"")"),"['Merciful', 'Alhamdulillah']")</f>
        <v>['Merciful', 'Alhamdulillah']</v>
      </c>
      <c r="D881" s="3">
        <v>5.0</v>
      </c>
    </row>
    <row r="882" ht="15.75" customHeight="1">
      <c r="A882" s="1">
        <v>934.0</v>
      </c>
      <c r="B882" s="3" t="s">
        <v>877</v>
      </c>
      <c r="C882" s="3" t="str">
        <f>IFERROR(__xludf.DUMMYFUNCTION("GOOGLETRANSLATE(B882,""id"",""en"")"),"['Please', 'PERLUS', 'SMS', 'SMS', 'number', 'number', 'gambling', 'online', 'a day', 'SMS', 'enter', 'annoying']")</f>
        <v>['Please', 'PERLUS', 'SMS', 'SMS', 'number', 'number', 'gambling', 'online', 'a day', 'SMS', 'enter', 'annoying']</v>
      </c>
      <c r="D882" s="3">
        <v>1.0</v>
      </c>
    </row>
    <row r="883" ht="15.75" customHeight="1">
      <c r="A883" s="1">
        <v>935.0</v>
      </c>
      <c r="B883" s="3" t="s">
        <v>878</v>
      </c>
      <c r="C883" s="3" t="str">
        <f>IFERROR(__xludf.DUMMYFUNCTION("GOOGLETRANSLATE(B883,""id"",""en"")"),"['slow', 'purchase', 'package', 'internet', 'repeat', 'reset', 'purchase', 'pulse']")</f>
        <v>['slow', 'purchase', 'package', 'internet', 'repeat', 'reset', 'purchase', 'pulse']</v>
      </c>
      <c r="D883" s="3">
        <v>2.0</v>
      </c>
    </row>
    <row r="884" ht="15.75" customHeight="1">
      <c r="A884" s="1">
        <v>936.0</v>
      </c>
      <c r="B884" s="3" t="s">
        <v>879</v>
      </c>
      <c r="C884" s="3" t="str">
        <f>IFERROR(__xludf.DUMMYFUNCTION("GOOGLETRANSLATE(B884,""id"",""en"")"),"['subscribe', 'expensive', 'expensive', 'menu', 'nya', '']")</f>
        <v>['subscribe', 'expensive', 'expensive', 'menu', 'nya', '']</v>
      </c>
      <c r="D884" s="3">
        <v>3.0</v>
      </c>
    </row>
    <row r="885" ht="15.75" customHeight="1">
      <c r="A885" s="1">
        <v>937.0</v>
      </c>
      <c r="B885" s="3" t="s">
        <v>880</v>
      </c>
      <c r="C885" s="3" t="str">
        <f>IFERROR(__xludf.DUMMYFUNCTION("GOOGLETRANSLATE(B885,""id"",""en"")"),"['Delete', 'Kouta', 'Multimedia', 'Penakek', 'Useless', '']")</f>
        <v>['Delete', 'Kouta', 'Multimedia', 'Penakek', 'Useless', '']</v>
      </c>
      <c r="D885" s="3">
        <v>1.0</v>
      </c>
    </row>
    <row r="886" ht="15.75" customHeight="1">
      <c r="A886" s="1">
        <v>938.0</v>
      </c>
      <c r="B886" s="3" t="s">
        <v>881</v>
      </c>
      <c r="C886" s="3" t="str">
        <f>IFERROR(__xludf.DUMMYFUNCTION("GOOGLETRANSLATE(B886,""id"",""en"")"),"['Telkomsel', 'steady']")</f>
        <v>['Telkomsel', 'steady']</v>
      </c>
      <c r="D886" s="3">
        <v>5.0</v>
      </c>
    </row>
    <row r="887" ht="15.75" customHeight="1">
      <c r="A887" s="1">
        <v>939.0</v>
      </c>
      <c r="B887" s="3" t="s">
        <v>882</v>
      </c>
      <c r="C887" s="3" t="str">
        <f>IFERROR(__xludf.DUMMYFUNCTION("GOOGLETRANSLATE(B887,""id"",""en"")"),"['Alhamdulillah', 'Telkomsel', 'strong', 'signal', 'package', 'affordable', '']")</f>
        <v>['Alhamdulillah', 'Telkomsel', 'strong', 'signal', 'package', 'affordable', '']</v>
      </c>
      <c r="D887" s="3">
        <v>5.0</v>
      </c>
    </row>
    <row r="888" ht="15.75" customHeight="1">
      <c r="A888" s="1">
        <v>940.0</v>
      </c>
      <c r="B888" s="3" t="s">
        <v>883</v>
      </c>
      <c r="C888" s="3" t="str">
        <f>IFERROR(__xludf.DUMMYFUNCTION("GOOGLETRANSLATE(B888,""id"",""en"")"),"['Baguss', 'no', 'confused', 'simple']")</f>
        <v>['Baguss', 'no', 'confused', 'simple']</v>
      </c>
      <c r="D888" s="3">
        <v>3.0</v>
      </c>
    </row>
    <row r="889" ht="15.75" customHeight="1">
      <c r="A889" s="1">
        <v>941.0</v>
      </c>
      <c r="B889" s="3" t="s">
        <v>884</v>
      </c>
      <c r="C889" s="3" t="str">
        <f>IFERROR(__xludf.DUMMYFUNCTION("GOOGLETRANSLATE(B889,""id"",""en"")"),"['Paketannya', 'expensive']")</f>
        <v>['Paketannya', 'expensive']</v>
      </c>
      <c r="D889" s="3">
        <v>4.0</v>
      </c>
    </row>
    <row r="890" ht="15.75" customHeight="1">
      <c r="A890" s="1">
        <v>942.0</v>
      </c>
      <c r="B890" s="3" t="s">
        <v>885</v>
      </c>
      <c r="C890" s="3" t="str">
        <f>IFERROR(__xludf.DUMMYFUNCTION("GOOGLETRANSLATE(B890,""id"",""en"")"),"['Sorry', 'Morning', 'Receiving', 'Telephone', 'Make Up', 'Name', 'Contacts',' Center ',' Bid ',' Interesting ',' Data ',' Private ',' Privacy ',' Move ',' Name ',' Contacts', 'Center', 'Really', 'Fraud', 'Please', 'Enlightenment', 'responded']")</f>
        <v>['Sorry', 'Morning', 'Receiving', 'Telephone', 'Make Up', 'Name', 'Contacts',' Center ',' Bid ',' Interesting ',' Data ',' Private ',' Privacy ',' Move ',' Name ',' Contacts', 'Center', 'Really', 'Fraud', 'Please', 'Enlightenment', 'responded']</v>
      </c>
      <c r="D890" s="3">
        <v>5.0</v>
      </c>
    </row>
    <row r="891" ht="15.75" customHeight="1">
      <c r="A891" s="1">
        <v>945.0</v>
      </c>
      <c r="B891" s="3" t="s">
        <v>886</v>
      </c>
      <c r="C891" s="3" t="str">
        <f>IFERROR(__xludf.DUMMYFUNCTION("GOOGLETRANSLATE(B891,""id"",""en"")"),"['System', 'ugly', 'leftover', 'pulse', 'check', 'buy', 'package', 'internet', 'piece', 'pulse', 'told', 'contents',' reset ',' pulse ',' package ',' buy ',' harga ',' pulse ',' sorted ',' delete ',' apk ',' telkomsel ',' spend ',' quota ',' disappointed "&amp;"' , 'really', 'UDH', 'THN', 'USE', 'Telkomsel']")</f>
        <v>['System', 'ugly', 'leftover', 'pulse', 'check', 'buy', 'package', 'internet', 'piece', 'pulse', 'told', 'contents',' reset ',' pulse ',' package ',' buy ',' harga ',' pulse ',' sorted ',' delete ',' apk ',' telkomsel ',' spend ',' quota ',' disappointed ' , 'really', 'UDH', 'THN', 'USE', 'Telkomsel']</v>
      </c>
      <c r="D891" s="3">
        <v>1.0</v>
      </c>
    </row>
    <row r="892" ht="15.75" customHeight="1">
      <c r="A892" s="1">
        <v>946.0</v>
      </c>
      <c r="B892" s="3" t="s">
        <v>887</v>
      </c>
      <c r="C892" s="3" t="str">
        <f>IFERROR(__xludf.DUMMYFUNCTION("GOOGLETRANSLATE(B892,""id"",""en"")"),"['Disappointed', 'TELKOMSE', 'Kouta', 'Combo', 'Sakti', 'GB', 'Price', 'Mending', 'Move', 'Provider', 'Ajalah', 'Price', ' Kouta ',' expensive ',' network ',' ugly ',' really ']")</f>
        <v>['Disappointed', 'TELKOMSE', 'Kouta', 'Combo', 'Sakti', 'GB', 'Price', 'Mending', 'Move', 'Provider', 'Ajalah', 'Price', ' Kouta ',' expensive ',' network ',' ugly ',' really ']</v>
      </c>
      <c r="D892" s="3">
        <v>1.0</v>
      </c>
    </row>
    <row r="893" ht="15.75" customHeight="1">
      <c r="A893" s="1">
        <v>947.0</v>
      </c>
      <c r="B893" s="3" t="s">
        <v>888</v>
      </c>
      <c r="C893" s="3" t="str">
        <f>IFERROR(__xludf.DUMMYFUNCTION("GOOGLETRANSLATE(B893,""id"",""en"")"),"['apk', 'help', 'family']")</f>
        <v>['apk', 'help', 'family']</v>
      </c>
      <c r="D893" s="3">
        <v>4.0</v>
      </c>
    </row>
    <row r="894" ht="15.75" customHeight="1">
      <c r="A894" s="1">
        <v>948.0</v>
      </c>
      <c r="B894" s="3" t="s">
        <v>889</v>
      </c>
      <c r="C894" s="3" t="str">
        <f>IFERROR(__xludf.DUMMYFUNCTION("GOOGLETRANSLATE(B894,""id"",""en"")"),"['Telkomsel', 'signal', 'difficult', 'expensive', 'doang']")</f>
        <v>['Telkomsel', 'signal', 'difficult', 'expensive', 'doang']</v>
      </c>
      <c r="D894" s="3">
        <v>2.0</v>
      </c>
    </row>
    <row r="895" ht="15.75" customHeight="1">
      <c r="A895" s="1">
        <v>949.0</v>
      </c>
      <c r="B895" s="3" t="s">
        <v>890</v>
      </c>
      <c r="C895" s="3" t="str">
        <f>IFERROR(__xludf.DUMMYFUNCTION("GOOGLETRANSLATE(B895,""id"",""en"")"),"['already', 'buy', 'package', 'internet']")</f>
        <v>['already', 'buy', 'package', 'internet']</v>
      </c>
      <c r="D895" s="3">
        <v>2.0</v>
      </c>
    </row>
    <row r="896" ht="15.75" customHeight="1">
      <c r="A896" s="1">
        <v>950.0</v>
      </c>
      <c r="B896" s="3" t="s">
        <v>891</v>
      </c>
      <c r="C896" s="3" t="str">
        <f>IFERROR(__xludf.DUMMYFUNCTION("GOOGLETRANSLATE(B896,""id"",""en"")"),"['Telkomsel', 'mah', 'champion', '']")</f>
        <v>['Telkomsel', 'mah', 'champion', '']</v>
      </c>
      <c r="D896" s="3">
        <v>5.0</v>
      </c>
    </row>
    <row r="897" ht="15.75" customHeight="1">
      <c r="A897" s="1">
        <v>951.0</v>
      </c>
      <c r="B897" s="3" t="s">
        <v>892</v>
      </c>
      <c r="C897" s="3" t="str">
        <f>IFERROR(__xludf.DUMMYFUNCTION("GOOGLETRANSLATE(B897,""id"",""en"")"),"['Telkomsel', 'Heart', 'Please', 'Keep', 'Signal', 'Network', 'Internet', 'Comfortable', 'Use', 'Telkomsel', 'Network', 'Internet', ' Fix ',' Region ',' Good ',' Network ',' Internet ']")</f>
        <v>['Telkomsel', 'Heart', 'Please', 'Keep', 'Signal', 'Network', 'Internet', 'Comfortable', 'Use', 'Telkomsel', 'Network', 'Internet', ' Fix ',' Region ',' Good ',' Network ',' Internet ']</v>
      </c>
      <c r="D897" s="3">
        <v>5.0</v>
      </c>
    </row>
    <row r="898" ht="15.75" customHeight="1">
      <c r="A898" s="1">
        <v>952.0</v>
      </c>
      <c r="B898" s="3" t="s">
        <v>893</v>
      </c>
      <c r="C898" s="3" t="str">
        <f>IFERROR(__xludf.DUMMYFUNCTION("GOOGLETRANSLATE(B898,""id"",""en"")"),"['Please', 'area', 'pan', 'sub-district', 'cikedung', 'district', 'indramayu', 'signal', 'level', 'signal']")</f>
        <v>['Please', 'area', 'pan', 'sub-district', 'cikedung', 'district', 'indramayu', 'signal', 'level', 'signal']</v>
      </c>
      <c r="D898" s="3">
        <v>1.0</v>
      </c>
    </row>
    <row r="899" ht="15.75" customHeight="1">
      <c r="A899" s="1">
        <v>953.0</v>
      </c>
      <c r="B899" s="3" t="s">
        <v>894</v>
      </c>
      <c r="C899" s="3" t="str">
        <f>IFERROR(__xludf.DUMMYFUNCTION("GOOGLETRANSLATE(B899,""id"",""en"")"),"['Rating', 'service', 'bad', 'bot', 'solution']")</f>
        <v>['Rating', 'service', 'bad', 'bot', 'solution']</v>
      </c>
      <c r="D899" s="3">
        <v>1.0</v>
      </c>
    </row>
    <row r="900" ht="15.75" customHeight="1">
      <c r="A900" s="1">
        <v>954.0</v>
      </c>
      <c r="B900" s="3" t="s">
        <v>895</v>
      </c>
      <c r="C900" s="3" t="str">
        <f>IFERROR(__xludf.DUMMYFUNCTION("GOOGLETRANSLATE(B900,""id"",""en"")"),"['wood', 'inside', 'water', 'arising', 'tengelam', 'tissue', 'satisfying', 'personal']")</f>
        <v>['wood', 'inside', 'water', 'arising', 'tengelam', 'tissue', 'satisfying', 'personal']</v>
      </c>
      <c r="D900" s="3">
        <v>5.0</v>
      </c>
    </row>
    <row r="901" ht="15.75" customHeight="1">
      <c r="A901" s="1">
        <v>955.0</v>
      </c>
      <c r="B901" s="3" t="s">
        <v>896</v>
      </c>
      <c r="C901" s="3" t="str">
        <f>IFERROR(__xludf.DUMMYFUNCTION("GOOGLETRANSLATE(B901,""id"",""en"")"),"['Get', 'package', 'cheap', 'below', 'RB', 'card', 'TSL', 'already', 'discount', 'atwpun', 'what' see ',' Friends', 'package', 'cheap', 'cheap', 'get', 'a week', 'Jga', 'Lumyan', 'jealous',' taste ',' hope ',' listen ']")</f>
        <v>['Get', 'package', 'cheap', 'below', 'RB', 'card', 'TSL', 'already', 'discount', 'atwpun', 'what' see ',' Friends', 'package', 'cheap', 'cheap', 'get', 'a week', 'Jga', 'Lumyan', 'jealous',' taste ',' hope ',' listen ']</v>
      </c>
      <c r="D901" s="3">
        <v>1.0</v>
      </c>
    </row>
    <row r="902" ht="15.75" customHeight="1">
      <c r="A902" s="1">
        <v>956.0</v>
      </c>
      <c r="B902" s="3" t="s">
        <v>897</v>
      </c>
      <c r="C902" s="3" t="str">
        <f>IFERROR(__xludf.DUMMYFUNCTION("GOOGLETRANSLATE(B902,""id"",""en"")"),"['Threat', 'Network', 'Tsel', 'skrg', 'DMN', 'Ancurrrr', 'Ancurrrr', 'Ancurrrrr']")</f>
        <v>['Threat', 'Network', 'Tsel', 'skrg', 'DMN', 'Ancurrrr', 'Ancurrrr', 'Ancurrrrr']</v>
      </c>
      <c r="D902" s="3">
        <v>2.0</v>
      </c>
    </row>
    <row r="903" ht="15.75" customHeight="1">
      <c r="A903" s="1">
        <v>957.0</v>
      </c>
      <c r="B903" s="3" t="s">
        <v>898</v>
      </c>
      <c r="C903" s="3" t="str">
        <f>IFERROR(__xludf.DUMMYFUNCTION("GOOGLETRANSLATE(B903,""id"",""en"")"),"['Okay', 'pokonya']")</f>
        <v>['Okay', 'pokonya']</v>
      </c>
      <c r="D903" s="3">
        <v>5.0</v>
      </c>
    </row>
    <row r="904" ht="15.75" customHeight="1">
      <c r="A904" s="1">
        <v>958.0</v>
      </c>
      <c r="B904" s="3" t="s">
        <v>899</v>
      </c>
      <c r="C904" s="3" t="str">
        <f>IFERROR(__xludf.DUMMYFUNCTION("GOOGLETRANSLATE(B904,""id"",""en"")"),"['Increases', 'Network', 'Stable']")</f>
        <v>['Increases', 'Network', 'Stable']</v>
      </c>
      <c r="D904" s="3">
        <v>5.0</v>
      </c>
    </row>
    <row r="905" ht="15.75" customHeight="1">
      <c r="A905" s="1">
        <v>960.0</v>
      </c>
      <c r="B905" s="3" t="s">
        <v>900</v>
      </c>
      <c r="C905" s="3" t="str">
        <f>IFERROR(__xludf.DUMMYFUNCTION("GOOGLETRANSLATE(B905,""id"",""en"")"),"['The application', 'opened', 'already', 'times',' Install ',' reset ',' tetep ',' screen ',' white ',' how ',' Telkomsel ',' Prustasi ',' Bulak ',' Install ',' reset ']")</f>
        <v>['The application', 'opened', 'already', 'times',' Install ',' reset ',' tetep ',' screen ',' white ',' how ',' Telkomsel ',' Prustasi ',' Bulak ',' Install ',' reset ']</v>
      </c>
      <c r="D905" s="3">
        <v>3.0</v>
      </c>
    </row>
    <row r="906" ht="15.75" customHeight="1">
      <c r="A906" s="1">
        <v>961.0</v>
      </c>
      <c r="B906" s="3" t="s">
        <v>901</v>
      </c>
      <c r="C906" s="3" t="str">
        <f>IFERROR(__xludf.DUMMYFUNCTION("GOOGLETRANSLATE(B906,""id"",""en"")"),"['The essence', 'Disappointed', 'Moga', 'Telkomsel', 'Roll', 'Mat', 'Signal', 'Aduhhhh', 'No', 'Org', 'Destroyed', 'Gara', ' Signal ',' ']")</f>
        <v>['The essence', 'Disappointed', 'Moga', 'Telkomsel', 'Roll', 'Mat', 'Signal', 'Aduhhhh', 'No', 'Org', 'Destroyed', 'Gara', ' Signal ',' ']</v>
      </c>
      <c r="D906" s="3">
        <v>1.0</v>
      </c>
    </row>
    <row r="907" ht="15.75" customHeight="1">
      <c r="A907" s="1">
        <v>962.0</v>
      </c>
      <c r="B907" s="3" t="s">
        <v>902</v>
      </c>
      <c r="C907" s="3" t="str">
        <f>IFERROR(__xludf.DUMMYFUNCTION("GOOGLETRANSLATE(B907,""id"",""en"")"),"['Disappointed', 'Ngeluh', 'comment', 'kagak', 'already', 'nge', 'complaints',' mala ',' kyk ',' told ',' survey ',' people ',' Ask ',' the problem ',' network ',' difficult ',' mode ',' plane ',' solution ',' hadeh ',' change ',' propaider ',' kagak ',' "&amp;"card ']")</f>
        <v>['Disappointed', 'Ngeluh', 'comment', 'kagak', 'already', 'nge', 'complaints',' mala ',' kyk ',' told ',' survey ',' people ',' Ask ',' the problem ',' network ',' difficult ',' mode ',' plane ',' solution ',' hadeh ',' change ',' propaider ',' kagak ',' card ']</v>
      </c>
      <c r="D907" s="3">
        <v>1.0</v>
      </c>
    </row>
    <row r="908" ht="15.75" customHeight="1">
      <c r="A908" s="1">
        <v>963.0</v>
      </c>
      <c r="B908" s="3" t="s">
        <v>667</v>
      </c>
      <c r="C908" s="3" t="str">
        <f>IFERROR(__xludf.DUMMYFUNCTION("GOOGLETRANSLATE(B908,""id"",""en"")"),"['Application', 'Help', ""]")</f>
        <v>['Application', 'Help', "]</v>
      </c>
      <c r="D908" s="3">
        <v>5.0</v>
      </c>
    </row>
    <row r="909" ht="15.75" customHeight="1">
      <c r="A909" s="1">
        <v>965.0</v>
      </c>
      <c r="B909" s="3" t="s">
        <v>903</v>
      </c>
      <c r="C909" s="3" t="str">
        <f>IFERROR(__xludf.DUMMYFUNCTION("GOOGLETRANSLATE(B909,""id"",""en"")"),"['Kualtas', 'internet', 'dtngktkn', 'lgi', 'trimksh', '']")</f>
        <v>['Kualtas', 'internet', 'dtngktkn', 'lgi', 'trimksh', '']</v>
      </c>
      <c r="D909" s="3">
        <v>4.0</v>
      </c>
    </row>
    <row r="910" ht="15.75" customHeight="1">
      <c r="A910" s="1">
        <v>966.0</v>
      </c>
      <c r="B910" s="3" t="s">
        <v>904</v>
      </c>
      <c r="C910" s="3" t="str">
        <f>IFERROR(__xludf.DUMMYFUNCTION("GOOGLETRANSLATE(B910,""id"",""en"")"),"['Convenience']")</f>
        <v>['Convenience']</v>
      </c>
      <c r="D910" s="3">
        <v>5.0</v>
      </c>
    </row>
    <row r="911" ht="15.75" customHeight="1">
      <c r="A911" s="1">
        <v>968.0</v>
      </c>
      <c r="B911" s="3" t="s">
        <v>905</v>
      </c>
      <c r="C911" s="3" t="str">
        <f>IFERROR(__xludf.DUMMYFUNCTION("GOOGLETRANSLATE(B911,""id"",""en"")"),"['ugly', 'software', 'open', 'poor', 'expensive', 'doank', 'card']")</f>
        <v>['ugly', 'software', 'open', 'poor', 'expensive', 'doank', 'card']</v>
      </c>
      <c r="D911" s="3">
        <v>1.0</v>
      </c>
    </row>
    <row r="912" ht="15.75" customHeight="1">
      <c r="A912" s="1">
        <v>970.0</v>
      </c>
      <c r="B912" s="3" t="s">
        <v>906</v>
      </c>
      <c r="C912" s="3" t="str">
        <f>IFERROR(__xludf.DUMMYFUNCTION("GOOGLETRANSLATE(B912,""id"",""en"")"),"['Telkomsel', 'Dimply', 'Switch', 'Lho', 'Min', 'Java', 'Network', 'Telkomsel', 'Slow', 'Drastic', 'Ayoo', 'Fix', ' ']")</f>
        <v>['Telkomsel', 'Dimply', 'Switch', 'Lho', 'Min', 'Java', 'Network', 'Telkomsel', 'Slow', 'Drastic', 'Ayoo', 'Fix', ' ']</v>
      </c>
      <c r="D912" s="3">
        <v>5.0</v>
      </c>
    </row>
    <row r="913" ht="15.75" customHeight="1">
      <c r="A913" s="1">
        <v>971.0</v>
      </c>
      <c r="B913" s="3" t="s">
        <v>771</v>
      </c>
      <c r="C913" s="3" t="str">
        <f>IFERROR(__xludf.DUMMYFUNCTION("GOOGLETRANSLATE(B913,""id"",""en"")"),"['Good', 'application', '']")</f>
        <v>['Good', 'application', '']</v>
      </c>
      <c r="D913" s="3">
        <v>5.0</v>
      </c>
    </row>
    <row r="914" ht="15.75" customHeight="1">
      <c r="A914" s="1">
        <v>972.0</v>
      </c>
      <c r="B914" s="3" t="s">
        <v>907</v>
      </c>
      <c r="C914" s="3" t="str">
        <f>IFERROR(__xludf.DUMMYFUNCTION("GOOGLETRANSLATE(B914,""id"",""en"")"),"['Network', 'Palakkk', 'Package', 'Bali', 'Maha', 'Network', 'Palak', 'Juo', 'Lai', ""]")</f>
        <v>['Network', 'Palakkk', 'Package', 'Bali', 'Maha', 'Network', 'Palak', 'Juo', 'Lai', "]</v>
      </c>
      <c r="D914" s="3">
        <v>2.0</v>
      </c>
    </row>
    <row r="915" ht="15.75" customHeight="1">
      <c r="A915" s="1">
        <v>973.0</v>
      </c>
      <c r="B915" s="3" t="s">
        <v>908</v>
      </c>
      <c r="C915" s="3" t="str">
        <f>IFERROR(__xludf.DUMMYFUNCTION("GOOGLETRANSLATE(B915,""id"",""en"")"),"['', 'use', 'Samsung', 'App', 'Telkomsel', 'version', 'Latest', 'Open', 'Perngkat', '']")</f>
        <v>['', 'use', 'Samsung', 'App', 'Telkomsel', 'version', 'Latest', 'Open', 'Perngkat', '']</v>
      </c>
      <c r="D915" s="3">
        <v>4.0</v>
      </c>
    </row>
    <row r="916" ht="15.75" customHeight="1">
      <c r="A916" s="1">
        <v>974.0</v>
      </c>
      <c r="B916" s="3" t="s">
        <v>909</v>
      </c>
      <c r="C916" s="3" t="str">
        <f>IFERROR(__xludf.DUMMYFUNCTION("GOOGLETRANSLATE(B916,""id"",""en"")"),"['Package', 'Data', 'expensive']")</f>
        <v>['Package', 'Data', 'expensive']</v>
      </c>
      <c r="D916" s="3">
        <v>1.0</v>
      </c>
    </row>
    <row r="917" ht="15.75" customHeight="1">
      <c r="A917" s="1">
        <v>975.0</v>
      </c>
      <c r="B917" s="3" t="s">
        <v>910</v>
      </c>
      <c r="C917" s="3" t="str">
        <f>IFERROR(__xludf.DUMMYFUNCTION("GOOGLETRANSLATE(B917,""id"",""en"")"),"['already', 'Sunday', 'no', 'tuker', 'point', 'point', 'already', 'emergency', 'quota', 'until', 'until', 'borrow', ' Operators', 'RB', 'GB', 'please', 'quota', 'emergency', 'special', 'data', 'repairs',' exchange ',' Points', 'data']")</f>
        <v>['already', 'Sunday', 'no', 'tuker', 'point', 'point', 'already', 'emergency', 'quota', 'until', 'until', 'borrow', ' Operators', 'RB', 'GB', 'please', 'quota', 'emergency', 'special', 'data', 'repairs',' exchange ',' Points', 'data']</v>
      </c>
      <c r="D917" s="3">
        <v>3.0</v>
      </c>
    </row>
    <row r="918" ht="15.75" customHeight="1">
      <c r="A918" s="1">
        <v>976.0</v>
      </c>
      <c r="B918" s="3" t="s">
        <v>911</v>
      </c>
      <c r="C918" s="3" t="str">
        <f>IFERROR(__xludf.DUMMYFUNCTION("GOOGLETRANSLATE(B918,""id"",""en"")"),"['Update', 'opened', 'repaired', 'the application', 'problematic']")</f>
        <v>['Update', 'opened', 'repaired', 'the application', 'problematic']</v>
      </c>
      <c r="D918" s="3">
        <v>1.0</v>
      </c>
    </row>
    <row r="919" ht="15.75" customHeight="1">
      <c r="A919" s="1">
        <v>977.0</v>
      </c>
      <c r="B919" s="3" t="s">
        <v>912</v>
      </c>
      <c r="C919" s="3" t="str">
        <f>IFERROR(__xludf.DUMMYFUNCTION("GOOGLETRANSLATE(B919,""id"",""en"")"),"['Practical', 'contents', 'reset', 'pulse', 'package', 'data']")</f>
        <v>['Practical', 'contents', 'reset', 'pulse', 'package', 'data']</v>
      </c>
      <c r="D919" s="3">
        <v>5.0</v>
      </c>
    </row>
    <row r="920" ht="15.75" customHeight="1">
      <c r="A920" s="1">
        <v>978.0</v>
      </c>
      <c r="B920" s="3" t="s">
        <v>913</v>
      </c>
      <c r="C920" s="3" t="str">
        <f>IFERROR(__xludf.DUMMYFUNCTION("GOOGLETRANSLATE(B920,""id"",""en"")"),"['application', 'supports', 'activity', 'sell', 'information', 'wrong']")</f>
        <v>['application', 'supports', 'activity', 'sell', 'information', 'wrong']</v>
      </c>
      <c r="D920" s="3">
        <v>4.0</v>
      </c>
    </row>
    <row r="921" ht="15.75" customHeight="1">
      <c r="A921" s="1">
        <v>979.0</v>
      </c>
      <c r="B921" s="3" t="s">
        <v>914</v>
      </c>
      <c r="C921" s="3" t="str">
        <f>IFERROR(__xludf.DUMMYFUNCTION("GOOGLETRANSLATE(B921,""id"",""en"")"),"['complaints', 'buy', 'credit', 'Telkomsel', 'times', 'enter', 'missing']")</f>
        <v>['complaints', 'buy', 'credit', 'Telkomsel', 'times', 'enter', 'missing']</v>
      </c>
      <c r="D921" s="3">
        <v>1.0</v>
      </c>
    </row>
    <row r="922" ht="15.75" customHeight="1">
      <c r="A922" s="1">
        <v>980.0</v>
      </c>
      <c r="B922" s="3" t="s">
        <v>915</v>
      </c>
      <c r="C922" s="3" t="str">
        <f>IFERROR(__xludf.DUMMYFUNCTION("GOOGLETRANSLATE(B922,""id"",""en"")"),"['strange', 'class',' Telkomsel ',' the application ',' slow ',' Amet ',' entry ',' page ',' loading ',' Amet ',' Severe ',' Severe ',' ']")</f>
        <v>['strange', 'class',' Telkomsel ',' the application ',' slow ',' Amet ',' entry ',' page ',' loading ',' Amet ',' Severe ',' Severe ',' ']</v>
      </c>
      <c r="D922" s="3">
        <v>1.0</v>
      </c>
    </row>
    <row r="923" ht="15.75" customHeight="1">
      <c r="A923" s="1">
        <v>981.0</v>
      </c>
      <c r="B923" s="3" t="s">
        <v>916</v>
      </c>
      <c r="C923" s="3" t="str">
        <f>IFERROR(__xludf.DUMMYFUNCTION("GOOGLETRANSLATE(B923,""id"",""en"")"),"['multiply', 'promo', 'promo', '']")</f>
        <v>['multiply', 'promo', 'promo', '']</v>
      </c>
      <c r="D923" s="3">
        <v>5.0</v>
      </c>
    </row>
    <row r="924" ht="15.75" customHeight="1">
      <c r="A924" s="1">
        <v>982.0</v>
      </c>
      <c r="B924" s="3" t="s">
        <v>917</v>
      </c>
      <c r="C924" s="3" t="str">
        <f>IFERROR(__xludf.DUMMYFUNCTION("GOOGLETRANSLATE(B924,""id"",""en"")"),"['easy', 'buy', 'data']")</f>
        <v>['easy', 'buy', 'data']</v>
      </c>
      <c r="D924" s="3">
        <v>5.0</v>
      </c>
    </row>
    <row r="925" ht="15.75" customHeight="1">
      <c r="A925" s="1">
        <v>983.0</v>
      </c>
      <c r="B925" s="3" t="s">
        <v>918</v>
      </c>
      <c r="C925" s="3" t="str">
        <f>IFERROR(__xludf.DUMMYFUNCTION("GOOGLETRANSLATE(B925,""id"",""en"")"),"['', 'written', 'run out', 'expensive', 'really', 'gmna', 'save', 'that's']")</f>
        <v>['', 'written', 'run out', 'expensive', 'really', 'gmna', 'save', 'that's']</v>
      </c>
      <c r="D925" s="3">
        <v>2.0</v>
      </c>
    </row>
    <row r="926" ht="15.75" customHeight="1">
      <c r="A926" s="1">
        <v>984.0</v>
      </c>
      <c r="B926" s="3" t="s">
        <v>919</v>
      </c>
      <c r="C926" s="3" t="str">
        <f>IFERROR(__xludf.DUMMYFUNCTION("GOOGLETRANSLATE(B926,""id"",""en"")"),"['Abis', 'update', 'login', 'samsek', 'apasii', 'weiii', 'repay']")</f>
        <v>['Abis', 'update', 'login', 'samsek', 'apasii', 'weiii', 'repay']</v>
      </c>
      <c r="D926" s="3">
        <v>1.0</v>
      </c>
    </row>
    <row r="927" ht="15.75" customHeight="1">
      <c r="A927" s="1">
        <v>985.0</v>
      </c>
      <c r="B927" s="3" t="s">
        <v>920</v>
      </c>
      <c r="C927" s="3" t="str">
        <f>IFERROR(__xludf.DUMMYFUNCTION("GOOGLETRANSLATE(B927,""id"",""en"")"),"['Card', 'Different', 'Different', 'Price', 'Package', 'Telkomsel', 'Expensive', 'Signal', 'Erratic', 'Please', 'Repaired', 'User', ' Telkomsel ',' Move ']")</f>
        <v>['Card', 'Different', 'Different', 'Price', 'Package', 'Telkomsel', 'Expensive', 'Signal', 'Erratic', 'Please', 'Repaired', 'User', ' Telkomsel ',' Move ']</v>
      </c>
      <c r="D927" s="3">
        <v>1.0</v>
      </c>
    </row>
    <row r="928" ht="15.75" customHeight="1">
      <c r="A928" s="1">
        <v>986.0</v>
      </c>
      <c r="B928" s="3" t="s">
        <v>921</v>
      </c>
      <c r="C928" s="3" t="str">
        <f>IFERROR(__xludf.DUMMYFUNCTION("GOOGLETRANSLATE(B928,""id"",""en"")"),"['Network', 'stable', 'price', 'package', 'expensive']")</f>
        <v>['Network', 'stable', 'price', 'package', 'expensive']</v>
      </c>
      <c r="D928" s="3">
        <v>1.0</v>
      </c>
    </row>
    <row r="929" ht="15.75" customHeight="1">
      <c r="A929" s="1">
        <v>987.0</v>
      </c>
      <c r="B929" s="3" t="s">
        <v>922</v>
      </c>
      <c r="C929" s="3" t="str">
        <f>IFERROR(__xludf.DUMMYFUNCTION("GOOGLETRANSLATE(B929,""id"",""en"")"),"['The application', 'opened', 'really', 'screen', 'white', 'price', 'package', 'expensive', 'signal', 'guarantee', 'price', ' his slow ',' good ',' really ',' slow ',' a day ',' counting ',' Please ',' fix ',' ']")</f>
        <v>['The application', 'opened', 'really', 'screen', 'white', 'price', 'package', 'expensive', 'signal', 'guarantee', 'price', ' his slow ',' good ',' really ',' slow ',' a day ',' counting ',' Please ',' fix ',' ']</v>
      </c>
      <c r="D929" s="3">
        <v>1.0</v>
      </c>
    </row>
    <row r="930" ht="15.75" customHeight="1">
      <c r="A930" s="1">
        <v>988.0</v>
      </c>
      <c r="B930" s="3" t="s">
        <v>923</v>
      </c>
      <c r="C930" s="3" t="str">
        <f>IFERROR(__xludf.DUMMYFUNCTION("GOOGLETRANSLATE(B930,""id"",""en"")"),"['Network', 'Severe', 'Strong', 'Game', 'Online', 'Internet', 'Roving', 'Propider', 'Raying', 'Buy', 'Package', 'thousand']")</f>
        <v>['Network', 'Severe', 'Strong', 'Game', 'Online', 'Internet', 'Roving', 'Propider', 'Raying', 'Buy', 'Package', 'thousand']</v>
      </c>
      <c r="D930" s="3">
        <v>4.0</v>
      </c>
    </row>
    <row r="931" ht="15.75" customHeight="1">
      <c r="A931" s="1">
        <v>989.0</v>
      </c>
      <c r="B931" s="3" t="s">
        <v>924</v>
      </c>
      <c r="C931" s="3" t="str">
        <f>IFERROR(__xludf.DUMMYFUNCTION("GOOGLETRANSLATE(B931,""id"",""en"")"),"['Worth', 'love', 'star', 'because', 'Karna', 'exchange', 'Points', 'Package', 'Points', 'Sent', '']")</f>
        <v>['Worth', 'love', 'star', 'because', 'Karna', 'exchange', 'Points', 'Package', 'Points', 'Sent', '']</v>
      </c>
      <c r="D931" s="3">
        <v>1.0</v>
      </c>
    </row>
    <row r="932" ht="15.75" customHeight="1">
      <c r="A932" s="1">
        <v>990.0</v>
      </c>
      <c r="B932" s="3" t="s">
        <v>925</v>
      </c>
      <c r="C932" s="3" t="str">
        <f>IFERROR(__xludf.DUMMYFUNCTION("GOOGLETRANSLATE(B932,""id"",""en"")"),"['Okee', 'Bangett', 'Earlier', 'use it', '']")</f>
        <v>['Okee', 'Bangett', 'Earlier', 'use it', '']</v>
      </c>
      <c r="D932" s="3">
        <v>5.0</v>
      </c>
    </row>
    <row r="933" ht="15.75" customHeight="1">
      <c r="A933" s="1">
        <v>991.0</v>
      </c>
      <c r="B933" s="3" t="s">
        <v>926</v>
      </c>
      <c r="C933" s="3" t="str">
        <f>IFERROR(__xludf.DUMMYFUNCTION("GOOGLETRANSLATE(B933,""id"",""en"")"),"['useful', 'promo', 'run', 'maximum', 'old', 'hope', 'increase', 'Dirate', 'star', '']")</f>
        <v>['useful', 'promo', 'run', 'maximum', 'old', 'hope', 'increase', 'Dirate', 'star', '']</v>
      </c>
      <c r="D933" s="3">
        <v>3.0</v>
      </c>
    </row>
    <row r="934" ht="15.75" customHeight="1">
      <c r="A934" s="1">
        <v>992.0</v>
      </c>
      <c r="B934" s="3" t="s">
        <v>927</v>
      </c>
      <c r="C934" s="3" t="str">
        <f>IFERROR(__xludf.DUMMYFUNCTION("GOOGLETRANSLATE(B934,""id"",""en"")"),"['expensive', 'price', 'internet', 'use', 'youtube', 'pulse', 'truncated', 'quota', 'internet', 'GB']")</f>
        <v>['expensive', 'price', 'internet', 'use', 'youtube', 'pulse', 'truncated', 'quota', 'internet', 'GB']</v>
      </c>
      <c r="D934" s="3">
        <v>2.0</v>
      </c>
    </row>
    <row r="935" ht="15.75" customHeight="1">
      <c r="A935" s="1">
        <v>993.0</v>
      </c>
      <c r="B935" s="3" t="s">
        <v>928</v>
      </c>
      <c r="C935" s="3" t="str">
        <f>IFERROR(__xludf.DUMMYFUNCTION("GOOGLETRANSLATE(B935,""id"",""en"")"),"['product', 'Telkomsel', 'expensive', 'package', 'data']")</f>
        <v>['product', 'Telkomsel', 'expensive', 'package', 'data']</v>
      </c>
      <c r="D935" s="3">
        <v>2.0</v>
      </c>
    </row>
    <row r="936" ht="15.75" customHeight="1">
      <c r="A936" s="1">
        <v>994.0</v>
      </c>
      <c r="B936" s="3" t="s">
        <v>929</v>
      </c>
      <c r="C936" s="3" t="str">
        <f>IFERROR(__xludf.DUMMYFUNCTION("GOOGLETRANSLATE(B936,""id"",""en"")"),"['HLO', 'Telkomsel', 'Please', 'Delete', 'Package', 'Special', 'Phone', 'Price', 'Please', 'Urang', 'Poor', 'Buy', ' Package ',' Telpone ',' Asked ',' Package ',' Connect ',' People ',' Old ',' Love ',' Permanent ',' Telpone ']")</f>
        <v>['HLO', 'Telkomsel', 'Please', 'Delete', 'Package', 'Special', 'Phone', 'Price', 'Please', 'Urang', 'Poor', 'Buy', ' Package ',' Telpone ',' Asked ',' Package ',' Connect ',' People ',' Old ',' Love ',' Permanent ',' Telpone ']</v>
      </c>
      <c r="D936" s="3">
        <v>4.0</v>
      </c>
    </row>
    <row r="937" ht="15.75" customHeight="1">
      <c r="A937" s="1">
        <v>995.0</v>
      </c>
      <c r="B937" s="3" t="s">
        <v>930</v>
      </c>
      <c r="C937" s="3" t="str">
        <f>IFERROR(__xludf.DUMMYFUNCTION("GOOGLETRANSLATE(B937,""id"",""en"")"),"['Telkomsel', 'please', 'yaaa', 'udh', 'buy', 'package', 'internet', 'pulse', 'tetep', 'take', 'sometimes',' internet ',' Use ',' Telkomsel ',' Credit ',' UDH ',' Taken ',' Telkomsel ', ""]")</f>
        <v>['Telkomsel', 'please', 'yaaa', 'udh', 'buy', 'package', 'internet', 'pulse', 'tetep', 'take', 'sometimes',' internet ',' Use ',' Telkomsel ',' Credit ',' UDH ',' Taken ',' Telkomsel ', "]</v>
      </c>
      <c r="D937" s="3">
        <v>1.0</v>
      </c>
    </row>
    <row r="938" ht="15.75" customHeight="1">
      <c r="A938" s="1">
        <v>996.0</v>
      </c>
      <c r="B938" s="3" t="s">
        <v>931</v>
      </c>
      <c r="C938" s="3" t="str">
        <f>IFERROR(__xludf.DUMMYFUNCTION("GOOGLETRANSLATE(B938,""id"",""en"")"),"['Easy', 'Ribet', '']")</f>
        <v>['Easy', 'Ribet', '']</v>
      </c>
      <c r="D938" s="3">
        <v>4.0</v>
      </c>
    </row>
    <row r="939" ht="15.75" customHeight="1">
      <c r="A939" s="1">
        <v>997.0</v>
      </c>
      <c r="B939" s="3" t="s">
        <v>932</v>
      </c>
      <c r="C939" s="3" t="str">
        <f>IFERROR(__xludf.DUMMYFUNCTION("GOOGLETRANSLATE(B939,""id"",""en"")"),"['Good', 'really', 'package', 'promo', 'price', 'cheap', 'network', 'good', '']")</f>
        <v>['Good', 'really', 'package', 'promo', 'price', 'cheap', 'network', 'good', '']</v>
      </c>
      <c r="D939" s="3">
        <v>5.0</v>
      </c>
    </row>
    <row r="940" ht="15.75" customHeight="1">
      <c r="A940" s="1">
        <v>998.0</v>
      </c>
      <c r="B940" s="3" t="s">
        <v>933</v>
      </c>
      <c r="C940" s="3" t="str">
        <f>IFERROR(__xludf.DUMMYFUNCTION("GOOGLETRANSLATE(B940,""id"",""en"")"),"['internet', 'expensive', 'replace', 'card', 'just', 'disappointed', 'many years', 'Telkomsel', 'expensive', 'slow']")</f>
        <v>['internet', 'expensive', 'replace', 'card', 'just', 'disappointed', 'many years', 'Telkomsel', 'expensive', 'slow']</v>
      </c>
      <c r="D940" s="3">
        <v>2.0</v>
      </c>
    </row>
    <row r="941" ht="15.75" customHeight="1">
      <c r="A941" s="1">
        <v>999.0</v>
      </c>
      <c r="B941" s="3" t="s">
        <v>934</v>
      </c>
      <c r="C941" s="3" t="str">
        <f>IFERROR(__xludf.DUMMYFUNCTION("GOOGLETRANSLATE(B941,""id"",""en"")"),"['interesting', '']")</f>
        <v>['interesting', '']</v>
      </c>
      <c r="D941" s="3">
        <v>5.0</v>
      </c>
    </row>
    <row r="942" ht="15.75" customHeight="1">
      <c r="A942" s="1">
        <v>1000.0</v>
      </c>
      <c r="B942" s="3" t="s">
        <v>935</v>
      </c>
      <c r="C942" s="3" t="str">
        <f>IFERROR(__xludf.DUMMYFUNCTION("GOOGLETRANSLATE(B942,""id"",""en"")"),"['Good', 'cheap', 'buy', 'package', '']")</f>
        <v>['Good', 'cheap', 'buy', 'package', '']</v>
      </c>
      <c r="D942" s="3">
        <v>5.0</v>
      </c>
    </row>
    <row r="943" ht="15.75" customHeight="1">
      <c r="A943" s="1">
        <v>1001.0</v>
      </c>
      <c r="B943" s="3" t="s">
        <v>936</v>
      </c>
      <c r="C943" s="3" t="str">
        <f>IFERROR(__xludf.DUMMYFUNCTION("GOOGLETRANSLATE(B943,""id"",""en"")"),"['expensive', 'expensive', 'AHIR', 'Disappointed', 'Reverse', 'Really']")</f>
        <v>['expensive', 'expensive', 'AHIR', 'Disappointed', 'Reverse', 'Really']</v>
      </c>
      <c r="D943" s="3">
        <v>2.0</v>
      </c>
    </row>
    <row r="944" ht="15.75" customHeight="1">
      <c r="A944" s="1">
        <v>1002.0</v>
      </c>
      <c r="B944" s="3" t="s">
        <v>937</v>
      </c>
      <c r="C944" s="3" t="str">
        <f>IFERROR(__xludf.DUMMYFUNCTION("GOOGLETRANSLATE(B944,""id"",""en"")"),"['pulse', 'sumps', 'package', 'internet', 'poor', ""]")</f>
        <v>['pulse', 'sumps', 'package', 'internet', 'poor', "]</v>
      </c>
      <c r="D944" s="3">
        <v>1.0</v>
      </c>
    </row>
    <row r="945" ht="15.75" customHeight="1">
      <c r="A945" s="1">
        <v>1003.0</v>
      </c>
      <c r="B945" s="3" t="s">
        <v>938</v>
      </c>
      <c r="C945" s="3" t="str">
        <f>IFERROR(__xludf.DUMMYFUNCTION("GOOGLETRANSLATE(B945,""id"",""en"")"),"['Package', 'Taik', ""]")</f>
        <v>['Package', 'Taik', "]</v>
      </c>
      <c r="D945" s="3">
        <v>1.0</v>
      </c>
    </row>
    <row r="946" ht="15.75" customHeight="1">
      <c r="A946" s="1">
        <v>1004.0</v>
      </c>
      <c r="B946" s="3" t="s">
        <v>939</v>
      </c>
      <c r="C946" s="3" t="str">
        <f>IFERROR(__xludf.DUMMYFUNCTION("GOOGLETRANSLATE(B946,""id"",""en"")"),"['Buy', 'Package', 'Telkomsel', 'FAILURE', 'Connection', 'TRS', 'SAD', '']")</f>
        <v>['Buy', 'Package', 'Telkomsel', 'FAILURE', 'Connection', 'TRS', 'SAD', '']</v>
      </c>
      <c r="D946" s="3">
        <v>1.0</v>
      </c>
    </row>
    <row r="947" ht="15.75" customHeight="1">
      <c r="A947" s="1">
        <v>1005.0</v>
      </c>
      <c r="B947" s="3" t="s">
        <v>940</v>
      </c>
      <c r="C947" s="3" t="str">
        <f>IFERROR(__xludf.DUMMYFUNCTION("GOOGLETRANSLATE(B947,""id"",""en"")"),"['Change', 'Download', 'Application', 'Telkomsel', 'Downloaded', 'opened', 'screen', 'white', 'chat', 'telegram', 'really', 'solution', ' already ',' restart ',' reset ',' open ',' Telkomsel ',' download ',' star ',' email ',' told ',' downgrade ',' appli"&amp;"cation ',' Telkomsel ',' version ' , 'opened', 'update', 'let', 'version', '']")</f>
        <v>['Change', 'Download', 'Application', 'Telkomsel', 'Downloaded', 'opened', 'screen', 'white', 'chat', 'telegram', 'really', 'solution', ' already ',' restart ',' reset ',' open ',' Telkomsel ',' download ',' star ',' email ',' told ',' downgrade ',' application ',' Telkomsel ',' version ' , 'opened', 'update', 'let', 'version', '']</v>
      </c>
      <c r="D947" s="3">
        <v>4.0</v>
      </c>
    </row>
    <row r="948" ht="15.75" customHeight="1">
      <c r="A948" s="1">
        <v>1006.0</v>
      </c>
      <c r="B948" s="3" t="s">
        <v>941</v>
      </c>
      <c r="C948" s="3" t="str">
        <f>IFERROR(__xludf.DUMMYFUNCTION("GOOGLETRANSLATE(B948,""id"",""en"")"),"['Maintain', 'convenience', 'price', 'cheap']")</f>
        <v>['Maintain', 'convenience', 'price', 'cheap']</v>
      </c>
      <c r="D948" s="3">
        <v>5.0</v>
      </c>
    </row>
    <row r="949" ht="15.75" customHeight="1">
      <c r="A949" s="1">
        <v>1007.0</v>
      </c>
      <c r="B949" s="3" t="s">
        <v>942</v>
      </c>
      <c r="C949" s="3" t="str">
        <f>IFERROR(__xludf.DUMMYFUNCTION("GOOGLETRANSLATE(B949,""id"",""en"")"),"['pulse', 'lost', 'deh', 'buy', 'pairs', 'package', 'leftover', 'thousand', 'ehh', 'already', 'severe', 'really' time', '']")</f>
        <v>['pulse', 'lost', 'deh', 'buy', 'pairs', 'package', 'leftover', 'thousand', 'ehh', 'already', 'severe', 'really' time', '']</v>
      </c>
      <c r="D949" s="3">
        <v>1.0</v>
      </c>
    </row>
    <row r="950" ht="15.75" customHeight="1">
      <c r="A950" s="1">
        <v>1008.0</v>
      </c>
      <c r="B950" s="3" t="s">
        <v>943</v>
      </c>
      <c r="C950" s="3" t="str">
        <f>IFERROR(__xludf.DUMMYFUNCTION("GOOGLETRANSLATE(B950,""id"",""en"")"),"['satisfying']")</f>
        <v>['satisfying']</v>
      </c>
      <c r="D950" s="3">
        <v>5.0</v>
      </c>
    </row>
    <row r="951" ht="15.75" customHeight="1">
      <c r="A951" s="1">
        <v>1009.0</v>
      </c>
      <c r="B951" s="3" t="s">
        <v>944</v>
      </c>
      <c r="C951" s="3" t="str">
        <f>IFERROR(__xludf.DUMMYFUNCTION("GOOGLETRANSLATE(B951,""id"",""en"")"),"['whyaaa', 'pulses', 'entered', '']")</f>
        <v>['whyaaa', 'pulses', 'entered', '']</v>
      </c>
      <c r="D951" s="3">
        <v>1.0</v>
      </c>
    </row>
    <row r="952" ht="15.75" customHeight="1">
      <c r="A952" s="1">
        <v>1010.0</v>
      </c>
      <c r="B952" s="3" t="s">
        <v>945</v>
      </c>
      <c r="C952" s="3" t="str">
        <f>IFERROR(__xludf.DUMMYFUNCTION("GOOGLETRANSLATE(B952,""id"",""en"")"),"['service', 'Telkomsel', 'satisfying', 'community', 'thank', 'love', 'Telkomsel', ""]")</f>
        <v>['service', 'Telkomsel', 'satisfying', 'community', 'thank', 'love', 'Telkomsel', "]</v>
      </c>
      <c r="D952" s="3">
        <v>5.0</v>
      </c>
    </row>
    <row r="953" ht="15.75" customHeight="1">
      <c r="A953" s="1">
        <v>1011.0</v>
      </c>
      <c r="B953" s="3" t="s">
        <v>946</v>
      </c>
      <c r="C953" s="3" t="str">
        <f>IFERROR(__xludf.DUMMYFUNCTION("GOOGLETRANSLATE(B953,""id"",""en"")"),"['Telkomsel', 'here', 'expensive', 'bad', 'office', 'Telkomsel', 'tower', 'signal', 'problematic', 'friend', 'users', 'Telkomsel']")</f>
        <v>['Telkomsel', 'here', 'expensive', 'bad', 'office', 'Telkomsel', 'tower', 'signal', 'problematic', 'friend', 'users', 'Telkomsel']</v>
      </c>
      <c r="D953" s="3">
        <v>1.0</v>
      </c>
    </row>
    <row r="954" ht="15.75" customHeight="1">
      <c r="A954" s="1">
        <v>1012.0</v>
      </c>
      <c r="B954" s="3" t="s">
        <v>947</v>
      </c>
      <c r="C954" s="3" t="str">
        <f>IFERROR(__xludf.DUMMYFUNCTION("GOOGLETRANSLATE(B954,""id"",""en"")"),"['Fast', 'Helpful']")</f>
        <v>['Fast', 'Helpful']</v>
      </c>
      <c r="D954" s="3">
        <v>5.0</v>
      </c>
    </row>
    <row r="955" ht="15.75" customHeight="1">
      <c r="A955" s="1">
        <v>1013.0</v>
      </c>
      <c r="B955" s="3" t="s">
        <v>948</v>
      </c>
      <c r="C955" s="3" t="str">
        <f>IFERROR(__xludf.DUMMYFUNCTION("GOOGLETRANSLATE(B955,""id"",""en"")"),"['Increase', 'promo', 'package', 'internet', 'cheap', '']")</f>
        <v>['Increase', 'promo', 'package', 'internet', 'cheap', '']</v>
      </c>
      <c r="D955" s="3">
        <v>4.0</v>
      </c>
    </row>
    <row r="956" ht="15.75" customHeight="1">
      <c r="A956" s="1">
        <v>1014.0</v>
      </c>
      <c r="B956" s="3" t="s">
        <v>949</v>
      </c>
      <c r="C956" s="3" t="str">
        <f>IFERROR(__xludf.DUMMYFUNCTION("GOOGLETRANSLATE(B956,""id"",""en"")"),"['Telkomsel', 'patent', 'times', '']")</f>
        <v>['Telkomsel', 'patent', 'times', '']</v>
      </c>
      <c r="D956" s="3">
        <v>5.0</v>
      </c>
    </row>
    <row r="957" ht="15.75" customHeight="1">
      <c r="A957" s="1">
        <v>1015.0</v>
      </c>
      <c r="B957" s="3" t="s">
        <v>950</v>
      </c>
      <c r="C957" s="3" t="str">
        <f>IFERROR(__xludf.DUMMYFUNCTION("GOOGLETRANSLATE(B957,""id"",""en"")"),"['confused', 'leftover', 'quota', 'BLM', 'used', 'open', 'youtube', 'open', 'photo', 'face', 'book', 'pay', ' Abudemen ',' ']")</f>
        <v>['confused', 'leftover', 'quota', 'BLM', 'used', 'open', 'youtube', 'open', 'photo', 'face', 'book', 'pay', ' Abudemen ',' ']</v>
      </c>
      <c r="D957" s="3">
        <v>4.0</v>
      </c>
    </row>
    <row r="958" ht="15.75" customHeight="1">
      <c r="A958" s="1">
        <v>1016.0</v>
      </c>
      <c r="B958" s="3" t="s">
        <v>951</v>
      </c>
      <c r="C958" s="3" t="str">
        <f>IFERROR(__xludf.DUMMYFUNCTION("GOOGLETRANSLATE(B958,""id"",""en"")"),"['application', 'error', 'use', 'use', 'TTP', 'use', 'buy', 'quota', 'the application', 'right', 'right', 'Prik', ' really ',' error ',' application ',' ugly ',' error ',' ']")</f>
        <v>['application', 'error', 'use', 'use', 'TTP', 'use', 'buy', 'quota', 'the application', 'right', 'right', 'Prik', ' really ',' error ',' application ',' ugly ',' error ',' ']</v>
      </c>
      <c r="D958" s="3">
        <v>2.0</v>
      </c>
    </row>
    <row r="959" ht="15.75" customHeight="1">
      <c r="A959" s="1">
        <v>1017.0</v>
      </c>
      <c r="B959" s="3" t="s">
        <v>952</v>
      </c>
      <c r="C959" s="3" t="str">
        <f>IFERROR(__xludf.DUMMYFUNCTION("GOOGLETRANSLATE(B959,""id"",""en"")"),"['Just', 'function']")</f>
        <v>['Just', 'function']</v>
      </c>
      <c r="D959" s="3">
        <v>3.0</v>
      </c>
    </row>
    <row r="960" ht="15.75" customHeight="1">
      <c r="A960" s="1">
        <v>1018.0</v>
      </c>
      <c r="B960" s="3" t="s">
        <v>953</v>
      </c>
      <c r="C960" s="3" t="str">
        <f>IFERROR(__xludf.DUMMYFUNCTION("GOOGLETRANSLATE(B960,""id"",""en"")"),"['Leet', 'Open']")</f>
        <v>['Leet', 'Open']</v>
      </c>
      <c r="D960" s="3">
        <v>4.0</v>
      </c>
    </row>
    <row r="961" ht="15.75" customHeight="1">
      <c r="A961" s="1">
        <v>1019.0</v>
      </c>
      <c r="B961" s="3" t="s">
        <v>954</v>
      </c>
      <c r="C961" s="3" t="str">
        <f>IFERROR(__xludf.DUMMYFUNCTION("GOOGLETRANSLATE(B961,""id"",""en"")"),"['application', 'help', 'check', 'quota', 'contents', 'package', '']")</f>
        <v>['application', 'help', 'check', 'quota', 'contents', 'package', '']</v>
      </c>
      <c r="D961" s="3">
        <v>4.0</v>
      </c>
    </row>
    <row r="962" ht="15.75" customHeight="1">
      <c r="A962" s="1">
        <v>1020.0</v>
      </c>
      <c r="B962" s="3" t="s">
        <v>955</v>
      </c>
      <c r="C962" s="3" t="str">
        <f>IFERROR(__xludf.DUMMYFUNCTION("GOOGLETRANSLATE(B962,""id"",""en"")"),"['bad', 'signal', 'Telkomsell', 'quota', 'always',' continued ',' hars', 'because', 'cable', 'bitten', 'shark', 'all-round', ' Decreases', 'quality', '']")</f>
        <v>['bad', 'signal', 'Telkomsell', 'quota', 'always',' continued ',' hars', 'because', 'cable', 'bitten', 'shark', 'all-round', ' Decreases', 'quality', '']</v>
      </c>
      <c r="D962" s="3">
        <v>2.0</v>
      </c>
    </row>
    <row r="963" ht="15.75" customHeight="1">
      <c r="A963" s="1">
        <v>1021.0</v>
      </c>
      <c r="B963" s="3" t="s">
        <v>956</v>
      </c>
      <c r="C963" s="3" t="str">
        <f>IFERROR(__xludf.DUMMYFUNCTION("GOOGLETRANSLATE(B963,""id"",""en"")"),"['Customer', 'Telkomsel', 'Sorry', 'Forced', 'Star', 'Lower', 'Signal', 'Telkomsel', 'Bad', 'Telephone', 'Internet', 'Please', ' Repaired ',' ']")</f>
        <v>['Customer', 'Telkomsel', 'Sorry', 'Forced', 'Star', 'Lower', 'Signal', 'Telkomsel', 'Bad', 'Telephone', 'Internet', 'Please', ' Repaired ',' ']</v>
      </c>
      <c r="D963" s="3">
        <v>2.0</v>
      </c>
    </row>
    <row r="964" ht="15.75" customHeight="1">
      <c r="A964" s="1">
        <v>1022.0</v>
      </c>
      <c r="B964" s="3" t="s">
        <v>478</v>
      </c>
      <c r="C964" s="3" t="str">
        <f>IFERROR(__xludf.DUMMYFUNCTION("GOOGLETRANSLATE(B964,""id"",""en"")"),"Of course")</f>
        <v>Of course</v>
      </c>
      <c r="D964" s="3">
        <v>4.0</v>
      </c>
    </row>
    <row r="965" ht="15.75" customHeight="1">
      <c r="A965" s="1">
        <v>1024.0</v>
      </c>
      <c r="B965" s="3" t="s">
        <v>957</v>
      </c>
      <c r="C965" s="3" t="str">
        <f>IFERROR(__xludf.DUMMYFUNCTION("GOOGLETRANSLATE(B965,""id"",""en"")"),"['Good', 'Bangett', 'Application', 'Kouta', 'Borosss', 'A Day', 'Out', 'Thank you']")</f>
        <v>['Good', 'Bangett', 'Application', 'Kouta', 'Borosss', 'A Day', 'Out', 'Thank you']</v>
      </c>
      <c r="D965" s="3">
        <v>5.0</v>
      </c>
    </row>
    <row r="966" ht="15.75" customHeight="1">
      <c r="A966" s="1">
        <v>1025.0</v>
      </c>
      <c r="B966" s="3" t="s">
        <v>958</v>
      </c>
      <c r="C966" s="3" t="str">
        <f>IFERROR(__xludf.DUMMYFUNCTION("GOOGLETRANSLATE(B966,""id"",""en"")"),"['like', 'SKL', 'The application', '']")</f>
        <v>['like', 'SKL', 'The application', '']</v>
      </c>
      <c r="D966" s="3">
        <v>5.0</v>
      </c>
    </row>
    <row r="967" ht="15.75" customHeight="1">
      <c r="A967" s="1">
        <v>1026.0</v>
      </c>
      <c r="B967" s="3" t="s">
        <v>959</v>
      </c>
      <c r="C967" s="3" t="str">
        <f>IFERROR(__xludf.DUMMYFUNCTION("GOOGLETRANSLATE(B967,""id"",""en"")"),"['Easy', 'use']")</f>
        <v>['Easy', 'use']</v>
      </c>
      <c r="D967" s="3">
        <v>5.0</v>
      </c>
    </row>
    <row r="968" ht="15.75" customHeight="1">
      <c r="A968" s="1">
        <v>1027.0</v>
      </c>
      <c r="B968" s="3" t="s">
        <v>960</v>
      </c>
      <c r="C968" s="3" t="str">
        <f>IFERROR(__xludf.DUMMYFUNCTION("GOOGLETRANSLATE(B968,""id"",""en"")"),"['Helpful', 'Personal']")</f>
        <v>['Helpful', 'Personal']</v>
      </c>
      <c r="D968" s="3">
        <v>5.0</v>
      </c>
    </row>
    <row r="969" ht="15.75" customHeight="1">
      <c r="A969" s="1">
        <v>1028.0</v>
      </c>
      <c r="B969" s="3" t="s">
        <v>961</v>
      </c>
      <c r="C969" s="3" t="str">
        <f>IFERROR(__xludf.DUMMYFUNCTION("GOOGLETRANSLATE(B969,""id"",""en"")"),"['expensive', 'package', 'data', 'signal', 'ugly']")</f>
        <v>['expensive', 'package', 'data', 'signal', 'ugly']</v>
      </c>
      <c r="D969" s="3">
        <v>1.0</v>
      </c>
    </row>
    <row r="970" ht="15.75" customHeight="1">
      <c r="A970" s="1">
        <v>1030.0</v>
      </c>
      <c r="B970" s="3" t="s">
        <v>962</v>
      </c>
      <c r="C970" s="3" t="str">
        <f>IFERROR(__xludf.DUMMYFUNCTION("GOOGLETRANSLATE(B970,""id"",""en"")"),"['a month', 'application', 'Telkomsel', 'opened', 'Normal', 'Delete', 'Bintang', 'Yesterday', 'Add', 'Star', 'Bintang', 'Please', ' Constraints', 'Yesterday', 'Fast', 'Doubled', 'Eating', '']")</f>
        <v>['a month', 'application', 'Telkomsel', 'opened', 'Normal', 'Delete', 'Bintang', 'Yesterday', 'Add', 'Star', 'Bintang', 'Please', ' Constraints', 'Yesterday', 'Fast', 'Doubled', 'Eating', '']</v>
      </c>
      <c r="D970" s="3">
        <v>3.0</v>
      </c>
    </row>
    <row r="971" ht="15.75" customHeight="1">
      <c r="A971" s="1">
        <v>1031.0</v>
      </c>
      <c r="B971" s="3" t="s">
        <v>963</v>
      </c>
      <c r="C971" s="3" t="str">
        <f>IFERROR(__xludf.DUMMYFUNCTION("GOOGLETRANSLATE(B971,""id"",""en"")"),"['SWK', 'aka', 'sane', 'the application', 'times', 'application', 'Simple', 'Powerable', 'Nge', 'bug', ""]")</f>
        <v>['SWK', 'aka', 'sane', 'the application', 'times', 'application', 'Simple', 'Powerable', 'Nge', 'bug', "]</v>
      </c>
      <c r="D971" s="3">
        <v>5.0</v>
      </c>
    </row>
    <row r="972" ht="15.75" customHeight="1">
      <c r="A972" s="1">
        <v>1032.0</v>
      </c>
      <c r="B972" s="3" t="s">
        <v>964</v>
      </c>
      <c r="C972" s="3" t="str">
        <f>IFERROR(__xludf.DUMMYFUNCTION("GOOGLETRANSLATE(B972,""id"",""en"")"),"['Telkomsel', 'APK', 'Bener', 'Error', 'Login', 'Maintenance', 'Please', 'Love', 'Notification']")</f>
        <v>['Telkomsel', 'APK', 'Bener', 'Error', 'Login', 'Maintenance', 'Please', 'Love', 'Notification']</v>
      </c>
      <c r="D972" s="3">
        <v>1.0</v>
      </c>
    </row>
    <row r="973" ht="15.75" customHeight="1">
      <c r="A973" s="1">
        <v>1033.0</v>
      </c>
      <c r="B973" s="3" t="s">
        <v>965</v>
      </c>
      <c r="C973" s="3" t="str">
        <f>IFERROR(__xludf.DUMMYFUNCTION("GOOGLETRANSLATE(B973,""id"",""en"")"),"['TGL', 'Application', 'Telkomselku', 'Open', 'Understand', 'Cause', 'Customer', 'Telkomsel', 'Meet', 'Problem', 'Application', 'Telkomsel', ' Opened ',' White ',' Screen ',' Key ',' patient ', ""]")</f>
        <v>['TGL', 'Application', 'Telkomselku', 'Open', 'Understand', 'Cause', 'Customer', 'Telkomsel', 'Meet', 'Problem', 'Application', 'Telkomsel', ' Opened ',' White ',' Screen ',' Key ',' patient ', "]</v>
      </c>
      <c r="D973" s="3">
        <v>4.0</v>
      </c>
    </row>
    <row r="974" ht="15.75" customHeight="1">
      <c r="A974" s="1">
        <v>1034.0</v>
      </c>
      <c r="B974" s="3" t="s">
        <v>966</v>
      </c>
      <c r="C974" s="3" t="str">
        <f>IFERROR(__xludf.DUMMYFUNCTION("GOOGLETRANSLATE(B974,""id"",""en"")"),"['Good', 'Pisaaaaan', 'promo', '']")</f>
        <v>['Good', 'Pisaaaaan', 'promo', '']</v>
      </c>
      <c r="D974" s="3">
        <v>5.0</v>
      </c>
    </row>
    <row r="975" ht="15.75" customHeight="1">
      <c r="A975" s="1">
        <v>1035.0</v>
      </c>
      <c r="B975" s="3" t="s">
        <v>967</v>
      </c>
      <c r="C975" s="3" t="str">
        <f>IFERROR(__xludf.DUMMYFUNCTION("GOOGLETRANSLATE(B975,""id"",""en"")"),"['', 'Telkomsel', 'open', 'thank', 'love', 'smooth', 'please', 'keep']")</f>
        <v>['', 'Telkomsel', 'open', 'thank', 'love', 'smooth', 'please', 'keep']</v>
      </c>
      <c r="D975" s="3">
        <v>5.0</v>
      </c>
    </row>
    <row r="976" ht="15.75" customHeight="1">
      <c r="A976" s="1">
        <v>1036.0</v>
      </c>
      <c r="B976" s="3" t="s">
        <v>968</v>
      </c>
      <c r="C976" s="3" t="str">
        <f>IFERROR(__xludf.DUMMYFUNCTION("GOOGLETRANSLATE(B976,""id"",""en"")"),"['expensive', 'Package', 'Telkomsel']")</f>
        <v>['expensive', 'Package', 'Telkomsel']</v>
      </c>
      <c r="D976" s="3">
        <v>4.0</v>
      </c>
    </row>
    <row r="977" ht="15.75" customHeight="1">
      <c r="A977" s="1">
        <v>1037.0</v>
      </c>
      <c r="B977" s="3" t="s">
        <v>969</v>
      </c>
      <c r="C977" s="3" t="str">
        <f>IFERROR(__xludf.DUMMYFUNCTION("GOOGLETRANSLATE(B977,""id"",""en"")"),"['Come', 'package', 'quota', 'Telkomsel', 'expensive', 'plus', 'network', 'stable', ""]")</f>
        <v>['Come', 'package', 'quota', 'Telkomsel', 'expensive', 'plus', 'network', 'stable', "]</v>
      </c>
      <c r="D977" s="3">
        <v>3.0</v>
      </c>
    </row>
    <row r="978" ht="15.75" customHeight="1">
      <c r="A978" s="1">
        <v>1038.0</v>
      </c>
      <c r="B978" s="3" t="s">
        <v>970</v>
      </c>
      <c r="C978" s="3" t="str">
        <f>IFERROR(__xludf.DUMMYFUNCTION("GOOGLETRANSLATE(B978,""id"",""en"")"),"['', 'HRG', 'quota', '']")</f>
        <v>['', 'HRG', 'quota', '']</v>
      </c>
      <c r="D978" s="3">
        <v>5.0</v>
      </c>
    </row>
    <row r="979" ht="15.75" customHeight="1">
      <c r="A979" s="1">
        <v>1039.0</v>
      </c>
      <c r="B979" s="3" t="s">
        <v>971</v>
      </c>
      <c r="C979" s="3" t="str">
        <f>IFERROR(__xludf.DUMMYFUNCTION("GOOGLETRANSLATE(B979,""id"",""en"")"),"['garbage', 'heavy', 'open', 'application', 'light', 'lose', 'social', 'media', ""]")</f>
        <v>['garbage', 'heavy', 'open', 'application', 'light', 'lose', 'social', 'media', "]</v>
      </c>
      <c r="D979" s="3">
        <v>1.0</v>
      </c>
    </row>
    <row r="980" ht="15.75" customHeight="1">
      <c r="A980" s="1">
        <v>1040.0</v>
      </c>
      <c r="B980" s="3" t="s">
        <v>972</v>
      </c>
      <c r="C980" s="3" t="str">
        <f>IFERROR(__xludf.DUMMYFUNCTION("GOOGLETRANSLATE(B980,""id"",""en"")"),"['Steady', 'Payment', 'THD', 'Purchase', 'PKE', 'Credit', 'Ovo', 'Hrus',' Support ',' Payment ',' Banking ',' Via ',' virtual ',' account ',' bgtu ',' payment ',' ovo ',' direct ',' entry ',' ']")</f>
        <v>['Steady', 'Payment', 'THD', 'Purchase', 'PKE', 'Credit', 'Ovo', 'Hrus',' Support ',' Payment ',' Banking ',' Via ',' virtual ',' account ',' bgtu ',' payment ',' ovo ',' direct ',' entry ',' ']</v>
      </c>
      <c r="D980" s="3">
        <v>1.0</v>
      </c>
    </row>
    <row r="981" ht="15.75" customHeight="1">
      <c r="A981" s="1">
        <v>1041.0</v>
      </c>
      <c r="B981" s="3" t="s">
        <v>973</v>
      </c>
      <c r="C981" s="3" t="str">
        <f>IFERROR(__xludf.DUMMYFUNCTION("GOOGLETRANSLATE(B981,""id"",""en"")"),"['Hopefully', 'satellite', 'quota', 'data', 'internet', 'Telkomsel', 'Shabat', 'Best', 'Nusantara', '']")</f>
        <v>['Hopefully', 'satellite', 'quota', 'data', 'internet', 'Telkomsel', 'Shabat', 'Best', 'Nusantara', '']</v>
      </c>
      <c r="D981" s="3">
        <v>5.0</v>
      </c>
    </row>
    <row r="982" ht="15.75" customHeight="1">
      <c r="A982" s="1">
        <v>1042.0</v>
      </c>
      <c r="B982" s="3" t="s">
        <v>974</v>
      </c>
      <c r="C982" s="3" t="str">
        <f>IFERROR(__xludf.DUMMYFUNCTION("GOOGLETRANSLATE(B982,""id"",""en"")"),"['Fortunately']")</f>
        <v>['Fortunately']</v>
      </c>
      <c r="D982" s="3">
        <v>4.0</v>
      </c>
    </row>
    <row r="983" ht="15.75" customHeight="1">
      <c r="A983" s="1">
        <v>1043.0</v>
      </c>
      <c r="B983" s="3" t="s">
        <v>975</v>
      </c>
      <c r="C983" s="3" t="str">
        <f>IFERROR(__xludf.DUMMYFUNCTION("GOOGLETRANSLATE(B983,""id"",""en"")"),"['Thank you', 'Satisfied']")</f>
        <v>['Thank you', 'Satisfied']</v>
      </c>
      <c r="D983" s="3">
        <v>5.0</v>
      </c>
    </row>
    <row r="984" ht="15.75" customHeight="1">
      <c r="A984" s="1">
        <v>1045.0</v>
      </c>
      <c r="B984" s="3" t="s">
        <v>976</v>
      </c>
      <c r="C984" s="3" t="str">
        <f>IFERROR(__xludf.DUMMYFUNCTION("GOOGLETRANSLATE(B984,""id"",""en"")"),"['easy', 'buy', 'package', 'data', 'lottery', 'hehehe']")</f>
        <v>['easy', 'buy', 'package', 'data', 'lottery', 'hehehe']</v>
      </c>
      <c r="D984" s="3">
        <v>5.0</v>
      </c>
    </row>
    <row r="985" ht="15.75" customHeight="1">
      <c r="A985" s="1">
        <v>1046.0</v>
      </c>
      <c r="B985" s="3" t="s">
        <v>977</v>
      </c>
      <c r="C985" s="3" t="str">
        <f>IFERROR(__xludf.DUMMYFUNCTION("GOOGLETRANSLATE(B985,""id"",""en"")"),"['Love', 'promo', 'min']")</f>
        <v>['Love', 'promo', 'min']</v>
      </c>
      <c r="D985" s="3">
        <v>5.0</v>
      </c>
    </row>
    <row r="986" ht="15.75" customHeight="1">
      <c r="A986" s="1">
        <v>1047.0</v>
      </c>
      <c r="B986" s="3" t="s">
        <v>978</v>
      </c>
      <c r="C986" s="3" t="str">
        <f>IFERROR(__xludf.DUMMYFUNCTION("GOOGLETRANSLATE(B986,""id"",""en"")"),"['pulse', 'Sumpot', 'CCP', 'Disappointed', 'Gini', 'Mending', 'Cave', 'Change', 'Card']")</f>
        <v>['pulse', 'Sumpot', 'CCP', 'Disappointed', 'Gini', 'Mending', 'Cave', 'Change', 'Card']</v>
      </c>
      <c r="D986" s="3">
        <v>1.0</v>
      </c>
    </row>
    <row r="987" ht="15.75" customHeight="1">
      <c r="A987" s="1">
        <v>1048.0</v>
      </c>
      <c r="B987" s="3" t="s">
        <v>979</v>
      </c>
      <c r="C987" s="3" t="str">
        <f>IFERROR(__xludf.DUMMYFUNCTION("GOOGLETRANSLATE(B987,""id"",""en"")"),"['Best', 'Good', 'Telkomsel']")</f>
        <v>['Best', 'Good', 'Telkomsel']</v>
      </c>
      <c r="D987" s="3">
        <v>5.0</v>
      </c>
    </row>
    <row r="988" ht="15.75" customHeight="1">
      <c r="A988" s="1">
        <v>1049.0</v>
      </c>
      <c r="B988" s="3" t="s">
        <v>980</v>
      </c>
      <c r="C988" s="3" t="str">
        <f>IFERROR(__xludf.DUMMYFUNCTION("GOOGLETRANSLATE(B988,""id"",""en"")"),"['Beed proud of', 'Sekaran', 'Turns', 'Useful', 'Sekaran', 'No' Cheap ',' Sekaran ',' Expensive ',' Signal ',' Full ',' Meaning ',' Useful ',' Ngak ',' Tower ',' Sekaran ',' Ngak ',' Signal ',' Ngak ']")</f>
        <v>['Beed proud of', 'Sekaran', 'Turns', 'Useful', 'Sekaran', 'No' Cheap ',' Sekaran ',' Expensive ',' Signal ',' Full ',' Meaning ',' Useful ',' Ngak ',' Tower ',' Sekaran ',' Ngak ',' Signal ',' Ngak ']</v>
      </c>
      <c r="D988" s="3">
        <v>4.0</v>
      </c>
    </row>
    <row r="989" ht="15.75" customHeight="1">
      <c r="A989" s="1">
        <v>1050.0</v>
      </c>
      <c r="B989" s="3" t="s">
        <v>791</v>
      </c>
      <c r="C989" s="3" t="str">
        <f>IFERROR(__xludf.DUMMYFUNCTION("GOOGLETRANSLATE(B989,""id"",""en"")"),"['like']")</f>
        <v>['like']</v>
      </c>
      <c r="D989" s="3">
        <v>5.0</v>
      </c>
    </row>
    <row r="990" ht="15.75" customHeight="1">
      <c r="A990" s="1">
        <v>1051.0</v>
      </c>
      <c r="B990" s="3" t="s">
        <v>981</v>
      </c>
      <c r="C990" s="3" t="str">
        <f>IFERROR(__xludf.DUMMYFUNCTION("GOOGLETRANSLATE(B990,""id"",""en"")"),"['The drawback', 'locking', 'pulse', 'credit', 'reduced', 'quota', 'hbis', 'jdi', 'please', 'addin', 'min', ""]")</f>
        <v>['The drawback', 'locking', 'pulse', 'credit', 'reduced', 'quota', 'hbis', 'jdi', 'please', 'addin', 'min', "]</v>
      </c>
      <c r="D990" s="3">
        <v>1.0</v>
      </c>
    </row>
    <row r="991" ht="15.75" customHeight="1">
      <c r="A991" s="1">
        <v>1052.0</v>
      </c>
      <c r="B991" s="3" t="s">
        <v>982</v>
      </c>
      <c r="C991" s="3" t="str">
        <f>IFERROR(__xludf.DUMMYFUNCTION("GOOGLETRANSLATE(B991,""id"",""en"")"),"['quata', 'expensive', 'please', 'fix', 'network', 'area', 'airtis', 'used', 'Telkomsel', 'forced', ""]")</f>
        <v>['quata', 'expensive', 'please', 'fix', 'network', 'area', 'airtis', 'used', 'Telkomsel', 'forced', "]</v>
      </c>
      <c r="D991" s="3">
        <v>1.0</v>
      </c>
    </row>
    <row r="992" ht="15.75" customHeight="1">
      <c r="A992" s="1">
        <v>1053.0</v>
      </c>
      <c r="B992" s="3" t="s">
        <v>983</v>
      </c>
      <c r="C992" s="3" t="str">
        <f>IFERROR(__xludf.DUMMYFUNCTION("GOOGLETRANSLATE(B992,""id"",""en"")"),"['', 'Telkomsel', 'help']")</f>
        <v>['', 'Telkomsel', 'help']</v>
      </c>
      <c r="D992" s="3">
        <v>5.0</v>
      </c>
    </row>
    <row r="993" ht="15.75" customHeight="1">
      <c r="A993" s="1">
        <v>1054.0</v>
      </c>
      <c r="B993" s="3" t="s">
        <v>984</v>
      </c>
      <c r="C993" s="3" t="str">
        <f>IFERROR(__xludf.DUMMYFUNCTION("GOOGLETRANSLATE(B993,""id"",""en"")"),"['', 'good', 'masi', '&lt;br&gt;']")</f>
        <v>['', 'good', 'masi', '&lt;br&gt;']</v>
      </c>
      <c r="D993" s="3">
        <v>3.0</v>
      </c>
    </row>
    <row r="994" ht="15.75" customHeight="1">
      <c r="A994" s="1">
        <v>1055.0</v>
      </c>
      <c r="B994" s="3" t="s">
        <v>985</v>
      </c>
      <c r="C994" s="3" t="str">
        <f>IFERROR(__xludf.DUMMYFUNCTION("GOOGLETRANSLATE(B994,""id"",""en"")"),"['If', 'Region', 'has', 'network', 'operator', 'Telkomsel', 'Leave', 'Telkomsel', 'price', 'package', 'strangling', ""]")</f>
        <v>['If', 'Region', 'has', 'network', 'operator', 'Telkomsel', 'Leave', 'Telkomsel', 'price', 'package', 'strangling', "]</v>
      </c>
      <c r="D994" s="3">
        <v>1.0</v>
      </c>
    </row>
    <row r="995" ht="15.75" customHeight="1">
      <c r="A995" s="1">
        <v>1056.0</v>
      </c>
      <c r="B995" s="3" t="s">
        <v>986</v>
      </c>
      <c r="C995" s="3" t="str">
        <f>IFERROR(__xludf.DUMMYFUNCTION("GOOGLETRANSLATE(B995,""id"",""en"")"),"['service', '']")</f>
        <v>['service', '']</v>
      </c>
      <c r="D995" s="3">
        <v>5.0</v>
      </c>
    </row>
    <row r="996" ht="15.75" customHeight="1">
      <c r="A996" s="1">
        <v>1057.0</v>
      </c>
      <c r="B996" s="3" t="s">
        <v>987</v>
      </c>
      <c r="C996" s="3" t="str">
        <f>IFERROR(__xludf.DUMMYFUNCTION("GOOGLETRANSLATE(B996,""id"",""en"")"),"['code', 'promo']")</f>
        <v>['code', 'promo']</v>
      </c>
      <c r="D996" s="3">
        <v>5.0</v>
      </c>
    </row>
    <row r="997" ht="15.75" customHeight="1">
      <c r="A997" s="1">
        <v>1058.0</v>
      </c>
      <c r="B997" s="3" t="s">
        <v>943</v>
      </c>
      <c r="C997" s="3" t="str">
        <f>IFERROR(__xludf.DUMMYFUNCTION("GOOGLETRANSLATE(B997,""id"",""en"")"),"['satisfying']")</f>
        <v>['satisfying']</v>
      </c>
      <c r="D997" s="3">
        <v>2.0</v>
      </c>
    </row>
    <row r="998" ht="15.75" customHeight="1">
      <c r="A998" s="1">
        <v>1059.0</v>
      </c>
      <c r="B998" s="3" t="s">
        <v>988</v>
      </c>
      <c r="C998" s="3" t="str">
        <f>IFERROR(__xludf.DUMMYFUNCTION("GOOGLETRANSLATE(B998,""id"",""en"")"),"['Price', 'Reduce', '']")</f>
        <v>['Price', 'Reduce', '']</v>
      </c>
      <c r="D998" s="3">
        <v>5.0</v>
      </c>
    </row>
    <row r="999" ht="15.75" customHeight="1">
      <c r="A999" s="1">
        <v>1061.0</v>
      </c>
      <c r="B999" s="3" t="s">
        <v>989</v>
      </c>
      <c r="C999" s="3" t="str">
        <f>IFERROR(__xludf.DUMMYFUNCTION("GOOGLETRANSLATE(B999,""id"",""en"")"),"['Already', 'Lagih', 'Open', 'Application', 'Telkomsel', 'My Love', 'Star', 'Please', 'Sorry', 'Mass',' Lagih ',' Application ',' Lagih ',' sayah ',' subtract ',' bead ',' Please ',' Increase ',' Lagih ']")</f>
        <v>['Already', 'Lagih', 'Open', 'Application', 'Telkomsel', 'My Love', 'Star', 'Please', 'Sorry', 'Mass',' Lagih ',' Application ',' Lagih ',' sayah ',' subtract ',' bead ',' Please ',' Increase ',' Lagih ']</v>
      </c>
      <c r="D999" s="3">
        <v>5.0</v>
      </c>
    </row>
    <row r="1000" ht="15.75" customHeight="1">
      <c r="A1000" s="1">
        <v>1062.0</v>
      </c>
      <c r="B1000" s="3" t="s">
        <v>990</v>
      </c>
      <c r="C1000" s="3" t="str">
        <f>IFERROR(__xludf.DUMMYFUNCTION("GOOGLETRANSLATE(B1000,""id"",""en"")"),"['repair', '']")</f>
        <v>['repair', '']</v>
      </c>
      <c r="D1000" s="3">
        <v>1.0</v>
      </c>
    </row>
    <row r="1001" ht="15.75" customHeight="1">
      <c r="A1001" s="1">
        <v>1063.0</v>
      </c>
      <c r="B1001" s="3" t="s">
        <v>991</v>
      </c>
      <c r="C1001" s="3" t="str">
        <f>IFERROR(__xludf.DUMMYFUNCTION("GOOGLETRANSLATE(B1001,""id"",""en"")"),"['Hopefully', 'Amanah']")</f>
        <v>['Hopefully', 'Amanah']</v>
      </c>
      <c r="D1001" s="3">
        <v>3.0</v>
      </c>
    </row>
    <row r="1002" ht="15.75" customHeight="1">
      <c r="A1002" s="1">
        <v>1064.0</v>
      </c>
      <c r="B1002" s="3" t="s">
        <v>992</v>
      </c>
      <c r="C1002" s="3" t="str">
        <f>IFERROR(__xludf.DUMMYFUNCTION("GOOGLETRANSLATE(B1002,""id"",""en"")"),"['Package', 'Internet', 'Gamemax', 'Loss']")</f>
        <v>['Package', 'Internet', 'Gamemax', 'Loss']</v>
      </c>
      <c r="D1002" s="3">
        <v>1.0</v>
      </c>
    </row>
    <row r="1003" ht="15.75" customHeight="1">
      <c r="A1003" s="1">
        <v>1065.0</v>
      </c>
      <c r="B1003" s="3" t="s">
        <v>993</v>
      </c>
      <c r="C1003" s="3" t="str">
        <f>IFERROR(__xludf.DUMMYFUNCTION("GOOGLETRANSLATE(B1003,""id"",""en"")"),"['Toloong', 'Network', 'Telkomsel', 'Comfortable', 'Come', 'Nyari', 'Benefit', 'Kekmin', 'Please', 'Please', ""]")</f>
        <v>['Toloong', 'Network', 'Telkomsel', 'Comfortable', 'Come', 'Nyari', 'Benefit', 'Kekmin', 'Please', 'Please', "]</v>
      </c>
      <c r="D1003" s="3">
        <v>1.0</v>
      </c>
    </row>
    <row r="1004" ht="15.75" customHeight="1">
      <c r="A1004" s="1">
        <v>1068.0</v>
      </c>
      <c r="B1004" s="3" t="s">
        <v>994</v>
      </c>
      <c r="C1004" s="3" t="str">
        <f>IFERROR(__xludf.DUMMYFUNCTION("GOOGLETRANSLATE(B1004,""id"",""en"")"),"['oprator', 'apparently', 'ngellag', 'mulu', 'dinyal', 'cave', 'really', 'disappointed', 'card', 'tell', 'oprator', 'fix', ' signal ',' UDH ',' package ',' expensive ',' signal ',' ugly ',' bngsd ']")</f>
        <v>['oprator', 'apparently', 'ngellag', 'mulu', 'dinyal', 'cave', 'really', 'disappointed', 'card', 'tell', 'oprator', 'fix', ' signal ',' UDH ',' package ',' expensive ',' signal ',' ugly ',' bngsd ']</v>
      </c>
      <c r="D1004" s="3">
        <v>1.0</v>
      </c>
    </row>
    <row r="1005" ht="15.75" customHeight="1">
      <c r="A1005" s="1">
        <v>1069.0</v>
      </c>
      <c r="B1005" s="3" t="s">
        <v>995</v>
      </c>
      <c r="C1005" s="3" t="str">
        <f>IFERROR(__xludf.DUMMYFUNCTION("GOOGLETRANSLATE(B1005,""id"",""en"")"),"['Kasi', 'star', 'use', 'application', 'Telkomsel', 'star', 'the application', 'satisfying']")</f>
        <v>['Kasi', 'star', 'use', 'application', 'Telkomsel', 'star', 'the application', 'satisfying']</v>
      </c>
      <c r="D1005" s="3">
        <v>3.0</v>
      </c>
    </row>
    <row r="1006" ht="15.75" customHeight="1">
      <c r="A1006" s="1">
        <v>1070.0</v>
      </c>
      <c r="B1006" s="3" t="s">
        <v>996</v>
      </c>
      <c r="C1006" s="3" t="str">
        <f>IFERROR(__xludf.DUMMYFUNCTION("GOOGLETRANSLATE(B1006,""id"",""en"")"),"['times',' open ',' the application ',' like ',' update ',' no ',' update ',' the application ',' no ',' opened ',' wonder ',' company ',' Plat ',' red ',' roll ',' mat ',' bored ',' work ', ""]")</f>
        <v>['times',' open ',' the application ',' like ',' update ',' no ',' update ',' the application ',' no ',' opened ',' wonder ',' company ',' Plat ',' red ',' roll ',' mat ',' bored ',' work ', "]</v>
      </c>
      <c r="D1006" s="3">
        <v>1.0</v>
      </c>
    </row>
    <row r="1007" ht="15.75" customHeight="1">
      <c r="A1007" s="1">
        <v>1071.0</v>
      </c>
      <c r="B1007" s="3" t="s">
        <v>997</v>
      </c>
      <c r="C1007" s="3" t="str">
        <f>IFERROR(__xludf.DUMMYFUNCTION("GOOGLETRANSLATE(B1007,""id"",""en"")"),"['Enter', 'Telkomsel', 'PDAH', 'KMRIN', 'HELP', 'Dri', 'Telkomsel', 'Please', 'Fix']")</f>
        <v>['Enter', 'Telkomsel', 'PDAH', 'KMRIN', 'HELP', 'Dri', 'Telkomsel', 'Please', 'Fix']</v>
      </c>
      <c r="D1007" s="3">
        <v>1.0</v>
      </c>
    </row>
    <row r="1008" ht="15.75" customHeight="1">
      <c r="A1008" s="1">
        <v>1072.0</v>
      </c>
      <c r="B1008" s="3" t="s">
        <v>998</v>
      </c>
      <c r="C1008" s="3" t="str">
        <f>IFERROR(__xludf.DUMMYFUNCTION("GOOGLETRANSLATE(B1008,""id"",""en"")"),"['Main', 'game', 'broken', 'Please', 'repaired']")</f>
        <v>['Main', 'game', 'broken', 'Please', 'repaired']</v>
      </c>
      <c r="D1008" s="3">
        <v>5.0</v>
      </c>
    </row>
    <row r="1009" ht="15.75" customHeight="1">
      <c r="A1009" s="1">
        <v>1074.0</v>
      </c>
      <c r="B1009" s="3" t="s">
        <v>999</v>
      </c>
      <c r="C1009" s="3" t="str">
        <f>IFERROR(__xludf.DUMMYFUNCTION("GOOGLETRANSLATE(B1009,""id"",""en"")"),"['Hello', 'min', 'knapa', 'kouta', 'unlimited', 'youtube', 'buy', 'buy', 'week', 'pulse', 'run out', ' Please ',' Benerin ',' ']")</f>
        <v>['Hello', 'min', 'knapa', 'kouta', 'unlimited', 'youtube', 'buy', 'buy', 'week', 'pulse', 'run out', ' Please ',' Benerin ',' ']</v>
      </c>
      <c r="D1009" s="3">
        <v>3.0</v>
      </c>
    </row>
    <row r="1010" ht="15.75" customHeight="1">
      <c r="A1010" s="1">
        <v>1075.0</v>
      </c>
      <c r="B1010" s="3" t="s">
        <v>1000</v>
      </c>
      <c r="C1010" s="3" t="str">
        <f>IFERROR(__xludf.DUMMYFUNCTION("GOOGLETRANSLATE(B1010,""id"",""en"")"),"['Network', 'buffring', 'cost', 'expensive', 'package', 'quota', 'fast', 'wasteful', 'package', 'divided', 'where', 'area', ' Consumers', 'Merugi', 'quota', 'tens',' transactions', 'packages',' bln ',' packages', 'multimedia', 'watch', ""]")</f>
        <v>['Network', 'buffring', 'cost', 'expensive', 'package', 'quota', 'fast', 'wasteful', 'package', 'divided', 'where', 'area', ' Consumers', 'Merugi', 'quota', 'tens',' transactions', 'packages',' bln ',' packages', 'multimedia', 'watch', "]</v>
      </c>
      <c r="D1010" s="3">
        <v>1.0</v>
      </c>
    </row>
    <row r="1011" ht="15.75" customHeight="1">
      <c r="A1011" s="1">
        <v>1076.0</v>
      </c>
      <c r="B1011" s="3" t="s">
        <v>1001</v>
      </c>
      <c r="C1011" s="3" t="str">
        <f>IFERROR(__xludf.DUMMYFUNCTION("GOOGLETRANSLATE(B1011,""id"",""en"")"),"['Satisfied', 'help', 'APL']")</f>
        <v>['Satisfied', 'help', 'APL']</v>
      </c>
      <c r="D1011" s="3">
        <v>4.0</v>
      </c>
    </row>
    <row r="1012" ht="15.75" customHeight="1">
      <c r="A1012" s="1">
        <v>1077.0</v>
      </c>
      <c r="B1012" s="3" t="s">
        <v>1002</v>
      </c>
      <c r="C1012" s="3" t="str">
        <f>IFERROR(__xludf.DUMMYFUNCTION("GOOGLETRANSLATE(B1012,""id"",""en"")"),"['Nomikutin', 'Daily', 'Login', 'Claims', 'Reword', 'Love', 'Closed', 'Given', 'Money', 'Dilayanin', ""]")</f>
        <v>['Nomikutin', 'Daily', 'Login', 'Claims', 'Reword', 'Love', 'Closed', 'Given', 'Money', 'Dilayanin', "]</v>
      </c>
      <c r="D1012" s="3">
        <v>1.0</v>
      </c>
    </row>
    <row r="1013" ht="15.75" customHeight="1">
      <c r="A1013" s="1">
        <v>1078.0</v>
      </c>
      <c r="B1013" s="3" t="s">
        <v>1003</v>
      </c>
      <c r="C1013" s="3" t="str">
        <f>IFERROR(__xludf.DUMMYFUNCTION("GOOGLETRANSLATE(B1013,""id"",""en"")"),"['Star', 'because', 'buy', 'package', 'number', 'Lau', 'send', 'gif', 'updated', 'update', 'send', 'package', ' Number ',' Disappointed ']")</f>
        <v>['Star', 'because', 'buy', 'package', 'number', 'Lau', 'send', 'gif', 'updated', 'update', 'send', 'package', ' Number ',' Disappointed ']</v>
      </c>
      <c r="D1013" s="3">
        <v>2.0</v>
      </c>
    </row>
    <row r="1014" ht="15.75" customHeight="1">
      <c r="A1014" s="1">
        <v>1079.0</v>
      </c>
      <c r="B1014" s="3" t="s">
        <v>1004</v>
      </c>
      <c r="C1014" s="3" t="str">
        <f>IFERROR(__xludf.DUMMYFUNCTION("GOOGLETRANSLATE(B1014,""id"",""en"")"),"['updated', 'difficult', 'login', 'pdhl', 'open', 'youtube', '']")</f>
        <v>['updated', 'difficult', 'login', 'pdhl', 'open', 'youtube', '']</v>
      </c>
      <c r="D1014" s="3">
        <v>5.0</v>
      </c>
    </row>
    <row r="1015" ht="15.75" customHeight="1">
      <c r="A1015" s="1">
        <v>1080.0</v>
      </c>
      <c r="B1015" s="3" t="s">
        <v>1005</v>
      </c>
      <c r="C1015" s="3" t="str">
        <f>IFERROR(__xludf.DUMMYFUNCTION("GOOGLETRANSLATE(B1015,""id"",""en"")"),"['Promo', 'Delete', 'Dash', 'Ribet', 'Price', 'Paketan', 'Card', 'Different', 'Different', 'Sihhhhh', 'strange']")</f>
        <v>['Promo', 'Delete', 'Dash', 'Ribet', 'Price', 'Paketan', 'Card', 'Different', 'Different', 'Sihhhhh', 'strange']</v>
      </c>
      <c r="D1015" s="3">
        <v>1.0</v>
      </c>
    </row>
    <row r="1016" ht="15.75" customHeight="1">
      <c r="A1016" s="1">
        <v>1081.0</v>
      </c>
      <c r="B1016" s="3" t="s">
        <v>1006</v>
      </c>
      <c r="C1016" s="3" t="str">
        <f>IFERROR(__xludf.DUMMYFUNCTION("GOOGLETRANSLATE(B1016,""id"",""en"")"),"['mantaabbppp', 'help']")</f>
        <v>['mantaabbppp', 'help']</v>
      </c>
      <c r="D1016" s="3">
        <v>5.0</v>
      </c>
    </row>
    <row r="1017" ht="15.75" customHeight="1">
      <c r="A1017" s="1">
        <v>1082.0</v>
      </c>
      <c r="B1017" s="3" t="s">
        <v>1007</v>
      </c>
      <c r="C1017" s="3" t="str">
        <f>IFERROR(__xludf.DUMMYFUNCTION("GOOGLETRANSLATE(B1017,""id"",""en"")"),"['Blanja', 'package', 'data', 'internet', 'night', 'fast', 'cheap', 'yuk', 'blanja']")</f>
        <v>['Blanja', 'package', 'data', 'internet', 'night', 'fast', 'cheap', 'yuk', 'blanja']</v>
      </c>
      <c r="D1017" s="3">
        <v>5.0</v>
      </c>
    </row>
    <row r="1018" ht="15.75" customHeight="1">
      <c r="A1018" s="1">
        <v>1083.0</v>
      </c>
      <c r="B1018" s="3" t="s">
        <v>1008</v>
      </c>
      <c r="C1018" s="3" t="str">
        <f>IFERROR(__xludf.DUMMYFUNCTION("GOOGLETRANSLATE(B1018,""id"",""en"")"),"['Bad', 'really', 'lho', 'application', 'opened', 'Telkomsel', 'like', 'gini', 'strange', 'really']")</f>
        <v>['Bad', 'really', 'lho', 'application', 'opened', 'Telkomsel', 'like', 'gini', 'strange', 'really']</v>
      </c>
      <c r="D1018" s="3">
        <v>1.0</v>
      </c>
    </row>
    <row r="1019" ht="15.75" customHeight="1">
      <c r="A1019" s="1">
        <v>1085.0</v>
      </c>
      <c r="B1019" s="3" t="s">
        <v>1009</v>
      </c>
      <c r="C1019" s="3" t="str">
        <f>IFERROR(__xludf.DUMMYFUNCTION("GOOGLETRANSLATE(B1019,""id"",""en"")"),"['package', 'internet', 'expensive', 'quota', 'fast', 'run out', 'network', 'slow', 'udh', 'pelangan', 'please', 'fix', ' ']")</f>
        <v>['package', 'internet', 'expensive', 'quota', 'fast', 'run out', 'network', 'slow', 'udh', 'pelangan', 'please', 'fix', ' ']</v>
      </c>
      <c r="D1019" s="3">
        <v>1.0</v>
      </c>
    </row>
    <row r="1020" ht="15.75" customHeight="1">
      <c r="A1020" s="1">
        <v>1086.0</v>
      </c>
      <c r="B1020" s="3" t="s">
        <v>1010</v>
      </c>
      <c r="C1020" s="3" t="str">
        <f>IFERROR(__xludf.DUMMYFUNCTION("GOOGLETRANSLATE(B1020,""id"",""en"")"),"['repaired', 'Thanks']")</f>
        <v>['repaired', 'Thanks']</v>
      </c>
      <c r="D1020" s="3">
        <v>5.0</v>
      </c>
    </row>
    <row r="1021" ht="15.75" customHeight="1">
      <c r="A1021" s="1">
        <v>1087.0</v>
      </c>
      <c r="B1021" s="3" t="s">
        <v>1011</v>
      </c>
      <c r="C1021" s="3" t="str">
        <f>IFERROR(__xludf.DUMMYFUNCTION("GOOGLETRANSLATE(B1021,""id"",""en"")"),"['Plis',' deh ',' expensive ',' really ',' quota ',' cumakartu ',' can ',' promo ',' quota ',' cheap ',' dahgitu ',' fast ',' really ',' Abisnya ']")</f>
        <v>['Plis',' deh ',' expensive ',' really ',' quota ',' cumakartu ',' can ',' promo ',' quota ',' cheap ',' dahgitu ',' fast ',' really ',' Abisnya ']</v>
      </c>
      <c r="D1021" s="3">
        <v>5.0</v>
      </c>
    </row>
    <row r="1022" ht="15.75" customHeight="1">
      <c r="A1022" s="1">
        <v>1088.0</v>
      </c>
      <c r="B1022" s="3" t="s">
        <v>1012</v>
      </c>
      <c r="C1022" s="3" t="str">
        <f>IFERROR(__xludf.DUMMYFUNCTION("GOOGLETRANSLATE(B1022,""id"",""en"")"),"['info', 'package', 'cheap', 'festive']")</f>
        <v>['info', 'package', 'cheap', 'festive']</v>
      </c>
      <c r="D1022" s="3">
        <v>5.0</v>
      </c>
    </row>
    <row r="1023" ht="15.75" customHeight="1">
      <c r="A1023" s="1">
        <v>1090.0</v>
      </c>
      <c r="B1023" s="3" t="s">
        <v>1013</v>
      </c>
      <c r="C1023" s="3" t="str">
        <f>IFERROR(__xludf.DUMMYFUNCTION("GOOGLETRANSLATE(B1023,""id"",""en"")"),"['Communication', 'get', 'information', 'pulses', 'etc.']")</f>
        <v>['Communication', 'get', 'information', 'pulses', 'etc.']</v>
      </c>
      <c r="D1023" s="3">
        <v>5.0</v>
      </c>
    </row>
    <row r="1024" ht="15.75" customHeight="1">
      <c r="A1024" s="1">
        <v>1091.0</v>
      </c>
      <c r="B1024" s="3" t="s">
        <v>1014</v>
      </c>
      <c r="C1024" s="3" t="str">
        <f>IFERROR(__xludf.DUMMYFUNCTION("GOOGLETRANSLATE(B1024,""id"",""en"")"),"['PackageVelplon', 'track', 'cheap', '']")</f>
        <v>['PackageVelplon', 'track', 'cheap', '']</v>
      </c>
      <c r="D1024" s="3">
        <v>2.0</v>
      </c>
    </row>
    <row r="1025" ht="15.75" customHeight="1">
      <c r="A1025" s="1">
        <v>1092.0</v>
      </c>
      <c r="B1025" s="3" t="s">
        <v>1015</v>
      </c>
      <c r="C1025" s="3" t="str">
        <f>IFERROR(__xludf.DUMMYFUNCTION("GOOGLETRANSLATE(B1025,""id"",""en"")"),"['Shars', 'blan', 'hrga']")</f>
        <v>['Shars', 'blan', 'hrga']</v>
      </c>
      <c r="D1025" s="3">
        <v>4.0</v>
      </c>
    </row>
    <row r="1026" ht="15.75" customHeight="1">
      <c r="A1026" s="1">
        <v>1093.0</v>
      </c>
      <c r="B1026" s="3" t="s">
        <v>1016</v>
      </c>
      <c r="C1026" s="3" t="str">
        <f>IFERROR(__xludf.DUMMYFUNCTION("GOOGLETRANSLATE(B1026,""id"",""en"")"),"['Package', 'YouTube', 'GB', 'Dipake', '']")</f>
        <v>['Package', 'YouTube', 'GB', 'Dipake', '']</v>
      </c>
      <c r="D1026" s="3">
        <v>1.0</v>
      </c>
    </row>
    <row r="1027" ht="15.75" customHeight="1">
      <c r="A1027" s="1">
        <v>1094.0</v>
      </c>
      <c r="B1027" s="3" t="s">
        <v>1017</v>
      </c>
      <c r="C1027" s="3" t="str">
        <f>IFERROR(__xludf.DUMMYFUNCTION("GOOGLETRANSLATE(B1027,""id"",""en"")"),"['Help', 'so']")</f>
        <v>['Help', 'so']</v>
      </c>
      <c r="D1027" s="3">
        <v>5.0</v>
      </c>
    </row>
    <row r="1028" ht="15.75" customHeight="1">
      <c r="A1028" s="1">
        <v>1095.0</v>
      </c>
      <c r="B1028" s="3" t="s">
        <v>1018</v>
      </c>
      <c r="C1028" s="3" t="str">
        <f>IFERROR(__xludf.DUMMYFUNCTION("GOOGLETRANSLATE(B1028,""id"",""en"")"),"['Network', 'dragging', 'really']")</f>
        <v>['Network', 'dragging', 'really']</v>
      </c>
      <c r="D1028" s="3">
        <v>2.0</v>
      </c>
    </row>
    <row r="1029" ht="15.75" customHeight="1">
      <c r="A1029" s="1">
        <v>1096.0</v>
      </c>
      <c r="B1029" s="3" t="s">
        <v>1019</v>
      </c>
      <c r="C1029" s="3" t="str">
        <f>IFERROR(__xludf.DUMMYFUNCTION("GOOGLETRANSLATE(B1029,""id"",""en"")"),"['Points', 'Exchange', 'pulses']")</f>
        <v>['Points', 'Exchange', 'pulses']</v>
      </c>
      <c r="D1029" s="3">
        <v>1.0</v>
      </c>
    </row>
    <row r="1030" ht="15.75" customHeight="1">
      <c r="A1030" s="1">
        <v>1097.0</v>
      </c>
      <c r="B1030" s="3" t="s">
        <v>1020</v>
      </c>
      <c r="C1030" s="3" t="str">
        <f>IFERROR(__xludf.DUMMYFUNCTION("GOOGLETRANSLATE(B1030,""id"",""en"")"),"['knpa', 'Telkomsel', 'cave', 'NGK', 'open', 'screen', 'white', 'udh', 'cave', 'delete', 'cave', 'download', ' LGI ',' NGK ',' Open ',' Screen ',' White ',' Hmm ']")</f>
        <v>['knpa', 'Telkomsel', 'cave', 'NGK', 'open', 'screen', 'white', 'udh', 'cave', 'delete', 'cave', 'download', ' LGI ',' NGK ',' Open ',' Screen ',' White ',' Hmm ']</v>
      </c>
      <c r="D1030" s="3">
        <v>3.0</v>
      </c>
    </row>
    <row r="1031" ht="15.75" customHeight="1">
      <c r="A1031" s="1">
        <v>1098.0</v>
      </c>
      <c r="B1031" s="3" t="s">
        <v>1021</v>
      </c>
      <c r="C1031" s="3" t="str">
        <f>IFERROR(__xludf.DUMMYFUNCTION("GOOGLETRANSLATE(B1031,""id"",""en"")"),"['APK', 'Login', 'said', 'Try', 'UDH', 'APK', 'Stupid', 'Suggestion', 'I', 'Download', 'APK', ""]")</f>
        <v>['APK', 'Login', 'said', 'Try', 'UDH', 'APK', 'Stupid', 'Suggestion', 'I', 'Download', 'APK', "]</v>
      </c>
      <c r="D1031" s="3">
        <v>1.0</v>
      </c>
    </row>
    <row r="1032" ht="15.75" customHeight="1">
      <c r="A1032" s="1">
        <v>1099.0</v>
      </c>
      <c r="B1032" s="3" t="s">
        <v>1022</v>
      </c>
      <c r="C1032" s="3" t="str">
        <f>IFERROR(__xludf.DUMMYFUNCTION("GOOGLETRANSLATE(B1032,""id"",""en"")"),"['Network', 'ugly', 'solution', 'told', 'replace', 'APN', 'restart', 'solution', 'package', 'expensive', 'network', 'slow']")</f>
        <v>['Network', 'ugly', 'solution', 'told', 'replace', 'APN', 'restart', 'solution', 'package', 'expensive', 'network', 'slow']</v>
      </c>
      <c r="D1032" s="3">
        <v>2.0</v>
      </c>
    </row>
    <row r="1033" ht="15.75" customHeight="1">
      <c r="A1033" s="1">
        <v>1100.0</v>
      </c>
      <c r="B1033" s="3" t="s">
        <v>1023</v>
      </c>
      <c r="C1033" s="3" t="str">
        <f>IFERROR(__xludf.DUMMYFUNCTION("GOOGLETRANSLATE(B1033,""id"",""en"")"),"['Good', 'TPI', 'Honey', 'pulses',' sumps', 'then', 'yaa', 'package', 'TPI', 'good', 'network', 'josss',' where to']")</f>
        <v>['Good', 'TPI', 'Honey', 'pulses',' sumps', 'then', 'yaa', 'package', 'TPI', 'good', 'network', 'josss',' where to']</v>
      </c>
      <c r="D1033" s="3">
        <v>5.0</v>
      </c>
    </row>
    <row r="1034" ht="15.75" customHeight="1">
      <c r="A1034" s="1">
        <v>1101.0</v>
      </c>
      <c r="B1034" s="3" t="s">
        <v>1024</v>
      </c>
      <c r="C1034" s="3" t="str">
        <f>IFERROR(__xludf.DUMMYFUNCTION("GOOGLETRANSLATE(B1034,""id"",""en"")"),"['Telkomsel', 'choice', '']")</f>
        <v>['Telkomsel', 'choice', '']</v>
      </c>
      <c r="D1034" s="3">
        <v>5.0</v>
      </c>
    </row>
    <row r="1035" ht="15.75" customHeight="1">
      <c r="A1035" s="1">
        <v>1102.0</v>
      </c>
      <c r="B1035" s="3" t="s">
        <v>1025</v>
      </c>
      <c r="C1035" s="3" t="str">
        <f>IFERROR(__xludf.DUMMYFUNCTION("GOOGLETRANSLATE(B1035,""id"",""en"")"),"['please', 'Telkomsel', 'network', 'expansion', 'lgi', 'people', 'people', 'inland', 'signal', 'nggk', 'miss', 'era']")</f>
        <v>['please', 'Telkomsel', 'network', 'expansion', 'lgi', 'people', 'people', 'inland', 'signal', 'nggk', 'miss', 'era']</v>
      </c>
      <c r="D1035" s="3">
        <v>5.0</v>
      </c>
    </row>
    <row r="1036" ht="15.75" customHeight="1">
      <c r="A1036" s="1">
        <v>1103.0</v>
      </c>
      <c r="B1036" s="3" t="s">
        <v>1026</v>
      </c>
      <c r="C1036" s="3" t="str">
        <f>IFERROR(__xludf.DUMMYFUNCTION("GOOGLETRANSLATE(B1036,""id"",""en"")"),"['application', 'good', 'useful', 'Gituu', 'see', 'quota', 'and', 'bonus',' plusin ',' yaa ',' Telkomsel ',' quota ',' Nyaa ',' alsoaa ',' ']")</f>
        <v>['application', 'good', 'useful', 'Gituu', 'see', 'quota', 'and', 'bonus',' plusin ',' yaa ',' Telkomsel ',' quota ',' Nyaa ',' alsoaa ',' ']</v>
      </c>
      <c r="D1036" s="3">
        <v>5.0</v>
      </c>
    </row>
    <row r="1037" ht="15.75" customHeight="1">
      <c r="A1037" s="1">
        <v>1104.0</v>
      </c>
      <c r="B1037" s="3" t="s">
        <v>1027</v>
      </c>
      <c r="C1037" s="3" t="str">
        <f>IFERROR(__xludf.DUMMYFUNCTION("GOOGLETRANSLATE(B1037,""id"",""en"")"),"['quota', 'gamemax', 'silver', 'GB', 'GB', 'Move', 'Haluan', ""]")</f>
        <v>['quota', 'gamemax', 'silver', 'GB', 'GB', 'Move', 'Haluan', "]</v>
      </c>
      <c r="D1037" s="3">
        <v>1.0</v>
      </c>
    </row>
    <row r="1038" ht="15.75" customHeight="1">
      <c r="A1038" s="1">
        <v>1105.0</v>
      </c>
      <c r="B1038" s="3" t="s">
        <v>1028</v>
      </c>
      <c r="C1038" s="3" t="str">
        <f>IFERROR(__xludf.DUMMYFUNCTION("GOOGLETRANSLATE(B1038,""id"",""en"")"),"['Help', 'Fix', 'Signal', 'Region', 'Donk']")</f>
        <v>['Help', 'Fix', 'Signal', 'Region', 'Donk']</v>
      </c>
      <c r="D1038" s="3">
        <v>5.0</v>
      </c>
    </row>
    <row r="1039" ht="15.75" customHeight="1">
      <c r="A1039" s="1">
        <v>1106.0</v>
      </c>
      <c r="B1039" s="3" t="s">
        <v>1029</v>
      </c>
      <c r="C1039" s="3" t="str">
        <f>IFERROR(__xludf.DUMMYFUNCTION("GOOGLETRANSLATE(B1039,""id"",""en"")"),"['Bagus', 'times', 'APK']")</f>
        <v>['Bagus', 'times', 'APK']</v>
      </c>
      <c r="D1039" s="3">
        <v>4.0</v>
      </c>
    </row>
    <row r="1040" ht="15.75" customHeight="1">
      <c r="A1040" s="1">
        <v>1107.0</v>
      </c>
      <c r="B1040" s="3" t="s">
        <v>1030</v>
      </c>
      <c r="C1040" s="3" t="str">
        <f>IFERROR(__xludf.DUMMYFUNCTION("GOOGLETRANSLATE(B1040,""id"",""en"")"),"['Like', 'Telkomsel', 'Media', 'Internet', 'Sousal', 'Current', 'Service', 'Good', 'Use', 'Telkomsel', 'Satisfied', 'Accept', ' Love ',' concern ', ""]")</f>
        <v>['Like', 'Telkomsel', 'Media', 'Internet', 'Sousal', 'Current', 'Service', 'Good', 'Use', 'Telkomsel', 'Satisfied', 'Accept', ' Love ',' concern ', "]</v>
      </c>
      <c r="D1040" s="3">
        <v>5.0</v>
      </c>
    </row>
    <row r="1041" ht="15.75" customHeight="1">
      <c r="A1041" s="1">
        <v>1108.0</v>
      </c>
      <c r="B1041" s="3" t="s">
        <v>1031</v>
      </c>
      <c r="C1041" s="3" t="str">
        <f>IFERROR(__xludf.DUMMYFUNCTION("GOOGLETRANSLATE(B1041,""id"",""en"")"),"['Network', 'Telkomsel', 'slow', 'slow', 'it's soaking', 'change', 'price', 'expensive', 'network', 'slow', 'package', 'bely', ' Examples', 'quota', 'local', 'quota', 'internet', 'GB', 'quota', 'watch', 'GB', 'community', 'restless',' tomorrow ',' tomorro"&amp;"w ' , 'Change', 'quota', 'indutri', 'haduuu', 'poor', 'poor', 'jadiin', 'quota', 'internet', 'people', 'buy', 'limit']")</f>
        <v>['Network', 'Telkomsel', 'slow', 'slow', 'it's soaking', 'change', 'price', 'expensive', 'network', 'slow', 'package', 'bely', ' Examples', 'quota', 'local', 'quota', 'internet', 'GB', 'quota', 'watch', 'GB', 'community', 'restless',' tomorrow ',' tomorrow ' , 'Change', 'quota', 'indutri', 'haduuu', 'poor', 'poor', 'jadiin', 'quota', 'internet', 'people', 'buy', 'limit']</v>
      </c>
      <c r="D1041" s="3">
        <v>1.0</v>
      </c>
    </row>
    <row r="1042" ht="15.75" customHeight="1">
      <c r="A1042" s="1">
        <v>1109.0</v>
      </c>
      <c r="B1042" s="3" t="s">
        <v>1032</v>
      </c>
      <c r="C1042" s="3" t="str">
        <f>IFERROR(__xludf.DUMMYFUNCTION("GOOGLETRANSLATE(B1042,""id"",""en"")"),"['Love', 'Star', 'Karana', 'Update', 'Open']")</f>
        <v>['Love', 'Star', 'Karana', 'Update', 'Open']</v>
      </c>
      <c r="D1042" s="3">
        <v>5.0</v>
      </c>
    </row>
    <row r="1043" ht="15.75" customHeight="1">
      <c r="A1043" s="1">
        <v>1110.0</v>
      </c>
      <c r="B1043" s="3" t="s">
        <v>1033</v>
      </c>
      <c r="C1043" s="3" t="str">
        <f>IFERROR(__xludf.DUMMYFUNCTION("GOOGLETRANSLATE(B1043,""id"",""en"")"),"['Ngiss', 'Kon', 'Toll', 'Bakko', 'Broken']")</f>
        <v>['Ngiss', 'Kon', 'Toll', 'Bakko', 'Broken']</v>
      </c>
      <c r="D1043" s="3">
        <v>5.0</v>
      </c>
    </row>
    <row r="1044" ht="15.75" customHeight="1">
      <c r="A1044" s="1">
        <v>1111.0</v>
      </c>
      <c r="B1044" s="3" t="s">
        <v>1034</v>
      </c>
      <c r="C1044" s="3" t="str">
        <f>IFERROR(__xludf.DUMMYFUNCTION("GOOGLETRANSLATE(B1044,""id"",""en"")"),"['Application', 'Telkomsel', 'Helping', 'openness', 'Information', 'Public', 'Rakyasa', ""]")</f>
        <v>['Application', 'Telkomsel', 'Helping', 'openness', 'Information', 'Public', 'Rakyasa', "]</v>
      </c>
      <c r="D1044" s="3">
        <v>4.0</v>
      </c>
    </row>
    <row r="1045" ht="15.75" customHeight="1">
      <c r="A1045" s="1">
        <v>1112.0</v>
      </c>
      <c r="B1045" s="3" t="s">
        <v>1035</v>
      </c>
      <c r="C1045" s="3" t="str">
        <f>IFERROR(__xludf.DUMMYFUNCTION("GOOGLETRANSLATE(B1045,""id"",""en"")"),"['payment', 'method', 'missing', 'update', 'difix', 'full', 'appreciation', 'star', ""]")</f>
        <v>['payment', 'method', 'missing', 'update', 'difix', 'full', 'appreciation', 'star', "]</v>
      </c>
      <c r="D1045" s="3">
        <v>3.0</v>
      </c>
    </row>
    <row r="1046" ht="15.75" customHeight="1">
      <c r="A1046" s="1">
        <v>1113.0</v>
      </c>
      <c r="B1046" s="3" t="s">
        <v>1036</v>
      </c>
      <c r="C1046" s="3" t="str">
        <f>IFERROR(__xludf.DUMMYFUNCTION("GOOGLETRANSLATE(B1046,""id"",""en"")"),"['Disappointed', 'opened', 'app', 'times', 'open', 'delete', 'data', 'waste', 'kuaota', 'then']")</f>
        <v>['Disappointed', 'opened', 'app', 'times', 'open', 'delete', 'data', 'waste', 'kuaota', 'then']</v>
      </c>
      <c r="D1046" s="3">
        <v>1.0</v>
      </c>
    </row>
    <row r="1047" ht="15.75" customHeight="1">
      <c r="A1047" s="1">
        <v>1114.0</v>
      </c>
      <c r="B1047" s="3" t="s">
        <v>1037</v>
      </c>
      <c r="C1047" s="3" t="str">
        <f>IFERROR(__xludf.DUMMYFUNCTION("GOOGLETRANSLATE(B1047,""id"",""en"")"),"['Application', 'Telkomsel', 'Bukak', 'Click', 'Image', 'Please', 'Assisted']")</f>
        <v>['Application', 'Telkomsel', 'Bukak', 'Click', 'Image', 'Please', 'Assisted']</v>
      </c>
      <c r="D1047" s="3">
        <v>5.0</v>
      </c>
    </row>
    <row r="1048" ht="15.75" customHeight="1">
      <c r="A1048" s="1">
        <v>1115.0</v>
      </c>
      <c r="B1048" s="3" t="s">
        <v>1038</v>
      </c>
      <c r="C1048" s="3" t="str">
        <f>IFERROR(__xludf.DUMMYFUNCTION("GOOGLETRANSLATE(B1048,""id"",""en"")"),"['Informqif', 'easy']")</f>
        <v>['Informqif', 'easy']</v>
      </c>
      <c r="D1048" s="3">
        <v>4.0</v>
      </c>
    </row>
    <row r="1049" ht="15.75" customHeight="1">
      <c r="A1049" s="1">
        <v>1116.0</v>
      </c>
      <c r="B1049" s="3" t="s">
        <v>1039</v>
      </c>
      <c r="C1049" s="3" t="str">
        <f>IFERROR(__xludf.DUMMYFUNCTION("GOOGLETRANSLATE(B1049,""id"",""en"")"),"['Telkomsel', 'opened', 'thank', 'love', 'Telkomsel', '']")</f>
        <v>['Telkomsel', 'opened', 'thank', 'love', 'Telkomsel', '']</v>
      </c>
      <c r="D1049" s="3">
        <v>5.0</v>
      </c>
    </row>
    <row r="1050" ht="15.75" customHeight="1">
      <c r="A1050" s="1">
        <v>1117.0</v>
      </c>
      <c r="B1050" s="3" t="s">
        <v>1040</v>
      </c>
      <c r="C1050" s="3" t="str">
        <f>IFERROR(__xludf.DUMMYFUNCTION("GOOGLETRANSLATE(B1050,""id"",""en"")"),"['Good', 'fast', 'checked', 'data', 'difficult', 'help', 'min', '']")</f>
        <v>['Good', 'fast', 'checked', 'data', 'difficult', 'help', 'min', '']</v>
      </c>
      <c r="D1050" s="3">
        <v>4.0</v>
      </c>
    </row>
    <row r="1051" ht="15.75" customHeight="1">
      <c r="A1051" s="1">
        <v>1118.0</v>
      </c>
      <c r="B1051" s="3" t="s">
        <v>1041</v>
      </c>
      <c r="C1051" s="3" t="str">
        <f>IFERROR(__xludf.DUMMYFUNCTION("GOOGLETRANSLATE(B1051,""id"",""en"")"),"['Network', 'kbs', 'ngeapain', 'crazy', 'network', 'sympathy', 'destroyed', 'TPI', 'package', 'taking', ""]")</f>
        <v>['Network', 'kbs', 'ngeapain', 'crazy', 'network', 'sympathy', 'destroyed', 'TPI', 'package', 'taking', "]</v>
      </c>
      <c r="D1051" s="3">
        <v>1.0</v>
      </c>
    </row>
    <row r="1052" ht="15.75" customHeight="1">
      <c r="A1052" s="1">
        <v>1119.0</v>
      </c>
      <c r="B1052" s="3" t="s">
        <v>1042</v>
      </c>
      <c r="C1052" s="3" t="str">
        <f>IFERROR(__xludf.DUMMYFUNCTION("GOOGLETRANSLATE(B1052,""id"",""en"")"),"['Actually', 'Males',' Give ',' Review ',' Bales', 'Read', 'Bot', 'Doang', 'As',' Discussion ',' Customer ',' Give ',' solution ',' that's', 'that's',' solution ',' complete ',' persistence ',' customer ',' ']")</f>
        <v>['Actually', 'Males',' Give ',' Review ',' Bales', 'Read', 'Bot', 'Doang', 'As',' Discussion ',' Customer ',' Give ',' solution ',' that's', 'that's',' solution ',' complete ',' persistence ',' customer ',' ']</v>
      </c>
      <c r="D1052" s="3">
        <v>1.0</v>
      </c>
    </row>
    <row r="1053" ht="15.75" customHeight="1">
      <c r="A1053" s="1">
        <v>1120.0</v>
      </c>
      <c r="B1053" s="3" t="s">
        <v>1043</v>
      </c>
      <c r="C1053" s="3" t="str">
        <f>IFERROR(__xludf.DUMMYFUNCTION("GOOGLETRANSLATE(B1053,""id"",""en"")"),"['thank', 'love', 'Telkomsel', 'believe', 'Telkomsel', 'use', 'card', 'telkosem']")</f>
        <v>['thank', 'love', 'Telkomsel', 'believe', 'Telkomsel', 'use', 'card', 'telkosem']</v>
      </c>
      <c r="D1053" s="3">
        <v>5.0</v>
      </c>
    </row>
    <row r="1054" ht="15.75" customHeight="1">
      <c r="A1054" s="1">
        <v>1121.0</v>
      </c>
      <c r="B1054" s="3" t="s">
        <v>1044</v>
      </c>
      <c r="C1054" s="3" t="str">
        <f>IFERROR(__xludf.DUMMYFUNCTION("GOOGLETRANSLATE(B1054,""id"",""en"")"),"['good', '']")</f>
        <v>['good', '']</v>
      </c>
      <c r="D1054" s="3">
        <v>5.0</v>
      </c>
    </row>
    <row r="1055" ht="15.75" customHeight="1">
      <c r="A1055" s="1">
        <v>1122.0</v>
      </c>
      <c r="B1055" s="3" t="s">
        <v>1045</v>
      </c>
      <c r="C1055" s="3" t="str">
        <f>IFERROR(__xludf.DUMMYFUNCTION("GOOGLETRANSLATE(B1055,""id"",""en"")"),"['Mantab', '']")</f>
        <v>['Mantab', '']</v>
      </c>
      <c r="D1055" s="3">
        <v>5.0</v>
      </c>
    </row>
    <row r="1056" ht="15.75" customHeight="1">
      <c r="A1056" s="1">
        <v>1123.0</v>
      </c>
      <c r="B1056" s="3" t="s">
        <v>1046</v>
      </c>
      <c r="C1056" s="3" t="str">
        <f>IFERROR(__xludf.DUMMYFUNCTION("GOOGLETRANSLATE(B1056,""id"",""en"")"),"['signal', 'ugly', 'package', 'doang', 'expensive', 'according to', 'pke', 'play', 'game', 'udh', 'bsa', 'believe', ' Sya ',' Kcewa ',' as', 'member', ""]")</f>
        <v>['signal', 'ugly', 'package', 'doang', 'expensive', 'according to', 'pke', 'play', 'game', 'udh', 'bsa', 'believe', ' Sya ',' Kcewa ',' as', 'member', "]</v>
      </c>
      <c r="D1056" s="3">
        <v>1.0</v>
      </c>
    </row>
    <row r="1057" ht="15.75" customHeight="1">
      <c r="A1057" s="1">
        <v>1124.0</v>
      </c>
      <c r="B1057" s="3" t="s">
        <v>1047</v>
      </c>
      <c r="C1057" s="3" t="str">
        <f>IFERROR(__xludf.DUMMYFUNCTION("GOOGLETRANSLATE(B1057,""id"",""en"")"),"['application', 'petrified', 'reality', 'strength', 'signal', 'weak', '']")</f>
        <v>['application', 'petrified', 'reality', 'strength', 'signal', 'weak', '']</v>
      </c>
      <c r="D1057" s="3">
        <v>2.0</v>
      </c>
    </row>
    <row r="1058" ht="15.75" customHeight="1">
      <c r="A1058" s="1">
        <v>1125.0</v>
      </c>
      <c r="B1058" s="3" t="s">
        <v>1048</v>
      </c>
      <c r="C1058" s="3" t="str">
        <f>IFERROR(__xludf.DUMMYFUNCTION("GOOGLETRANSLATE(B1058,""id"",""en"")"),"['', 'Open', 'wants',' update ',' againiiiiiiiiiiiiiiiiiiiiiiiiiii")</f>
        <v>['', 'Open', 'wants',' update ',' againiiiiiiiiiiiiiiiiiiiiiiiiiii</v>
      </c>
      <c r="D1058" s="3">
        <v>5.0</v>
      </c>
    </row>
    <row r="1059" ht="15.75" customHeight="1">
      <c r="A1059" s="1">
        <v>1126.0</v>
      </c>
      <c r="B1059" s="3" t="s">
        <v>1049</v>
      </c>
      <c r="C1059" s="3" t="str">
        <f>IFERROR(__xludf.DUMMYFUNCTION("GOOGLETRANSLATE(B1059,""id"",""en"")"),"['Telkomsel', 'opened', 'difficult', '']")</f>
        <v>['Telkomsel', 'opened', 'difficult', '']</v>
      </c>
      <c r="D1059" s="3">
        <v>1.0</v>
      </c>
    </row>
    <row r="1060" ht="15.75" customHeight="1">
      <c r="A1060" s="1">
        <v>1127.0</v>
      </c>
      <c r="B1060" s="3" t="s">
        <v>1050</v>
      </c>
      <c r="C1060" s="3" t="str">
        <f>IFERROR(__xludf.DUMMYFUNCTION("GOOGLETRANSLATE(B1060,""id"",""en"")"),"['', 'Try', 'Bilim']")</f>
        <v>['', 'Try', 'Bilim']</v>
      </c>
      <c r="D1060" s="3">
        <v>4.0</v>
      </c>
    </row>
    <row r="1061" ht="15.75" customHeight="1">
      <c r="A1061" s="1">
        <v>1128.0</v>
      </c>
      <c r="B1061" s="3" t="s">
        <v>1051</v>
      </c>
      <c r="C1061" s="3" t="str">
        <f>IFERROR(__xludf.DUMMYFUNCTION("GOOGLETRANSLATE(B1061,""id"",""en"")"),"['difficult', 'bngt', 'can', 'signal', 'ugly', 'signal', 'please', 'fix', 'trmksh', ""]")</f>
        <v>['difficult', 'bngt', 'can', 'signal', 'ugly', 'signal', 'please', 'fix', 'trmksh', "]</v>
      </c>
      <c r="D1061" s="3">
        <v>1.0</v>
      </c>
    </row>
    <row r="1062" ht="15.75" customHeight="1">
      <c r="A1062" s="1">
        <v>1129.0</v>
      </c>
      <c r="B1062" s="3" t="s">
        <v>1052</v>
      </c>
      <c r="C1062" s="3" t="str">
        <f>IFERROR(__xludf.DUMMYFUNCTION("GOOGLETRANSLATE(B1062,""id"",""en"")"),"['Retin', 'Credit', 'Fill', 'buy', 'quota', 'pulse', 'right', 'buy', 'quota', 'transaction', 'fail', 'the reason', ' Credit ',' Adequate ',' Open ',' Application ',' WiFi ',' Restart ',' Open ',' Appsi ',' Telkomsel ',' Lakh ',' Credit ',' Live ',' Kmna '"&amp;" , '']")</f>
        <v>['Retin', 'Credit', 'Fill', 'buy', 'quota', 'pulse', 'right', 'buy', 'quota', 'transaction', 'fail', 'the reason', ' Credit ',' Adequate ',' Open ',' Application ',' WiFi ',' Restart ',' Open ',' Appsi ',' Telkomsel ',' Lakh ',' Credit ',' Live ',' Kmna ' , '']</v>
      </c>
      <c r="D1062" s="3">
        <v>1.0</v>
      </c>
    </row>
    <row r="1063" ht="15.75" customHeight="1">
      <c r="A1063" s="1">
        <v>1130.0</v>
      </c>
      <c r="B1063" s="3" t="s">
        <v>1053</v>
      </c>
      <c r="C1063" s="3" t="str">
        <f>IFERROR(__xludf.DUMMYFUNCTION("GOOGLETRANSLATE(B1063,""id"",""en"")"),"['Come', 'Edan', 'Signal']")</f>
        <v>['Come', 'Edan', 'Signal']</v>
      </c>
      <c r="D1063" s="3">
        <v>1.0</v>
      </c>
    </row>
    <row r="1064" ht="15.75" customHeight="1">
      <c r="A1064" s="1">
        <v>1131.0</v>
      </c>
      <c r="B1064" s="3" t="s">
        <v>1054</v>
      </c>
      <c r="C1064" s="3" t="str">
        <f>IFERROR(__xludf.DUMMYFUNCTION("GOOGLETRANSLATE(B1064,""id"",""en"")"),"['Russy', 'Gue', 'Card', 'Telkomsel', 'Network', 'Rich', 'Taiiii', 'Lemot', 'Asuuu']")</f>
        <v>['Russy', 'Gue', 'Card', 'Telkomsel', 'Network', 'Rich', 'Taiiii', 'Lemot', 'Asuuu']</v>
      </c>
      <c r="D1064" s="3">
        <v>1.0</v>
      </c>
    </row>
    <row r="1065" ht="15.75" customHeight="1">
      <c r="A1065" s="1">
        <v>1132.0</v>
      </c>
      <c r="B1065" s="3" t="s">
        <v>1055</v>
      </c>
      <c r="C1065" s="3" t="str">
        <f>IFERROR(__xludf.DUMMYFUNCTION("GOOGLETRANSLATE(B1065,""id"",""en"")"),"['Telkomsel', 'network', 'Telkomsel', 'emang', 'disappointing', 'price', 'expensive', 'connection', 'problematic', 'times', 'disappointed']")</f>
        <v>['Telkomsel', 'network', 'Telkomsel', 'emang', 'disappointing', 'price', 'expensive', 'connection', 'problematic', 'times', 'disappointed']</v>
      </c>
      <c r="D1065" s="3">
        <v>1.0</v>
      </c>
    </row>
    <row r="1066" ht="15.75" customHeight="1">
      <c r="A1066" s="1">
        <v>1133.0</v>
      </c>
      <c r="B1066" s="3" t="s">
        <v>1056</v>
      </c>
      <c r="C1066" s="3" t="str">
        <f>IFERROR(__xludf.DUMMYFUNCTION("GOOGLETRANSLATE(B1066,""id"",""en"")"),"['hmm', 'how', 'quota', 'ties', 'pulses', 'severe', 'Telkomsel']")</f>
        <v>['hmm', 'how', 'quota', 'ties', 'pulses', 'severe', 'Telkomsel']</v>
      </c>
      <c r="D1066" s="3">
        <v>1.0</v>
      </c>
    </row>
    <row r="1067" ht="15.75" customHeight="1">
      <c r="A1067" s="1">
        <v>1134.0</v>
      </c>
      <c r="B1067" s="3" t="s">
        <v>1057</v>
      </c>
      <c r="C1067" s="3" t="str">
        <f>IFERROR(__xludf.DUMMYFUNCTION("GOOGLETRANSLATE(B1067,""id"",""en"")"),"['Tattered', 'menu', 'user', 'kayak']")</f>
        <v>['Tattered', 'menu', 'user', 'kayak']</v>
      </c>
      <c r="D1067" s="3">
        <v>4.0</v>
      </c>
    </row>
    <row r="1068" ht="15.75" customHeight="1">
      <c r="A1068" s="1">
        <v>1135.0</v>
      </c>
      <c r="B1068" s="3" t="s">
        <v>1058</v>
      </c>
      <c r="C1068" s="3" t="str">
        <f>IFERROR(__xludf.DUMMYFUNCTION("GOOGLETRANSLATE(B1068,""id"",""en"")"),"['Sebel', 'deh', 'no', 'buy', 'package', 'internet', 'problematic', 'reseh', 'reset', 'basically', 'mending', 'no', ' Telkomsel ',' deh ',' difficult ',' signal ',' apk ',' no ']")</f>
        <v>['Sebel', 'deh', 'no', 'buy', 'package', 'internet', 'problematic', 'reseh', 'reset', 'basically', 'mending', 'no', ' Telkomsel ',' deh ',' difficult ',' signal ',' apk ',' no ']</v>
      </c>
      <c r="D1068" s="3">
        <v>1.0</v>
      </c>
    </row>
    <row r="1069" ht="15.75" customHeight="1">
      <c r="A1069" s="1">
        <v>1136.0</v>
      </c>
      <c r="B1069" s="3" t="s">
        <v>1059</v>
      </c>
      <c r="C1069" s="3" t="str">
        <f>IFERROR(__xludf.DUMMYFUNCTION("GOOGLETRANSLATE(B1069,""id"",""en"")"),"['update', 'signal', 'like', 'ilang', 'ilang', 'Kek', '']")</f>
        <v>['update', 'signal', 'like', 'ilang', 'ilang', 'Kek', '']</v>
      </c>
      <c r="D1069" s="3">
        <v>1.0</v>
      </c>
    </row>
    <row r="1070" ht="15.75" customHeight="1">
      <c r="A1070" s="1">
        <v>1137.0</v>
      </c>
      <c r="B1070" s="3" t="s">
        <v>1060</v>
      </c>
      <c r="C1070" s="3" t="str">
        <f>IFERROR(__xludf.DUMMYFUNCTION("GOOGLETRANSLATE(B1070,""id"",""en"")"),"['Increase', ""]")</f>
        <v>['Increase', "]</v>
      </c>
      <c r="D1070" s="3">
        <v>5.0</v>
      </c>
    </row>
    <row r="1071" ht="15.75" customHeight="1">
      <c r="A1071" s="1">
        <v>1138.0</v>
      </c>
      <c r="B1071" s="3" t="s">
        <v>1061</v>
      </c>
      <c r="C1071" s="3" t="str">
        <f>IFERROR(__xludf.DUMMYFUNCTION("GOOGLETRANSLATE(B1071,""id"",""en"")"),"['Telkomsel', 'scam', 'already', 'buy', 'voucher', 'vidio', 'point', 'fit', 'entered', 'code', 'voucher', 'steady']")</f>
        <v>['Telkomsel', 'scam', 'already', 'buy', 'voucher', 'vidio', 'point', 'fit', 'entered', 'code', 'voucher', 'steady']</v>
      </c>
      <c r="D1071" s="3">
        <v>1.0</v>
      </c>
    </row>
    <row r="1072" ht="15.75" customHeight="1">
      <c r="A1072" s="1">
        <v>1139.0</v>
      </c>
      <c r="B1072" s="3" t="s">
        <v>1062</v>
      </c>
      <c r="C1072" s="3" t="str">
        <f>IFERROR(__xludf.DUMMYFUNCTION("GOOGLETRANSLATE(B1072,""id"",""en"")"),"['network', 'internet', 'satisfying', 'stable', 'Telkomsel', 'no', 'rely on', 'network', '']")</f>
        <v>['network', 'internet', 'satisfying', 'stable', 'Telkomsel', 'no', 'rely on', 'network', '']</v>
      </c>
      <c r="D1072" s="3">
        <v>1.0</v>
      </c>
    </row>
    <row r="1073" ht="15.75" customHeight="1">
      <c r="A1073" s="1">
        <v>1140.0</v>
      </c>
      <c r="B1073" s="3" t="s">
        <v>1063</v>
      </c>
      <c r="C1073" s="3" t="str">
        <f>IFERROR(__xludf.DUMMYFUNCTION("GOOGLETRANSLATE(B1073,""id"",""en"")"),"['Even though', 'expensive', 'signal', 'goib', 'GPP', '']")</f>
        <v>['Even though', 'expensive', 'signal', 'goib', 'GPP', '']</v>
      </c>
      <c r="D1073" s="3">
        <v>5.0</v>
      </c>
    </row>
    <row r="1074" ht="15.75" customHeight="1">
      <c r="A1074" s="1">
        <v>1142.0</v>
      </c>
      <c r="B1074" s="3" t="s">
        <v>1064</v>
      </c>
      <c r="C1074" s="3" t="str">
        <f>IFERROR(__xludf.DUMMYFUNCTION("GOOGLETRANSLATE(B1074,""id"",""en"")"),"['Okay', 'the applications', 'steady', 'please', 'Increase', 'Teeus', 'boss', '']")</f>
        <v>['Okay', 'the applications', 'steady', 'please', 'Increase', 'Teeus', 'boss', '']</v>
      </c>
      <c r="D1074" s="3">
        <v>5.0</v>
      </c>
    </row>
    <row r="1075" ht="15.75" customHeight="1">
      <c r="A1075" s="1">
        <v>1143.0</v>
      </c>
      <c r="B1075" s="3" t="s">
        <v>1065</v>
      </c>
      <c r="C1075" s="3" t="str">
        <f>IFERROR(__xludf.DUMMYFUNCTION("GOOGLETRANSLATE(B1075,""id"",""en"")"),"['expensive', 'Doang', 'Siyala', 'Leet']")</f>
        <v>['expensive', 'Doang', 'Siyala', 'Leet']</v>
      </c>
      <c r="D1075" s="3">
        <v>1.0</v>
      </c>
    </row>
    <row r="1076" ht="15.75" customHeight="1">
      <c r="A1076" s="1">
        <v>1144.0</v>
      </c>
      <c r="B1076" s="3" t="s">
        <v>1066</v>
      </c>
      <c r="C1076" s="3" t="str">
        <f>IFERROR(__xludf.DUMMYFUNCTION("GOOGLETRANSLATE(B1076,""id"",""en"")"),"['Min', 'signal', 'ugly', 'Please', 'Read', 'Min', 'Tournament', 'Game', 'Need', 'As soon as',' Sousal ',' Good ',' Min ',' mythless', 'signal', 'Ngelag', 'Min', 'Kaga', 'Tuker', 'Point', 'Jadiin', 'Voucher', 'Game', 'Min', ""]")</f>
        <v>['Min', 'signal', 'ugly', 'Please', 'Read', 'Min', 'Tournament', 'Game', 'Need', 'As soon as',' Sousal ',' Good ',' Min ',' mythless', 'signal', 'Ngelag', 'Min', 'Kaga', 'Tuker', 'Point', 'Jadiin', 'Voucher', 'Game', 'Min', "]</v>
      </c>
      <c r="D1076" s="3">
        <v>2.0</v>
      </c>
    </row>
    <row r="1077" ht="15.75" customHeight="1">
      <c r="A1077" s="1">
        <v>1146.0</v>
      </c>
      <c r="B1077" s="3" t="s">
        <v>1067</v>
      </c>
      <c r="C1077" s="3" t="str">
        <f>IFERROR(__xludf.DUMMYFUNCTION("GOOGLETRANSLATE(B1077,""id"",""en"")"),"['Perna', 'Exchange', 'Points', 'PULASA', 'How']")</f>
        <v>['Perna', 'Exchange', 'Points', 'PULASA', 'How']</v>
      </c>
      <c r="D1077" s="3">
        <v>1.0</v>
      </c>
    </row>
    <row r="1078" ht="15.75" customHeight="1">
      <c r="A1078" s="1">
        <v>1147.0</v>
      </c>
      <c r="B1078" s="3" t="s">
        <v>1068</v>
      </c>
      <c r="C1078" s="3" t="str">
        <f>IFERROR(__xludf.DUMMYFUNCTION("GOOGLETRANSLATE(B1078,""id"",""en"")"),"['Telkomsel', 'good', 'good', 'broken']")</f>
        <v>['Telkomsel', 'good', 'good', 'broken']</v>
      </c>
      <c r="D1078" s="3">
        <v>1.0</v>
      </c>
    </row>
    <row r="1079" ht="15.75" customHeight="1">
      <c r="A1079" s="1">
        <v>1148.0</v>
      </c>
      <c r="B1079" s="3" t="s">
        <v>1069</v>
      </c>
      <c r="C1079" s="3" t="str">
        <f>IFERROR(__xludf.DUMMYFUNCTION("GOOGLETRANSLATE(B1079,""id"",""en"")"),"['update', 'mulu', 'network', 'updated', 'here', 'gajelas', 'network', 'internet']")</f>
        <v>['update', 'mulu', 'network', 'updated', 'here', 'gajelas', 'network', 'internet']</v>
      </c>
      <c r="D1079" s="3">
        <v>1.0</v>
      </c>
    </row>
    <row r="1080" ht="15.75" customHeight="1">
      <c r="A1080" s="1">
        <v>1149.0</v>
      </c>
      <c r="B1080" s="3" t="s">
        <v>1070</v>
      </c>
      <c r="C1080" s="3" t="str">
        <f>IFERROR(__xludf.DUMMYFUNCTION("GOOGLETRANSLATE(B1080,""id"",""en"")"),"['Nge', 'lag', 'COK', 'boss', 'share', 'Lock', 'pig', 'bitch']")</f>
        <v>['Nge', 'lag', 'COK', 'boss', 'share', 'Lock', 'pig', 'bitch']</v>
      </c>
      <c r="D1080" s="3">
        <v>1.0</v>
      </c>
    </row>
    <row r="1081" ht="15.75" customHeight="1">
      <c r="A1081" s="1">
        <v>1150.0</v>
      </c>
      <c r="B1081" s="3" t="s">
        <v>1071</v>
      </c>
      <c r="C1081" s="3" t="str">
        <f>IFERROR(__xludf.DUMMYFUNCTION("GOOGLETRANSLATE(B1081,""id"",""en"")"),"['signal', 'Test', 'destroyed', 'package', 'expensive', 'lgi', ""]")</f>
        <v>['signal', 'Test', 'destroyed', 'package', 'expensive', 'lgi', "]</v>
      </c>
      <c r="D1081" s="3">
        <v>3.0</v>
      </c>
    </row>
    <row r="1082" ht="15.75" customHeight="1">
      <c r="A1082" s="1">
        <v>1152.0</v>
      </c>
      <c r="B1082" s="3" t="s">
        <v>1072</v>
      </c>
      <c r="C1082" s="3" t="str">
        <f>IFERROR(__xludf.DUMMYFUNCTION("GOOGLETRANSLATE(B1082,""id"",""en"")"),"['Wes', 'Wes', 'Sousal', 'ugly', 'wifi', 'orbitpun', 'surprised', 'Telkomsel', 'bad', 'quality', 'signal']")</f>
        <v>['Wes', 'Wes', 'Sousal', 'ugly', 'wifi', 'orbitpun', 'surprised', 'Telkomsel', 'bad', 'quality', 'signal']</v>
      </c>
      <c r="D1082" s="3">
        <v>2.0</v>
      </c>
    </row>
    <row r="1083" ht="15.75" customHeight="1">
      <c r="A1083" s="1">
        <v>1153.0</v>
      </c>
      <c r="B1083" s="3" t="s">
        <v>1073</v>
      </c>
      <c r="C1083" s="3" t="str">
        <f>IFERROR(__xludf.DUMMYFUNCTION("GOOGLETRANSLATE(B1083,""id"",""en"")"),"['quota', 'you', 'expensive', 'mahalin', 'network', 'you', 'yeah', 'no', 'ethics',' you ',' you ',' buy ',' Quota ',' You ',' expensive ',' Daon ',' money ',' times', 'Beni', 'weve', 'you', 'Mending', 'replace', 'card']")</f>
        <v>['quota', 'you', 'expensive', 'mahalin', 'network', 'you', 'yeah', 'no', 'ethics',' you ',' you ',' buy ',' Quota ',' You ',' expensive ',' Daon ',' money ',' times', 'Beni', 'weve', 'you', 'Mending', 'replace', 'card']</v>
      </c>
      <c r="D1083" s="3">
        <v>1.0</v>
      </c>
    </row>
    <row r="1084" ht="15.75" customHeight="1">
      <c r="A1084" s="1">
        <v>1154.0</v>
      </c>
      <c r="B1084" s="3" t="s">
        <v>1074</v>
      </c>
      <c r="C1084" s="3" t="str">
        <f>IFERROR(__xludf.DUMMYFUNCTION("GOOGLETRANSLATE(B1084,""id"",""en"")"),"['improvement', 'signal', 'continuous']")</f>
        <v>['improvement', 'signal', 'continuous']</v>
      </c>
      <c r="D1084" s="3">
        <v>2.0</v>
      </c>
    </row>
    <row r="1085" ht="15.75" customHeight="1">
      <c r="A1085" s="1">
        <v>1155.0</v>
      </c>
      <c r="B1085" s="3" t="s">
        <v>1075</v>
      </c>
      <c r="C1085" s="3" t="str">
        <f>IFERROR(__xludf.DUMMYFUNCTION("GOOGLETRANSLATE(B1085,""id"",""en"")"),"['Disappointed', 'Rules',' FUP ',' Quota ',' Multimedia ',' Mbps', 'Gabisa', 'Delivered', 'Delete', 'Quota', 'Multimedian', ' buy ',' package ',' quota ',' main ',' quota ',' multimedia ',' fool ',' please ',' fox ',' rule ',' fup ']")</f>
        <v>['Disappointed', 'Rules',' FUP ',' Quota ',' Multimedia ',' Mbps', 'Gabisa', 'Delivered', 'Delete', 'Quota', 'Multimedian', ' buy ',' package ',' quota ',' main ',' quota ',' multimedia ',' fool ',' please ',' fox ',' rule ',' fup ']</v>
      </c>
      <c r="D1085" s="3">
        <v>1.0</v>
      </c>
    </row>
    <row r="1086" ht="15.75" customHeight="1">
      <c r="A1086" s="1">
        <v>1156.0</v>
      </c>
      <c r="B1086" s="3" t="s">
        <v>1076</v>
      </c>
      <c r="C1086" s="3" t="str">
        <f>IFERROR(__xludf.DUMMYFUNCTION("GOOGLETRANSLATE(B1086,""id"",""en"")"),"['', 'Telkomsel', 'already', 'a month', 'opened', 'call', 'operator', 'clock', 'actioned', 'continue', 'please', 'trick', 'njirrrrrrrrrrrrr ',' Tambahi ',' star ',' Telkomsel ',' already ',' opened ',' honest ',' signal ',' lose ',' provider ',' next door"&amp;" ']")</f>
        <v>['', 'Telkomsel', 'already', 'a month', 'opened', 'call', 'operator', 'clock', 'actioned', 'continue', 'please', 'trick', 'njirrrrrrrrrrrrr ',' Tambahi ',' star ',' Telkomsel ',' already ',' opened ',' honest ',' signal ',' lose ',' provider ',' next door ']</v>
      </c>
      <c r="D1086" s="3">
        <v>2.0</v>
      </c>
    </row>
    <row r="1087" ht="15.75" customHeight="1">
      <c r="A1087" s="1">
        <v>1157.0</v>
      </c>
      <c r="B1087" s="3" t="s">
        <v>1077</v>
      </c>
      <c r="C1087" s="3" t="str">
        <f>IFERROR(__xludf.DUMMYFUNCTION("GOOGLETRANSLATE(B1087,""id"",""en"")"),"['Hold', 'unlimited', 'per month', 'class', 'class', 'medium', '']")</f>
        <v>['Hold', 'unlimited', 'per month', 'class', 'class', 'medium', '']</v>
      </c>
      <c r="D1087" s="3">
        <v>3.0</v>
      </c>
    </row>
    <row r="1088" ht="15.75" customHeight="1">
      <c r="A1088" s="1">
        <v>1158.0</v>
      </c>
      <c r="B1088" s="3" t="s">
        <v>1078</v>
      </c>
      <c r="C1088" s="3" t="str">
        <f>IFERROR(__xludf.DUMMYFUNCTION("GOOGLETRANSLATE(B1088,""id"",""en"")"),"['stop', 'subscribe', 'card', 'hello', 'disappointed', 'network', 'ugly', 'really', 'dizzy', 'klu', 'internet']")</f>
        <v>['stop', 'subscribe', 'card', 'hello', 'disappointed', 'network', 'ugly', 'really', 'dizzy', 'klu', 'internet']</v>
      </c>
      <c r="D1088" s="3">
        <v>1.0</v>
      </c>
    </row>
    <row r="1089" ht="15.75" customHeight="1">
      <c r="A1089" s="1">
        <v>1159.0</v>
      </c>
      <c r="B1089" s="3" t="s">
        <v>1079</v>
      </c>
      <c r="C1089" s="3" t="str">
        <f>IFERROR(__xludf.DUMMYFUNCTION("GOOGLETRANSLATE(B1089,""id"",""en"")"),"['', 'data', 'cellular', 'turn off', 'pulse', 'suck', 'until', 'run out', 'subscription', 'strange', ""]")</f>
        <v>['', 'data', 'cellular', 'turn off', 'pulse', 'suck', 'until', 'run out', 'subscription', 'strange', "]</v>
      </c>
      <c r="D1089" s="3">
        <v>1.0</v>
      </c>
    </row>
    <row r="1090" ht="15.75" customHeight="1">
      <c r="A1090" s="1">
        <v>1160.0</v>
      </c>
      <c r="B1090" s="3" t="s">
        <v>1080</v>
      </c>
      <c r="C1090" s="3" t="str">
        <f>IFERROR(__xludf.DUMMYFUNCTION("GOOGLETRANSLATE(B1090,""id"",""en"")"),"['users', 'Telkomsel', 'here', 'network', 'bad', 'fix', 'service', 'consumers', 'chasing', 'Cuan', ""]")</f>
        <v>['users', 'Telkomsel', 'here', 'network', 'bad', 'fix', 'service', 'consumers', 'chasing', 'Cuan', "]</v>
      </c>
      <c r="D1090" s="3">
        <v>1.0</v>
      </c>
    </row>
    <row r="1091" ht="15.75" customHeight="1">
      <c r="A1091" s="1">
        <v>1161.0</v>
      </c>
      <c r="B1091" s="3" t="s">
        <v>1081</v>
      </c>
      <c r="C1091" s="3" t="str">
        <f>IFERROR(__xludf.DUMMYFUNCTION("GOOGLETRANSLATE(B1091,""id"",""en"")"),"['App', 'Teremot', 'Most', 'Sorry', 'Error', 'System', ""]")</f>
        <v>['App', 'Teremot', 'Most', 'Sorry', 'Error', 'System', "]</v>
      </c>
      <c r="D1091" s="3">
        <v>1.0</v>
      </c>
    </row>
    <row r="1092" ht="15.75" customHeight="1">
      <c r="A1092" s="1">
        <v>1162.0</v>
      </c>
      <c r="B1092" s="3" t="s">
        <v>1082</v>
      </c>
      <c r="C1092" s="3" t="str">
        <f>IFERROR(__xludf.DUMMYFUNCTION("GOOGLETRANSLATE(B1092,""id"",""en"")"),"['Satisfied', 'APK', 'MyTelkomsel']")</f>
        <v>['Satisfied', 'APK', 'MyTelkomsel']</v>
      </c>
      <c r="D1092" s="3">
        <v>4.0</v>
      </c>
    </row>
    <row r="1093" ht="15.75" customHeight="1">
      <c r="A1093" s="1">
        <v>1163.0</v>
      </c>
      <c r="B1093" s="3" t="s">
        <v>1083</v>
      </c>
      <c r="C1093" s="3" t="str">
        <f>IFERROR(__xludf.DUMMYFUNCTION("GOOGLETRANSLATE(B1093,""id"",""en"")"),"['Times', 'ISI', 'subscription', 'Disney', 'Hotstar', 'Koktetap', 'Nnton', ""]")</f>
        <v>['Times', 'ISI', 'subscription', 'Disney', 'Hotstar', 'Koktetap', 'Nnton', "]</v>
      </c>
      <c r="D1093" s="3">
        <v>1.0</v>
      </c>
    </row>
    <row r="1094" ht="15.75" customHeight="1">
      <c r="A1094" s="1">
        <v>1164.0</v>
      </c>
      <c r="B1094" s="3" t="s">
        <v>1084</v>
      </c>
      <c r="C1094" s="3" t="str">
        <f>IFERROR(__xludf.DUMMYFUNCTION("GOOGLETRANSLATE(B1094,""id"",""en"")"),"['Klau', 'Jokes', 'yaa', 'leg', 'taikk', 'entered', 'apk', 'telkom']")</f>
        <v>['Klau', 'Jokes', 'yaa', 'leg', 'taikk', 'entered', 'apk', 'telkom']</v>
      </c>
      <c r="D1094" s="3">
        <v>1.0</v>
      </c>
    </row>
    <row r="1095" ht="15.75" customHeight="1">
      <c r="A1095" s="1">
        <v>1165.0</v>
      </c>
      <c r="B1095" s="3" t="s">
        <v>1085</v>
      </c>
      <c r="C1095" s="3" t="str">
        <f>IFERROR(__xludf.DUMMYFUNCTION("GOOGLETRANSLATE(B1095,""id"",""en"")"),"['Utuk', 'Region', 'Peblayan', 'Signal', 'Telkomsel', 'Severe', 'Very', 'Network', 'Telkomsel', 'Sousal', 'ugly', 'really', ' Stable ',' please ',' Telkomsel ',' fix ',' boro ',' use ',' ugly ',' disappointing ',' consumer ',' Telkomsel ', ""]")</f>
        <v>['Utuk', 'Region', 'Peblayan', 'Signal', 'Telkomsel', 'Severe', 'Very', 'Network', 'Telkomsel', 'Sousal', 'ugly', 'really', ' Stable ',' please ',' Telkomsel ',' fix ',' boro ',' use ',' ugly ',' disappointing ',' consumer ',' Telkomsel ', "]</v>
      </c>
      <c r="D1095" s="3">
        <v>1.0</v>
      </c>
    </row>
    <row r="1096" ht="15.75" customHeight="1">
      <c r="A1096" s="1">
        <v>1166.0</v>
      </c>
      <c r="B1096" s="3" t="s">
        <v>1086</v>
      </c>
      <c r="C1096" s="3" t="str">
        <f>IFERROR(__xludf.DUMMYFUNCTION("GOOGLETRANSLATE(B1096,""id"",""en"")"),"['Layday', 'Point', 'Win', '']")</f>
        <v>['Layday', 'Point', 'Win', '']</v>
      </c>
      <c r="D1096" s="3">
        <v>1.0</v>
      </c>
    </row>
    <row r="1097" ht="15.75" customHeight="1">
      <c r="A1097" s="1">
        <v>1167.0</v>
      </c>
      <c r="B1097" s="3" t="s">
        <v>1087</v>
      </c>
      <c r="C1097" s="3" t="str">
        <f>IFERROR(__xludf.DUMMYFUNCTION("GOOGLETRANSLATE(B1097,""id"",""en"")"),"['Trading', 'Signal', 'Loss', 'Review', 'Honest', 'Fix', 'Quality', 'Signal', 'Internet', 'Lost', 'Customer']")</f>
        <v>['Trading', 'Signal', 'Loss', 'Review', 'Honest', 'Fix', 'Quality', 'Signal', 'Internet', 'Lost', 'Customer']</v>
      </c>
      <c r="D1097" s="3">
        <v>1.0</v>
      </c>
    </row>
    <row r="1098" ht="15.75" customHeight="1">
      <c r="A1098" s="1">
        <v>1168.0</v>
      </c>
      <c r="B1098" s="3" t="s">
        <v>1088</v>
      </c>
      <c r="C1098" s="3" t="str">
        <f>IFERROR(__xludf.DUMMYFUNCTION("GOOGLETRANSLATE(B1098,""id"",""en"")"),"['user', 'package', 'expensive', 'TPI', 'servicenya', 'satisfying', 'signal', 'ilang', 'then', 'wooooooooyyyyyyyyyyyyyyyyyyyyyyyyyyyyyyyyyyyyyyyyyyyy")</f>
        <v>['user', 'package', 'expensive', 'TPI', 'servicenya', 'satisfying', 'signal', 'ilang', 'then', 'wooooooooyyyyyyyyyyyyyyyyyyyyyyyyyyyyyyyyyyyyyyyyyyyy</v>
      </c>
      <c r="D1098" s="3">
        <v>2.0</v>
      </c>
    </row>
    <row r="1099" ht="15.75" customHeight="1">
      <c r="A1099" s="1">
        <v>1170.0</v>
      </c>
      <c r="B1099" s="3" t="s">
        <v>1089</v>
      </c>
      <c r="C1099" s="3" t="str">
        <f>IFERROR(__xludf.DUMMYFUNCTION("GOOGLETRANSLATE(B1099,""id"",""en"")"),"['Package', 'Call', 'Local', 'Application', 'Update', 'Latest', 'Package', 'Call', 'Hey', 'Hey', 'Operator', 'Telkomsel', ' Dear ',' users', 'Telkomsel', 'Indonesia', 'Call', 'Negeri', 'Citizens',' Live ',' Call ',' Local ',' Bener ',' Application ',' NTI"&amp;" ' , 'Uninstall', 'application', '']")</f>
        <v>['Package', 'Call', 'Local', 'Application', 'Update', 'Latest', 'Package', 'Call', 'Hey', 'Hey', 'Operator', 'Telkomsel', ' Dear ',' users', 'Telkomsel', 'Indonesia', 'Call', 'Negeri', 'Citizens',' Live ',' Call ',' Local ',' Bener ',' Application ',' NTI ' , 'Uninstall', 'application', '']</v>
      </c>
      <c r="D1099" s="3">
        <v>5.0</v>
      </c>
    </row>
    <row r="1100" ht="15.75" customHeight="1">
      <c r="A1100" s="1">
        <v>1171.0</v>
      </c>
      <c r="B1100" s="3" t="s">
        <v>1090</v>
      </c>
      <c r="C1100" s="3" t="str">
        <f>IFERROR(__xludf.DUMMYFUNCTION("GOOGLETRANSLATE(B1100,""id"",""en"")"),"['application', 'informative', 'information', 'often', 'contradictory', 'application', 'samgat', 'user', 'friendly', 'Kekewe', 'Telkomsel', ""]")</f>
        <v>['application', 'informative', 'information', 'often', 'contradictory', 'application', 'samgat', 'user', 'friendly', 'Kekewe', 'Telkomsel', "]</v>
      </c>
      <c r="D1100" s="3">
        <v>1.0</v>
      </c>
    </row>
    <row r="1101" ht="15.75" customHeight="1">
      <c r="A1101" s="1">
        <v>1172.0</v>
      </c>
      <c r="B1101" s="3" t="s">
        <v>1091</v>
      </c>
      <c r="C1101" s="3" t="str">
        <f>IFERROR(__xludf.DUMMYFUNCTION("GOOGLETRANSLATE(B1101,""id"",""en"")"),"['Network', 'okay', 'hope', 'enhanced', '']")</f>
        <v>['Network', 'okay', 'hope', 'enhanced', '']</v>
      </c>
      <c r="D1101" s="3">
        <v>4.0</v>
      </c>
    </row>
    <row r="1102" ht="15.75" customHeight="1">
      <c r="A1102" s="1">
        <v>1173.0</v>
      </c>
      <c r="B1102" s="3" t="s">
        <v>1092</v>
      </c>
      <c r="C1102" s="3" t="str">
        <f>IFERROR(__xludf.DUMMYFUNCTION("GOOGLETRANSLATE(B1102,""id"",""en"")"),"['package', 'expensive', 'network', 'ugly', 'how', '']")</f>
        <v>['package', 'expensive', 'network', 'ugly', 'how', '']</v>
      </c>
      <c r="D1102" s="3">
        <v>5.0</v>
      </c>
    </row>
    <row r="1103" ht="15.75" customHeight="1">
      <c r="A1103" s="1">
        <v>1174.0</v>
      </c>
      <c r="B1103" s="3" t="s">
        <v>1093</v>
      </c>
      <c r="C1103" s="3" t="str">
        <f>IFERROR(__xludf.DUMMYFUNCTION("GOOGLETRANSLATE(B1103,""id"",""en"")"),"['pulse', 'exceed', 'package', 'bought', 'price', 'package', 'expensive']")</f>
        <v>['pulse', 'exceed', 'package', 'bought', 'price', 'package', 'expensive']</v>
      </c>
      <c r="D1103" s="3">
        <v>1.0</v>
      </c>
    </row>
    <row r="1104" ht="15.75" customHeight="1">
      <c r="A1104" s="1">
        <v>1175.0</v>
      </c>
      <c r="B1104" s="3" t="s">
        <v>1094</v>
      </c>
      <c r="C1104" s="3" t="str">
        <f>IFERROR(__xludf.DUMMYFUNCTION("GOOGLETRANSLATE(B1104,""id"",""en"")"),"['heart']")</f>
        <v>['heart']</v>
      </c>
      <c r="D1104" s="3">
        <v>5.0</v>
      </c>
    </row>
    <row r="1105" ht="15.75" customHeight="1">
      <c r="A1105" s="1">
        <v>1176.0</v>
      </c>
      <c r="B1105" s="3" t="s">
        <v>1095</v>
      </c>
      <c r="C1105" s="3" t="str">
        <f>IFERROR(__xludf.DUMMYFUNCTION("GOOGLETRANSLATE(B1105,""id"",""en"")"),"['easy', 'contents', 'package']")</f>
        <v>['easy', 'contents', 'package']</v>
      </c>
      <c r="D1105" s="3">
        <v>5.0</v>
      </c>
    </row>
    <row r="1106" ht="15.75" customHeight="1">
      <c r="A1106" s="1">
        <v>1177.0</v>
      </c>
      <c r="B1106" s="3" t="s">
        <v>1096</v>
      </c>
      <c r="C1106" s="3" t="str">
        <f>IFERROR(__xludf.DUMMYFUNCTION("GOOGLETRANSLATE(B1106,""id"",""en"")"),"['Application', 'good', 'help']")</f>
        <v>['Application', 'good', 'help']</v>
      </c>
      <c r="D1106" s="3">
        <v>5.0</v>
      </c>
    </row>
    <row r="1107" ht="15.75" customHeight="1">
      <c r="A1107" s="1">
        <v>1178.0</v>
      </c>
      <c r="B1107" s="3" t="s">
        <v>1097</v>
      </c>
      <c r="C1107" s="3" t="str">
        <f>IFERROR(__xludf.DUMMYFUNCTION("GOOGLETRANSLATE(B1107,""id"",""en"")"),"['Paketan', 'expensive', 'signal', 'gada', 'comedy']")</f>
        <v>['Paketan', 'expensive', 'signal', 'gada', 'comedy']</v>
      </c>
      <c r="D1107" s="3">
        <v>1.0</v>
      </c>
    </row>
    <row r="1108" ht="15.75" customHeight="1">
      <c r="A1108" s="1">
        <v>1179.0</v>
      </c>
      <c r="B1108" s="3" t="s">
        <v>1098</v>
      </c>
      <c r="C1108" s="3" t="str">
        <f>IFERROR(__xludf.DUMMYFUNCTION("GOOGLETRANSLATE(B1108,""id"",""en"")"),"['Try', 'Nnt', 'Klu', 'match', 'star', '']")</f>
        <v>['Try', 'Nnt', 'Klu', 'match', 'star', '']</v>
      </c>
      <c r="D1108" s="3">
        <v>3.0</v>
      </c>
    </row>
    <row r="1109" ht="15.75" customHeight="1">
      <c r="A1109" s="1">
        <v>1180.0</v>
      </c>
      <c r="B1109" s="3" t="s">
        <v>1099</v>
      </c>
      <c r="C1109" s="3" t="str">
        <f>IFERROR(__xludf.DUMMYFUNCTION("GOOGLETRANSLATE(B1109,""id"",""en"")"),"['Telkomsel', 'closed', 'uda', 'use', 'network', 'internet', 'slow', 'sek', 'snail', 'price', 'package', 'expensive', ' kek ',' Gold ',' Disappointed ',' Telkomsel ',' already ',' dummary ',' make ',' Telkomsel ',' good ',' mah ',' bad ']")</f>
        <v>['Telkomsel', 'closed', 'uda', 'use', 'network', 'internet', 'slow', 'sek', 'snail', 'price', 'package', 'expensive', ' kek ',' Gold ',' Disappointed ',' Telkomsel ',' already ',' dummary ',' make ',' Telkomsel ',' good ',' mah ',' bad ']</v>
      </c>
      <c r="D1109" s="3">
        <v>1.0</v>
      </c>
    </row>
    <row r="1110" ht="15.75" customHeight="1">
      <c r="A1110" s="1">
        <v>1181.0</v>
      </c>
      <c r="B1110" s="3" t="s">
        <v>1100</v>
      </c>
      <c r="C1110" s="3" t="str">
        <f>IFERROR(__xludf.DUMMYFUNCTION("GOOGLETRANSLATE(B1110,""id"",""en"")"),"['Process', 'fast']")</f>
        <v>['Process', 'fast']</v>
      </c>
      <c r="D1110" s="3">
        <v>5.0</v>
      </c>
    </row>
    <row r="1111" ht="15.75" customHeight="1">
      <c r="A1111" s="1">
        <v>1182.0</v>
      </c>
      <c r="B1111" s="3" t="s">
        <v>1101</v>
      </c>
      <c r="C1111" s="3" t="str">
        <f>IFERROR(__xludf.DUMMYFUNCTION("GOOGLETRANSLATE(B1111,""id"",""en"")"),"['Network', 'Ngelag', 'User', 'Reduced', 'Due to', 'Network', 'Telkomsel', 'Ngelag', 'Please', 'Fix', '']")</f>
        <v>['Network', 'Ngelag', 'User', 'Reduced', 'Due to', 'Network', 'Telkomsel', 'Ngelag', 'Please', 'Fix', '']</v>
      </c>
      <c r="D1111" s="3">
        <v>2.0</v>
      </c>
    </row>
    <row r="1112" ht="15.75" customHeight="1">
      <c r="A1112" s="1">
        <v>1183.0</v>
      </c>
      <c r="B1112" s="3" t="s">
        <v>1102</v>
      </c>
      <c r="C1112" s="3" t="str">
        <f>IFERROR(__xludf.DUMMYFUNCTION("GOOGLETRANSLATE(B1112,""id"",""en"")"),"['signal', 'rotten', 'package', 'doang', 'expensive', 'service', 'enhanced', 'improvement', 'because' relations ',' waste ',' petting ',' trash ',' squeeze ',' buy ',' package ',' expensive ',' quality ',' cheap ',' ']")</f>
        <v>['signal', 'rotten', 'package', 'doang', 'expensive', 'service', 'enhanced', 'improvement', 'because' relations ',' waste ',' petting ',' trash ',' squeeze ',' buy ',' package ',' expensive ',' quality ',' cheap ',' ']</v>
      </c>
      <c r="D1112" s="3">
        <v>1.0</v>
      </c>
    </row>
    <row r="1113" ht="15.75" customHeight="1">
      <c r="A1113" s="1">
        <v>1184.0</v>
      </c>
      <c r="B1113" s="3" t="s">
        <v>1103</v>
      </c>
      <c r="C1113" s="3" t="str">
        <f>IFERROR(__xludf.DUMMYFUNCTION("GOOGLETRANSLATE(B1113,""id"",""en"")"),"['Signal', 'Kayak', 'Taik', 'Main', 'Game', 'Online', 'Ping', 'Red', 'Turus']")</f>
        <v>['Signal', 'Kayak', 'Taik', 'Main', 'Game', 'Online', 'Ping', 'Red', 'Turus']</v>
      </c>
      <c r="D1113" s="3">
        <v>1.0</v>
      </c>
    </row>
    <row r="1114" ht="15.75" customHeight="1">
      <c r="A1114" s="1">
        <v>1185.0</v>
      </c>
      <c r="B1114" s="3" t="s">
        <v>1104</v>
      </c>
      <c r="C1114" s="3" t="str">
        <f>IFERROR(__xludf.DUMMYFUNCTION("GOOGLETRANSLATE(B1114,""id"",""en"")"),"['according to', 'fare', 'aka', 'slow', 'network', '']")</f>
        <v>['according to', 'fare', 'aka', 'slow', 'network', '']</v>
      </c>
      <c r="D1114" s="3">
        <v>1.0</v>
      </c>
    </row>
    <row r="1115" ht="15.75" customHeight="1">
      <c r="A1115" s="1">
        <v>1186.0</v>
      </c>
      <c r="B1115" s="3" t="s">
        <v>1105</v>
      </c>
      <c r="C1115" s="3" t="str">
        <f>IFERROR(__xludf.DUMMYFUNCTION("GOOGLETRANSLATE(B1115,""id"",""en"")"),"['network', 'Telkomsel', 'ngeleg', 'already', 'really', 'network', 'stable', 'how', 'please', 'repay', 'the network', 'no', ' slow ',' really ', ""]")</f>
        <v>['network', 'Telkomsel', 'ngeleg', 'already', 'really', 'network', 'stable', 'how', 'please', 'repay', 'the network', 'no', ' slow ',' really ', "]</v>
      </c>
      <c r="D1115" s="3">
        <v>1.0</v>
      </c>
    </row>
    <row r="1116" ht="15.75" customHeight="1">
      <c r="A1116" s="1">
        <v>1187.0</v>
      </c>
      <c r="B1116" s="3" t="s">
        <v>1106</v>
      </c>
      <c r="C1116" s="3" t="str">
        <f>IFERROR(__xludf.DUMMYFUNCTION("GOOGLETRANSLATE(B1116,""id"",""en"")"),"['Woy', 'Telkomsel', 'love', 'gift', 'quota', 'free', 'baruni', 'minimal', 'GBan', 'customer', 'loyal', 'representing', ' Users', 'Telkomsel', '']")</f>
        <v>['Woy', 'Telkomsel', 'love', 'gift', 'quota', 'free', 'baruni', 'minimal', 'GBan', 'customer', 'loyal', 'representing', ' Users', 'Telkomsel', '']</v>
      </c>
      <c r="D1116" s="3">
        <v>1.0</v>
      </c>
    </row>
    <row r="1117" ht="15.75" customHeight="1">
      <c r="A1117" s="1">
        <v>1188.0</v>
      </c>
      <c r="B1117" s="3" t="s">
        <v>1107</v>
      </c>
      <c r="C1117" s="3" t="str">
        <f>IFERROR(__xludf.DUMMYFUNCTION("GOOGLETRANSLATE(B1117,""id"",""en"")"),"['network', 'times', 'ugly', 'please', 'fix', 'network']")</f>
        <v>['network', 'times', 'ugly', 'please', 'fix', 'network']</v>
      </c>
      <c r="D1117" s="3">
        <v>1.0</v>
      </c>
    </row>
    <row r="1118" ht="15.75" customHeight="1">
      <c r="A1118" s="1">
        <v>1189.0</v>
      </c>
      <c r="B1118" s="3" t="s">
        <v>1108</v>
      </c>
      <c r="C1118" s="3" t="str">
        <f>IFERROR(__xludf.DUMMYFUNCTION("GOOGLETRANSLATE(B1118,""id"",""en"")"),"['', 'Fast', 'response', 'steady', 'choice', 'package', 'complete', '']")</f>
        <v>['', 'Fast', 'response', 'steady', 'choice', 'package', 'complete', '']</v>
      </c>
      <c r="D1118" s="3">
        <v>5.0</v>
      </c>
    </row>
    <row r="1119" ht="15.75" customHeight="1">
      <c r="A1119" s="1">
        <v>1190.0</v>
      </c>
      <c r="B1119" s="3" t="s">
        <v>1109</v>
      </c>
      <c r="C1119" s="3" t="str">
        <f>IFERROR(__xludf.DUMMYFUNCTION("GOOGLETRANSLATE(B1119,""id"",""en"")"),"['Please', 'Increase', 'Notification', 'Check', 'Pas', 'Already', 'Login', 'APK', 'Remind', '']")</f>
        <v>['Please', 'Increase', 'Notification', 'Check', 'Pas', 'Already', 'Login', 'APK', 'Remind', '']</v>
      </c>
      <c r="D1119" s="3">
        <v>3.0</v>
      </c>
    </row>
    <row r="1120" ht="15.75" customHeight="1">
      <c r="A1120" s="1">
        <v>1191.0</v>
      </c>
      <c r="B1120" s="3" t="s">
        <v>1110</v>
      </c>
      <c r="C1120" s="3" t="str">
        <f>IFERROR(__xludf.DUMMYFUNCTION("GOOGLETRANSLATE(B1120,""id"",""en"")"),"['Application', 'Cool', 'Oaket', 'Cheap', 'Speed', 'Setabil']")</f>
        <v>['Application', 'Cool', 'Oaket', 'Cheap', 'Speed', 'Setabil']</v>
      </c>
      <c r="D1120" s="3">
        <v>5.0</v>
      </c>
    </row>
    <row r="1121" ht="15.75" customHeight="1">
      <c r="A1121" s="1">
        <v>1192.0</v>
      </c>
      <c r="B1121" s="3" t="s">
        <v>1111</v>
      </c>
      <c r="C1121" s="3" t="str">
        <f>IFERROR(__xludf.DUMMYFUNCTION("GOOGLETRANSLATE(B1121,""id"",""en"")"),"['Package', 'Super', 'Save', 'Affordable']")</f>
        <v>['Package', 'Super', 'Save', 'Affordable']</v>
      </c>
      <c r="D1121" s="3">
        <v>5.0</v>
      </c>
    </row>
    <row r="1122" ht="15.75" customHeight="1">
      <c r="A1122" s="1">
        <v>1193.0</v>
      </c>
      <c r="B1122" s="3" t="s">
        <v>1112</v>
      </c>
      <c r="C1122" s="3" t="str">
        <f>IFERROR(__xludf.DUMMYFUNCTION("GOOGLETRANSLATE(B1122,""id"",""en"")"),"['Hopefully', 'Jaya', 'Network', 'Telkomsel', 'Kalimantan', 'Aamiin']")</f>
        <v>['Hopefully', 'Jaya', 'Network', 'Telkomsel', 'Kalimantan', 'Aamiin']</v>
      </c>
      <c r="D1122" s="3">
        <v>4.0</v>
      </c>
    </row>
    <row r="1123" ht="15.75" customHeight="1">
      <c r="A1123" s="1">
        <v>1194.0</v>
      </c>
      <c r="B1123" s="3" t="s">
        <v>1113</v>
      </c>
      <c r="C1123" s="3" t="str">
        <f>IFERROR(__xludf.DUMMYFUNCTION("GOOGLETRANSLATE(B1123,""id"",""en"")"),"['Price', 'Package', 'Cheap']")</f>
        <v>['Price', 'Package', 'Cheap']</v>
      </c>
      <c r="D1123" s="3">
        <v>1.0</v>
      </c>
    </row>
    <row r="1124" ht="15.75" customHeight="1">
      <c r="A1124" s="1">
        <v>1195.0</v>
      </c>
      <c r="B1124" s="3" t="s">
        <v>1114</v>
      </c>
      <c r="C1124" s="3" t="str">
        <f>IFERROR(__xludf.DUMMYFUNCTION("GOOGLETRANSLATE(B1124,""id"",""en"")"),"['Application', 'Joos', 'really']")</f>
        <v>['Application', 'Joos', 'really']</v>
      </c>
      <c r="D1124" s="3">
        <v>5.0</v>
      </c>
    </row>
    <row r="1125" ht="15.75" customHeight="1">
      <c r="A1125" s="1">
        <v>1196.0</v>
      </c>
      <c r="B1125" s="3" t="s">
        <v>1115</v>
      </c>
      <c r="C1125" s="3" t="str">
        <f>IFERROR(__xludf.DUMMYFUNCTION("GOOGLETRANSLATE(B1125,""id"",""en"")"),"['Already', 'Pay', 'Bill', 'City', 'Internet', 'Telkomsel', 'Bankrupt', 'Closed']")</f>
        <v>['Already', 'Pay', 'Bill', 'City', 'Internet', 'Telkomsel', 'Bankrupt', 'Closed']</v>
      </c>
      <c r="D1125" s="3">
        <v>1.0</v>
      </c>
    </row>
    <row r="1126" ht="15.75" customHeight="1">
      <c r="A1126" s="1">
        <v>1197.0</v>
      </c>
      <c r="B1126" s="3" t="s">
        <v>1116</v>
      </c>
      <c r="C1126" s="3" t="str">
        <f>IFERROR(__xludf.DUMMYFUNCTION("GOOGLETRANSLATE(B1126,""id"",""en"")"),"['signal', 'kayak', 'dick', 'ilang', 'mulu', 'dog', 'woii', 'dog', 'reply', '']")</f>
        <v>['signal', 'kayak', 'dick', 'ilang', 'mulu', 'dog', 'woii', 'dog', 'reply', '']</v>
      </c>
      <c r="D1126" s="3">
        <v>1.0</v>
      </c>
    </row>
    <row r="1127" ht="15.75" customHeight="1">
      <c r="A1127" s="1">
        <v>1198.0</v>
      </c>
      <c r="B1127" s="3" t="s">
        <v>1117</v>
      </c>
      <c r="C1127" s="3" t="str">
        <f>IFERROR(__xludf.DUMMYFUNCTION("GOOGLETRANSLATE(B1127,""id"",""en"")"),"['min', 'quota', 'lapse', 'facebook', 'hotspot', 'person', 'old', 'play', 'facebook', 'hotspot', 'quota', 'main', ' ']")</f>
        <v>['min', 'quota', 'lapse', 'facebook', 'hotspot', 'person', 'old', 'play', 'facebook', 'hotspot', 'quota', 'main', ' ']</v>
      </c>
      <c r="D1127" s="3">
        <v>3.0</v>
      </c>
    </row>
    <row r="1128" ht="15.75" customHeight="1">
      <c r="A1128" s="1">
        <v>1199.0</v>
      </c>
      <c r="B1128" s="3" t="s">
        <v>1118</v>
      </c>
      <c r="C1128" s="3" t="str">
        <f>IFERROR(__xludf.DUMMYFUNCTION("GOOGLETRANSLATE(B1128,""id"",""en"")"),"['Please', 'credit', 'take', 'then', 'Telkom', 'signal']")</f>
        <v>['Please', 'credit', 'take', 'then', 'Telkom', 'signal']</v>
      </c>
      <c r="D1128" s="3">
        <v>5.0</v>
      </c>
    </row>
    <row r="1129" ht="15.75" customHeight="1">
      <c r="A1129" s="1">
        <v>1200.0</v>
      </c>
      <c r="B1129" s="3" t="s">
        <v>1119</v>
      </c>
      <c r="C1129" s="3" t="str">
        <f>IFERROR(__xludf.DUMMYFUNCTION("GOOGLETRANSLATE(B1129,""id"",""en"")"),"['update', 'right', 'open', 'update', 'udh', 'update', 'gajelas', 'apk', 'telkomsel', 'skrg']")</f>
        <v>['update', 'right', 'open', 'update', 'udh', 'update', 'gajelas', 'apk', 'telkomsel', 'skrg']</v>
      </c>
      <c r="D1129" s="3">
        <v>1.0</v>
      </c>
    </row>
    <row r="1130" ht="15.75" customHeight="1">
      <c r="A1130" s="1">
        <v>1201.0</v>
      </c>
      <c r="B1130" s="3" t="s">
        <v>1120</v>
      </c>
      <c r="C1130" s="3" t="str">
        <f>IFERROR(__xludf.DUMMYFUNCTION("GOOGLETRANSLATE(B1130,""id"",""en"")"),"['already', 'slow', 'exchange', 'points', 'ngak', 'me', 'unistal', 'min', 'operator', 'good', 'present', '']")</f>
        <v>['already', 'slow', 'exchange', 'points', 'ngak', 'me', 'unistal', 'min', 'operator', 'good', 'present', '']</v>
      </c>
      <c r="D1130" s="3">
        <v>3.0</v>
      </c>
    </row>
    <row r="1131" ht="15.75" customHeight="1">
      <c r="A1131" s="1">
        <v>1202.0</v>
      </c>
      <c r="B1131" s="3" t="s">
        <v>1121</v>
      </c>
      <c r="C1131" s="3" t="str">
        <f>IFERROR(__xludf.DUMMYFUNCTION("GOOGLETRANSLATE(B1131,""id"",""en"")"),"['quality', 'signal', 'fix', 'here', 'bad', 'quality', 'Telkomsel']")</f>
        <v>['quality', 'signal', 'fix', 'here', 'bad', 'quality', 'Telkomsel']</v>
      </c>
      <c r="D1131" s="3">
        <v>1.0</v>
      </c>
    </row>
    <row r="1132" ht="15.75" customHeight="1">
      <c r="A1132" s="1">
        <v>1203.0</v>
      </c>
      <c r="B1132" s="3" t="s">
        <v>1122</v>
      </c>
      <c r="C1132" s="3" t="str">
        <f>IFERROR(__xludf.DUMMYFUNCTION("GOOGLETRANSLATE(B1132,""id"",""en"")"),"['sympathy', 'you', 'emng', 'signal', 'ugly', 'rich', 'gini', 'please', 'extinct', 'extinct', 'ajah', 'signal', ' Sekecake ',' sympathy ',' ']")</f>
        <v>['sympathy', 'you', 'emng', 'signal', 'ugly', 'rich', 'gini', 'please', 'extinct', 'extinct', 'ajah', 'signal', ' Sekecake ',' sympathy ',' ']</v>
      </c>
      <c r="D1132" s="3">
        <v>1.0</v>
      </c>
    </row>
    <row r="1133" ht="15.75" customHeight="1">
      <c r="A1133" s="1">
        <v>1204.0</v>
      </c>
      <c r="B1133" s="3" t="s">
        <v>1123</v>
      </c>
      <c r="C1133" s="3" t="str">
        <f>IFERROR(__xludf.DUMMYFUNCTION("GOOGLETRANSLATE(B1133,""id"",""en"")"),"['signal', 'BURIK', 'buy', 'quota', 'expensive', 'signal', 'slow', 'quota', 'use', 'update', 'mulu', 'signal', ' slow ',' really ', ""]")</f>
        <v>['signal', 'BURIK', 'buy', 'quota', 'expensive', 'signal', 'slow', 'quota', 'use', 'update', 'mulu', 'signal', ' slow ',' really ', "]</v>
      </c>
      <c r="D1133" s="3">
        <v>1.0</v>
      </c>
    </row>
    <row r="1134" ht="15.75" customHeight="1">
      <c r="A1134" s="1">
        <v>1205.0</v>
      </c>
      <c r="B1134" s="3" t="s">
        <v>1124</v>
      </c>
      <c r="C1134" s="3" t="str">
        <f>IFERROR(__xludf.DUMMYFUNCTION("GOOGLETRANSLATE(B1134,""id"",""en"")"),"['spam', 'star', 'yok', 'signal', 'njiiing', 'already', 'replace', 'card', 'signal', 'mulu']")</f>
        <v>['spam', 'star', 'yok', 'signal', 'njiiing', 'already', 'replace', 'card', 'signal', 'mulu']</v>
      </c>
      <c r="D1134" s="3">
        <v>1.0</v>
      </c>
    </row>
    <row r="1135" ht="15.75" customHeight="1">
      <c r="A1135" s="1">
        <v>1206.0</v>
      </c>
      <c r="B1135" s="3" t="s">
        <v>1125</v>
      </c>
      <c r="C1135" s="3" t="str">
        <f>IFERROR(__xludf.DUMMYFUNCTION("GOOGLETRANSLATE(B1135,""id"",""en"")"),"['enter']")</f>
        <v>['enter']</v>
      </c>
      <c r="D1135" s="3">
        <v>5.0</v>
      </c>
    </row>
    <row r="1136" ht="15.75" customHeight="1">
      <c r="A1136" s="1">
        <v>1207.0</v>
      </c>
      <c r="B1136" s="3" t="s">
        <v>1126</v>
      </c>
      <c r="C1136" s="3" t="str">
        <f>IFERROR(__xludf.DUMMYFUNCTION("GOOGLETRANSLATE(B1136,""id"",""en"")"),"['Please', 'Fix', 'Network', 'Special', 'Pasaman', 'Sumatra', 'West', 'Network', 'ugly', 'quota', 'expensive', 'quota', ' feel like ',' because ',' network ',' slow ',' please ',' Perform it ',' mimin ',' ']")</f>
        <v>['Please', 'Fix', 'Network', 'Special', 'Pasaman', 'Sumatra', 'West', 'Network', 'ugly', 'quota', 'expensive', 'quota', ' feel like ',' because ',' network ',' slow ',' please ',' Perform it ',' mimin ',' ']</v>
      </c>
      <c r="D1136" s="3">
        <v>5.0</v>
      </c>
    </row>
    <row r="1137" ht="15.75" customHeight="1">
      <c r="A1137" s="1">
        <v>1208.0</v>
      </c>
      <c r="B1137" s="3" t="s">
        <v>1127</v>
      </c>
      <c r="C1137" s="3" t="str">
        <f>IFERROR(__xludf.DUMMYFUNCTION("GOOGLETRANSLATE(B1137,""id"",""en"")"),"['complain', 'mere', 'me', 'update', 'already', 'accessed', 'package', 'combo', 'Sakti', 'GB', 'Dikemanain', 'Busyeeeettt', ' Telkomsel ',' Looks ',' Telkomsel ',' Special ',' Among "", 'Executive', 'Landing', '']")</f>
        <v>['complain', 'mere', 'me', 'update', 'already', 'accessed', 'package', 'combo', 'Sakti', 'GB', 'Dikemanain', 'Busyeeeettt', ' Telkomsel ',' Looks ',' Telkomsel ',' Special ',' Among ", 'Executive', 'Landing', '']</v>
      </c>
      <c r="D1137" s="3">
        <v>1.0</v>
      </c>
    </row>
    <row r="1138" ht="15.75" customHeight="1">
      <c r="A1138" s="1">
        <v>1209.0</v>
      </c>
      <c r="B1138" s="3" t="s">
        <v>1128</v>
      </c>
      <c r="C1138" s="3" t="str">
        <f>IFERROR(__xludf.DUMMYFUNCTION("GOOGLETRANSLATE(B1138,""id"",""en"")"),"['Star', 'signal', 'ugly', 'user', 'loyal', 'Telkomsel', 'value']")</f>
        <v>['Star', 'signal', 'ugly', 'user', 'loyal', 'Telkomsel', 'value']</v>
      </c>
      <c r="D1138" s="3">
        <v>3.0</v>
      </c>
    </row>
    <row r="1139" ht="15.75" customHeight="1">
      <c r="A1139" s="1">
        <v>1210.0</v>
      </c>
      <c r="B1139" s="3" t="s">
        <v>1129</v>
      </c>
      <c r="C1139" s="3" t="str">
        <f>IFERROR(__xludf.DUMMYFUNCTION("GOOGLETRANSLATE(B1139,""id"",""en"")"),"['Telkomsel', 'network', 'difficult', 'rich', 'gini', 'believe', 'users',' Telkomsel ',' reduced ',' Please ',' Telkomsel ',' the network ',' Enhanced ',' Serimaksih ']")</f>
        <v>['Telkomsel', 'network', 'difficult', 'rich', 'gini', 'believe', 'users',' Telkomsel ',' reduced ',' Please ',' Telkomsel ',' the network ',' Enhanced ',' Serimaksih ']</v>
      </c>
      <c r="D1139" s="3">
        <v>1.0</v>
      </c>
    </row>
    <row r="1140" ht="15.75" customHeight="1">
      <c r="A1140" s="1">
        <v>1211.0</v>
      </c>
      <c r="B1140" s="3" t="s">
        <v>1130</v>
      </c>
      <c r="C1140" s="3" t="str">
        <f>IFERROR(__xludf.DUMMYFUNCTION("GOOGLETRANSLATE(B1140,""id"",""en"")"),"['', 'happy', 'Telkomsel']")</f>
        <v>['', 'happy', 'Telkomsel']</v>
      </c>
      <c r="D1140" s="3">
        <v>5.0</v>
      </c>
    </row>
    <row r="1141" ht="15.75" customHeight="1">
      <c r="A1141" s="1">
        <v>1212.0</v>
      </c>
      <c r="B1141" s="3" t="s">
        <v>1131</v>
      </c>
      <c r="C1141" s="3" t="str">
        <f>IFERROR(__xludf.DUMMYFUNCTION("GOOGLETRANSLATE(B1141,""id"",""en"")"),"['package', 'expensive', 'network', 'blank', 'talking', 'village', 'Tangerang', 'city', 'take', 'trus',' Manitance ',' Tower ',' Shargo ',' Disconected ',' Game ',' Difficult ',' Login ',' Game ',' Network ',' Connection ',' ']")</f>
        <v>['package', 'expensive', 'network', 'blank', 'talking', 'village', 'Tangerang', 'city', 'take', 'trus',' Manitance ',' Tower ',' Shargo ',' Disconected ',' Game ',' Difficult ',' Login ',' Game ',' Network ',' Connection ',' ']</v>
      </c>
      <c r="D1141" s="3">
        <v>1.0</v>
      </c>
    </row>
    <row r="1142" ht="15.75" customHeight="1">
      <c r="A1142" s="1">
        <v>1213.0</v>
      </c>
      <c r="B1142" s="3" t="s">
        <v>1132</v>
      </c>
      <c r="C1142" s="3" t="str">
        <f>IFERROR(__xludf.DUMMYFUNCTION("GOOGLETRANSLATE(B1142,""id"",""en"")"),"['package', 'internet', 'expensive', 'squeezed', 'mending', 'moved', '']")</f>
        <v>['package', 'internet', 'expensive', 'squeezed', 'mending', 'moved', '']</v>
      </c>
      <c r="D1142" s="3">
        <v>1.0</v>
      </c>
    </row>
    <row r="1143" ht="15.75" customHeight="1">
      <c r="A1143" s="1">
        <v>1214.0</v>
      </c>
      <c r="B1143" s="3" t="s">
        <v>1133</v>
      </c>
      <c r="C1143" s="3" t="str">
        <f>IFERROR(__xludf.DUMMYFUNCTION("GOOGLETRANSLATE(B1143,""id"",""en"")"),"['cell', 'enter', 'enter', 'my', '']")</f>
        <v>['cell', 'enter', 'enter', 'my', '']</v>
      </c>
      <c r="D1143" s="3">
        <v>1.0</v>
      </c>
    </row>
    <row r="1144" ht="15.75" customHeight="1">
      <c r="A1144" s="1">
        <v>1215.0</v>
      </c>
      <c r="B1144" s="3" t="s">
        <v>1134</v>
      </c>
      <c r="C1144" s="3" t="str">
        <f>IFERROR(__xludf.DUMMYFUNCTION("GOOGLETRANSLATE(B1144,""id"",""en"")"),"['Good', 'makes it easy', 'buy', 'package']")</f>
        <v>['Good', 'makes it easy', 'buy', 'package']</v>
      </c>
      <c r="D1144" s="3">
        <v>5.0</v>
      </c>
    </row>
    <row r="1145" ht="15.75" customHeight="1">
      <c r="A1145" s="1">
        <v>1216.0</v>
      </c>
      <c r="B1145" s="3" t="s">
        <v>1135</v>
      </c>
      <c r="C1145" s="3" t="str">
        <f>IFERROR(__xludf.DUMMYFUNCTION("GOOGLETRANSLATE(B1145,""id"",""en"")"),"['Frequency', 'update', 'application', 'slow', 'conch', 'open', 'the application', 'screen', 'white', 'doang', 'newest', 'ram', ' signal ',' Telkomsel ',' application ',' smooth ',' aapa ', ""]")</f>
        <v>['Frequency', 'update', 'application', 'slow', 'conch', 'open', 'the application', 'screen', 'white', 'doang', 'newest', 'ram', ' signal ',' Telkomsel ',' application ',' smooth ',' aapa ', "]</v>
      </c>
      <c r="D1145" s="3">
        <v>2.0</v>
      </c>
    </row>
    <row r="1146" ht="15.75" customHeight="1">
      <c r="A1146" s="1">
        <v>1217.0</v>
      </c>
      <c r="B1146" s="3" t="s">
        <v>1136</v>
      </c>
      <c r="C1146" s="3" t="str">
        <f>IFERROR(__xludf.DUMMYFUNCTION("GOOGLETRANSLATE(B1146,""id"",""en"")"),"['already', 'expensive', 'signal', 'stingy', 'speed', 'snail', 'wiss', 'waste', 'dispose']")</f>
        <v>['already', 'expensive', 'signal', 'stingy', 'speed', 'snail', 'wiss', 'waste', 'dispose']</v>
      </c>
      <c r="D1146" s="3">
        <v>1.0</v>
      </c>
    </row>
    <row r="1147" ht="15.75" customHeight="1">
      <c r="A1147" s="1">
        <v>1218.0</v>
      </c>
      <c r="B1147" s="3" t="s">
        <v>1137</v>
      </c>
      <c r="C1147" s="3" t="str">
        <f>IFERROR(__xludf.DUMMYFUNCTION("GOOGLETRANSLATE(B1147,""id"",""en"")"),"['Bunds', 'Price', 'Package', '']")</f>
        <v>['Bunds', 'Price', 'Package', '']</v>
      </c>
      <c r="D1147" s="3">
        <v>1.0</v>
      </c>
    </row>
    <row r="1148" ht="15.75" customHeight="1">
      <c r="A1148" s="1">
        <v>1219.0</v>
      </c>
      <c r="B1148" s="3" t="s">
        <v>1138</v>
      </c>
      <c r="C1148" s="3" t="str">
        <f>IFERROR(__xludf.DUMMYFUNCTION("GOOGLETRANSLATE(B1148,""id"",""en"")"),"['Nihhh', 'Ngelag', 'right', 'Nge', 'Game', 'Ngelagnya', 'Naturally', 'Mass',' yes', 'card', 'expensive', 'kouta', ' expensive ',' all-round ',' expensive ',' signal ',' kek ',' gini ',' Please ',' Benerin ',' ']")</f>
        <v>['Nihhh', 'Ngelag', 'right', 'Nge', 'Game', 'Ngelagnya', 'Naturally', 'Mass',' yes', 'card', 'expensive', 'kouta', ' expensive ',' all-round ',' expensive ',' signal ',' kek ',' gini ',' Please ',' Benerin ',' ']</v>
      </c>
      <c r="D1148" s="3">
        <v>1.0</v>
      </c>
    </row>
    <row r="1149" ht="15.75" customHeight="1">
      <c r="A1149" s="1">
        <v>1220.0</v>
      </c>
      <c r="B1149" s="3" t="s">
        <v>1139</v>
      </c>
      <c r="C1149" s="3" t="str">
        <f>IFERROR(__xludf.DUMMYFUNCTION("GOOGLETRANSLATE(B1149,""id"",""en"")"),"['idiot', 'lag', 'severe']")</f>
        <v>['idiot', 'lag', 'severe']</v>
      </c>
      <c r="D1149" s="3">
        <v>1.0</v>
      </c>
    </row>
    <row r="1150" ht="15.75" customHeight="1">
      <c r="A1150" s="1">
        <v>1221.0</v>
      </c>
      <c r="B1150" s="3" t="s">
        <v>1140</v>
      </c>
      <c r="C1150" s="3" t="str">
        <f>IFERROR(__xludf.DUMMYFUNCTION("GOOGLETRANSLATE(B1150,""id"",""en"")"),"['slow', 'pdhl', 'sudan', 'network', 'signal', 'good', 'content', 'pulse', 'like', 'cut', 'bald', 'open', ' Doang ',' fast ',' run out ',' wasteful ',' a day ',' Abis', 'GB', 'pdhl', 'minutes']")</f>
        <v>['slow', 'pdhl', 'sudan', 'network', 'signal', 'good', 'content', 'pulse', 'like', 'cut', 'bald', 'open', ' Doang ',' fast ',' run out ',' wasteful ',' a day ',' Abis', 'GB', 'pdhl', 'minutes']</v>
      </c>
      <c r="D1150" s="3">
        <v>1.0</v>
      </c>
    </row>
    <row r="1151" ht="15.75" customHeight="1">
      <c r="A1151" s="1">
        <v>1222.0</v>
      </c>
      <c r="B1151" s="3" t="s">
        <v>1141</v>
      </c>
      <c r="C1151" s="3" t="str">
        <f>IFERROR(__xludf.DUMMYFUNCTION("GOOGLETRANSLATE(B1151,""id"",""en"")"),"['', 'upload', 'threat', 'already', 'signal', 'NGK', 'advanced', 'quality', 'Telkomsel', 'downhill', ""]")</f>
        <v>['', 'upload', 'threat', 'already', 'signal', 'NGK', 'advanced', 'quality', 'Telkomsel', 'downhill', "]</v>
      </c>
      <c r="D1151" s="3">
        <v>1.0</v>
      </c>
    </row>
    <row r="1152" ht="15.75" customHeight="1">
      <c r="A1152" s="1">
        <v>1223.0</v>
      </c>
      <c r="B1152" s="3" t="s">
        <v>1142</v>
      </c>
      <c r="C1152" s="3" t="str">
        <f>IFERROR(__xludf.DUMMYFUNCTION("GOOGLETRANSLATE(B1152,""id"",""en"")"),"['signal', 'rich', 'ugly', 'bet']")</f>
        <v>['signal', 'rich', 'ugly', 'bet']</v>
      </c>
      <c r="D1152" s="3">
        <v>2.0</v>
      </c>
    </row>
    <row r="1153" ht="15.75" customHeight="1">
      <c r="A1153" s="1">
        <v>1224.0</v>
      </c>
      <c r="B1153" s="3" t="s">
        <v>1143</v>
      </c>
      <c r="C1153" s="3" t="str">
        <f>IFERROR(__xludf.DUMMYFUNCTION("GOOGLETRANSLATE(B1153,""id"",""en"")"),"['network', 'Macem', 'Tokai', 'expensive', 'doang', 'signal', 'rich']")</f>
        <v>['network', 'Macem', 'Tokai', 'expensive', 'doang', 'signal', 'rich']</v>
      </c>
      <c r="D1153" s="3">
        <v>1.0</v>
      </c>
    </row>
    <row r="1154" ht="15.75" customHeight="1">
      <c r="A1154" s="1">
        <v>1225.0</v>
      </c>
      <c r="B1154" s="3" t="s">
        <v>1144</v>
      </c>
      <c r="C1154" s="3" t="str">
        <f>IFERROR(__xludf.DUMMYFUNCTION("GOOGLETRANSLATE(B1154,""id"",""en"")"),"['Telcomsel']")</f>
        <v>['Telcomsel']</v>
      </c>
      <c r="D1154" s="3">
        <v>5.0</v>
      </c>
    </row>
    <row r="1155" ht="15.75" customHeight="1">
      <c r="A1155" s="1">
        <v>1226.0</v>
      </c>
      <c r="B1155" s="3" t="s">
        <v>1145</v>
      </c>
      <c r="C1155" s="3" t="str">
        <f>IFERROR(__xludf.DUMMYFUNCTION("GOOGLETRANSLATE(B1155,""id"",""en"")"),"['signal', 'good', 'times', 'slow', 'because', 'season', 'rain', 'times', ""]")</f>
        <v>['signal', 'good', 'times', 'slow', 'because', 'season', 'rain', 'times', "]</v>
      </c>
      <c r="D1155" s="3">
        <v>5.0</v>
      </c>
    </row>
    <row r="1156" ht="15.75" customHeight="1">
      <c r="A1156" s="1">
        <v>1228.0</v>
      </c>
      <c r="B1156" s="3" t="s">
        <v>1146</v>
      </c>
      <c r="C1156" s="3" t="str">
        <f>IFERROR(__xludf.DUMMYFUNCTION("GOOGLETRANSLATE(B1156,""id"",""en"")"),"['bad', 'quality', 'network', 'cave', 'telkomsel', 'already', 'dozens', 'original', 'here', 'severe']")</f>
        <v>['bad', 'quality', 'network', 'cave', 'telkomsel', 'already', 'dozens', 'original', 'here', 'severe']</v>
      </c>
      <c r="D1156" s="3">
        <v>1.0</v>
      </c>
    </row>
    <row r="1157" ht="15.75" customHeight="1">
      <c r="A1157" s="1">
        <v>1230.0</v>
      </c>
      <c r="B1157" s="3" t="s">
        <v>1147</v>
      </c>
      <c r="C1157" s="3" t="str">
        <f>IFERROR(__xludf.DUMMYFUNCTION("GOOGLETRANSLATE(B1157,""id"",""en"")"),"['Telkomsel', 'severe', 'network', 'data', 'good', 'loss',' buy ',' data ',' price ',' expensive ',' net ',' bad ',' Please, 'Fix', 'If', 'Network', 'Community', 'Kotaku', 'Network']")</f>
        <v>['Telkomsel', 'severe', 'network', 'data', 'good', 'loss',' buy ',' data ',' price ',' expensive ',' net ',' bad ',' Please, 'Fix', 'If', 'Network', 'Community', 'Kotaku', 'Network']</v>
      </c>
      <c r="D1157" s="3">
        <v>1.0</v>
      </c>
    </row>
    <row r="1158" ht="15.75" customHeight="1">
      <c r="A1158" s="1">
        <v>1231.0</v>
      </c>
      <c r="B1158" s="3" t="s">
        <v>1148</v>
      </c>
      <c r="C1158" s="3" t="str">
        <f>IFERROR(__xludf.DUMMYFUNCTION("GOOGLETRANSLATE(B1158,""id"",""en"")"),"['Application', 'opened']")</f>
        <v>['Application', 'opened']</v>
      </c>
      <c r="D1158" s="3">
        <v>5.0</v>
      </c>
    </row>
    <row r="1159" ht="15.75" customHeight="1">
      <c r="A1159" s="1">
        <v>1232.0</v>
      </c>
      <c r="B1159" s="3" t="s">
        <v>1149</v>
      </c>
      <c r="C1159" s="3" t="str">
        <f>IFERROR(__xludf.DUMMYFUNCTION("GOOGLETRANSLATE(B1159,""id"",""en"")"),"['like', 'really', 'application', 'help', 'quota', 'check', 'quota', 'extra', 'pretty', 'thank', 'love']")</f>
        <v>['like', 'really', 'application', 'help', 'quota', 'check', 'quota', 'extra', 'pretty', 'thank', 'love']</v>
      </c>
      <c r="D1159" s="3">
        <v>5.0</v>
      </c>
    </row>
    <row r="1160" ht="15.75" customHeight="1">
      <c r="A1160" s="1">
        <v>1234.0</v>
      </c>
      <c r="B1160" s="3" t="s">
        <v>1150</v>
      </c>
      <c r="C1160" s="3" t="str">
        <f>IFERROR(__xludf.DUMMYFUNCTION("GOOGLETRANSLATE(B1160,""id"",""en"")"),"['Application', 'Open', 'Stuck', 'Employee', 'Fix', 'Application', 'Collapse', 'Power', 'Construction', 'Power', 'Org', ' company ',' BUMN ']")</f>
        <v>['Application', 'Open', 'Stuck', 'Employee', 'Fix', 'Application', 'Collapse', 'Power', 'Construction', 'Power', 'Org', ' company ',' BUMN ']</v>
      </c>
      <c r="D1160" s="3">
        <v>5.0</v>
      </c>
    </row>
    <row r="1161" ht="15.75" customHeight="1">
      <c r="A1161" s="1">
        <v>1235.0</v>
      </c>
      <c r="B1161" s="3" t="s">
        <v>1151</v>
      </c>
      <c r="C1161" s="3" t="str">
        <f>IFERROR(__xludf.DUMMYFUNCTION("GOOGLETRANSLATE(B1161,""id"",""en"")"),"['Severe', 'Jringanlu', 'Full', 'Ngadad', 'Ngadad', 'Browsing', 'Doang', 'Muter', 'Bae']")</f>
        <v>['Severe', 'Jringanlu', 'Full', 'Ngadad', 'Ngadad', 'Browsing', 'Doang', 'Muter', 'Bae']</v>
      </c>
      <c r="D1161" s="3">
        <v>3.0</v>
      </c>
    </row>
    <row r="1162" ht="15.75" customHeight="1">
      <c r="A1162" s="1">
        <v>1236.0</v>
      </c>
      <c r="B1162" s="3" t="s">
        <v>1152</v>
      </c>
      <c r="C1162" s="3" t="str">
        <f>IFERROR(__xludf.DUMMYFUNCTION("GOOGLETRANSLATE(B1162,""id"",""en"")"),"['memalankn']")</f>
        <v>['memalankn']</v>
      </c>
      <c r="D1162" s="3">
        <v>5.0</v>
      </c>
    </row>
    <row r="1163" ht="15.75" customHeight="1">
      <c r="A1163" s="1">
        <v>1237.0</v>
      </c>
      <c r="B1163" s="3" t="s">
        <v>1153</v>
      </c>
      <c r="C1163" s="3" t="str">
        <f>IFERROR(__xludf.DUMMYFUNCTION("GOOGLETRANSLATE(B1163,""id"",""en"")"),"['buy', 'package', 'expensive', 'expensive', 'network', 'tetep', 'ugly', 'kirain', 'according to', 'price']")</f>
        <v>['buy', 'package', 'expensive', 'expensive', 'network', 'tetep', 'ugly', 'kirain', 'according to', 'price']</v>
      </c>
      <c r="D1163" s="3">
        <v>1.0</v>
      </c>
    </row>
    <row r="1164" ht="15.75" customHeight="1">
      <c r="A1164" s="1">
        <v>1238.0</v>
      </c>
      <c r="B1164" s="3" t="s">
        <v>1154</v>
      </c>
      <c r="C1164" s="3" t="str">
        <f>IFERROR(__xludf.DUMMYFUNCTION("GOOGLETRANSLATE(B1164,""id"",""en"")"),"['', 'siip', 'thank', 'love', 'optimizes', 'signal', 'tsel', 'good', 'please', 'keep', 'yaa', 'performance', "" ]")</f>
        <v>['', 'siip', 'thank', 'love', 'optimizes', 'signal', 'tsel', 'good', 'please', 'keep', 'yaa', 'performance', " ]</v>
      </c>
      <c r="D1164" s="3">
        <v>5.0</v>
      </c>
    </row>
    <row r="1165" ht="15.75" customHeight="1">
      <c r="A1165" s="1">
        <v>1240.0</v>
      </c>
      <c r="B1165" s="3" t="s">
        <v>1155</v>
      </c>
      <c r="C1165" s="3" t="str">
        <f>IFERROR(__xludf.DUMMYFUNCTION("GOOGLETRANSLATE(B1165,""id"",""en"")"),"['The application', 'simple', 'makes it easy', 'user']")</f>
        <v>['The application', 'simple', 'makes it easy', 'user']</v>
      </c>
      <c r="D1165" s="3">
        <v>4.0</v>
      </c>
    </row>
    <row r="1166" ht="15.75" customHeight="1">
      <c r="A1166" s="1">
        <v>1241.0</v>
      </c>
      <c r="B1166" s="3" t="s">
        <v>1156</v>
      </c>
      <c r="C1166" s="3" t="str">
        <f>IFERROR(__xludf.DUMMYFUNCTION("GOOGLETRANSLATE(B1166,""id"",""en"")"),"['please', 'Telkomsel', 'contents',' reset ',' quota ',' quota ',' watch ',' local ',' following ',' requirements', 'provisions',' coakes', ' How ',' Tetep ',' Quota ',' Main ',' Sumpot ',' Mending ',' Eliminated ',' Quota ',' Watch ', ""]")</f>
        <v>['please', 'Telkomsel', 'contents',' reset ',' quota ',' quota ',' watch ',' local ',' following ',' requirements', 'provisions',' coakes', ' How ',' Tetep ',' Quota ',' Main ',' Sumpot ',' Mending ',' Eliminated ',' Quota ',' Watch ', "]</v>
      </c>
      <c r="D1166" s="3">
        <v>1.0</v>
      </c>
    </row>
    <row r="1167" ht="15.75" customHeight="1">
      <c r="A1167" s="1">
        <v>1244.0</v>
      </c>
      <c r="B1167" s="3" t="s">
        <v>1157</v>
      </c>
      <c r="C1167" s="3" t="str">
        <f>IFERROR(__xludf.DUMMYFUNCTION("GOOGLETRANSLATE(B1167,""id"",""en"")"),"['user', 'loyal', 'Telkom', 'disappointed', 'buy', 'quota', 'choice', 'limited', 'combo', 'magic', 'quota', 'main', ' Multimedia ',' Internet ',' OMG ',' Choice ',' Classification ',' Quota ',' Monthly ',' Disappointing ',' Price ',' Speed ​​',' Decreases"&amp;"', ""]")</f>
        <v>['user', 'loyal', 'Telkom', 'disappointed', 'buy', 'quota', 'choice', 'limited', 'combo', 'magic', 'quota', 'main', ' Multimedia ',' Internet ',' OMG ',' Choice ',' Classification ',' Quota ',' Monthly ',' Disappointing ',' Price ',' Speed ​​',' Decreases', "]</v>
      </c>
      <c r="D1167" s="3">
        <v>1.0</v>
      </c>
    </row>
    <row r="1168" ht="15.75" customHeight="1">
      <c r="A1168" s="1">
        <v>1245.0</v>
      </c>
      <c r="B1168" s="3" t="s">
        <v>1158</v>
      </c>
      <c r="C1168" s="3" t="str">
        <f>IFERROR(__xludf.DUMMYFUNCTION("GOOGLETRANSLATE(B1168,""id"",""en"")"),"['Good', 'The application']")</f>
        <v>['Good', 'The application']</v>
      </c>
      <c r="D1168" s="3">
        <v>5.0</v>
      </c>
    </row>
    <row r="1169" ht="15.75" customHeight="1">
      <c r="A1169" s="1">
        <v>1246.0</v>
      </c>
      <c r="B1169" s="3" t="s">
        <v>1159</v>
      </c>
      <c r="C1169" s="3" t="str">
        <f>IFERROR(__xludf.DUMMYFUNCTION("GOOGLETRANSLATE(B1169,""id"",""en"")"),"['right', 'open', 'app', 'connection', 'internet', 'good', 'loading', 'connection', 'internet', 'good', 'transfer', 'quota', ' fast ',' love ',' star ',' deh ']")</f>
        <v>['right', 'open', 'app', 'connection', 'internet', 'good', 'loading', 'connection', 'internet', 'good', 'transfer', 'quota', ' fast ',' love ',' star ',' deh ']</v>
      </c>
      <c r="D1169" s="3">
        <v>4.0</v>
      </c>
    </row>
    <row r="1170" ht="15.75" customHeight="1">
      <c r="A1170" s="1">
        <v>1247.0</v>
      </c>
      <c r="B1170" s="3" t="s">
        <v>1160</v>
      </c>
      <c r="C1170" s="3" t="str">
        <f>IFERROR(__xludf.DUMMYFUNCTION("GOOGLETRANSLATE(B1170,""id"",""en"")"),"['Weh', 'gmn', 'mentang', 'mentang', 'package', 'main', 'just', 'package', 'youtube', 'unlimited', 'package', 'YouTube', ' Unlimited ',' Road ',' Open ',' YouTube ',' Sesara ',' Quota ',' ']")</f>
        <v>['Weh', 'gmn', 'mentang', 'mentang', 'package', 'main', 'just', 'package', 'youtube', 'unlimited', 'package', 'YouTube', ' Unlimited ',' Road ',' Open ',' YouTube ',' Sesara ',' Quota ',' ']</v>
      </c>
      <c r="D1170" s="3">
        <v>3.0</v>
      </c>
    </row>
    <row r="1171" ht="15.75" customHeight="1">
      <c r="A1171" s="1">
        <v>1248.0</v>
      </c>
      <c r="B1171" s="3" t="s">
        <v>1161</v>
      </c>
      <c r="C1171" s="3" t="str">
        <f>IFERROR(__xludf.DUMMYFUNCTION("GOOGLETRANSLATE(B1171,""id"",""en"")"),"['UDH', 'a month', 'application', 'opened', 'unistal', 'jdnya', 'slow', 'really', 'severe']")</f>
        <v>['UDH', 'a month', 'application', 'opened', 'unistal', 'jdnya', 'slow', 'really', 'severe']</v>
      </c>
      <c r="D1171" s="3">
        <v>1.0</v>
      </c>
    </row>
    <row r="1172" ht="15.75" customHeight="1">
      <c r="A1172" s="1">
        <v>1249.0</v>
      </c>
      <c r="B1172" s="3" t="s">
        <v>1162</v>
      </c>
      <c r="C1172" s="3" t="str">
        <f>IFERROR(__xludf.DUMMYFUNCTION("GOOGLETRANSLATE(B1172,""id"",""en"")"),"['Hey', 'Telkomsel', 'Where', 'Package', 'Data', 'expensive', 'network', 'chaotic', 'already', 'ngepain', 'Telkomsel', ""]")</f>
        <v>['Hey', 'Telkomsel', 'Where', 'Package', 'Data', 'expensive', 'network', 'chaotic', 'already', 'ngepain', 'Telkomsel', "]</v>
      </c>
      <c r="D1172" s="3">
        <v>1.0</v>
      </c>
    </row>
    <row r="1173" ht="15.75" customHeight="1">
      <c r="A1173" s="1">
        <v>1250.0</v>
      </c>
      <c r="B1173" s="3" t="s">
        <v>1163</v>
      </c>
      <c r="C1173" s="3" t="str">
        <f>IFERROR(__xludf.DUMMYFUNCTION("GOOGLETRANSLATE(B1173,""id"",""en"")"),"['application', 'ngak', 'buy', 'package', 'all-round', 'expensive', 'ngak', 'promo']")</f>
        <v>['application', 'ngak', 'buy', 'package', 'all-round', 'expensive', 'ngak', 'promo']</v>
      </c>
      <c r="D1173" s="3">
        <v>2.0</v>
      </c>
    </row>
    <row r="1174" ht="15.75" customHeight="1">
      <c r="A1174" s="1">
        <v>1251.0</v>
      </c>
      <c r="B1174" s="3" t="s">
        <v>1164</v>
      </c>
      <c r="C1174" s="3" t="str">
        <f>IFERROR(__xludf.DUMMYFUNCTION("GOOGLETRANSLATE(B1174,""id"",""en"")"),"['Application', 'opened', 'admin', 'please', 'upgrade', 'the application', 'version', ""]")</f>
        <v>['Application', 'opened', 'admin', 'please', 'upgrade', 'the application', 'version', "]</v>
      </c>
      <c r="D1174" s="3">
        <v>4.0</v>
      </c>
    </row>
    <row r="1175" ht="15.75" customHeight="1">
      <c r="A1175" s="1">
        <v>1252.0</v>
      </c>
      <c r="B1175" s="3" t="s">
        <v>1165</v>
      </c>
      <c r="C1175" s="3" t="str">
        <f>IFERROR(__xludf.DUMMYFUNCTION("GOOGLETRANSLATE(B1175,""id"",""en"")"),"['Alhamdulillah', 'Helping', 'Price', 'Package', 'Reduce', 'More', '']")</f>
        <v>['Alhamdulillah', 'Helping', 'Price', 'Package', 'Reduce', 'More', '']</v>
      </c>
      <c r="D1175" s="3">
        <v>5.0</v>
      </c>
    </row>
    <row r="1176" ht="15.75" customHeight="1">
      <c r="A1176" s="1">
        <v>1253.0</v>
      </c>
      <c r="B1176" s="3" t="s">
        <v>1166</v>
      </c>
      <c r="C1176" s="3" t="str">
        <f>IFERROR(__xludf.DUMMYFUNCTION("GOOGLETRANSLATE(B1176,""id"",""en"")"),"['signal', 'slow', 'already', 'city', 'slow', 'deket', 'tower', 'suggest', 'buy', 'card', 'telkom', 'deh', ' Ryesel ',' Mending ',' Pakek ',' WiFi ',' Card ',' Staple ',' Telkomsel ',' Over ']")</f>
        <v>['signal', 'slow', 'already', 'city', 'slow', 'deket', 'tower', 'suggest', 'buy', 'card', 'telkom', 'deh', ' Ryesel ',' Mending ',' Pakek ',' WiFi ',' Card ',' Staple ',' Telkomsel ',' Over ']</v>
      </c>
      <c r="D1176" s="3">
        <v>1.0</v>
      </c>
    </row>
    <row r="1177" ht="15.75" customHeight="1">
      <c r="A1177" s="1">
        <v>1254.0</v>
      </c>
      <c r="B1177" s="3" t="s">
        <v>1167</v>
      </c>
      <c r="C1177" s="3" t="str">
        <f>IFERROR(__xludf.DUMMYFUNCTION("GOOGLETRANSLATE(B1177,""id"",""en"")"),"['help']")</f>
        <v>['help']</v>
      </c>
      <c r="D1177" s="3">
        <v>5.0</v>
      </c>
    </row>
    <row r="1178" ht="15.75" customHeight="1">
      <c r="A1178" s="1">
        <v>1255.0</v>
      </c>
      <c r="B1178" s="3" t="s">
        <v>1168</v>
      </c>
      <c r="C1178" s="3" t="str">
        <f>IFERROR(__xludf.DUMMYFUNCTION("GOOGLETRANSLATE(B1178,""id"",""en"")"),"['Kasi', 'internet', 'murahhhh']")</f>
        <v>['Kasi', 'internet', 'murahhhh']</v>
      </c>
      <c r="D1178" s="3">
        <v>1.0</v>
      </c>
    </row>
    <row r="1179" ht="15.75" customHeight="1">
      <c r="A1179" s="1">
        <v>1256.0</v>
      </c>
      <c r="B1179" s="3" t="s">
        <v>362</v>
      </c>
      <c r="C1179" s="3" t="str">
        <f>IFERROR(__xludf.DUMMYFUNCTION("GOOGLETRANSLATE(B1179,""id"",""en"")"),"['Telkomsel', 'best']")</f>
        <v>['Telkomsel', 'best']</v>
      </c>
      <c r="D1179" s="3">
        <v>5.0</v>
      </c>
    </row>
    <row r="1180" ht="15.75" customHeight="1">
      <c r="A1180" s="1">
        <v>1257.0</v>
      </c>
      <c r="B1180" s="3" t="s">
        <v>1169</v>
      </c>
      <c r="C1180" s="3" t="str">
        <f>IFERROR(__xludf.DUMMYFUNCTION("GOOGLETRANSLATE(B1180,""id"",""en"")"),"['network', 'unlimetid', 'no', 'good', 'disappointing']")</f>
        <v>['network', 'unlimetid', 'no', 'good', 'disappointing']</v>
      </c>
      <c r="D1180" s="3">
        <v>2.0</v>
      </c>
    </row>
    <row r="1181" ht="15.75" customHeight="1">
      <c r="A1181" s="1">
        <v>1258.0</v>
      </c>
      <c r="B1181" s="3" t="s">
        <v>1170</v>
      </c>
      <c r="C1181" s="3" t="str">
        <f>IFERROR(__xludf.DUMMYFUNCTION("GOOGLETRANSLATE(B1181,""id"",""en"")"),"['WOI', 'Telkomsel', 'Bener', 'already', 'buy', 'Package', 'telephone', 'pulse', 'already', 'missing', 'bonus',' call ',' Telkomsel ',' Money ',' Fraud ',' Severe ',' Time ',' Telkomsel ',' Turns', 'Pulse', 'Lost', 'Already', 'Crazy', 'Telkomsel', ""]")</f>
        <v>['WOI', 'Telkomsel', 'Bener', 'already', 'buy', 'Package', 'telephone', 'pulse', 'already', 'missing', 'bonus',' call ',' Telkomsel ',' Money ',' Fraud ',' Severe ',' Time ',' Telkomsel ',' Turns', 'Pulse', 'Lost', 'Already', 'Crazy', 'Telkomsel', "]</v>
      </c>
      <c r="D1181" s="3">
        <v>1.0</v>
      </c>
    </row>
    <row r="1182" ht="15.75" customHeight="1">
      <c r="A1182" s="1">
        <v>1259.0</v>
      </c>
      <c r="B1182" s="3" t="s">
        <v>1171</v>
      </c>
      <c r="C1182" s="3" t="str">
        <f>IFERROR(__xludf.DUMMYFUNCTION("GOOGLETRANSLATE(B1182,""id"",""en"")"),"['The package', 'cheap', 'Telkomsel', 'mantaf']")</f>
        <v>['The package', 'cheap', 'Telkomsel', 'mantaf']</v>
      </c>
      <c r="D1182" s="3">
        <v>5.0</v>
      </c>
    </row>
    <row r="1183" ht="15.75" customHeight="1">
      <c r="A1183" s="1">
        <v>1260.0</v>
      </c>
      <c r="B1183" s="3" t="s">
        <v>1172</v>
      </c>
      <c r="C1183" s="3" t="str">
        <f>IFERROR(__xludf.DUMMYFUNCTION("GOOGLETRANSLATE(B1183,""id"",""en"")"),"['a month', 'application', 'opened', 'ugly', 'service', 'Telkomsel', '']")</f>
        <v>['a month', 'application', 'opened', 'ugly', 'service', 'Telkomsel', '']</v>
      </c>
      <c r="D1183" s="3">
        <v>1.0</v>
      </c>
    </row>
    <row r="1184" ht="15.75" customHeight="1">
      <c r="A1184" s="1">
        <v>1261.0</v>
      </c>
      <c r="B1184" s="3" t="s">
        <v>1173</v>
      </c>
      <c r="C1184" s="3" t="str">
        <f>IFERROR(__xludf.DUMMYFUNCTION("GOOGLETRANSLATE(B1184,""id"",""en"")"),"['Network', 'Nyah', 'Ngelag', 'Mulu', 'Fak', ""]")</f>
        <v>['Network', 'Nyah', 'Ngelag', 'Mulu', 'Fak', "]</v>
      </c>
      <c r="D1184" s="3">
        <v>1.0</v>
      </c>
    </row>
    <row r="1185" ht="15.75" customHeight="1">
      <c r="A1185" s="1">
        <v>1262.0</v>
      </c>
      <c r="B1185" s="3" t="s">
        <v>1174</v>
      </c>
      <c r="C1185" s="3" t="str">
        <f>IFERROR(__xludf.DUMMYFUNCTION("GOOGLETRANSLATE(B1185,""id"",""en"")"),"['Please', 'Enter', 'Miss']")</f>
        <v>['Please', 'Enter', 'Miss']</v>
      </c>
      <c r="D1185" s="3">
        <v>4.0</v>
      </c>
    </row>
    <row r="1186" ht="15.75" customHeight="1">
      <c r="A1186" s="1">
        <v>1263.0</v>
      </c>
      <c r="B1186" s="3" t="s">
        <v>1175</v>
      </c>
      <c r="C1186" s="3" t="str">
        <f>IFERROR(__xludf.DUMMYFUNCTION("GOOGLETRANSLATE(B1186,""id"",""en"")"),"['Deket', 'post', 'signal', 'Jelekk', 'a week', 'signal', 'crash', 'date', 'December', '']")</f>
        <v>['Deket', 'post', 'signal', 'Jelekk', 'a week', 'signal', 'crash', 'date', 'December', '']</v>
      </c>
      <c r="D1186" s="3">
        <v>1.0</v>
      </c>
    </row>
    <row r="1187" ht="15.75" customHeight="1">
      <c r="A1187" s="1">
        <v>1264.0</v>
      </c>
      <c r="B1187" s="3" t="s">
        <v>1176</v>
      </c>
      <c r="C1187" s="3" t="str">
        <f>IFERROR(__xludf.DUMMYFUNCTION("GOOGLETRANSLATE(B1187,""id"",""en"")"),"['Hold', 'Package', 'GCERIA']")</f>
        <v>['Hold', 'Package', 'GCERIA']</v>
      </c>
      <c r="D1187" s="3">
        <v>1.0</v>
      </c>
    </row>
    <row r="1188" ht="15.75" customHeight="1">
      <c r="A1188" s="1">
        <v>1265.0</v>
      </c>
      <c r="B1188" s="3" t="s">
        <v>1177</v>
      </c>
      <c r="C1188" s="3" t="str">
        <f>IFERROR(__xludf.DUMMYFUNCTION("GOOGLETRANSLATE(B1188,""id"",""en"")"),"['complain', 'Dipedin', 'given', 'star', 'responded', '']")</f>
        <v>['complain', 'Dipedin', 'given', 'star', 'responded', '']</v>
      </c>
      <c r="D1188" s="3">
        <v>4.0</v>
      </c>
    </row>
    <row r="1189" ht="15.75" customHeight="1">
      <c r="A1189" s="1">
        <v>1267.0</v>
      </c>
      <c r="B1189" s="3" t="s">
        <v>1178</v>
      </c>
      <c r="C1189" s="3" t="str">
        <f>IFERROR(__xludf.DUMMYFUNCTION("GOOGLETRANSLATE(B1189,""id"",""en"")"),"['Good', 'Useful']")</f>
        <v>['Good', 'Useful']</v>
      </c>
      <c r="D1189" s="3">
        <v>5.0</v>
      </c>
    </row>
    <row r="1190" ht="15.75" customHeight="1">
      <c r="A1190" s="1">
        <v>1268.0</v>
      </c>
      <c r="B1190" s="3" t="s">
        <v>1179</v>
      </c>
      <c r="C1190" s="3" t="str">
        <f>IFERROR(__xludf.DUMMYFUNCTION("GOOGLETRANSLATE(B1190,""id"",""en"")"),"['Good', 'additional', 'discount', 'promo']")</f>
        <v>['Good', 'additional', 'discount', 'promo']</v>
      </c>
      <c r="D1190" s="3">
        <v>5.0</v>
      </c>
    </row>
    <row r="1191" ht="15.75" customHeight="1">
      <c r="A1191" s="1">
        <v>1269.0</v>
      </c>
      <c r="B1191" s="3" t="s">
        <v>1180</v>
      </c>
      <c r="C1191" s="3" t="str">
        <f>IFERROR(__xludf.DUMMYFUNCTION("GOOGLETRANSLATE(B1191,""id"",""en"")"),"['Telkomsel', 'weaves', 'sayah']")</f>
        <v>['Telkomsel', 'weaves', 'sayah']</v>
      </c>
      <c r="D1191" s="3">
        <v>5.0</v>
      </c>
    </row>
    <row r="1192" ht="15.75" customHeight="1">
      <c r="A1192" s="1">
        <v>1270.0</v>
      </c>
      <c r="B1192" s="3" t="s">
        <v>1181</v>
      </c>
      <c r="C1192" s="3" t="str">
        <f>IFERROR(__xludf.DUMMYFUNCTION("GOOGLETRANSLATE(B1192,""id"",""en"")"),"['Kbuka', 'LGI', 'accessed']")</f>
        <v>['Kbuka', 'LGI', 'accessed']</v>
      </c>
      <c r="D1192" s="3">
        <v>5.0</v>
      </c>
    </row>
    <row r="1193" ht="15.75" customHeight="1">
      <c r="A1193" s="1">
        <v>1271.0</v>
      </c>
      <c r="B1193" s="3" t="s">
        <v>1182</v>
      </c>
      <c r="C1193" s="3" t="str">
        <f>IFERROR(__xludf.DUMMYFUNCTION("GOOGLETRANSLATE(B1193,""id"",""en"")"),"['', 'Login', 'cellphone', 'cheap', 'old school']")</f>
        <v>['', 'Login', 'cellphone', 'cheap', 'old school']</v>
      </c>
      <c r="D1193" s="3">
        <v>1.0</v>
      </c>
    </row>
    <row r="1194" ht="15.75" customHeight="1">
      <c r="A1194" s="1">
        <v>1272.0</v>
      </c>
      <c r="B1194" s="3" t="s">
        <v>1183</v>
      </c>
      <c r="C1194" s="3" t="str">
        <f>IFERROR(__xludf.DUMMYFUNCTION("GOOGLETRANSLATE(B1194,""id"",""en"")"),"['Dipake', 'predicate']")</f>
        <v>['Dipake', 'predicate']</v>
      </c>
      <c r="D1194" s="3">
        <v>1.0</v>
      </c>
    </row>
    <row r="1195" ht="15.75" customHeight="1">
      <c r="A1195" s="1">
        <v>1273.0</v>
      </c>
      <c r="B1195" s="3" t="s">
        <v>1184</v>
      </c>
      <c r="C1195" s="3" t="str">
        <f>IFERROR(__xludf.DUMMYFUNCTION("GOOGLETRANSLATE(B1195,""id"",""en"")"),"['', 'Telkomsel', 'safe', 'Telkomsel', 'people', 'bills', 'rb', 'jt']")</f>
        <v>['', 'Telkomsel', 'safe', 'Telkomsel', 'people', 'bills', 'rb', 'jt']</v>
      </c>
      <c r="D1195" s="3">
        <v>1.0</v>
      </c>
    </row>
    <row r="1196" ht="15.75" customHeight="1">
      <c r="A1196" s="1">
        <v>1275.0</v>
      </c>
      <c r="B1196" s="3" t="s">
        <v>1185</v>
      </c>
      <c r="C1196" s="3" t="str">
        <f>IFERROR(__xludf.DUMMYFUNCTION("GOOGLETRANSLATE(B1196,""id"",""en"")"),"['Mkasdny', 'TELKOM', 'KYA', 'GINIH', 'JDI', 'ugly', 'BLI', 'PKET', 'JDI', 'Difficult', 'Skiry', 'Kad', ' Promo ',' Telkom ',' Closed ',' Lam ',' Cave ',' Switch ',' Matangan ',' Telkom ',' Severe ']")</f>
        <v>['Mkasdny', 'TELKOM', 'KYA', 'GINIH', 'JDI', 'ugly', 'BLI', 'PKET', 'JDI', 'Difficult', 'Skiry', 'Kad', ' Promo ',' Telkom ',' Closed ',' Lam ',' Cave ',' Switch ',' Matangan ',' Telkom ',' Severe ']</v>
      </c>
      <c r="D1196" s="3">
        <v>1.0</v>
      </c>
    </row>
    <row r="1197" ht="15.75" customHeight="1">
      <c r="A1197" s="1">
        <v>1278.0</v>
      </c>
      <c r="B1197" s="3" t="s">
        <v>1186</v>
      </c>
      <c r="C1197" s="3" t="str">
        <f>IFERROR(__xludf.DUMMYFUNCTION("GOOGLETRANSLATE(B1197,""id"",""en"")"),"['Cheap', 'package']")</f>
        <v>['Cheap', 'package']</v>
      </c>
      <c r="D1197" s="3">
        <v>5.0</v>
      </c>
    </row>
    <row r="1198" ht="15.75" customHeight="1">
      <c r="A1198" s="1">
        <v>1279.0</v>
      </c>
      <c r="B1198" s="3" t="s">
        <v>1187</v>
      </c>
      <c r="C1198" s="3" t="str">
        <f>IFERROR(__xludf.DUMMYFUNCTION("GOOGLETRANSLATE(B1198,""id"",""en"")"),"['The network', 'lag', 'Mulu', '']")</f>
        <v>['The network', 'lag', 'Mulu', '']</v>
      </c>
      <c r="D1198" s="3">
        <v>1.0</v>
      </c>
    </row>
    <row r="1199" ht="15.75" customHeight="1">
      <c r="A1199" s="1">
        <v>1280.0</v>
      </c>
      <c r="B1199" s="3" t="s">
        <v>1188</v>
      </c>
      <c r="C1199" s="3" t="str">
        <f>IFERROR(__xludf.DUMMYFUNCTION("GOOGLETRANSLATE(B1199,""id"",""en"")"),"['best', 'hope', 'promo']")</f>
        <v>['best', 'hope', 'promo']</v>
      </c>
      <c r="D1199" s="3">
        <v>5.0</v>
      </c>
    </row>
    <row r="1200" ht="15.75" customHeight="1">
      <c r="A1200" s="1">
        <v>1281.0</v>
      </c>
      <c r="B1200" s="3" t="s">
        <v>1189</v>
      </c>
      <c r="C1200" s="3" t="str">
        <f>IFERROR(__xludf.DUMMYFUNCTION("GOOGLETRANSLATE(B1200,""id"",""en"")"),"['Star', 'internet', 'home', 'entered', 'ngan', 'room', 'missing', 'change', '']")</f>
        <v>['Star', 'internet', 'home', 'entered', 'ngan', 'room', 'missing', 'change', '']</v>
      </c>
      <c r="D1200" s="3">
        <v>4.0</v>
      </c>
    </row>
    <row r="1201" ht="15.75" customHeight="1">
      <c r="A1201" s="1">
        <v>1282.0</v>
      </c>
      <c r="B1201" s="3" t="s">
        <v>1190</v>
      </c>
      <c r="C1201" s="3" t="str">
        <f>IFERROR(__xludf.DUMMYFUNCTION("GOOGLETRANSLATE(B1201,""id"",""en"")"),"['min', 'buy', 'extra', 'unlimited', 'method', 'already', 'contents',' balance ',' sopay ',' ehh ',' buy ',' extra ',' unlimited ',' ngak ',' min ',' please ',' fix ']")</f>
        <v>['min', 'buy', 'extra', 'unlimited', 'method', 'already', 'contents',' balance ',' sopay ',' ehh ',' buy ',' extra ',' unlimited ',' ngak ',' min ',' please ',' fix ']</v>
      </c>
      <c r="D1201" s="3">
        <v>1.0</v>
      </c>
    </row>
    <row r="1202" ht="15.75" customHeight="1">
      <c r="A1202" s="1">
        <v>1283.0</v>
      </c>
      <c r="B1202" s="3" t="s">
        <v>1191</v>
      </c>
      <c r="C1202" s="3" t="str">
        <f>IFERROR(__xludf.DUMMYFUNCTION("GOOGLETRANSLATE(B1202,""id"",""en"")"),"['APK']")</f>
        <v>['APK']</v>
      </c>
      <c r="D1202" s="3">
        <v>5.0</v>
      </c>
    </row>
    <row r="1203" ht="15.75" customHeight="1">
      <c r="A1203" s="1">
        <v>1284.0</v>
      </c>
      <c r="B1203" s="3" t="s">
        <v>1192</v>
      </c>
      <c r="C1203" s="3" t="str">
        <f>IFERROR(__xludf.DUMMYFUNCTION("GOOGLETRANSLATE(B1203,""id"",""en"")"),"['easy', 'complicated', 'buy', 'package', '']")</f>
        <v>['easy', 'complicated', 'buy', 'package', '']</v>
      </c>
      <c r="D1203" s="3">
        <v>5.0</v>
      </c>
    </row>
    <row r="1204" ht="15.75" customHeight="1">
      <c r="A1204" s="1">
        <v>1285.0</v>
      </c>
      <c r="B1204" s="3" t="s">
        <v>737</v>
      </c>
      <c r="C1204" s="3" t="str">
        <f>IFERROR(__xludf.DUMMYFUNCTION("GOOGLETRANSLATE(B1204,""id"",""en"")"),"['Good', 'application']")</f>
        <v>['Good', 'application']</v>
      </c>
      <c r="D1204" s="3">
        <v>5.0</v>
      </c>
    </row>
    <row r="1205" ht="15.75" customHeight="1">
      <c r="A1205" s="1">
        <v>1286.0</v>
      </c>
      <c r="B1205" s="3" t="s">
        <v>1193</v>
      </c>
      <c r="C1205" s="3" t="str">
        <f>IFERROR(__xludf.DUMMYFUNCTION("GOOGLETRANSLATE(B1205,""id"",""en"")"),"['easy', 'purchase', 'package']")</f>
        <v>['easy', 'purchase', 'package']</v>
      </c>
      <c r="D1205" s="3">
        <v>5.0</v>
      </c>
    </row>
    <row r="1206" ht="15.75" customHeight="1">
      <c r="A1206" s="1">
        <v>1287.0</v>
      </c>
      <c r="B1206" s="3" t="s">
        <v>1194</v>
      </c>
      <c r="C1206" s="3" t="str">
        <f>IFERROR(__xludf.DUMMYFUNCTION("GOOGLETRANSLATE(B1206,""id"",""en"")"),"['price', 'package', 'expensive', 'network', 'bad', 'center', 'city', 'village', 'taste', 'please', 'fix', '']")</f>
        <v>['price', 'package', 'expensive', 'network', 'bad', 'center', 'city', 'village', 'taste', 'please', 'fix', '']</v>
      </c>
      <c r="D1206" s="3">
        <v>1.0</v>
      </c>
    </row>
    <row r="1207" ht="15.75" customHeight="1">
      <c r="A1207" s="1">
        <v>1288.0</v>
      </c>
      <c r="B1207" s="3" t="s">
        <v>1195</v>
      </c>
      <c r="C1207" s="3" t="str">
        <f>IFERROR(__xludf.DUMMYFUNCTION("GOOGLETRANSLATE(B1207,""id"",""en"")"),"['Aplikasinyah', 'Good', 'really']")</f>
        <v>['Aplikasinyah', 'Good', 'really']</v>
      </c>
      <c r="D1207" s="3">
        <v>5.0</v>
      </c>
    </row>
    <row r="1208" ht="15.75" customHeight="1">
      <c r="A1208" s="1">
        <v>1289.0</v>
      </c>
      <c r="B1208" s="3" t="s">
        <v>1196</v>
      </c>
      <c r="C1208" s="3" t="str">
        <f>IFERROR(__xludf.DUMMYFUNCTION("GOOGLETRANSLATE(B1208,""id"",""en"")"),"['Simple', 'makes it easy']")</f>
        <v>['Simple', 'makes it easy']</v>
      </c>
      <c r="D1208" s="3">
        <v>5.0</v>
      </c>
    </row>
    <row r="1209" ht="15.75" customHeight="1">
      <c r="A1209" s="1">
        <v>1290.0</v>
      </c>
      <c r="B1209" s="3" t="s">
        <v>1197</v>
      </c>
      <c r="C1209" s="3" t="str">
        <f>IFERROR(__xludf.DUMMYFUNCTION("GOOGLETRANSLATE(B1209,""id"",""en"")"),"['Sape', 'Application', 'Telkomsel', 'installed']")</f>
        <v>['Sape', 'Application', 'Telkomsel', 'installed']</v>
      </c>
      <c r="D1209" s="3">
        <v>5.0</v>
      </c>
    </row>
    <row r="1210" ht="15.75" customHeight="1">
      <c r="A1210" s="1">
        <v>1291.0</v>
      </c>
      <c r="B1210" s="3" t="s">
        <v>1198</v>
      </c>
      <c r="C1210" s="3" t="str">
        <f>IFERROR(__xludf.DUMMYFUNCTION("GOOGLETRANSLATE(B1210,""id"",""en"")"),"['apk', 'slow', ""]")</f>
        <v>['apk', 'slow', "]</v>
      </c>
      <c r="D1210" s="3">
        <v>1.0</v>
      </c>
    </row>
    <row r="1211" ht="15.75" customHeight="1">
      <c r="A1211" s="1">
        <v>1293.0</v>
      </c>
      <c r="B1211" s="3" t="s">
        <v>1199</v>
      </c>
      <c r="C1211" s="3" t="str">
        <f>IFERROR(__xludf.DUMMYFUNCTION("GOOGLETRANSLATE(B1211,""id"",""en"")"),"['Love', 'star', 'because', 'expensive', 'quota', ""]")</f>
        <v>['Love', 'star', 'because', 'expensive', 'quota', "]</v>
      </c>
      <c r="D1211" s="3">
        <v>2.0</v>
      </c>
    </row>
    <row r="1212" ht="15.75" customHeight="1">
      <c r="A1212" s="1">
        <v>1294.0</v>
      </c>
      <c r="B1212" s="3" t="s">
        <v>1200</v>
      </c>
      <c r="C1212" s="3" t="str">
        <f>IFERROR(__xludf.DUMMYFUNCTION("GOOGLETRANSLATE(B1212,""id"",""en"")"),"['application', 'quality', 'already', 'times', 'download', 'list', 'failed', 'kamrettttt']")</f>
        <v>['application', 'quality', 'already', 'times', 'download', 'list', 'failed', 'kamrettttt']</v>
      </c>
      <c r="D1212" s="3">
        <v>1.0</v>
      </c>
    </row>
    <row r="1213" ht="15.75" customHeight="1">
      <c r="A1213" s="1">
        <v>1295.0</v>
      </c>
      <c r="B1213" s="3" t="s">
        <v>1201</v>
      </c>
      <c r="C1213" s="3" t="str">
        <f>IFERROR(__xludf.DUMMYFUNCTION("GOOGLETRANSLATE(B1213,""id"",""en"")"),"['The application', 'SDAH', 'Bagus',' Please ',' Jngan ',' Mnempili ',' Choice ',' Package ',' Emergency ',' Scroll ',' Disturbing ',' Apalgi ',' pket ',' emergency ',' active ',' knowledge ',' owner ',' quota ',' notification ',' package ',' emergency ',"&amp;"' active ',' option ',' application ',' package ' , 'emergency', 'displays', 'open', 'application', 'media', 'social', '']")</f>
        <v>['The application', 'SDAH', 'Bagus',' Please ',' Jngan ',' Mnempili ',' Choice ',' Package ',' Emergency ',' Scroll ',' Disturbing ',' Apalgi ',' pket ',' emergency ',' active ',' knowledge ',' owner ',' quota ',' notification ',' package ',' emergency ',' active ',' option ',' application ',' package ' , 'emergency', 'displays', 'open', 'application', 'media', 'social', '']</v>
      </c>
      <c r="D1213" s="3">
        <v>5.0</v>
      </c>
    </row>
    <row r="1214" ht="15.75" customHeight="1">
      <c r="A1214" s="1">
        <v>1296.0</v>
      </c>
      <c r="B1214" s="3" t="s">
        <v>1202</v>
      </c>
      <c r="C1214" s="3" t="str">
        <f>IFERROR(__xludf.DUMMYFUNCTION("GOOGLETRANSLATE(B1214,""id"",""en"")"),"['Good', 'use', 'OTP', 'Link', 'because', 'use', 'number', '']")</f>
        <v>['Good', 'use', 'OTP', 'Link', 'because', 'use', 'number', '']</v>
      </c>
      <c r="D1214" s="3">
        <v>5.0</v>
      </c>
    </row>
    <row r="1215" ht="15.75" customHeight="1">
      <c r="A1215" s="1">
        <v>1297.0</v>
      </c>
      <c r="B1215" s="3" t="s">
        <v>1203</v>
      </c>
      <c r="C1215" s="3" t="str">
        <f>IFERROR(__xludf.DUMMYFUNCTION("GOOGLETRANSLATE(B1215,""id"",""en"")"),"['Install', 'hope', 'Lottery', 'already', 'a year', 'Exchange', 'Points', 'draw', 'broadcast', 'Live', 'rigged']")</f>
        <v>['Install', 'hope', 'Lottery', 'already', 'a year', 'Exchange', 'Points', 'draw', 'broadcast', 'Live', 'rigged']</v>
      </c>
      <c r="D1215" s="3">
        <v>1.0</v>
      </c>
    </row>
    <row r="1216" ht="15.75" customHeight="1">
      <c r="A1216" s="1">
        <v>1298.0</v>
      </c>
      <c r="B1216" s="3" t="s">
        <v>1204</v>
      </c>
      <c r="C1216" s="3" t="str">
        <f>IFERROR(__xludf.DUMMYFUNCTION("GOOGLETRANSLATE(B1216,""id"",""en"")"),"['petrified', 'kereeen']")</f>
        <v>['petrified', 'kereeen']</v>
      </c>
      <c r="D1216" s="3">
        <v>5.0</v>
      </c>
    </row>
    <row r="1217" ht="15.75" customHeight="1">
      <c r="A1217" s="1">
        <v>1299.0</v>
      </c>
      <c r="B1217" s="3" t="s">
        <v>1205</v>
      </c>
      <c r="C1217" s="3" t="str">
        <f>IFERROR(__xludf.DUMMYFUNCTION("GOOGLETRANSLATE(B1217,""id"",""en"")"),"['', 'Telkomsel', 'good', 'smooth', 'save', 'beg', 'sorry', 'open', 'application', 'there', 'white', 'silent', 'people ',' oprator ',' jerk ',' steal ',' quota ',' check ',' please ',' oprator ',' Telkomsel ',' hope ',' alert ',' heart ',' Thanks', '']")</f>
        <v>['', 'Telkomsel', 'good', 'smooth', 'save', 'beg', 'sorry', 'open', 'application', 'there', 'white', 'silent', 'people ',' oprator ',' jerk ',' steal ',' quota ',' check ',' please ',' oprator ',' Telkomsel ',' hope ',' alert ',' heart ',' Thanks', '']</v>
      </c>
      <c r="D1217" s="3">
        <v>4.0</v>
      </c>
    </row>
    <row r="1218" ht="15.75" customHeight="1">
      <c r="A1218" s="1">
        <v>1300.0</v>
      </c>
      <c r="B1218" s="3" t="s">
        <v>1206</v>
      </c>
      <c r="C1218" s="3" t="str">
        <f>IFERROR(__xludf.DUMMYFUNCTION("GOOGLETRANSLATE(B1218,""id"",""en"")"),"['Comfortable', 'Telkomsel', 'Transfer', 'Credit', 'Failed', 'Comfortable', '']")</f>
        <v>['Comfortable', 'Telkomsel', 'Transfer', 'Credit', 'Failed', 'Comfortable', '']</v>
      </c>
      <c r="D1218" s="3">
        <v>1.0</v>
      </c>
    </row>
    <row r="1219" ht="15.75" customHeight="1">
      <c r="A1219" s="1">
        <v>1301.0</v>
      </c>
      <c r="B1219" s="3" t="s">
        <v>1207</v>
      </c>
      <c r="C1219" s="3" t="str">
        <f>IFERROR(__xludf.DUMMYFUNCTION("GOOGLETRANSLATE(B1219,""id"",""en"")"),"['Telkomsel', 'emang', 'Best']")</f>
        <v>['Telkomsel', 'emang', 'Best']</v>
      </c>
      <c r="D1219" s="3">
        <v>5.0</v>
      </c>
    </row>
    <row r="1220" ht="15.75" customHeight="1">
      <c r="A1220" s="1">
        <v>1302.0</v>
      </c>
      <c r="B1220" s="3" t="s">
        <v>1208</v>
      </c>
      <c r="C1220" s="3" t="str">
        <f>IFERROR(__xludf.DUMMYFUNCTION("GOOGLETRANSLATE(B1220,""id"",""en"")"),"['users',' Telkomsel ',' APK ',' Download ',' opened ',' Try ',' repeat ',' times', 'Different', 'Different', 'ttep', 'open', ' Please, 'Help', 'Admin', '']")</f>
        <v>['users',' Telkomsel ',' APK ',' Download ',' opened ',' Try ',' repeat ',' times', 'Different', 'Different', 'ttep', 'open', ' Please, 'Help', 'Admin', '']</v>
      </c>
      <c r="D1220" s="3">
        <v>3.0</v>
      </c>
    </row>
    <row r="1221" ht="15.75" customHeight="1">
      <c r="A1221" s="1">
        <v>1303.0</v>
      </c>
      <c r="B1221" s="3" t="s">
        <v>1209</v>
      </c>
      <c r="C1221" s="3" t="str">
        <f>IFERROR(__xludf.DUMMYFUNCTION("GOOGLETRANSLATE(B1221,""id"",""en"")"),"['', 'Emerging', 'Imanan', 'Maha', 'Esa', 'Blessings',' Allah ',' SWT ',' Hopefully ',' Hopefully ',' buddy ',' gave ',' shares ',' Pray ',' Allah ',' Maha ',' Power ',' Delicious', 'Healthy', 'Attention', 'Special', 'Eleies',' Favors', 'Attention', 'Spec"&amp;"ial', 'Amin']")</f>
        <v>['', 'Emerging', 'Imanan', 'Maha', 'Esa', 'Blessings',' Allah ',' SWT ',' Hopefully ',' Hopefully ',' buddy ',' gave ',' shares ',' Pray ',' Allah ',' Maha ',' Power ',' Delicious', 'Healthy', 'Attention', 'Special', 'Eleies',' Favors', 'Attention', 'Special', 'Amin']</v>
      </c>
      <c r="D1221" s="3">
        <v>2.0</v>
      </c>
    </row>
    <row r="1222" ht="15.75" customHeight="1">
      <c r="A1222" s="1">
        <v>1304.0</v>
      </c>
      <c r="B1222" s="3" t="s">
        <v>1210</v>
      </c>
      <c r="C1222" s="3" t="str">
        <f>IFERROR(__xludf.DUMMYFUNCTION("GOOGLETRANSLATE(B1222,""id"",""en"")"),"['apk', 'Telkomsel', 'good', 'help', 'me', 'move']")</f>
        <v>['apk', 'Telkomsel', 'good', 'help', 'me', 'move']</v>
      </c>
      <c r="D1222" s="3">
        <v>5.0</v>
      </c>
    </row>
    <row r="1223" ht="15.75" customHeight="1">
      <c r="A1223" s="1">
        <v>1305.0</v>
      </c>
      <c r="B1223" s="3" t="s">
        <v>1211</v>
      </c>
      <c r="C1223" s="3" t="str">
        <f>IFERROR(__xludf.DUMMYFUNCTION("GOOGLETRANSLATE(B1223,""id"",""en"")"),"['Price', 'signal', 'comparable', '']")</f>
        <v>['Price', 'signal', 'comparable', '']</v>
      </c>
      <c r="D1223" s="3">
        <v>1.0</v>
      </c>
    </row>
    <row r="1224" ht="15.75" customHeight="1">
      <c r="A1224" s="1">
        <v>1306.0</v>
      </c>
      <c r="B1224" s="3" t="s">
        <v>1212</v>
      </c>
      <c r="C1224" s="3" t="str">
        <f>IFERROR(__xludf.DUMMYFUNCTION("GOOGLETRANSLATE(B1224,""id"",""en"")"),"['apk', 'Telkomsel', 'Mauuu', 'break up', ""]")</f>
        <v>['apk', 'Telkomsel', 'Mauuu', 'break up', "]</v>
      </c>
      <c r="D1224" s="3">
        <v>2.0</v>
      </c>
    </row>
    <row r="1225" ht="15.75" customHeight="1">
      <c r="A1225" s="1">
        <v>1307.0</v>
      </c>
      <c r="B1225" s="3" t="s">
        <v>1213</v>
      </c>
      <c r="C1225" s="3" t="str">
        <f>IFERROR(__xludf.DUMMYFUNCTION("GOOGLETRANSLATE(B1225,""id"",""en"")"),"['satisfying', 'price', 'data', 'expensive']")</f>
        <v>['satisfying', 'price', 'data', 'expensive']</v>
      </c>
      <c r="D1225" s="3">
        <v>5.0</v>
      </c>
    </row>
    <row r="1226" ht="15.75" customHeight="1">
      <c r="A1226" s="1">
        <v>1308.0</v>
      </c>
      <c r="B1226" s="3" t="s">
        <v>1214</v>
      </c>
      <c r="C1226" s="3" t="str">
        <f>IFERROR(__xludf.DUMMYFUNCTION("GOOGLETRANSLATE(B1226,""id"",""en"")"),"['UDH', 'Download', 'appears', 'cmn', 'blank', 'white', ""]")</f>
        <v>['UDH', 'Download', 'appears', 'cmn', 'blank', 'white', "]</v>
      </c>
      <c r="D1226" s="3">
        <v>1.0</v>
      </c>
    </row>
    <row r="1227" ht="15.75" customHeight="1">
      <c r="A1227" s="1">
        <v>1309.0</v>
      </c>
      <c r="B1227" s="3" t="s">
        <v>1215</v>
      </c>
      <c r="C1227" s="3" t="str">
        <f>IFERROR(__xludf.DUMMYFUNCTION("GOOGLETRANSLATE(B1227,""id"",""en"")"),"['kog', 'log', 'click', 'link', 'sms', 'otp', 'application', 'open', '']")</f>
        <v>['kog', 'log', 'click', 'link', 'sms', 'otp', 'application', 'open', '']</v>
      </c>
      <c r="D1227" s="3">
        <v>1.0</v>
      </c>
    </row>
    <row r="1228" ht="15.75" customHeight="1">
      <c r="A1228" s="1">
        <v>1310.0</v>
      </c>
      <c r="B1228" s="3" t="s">
        <v>1216</v>
      </c>
      <c r="C1228" s="3" t="str">
        <f>IFERROR(__xludf.DUMMYFUNCTION("GOOGLETRANSLATE(B1228,""id"",""en"")"),"['woi', 'card', 'expensive', 'network', 'ngelag']")</f>
        <v>['woi', 'card', 'expensive', 'network', 'ngelag']</v>
      </c>
      <c r="D1228" s="3">
        <v>1.0</v>
      </c>
    </row>
    <row r="1229" ht="15.75" customHeight="1">
      <c r="A1229" s="1">
        <v>1311.0</v>
      </c>
      <c r="B1229" s="3" t="s">
        <v>1217</v>
      </c>
      <c r="C1229" s="3" t="str">
        <f>IFERROR(__xludf.DUMMYFUNCTION("GOOGLETRANSLATE(B1229,""id"",""en"")"),"['Network', 'Lemoot', 'ATIIII', 'Broooo']")</f>
        <v>['Network', 'Lemoot', 'ATIIII', 'Broooo']</v>
      </c>
      <c r="D1229" s="3">
        <v>5.0</v>
      </c>
    </row>
    <row r="1230" ht="15.75" customHeight="1">
      <c r="A1230" s="1">
        <v>1312.0</v>
      </c>
      <c r="B1230" s="3" t="s">
        <v>1218</v>
      </c>
      <c r="C1230" s="3" t="str">
        <f>IFERROR(__xludf.DUMMYFUNCTION("GOOGLETRANSLATE(B1230,""id"",""en"")"),"['Hopefully', 'Telkomsel', 'advanced', 'multiply', 'bonus', 'quota', 'internet', 'service', ""]")</f>
        <v>['Hopefully', 'Telkomsel', 'advanced', 'multiply', 'bonus', 'quota', 'internet', 'service', "]</v>
      </c>
      <c r="D1230" s="3">
        <v>5.0</v>
      </c>
    </row>
    <row r="1231" ht="15.75" customHeight="1">
      <c r="A1231" s="1">
        <v>1313.0</v>
      </c>
      <c r="B1231" s="3" t="s">
        <v>1219</v>
      </c>
      <c r="C1231" s="3" t="str">
        <f>IFERROR(__xludf.DUMMYFUNCTION("GOOGLETRANSLATE(B1231,""id"",""en"")"),"['Likes', 'Ngeblank', 'Buk']")</f>
        <v>['Likes', 'Ngeblank', 'Buk']</v>
      </c>
      <c r="D1231" s="3">
        <v>1.0</v>
      </c>
    </row>
    <row r="1232" ht="15.75" customHeight="1">
      <c r="A1232" s="1">
        <v>1314.0</v>
      </c>
      <c r="B1232" s="3" t="s">
        <v>1167</v>
      </c>
      <c r="C1232" s="3" t="str">
        <f>IFERROR(__xludf.DUMMYFUNCTION("GOOGLETRANSLATE(B1232,""id"",""en"")"),"['help']")</f>
        <v>['help']</v>
      </c>
      <c r="D1232" s="3">
        <v>4.0</v>
      </c>
    </row>
    <row r="1233" ht="15.75" customHeight="1">
      <c r="A1233" s="1">
        <v>1315.0</v>
      </c>
      <c r="B1233" s="3" t="s">
        <v>1220</v>
      </c>
      <c r="C1233" s="3" t="str">
        <f>IFERROR(__xludf.DUMMYFUNCTION("GOOGLETRANSLATE(B1233,""id"",""en"")"),"['service', 'Telkomsel', 'smooth', 'slow', 'area', 'Sumatran', 'humbanghasundutan', 'signal', 'ugly', 'really', ""]")</f>
        <v>['service', 'Telkomsel', 'smooth', 'slow', 'area', 'Sumatran', 'humbanghasundutan', 'signal', 'ugly', 'really', "]</v>
      </c>
      <c r="D1233" s="3">
        <v>1.0</v>
      </c>
    </row>
    <row r="1234" ht="15.75" customHeight="1">
      <c r="A1234" s="1">
        <v>1316.0</v>
      </c>
      <c r="B1234" s="3" t="s">
        <v>1221</v>
      </c>
      <c r="C1234" s="3" t="str">
        <f>IFERROR(__xludf.DUMMYFUNCTION("GOOGLETRANSLATE(B1234,""id"",""en"")"),"['disappointed', 'package', 'internet', 'please', 'Telkomsel', 'held', 'package', 'internet', 'price', 'thousand', 'groups',' medium ',' Help ',' Thank "", 'Love', '']")</f>
        <v>['disappointed', 'package', 'internet', 'please', 'Telkomsel', 'held', 'package', 'internet', 'price', 'thousand', 'groups',' medium ',' Help ',' Thank ", 'Love', '']</v>
      </c>
      <c r="D1234" s="3">
        <v>1.0</v>
      </c>
    </row>
    <row r="1235" ht="15.75" customHeight="1">
      <c r="A1235" s="1">
        <v>1317.0</v>
      </c>
      <c r="B1235" s="3" t="s">
        <v>1222</v>
      </c>
      <c r="C1235" s="3" t="str">
        <f>IFERROR(__xludf.DUMMYFUNCTION("GOOGLETRANSLATE(B1235,""id"",""en"")"),"['Telkomsel', 'wasteful', 'buy', 'package', 'for', 'run out']")</f>
        <v>['Telkomsel', 'wasteful', 'buy', 'package', 'for', 'run out']</v>
      </c>
      <c r="D1235" s="3">
        <v>5.0</v>
      </c>
    </row>
    <row r="1236" ht="15.75" customHeight="1">
      <c r="A1236" s="1">
        <v>1318.0</v>
      </c>
      <c r="B1236" s="3" t="s">
        <v>1223</v>
      </c>
      <c r="C1236" s="3" t="str">
        <f>IFERROR(__xludf.DUMMYFUNCTION("GOOGLETRANSLATE(B1236,""id"",""en"")"),"['Application', 'opened', 'Please', 'pity', 'people', ""]")</f>
        <v>['Application', 'opened', 'Please', 'pity', 'people', "]</v>
      </c>
      <c r="D1236" s="3">
        <v>2.0</v>
      </c>
    </row>
    <row r="1237" ht="15.75" customHeight="1">
      <c r="A1237" s="1">
        <v>1319.0</v>
      </c>
      <c r="B1237" s="3" t="s">
        <v>1224</v>
      </c>
      <c r="C1237" s="3" t="str">
        <f>IFERROR(__xludf.DUMMYFUNCTION("GOOGLETRANSLATE(B1237,""id"",""en"")"),"['APK', 'Hopefully', 'Hopefully', 'APK', 'Success', ""]")</f>
        <v>['APK', 'Hopefully', 'Hopefully', 'APK', 'Success', "]</v>
      </c>
      <c r="D1237" s="3">
        <v>5.0</v>
      </c>
    </row>
    <row r="1238" ht="15.75" customHeight="1">
      <c r="A1238" s="1">
        <v>1320.0</v>
      </c>
      <c r="B1238" s="3" t="s">
        <v>1225</v>
      </c>
      <c r="C1238" s="3" t="str">
        <f>IFERROR(__xludf.DUMMYFUNCTION("GOOGLETRANSLATE(B1238,""id"",""en"")"),"['happy', 'use', 'Telkomsel', 'price', 'belongs', 'Indonesia', ""]")</f>
        <v>['happy', 'use', 'Telkomsel', 'price', 'belongs', 'Indonesia', "]</v>
      </c>
      <c r="D1238" s="3">
        <v>5.0</v>
      </c>
    </row>
    <row r="1239" ht="15.75" customHeight="1">
      <c r="A1239" s="1">
        <v>1321.0</v>
      </c>
      <c r="B1239" s="3" t="s">
        <v>1226</v>
      </c>
      <c r="C1239" s="3" t="str">
        <f>IFERROR(__xludf.DUMMYFUNCTION("GOOGLETRANSLATE(B1239,""id"",""en"")"),"['application', 'bad', 'open', 'bbrpa', 'kli', 'install', 'ajh', 'open']")</f>
        <v>['application', 'bad', 'open', 'bbrpa', 'kli', 'install', 'ajh', 'open']</v>
      </c>
      <c r="D1239" s="3">
        <v>1.0</v>
      </c>
    </row>
    <row r="1240" ht="15.75" customHeight="1">
      <c r="A1240" s="1">
        <v>1322.0</v>
      </c>
      <c r="B1240" s="3" t="s">
        <v>1227</v>
      </c>
      <c r="C1240" s="3" t="str">
        <f>IFERROR(__xludf.DUMMYFUNCTION("GOOGLETRANSLATE(B1240,""id"",""en"")"),"['customers', 'Telkomselko', 'package', 'expensive', 'ksh', 'bntng', 'ajalah']")</f>
        <v>['customers', 'Telkomselko', 'package', 'expensive', 'ksh', 'bntng', 'ajalah']</v>
      </c>
      <c r="D1240" s="3">
        <v>1.0</v>
      </c>
    </row>
    <row r="1241" ht="15.75" customHeight="1">
      <c r="A1241" s="1">
        <v>1323.0</v>
      </c>
      <c r="B1241" s="3" t="s">
        <v>1228</v>
      </c>
      <c r="C1241" s="3" t="str">
        <f>IFERROR(__xludf.DUMMYFUNCTION("GOOGLETRANSLATE(B1241,""id"",""en"")"),"['Fix', 'network', 'Jngan', 'koar', 'koar', 'advertise', 'doang', 'prcuma', 'expensive', 'quality', 'disappointing']")</f>
        <v>['Fix', 'network', 'Jngan', 'koar', 'koar', 'advertise', 'doang', 'prcuma', 'expensive', 'quality', 'disappointing']</v>
      </c>
      <c r="D1241" s="3">
        <v>1.0</v>
      </c>
    </row>
    <row r="1242" ht="15.75" customHeight="1">
      <c r="A1242" s="1">
        <v>1324.0</v>
      </c>
      <c r="B1242" s="3" t="s">
        <v>1229</v>
      </c>
      <c r="C1242" s="3" t="str">
        <f>IFERROR(__xludf.DUMMYFUNCTION("GOOGLETRANSLATE(B1242,""id"",""en"")"),"['Wear', 'Telkomsel', 'promo', 'package', 'expensive']")</f>
        <v>['Wear', 'Telkomsel', 'promo', 'package', 'expensive']</v>
      </c>
      <c r="D1242" s="3">
        <v>5.0</v>
      </c>
    </row>
    <row r="1243" ht="15.75" customHeight="1">
      <c r="A1243" s="1">
        <v>1325.0</v>
      </c>
      <c r="B1243" s="3" t="s">
        <v>1230</v>
      </c>
      <c r="C1243" s="3" t="str">
        <f>IFERROR(__xludf.DUMMYFUNCTION("GOOGLETRANSLATE(B1243,""id"",""en"")"),"['Waiter', 'according to', 'price', '']")</f>
        <v>['Waiter', 'according to', 'price', '']</v>
      </c>
      <c r="D1243" s="3">
        <v>1.0</v>
      </c>
    </row>
    <row r="1244" ht="15.75" customHeight="1">
      <c r="A1244" s="1">
        <v>1326.0</v>
      </c>
      <c r="B1244" s="3" t="s">
        <v>1231</v>
      </c>
      <c r="C1244" s="3" t="str">
        <f>IFERROR(__xludf.DUMMYFUNCTION("GOOGLETRANSLATE(B1244,""id"",""en"")"),"['Vivo', '']")</f>
        <v>['Vivo', '']</v>
      </c>
      <c r="D1244" s="3">
        <v>1.0</v>
      </c>
    </row>
    <row r="1245" ht="15.75" customHeight="1">
      <c r="A1245" s="1">
        <v>1327.0</v>
      </c>
      <c r="B1245" s="3" t="s">
        <v>1232</v>
      </c>
      <c r="C1245" s="3" t="str">
        <f>IFERROR(__xludf.DUMMYFUNCTION("GOOGLETRANSLATE(B1245,""id"",""en"")"),"['APK', 'ugly', 'maketkan', 'quota', 'city', 'banyuasin', 'apk', 'telkomsel', 'quota', 'locally', 'gabisa']")</f>
        <v>['APK', 'ugly', 'maketkan', 'quota', 'city', 'banyuasin', 'apk', 'telkomsel', 'quota', 'locally', 'gabisa']</v>
      </c>
      <c r="D1245" s="3">
        <v>1.0</v>
      </c>
    </row>
    <row r="1246" ht="15.75" customHeight="1">
      <c r="A1246" s="1">
        <v>1328.0</v>
      </c>
      <c r="B1246" s="3" t="s">
        <v>1233</v>
      </c>
      <c r="C1246" s="3" t="str">
        <f>IFERROR(__xludf.DUMMYFUNCTION("GOOGLETRANSLATE(B1246,""id"",""en"")"),"['Satisfying', 'Wear', 'Telkomsel']")</f>
        <v>['Satisfying', 'Wear', 'Telkomsel']</v>
      </c>
      <c r="D1246" s="3">
        <v>5.0</v>
      </c>
    </row>
    <row r="1247" ht="15.75" customHeight="1">
      <c r="A1247" s="1">
        <v>1329.0</v>
      </c>
      <c r="B1247" s="3" t="s">
        <v>1234</v>
      </c>
      <c r="C1247" s="3" t="str">
        <f>IFERROR(__xludf.DUMMYFUNCTION("GOOGLETRANSLATE(B1247,""id"",""en"")"),"['Package', 'expensive', 'knapa', '']")</f>
        <v>['Package', 'expensive', 'knapa', '']</v>
      </c>
      <c r="D1247" s="3">
        <v>4.0</v>
      </c>
    </row>
    <row r="1248" ht="15.75" customHeight="1">
      <c r="A1248" s="1">
        <v>1330.0</v>
      </c>
      <c r="B1248" s="3" t="s">
        <v>1235</v>
      </c>
      <c r="C1248" s="3" t="str">
        <f>IFERROR(__xludf.DUMMYFUNCTION("GOOGLETRANSLATE(B1248,""id"",""en"")"),"['voucher', 'zalora', 'results', 'check', 'daily', 'used', '']")</f>
        <v>['voucher', 'zalora', 'results', 'check', 'daily', 'used', '']</v>
      </c>
      <c r="D1248" s="3">
        <v>5.0</v>
      </c>
    </row>
    <row r="1249" ht="15.75" customHeight="1">
      <c r="A1249" s="1">
        <v>1331.0</v>
      </c>
      <c r="B1249" s="3" t="s">
        <v>1236</v>
      </c>
      <c r="C1249" s="3" t="str">
        <f>IFERROR(__xludf.DUMMYFUNCTION("GOOGLETRANSLATE(B1249,""id"",""en"")"),"['buy', 'package', 'easy', 'Telkomsel', 'thank', 'love']")</f>
        <v>['buy', 'package', 'easy', 'Telkomsel', 'thank', 'love']</v>
      </c>
      <c r="D1249" s="3">
        <v>5.0</v>
      </c>
    </row>
    <row r="1250" ht="15.75" customHeight="1">
      <c r="A1250" s="1">
        <v>1332.0</v>
      </c>
      <c r="B1250" s="3" t="s">
        <v>1237</v>
      </c>
      <c r="C1250" s="3" t="str">
        <f>IFERROR(__xludf.DUMMYFUNCTION("GOOGLETRANSLATE(B1250,""id"",""en"")"),"['MyTelkomsel', 'Help', 'Thank you', 'MyTelkomsel', ""]")</f>
        <v>['MyTelkomsel', 'Help', 'Thank you', 'MyTelkomsel', "]</v>
      </c>
      <c r="D1250" s="3">
        <v>5.0</v>
      </c>
    </row>
    <row r="1251" ht="15.75" customHeight="1">
      <c r="A1251" s="1">
        <v>1333.0</v>
      </c>
      <c r="B1251" s="3" t="s">
        <v>1238</v>
      </c>
      <c r="C1251" s="3" t="str">
        <f>IFERROR(__xludf.DUMMYFUNCTION("GOOGLETRANSLATE(B1251,""id"",""en"")"),"['function', 'display', 'interesting', '']")</f>
        <v>['function', 'display', 'interesting', '']</v>
      </c>
      <c r="D1251" s="3">
        <v>5.0</v>
      </c>
    </row>
    <row r="1252" ht="15.75" customHeight="1">
      <c r="A1252" s="1">
        <v>1334.0</v>
      </c>
      <c r="B1252" s="3" t="s">
        <v>1239</v>
      </c>
      <c r="C1252" s="3" t="str">
        <f>IFERROR(__xludf.DUMMYFUNCTION("GOOGLETRANSLATE(B1252,""id"",""en"")"),"['faithful', 'because', 'signal', 'stable', 'unfortunately', 'card', 'price', 'package', 'expensive', 'card', 'prime', ""]")</f>
        <v>['faithful', 'because', 'signal', 'stable', 'unfortunately', 'card', 'price', 'package', 'expensive', 'card', 'prime', "]</v>
      </c>
      <c r="D1252" s="3">
        <v>5.0</v>
      </c>
    </row>
    <row r="1253" ht="15.75" customHeight="1">
      <c r="A1253" s="1">
        <v>1335.0</v>
      </c>
      <c r="B1253" s="3" t="s">
        <v>1240</v>
      </c>
      <c r="C1253" s="3" t="str">
        <f>IFERROR(__xludf.DUMMYFUNCTION("GOOGLETRANSLATE(B1253,""id"",""en"")"),"['Package', 'Telkomsel', 'expensive', 'already', 'card', 'wifi', '']")</f>
        <v>['Package', 'Telkomsel', 'expensive', 'already', 'card', 'wifi', '']</v>
      </c>
      <c r="D1253" s="3">
        <v>1.0</v>
      </c>
    </row>
    <row r="1254" ht="15.75" customHeight="1">
      <c r="A1254" s="1">
        <v>1336.0</v>
      </c>
      <c r="B1254" s="3" t="s">
        <v>1241</v>
      </c>
      <c r="C1254" s="3" t="str">
        <f>IFERROR(__xludf.DUMMYFUNCTION("GOOGLETRANSLATE(B1254,""id"",""en"")"),"['Good', 'Sembangu']")</f>
        <v>['Good', 'Sembangu']</v>
      </c>
      <c r="D1254" s="3">
        <v>4.0</v>
      </c>
    </row>
    <row r="1255" ht="15.75" customHeight="1">
      <c r="A1255" s="1">
        <v>1337.0</v>
      </c>
      <c r="B1255" s="3" t="s">
        <v>1242</v>
      </c>
      <c r="C1255" s="3" t="str">
        <f>IFERROR(__xludf.DUMMYFUNCTION("GOOGLETRANSLATE(B1255,""id"",""en"")"),"['Install']")</f>
        <v>['Install']</v>
      </c>
      <c r="D1255" s="3">
        <v>1.0</v>
      </c>
    </row>
    <row r="1256" ht="15.75" customHeight="1">
      <c r="A1256" s="1">
        <v>1338.0</v>
      </c>
      <c r="B1256" s="3" t="s">
        <v>1243</v>
      </c>
      <c r="C1256" s="3" t="str">
        <f>IFERROR(__xludf.DUMMYFUNCTION("GOOGLETRANSLATE(B1256,""id"",""en"")"),"['application', 'open', 'white', 'screen']")</f>
        <v>['application', 'open', 'white', 'screen']</v>
      </c>
      <c r="D1256" s="3">
        <v>1.0</v>
      </c>
    </row>
    <row r="1257" ht="15.75" customHeight="1">
      <c r="A1257" s="1">
        <v>1339.0</v>
      </c>
      <c r="B1257" s="3" t="s">
        <v>1244</v>
      </c>
      <c r="C1257" s="3" t="str">
        <f>IFERROR(__xludf.DUMMYFUNCTION("GOOGLETRANSLATE(B1257,""id"",""en"")"),"['Ngapasih', 'Network', 'Telkomsel', 'just']")</f>
        <v>['Ngapasih', 'Network', 'Telkomsel', 'just']</v>
      </c>
      <c r="D1257" s="3">
        <v>1.0</v>
      </c>
    </row>
    <row r="1258" ht="15.75" customHeight="1">
      <c r="A1258" s="1">
        <v>1340.0</v>
      </c>
      <c r="B1258" s="3" t="s">
        <v>1245</v>
      </c>
      <c r="C1258" s="3" t="str">
        <f>IFERROR(__xludf.DUMMYFUNCTION("GOOGLETRANSLATE(B1258,""id"",""en"")"),"['Please', 'Fiks',' Disruption ',' Mulu ',' Gabisa ',' subscribe ',' Amazon ',' Prime ',' Wait ',' Minutes', 'repeat', 'transaction', ' Udh ',' TTP ', ""]")</f>
        <v>['Please', 'Fiks',' Disruption ',' Mulu ',' Gabisa ',' subscribe ',' Amazon ',' Prime ',' Wait ',' Minutes', 'repeat', 'transaction', ' Udh ',' TTP ', "]</v>
      </c>
      <c r="D1258" s="3">
        <v>1.0</v>
      </c>
    </row>
    <row r="1259" ht="15.75" customHeight="1">
      <c r="A1259" s="1">
        <v>1341.0</v>
      </c>
      <c r="B1259" s="3" t="s">
        <v>1246</v>
      </c>
      <c r="C1259" s="3" t="str">
        <f>IFERROR(__xludf.DUMMYFUNCTION("GOOGLETRANSLATE(B1259,""id"",""en"")"),"['Package', 'subscribe', 'go down', 'raise', 'troubles']")</f>
        <v>['Package', 'subscribe', 'go down', 'raise', 'troubles']</v>
      </c>
      <c r="D1259" s="3">
        <v>1.0</v>
      </c>
    </row>
    <row r="1260" ht="15.75" customHeight="1">
      <c r="A1260" s="1">
        <v>1342.0</v>
      </c>
      <c r="B1260" s="3" t="s">
        <v>1247</v>
      </c>
      <c r="C1260" s="3" t="str">
        <f>IFERROR(__xludf.DUMMYFUNCTION("GOOGLETRANSLATE(B1260,""id"",""en"")"),"['Why', 'PeduliRoti', '']")</f>
        <v>['Why', 'PeduliRoti', '']</v>
      </c>
      <c r="D1260" s="3">
        <v>1.0</v>
      </c>
    </row>
    <row r="1261" ht="15.75" customHeight="1">
      <c r="A1261" s="1">
        <v>1343.0</v>
      </c>
      <c r="B1261" s="3" t="s">
        <v>1248</v>
      </c>
      <c r="C1261" s="3" t="str">
        <f>IFERROR(__xludf.DUMMYFUNCTION("GOOGLETRANSLATE(B1261,""id"",""en"")"),"['Min', 'Network', 'Telkomsel', 'Aceh', 'Southeast', 'Dead', 'Min', 'Please', 'Fix', 'Moga', 'Look', 'Good', ' ']")</f>
        <v>['Min', 'Network', 'Telkomsel', 'Aceh', 'Southeast', 'Dead', 'Min', 'Please', 'Fix', 'Moga', 'Look', 'Good', ' ']</v>
      </c>
      <c r="D1261" s="3">
        <v>3.0</v>
      </c>
    </row>
    <row r="1262" ht="15.75" customHeight="1">
      <c r="A1262" s="1">
        <v>1344.0</v>
      </c>
      <c r="B1262" s="3" t="s">
        <v>1249</v>
      </c>
      <c r="C1262" s="3" t="str">
        <f>IFERROR(__xludf.DUMMYFUNCTION("GOOGLETRANSLATE(B1262,""id"",""en"")"),"['Steady', 'keep', 'Increase']")</f>
        <v>['Steady', 'keep', 'Increase']</v>
      </c>
      <c r="D1262" s="3">
        <v>5.0</v>
      </c>
    </row>
    <row r="1263" ht="15.75" customHeight="1">
      <c r="A1263" s="1">
        <v>1345.0</v>
      </c>
      <c r="B1263" s="3" t="s">
        <v>1250</v>
      </c>
      <c r="C1263" s="3" t="str">
        <f>IFERROR(__xludf.DUMMYFUNCTION("GOOGLETRANSLATE(B1263,""id"",""en"")"),"['Application', 'good', 'really', '']")</f>
        <v>['Application', 'good', 'really', '']</v>
      </c>
      <c r="D1263" s="3">
        <v>5.0</v>
      </c>
    </row>
    <row r="1264" ht="15.75" customHeight="1">
      <c r="A1264" s="1">
        <v>1346.0</v>
      </c>
      <c r="B1264" s="3" t="s">
        <v>1251</v>
      </c>
      <c r="C1264" s="3" t="str">
        <f>IFERROR(__xludf.DUMMYFUNCTION("GOOGLETRANSLATE(B1264,""id"",""en"")"),"['Enga', 'Enga', 'Bener', 'hub', 'complaint', 'difficult']")</f>
        <v>['Enga', 'Enga', 'Bener', 'hub', 'complaint', 'difficult']</v>
      </c>
      <c r="D1264" s="3">
        <v>1.0</v>
      </c>
    </row>
    <row r="1265" ht="15.75" customHeight="1">
      <c r="A1265" s="1">
        <v>1347.0</v>
      </c>
      <c r="B1265" s="3" t="s">
        <v>1252</v>
      </c>
      <c r="C1265" s="3" t="str">
        <f>IFERROR(__xludf.DUMMYFUNCTION("GOOGLETRANSLATE(B1265,""id"",""en"")"),"['easy', 'see', 'leftover', 'quota', 'practical', 'basically', 'MyTelkomsel', 'Thank', ""]")</f>
        <v>['easy', 'see', 'leftover', 'quota', 'practical', 'basically', 'MyTelkomsel', 'Thank', "]</v>
      </c>
      <c r="D1265" s="3">
        <v>5.0</v>
      </c>
    </row>
    <row r="1266" ht="15.75" customHeight="1">
      <c r="A1266" s="1">
        <v>1349.0</v>
      </c>
      <c r="B1266" s="3" t="s">
        <v>1253</v>
      </c>
      <c r="C1266" s="3" t="str">
        <f>IFERROR(__xludf.DUMMYFUNCTION("GOOGLETRANSLATE(B1266,""id"",""en"")"),"['Actually', 'Telkomsel', 'Uda', 'Good', 'Suffered', 'Get', 'Quota', 'Lukeunt', 'a little', 'Example', 'a day', 'Doang', ' Didauluin ',' Tetep ',' quota ',' main ',' darling ',' quota ',' a day ',' keuang ',' vain ',' say it ',' coakes', 'quota', 'main' ,"&amp;" 'already', 'run out', 'quota', 'main', 'prevalent', 'validity', '']")</f>
        <v>['Actually', 'Telkomsel', 'Uda', 'Good', 'Suffered', 'Get', 'Quota', 'Lukeunt', 'a little', 'Example', 'a day', 'Doang', ' Didauluin ',' Tetep ',' quota ',' main ',' darling ',' quota ',' a day ',' keuang ',' vain ',' say it ',' coakes', 'quota', 'main' , 'already', 'run out', 'quota', 'main', 'prevalent', 'validity', '']</v>
      </c>
      <c r="D1266" s="3">
        <v>1.0</v>
      </c>
    </row>
    <row r="1267" ht="15.75" customHeight="1">
      <c r="A1267" s="1">
        <v>1350.0</v>
      </c>
      <c r="B1267" s="3" t="s">
        <v>1254</v>
      </c>
      <c r="C1267" s="3" t="str">
        <f>IFERROR(__xludf.DUMMYFUNCTION("GOOGLETRANSLATE(B1267,""id"",""en"")"),"['help', 'charging', 'quota', 'pulse', 'choice', 'package', 'steady']")</f>
        <v>['help', 'charging', 'quota', 'pulse', 'choice', 'package', 'steady']</v>
      </c>
      <c r="D1267" s="3">
        <v>5.0</v>
      </c>
    </row>
    <row r="1268" ht="15.75" customHeight="1">
      <c r="A1268" s="1">
        <v>1351.0</v>
      </c>
      <c r="B1268" s="3" t="s">
        <v>1255</v>
      </c>
      <c r="C1268" s="3" t="str">
        <f>IFERROR(__xludf.DUMMYFUNCTION("GOOGLETRANSLATE(B1268,""id"",""en"")"),"['Points', 'Application', 'Open', 'Response', 'Telkomsel']")</f>
        <v>['Points', 'Application', 'Open', 'Response', 'Telkomsel']</v>
      </c>
      <c r="D1268" s="3">
        <v>1.0</v>
      </c>
    </row>
    <row r="1269" ht="15.75" customHeight="1">
      <c r="A1269" s="1">
        <v>1352.0</v>
      </c>
      <c r="B1269" s="3" t="s">
        <v>1256</v>
      </c>
      <c r="C1269" s="3" t="str">
        <f>IFERROR(__xludf.DUMMYFUNCTION("GOOGLETRANSLATE(B1269,""id"",""en"")"),"['Just', 'Ngingetin', 'Telkom', 'Package', 'Cheap', 'Cuman', 'Closure', 'Namany', 'Marketing']")</f>
        <v>['Just', 'Ngingetin', 'Telkom', 'Package', 'Cheap', 'Cuman', 'Closure', 'Namany', 'Marketing']</v>
      </c>
      <c r="D1269" s="3">
        <v>5.0</v>
      </c>
    </row>
    <row r="1270" ht="15.75" customHeight="1">
      <c r="A1270" s="1">
        <v>1353.0</v>
      </c>
      <c r="B1270" s="3" t="s">
        <v>1257</v>
      </c>
      <c r="C1270" s="3" t="str">
        <f>IFERROR(__xludf.DUMMYFUNCTION("GOOGLETRANSLATE(B1270,""id"",""en"")"),"['Opened']")</f>
        <v>['Opened']</v>
      </c>
      <c r="D1270" s="3">
        <v>1.0</v>
      </c>
    </row>
    <row r="1271" ht="15.75" customHeight="1">
      <c r="A1271" s="1">
        <v>1354.0</v>
      </c>
      <c r="B1271" s="3" t="s">
        <v>1258</v>
      </c>
      <c r="C1271" s="3" t="str">
        <f>IFERROR(__xludf.DUMMYFUNCTION("GOOGLETRANSLATE(B1271,""id"",""en"")"),"['apk', 'Telkomsel', 'opened']")</f>
        <v>['apk', 'Telkomsel', 'opened']</v>
      </c>
      <c r="D1271" s="3">
        <v>1.0</v>
      </c>
    </row>
    <row r="1272" ht="15.75" customHeight="1">
      <c r="A1272" s="1">
        <v>1355.0</v>
      </c>
      <c r="B1272" s="3" t="s">
        <v>1259</v>
      </c>
      <c r="C1272" s="3" t="str">
        <f>IFERROR(__xludf.DUMMYFUNCTION("GOOGLETRANSLATE(B1272,""id"",""en"")"),"['', 'opened', 'apdate', 'ugly', 'version', 'newest']")</f>
        <v>['', 'opened', 'apdate', 'ugly', 'version', 'newest']</v>
      </c>
      <c r="D1272" s="3">
        <v>1.0</v>
      </c>
    </row>
    <row r="1273" ht="15.75" customHeight="1">
      <c r="A1273" s="1">
        <v>1356.0</v>
      </c>
      <c r="B1273" s="3" t="s">
        <v>1260</v>
      </c>
      <c r="C1273" s="3" t="str">
        <f>IFERROR(__xludf.DUMMYFUNCTION("GOOGLETRANSLATE(B1273,""id"",""en"")"),"['difficult', 'really', 'used', 'Force', 'Close', 'shocked', 'class', 'Telkomsel', 'company', 'trillion', 'application', 'as bad as' Bad, 'legendary', 'keurukannya', ""]")</f>
        <v>['difficult', 'really', 'used', 'Force', 'Close', 'shocked', 'class', 'Telkomsel', 'company', 'trillion', 'application', 'as bad as' Bad, 'legendary', 'keurukannya', "]</v>
      </c>
      <c r="D1273" s="3">
        <v>1.0</v>
      </c>
    </row>
    <row r="1274" ht="15.75" customHeight="1">
      <c r="A1274" s="1">
        <v>1357.0</v>
      </c>
      <c r="B1274" s="3" t="s">
        <v>1261</v>
      </c>
      <c r="C1274" s="3" t="str">
        <f>IFERROR(__xludf.DUMMYFUNCTION("GOOGLETRANSLATE(B1274,""id"",""en"")"),"['Application', 'Open', 'Sis']")</f>
        <v>['Application', 'Open', 'Sis']</v>
      </c>
      <c r="D1274" s="3">
        <v>5.0</v>
      </c>
    </row>
    <row r="1275" ht="15.75" customHeight="1">
      <c r="A1275" s="1">
        <v>1358.0</v>
      </c>
      <c r="B1275" s="3" t="s">
        <v>1262</v>
      </c>
      <c r="C1275" s="3" t="str">
        <f>IFERROR(__xludf.DUMMYFUNCTION("GOOGLETRANSLATE(B1275,""id"",""en"")"),"['thisi', 'buy', 'package', 'unlimited', 'already', 'get', 'notif', 'buy', 'package', '']")</f>
        <v>['thisi', 'buy', 'package', 'unlimited', 'already', 'get', 'notif', 'buy', 'package', '']</v>
      </c>
      <c r="D1275" s="3">
        <v>1.0</v>
      </c>
    </row>
    <row r="1276" ht="15.75" customHeight="1">
      <c r="A1276" s="1">
        <v>1359.0</v>
      </c>
      <c r="B1276" s="3" t="s">
        <v>1263</v>
      </c>
      <c r="C1276" s="3" t="str">
        <f>IFERROR(__xludf.DUMMYFUNCTION("GOOGLETRANSLATE(B1276,""id"",""en"")"),"['update', 'latex', 'enter']")</f>
        <v>['update', 'latex', 'enter']</v>
      </c>
      <c r="D1276" s="3">
        <v>5.0</v>
      </c>
    </row>
    <row r="1277" ht="15.75" customHeight="1">
      <c r="A1277" s="1">
        <v>1360.0</v>
      </c>
      <c r="B1277" s="3" t="s">
        <v>1264</v>
      </c>
      <c r="C1277" s="3" t="str">
        <f>IFERROR(__xludf.DUMMYFUNCTION("GOOGLETRANSLATE(B1277,""id"",""en"")"),"['price', 'package', 'creeping', 'my boss']")</f>
        <v>['price', 'package', 'creeping', 'my boss']</v>
      </c>
      <c r="D1277" s="3">
        <v>4.0</v>
      </c>
    </row>
    <row r="1278" ht="15.75" customHeight="1">
      <c r="A1278" s="1">
        <v>1361.0</v>
      </c>
      <c r="B1278" s="3" t="s">
        <v>1265</v>
      </c>
      <c r="C1278" s="3" t="str">
        <f>IFERROR(__xludf.DUMMYFUNCTION("GOOGLETRANSLATE(B1278,""id"",""en"")"),"['Knp', 'Eliminates', 'Combosakti', 'GB', '']")</f>
        <v>['Knp', 'Eliminates', 'Combosakti', 'GB', '']</v>
      </c>
      <c r="D1278" s="3">
        <v>1.0</v>
      </c>
    </row>
    <row r="1279" ht="15.75" customHeight="1">
      <c r="A1279" s="1">
        <v>1362.0</v>
      </c>
      <c r="B1279" s="3" t="s">
        <v>1266</v>
      </c>
      <c r="C1279" s="3" t="str">
        <f>IFERROR(__xludf.DUMMYFUNCTION("GOOGLETRANSLATE(B1279,""id"",""en"")"),"['bad', 'disappointed', 'customers', 'loyal', 'bln', 'sympathy', 'down', '']")</f>
        <v>['bad', 'disappointed', 'customers', 'loyal', 'bln', 'sympathy', 'down', '']</v>
      </c>
      <c r="D1279" s="3">
        <v>1.0</v>
      </c>
    </row>
    <row r="1280" ht="15.75" customHeight="1">
      <c r="A1280" s="1">
        <v>1363.0</v>
      </c>
      <c r="B1280" s="3" t="s">
        <v>1267</v>
      </c>
      <c r="C1280" s="3" t="str">
        <f>IFERROR(__xludf.DUMMYFUNCTION("GOOGLETRANSLATE(B1280,""id"",""en"")"),"['Network', 'good', 'mantao', 'obstacle', 'darling', 'list', 'package', 'clock', 'malem', 'package', 'always',' scorched ',' Take ',' Package ',' Daily ',' Sometimes', 'Forgot', 'Deadly', 'Data', 'Plz', 'Abis',' Gara ',' Packagein ',' reset ']")</f>
        <v>['Network', 'good', 'mantao', 'obstacle', 'darling', 'list', 'package', 'clock', 'malem', 'package', 'always',' scorched ',' Take ',' Package ',' Daily ',' Sometimes', 'Forgot', 'Deadly', 'Data', 'Plz', 'Abis',' Gara ',' Packagein ',' reset ']</v>
      </c>
      <c r="D1280" s="3">
        <v>3.0</v>
      </c>
    </row>
    <row r="1281" ht="15.75" customHeight="1">
      <c r="A1281" s="1">
        <v>1364.0</v>
      </c>
      <c r="B1281" s="3" t="s">
        <v>1268</v>
      </c>
      <c r="C1281" s="3" t="str">
        <f>IFERROR(__xludf.DUMMYFUNCTION("GOOGLETRANSLATE(B1281,""id"",""en"")"),"['Steady', 'slow']")</f>
        <v>['Steady', 'slow']</v>
      </c>
      <c r="D1281" s="3">
        <v>5.0</v>
      </c>
    </row>
    <row r="1282" ht="15.75" customHeight="1">
      <c r="A1282" s="1">
        <v>1365.0</v>
      </c>
      <c r="B1282" s="3" t="s">
        <v>1269</v>
      </c>
      <c r="C1282" s="3" t="str">
        <f>IFERROR(__xludf.DUMMYFUNCTION("GOOGLETRANSLATE(B1282,""id"",""en"")"),"['application', 'package', 'data', 'cheap']")</f>
        <v>['application', 'package', 'data', 'cheap']</v>
      </c>
      <c r="D1282" s="3">
        <v>5.0</v>
      </c>
    </row>
    <row r="1283" ht="15.75" customHeight="1">
      <c r="A1283" s="1">
        <v>1366.0</v>
      </c>
      <c r="B1283" s="3" t="s">
        <v>1270</v>
      </c>
      <c r="C1283" s="3" t="str">
        <f>IFERROR(__xludf.DUMMYFUNCTION("GOOGLETRANSLATE(B1283,""id"",""en"")"),"['Telkomsel', 'dilapidated', 'signal', 'difficult', 'check', 'pulse', 'difficult', 'network', 'crash', 'package', 'expensive']")</f>
        <v>['Telkomsel', 'dilapidated', 'signal', 'difficult', 'check', 'pulse', 'difficult', 'network', 'crash', 'package', 'expensive']</v>
      </c>
      <c r="D1283" s="3">
        <v>1.0</v>
      </c>
    </row>
    <row r="1284" ht="15.75" customHeight="1">
      <c r="A1284" s="1">
        <v>1368.0</v>
      </c>
      <c r="B1284" s="3" t="s">
        <v>1271</v>
      </c>
      <c r="C1284" s="3" t="str">
        <f>IFERROR(__xludf.DUMMYFUNCTION("GOOGLETRANSLATE(B1284,""id"",""en"")"),"['MNDPT', 'complain', 'Dri', 'user', 'loyal', 'application', 'opened', 'love', 'star', 'thank you']")</f>
        <v>['MNDPT', 'complain', 'Dri', 'user', 'loyal', 'application', 'opened', 'love', 'star', 'thank you']</v>
      </c>
      <c r="D1284" s="3">
        <v>5.0</v>
      </c>
    </row>
    <row r="1285" ht="15.75" customHeight="1">
      <c r="A1285" s="1">
        <v>1369.0</v>
      </c>
      <c r="B1285" s="3" t="s">
        <v>1272</v>
      </c>
      <c r="C1285" s="3" t="str">
        <f>IFERROR(__xludf.DUMMYFUNCTION("GOOGLETRANSLATE(B1285,""id"",""en"")"),"['Yesterday', 'Uda', 'Uninstall', 'application', 'open', 'just', 'download', 'think', 'uda', 'normal', 'tetep', 'open', ' The application ',' how ',' solution ',' Please ',' Assisted ']")</f>
        <v>['Yesterday', 'Uda', 'Uninstall', 'application', 'open', 'just', 'download', 'think', 'uda', 'normal', 'tetep', 'open', ' The application ',' how ',' solution ',' Please ',' Assisted ']</v>
      </c>
      <c r="D1285" s="3">
        <v>2.0</v>
      </c>
    </row>
    <row r="1286" ht="15.75" customHeight="1">
      <c r="A1286" s="1">
        <v>1370.0</v>
      </c>
      <c r="B1286" s="3" t="s">
        <v>1273</v>
      </c>
      <c r="C1286" s="3" t="str">
        <f>IFERROR(__xludf.DUMMYFUNCTION("GOOGLETRANSLATE(B1286,""id"",""en"")"),"['quality', 'signal', 'bad', 'buy', 'quota', 'price', 'expensive', 'lemmmot']")</f>
        <v>['quality', 'signal', 'bad', 'buy', 'quota', 'price', 'expensive', 'lemmmot']</v>
      </c>
      <c r="D1286" s="3">
        <v>2.0</v>
      </c>
    </row>
    <row r="1287" ht="15.75" customHeight="1">
      <c r="A1287" s="1">
        <v>1371.0</v>
      </c>
      <c r="B1287" s="3" t="s">
        <v>1274</v>
      </c>
      <c r="C1287" s="3" t="str">
        <f>IFERROR(__xludf.DUMMYFUNCTION("GOOGLETRANSLATE(B1287,""id"",""en"")"),"['The application', 'ugly', 'difficult', 'open', 'bln', 'the application', 'opened', '']")</f>
        <v>['The application', 'ugly', 'difficult', 'open', 'bln', 'the application', 'opened', '']</v>
      </c>
      <c r="D1287" s="3">
        <v>1.0</v>
      </c>
    </row>
    <row r="1288" ht="15.75" customHeight="1">
      <c r="A1288" s="1">
        <v>1372.0</v>
      </c>
      <c r="B1288" s="3" t="s">
        <v>1275</v>
      </c>
      <c r="C1288" s="3" t="str">
        <f>IFERROR(__xludf.DUMMYFUNCTION("GOOGLETRANSLATE(B1288,""id"",""en"")"),"['easy', 'access', 'keep', 'achievement']")</f>
        <v>['easy', 'access', 'keep', 'achievement']</v>
      </c>
      <c r="D1288" s="3">
        <v>4.0</v>
      </c>
    </row>
    <row r="1289" ht="15.75" customHeight="1">
      <c r="A1289" s="1">
        <v>1373.0</v>
      </c>
      <c r="B1289" s="3" t="s">
        <v>1276</v>
      </c>
      <c r="C1289" s="3" t="str">
        <f>IFERROR(__xludf.DUMMYFUNCTION("GOOGLETRANSLATE(B1289,""id"",""en"")"),"['Download', 'klw', 'bgus', 'bru', 'ksih', 'star', '']")</f>
        <v>['Download', 'klw', 'bgus', 'bru', 'ksih', 'star', '']</v>
      </c>
      <c r="D1289" s="3">
        <v>3.0</v>
      </c>
    </row>
    <row r="1290" ht="15.75" customHeight="1">
      <c r="A1290" s="1">
        <v>1374.0</v>
      </c>
      <c r="B1290" s="3" t="s">
        <v>1277</v>
      </c>
      <c r="C1290" s="3" t="str">
        <f>IFERROR(__xludf.DUMMYFUNCTION("GOOGLETRANSLATE(B1290,""id"",""en"")"),"['', 'Application', 'Open', '']")</f>
        <v>['', 'Application', 'Open', '']</v>
      </c>
      <c r="D1290" s="3">
        <v>1.0</v>
      </c>
    </row>
    <row r="1291" ht="15.75" customHeight="1">
      <c r="A1291" s="1">
        <v>1375.0</v>
      </c>
      <c r="B1291" s="3" t="s">
        <v>1278</v>
      </c>
      <c r="C1291" s="3" t="str">
        <f>IFERROR(__xludf.DUMMYFUNCTION("GOOGLETRANSLATE(B1291,""id"",""en"")"),"['Satisfied', 'usage', 'Telkomsel', 'Following', 'Telkomsel', 'Sagat', 'Satisfied']")</f>
        <v>['Satisfied', 'usage', 'Telkomsel', 'Following', 'Telkomsel', 'Sagat', 'Satisfied']</v>
      </c>
      <c r="D1291" s="3">
        <v>5.0</v>
      </c>
    </row>
    <row r="1292" ht="15.75" customHeight="1">
      <c r="A1292" s="1">
        <v>1376.0</v>
      </c>
      <c r="B1292" s="3" t="s">
        <v>1279</v>
      </c>
      <c r="C1292" s="3" t="str">
        <f>IFERROR(__xludf.DUMMYFUNCTION("GOOGLETRANSLATE(B1292,""id"",""en"")"),"['What', 'MyTelkomsel', 'KNPA', 'White', 'Screen', 'KNPA', 'Enter', 'Disappointed', 'Customer']")</f>
        <v>['What', 'MyTelkomsel', 'KNPA', 'White', 'Screen', 'KNPA', 'Enter', 'Disappointed', 'Customer']</v>
      </c>
      <c r="D1292" s="3">
        <v>1.0</v>
      </c>
    </row>
    <row r="1293" ht="15.75" customHeight="1">
      <c r="A1293" s="1">
        <v>1377.0</v>
      </c>
      <c r="B1293" s="3" t="s">
        <v>1280</v>
      </c>
      <c r="C1293" s="3" t="str">
        <f>IFERROR(__xludf.DUMMYFUNCTION("GOOGLETRANSLATE(B1293,""id"",""en"")"),"['Application', 'satisfying', 'buy', 'package']")</f>
        <v>['Application', 'satisfying', 'buy', 'package']</v>
      </c>
      <c r="D1293" s="3">
        <v>5.0</v>
      </c>
    </row>
    <row r="1294" ht="15.75" customHeight="1">
      <c r="A1294" s="1">
        <v>1378.0</v>
      </c>
      <c r="B1294" s="3" t="s">
        <v>1281</v>
      </c>
      <c r="C1294" s="3" t="str">
        <f>IFERROR(__xludf.DUMMYFUNCTION("GOOGLETRANSLATE(B1294,""id"",""en"")"),"['Enter', 'Application', 'Telkomsel', 'Easy', '']")</f>
        <v>['Enter', 'Application', 'Telkomsel', 'Easy', '']</v>
      </c>
      <c r="D1294" s="3">
        <v>5.0</v>
      </c>
    </row>
    <row r="1295" ht="15.75" customHeight="1">
      <c r="A1295" s="1">
        <v>1379.0</v>
      </c>
      <c r="B1295" s="3" t="s">
        <v>1282</v>
      </c>
      <c r="C1295" s="3" t="str">
        <f>IFERROR(__xludf.DUMMYFUNCTION("GOOGLETRANSLATE(B1295,""id"",""en"")"),"['Samsung', 'opened', '']")</f>
        <v>['Samsung', 'opened', '']</v>
      </c>
      <c r="D1295" s="3">
        <v>2.0</v>
      </c>
    </row>
    <row r="1296" ht="15.75" customHeight="1">
      <c r="A1296" s="1">
        <v>1381.0</v>
      </c>
      <c r="B1296" s="3" t="s">
        <v>1283</v>
      </c>
      <c r="C1296" s="3" t="str">
        <f>IFERROR(__xludf.DUMMYFUNCTION("GOOGLETRANSLATE(B1296,""id"",""en"")"),"['How', 'quiz', 'gift', 'thank']")</f>
        <v>['How', 'quiz', 'gift', 'thank']</v>
      </c>
      <c r="D1296" s="3">
        <v>5.0</v>
      </c>
    </row>
    <row r="1297" ht="15.75" customHeight="1">
      <c r="A1297" s="1">
        <v>1382.0</v>
      </c>
      <c r="B1297" s="3" t="s">
        <v>1284</v>
      </c>
      <c r="C1297" s="3" t="str">
        <f>IFERROR(__xludf.DUMMYFUNCTION("GOOGLETRANSLATE(B1297,""id"",""en"")"),"['Good', 'signal', 'Telkomsel', 'bad', 'through', 'Indonesia', 'City', 'week', 'please', 'network', 'Telkomsel', 'repaired']")</f>
        <v>['Good', 'signal', 'Telkomsel', 'bad', 'through', 'Indonesia', 'City', 'week', 'please', 'network', 'Telkomsel', 'repaired']</v>
      </c>
      <c r="D1297" s="3">
        <v>5.0</v>
      </c>
    </row>
    <row r="1298" ht="15.75" customHeight="1">
      <c r="A1298" s="1">
        <v>1383.0</v>
      </c>
      <c r="B1298" s="3" t="s">
        <v>1285</v>
      </c>
      <c r="C1298" s="3" t="str">
        <f>IFERROR(__xludf.DUMMYFUNCTION("GOOGLETRANSLATE(B1298,""id"",""en"")"),"['Hopefully', 'Telkomsel', 'service', 'best', '']")</f>
        <v>['Hopefully', 'Telkomsel', 'service', 'best', '']</v>
      </c>
      <c r="D1298" s="3">
        <v>4.0</v>
      </c>
    </row>
    <row r="1299" ht="15.75" customHeight="1">
      <c r="A1299" s="1">
        <v>1384.0</v>
      </c>
      <c r="B1299" s="3" t="s">
        <v>1286</v>
      </c>
      <c r="C1299" s="3" t="str">
        <f>IFERROR(__xludf.DUMMYFUNCTION("GOOGLETRANSLATE(B1299,""id"",""en"")"),"['After', 'upgrade', 'kog', 'enter', 'home', 'check', 'quota', 'etc.', 'help', ""]")</f>
        <v>['After', 'upgrade', 'kog', 'enter', 'home', 'check', 'quota', 'etc.', 'help', "]</v>
      </c>
      <c r="D1299" s="3">
        <v>3.0</v>
      </c>
    </row>
    <row r="1300" ht="15.75" customHeight="1">
      <c r="A1300" s="1">
        <v>1385.0</v>
      </c>
      <c r="B1300" s="3" t="s">
        <v>1287</v>
      </c>
      <c r="C1300" s="3" t="str">
        <f>IFERROR(__xludf.DUMMYFUNCTION("GOOGLETRANSLATE(B1300,""id"",""en"")"),"['Download', 'apk', 'Telkomsel', 'all', 'time', 'alternating', 'APK', 'open', 'tlg', 'respond', 'mslh', 'trims']")</f>
        <v>['Download', 'apk', 'Telkomsel', 'all', 'time', 'alternating', 'APK', 'open', 'tlg', 'respond', 'mslh', 'trims']</v>
      </c>
      <c r="D1300" s="3">
        <v>1.0</v>
      </c>
    </row>
    <row r="1301" ht="15.75" customHeight="1">
      <c r="A1301" s="1">
        <v>1386.0</v>
      </c>
      <c r="B1301" s="3" t="s">
        <v>1288</v>
      </c>
      <c r="C1301" s="3" t="str">
        <f>IFERROR(__xludf.DUMMYFUNCTION("GOOGLETRANSLATE(B1301,""id"",""en"")"),"['Help', 'buy', 'quota', 'data', 'internet']")</f>
        <v>['Help', 'buy', 'quota', 'data', 'internet']</v>
      </c>
      <c r="D1301" s="3">
        <v>4.0</v>
      </c>
    </row>
    <row r="1302" ht="15.75" customHeight="1">
      <c r="A1302" s="1">
        <v>1387.0</v>
      </c>
      <c r="B1302" s="3" t="s">
        <v>1289</v>
      </c>
      <c r="C1302" s="3" t="str">
        <f>IFERROR(__xludf.DUMMYFUNCTION("GOOGLETRANSLATE(B1302,""id"",""en"")"),"['Increase', 'signal']")</f>
        <v>['Increase', 'signal']</v>
      </c>
      <c r="D1302" s="3">
        <v>5.0</v>
      </c>
    </row>
    <row r="1303" ht="15.75" customHeight="1">
      <c r="A1303" s="1">
        <v>1388.0</v>
      </c>
      <c r="B1303" s="3" t="s">
        <v>1290</v>
      </c>
      <c r="C1303" s="3" t="str">
        <f>IFERROR(__xludf.DUMMYFUNCTION("GOOGLETRANSLATE(B1303,""id"",""en"")"),"['Help', 'quota', 'run out', 'promo', '']")</f>
        <v>['Help', 'quota', 'run out', 'promo', '']</v>
      </c>
      <c r="D1303" s="3">
        <v>5.0</v>
      </c>
    </row>
    <row r="1304" ht="15.75" customHeight="1">
      <c r="A1304" s="1">
        <v>1389.0</v>
      </c>
      <c r="B1304" s="3" t="s">
        <v>1291</v>
      </c>
      <c r="C1304" s="3" t="str">
        <f>IFERROR(__xludf.DUMMYFUNCTION("GOOGLETRANSLATE(B1304,""id"",""en"")"),"['', 'Thank you', 'The application', 'Open']")</f>
        <v>['', 'Thank you', 'The application', 'Open']</v>
      </c>
      <c r="D1304" s="3">
        <v>5.0</v>
      </c>
    </row>
    <row r="1305" ht="15.75" customHeight="1">
      <c r="A1305" s="1">
        <v>1390.0</v>
      </c>
      <c r="B1305" s="3" t="s">
        <v>1292</v>
      </c>
      <c r="C1305" s="3" t="str">
        <f>IFERROR(__xludf.DUMMYFUNCTION("GOOGLETRANSLATE(B1305,""id"",""en"")"),"['leftover', 'pulse', 'lagging', 'crushed', 'saban', 'notification', 'history', 'transaction', 'application', 'nyuguhin', 'screen', 'white', ' Hadeuhhh ']")</f>
        <v>['leftover', 'pulse', 'lagging', 'crushed', 'saban', 'notification', 'history', 'transaction', 'application', 'nyuguhin', 'screen', 'white', ' Hadeuhhh ']</v>
      </c>
      <c r="D1305" s="3">
        <v>1.0</v>
      </c>
    </row>
    <row r="1306" ht="15.75" customHeight="1">
      <c r="A1306" s="1">
        <v>1391.0</v>
      </c>
      <c r="B1306" s="3" t="s">
        <v>1293</v>
      </c>
      <c r="C1306" s="3" t="str">
        <f>IFERROR(__xludf.DUMMYFUNCTION("GOOGLETRANSLATE(B1306,""id"",""en"")"),"['OLOADING', 'Mang', 'Ole', 'Anjim']")</f>
        <v>['OLOADING', 'Mang', 'Ole', 'Anjim']</v>
      </c>
      <c r="D1306" s="3">
        <v>1.0</v>
      </c>
    </row>
    <row r="1307" ht="15.75" customHeight="1">
      <c r="A1307" s="1">
        <v>1392.0</v>
      </c>
      <c r="B1307" s="3" t="s">
        <v>1294</v>
      </c>
      <c r="C1307" s="3" t="str">
        <f>IFERROR(__xludf.DUMMYFUNCTION("GOOGLETRANSLATE(B1307,""id"",""en"")"),"['APK', 'Help']")</f>
        <v>['APK', 'Help']</v>
      </c>
      <c r="D1307" s="3">
        <v>3.0</v>
      </c>
    </row>
    <row r="1308" ht="15.75" customHeight="1">
      <c r="A1308" s="1">
        <v>1393.0</v>
      </c>
      <c r="B1308" s="3" t="s">
        <v>1295</v>
      </c>
      <c r="C1308" s="3" t="str">
        <f>IFERROR(__xludf.DUMMYFUNCTION("GOOGLETRANSLATE(B1308,""id"",""en"")"),"['Nyesel', 'buy', 'quota', 'Telkomsel', 'signal']")</f>
        <v>['Nyesel', 'buy', 'quota', 'Telkomsel', 'signal']</v>
      </c>
      <c r="D1308" s="3">
        <v>2.0</v>
      </c>
    </row>
    <row r="1309" ht="15.75" customHeight="1">
      <c r="A1309" s="1">
        <v>1394.0</v>
      </c>
      <c r="B1309" s="3" t="s">
        <v>1296</v>
      </c>
      <c r="C1309" s="3" t="str">
        <f>IFERROR(__xludf.DUMMYFUNCTION("GOOGLETRANSLATE(B1309,""id"",""en"")"),"['Service', 'Comfortable']")</f>
        <v>['Service', 'Comfortable']</v>
      </c>
      <c r="D1309" s="3">
        <v>4.0</v>
      </c>
    </row>
    <row r="1310" ht="15.75" customHeight="1">
      <c r="A1310" s="1">
        <v>1396.0</v>
      </c>
      <c r="B1310" s="3" t="s">
        <v>1297</v>
      </c>
      <c r="C1310" s="3" t="str">
        <f>IFERROR(__xludf.DUMMYFUNCTION("GOOGLETRANSLATE(B1310,""id"",""en"")"),"['Telkomsel', 'BSA', 'Open', '']")</f>
        <v>['Telkomsel', 'BSA', 'Open', '']</v>
      </c>
      <c r="D1310" s="3">
        <v>1.0</v>
      </c>
    </row>
    <row r="1311" ht="15.75" customHeight="1">
      <c r="A1311" s="1">
        <v>1397.0</v>
      </c>
      <c r="B1311" s="3" t="s">
        <v>1298</v>
      </c>
      <c r="C1311" s="3" t="str">
        <f>IFERROR(__xludf.DUMMYFUNCTION("GOOGLETRANSLATE(B1311,""id"",""en"")"),"['Good', 'swkny']")</f>
        <v>['Good', 'swkny']</v>
      </c>
      <c r="D1311" s="3">
        <v>5.0</v>
      </c>
    </row>
    <row r="1312" ht="15.75" customHeight="1">
      <c r="A1312" s="1">
        <v>1398.0</v>
      </c>
      <c r="B1312" s="3" t="s">
        <v>1299</v>
      </c>
      <c r="C1312" s="3" t="str">
        <f>IFERROR(__xludf.DUMMYFUNCTION("GOOGLETRANSLATE(B1312,""id"",""en"")"),"['Telkomsel', 'skrang', 'gerget', 'sorry', 'trmasuk', 'plentakan', 'telkomsel', 'internet', 'network', 'ugly', 'sometimes',' operate ',' Psychology ',' bnyak ',' best-selling ',' conducted ',' feeling ',' network ',' internet ',' min ',' please ',' note '"&amp;",' cotumer ',' trimakasih ']")</f>
        <v>['Telkomsel', 'skrang', 'gerget', 'sorry', 'trmasuk', 'plentakan', 'telkomsel', 'internet', 'network', 'ugly', 'sometimes',' operate ',' Psychology ',' bnyak ',' best-selling ',' conducted ',' feeling ',' network ',' internet ',' min ',' please ',' note ',' cotumer ',' trimakasih ']</v>
      </c>
      <c r="D1312" s="3">
        <v>1.0</v>
      </c>
    </row>
    <row r="1313" ht="15.75" customHeight="1">
      <c r="A1313" s="1">
        <v>1399.0</v>
      </c>
      <c r="B1313" s="3" t="s">
        <v>1300</v>
      </c>
      <c r="C1313" s="3" t="str">
        <f>IFERROR(__xludf.DUMMYFUNCTION("GOOGLETRANSLATE(B1313,""id"",""en"")"),"['Tydak', 'friendly', 'network', 'satisfying', 'package', 'choose', 'love', 'select', 'package', 'cheap', 'signal', 'given', ' Cheap ']")</f>
        <v>['Tydak', 'friendly', 'network', 'satisfying', 'package', 'choose', 'love', 'select', 'package', 'cheap', 'signal', 'given', ' Cheap ']</v>
      </c>
      <c r="D1313" s="3">
        <v>1.0</v>
      </c>
    </row>
    <row r="1314" ht="15.75" customHeight="1">
      <c r="A1314" s="1">
        <v>1400.0</v>
      </c>
      <c r="B1314" s="3" t="s">
        <v>1301</v>
      </c>
      <c r="C1314" s="3" t="str">
        <f>IFERROR(__xludf.DUMMYFUNCTION("GOOGLETRANSLATE(B1314,""id"",""en"")"),"['send', 'gift', 'package', 'data', 'person', 'old', 'active', '']")</f>
        <v>['send', 'gift', 'package', 'data', 'person', 'old', 'active', '']</v>
      </c>
      <c r="D1314" s="3">
        <v>1.0</v>
      </c>
    </row>
    <row r="1315" ht="15.75" customHeight="1">
      <c r="A1315" s="1">
        <v>1401.0</v>
      </c>
      <c r="B1315" s="3" t="s">
        <v>1302</v>
      </c>
      <c r="C1315" s="3" t="str">
        <f>IFERROR(__xludf.DUMMYFUNCTION("GOOGLETRANSLATE(B1315,""id"",""en"")"),"['Provider', 'busuuuuuk', 'price', 'expensive', 'qualix', 'cheap', 'unclean', ""]")</f>
        <v>['Provider', 'busuuuuuk', 'price', 'expensive', 'qualix', 'cheap', 'unclean', "]</v>
      </c>
      <c r="D1315" s="3">
        <v>1.0</v>
      </c>
    </row>
    <row r="1316" ht="15.75" customHeight="1">
      <c r="A1316" s="1">
        <v>1402.0</v>
      </c>
      <c r="B1316" s="3" t="s">
        <v>1303</v>
      </c>
      <c r="C1316" s="3" t="str">
        <f>IFERROR(__xludf.DUMMYFUNCTION("GOOGLETRANSLATE(B1316,""id"",""en"")"),"['Please', 'Propaidider', 'Most', 'Advertising', 'Credit', 'Bores',' Very ',' Credit ',' Disappear ',' Instant ',' Buy ',' Feature ',' Quota ',' Out ',' Change ',' Mode ',' Offline ',' Napa ',' Network ',' Good ',' Quota ',' Credit ',' Taken ',' Login ','"&amp;" Doang ' , 'Take', 'pulse', 'garbage']")</f>
        <v>['Please', 'Propaidider', 'Most', 'Advertising', 'Credit', 'Bores',' Very ',' Credit ',' Disappear ',' Instant ',' Buy ',' Feature ',' Quota ',' Out ',' Change ',' Mode ',' Offline ',' Napa ',' Network ',' Good ',' Quota ',' Credit ',' Taken ',' Login ',' Doang ' , 'Take', 'pulse', 'garbage']</v>
      </c>
      <c r="D1316" s="3">
        <v>1.0</v>
      </c>
    </row>
    <row r="1317" ht="15.75" customHeight="1">
      <c r="A1317" s="1">
        <v>1403.0</v>
      </c>
      <c r="B1317" s="3" t="s">
        <v>1304</v>
      </c>
      <c r="C1317" s="3" t="str">
        <f>IFERROR(__xludf.DUMMYFUNCTION("GOOGLETRANSLATE(B1317,""id"",""en"")"),"['beneficial']")</f>
        <v>['beneficial']</v>
      </c>
      <c r="D1317" s="3">
        <v>5.0</v>
      </c>
    </row>
    <row r="1318" ht="15.75" customHeight="1">
      <c r="A1318" s="1">
        <v>1404.0</v>
      </c>
      <c r="B1318" s="3" t="s">
        <v>1305</v>
      </c>
      <c r="C1318" s="3" t="str">
        <f>IFERROR(__xludf.DUMMYFUNCTION("GOOGLETRANSLATE(B1318,""id"",""en"")"),"['', 'Telkomsel', 'Pulas', 'Ganji', 'million', 'Meilim']")</f>
        <v>['', 'Telkomsel', 'Pulas', 'Ganji', 'million', 'Meilim']</v>
      </c>
      <c r="D1318" s="3">
        <v>1.0</v>
      </c>
    </row>
    <row r="1319" ht="15.75" customHeight="1">
      <c r="A1319" s="1">
        <v>1405.0</v>
      </c>
      <c r="B1319" s="3" t="s">
        <v>1306</v>
      </c>
      <c r="C1319" s="3" t="str">
        <f>IFERROR(__xludf.DUMMYFUNCTION("GOOGLETRANSLATE(B1319,""id"",""en"")"),"['Min', 'Application', 'Open']")</f>
        <v>['Min', 'Application', 'Open']</v>
      </c>
      <c r="D1319" s="3">
        <v>2.0</v>
      </c>
    </row>
    <row r="1320" ht="15.75" customHeight="1">
      <c r="A1320" s="1">
        <v>1406.0</v>
      </c>
      <c r="B1320" s="3" t="s">
        <v>1307</v>
      </c>
      <c r="C1320" s="3" t="str">
        <f>IFERROR(__xludf.DUMMYFUNCTION("GOOGLETRANSLATE(B1320,""id"",""en"")"),"['buy', 'quota', 'learn', 'reduced', 'quota', 'main', 'contact', 'application', 'open', 'application', 'simultaneous',' example ',' Open ',' Google ',' Meet ',' Application ',' Gabollow ',' Opened ',' Barengan ',' Impossible ',' Notification ',' Applicati"&amp;"on ',' Buy ',' Package ',' Quota ' , 'Learning', 'Description', 'Open', 'Application', 'Simultaneous', 'already', 'Help', 'really', 'hahahahah', ""]")</f>
        <v>['buy', 'quota', 'learn', 'reduced', 'quota', 'main', 'contact', 'application', 'open', 'application', 'simultaneous',' example ',' Open ',' Google ',' Meet ',' Application ',' Gabollow ',' Opened ',' Barengan ',' Impossible ',' Notification ',' Application ',' Buy ',' Package ',' Quota ' , 'Learning', 'Description', 'Open', 'Application', 'Simultaneous', 'already', 'Help', 'really', 'hahahahah', "]</v>
      </c>
      <c r="D1320" s="3">
        <v>2.0</v>
      </c>
    </row>
    <row r="1321" ht="15.75" customHeight="1">
      <c r="A1321" s="1">
        <v>1407.0</v>
      </c>
      <c r="B1321" s="3" t="s">
        <v>1308</v>
      </c>
      <c r="C1321" s="3" t="str">
        <f>IFERROR(__xludf.DUMMYFUNCTION("GOOGLETRANSLATE(B1321,""id"",""en"")"),"['Knp', 'MyTelkomsel', 'Sekrg', 'Daftr', 'Package', 'KOQ', 'Please', 'Check', 'Telkomsel', 'Register', 'Error', 'Gmna']")</f>
        <v>['Knp', 'MyTelkomsel', 'Sekrg', 'Daftr', 'Package', 'KOQ', 'Please', 'Check', 'Telkomsel', 'Register', 'Error', 'Gmna']</v>
      </c>
      <c r="D1321" s="3">
        <v>5.0</v>
      </c>
    </row>
    <row r="1322" ht="15.75" customHeight="1">
      <c r="A1322" s="1">
        <v>1408.0</v>
      </c>
      <c r="B1322" s="3" t="s">
        <v>1309</v>
      </c>
      <c r="C1322" s="3" t="str">
        <f>IFERROR(__xludf.DUMMYFUNCTION("GOOGLETRANSLATE(B1322,""id"",""en"")"),"['pig', 'Telkom', 'cell', 'anjeng', 'price', 'expensive', 'signal', 'kek', ""]")</f>
        <v>['pig', 'Telkom', 'cell', 'anjeng', 'price', 'expensive', 'signal', 'kek', "]</v>
      </c>
      <c r="D1322" s="3">
        <v>1.0</v>
      </c>
    </row>
    <row r="1323" ht="15.75" customHeight="1">
      <c r="A1323" s="1">
        <v>1409.0</v>
      </c>
      <c r="B1323" s="3" t="s">
        <v>1310</v>
      </c>
      <c r="C1323" s="3" t="str">
        <f>IFERROR(__xludf.DUMMYFUNCTION("GOOGLETRANSLATE(B1323,""id"",""en"")"),"['Open', 'the application']")</f>
        <v>['Open', 'the application']</v>
      </c>
      <c r="D1323" s="3">
        <v>1.0</v>
      </c>
    </row>
    <row r="1324" ht="15.75" customHeight="1">
      <c r="A1324" s="1">
        <v>1410.0</v>
      </c>
      <c r="B1324" s="3" t="s">
        <v>1311</v>
      </c>
      <c r="C1324" s="3" t="str">
        <f>IFERROR(__xludf.DUMMYFUNCTION("GOOGLETRANSLATE(B1324,""id"",""en"")"),"['ugly', 'really', 'open', 'slow']")</f>
        <v>['ugly', 'really', 'open', 'slow']</v>
      </c>
      <c r="D1324" s="3">
        <v>1.0</v>
      </c>
    </row>
    <row r="1325" ht="15.75" customHeight="1">
      <c r="A1325" s="1">
        <v>1412.0</v>
      </c>
      <c r="B1325" s="3" t="s">
        <v>1312</v>
      </c>
      <c r="C1325" s="3" t="str">
        <f>IFERROR(__xludf.DUMMYFUNCTION("GOOGLETRANSLATE(B1325,""id"",""en"")"),"['update', 'dear', 'Android', 'old school', 'compatible', 'weakness',' interrupted ',' buy ',' package ',' repaired ',' update ',' Telkomsel ',' Lite ',' login ',' appears', 'Something', 'Something', 'Went', 'Wrong', 'Tampa', 'clarity']")</f>
        <v>['update', 'dear', 'Android', 'old school', 'compatible', 'weakness',' interrupted ',' buy ',' package ',' repaired ',' update ',' Telkomsel ',' Lite ',' login ',' appears', 'Something', 'Something', 'Went', 'Wrong', 'Tampa', 'clarity']</v>
      </c>
      <c r="D1325" s="3">
        <v>1.0</v>
      </c>
    </row>
    <row r="1326" ht="15.75" customHeight="1">
      <c r="A1326" s="1">
        <v>1413.0</v>
      </c>
      <c r="B1326" s="3" t="s">
        <v>1313</v>
      </c>
      <c r="C1326" s="3" t="str">
        <f>IFERROR(__xludf.DUMMYFUNCTION("GOOGLETRANSLATE(B1326,""id"",""en"")"),"['Telkomsel', 'heart', 'hope', 'success']")</f>
        <v>['Telkomsel', 'heart', 'hope', 'success']</v>
      </c>
      <c r="D1326" s="3">
        <v>5.0</v>
      </c>
    </row>
    <row r="1327" ht="15.75" customHeight="1">
      <c r="A1327" s="1">
        <v>1414.0</v>
      </c>
      <c r="B1327" s="3" t="s">
        <v>1314</v>
      </c>
      <c r="C1327" s="3" t="str">
        <f>IFERROR(__xludf.DUMMYFUNCTION("GOOGLETRANSLATE(B1327,""id"",""en"")"),"['Please', 'Knp', 'Application', 'Nga', 'Opened', 'Disappointed', 'Very', 'APK', 'Telkomsel', 'Times',' Login ',' APK ',' Nga ',' enter ',' White ',' ']")</f>
        <v>['Please', 'Knp', 'Application', 'Nga', 'Opened', 'Disappointed', 'Very', 'APK', 'Telkomsel', 'Times',' Login ',' APK ',' Nga ',' enter ',' White ',' ']</v>
      </c>
      <c r="D1327" s="3">
        <v>1.0</v>
      </c>
    </row>
    <row r="1328" ht="15.75" customHeight="1">
      <c r="A1328" s="1">
        <v>1415.0</v>
      </c>
      <c r="B1328" s="3" t="s">
        <v>1315</v>
      </c>
      <c r="C1328" s="3" t="str">
        <f>IFERROR(__xludf.DUMMYFUNCTION("GOOGLETRANSLATE(B1328,""id"",""en"")"),"['Application', 'bukabaaaaa', 'woeee', 'package', 'expensive', 'application', 'kyk', 'entertain', '']")</f>
        <v>['Application', 'bukabaaaaa', 'woeee', 'package', 'expensive', 'application', 'kyk', 'entertain', '']</v>
      </c>
      <c r="D1328" s="3">
        <v>1.0</v>
      </c>
    </row>
    <row r="1329" ht="15.75" customHeight="1">
      <c r="A1329" s="1">
        <v>1416.0</v>
      </c>
      <c r="B1329" s="3" t="s">
        <v>1316</v>
      </c>
      <c r="C1329" s="3" t="str">
        <f>IFERROR(__xludf.DUMMYFUNCTION("GOOGLETRANSLATE(B1329,""id"",""en"")"),"['Sya', 'hold', 'sympathy', 'SKR', 'package', 'data', 'sympathy', 'empot', 'tan', 'sometimes',' open ',' youtb ',' Ato ',' Download ',' Application ',' Loding ',' really ',' ']")</f>
        <v>['Sya', 'hold', 'sympathy', 'SKR', 'package', 'data', 'sympathy', 'empot', 'tan', 'sometimes',' open ',' youtb ',' Ato ',' Download ',' Application ',' Loding ',' really ',' ']</v>
      </c>
      <c r="D1329" s="3">
        <v>2.0</v>
      </c>
    </row>
    <row r="1330" ht="15.75" customHeight="1">
      <c r="A1330" s="1">
        <v>1417.0</v>
      </c>
      <c r="B1330" s="3" t="s">
        <v>1317</v>
      </c>
      <c r="C1330" s="3" t="str">
        <f>IFERROR(__xludf.DUMMYFUNCTION("GOOGLETRANSLATE(B1330,""id"",""en"")"),"['quota', 'package', 'bad', 'promon', 'quota', 'guedhe', 'rinciann', 'divided', 'result', 'divided', 'dipake', 'luemooot', ' Pooll ',' Severe ',' Mending ',' Rating ',' Collosin ',' Gini ', ""]")</f>
        <v>['quota', 'package', 'bad', 'promon', 'quota', 'guedhe', 'rinciann', 'divided', 'result', 'divided', 'dipake', 'luemooot', ' Pooll ',' Severe ',' Mending ',' Rating ',' Collosin ',' Gini ', "]</v>
      </c>
      <c r="D1330" s="3">
        <v>1.0</v>
      </c>
    </row>
    <row r="1331" ht="15.75" customHeight="1">
      <c r="A1331" s="1">
        <v>1418.0</v>
      </c>
      <c r="B1331" s="3" t="s">
        <v>1318</v>
      </c>
      <c r="C1331" s="3" t="str">
        <f>IFERROR(__xludf.DUMMYFUNCTION("GOOGLETRANSLATE(B1331,""id"",""en"")"),"['Application', 'Telkomsel', 'right', 'Open', 'Home', 'Bright', 'Looks']")</f>
        <v>['Application', 'Telkomsel', 'right', 'Open', 'Home', 'Bright', 'Looks']</v>
      </c>
      <c r="D1331" s="3">
        <v>1.0</v>
      </c>
    </row>
    <row r="1332" ht="15.75" customHeight="1">
      <c r="A1332" s="1">
        <v>1419.0</v>
      </c>
      <c r="B1332" s="3" t="s">
        <v>1319</v>
      </c>
      <c r="C1332" s="3" t="str">
        <f>IFERROR(__xludf.DUMMYFUNCTION("GOOGLETRANSLATE(B1332,""id"",""en"")"),"['application', 'already', 'alternating', 'download', 'open', 'accessed', 'ginana', 'biked', 'direct']")</f>
        <v>['application', 'already', 'alternating', 'download', 'open', 'accessed', 'ginana', 'biked', 'direct']</v>
      </c>
      <c r="D1332" s="3">
        <v>2.0</v>
      </c>
    </row>
    <row r="1333" ht="15.75" customHeight="1">
      <c r="A1333" s="1">
        <v>1420.0</v>
      </c>
      <c r="B1333" s="3" t="s">
        <v>1320</v>
      </c>
      <c r="C1333" s="3" t="str">
        <f>IFERROR(__xludf.DUMMYFUNCTION("GOOGLETRANSLATE(B1333,""id"",""en"")"),"['Hadeuh', 'promo', 'random', 'random', '']")</f>
        <v>['Hadeuh', 'promo', 'random', 'random', '']</v>
      </c>
      <c r="D1333" s="3">
        <v>1.0</v>
      </c>
    </row>
    <row r="1334" ht="15.75" customHeight="1">
      <c r="A1334" s="1">
        <v>1422.0</v>
      </c>
      <c r="B1334" s="3" t="s">
        <v>1321</v>
      </c>
      <c r="C1334" s="3" t="str">
        <f>IFERROR(__xludf.DUMMYFUNCTION("GOOGLETRANSLATE(B1334,""id"",""en"")"),"['Good', 'signal', 'easy']")</f>
        <v>['Good', 'signal', 'easy']</v>
      </c>
      <c r="D1334" s="3">
        <v>5.0</v>
      </c>
    </row>
    <row r="1335" ht="15.75" customHeight="1">
      <c r="A1335" s="1">
        <v>1423.0</v>
      </c>
      <c r="B1335" s="3" t="s">
        <v>1322</v>
      </c>
      <c r="C1335" s="3" t="str">
        <f>IFERROR(__xludf.DUMMYFUNCTION("GOOGLETRANSLATE(B1335,""id"",""en"")"),"['please', 'Telkomsel', 'Yesterday', 'signal', 'ugly', 'then']")</f>
        <v>['please', 'Telkomsel', 'Yesterday', 'signal', 'ugly', 'then']</v>
      </c>
      <c r="D1335" s="3">
        <v>1.0</v>
      </c>
    </row>
    <row r="1336" ht="15.75" customHeight="1">
      <c r="A1336" s="1">
        <v>1424.0</v>
      </c>
      <c r="B1336" s="3" t="s">
        <v>1323</v>
      </c>
      <c r="C1336" s="3" t="str">
        <f>IFERROR(__xludf.DUMMYFUNCTION("GOOGLETRANSLATE(B1336,""id"",""en"")"),"['Threat', 'signal', 'Telkomsel', 'Uda', 'expensive', 'quality', 'bad']")</f>
        <v>['Threat', 'signal', 'Telkomsel', 'Uda', 'expensive', 'quality', 'bad']</v>
      </c>
      <c r="D1336" s="3">
        <v>1.0</v>
      </c>
    </row>
    <row r="1337" ht="15.75" customHeight="1">
      <c r="A1337" s="1">
        <v>1425.0</v>
      </c>
      <c r="B1337" s="3" t="s">
        <v>1324</v>
      </c>
      <c r="C1337" s="3" t="str">
        <f>IFERROR(__xludf.DUMMYFUNCTION("GOOGLETRANSLATE(B1337,""id"",""en"")"),"['easy', 'accessed', 'wherever', 'promo']")</f>
        <v>['easy', 'accessed', 'wherever', 'promo']</v>
      </c>
      <c r="D1337" s="3">
        <v>5.0</v>
      </c>
    </row>
    <row r="1338" ht="15.75" customHeight="1">
      <c r="A1338" s="1">
        <v>1426.0</v>
      </c>
      <c r="B1338" s="3" t="s">
        <v>1325</v>
      </c>
      <c r="C1338" s="3" t="str">
        <f>IFERROR(__xludf.DUMMYFUNCTION("GOOGLETRANSLATE(B1338,""id"",""en"")"),"['Ngebug', 'ugly', 'severe']")</f>
        <v>['Ngebug', 'ugly', 'severe']</v>
      </c>
      <c r="D1338" s="3">
        <v>1.0</v>
      </c>
    </row>
    <row r="1339" ht="15.75" customHeight="1">
      <c r="A1339" s="1">
        <v>1427.0</v>
      </c>
      <c r="B1339" s="3" t="s">
        <v>1326</v>
      </c>
      <c r="C1339" s="3" t="str">
        <f>IFERROR(__xludf.DUMMYFUNCTION("GOOGLETRANSLATE(B1339,""id"",""en"")"),"['UDH', 'Download', 'Open', 'MyTelkomsel', 'Please', 'Help']")</f>
        <v>['UDH', 'Download', 'Open', 'MyTelkomsel', 'Please', 'Help']</v>
      </c>
      <c r="D1339" s="3">
        <v>1.0</v>
      </c>
    </row>
    <row r="1340" ht="15.75" customHeight="1">
      <c r="A1340" s="1">
        <v>1428.0</v>
      </c>
      <c r="B1340" s="3" t="s">
        <v>1327</v>
      </c>
      <c r="C1340" s="3" t="str">
        <f>IFERROR(__xludf.DUMMYFUNCTION("GOOGLETRANSLATE(B1340,""id"",""en"")"),"['Good', 'advantages',' price ',' expensive ',' promo ',' use ',' think ',' signal ',' top ',' markotop ',' missing ',' just ',' Increase ',' advantages', 'hope', 'area', 'stay', 'Telkomsel']")</f>
        <v>['Good', 'advantages',' price ',' expensive ',' promo ',' use ',' think ',' signal ',' top ',' markotop ',' missing ',' just ',' Increase ',' advantages', 'hope', 'area', 'stay', 'Telkomsel']</v>
      </c>
      <c r="D1340" s="3">
        <v>1.0</v>
      </c>
    </row>
    <row r="1341" ht="15.75" customHeight="1">
      <c r="A1341" s="1">
        <v>1429.0</v>
      </c>
      <c r="B1341" s="3" t="s">
        <v>1328</v>
      </c>
      <c r="C1341" s="3" t="str">
        <f>IFERROR(__xludf.DUMMYFUNCTION("GOOGLETRANSLATE(B1341,""id"",""en"")"),"['Steady', 'seat', 'org', 'Jambi']")</f>
        <v>['Steady', 'seat', 'org', 'Jambi']</v>
      </c>
      <c r="D1341" s="3">
        <v>5.0</v>
      </c>
    </row>
    <row r="1342" ht="15.75" customHeight="1">
      <c r="A1342" s="1">
        <v>1430.0</v>
      </c>
      <c r="B1342" s="3" t="s">
        <v>1329</v>
      </c>
      <c r="C1342" s="3" t="str">
        <f>IFERROR(__xludf.DUMMYFUNCTION("GOOGLETRANSLATE(B1342,""id"",""en"")"),"['application', 'maw', 'open', 'right', 'open', 'display', 'screen', 'color', 'white', ""]")</f>
        <v>['application', 'maw', 'open', 'right', 'open', 'display', 'screen', 'color', 'white', "]</v>
      </c>
      <c r="D1342" s="3">
        <v>2.0</v>
      </c>
    </row>
    <row r="1343" ht="15.75" customHeight="1">
      <c r="A1343" s="1">
        <v>1431.0</v>
      </c>
      <c r="B1343" s="3" t="s">
        <v>1330</v>
      </c>
      <c r="C1343" s="3" t="str">
        <f>IFERROR(__xludf.DUMMYFUNCTION("GOOGLETRANSLATE(B1343,""id"",""en"")"),"['Application', 'petrified']")</f>
        <v>['Application', 'petrified']</v>
      </c>
      <c r="D1343" s="3">
        <v>5.0</v>
      </c>
    </row>
    <row r="1344" ht="15.75" customHeight="1">
      <c r="A1344" s="1">
        <v>1433.0</v>
      </c>
      <c r="B1344" s="3" t="s">
        <v>1331</v>
      </c>
      <c r="C1344" s="3" t="str">
        <f>IFERROR(__xludf.DUMMYFUNCTION("GOOGLETRANSLATE(B1344,""id"",""en"")"),"['signal', 'deformed', 'price', 'exorbitant']")</f>
        <v>['signal', 'deformed', 'price', 'exorbitant']</v>
      </c>
      <c r="D1344" s="3">
        <v>1.0</v>
      </c>
    </row>
    <row r="1345" ht="15.75" customHeight="1">
      <c r="A1345" s="1">
        <v>1434.0</v>
      </c>
      <c r="B1345" s="3" t="s">
        <v>1332</v>
      </c>
      <c r="C1345" s="3" t="str">
        <f>IFERROR(__xludf.DUMMYFUNCTION("GOOGLETRANSLATE(B1345,""id"",""en"")"),"['Effective', 'efficiene']")</f>
        <v>['Effective', 'efficiene']</v>
      </c>
      <c r="D1345" s="3">
        <v>5.0</v>
      </c>
    </row>
    <row r="1346" ht="15.75" customHeight="1">
      <c r="A1346" s="1">
        <v>1435.0</v>
      </c>
      <c r="B1346" s="3" t="s">
        <v>1333</v>
      </c>
      <c r="C1346" s="3" t="str">
        <f>IFERROR(__xludf.DUMMYFUNCTION("GOOGLETRANSLATE(B1346,""id"",""en"")"),"['Threat', 'Telkomsel', 'network', 'chaotic', 'Live', 'comment', 'person', 'entry']")</f>
        <v>['Threat', 'Telkomsel', 'network', 'chaotic', 'Live', 'comment', 'person', 'entry']</v>
      </c>
      <c r="D1346" s="3">
        <v>1.0</v>
      </c>
    </row>
    <row r="1347" ht="15.75" customHeight="1">
      <c r="A1347" s="1">
        <v>1436.0</v>
      </c>
      <c r="B1347" s="3" t="s">
        <v>1334</v>
      </c>
      <c r="C1347" s="3" t="str">
        <f>IFERROR(__xludf.DUMMYFUNCTION("GOOGLETRANSLATE(B1347,""id"",""en"")"),"['', 'really', 'Telkomsel']")</f>
        <v>['', 'really', 'Telkomsel']</v>
      </c>
      <c r="D1347" s="3">
        <v>4.0</v>
      </c>
    </row>
    <row r="1348" ht="15.75" customHeight="1">
      <c r="A1348" s="1">
        <v>1438.0</v>
      </c>
      <c r="B1348" s="3" t="s">
        <v>1335</v>
      </c>
      <c r="C1348" s="3" t="str">
        <f>IFERROR(__xludf.DUMMYFUNCTION("GOOGLETRANSLATE(B1348,""id"",""en"")"),"['TelkomToddd', 'quota', 'expensive', 'network', 'slow', 'kayak', 'snail']")</f>
        <v>['TelkomToddd', 'quota', 'expensive', 'network', 'slow', 'kayak', 'snail']</v>
      </c>
      <c r="D1348" s="3">
        <v>1.0</v>
      </c>
    </row>
    <row r="1349" ht="15.75" customHeight="1">
      <c r="A1349" s="1">
        <v>1439.0</v>
      </c>
      <c r="B1349" s="3" t="s">
        <v>1336</v>
      </c>
      <c r="C1349" s="3" t="str">
        <f>IFERROR(__xludf.DUMMYFUNCTION("GOOGLETRANSLATE(B1349,""id"",""en"")"),"['Cheapest', 'best']")</f>
        <v>['Cheapest', 'best']</v>
      </c>
      <c r="D1349" s="3">
        <v>5.0</v>
      </c>
    </row>
    <row r="1350" ht="15.75" customHeight="1">
      <c r="A1350" s="1">
        <v>1440.0</v>
      </c>
      <c r="B1350" s="3" t="s">
        <v>1337</v>
      </c>
      <c r="C1350" s="3" t="str">
        <f>IFERROR(__xludf.DUMMYFUNCTION("GOOGLETRANSLATE(B1350,""id"",""en"")"),"['Cave', 'Maen', 'Mobile', 'Legend', 'Network', 'Nge', 'lag', 'price', 'package', 'expensive', 'quality', 'network', ' Kek ',' Taik ',' Quality ',' Low ',' ']")</f>
        <v>['Cave', 'Maen', 'Mobile', 'Legend', 'Network', 'Nge', 'lag', 'price', 'package', 'expensive', 'quality', 'network', ' Kek ',' Taik ',' Quality ',' Low ',' ']</v>
      </c>
      <c r="D1350" s="3">
        <v>1.0</v>
      </c>
    </row>
    <row r="1351" ht="15.75" customHeight="1">
      <c r="A1351" s="1">
        <v>1441.0</v>
      </c>
      <c r="B1351" s="3" t="s">
        <v>1338</v>
      </c>
      <c r="C1351" s="3" t="str">
        <f>IFERROR(__xludf.DUMMYFUNCTION("GOOGLETRANSLATE(B1351,""id"",""en"")"),"['easy', 'access', 'pulse', 'run out', 'debt', '']")</f>
        <v>['easy', 'access', 'pulse', 'run out', 'debt', '']</v>
      </c>
      <c r="D1351" s="3">
        <v>4.0</v>
      </c>
    </row>
    <row r="1352" ht="15.75" customHeight="1">
      <c r="A1352" s="1">
        <v>1443.0</v>
      </c>
      <c r="B1352" s="3" t="s">
        <v>1339</v>
      </c>
      <c r="C1352" s="3" t="str">
        <f>IFERROR(__xludf.DUMMYFUNCTION("GOOGLETRANSLATE(B1352,""id"",""en"")"),"['Promo', 'apply', 'Nongol']")</f>
        <v>['Promo', 'apply', 'Nongol']</v>
      </c>
      <c r="D1352" s="3">
        <v>2.0</v>
      </c>
    </row>
    <row r="1353" ht="15.75" customHeight="1">
      <c r="A1353" s="1">
        <v>1444.0</v>
      </c>
      <c r="B1353" s="3" t="s">
        <v>1340</v>
      </c>
      <c r="C1353" s="3" t="str">
        <f>IFERROR(__xludf.DUMMYFUNCTION("GOOGLETRANSLATE(B1353,""id"",""en"")"),"['Package', 'card', 'expensive', '']")</f>
        <v>['Package', 'card', 'expensive', '']</v>
      </c>
      <c r="D1353" s="3">
        <v>4.0</v>
      </c>
    </row>
    <row r="1354" ht="15.75" customHeight="1">
      <c r="A1354" s="1">
        <v>1445.0</v>
      </c>
      <c r="B1354" s="3" t="s">
        <v>1341</v>
      </c>
      <c r="C1354" s="3" t="str">
        <f>IFERROR(__xludf.DUMMYFUNCTION("GOOGLETRANSLATE(B1354,""id"",""en"")"),"['Min', 'Please', 'Fix', 'Display', 'Menu', 'White', 'Open']")</f>
        <v>['Min', 'Please', 'Fix', 'Display', 'Menu', 'White', 'Open']</v>
      </c>
      <c r="D1354" s="3">
        <v>5.0</v>
      </c>
    </row>
    <row r="1355" ht="15.75" customHeight="1">
      <c r="A1355" s="1">
        <v>1446.0</v>
      </c>
      <c r="B1355" s="3" t="s">
        <v>1342</v>
      </c>
      <c r="C1355" s="3" t="str">
        <f>IFERROR(__xludf.DUMMYFUNCTION("GOOGLETRANSLATE(B1355,""id"",""en"")"),"['Operator', 'class', 'Telkomsel', 'Fedback', 'ugly', 'improvement']")</f>
        <v>['Operator', 'class', 'Telkomsel', 'Fedback', 'ugly', 'improvement']</v>
      </c>
      <c r="D1355" s="3">
        <v>2.0</v>
      </c>
    </row>
    <row r="1356" ht="15.75" customHeight="1">
      <c r="A1356" s="1">
        <v>1447.0</v>
      </c>
      <c r="B1356" s="3" t="s">
        <v>1343</v>
      </c>
      <c r="C1356" s="3" t="str">
        <f>IFERROR(__xludf.DUMMYFUNCTION("GOOGLETRANSLATE(B1356,""id"",""en"")"),"['Hleh', 'tsel', 'skrg', 'slow', 'high school', 'tri', 'skline', 'promo', 'package', 'cheap', 'quota', 'gde', ' signal ',' TPI ',' Edge ',' Intention ',' Alesan ',' MLU ',' Server ',' Error ',' Pekah ', ""]")</f>
        <v>['Hleh', 'tsel', 'skrg', 'slow', 'high school', 'tri', 'skline', 'promo', 'package', 'cheap', 'quota', 'gde', ' signal ',' TPI ',' Edge ',' Intention ',' Alesan ',' MLU ',' Server ',' Error ',' Pekah ', "]</v>
      </c>
      <c r="D1356" s="3">
        <v>1.0</v>
      </c>
    </row>
    <row r="1357" ht="15.75" customHeight="1">
      <c r="A1357" s="1">
        <v>1448.0</v>
      </c>
      <c r="B1357" s="3" t="s">
        <v>1344</v>
      </c>
      <c r="C1357" s="3" t="str">
        <f>IFERROR(__xludf.DUMMYFUNCTION("GOOGLETRANSLATE(B1357,""id"",""en"")"),"['Supports', 'Communication']")</f>
        <v>['Supports', 'Communication']</v>
      </c>
      <c r="D1357" s="3">
        <v>4.0</v>
      </c>
    </row>
    <row r="1358" ht="15.75" customHeight="1">
      <c r="A1358" s="1">
        <v>1449.0</v>
      </c>
      <c r="B1358" s="3" t="s">
        <v>1345</v>
      </c>
      <c r="C1358" s="3" t="str">
        <f>IFERROR(__xludf.DUMMYFUNCTION("GOOGLETRANSLATE(B1358,""id"",""en"")"),"['Thank God', 'UDH', 'SKRNG', 'APL']")</f>
        <v>['Thank God', 'UDH', 'SKRNG', 'APL']</v>
      </c>
      <c r="D1358" s="3">
        <v>3.0</v>
      </c>
    </row>
    <row r="1359" ht="15.75" customHeight="1">
      <c r="A1359" s="1">
        <v>1450.0</v>
      </c>
      <c r="B1359" s="3" t="s">
        <v>1346</v>
      </c>
      <c r="C1359" s="3" t="str">
        <f>IFERROR(__xludf.DUMMYFUNCTION("GOOGLETRANSLATE(B1359,""id"",""en"")"),"['Increase', 'promo']")</f>
        <v>['Increase', 'promo']</v>
      </c>
      <c r="D1359" s="3">
        <v>5.0</v>
      </c>
    </row>
    <row r="1360" ht="15.75" customHeight="1">
      <c r="A1360" s="1">
        <v>1451.0</v>
      </c>
      <c r="B1360" s="3" t="s">
        <v>1347</v>
      </c>
      <c r="C1360" s="3" t="str">
        <f>IFERROR(__xludf.DUMMYFUNCTION("GOOGLETRANSLATE(B1360,""id"",""en"")"),"['expensive', 'pulses', 'signal', 'Ujan', 'Wind', 'Morat', 'Marit', 'That Such', 'House', 'Disturbed']")</f>
        <v>['expensive', 'pulses', 'signal', 'Ujan', 'Wind', 'Morat', 'Marit', 'That Such', 'House', 'Disturbed']</v>
      </c>
      <c r="D1360" s="3">
        <v>4.0</v>
      </c>
    </row>
    <row r="1361" ht="15.75" customHeight="1">
      <c r="A1361" s="1">
        <v>1452.0</v>
      </c>
      <c r="B1361" s="3" t="s">
        <v>1348</v>
      </c>
      <c r="C1361" s="3" t="str">
        <f>IFERROR(__xludf.DUMMYFUNCTION("GOOGLETRANSLATE(B1361,""id"",""en"")"),"['steady', 'please', 'price', 'package', 'internet', 'dumped', 'price', 'compete']")</f>
        <v>['steady', 'please', 'price', 'package', 'internet', 'dumped', 'price', 'compete']</v>
      </c>
      <c r="D1361" s="3">
        <v>5.0</v>
      </c>
    </row>
    <row r="1362" ht="15.75" customHeight="1">
      <c r="A1362" s="1">
        <v>1453.0</v>
      </c>
      <c r="B1362" s="3" t="s">
        <v>1349</v>
      </c>
      <c r="C1362" s="3" t="str">
        <f>IFERROR(__xludf.DUMMYFUNCTION("GOOGLETRANSLATE(B1362,""id"",""en"")"),"['', 'Satisfied', 'Service', 'App', 'MyTelkomsel']")</f>
        <v>['', 'Satisfied', 'Service', 'App', 'MyTelkomsel']</v>
      </c>
      <c r="D1362" s="3">
        <v>5.0</v>
      </c>
    </row>
    <row r="1363" ht="15.75" customHeight="1">
      <c r="A1363" s="1">
        <v>1454.0</v>
      </c>
      <c r="B1363" s="3" t="s">
        <v>1350</v>
      </c>
      <c r="C1363" s="3" t="str">
        <f>IFERROR(__xludf.DUMMYFUNCTION("GOOGLETRANSLATE(B1363,""id"",""en"")"),"['APK', 'MyTelkomsel', 'Good', 'has', 'offer', 'interesting', 'price', 'cheap', '']")</f>
        <v>['APK', 'MyTelkomsel', 'Good', 'has', 'offer', 'interesting', 'price', 'cheap', '']</v>
      </c>
      <c r="D1363" s="3">
        <v>5.0</v>
      </c>
    </row>
    <row r="1364" ht="15.75" customHeight="1">
      <c r="A1364" s="1">
        <v>1455.0</v>
      </c>
      <c r="B1364" s="3" t="s">
        <v>1351</v>
      </c>
      <c r="C1364" s="3" t="str">
        <f>IFERROR(__xludf.DUMMYFUNCTION("GOOGLETRANSLATE(B1364,""id"",""en"")"),"['Greetings', 'healthy', 'spirit', 'hope', 'God', 'bless', 'Telkomsel', 'in the future', 'spirit']")</f>
        <v>['Greetings', 'healthy', 'spirit', 'hope', 'God', 'bless', 'Telkomsel', 'in the future', 'spirit']</v>
      </c>
      <c r="D1364" s="3">
        <v>5.0</v>
      </c>
    </row>
    <row r="1365" ht="15.75" customHeight="1">
      <c r="A1365" s="1">
        <v>1456.0</v>
      </c>
      <c r="B1365" s="3" t="s">
        <v>1352</v>
      </c>
      <c r="C1365" s="3" t="str">
        <f>IFERROR(__xludf.DUMMYFUNCTION("GOOGLETRANSLATE(B1365,""id"",""en"")"),"['It's easy', '']")</f>
        <v>['It's easy', '']</v>
      </c>
      <c r="D1365" s="3">
        <v>5.0</v>
      </c>
    </row>
    <row r="1366" ht="15.75" customHeight="1">
      <c r="A1366" s="1">
        <v>1457.0</v>
      </c>
      <c r="B1366" s="3" t="s">
        <v>1353</v>
      </c>
      <c r="C1366" s="3" t="str">
        <f>IFERROR(__xludf.DUMMYFUNCTION("GOOGLETRANSLATE(B1366,""id"",""en"")"),"['signal', 'Benerin', 'person', 'play', 'game', 'down', 'ping', 'nya', '']")</f>
        <v>['signal', 'Benerin', 'person', 'play', 'game', 'down', 'ping', 'nya', '']</v>
      </c>
      <c r="D1366" s="3">
        <v>1.0</v>
      </c>
    </row>
    <row r="1367" ht="15.75" customHeight="1">
      <c r="A1367" s="1">
        <v>1458.0</v>
      </c>
      <c r="B1367" s="3" t="s">
        <v>1354</v>
      </c>
      <c r="C1367" s="3" t="str">
        <f>IFERROR(__xludf.DUMMYFUNCTION("GOOGLETRANSLATE(B1367,""id"",""en"")"),"['Network', 'weak']")</f>
        <v>['Network', 'weak']</v>
      </c>
      <c r="D1367" s="3">
        <v>2.0</v>
      </c>
    </row>
    <row r="1368" ht="15.75" customHeight="1">
      <c r="A1368" s="1">
        <v>1459.0</v>
      </c>
      <c r="B1368" s="3" t="s">
        <v>1355</v>
      </c>
      <c r="C1368" s="3" t="str">
        <f>IFERROR(__xludf.DUMMYFUNCTION("GOOGLETRANSLATE(B1368,""id"",""en"")"),"['', 'Shopy', 'paidering', 'easy', 'tks', 'Shopy', 'hope', 'Jaya']")</f>
        <v>['', 'Shopy', 'paidering', 'easy', 'tks', 'Shopy', 'hope', 'Jaya']</v>
      </c>
      <c r="D1368" s="3">
        <v>5.0</v>
      </c>
    </row>
    <row r="1369" ht="15.75" customHeight="1">
      <c r="A1369" s="1">
        <v>1460.0</v>
      </c>
      <c r="B1369" s="3" t="s">
        <v>1356</v>
      </c>
      <c r="C1369" s="3" t="str">
        <f>IFERROR(__xludf.DUMMYFUNCTION("GOOGLETRANSLATE(B1369,""id"",""en"")"),"['wao', 'good']")</f>
        <v>['wao', 'good']</v>
      </c>
      <c r="D1369" s="3">
        <v>5.0</v>
      </c>
    </row>
    <row r="1370" ht="15.75" customHeight="1">
      <c r="A1370" s="1">
        <v>1461.0</v>
      </c>
      <c r="B1370" s="3" t="s">
        <v>1357</v>
      </c>
      <c r="C1370" s="3" t="str">
        <f>IFERROR(__xludf.DUMMYFUNCTION("GOOGLETRANSLATE(B1370,""id"",""en"")"),"['easy', 'choice']")</f>
        <v>['easy', 'choice']</v>
      </c>
      <c r="D1370" s="3">
        <v>4.0</v>
      </c>
    </row>
    <row r="1371" ht="15.75" customHeight="1">
      <c r="A1371" s="1">
        <v>1462.0</v>
      </c>
      <c r="B1371" s="3" t="s">
        <v>1358</v>
      </c>
      <c r="C1371" s="3" t="str">
        <f>IFERROR(__xludf.DUMMYFUNCTION("GOOGLETRANSLATE(B1371,""id"",""en"")"),"['Application', 'stupid', 'Loading', 'BUMN', 'Closed', 'Opened', 'Sailing', 'Posts', 'Mutah', ""]")</f>
        <v>['Application', 'stupid', 'Loading', 'BUMN', 'Closed', 'Opened', 'Sailing', 'Posts', 'Mutah', "]</v>
      </c>
      <c r="D1371" s="3">
        <v>1.0</v>
      </c>
    </row>
    <row r="1372" ht="15.75" customHeight="1">
      <c r="A1372" s="1">
        <v>1463.0</v>
      </c>
      <c r="B1372" s="3" t="s">
        <v>1359</v>
      </c>
      <c r="C1372" s="3" t="str">
        <f>IFERROR(__xludf.DUMMYFUNCTION("GOOGLETRANSLATE(B1372,""id"",""en"")"),"['Gajls', 'APL', 'DLU', 'Comfortable', 'Expensive', 'Account', 'Different', 'Price', 'Wonder', 'Disappointed']")</f>
        <v>['Gajls', 'APL', 'DLU', 'Comfortable', 'Expensive', 'Account', 'Different', 'Price', 'Wonder', 'Disappointed']</v>
      </c>
      <c r="D1372" s="3">
        <v>1.0</v>
      </c>
    </row>
    <row r="1373" ht="15.75" customHeight="1">
      <c r="A1373" s="1">
        <v>1464.0</v>
      </c>
      <c r="B1373" s="3" t="s">
        <v>1360</v>
      </c>
      <c r="C1373" s="3" t="str">
        <f>IFERROR(__xludf.DUMMYFUNCTION("GOOGLETRANSLATE(B1373,""id"",""en"")"),"['Review', 'Review', 'Tambahi', 'Bintang', 'Bintang', 'Application', 'Easy', 'Access',' Menu ',' Package ',' Fair ',' Good ',' Job ',' ']")</f>
        <v>['Review', 'Review', 'Tambahi', 'Bintang', 'Bintang', 'Application', 'Easy', 'Access',' Menu ',' Package ',' Fair ',' Good ',' Job ',' ']</v>
      </c>
      <c r="D1373" s="3">
        <v>5.0</v>
      </c>
    </row>
    <row r="1374" ht="15.75" customHeight="1">
      <c r="A1374" s="1">
        <v>1465.0</v>
      </c>
      <c r="B1374" s="3" t="s">
        <v>1361</v>
      </c>
      <c r="C1374" s="3" t="str">
        <f>IFERROR(__xludf.DUMMYFUNCTION("GOOGLETRANSLATE(B1374,""id"",""en"")"),"['APK', 'good']")</f>
        <v>['APK', 'good']</v>
      </c>
      <c r="D1374" s="3">
        <v>5.0</v>
      </c>
    </row>
    <row r="1375" ht="15.75" customHeight="1">
      <c r="A1375" s="1">
        <v>1466.0</v>
      </c>
      <c r="B1375" s="3" t="s">
        <v>1362</v>
      </c>
      <c r="C1375" s="3" t="str">
        <f>IFERROR(__xludf.DUMMYFUNCTION("GOOGLETRANSLATE(B1375,""id"",""en"")"),"['package', 'internet', 'expensive', 'expensive', 'bosss', 'kasian', 'poor', '']")</f>
        <v>['package', 'internet', 'expensive', 'expensive', 'bosss', 'kasian', 'poor', '']</v>
      </c>
      <c r="D1375" s="3">
        <v>5.0</v>
      </c>
    </row>
    <row r="1376" ht="15.75" customHeight="1">
      <c r="A1376" s="1">
        <v>1467.0</v>
      </c>
      <c r="B1376" s="3" t="s">
        <v>1363</v>
      </c>
      <c r="C1376" s="3" t="str">
        <f>IFERROR(__xludf.DUMMYFUNCTION("GOOGLETRANSLATE(B1376,""id"",""en"")"),"['Satisfied', 'Telkomsel', 'signal', 'bgus']")</f>
        <v>['Satisfied', 'Telkomsel', 'signal', 'bgus']</v>
      </c>
      <c r="D1376" s="3">
        <v>5.0</v>
      </c>
    </row>
    <row r="1377" ht="15.75" customHeight="1">
      <c r="A1377" s="1">
        <v>1468.0</v>
      </c>
      <c r="B1377" s="3" t="s">
        <v>1364</v>
      </c>
      <c r="C1377" s="3" t="str">
        <f>IFERROR(__xludf.DUMMYFUNCTION("GOOGLETRANSLATE(B1377,""id"",""en"")"),"['Application', 'good', 'makes it easy', 'users', 'Telkomsel']")</f>
        <v>['Application', 'good', 'makes it easy', 'users', 'Telkomsel']</v>
      </c>
      <c r="D1377" s="3">
        <v>4.0</v>
      </c>
    </row>
    <row r="1378" ht="15.75" customHeight="1">
      <c r="A1378" s="1">
        <v>1469.0</v>
      </c>
      <c r="B1378" s="3" t="s">
        <v>92</v>
      </c>
      <c r="C1378" s="3" t="str">
        <f>IFERROR(__xludf.DUMMYFUNCTION("GOOGLETRANSLATE(B1378,""id"",""en"")"),"['Application', 'Open']")</f>
        <v>['Application', 'Open']</v>
      </c>
      <c r="D1378" s="3">
        <v>1.0</v>
      </c>
    </row>
    <row r="1379" ht="15.75" customHeight="1">
      <c r="A1379" s="1">
        <v>1470.0</v>
      </c>
      <c r="B1379" s="3" t="s">
        <v>1365</v>
      </c>
      <c r="C1379" s="3" t="str">
        <f>IFERROR(__xludf.DUMMYFUNCTION("GOOGLETRANSLATE(B1379,""id"",""en"")"),"['Thank you', 'Telkomsel']")</f>
        <v>['Thank you', 'Telkomsel']</v>
      </c>
      <c r="D1379" s="3">
        <v>5.0</v>
      </c>
    </row>
    <row r="1380" ht="15.75" customHeight="1">
      <c r="A1380" s="1">
        <v>1471.0</v>
      </c>
      <c r="B1380" s="3" t="s">
        <v>1366</v>
      </c>
      <c r="C1380" s="3" t="str">
        <f>IFERROR(__xludf.DUMMYFUNCTION("GOOGLETRANSLATE(B1380,""id"",""en"")"),"['Help', 'Paketan', 'Trima', 'Love', 'MyTelkomsel']")</f>
        <v>['Help', 'Paketan', 'Trima', 'Love', 'MyTelkomsel']</v>
      </c>
      <c r="D1380" s="3">
        <v>5.0</v>
      </c>
    </row>
    <row r="1381" ht="15.75" customHeight="1">
      <c r="A1381" s="1">
        <v>1472.0</v>
      </c>
      <c r="B1381" s="3" t="s">
        <v>1367</v>
      </c>
      <c r="C1381" s="3" t="str">
        <f>IFERROR(__xludf.DUMMYFUNCTION("GOOGLETRANSLATE(B1381,""id"",""en"")"),"['good']")</f>
        <v>['good']</v>
      </c>
      <c r="D1381" s="3">
        <v>5.0</v>
      </c>
    </row>
    <row r="1382" ht="15.75" customHeight="1">
      <c r="A1382" s="1">
        <v>1473.0</v>
      </c>
      <c r="B1382" s="3" t="s">
        <v>1368</v>
      </c>
      <c r="C1382" s="3" t="str">
        <f>IFERROR(__xludf.DUMMYFUNCTION("GOOGLETRANSLATE(B1382,""id"",""en"")"),"['Satisfied', 'promo', '']")</f>
        <v>['Satisfied', 'promo', '']</v>
      </c>
      <c r="D1382" s="3">
        <v>5.0</v>
      </c>
    </row>
    <row r="1383" ht="15.75" customHeight="1">
      <c r="A1383" s="1">
        <v>1474.0</v>
      </c>
      <c r="B1383" s="3" t="s">
        <v>1369</v>
      </c>
      <c r="C1383" s="3" t="str">
        <f>IFERROR(__xludf.DUMMYFUNCTION("GOOGLETRANSLATE(B1383,""id"",""en"")"),"['hope', 'gift', 'Nataru']")</f>
        <v>['hope', 'gift', 'Nataru']</v>
      </c>
      <c r="D1383" s="3">
        <v>5.0</v>
      </c>
    </row>
    <row r="1384" ht="15.75" customHeight="1">
      <c r="A1384" s="1">
        <v>1475.0</v>
      </c>
      <c r="B1384" s="3" t="s">
        <v>1370</v>
      </c>
      <c r="C1384" s="3" t="str">
        <f>IFERROR(__xludf.DUMMYFUNCTION("GOOGLETRANSLATE(B1384,""id"",""en"")"),"['Meuahan']")</f>
        <v>['Meuahan']</v>
      </c>
      <c r="D1384" s="3">
        <v>5.0</v>
      </c>
    </row>
    <row r="1385" ht="15.75" customHeight="1">
      <c r="A1385" s="1">
        <v>1476.0</v>
      </c>
      <c r="B1385" s="3" t="s">
        <v>1371</v>
      </c>
      <c r="C1385" s="3" t="str">
        <f>IFERROR(__xludf.DUMMYFUNCTION("GOOGLETRANSLATE(B1385,""id"",""en"")"),"['bad', 'update', 'application', 'open', 'uninstall', 'download', 'price', 'service', 'different', 'BUMN', 'forward', 'company', ' performance', '']")</f>
        <v>['bad', 'update', 'application', 'open', 'uninstall', 'download', 'price', 'service', 'different', 'BUMN', 'forward', 'company', ' performance', '']</v>
      </c>
      <c r="D1385" s="3">
        <v>1.0</v>
      </c>
    </row>
    <row r="1386" ht="15.75" customHeight="1">
      <c r="A1386" s="1">
        <v>1477.0</v>
      </c>
      <c r="B1386" s="3" t="s">
        <v>1372</v>
      </c>
      <c r="C1386" s="3" t="str">
        <f>IFERROR(__xludf.DUMMYFUNCTION("GOOGLETRANSLATE(B1386,""id"",""en"")"),"['Application', 'Telkomsel', 'Activate', ""]")</f>
        <v>['Application', 'Telkomsel', 'Activate', "]</v>
      </c>
      <c r="D1386" s="3">
        <v>2.0</v>
      </c>
    </row>
    <row r="1387" ht="15.75" customHeight="1">
      <c r="A1387" s="1">
        <v>1478.0</v>
      </c>
      <c r="B1387" s="3" t="s">
        <v>1373</v>
      </c>
      <c r="C1387" s="3" t="str">
        <f>IFERROR(__xludf.DUMMYFUNCTION("GOOGLETRANSLATE(B1387,""id"",""en"")"),"['SERBA', 'EASY', 'Network', 'Disconnect', ""]")</f>
        <v>['SERBA', 'EASY', 'Network', 'Disconnect', "]</v>
      </c>
      <c r="D1387" s="3">
        <v>3.0</v>
      </c>
    </row>
    <row r="1388" ht="15.75" customHeight="1">
      <c r="A1388" s="1">
        <v>1480.0</v>
      </c>
      <c r="B1388" s="3" t="s">
        <v>1374</v>
      </c>
      <c r="C1388" s="3" t="str">
        <f>IFERROR(__xludf.DUMMYFUNCTION("GOOGLETRANSLATE(B1388,""id"",""en"")"),"['Application', 'Telkomsel', 'Open', 'Please', 'Help', '']")</f>
        <v>['Application', 'Telkomsel', 'Open', 'Please', 'Help', '']</v>
      </c>
      <c r="D1388" s="3">
        <v>5.0</v>
      </c>
    </row>
    <row r="1389" ht="15.75" customHeight="1">
      <c r="A1389" s="1">
        <v>1481.0</v>
      </c>
      <c r="B1389" s="3" t="s">
        <v>1375</v>
      </c>
      <c r="C1389" s="3" t="str">
        <f>IFERROR(__xludf.DUMMYFUNCTION("GOOGLETRANSLATE(B1389,""id"",""en"")"),"['already', 'buy', 'package', 'expensive', 'bln', 'sometimes',' use ',' tower ',' connection ',' internet ',' pretty ',' good ',' missing ',' arising ',' already ',' call ',' operator ',' Telkomsel ',' week ',' connection ',' normal ',' missing ',' emboss"&amp;"ed ', ""]")</f>
        <v>['already', 'buy', 'package', 'expensive', 'bln', 'sometimes',' use ',' tower ',' connection ',' internet ',' pretty ',' good ',' missing ',' arising ',' already ',' call ',' operator ',' Telkomsel ',' week ',' connection ',' normal ',' missing ',' embossed ', "]</v>
      </c>
      <c r="D1389" s="3">
        <v>2.0</v>
      </c>
    </row>
    <row r="1390" ht="15.75" customHeight="1">
      <c r="A1390" s="1">
        <v>1482.0</v>
      </c>
      <c r="B1390" s="3" t="s">
        <v>1376</v>
      </c>
      <c r="C1390" s="3" t="str">
        <f>IFERROR(__xludf.DUMMYFUNCTION("GOOGLETRANSLATE(B1390,""id"",""en"")"),"['try', 'know', 'lbih', 'application', 'thanks']")</f>
        <v>['try', 'know', 'lbih', 'application', 'thanks']</v>
      </c>
      <c r="D1390" s="3">
        <v>5.0</v>
      </c>
    </row>
    <row r="1391" ht="15.75" customHeight="1">
      <c r="A1391" s="1">
        <v>1483.0</v>
      </c>
      <c r="B1391" s="3" t="s">
        <v>1377</v>
      </c>
      <c r="C1391" s="3" t="str">
        <f>IFERROR(__xludf.DUMMYFUNCTION("GOOGLETRANSLATE(B1391,""id"",""en"")"),"['Previously', 'like', 'really', 'use', 'application', 'Telkomsel', 'the application', 'open', 'that's',' already ',' disappointed ',' Please ',' repair', '']")</f>
        <v>['Previously', 'like', 'really', 'use', 'application', 'Telkomsel', 'the application', 'open', 'that's',' already ',' disappointed ',' Please ',' repair', '']</v>
      </c>
      <c r="D1391" s="3">
        <v>3.0</v>
      </c>
    </row>
    <row r="1392" ht="15.75" customHeight="1">
      <c r="A1392" s="1">
        <v>1484.0</v>
      </c>
      <c r="B1392" s="3" t="s">
        <v>1378</v>
      </c>
      <c r="C1392" s="3" t="str">
        <f>IFERROR(__xludf.DUMMYFUNCTION("GOOGLETRANSLATE(B1392,""id"",""en"")"),"['Uda', 'Telkomsel', 'Best', 'staple', ""]")</f>
        <v>['Uda', 'Telkomsel', 'Best', 'staple', "]</v>
      </c>
      <c r="D1392" s="3">
        <v>5.0</v>
      </c>
    </row>
    <row r="1393" ht="15.75" customHeight="1">
      <c r="A1393" s="1">
        <v>1485.0</v>
      </c>
      <c r="B1393" s="3" t="s">
        <v>1379</v>
      </c>
      <c r="C1393" s="3" t="str">
        <f>IFERROR(__xludf.DUMMYFUNCTION("GOOGLETRANSLATE(B1393,""id"",""en"")"),"['Increase', 'Service']")</f>
        <v>['Increase', 'Service']</v>
      </c>
      <c r="D1393" s="3">
        <v>4.0</v>
      </c>
    </row>
    <row r="1394" ht="15.75" customHeight="1">
      <c r="A1394" s="1">
        <v>1486.0</v>
      </c>
      <c r="B1394" s="3" t="s">
        <v>1380</v>
      </c>
      <c r="C1394" s="3" t="str">
        <f>IFERROR(__xludf.DUMMYFUNCTION("GOOGLETRANSLATE(B1394,""id"",""en"")"),"['update', 'the latest', 'open', 'UDH', 'reinstall', 'blank', 'white', 'apk', 'Telkomsel', 'APK', 'smooth', 'obstacle']")</f>
        <v>['update', 'the latest', 'open', 'UDH', 'reinstall', 'blank', 'white', 'apk', 'Telkomsel', 'APK', 'smooth', 'obstacle']</v>
      </c>
      <c r="D1394" s="3">
        <v>1.0</v>
      </c>
    </row>
    <row r="1395" ht="15.75" customHeight="1">
      <c r="A1395" s="1">
        <v>1487.0</v>
      </c>
      <c r="B1395" s="3" t="s">
        <v>1381</v>
      </c>
      <c r="C1395" s="3" t="str">
        <f>IFERROR(__xludf.DUMMYFUNCTION("GOOGLETRANSLATE(B1395,""id"",""en"")"),"['Network', 'ugly', 'village', 'in the city', 'kapok', 'buy', 'package', 'giga', 'kepake', 'giga', 'giga', 'network', ' bad', '']")</f>
        <v>['Network', 'ugly', 'village', 'in the city', 'kapok', 'buy', 'package', 'giga', 'kepake', 'giga', 'giga', 'network', ' bad', '']</v>
      </c>
      <c r="D1395" s="3">
        <v>1.0</v>
      </c>
    </row>
    <row r="1396" ht="15.75" customHeight="1">
      <c r="A1396" s="1">
        <v>1488.0</v>
      </c>
      <c r="B1396" s="3" t="s">
        <v>1382</v>
      </c>
      <c r="C1396" s="3" t="str">
        <f>IFERROR(__xludf.DUMMYFUNCTION("GOOGLETRANSLATE(B1396,""id"",""en"")"),"['Price', 'Package', 'GB', 'Skarang', '']")</f>
        <v>['Price', 'Package', 'GB', 'Skarang', '']</v>
      </c>
      <c r="D1396" s="3">
        <v>1.0</v>
      </c>
    </row>
    <row r="1397" ht="15.75" customHeight="1">
      <c r="A1397" s="1">
        <v>1489.0</v>
      </c>
      <c r="B1397" s="3" t="s">
        <v>1383</v>
      </c>
      <c r="C1397" s="3" t="str">
        <f>IFERROR(__xludf.DUMMYFUNCTION("GOOGLETRANSLATE(B1397,""id"",""en"")"),"['package', 'internet', 'quota', 'GB', 'price', 'direct', 'cunning', 'business',' Telkomsel ',' fraction ',' pulses', 'bought', ' DST ',' made ',' according to ',' fraction ',' quota ',' cut ',' GB ',' help ',' consumer ',' comfort ',' security ',' Telkom"&amp;"sel ',' take ' , 'profit', 'customer', 'careless', 'intentionally', 'gap', 'system', 'customer', 'trapped', 'losing', 'please', 'fix']")</f>
        <v>['package', 'internet', 'quota', 'GB', 'price', 'direct', 'cunning', 'business',' Telkomsel ',' fraction ',' pulses', 'bought', ' DST ',' made ',' according to ',' fraction ',' quota ',' cut ',' GB ',' help ',' consumer ',' comfort ',' security ',' Telkomsel ',' take ' , 'profit', 'customer', 'careless', 'intentionally', 'gap', 'system', 'customer', 'trapped', 'losing', 'please', 'fix']</v>
      </c>
      <c r="D1397" s="3">
        <v>1.0</v>
      </c>
    </row>
    <row r="1398" ht="15.75" customHeight="1">
      <c r="A1398" s="1">
        <v>1490.0</v>
      </c>
      <c r="B1398" s="3" t="s">
        <v>1384</v>
      </c>
      <c r="C1398" s="3" t="str">
        <f>IFERROR(__xludf.DUMMYFUNCTION("GOOGLETRANSLATE(B1398,""id"",""en"")"),"['', 'Kalu', 'unlimitid', 'limit', 'expensive', 'expensive', 'unlimitid', 'batesin']")</f>
        <v>['', 'Kalu', 'unlimitid', 'limit', 'expensive', 'expensive', 'unlimitid', 'batesin']</v>
      </c>
      <c r="D1398" s="3">
        <v>2.0</v>
      </c>
    </row>
    <row r="1399" ht="15.75" customHeight="1">
      <c r="A1399" s="1">
        <v>1491.0</v>
      </c>
      <c r="B1399" s="3" t="s">
        <v>1385</v>
      </c>
      <c r="C1399" s="3" t="str">
        <f>IFERROR(__xludf.DUMMYFUNCTION("GOOGLETRANSLATE(B1399,""id"",""en"")"),"['Application', 'Heavy', 'Opened', 'Loading', 'Use', 'Telkomsel', ""]")</f>
        <v>['Application', 'Heavy', 'Opened', 'Loading', 'Use', 'Telkomsel', "]</v>
      </c>
      <c r="D1399" s="3">
        <v>3.0</v>
      </c>
    </row>
    <row r="1400" ht="15.75" customHeight="1">
      <c r="A1400" s="1">
        <v>1492.0</v>
      </c>
      <c r="B1400" s="3" t="s">
        <v>1386</v>
      </c>
      <c r="C1400" s="3" t="str">
        <f>IFERROR(__xludf.DUMMYFUNCTION("GOOGLETRANSLATE(B1400,""id"",""en"")"),"['virtue', 'memalanksn']")</f>
        <v>['virtue', 'memalanksn']</v>
      </c>
      <c r="D1400" s="3">
        <v>5.0</v>
      </c>
    </row>
    <row r="1401" ht="15.75" customHeight="1">
      <c r="A1401" s="1">
        <v>1493.0</v>
      </c>
      <c r="B1401" s="3" t="s">
        <v>1387</v>
      </c>
      <c r="C1401" s="3" t="str">
        <f>IFERROR(__xludf.DUMMYFUNCTION("GOOGLETRANSLATE(B1401,""id"",""en"")"),"['use', 'Telkomsel', 'number', 'main', 'core', 'good', 'network', 'scattered', 'Where', 'village', ""]")</f>
        <v>['use', 'Telkomsel', 'number', 'main', 'core', 'good', 'network', 'scattered', 'Where', 'village', "]</v>
      </c>
      <c r="D1401" s="3">
        <v>5.0</v>
      </c>
    </row>
    <row r="1402" ht="15.75" customHeight="1">
      <c r="A1402" s="1">
        <v>1494.0</v>
      </c>
      <c r="B1402" s="3" t="s">
        <v>1388</v>
      </c>
      <c r="C1402" s="3" t="str">
        <f>IFERROR(__xludf.DUMMYFUNCTION("GOOGLETRANSLATE(B1402,""id"",""en"")"),"['gabisa', 'opened', 'already', 'uninstall', 'pairs', 'ttep', 'gabisaaa']")</f>
        <v>['gabisa', 'opened', 'already', 'uninstall', 'pairs', 'ttep', 'gabisaaa']</v>
      </c>
      <c r="D1402" s="3">
        <v>1.0</v>
      </c>
    </row>
    <row r="1403" ht="15.75" customHeight="1">
      <c r="A1403" s="1">
        <v>1495.0</v>
      </c>
      <c r="B1403" s="3" t="s">
        <v>1389</v>
      </c>
      <c r="C1403" s="3" t="str">
        <f>IFERROR(__xludf.DUMMYFUNCTION("GOOGLETRANSLATE(B1403,""id"",""en"")"),"['already', 'tens',' times', 'installed', 'application', 'Telkomsel', 'msih', 'ngak', 'opened', 'tlg', 'min', 'gimna', ' Netting ',' Pnguna ',' Tlkom ',' Cell ',' College ',' Solution ',' Open ',' Application ',' ']")</f>
        <v>['already', 'tens',' times', 'installed', 'application', 'Telkomsel', 'msih', 'ngak', 'opened', 'tlg', 'min', 'gimna', ' Netting ',' Pnguna ',' Tlkom ',' Cell ',' College ',' Solution ',' Open ',' Application ',' ']</v>
      </c>
      <c r="D1403" s="3">
        <v>1.0</v>
      </c>
    </row>
    <row r="1404" ht="15.75" customHeight="1">
      <c r="A1404" s="1">
        <v>1496.0</v>
      </c>
      <c r="B1404" s="3" t="s">
        <v>1390</v>
      </c>
      <c r="C1404" s="3" t="str">
        <f>IFERROR(__xludf.DUMMYFUNCTION("GOOGLETRANSLATE(B1404,""id"",""en"")"),"['Akir', 'Login', 'Bleng', 'White', 'Enter']")</f>
        <v>['Akir', 'Login', 'Bleng', 'White', 'Enter']</v>
      </c>
      <c r="D1404" s="3">
        <v>2.0</v>
      </c>
    </row>
    <row r="1405" ht="15.75" customHeight="1">
      <c r="A1405" s="1">
        <v>1497.0</v>
      </c>
      <c r="B1405" s="3" t="s">
        <v>1391</v>
      </c>
      <c r="C1405" s="3" t="str">
        <f>IFERROR(__xludf.DUMMYFUNCTION("GOOGLETRANSLATE(B1405,""id"",""en"")"),"['easy', 'SNAGAT', 'BEFORE', 'Hopefully', 'In the future', 'Progam', 'Feature', 'Make Easy', 'Pelangement']")</f>
        <v>['easy', 'SNAGAT', 'BEFORE', 'Hopefully', 'In the future', 'Progam', 'Feature', 'Make Easy', 'Pelangement']</v>
      </c>
      <c r="D1405" s="3">
        <v>5.0</v>
      </c>
    </row>
    <row r="1406" ht="15.75" customHeight="1">
      <c r="A1406" s="1">
        <v>1498.0</v>
      </c>
      <c r="B1406" s="3" t="s">
        <v>1392</v>
      </c>
      <c r="C1406" s="3" t="str">
        <f>IFERROR(__xludf.DUMMYFUNCTION("GOOGLETRANSLATE(B1406,""id"",""en"")"),"['network', '']")</f>
        <v>['network', '']</v>
      </c>
      <c r="D1406" s="3">
        <v>2.0</v>
      </c>
    </row>
    <row r="1407" ht="15.75" customHeight="1">
      <c r="A1407" s="1">
        <v>1499.0</v>
      </c>
      <c r="B1407" s="3" t="s">
        <v>1393</v>
      </c>
      <c r="C1407" s="3" t="str">
        <f>IFERROR(__xludf.DUMMYFUNCTION("GOOGLETRANSLATE(B1407,""id"",""en"")"),"['Login', 'Different', ""]")</f>
        <v>['Login', 'Different', "]</v>
      </c>
      <c r="D1407" s="3">
        <v>1.0</v>
      </c>
    </row>
    <row r="1408" ht="15.75" customHeight="1">
      <c r="A1408" s="1">
        <v>1500.0</v>
      </c>
      <c r="B1408" s="3" t="s">
        <v>1394</v>
      </c>
      <c r="C1408" s="3" t="str">
        <f>IFERROR(__xludf.DUMMYFUNCTION("GOOGLETRANSLATE(B1408,""id"",""en"")"),"['Cool', 'Package', 'Suggestion', 'Promo', 'Hrga', 'Down', 'Tambrha', 'Ajib', ""]")</f>
        <v>['Cool', 'Package', 'Suggestion', 'Promo', 'Hrga', 'Down', 'Tambrha', 'Ajib', "]</v>
      </c>
      <c r="D1408" s="3">
        <v>5.0</v>
      </c>
    </row>
    <row r="1409" ht="15.75" customHeight="1">
      <c r="A1409" s="1">
        <v>1501.0</v>
      </c>
      <c r="B1409" s="3" t="s">
        <v>1395</v>
      </c>
      <c r="C1409" s="3" t="str">
        <f>IFERROR(__xludf.DUMMYFUNCTION("GOOGLETRANSLATE(B1409,""id"",""en"")"),"['Package', 'Telkomsel', 'expensive', 'network', 'slow', 'forgiveness',' Dengala ',' Hin ',' snail ',' play ',' game ',' Ngelag ',' Mulu ',' surprised ',' see ',' Telkomsel ',' intentions', 'fix', 'quality', 'that's',' customers', 'Telkomsel', 'bnyak', 'l"&amp;"oo', 'jngan' , 'BNYAK', 'Disappointed', 'Changed', 'Haluan']")</f>
        <v>['Package', 'Telkomsel', 'expensive', 'network', 'slow', 'forgiveness',' Dengala ',' Hin ',' snail ',' play ',' game ',' Ngelag ',' Mulu ',' surprised ',' see ',' Telkomsel ',' intentions', 'fix', 'quality', 'that's',' customers', 'Telkomsel', 'bnyak', 'loo', 'jngan' , 'BNYAK', 'Disappointed', 'Changed', 'Haluan']</v>
      </c>
      <c r="D1409" s="3">
        <v>1.0</v>
      </c>
    </row>
    <row r="1410" ht="15.75" customHeight="1">
      <c r="A1410" s="1">
        <v>1502.0</v>
      </c>
      <c r="B1410" s="3" t="s">
        <v>1396</v>
      </c>
      <c r="C1410" s="3" t="str">
        <f>IFERROR(__xludf.DUMMYFUNCTION("GOOGLETRANSLATE(B1410,""id"",""en"")"),"['Please', 'Assisted', 'Login', 'Application', 'picture', 'Blank', 'White', 'Help', 'please']")</f>
        <v>['Please', 'Assisted', 'Login', 'Application', 'picture', 'Blank', 'White', 'Help', 'please']</v>
      </c>
      <c r="D1410" s="3">
        <v>3.0</v>
      </c>
    </row>
    <row r="1411" ht="15.75" customHeight="1">
      <c r="A1411" s="1">
        <v>1503.0</v>
      </c>
      <c r="B1411" s="3" t="s">
        <v>1397</v>
      </c>
      <c r="C1411" s="3" t="str">
        <f>IFERROR(__xludf.DUMMYFUNCTION("GOOGLETRANSLATE(B1411,""id"",""en"")"),"['Kren', 'Application', 'MyTelkomsel']")</f>
        <v>['Kren', 'Application', 'MyTelkomsel']</v>
      </c>
      <c r="D1411" s="3">
        <v>5.0</v>
      </c>
    </row>
    <row r="1412" ht="15.75" customHeight="1">
      <c r="A1412" s="1">
        <v>1504.0</v>
      </c>
      <c r="B1412" s="3" t="s">
        <v>1398</v>
      </c>
      <c r="C1412" s="3" t="str">
        <f>IFERROR(__xludf.DUMMYFUNCTION("GOOGLETRANSLATE(B1412,""id"",""en"")"),"['users', 'Telkomsel', 'dozens', 'accept', 'gifts', 'Telkomsel']")</f>
        <v>['users', 'Telkomsel', 'dozens', 'accept', 'gifts', 'Telkomsel']</v>
      </c>
      <c r="D1412" s="3">
        <v>5.0</v>
      </c>
    </row>
    <row r="1413" ht="15.75" customHeight="1">
      <c r="A1413" s="1">
        <v>1505.0</v>
      </c>
      <c r="B1413" s="3" t="s">
        <v>1399</v>
      </c>
      <c r="C1413" s="3" t="str">
        <f>IFERROR(__xludf.DUMMYFUNCTION("GOOGLETRANSLATE(B1413,""id"",""en"")"),"['APK', 'Open', 'blank', '']")</f>
        <v>['APK', 'Open', 'blank', '']</v>
      </c>
      <c r="D1413" s="3">
        <v>1.0</v>
      </c>
    </row>
    <row r="1414" ht="15.75" customHeight="1">
      <c r="A1414" s="1">
        <v>1506.0</v>
      </c>
      <c r="B1414" s="3" t="s">
        <v>1400</v>
      </c>
      <c r="C1414" s="3" t="str">
        <f>IFERROR(__xludf.DUMMYFUNCTION("GOOGLETRANSLATE(B1414,""id"",""en"")"),"['Notification', 'ksh', 'language', 'indo']")</f>
        <v>['Notification', 'ksh', 'language', 'indo']</v>
      </c>
      <c r="D1414" s="3">
        <v>4.0</v>
      </c>
    </row>
    <row r="1415" ht="15.75" customHeight="1">
      <c r="A1415" s="1">
        <v>1507.0</v>
      </c>
      <c r="B1415" s="3" t="s">
        <v>1401</v>
      </c>
      <c r="C1415" s="3" t="str">
        <f>IFERROR(__xludf.DUMMYFUNCTION("GOOGLETRANSLATE(B1415,""id"",""en"")"),"['expensive', 'slow']")</f>
        <v>['expensive', 'slow']</v>
      </c>
      <c r="D1415" s="3">
        <v>2.0</v>
      </c>
    </row>
    <row r="1416" ht="15.75" customHeight="1">
      <c r="A1416" s="1">
        <v>1508.0</v>
      </c>
      <c r="B1416" s="3" t="s">
        <v>1402</v>
      </c>
      <c r="C1416" s="3" t="str">
        <f>IFERROR(__xludf.DUMMYFUNCTION("GOOGLETRANSLATE(B1416,""id"",""en"")"),"['like', 'service', 'recommendations', 'people', 'thank you']")</f>
        <v>['like', 'service', 'recommendations', 'people', 'thank you']</v>
      </c>
      <c r="D1416" s="3">
        <v>5.0</v>
      </c>
    </row>
    <row r="1417" ht="15.75" customHeight="1">
      <c r="A1417" s="1">
        <v>1509.0</v>
      </c>
      <c r="B1417" s="3" t="s">
        <v>1403</v>
      </c>
      <c r="C1417" s="3" t="str">
        <f>IFERROR(__xludf.DUMMYFUNCTION("GOOGLETRANSLATE(B1417,""id"",""en"")"),"['Help', 'Distance']")</f>
        <v>['Help', 'Distance']</v>
      </c>
      <c r="D1417" s="3">
        <v>4.0</v>
      </c>
    </row>
    <row r="1418" ht="15.75" customHeight="1">
      <c r="A1418" s="1">
        <v>1510.0</v>
      </c>
      <c r="B1418" s="3" t="s">
        <v>1404</v>
      </c>
      <c r="C1418" s="3" t="str">
        <f>IFERROR(__xludf.DUMMYFUNCTION("GOOGLETRANSLATE(B1418,""id"",""en"")"),"['Application', 'Cutting', 'Credit', 'Application', 'Free', '']")</f>
        <v>['Application', 'Cutting', 'Credit', 'Application', 'Free', '']</v>
      </c>
      <c r="D1418" s="3">
        <v>1.0</v>
      </c>
    </row>
    <row r="1419" ht="15.75" customHeight="1">
      <c r="A1419" s="1">
        <v>1511.0</v>
      </c>
      <c r="B1419" s="3" t="s">
        <v>1405</v>
      </c>
      <c r="C1419" s="3" t="str">
        <f>IFERROR(__xludf.DUMMYFUNCTION("GOOGLETRANSLATE(B1419,""id"",""en"")"),"['Steady', 'Telkomsel', 'package', 'cheap', 'festive']")</f>
        <v>['Steady', 'Telkomsel', 'package', 'cheap', 'festive']</v>
      </c>
      <c r="D1419" s="3">
        <v>5.0</v>
      </c>
    </row>
    <row r="1420" ht="15.75" customHeight="1">
      <c r="A1420" s="1">
        <v>1512.0</v>
      </c>
      <c r="B1420" s="3" t="s">
        <v>1406</v>
      </c>
      <c r="C1420" s="3" t="str">
        <f>IFERROR(__xludf.DUMMYFUNCTION("GOOGLETRANSLATE(B1420,""id"",""en"")"),"['ugly', 'quota', 'card', 'mcm', 'ttp', 'ngeleg', 'sorry', 'star', 'taken', '']")</f>
        <v>['ugly', 'quota', 'card', 'mcm', 'ttp', 'ngeleg', 'sorry', 'star', 'taken', '']</v>
      </c>
      <c r="D1420" s="3">
        <v>1.0</v>
      </c>
    </row>
    <row r="1421" ht="15.75" customHeight="1">
      <c r="A1421" s="1">
        <v>1513.0</v>
      </c>
      <c r="B1421" s="3" t="s">
        <v>1407</v>
      </c>
      <c r="C1421" s="3" t="str">
        <f>IFERROR(__xludf.DUMMYFUNCTION("GOOGLETRANSLATE(B1421,""id"",""en"")"),"['Accessible', 'Downloud']")</f>
        <v>['Accessible', 'Downloud']</v>
      </c>
      <c r="D1421" s="3">
        <v>1.0</v>
      </c>
    </row>
    <row r="1422" ht="15.75" customHeight="1">
      <c r="A1422" s="1">
        <v>1514.0</v>
      </c>
      <c r="B1422" s="3" t="s">
        <v>1408</v>
      </c>
      <c r="C1422" s="3" t="str">
        <f>IFERROR(__xludf.DUMMYFUNCTION("GOOGLETRANSLATE(B1422,""id"",""en"")"),"['Update', 'Uda', 'Login', '']")</f>
        <v>['Update', 'Uda', 'Login', '']</v>
      </c>
      <c r="D1422" s="3">
        <v>2.0</v>
      </c>
    </row>
    <row r="1423" ht="15.75" customHeight="1">
      <c r="A1423" s="1">
        <v>1515.0</v>
      </c>
      <c r="B1423" s="3" t="s">
        <v>1409</v>
      </c>
      <c r="C1423" s="3" t="str">
        <f>IFERROR(__xludf.DUMMYFUNCTION("GOOGLETRANSLATE(B1423,""id"",""en"")"),"['makes it easier', 'activity', 'related', 'Telkomsel']")</f>
        <v>['makes it easier', 'activity', 'related', 'Telkomsel']</v>
      </c>
      <c r="D1423" s="3">
        <v>5.0</v>
      </c>
    </row>
    <row r="1424" ht="15.75" customHeight="1">
      <c r="A1424" s="1">
        <v>1516.0</v>
      </c>
      <c r="B1424" s="3" t="s">
        <v>1410</v>
      </c>
      <c r="C1424" s="3" t="str">
        <f>IFERROR(__xludf.DUMMYFUNCTION("GOOGLETRANSLATE(B1424,""id"",""en"")"),"['week', 'apk', 'Telkomsel', 'open', 'wrong', 'so,' customers', 'telomsel', '']")</f>
        <v>['week', 'apk', 'Telkomsel', 'open', 'wrong', 'so,' customers', 'telomsel', '']</v>
      </c>
      <c r="D1424" s="3">
        <v>1.0</v>
      </c>
    </row>
    <row r="1425" ht="15.75" customHeight="1">
      <c r="A1425" s="1">
        <v>1517.0</v>
      </c>
      <c r="B1425" s="3" t="s">
        <v>1411</v>
      </c>
      <c r="C1425" s="3" t="str">
        <f>IFERROR(__xludf.DUMMYFUNCTION("GOOGLETRANSLATE(B1425,""id"",""en"")"),"['network', 'Telkomsel', 'super', 'slow', 'slow', 'uda', 'package', 'internet', 'expensive', 'slow', 'the network', 'emotion', ' Sousal ',' ']")</f>
        <v>['network', 'Telkomsel', 'super', 'slow', 'slow', 'uda', 'package', 'internet', 'expensive', 'slow', 'the network', 'emotion', ' Sousal ',' ']</v>
      </c>
      <c r="D1425" s="3">
        <v>2.0</v>
      </c>
    </row>
    <row r="1426" ht="15.75" customHeight="1">
      <c r="A1426" s="1">
        <v>1518.0</v>
      </c>
      <c r="B1426" s="3" t="s">
        <v>1367</v>
      </c>
      <c r="C1426" s="3" t="str">
        <f>IFERROR(__xludf.DUMMYFUNCTION("GOOGLETRANSLATE(B1426,""id"",""en"")"),"['good']")</f>
        <v>['good']</v>
      </c>
      <c r="D1426" s="3">
        <v>5.0</v>
      </c>
    </row>
    <row r="1427" ht="15.75" customHeight="1">
      <c r="A1427" s="1">
        <v>1519.0</v>
      </c>
      <c r="B1427" s="3" t="s">
        <v>1412</v>
      </c>
      <c r="C1427" s="3" t="str">
        <f>IFERROR(__xludf.DUMMYFUNCTION("GOOGLETRANSLATE(B1427,""id"",""en"")"),"['Telkomsel', 'Dear', 'Network', 'ugly', 'really', 'ugly', 'njrrrr', 'me', 'transaction', 'difficult', 'quota', 'expensive', ' Gembel ',' really ',' network ',' please ',' fix ',' according to ',' quota ',' expensive ',' bad ',' really ',' network ',' use"&amp;"r ',' emotion ' , 'Rain', 'Hadehhhh', 'Gembel', 'really', 'Severe', 'Original', '']")</f>
        <v>['Telkomsel', 'Dear', 'Network', 'ugly', 'really', 'ugly', 'njrrrr', 'me', 'transaction', 'difficult', 'quota', 'expensive', ' Gembel ',' really ',' network ',' please ',' fix ',' according to ',' quota ',' expensive ',' bad ',' really ',' network ',' user ',' emotion ' , 'Rain', 'Hadehhhh', 'Gembel', 'really', 'Severe', 'Original', '']</v>
      </c>
      <c r="D1427" s="3">
        <v>1.0</v>
      </c>
    </row>
    <row r="1428" ht="15.75" customHeight="1">
      <c r="A1428" s="1">
        <v>1521.0</v>
      </c>
      <c r="B1428" s="3" t="s">
        <v>1413</v>
      </c>
      <c r="C1428" s="3" t="str">
        <f>IFERROR(__xludf.DUMMYFUNCTION("GOOGLETRANSLATE(B1428,""id"",""en"")"),"['Telkomsel', 'card', 'sucks', 'signal', 'good', 'price', 'quota', 'squotted', 'expensive', 'really', 'wasteful', 'really' Please, 'price', 'quota', 'collapsed', 'trs', 'samain', 'price', 'quota', 'card', 'fair', ""]")</f>
        <v>['Telkomsel', 'card', 'sucks', 'signal', 'good', 'price', 'quota', 'squotted', 'expensive', 'really', 'wasteful', 'really' Please, 'price', 'quota', 'collapsed', 'trs', 'samain', 'price', 'quota', 'card', 'fair', "]</v>
      </c>
      <c r="D1428" s="3">
        <v>1.0</v>
      </c>
    </row>
    <row r="1429" ht="15.75" customHeight="1">
      <c r="A1429" s="1">
        <v>1522.0</v>
      </c>
      <c r="B1429" s="3" t="s">
        <v>1414</v>
      </c>
      <c r="C1429" s="3" t="str">
        <f>IFERROR(__xludf.DUMMYFUNCTION("GOOGLETRANSLATE(B1429,""id"",""en"")"),"['application', 'opened', 'screen', 'white', 'appears', '']")</f>
        <v>['application', 'opened', 'screen', 'white', 'appears', '']</v>
      </c>
      <c r="D1429" s="3">
        <v>1.0</v>
      </c>
    </row>
    <row r="1430" ht="15.75" customHeight="1">
      <c r="A1430" s="1">
        <v>1523.0</v>
      </c>
      <c r="B1430" s="3" t="s">
        <v>1415</v>
      </c>
      <c r="C1430" s="3" t="str">
        <f>IFERROR(__xludf.DUMMYFUNCTION("GOOGLETRANSLATE(B1430,""id"",""en"")"),"['Promo', 'Internet', 'GB', '']")</f>
        <v>['Promo', 'Internet', 'GB', '']</v>
      </c>
      <c r="D1430" s="3">
        <v>5.0</v>
      </c>
    </row>
    <row r="1431" ht="15.75" customHeight="1">
      <c r="A1431" s="1">
        <v>1524.0</v>
      </c>
      <c r="B1431" s="3" t="s">
        <v>1416</v>
      </c>
      <c r="C1431" s="3" t="str">
        <f>IFERROR(__xludf.DUMMYFUNCTION("GOOGLETRANSLATE(B1431,""id"",""en"")"),"['cave', 'love', 'bintsng', 'oath', 'cave', 'disappointed', 'really', 'telkomsel', 'singal', 'full', 'play', 'game', ' difficult ',' difficult ',' oath ',' kek ',' signal ',' good ',' please ',' telkom ',' repair ',' singal ',' singally ',' strong ',' dow"&amp;"nload ' , 'TSPI', 'strong', 'ngagame', 'strange', 'game', 'drained', 'data', 'download', 'sampe', 'ber', 'mb', 'please', ' Repair ',' Singal ',' smooth ',' Main ',' Game ']")</f>
        <v>['cave', 'love', 'bintsng', 'oath', 'cave', 'disappointed', 'really', 'telkomsel', 'singal', 'full', 'play', 'game', ' difficult ',' difficult ',' oath ',' kek ',' signal ',' good ',' please ',' telkom ',' repair ',' singal ',' singally ',' strong ',' download ' , 'TSPI', 'strong', 'ngagame', 'strange', 'game', 'drained', 'data', 'download', 'sampe', 'ber', 'mb', 'please', ' Repair ',' Singal ',' smooth ',' Main ',' Game ']</v>
      </c>
      <c r="D1431" s="3">
        <v>5.0</v>
      </c>
    </row>
    <row r="1432" ht="15.75" customHeight="1">
      <c r="A1432" s="1">
        <v>1525.0</v>
      </c>
      <c r="B1432" s="3" t="s">
        <v>1417</v>
      </c>
      <c r="C1432" s="3" t="str">
        <f>IFERROR(__xludf.DUMMYFUNCTION("GOOGLETRANSLATE(B1432,""id"",""en"")"),"['Application', 'SIAK', 'DAK', 'DAORK']")</f>
        <v>['Application', 'SIAK', 'DAK', 'DAORK']</v>
      </c>
      <c r="D1432" s="3">
        <v>1.0</v>
      </c>
    </row>
    <row r="1433" ht="15.75" customHeight="1">
      <c r="A1433" s="1">
        <v>1526.0</v>
      </c>
      <c r="B1433" s="3" t="s">
        <v>1418</v>
      </c>
      <c r="C1433" s="3" t="str">
        <f>IFERROR(__xludf.DUMMYFUNCTION("GOOGLETRANSLATE(B1433,""id"",""en"")"),"['Simple', 'buy', 'package', 'contents', 'pulse']")</f>
        <v>['Simple', 'buy', 'package', 'contents', 'pulse']</v>
      </c>
      <c r="D1433" s="3">
        <v>5.0</v>
      </c>
    </row>
    <row r="1434" ht="15.75" customHeight="1">
      <c r="A1434" s="1">
        <v>1527.0</v>
      </c>
      <c r="B1434" s="3" t="s">
        <v>1419</v>
      </c>
      <c r="C1434" s="3" t="str">
        <f>IFERROR(__xludf.DUMMYFUNCTION("GOOGLETRANSLATE(B1434,""id"",""en"")"),"['Mantep', 'Sis',' Telkomsel ',' Network ',' Strong ',' Current ',' Kamalimantan ',' Price ',' Package ',' Cheap ',' GB ',' Distribution ',' Restrictions', 'Mantappppp', 'Advanced', '']")</f>
        <v>['Mantep', 'Sis',' Telkomsel ',' Network ',' Strong ',' Current ',' Kamalimantan ',' Price ',' Package ',' Cheap ',' GB ',' Distribution ',' Restrictions', 'Mantappppp', 'Advanced', '']</v>
      </c>
      <c r="D1434" s="3">
        <v>5.0</v>
      </c>
    </row>
    <row r="1435" ht="15.75" customHeight="1">
      <c r="A1435" s="1">
        <v>1528.0</v>
      </c>
      <c r="B1435" s="3" t="s">
        <v>1420</v>
      </c>
      <c r="C1435" s="3" t="str">
        <f>IFERROR(__xludf.DUMMYFUNCTION("GOOGLETRANSLATE(B1435,""id"",""en"")"),"['economy', 'expenses', 'limited', 'price', 'ride']")</f>
        <v>['economy', 'expenses', 'limited', 'price', 'ride']</v>
      </c>
      <c r="D1435" s="3">
        <v>1.0</v>
      </c>
    </row>
    <row r="1436" ht="15.75" customHeight="1">
      <c r="A1436" s="1">
        <v>1530.0</v>
      </c>
      <c r="B1436" s="3" t="s">
        <v>1421</v>
      </c>
      <c r="C1436" s="3" t="str">
        <f>IFERROR(__xludf.DUMMYFUNCTION("GOOGLETRANSLATE(B1436,""id"",""en"")"),"['Min', 'application', 'Telkomsel', 'Nggk', 'opened', 'Sunday']")</f>
        <v>['Min', 'application', 'Telkomsel', 'Nggk', 'opened', 'Sunday']</v>
      </c>
      <c r="D1436" s="3">
        <v>1.0</v>
      </c>
    </row>
    <row r="1437" ht="15.75" customHeight="1">
      <c r="A1437" s="1">
        <v>1531.0</v>
      </c>
      <c r="B1437" s="3" t="s">
        <v>1422</v>
      </c>
      <c r="C1437" s="3" t="str">
        <f>IFERROR(__xludf.DUMMYFUNCTION("GOOGLETRANSLATE(B1437,""id"",""en"")"),"['Good', 'Help', 'users', 'Telkomsel', 'beside', 'information', 'promo', 'product', 'Telkomsel', 'pokes', 'joooz']")</f>
        <v>['Good', 'Help', 'users', 'Telkomsel', 'beside', 'information', 'promo', 'product', 'Telkomsel', 'pokes', 'joooz']</v>
      </c>
      <c r="D1437" s="3">
        <v>5.0</v>
      </c>
    </row>
    <row r="1438" ht="15.75" customHeight="1">
      <c r="A1438" s="1">
        <v>1532.0</v>
      </c>
      <c r="B1438" s="3" t="s">
        <v>1423</v>
      </c>
      <c r="C1438" s="3" t="str">
        <f>IFERROR(__xludf.DUMMYFUNCTION("GOOGLETRANSLATE(B1438,""id"",""en"")"),"['expensive', 'doang', 'quality', 'signal', 'era', 'stone']")</f>
        <v>['expensive', 'doang', 'quality', 'signal', 'era', 'stone']</v>
      </c>
      <c r="D1438" s="3">
        <v>2.0</v>
      </c>
    </row>
    <row r="1439" ht="15.75" customHeight="1">
      <c r="A1439" s="1">
        <v>1533.0</v>
      </c>
      <c r="B1439" s="3" t="s">
        <v>1424</v>
      </c>
      <c r="C1439" s="3" t="str">
        <f>IFERROR(__xludf.DUMMYFUNCTION("GOOGLETRANSLATE(B1439,""id"",""en"")"),"['signal', 'slow']")</f>
        <v>['signal', 'slow']</v>
      </c>
      <c r="D1439" s="3">
        <v>5.0</v>
      </c>
    </row>
    <row r="1440" ht="15.75" customHeight="1">
      <c r="A1440" s="1">
        <v>1534.0</v>
      </c>
      <c r="B1440" s="3" t="s">
        <v>1425</v>
      </c>
      <c r="C1440" s="3" t="str">
        <f>IFERROR(__xludf.DUMMYFUNCTION("GOOGLETRANSLATE(B1440,""id"",""en"")"),"['Help', 'application']")</f>
        <v>['Help', 'application']</v>
      </c>
      <c r="D1440" s="3">
        <v>5.0</v>
      </c>
    </row>
    <row r="1441" ht="15.75" customHeight="1">
      <c r="A1441" s="1">
        <v>1535.0</v>
      </c>
      <c r="B1441" s="3" t="s">
        <v>1426</v>
      </c>
      <c r="C1441" s="3" t="str">
        <f>IFERROR(__xludf.DUMMYFUNCTION("GOOGLETRANSLATE(B1441,""id"",""en"")"),"['', 'palm', 'opened', 'blank', 'white']")</f>
        <v>['', 'palm', 'opened', 'blank', 'white']</v>
      </c>
      <c r="D1441" s="3">
        <v>4.0</v>
      </c>
    </row>
    <row r="1442" ht="15.75" customHeight="1">
      <c r="A1442" s="1">
        <v>1536.0</v>
      </c>
      <c r="B1442" s="3" t="s">
        <v>1427</v>
      </c>
      <c r="C1442" s="3" t="str">
        <f>IFERROR(__xludf.DUMMYFUNCTION("GOOGLETRANSLATE(B1442,""id"",""en"")"),"['Salah', 'send', 'pulse', 'ehhh', 'entry', 'number', 'wrong', 'how', 'return', 'pulse']")</f>
        <v>['Salah', 'send', 'pulse', 'ehhh', 'entry', 'number', 'wrong', 'how', 'return', 'pulse']</v>
      </c>
      <c r="D1442" s="3">
        <v>4.0</v>
      </c>
    </row>
    <row r="1443" ht="15.75" customHeight="1">
      <c r="A1443" s="1">
        <v>1537.0</v>
      </c>
      <c r="B1443" s="3" t="s">
        <v>1428</v>
      </c>
      <c r="C1443" s="3" t="str">
        <f>IFERROR(__xludf.DUMMYFUNCTION("GOOGLETRANSLATE(B1443,""id"",""en"")"),"['Yaya', 'Good']")</f>
        <v>['Yaya', 'Good']</v>
      </c>
      <c r="D1443" s="3">
        <v>5.0</v>
      </c>
    </row>
    <row r="1444" ht="15.75" customHeight="1">
      <c r="A1444" s="1">
        <v>1538.0</v>
      </c>
      <c r="B1444" s="3" t="s">
        <v>1429</v>
      </c>
      <c r="C1444" s="3" t="str">
        <f>IFERROR(__xludf.DUMMYFUNCTION("GOOGLETRANSLATE(B1444,""id"",""en"")"),"['signal', 'ugly', 'mulu']")</f>
        <v>['signal', 'ugly', 'mulu']</v>
      </c>
      <c r="D1444" s="3">
        <v>2.0</v>
      </c>
    </row>
    <row r="1445" ht="15.75" customHeight="1">
      <c r="A1445" s="1">
        <v>1539.0</v>
      </c>
      <c r="B1445" s="3" t="s">
        <v>1430</v>
      </c>
      <c r="C1445" s="3" t="str">
        <f>IFERROR(__xludf.DUMMYFUNCTION("GOOGLETRANSLATE(B1445,""id"",""en"")"),"['Points', 'Exchange', 'Diamond', '']")</f>
        <v>['Points', 'Exchange', 'Diamond', '']</v>
      </c>
      <c r="D1445" s="3">
        <v>1.0</v>
      </c>
    </row>
    <row r="1446" ht="15.75" customHeight="1">
      <c r="A1446" s="1">
        <v>1540.0</v>
      </c>
      <c r="B1446" s="3" t="s">
        <v>1431</v>
      </c>
      <c r="C1446" s="3" t="str">
        <f>IFERROR(__xludf.DUMMYFUNCTION("GOOGLETRANSLATE(B1446,""id"",""en"")"),"['Enter', 'menu', 'Telkomsel']")</f>
        <v>['Enter', 'menu', 'Telkomsel']</v>
      </c>
      <c r="D1446" s="3">
        <v>1.0</v>
      </c>
    </row>
    <row r="1447" ht="15.75" customHeight="1">
      <c r="A1447" s="1">
        <v>1541.0</v>
      </c>
      <c r="B1447" s="3" t="s">
        <v>1432</v>
      </c>
      <c r="C1447" s="3" t="str">
        <f>IFERROR(__xludf.DUMMYFUNCTION("GOOGLETRANSLATE(B1447,""id"",""en"")"),"['steady', 'Telkomsel', 'community', 'Indonesia', 'easy', 'in the future', 'network', 'good', 'jammed', ""]")</f>
        <v>['steady', 'Telkomsel', 'community', 'Indonesia', 'easy', 'in the future', 'network', 'good', 'jammed', "]</v>
      </c>
      <c r="D1447" s="3">
        <v>5.0</v>
      </c>
    </row>
    <row r="1448" ht="15.75" customHeight="1">
      <c r="A1448" s="1">
        <v>1542.0</v>
      </c>
      <c r="B1448" s="3" t="s">
        <v>1433</v>
      </c>
      <c r="C1448" s="3" t="str">
        <f>IFERROR(__xludf.DUMMYFUNCTION("GOOGLETRANSLATE(B1448,""id"",""en"")"),"['Network', 'BURIK']")</f>
        <v>['Network', 'BURIK']</v>
      </c>
      <c r="D1448" s="3">
        <v>3.0</v>
      </c>
    </row>
    <row r="1449" ht="15.75" customHeight="1">
      <c r="A1449" s="1">
        <v>1543.0</v>
      </c>
      <c r="B1449" s="3" t="s">
        <v>1434</v>
      </c>
      <c r="C1449" s="3" t="str">
        <f>IFERROR(__xludf.DUMMYFUNCTION("GOOGLETRANSLATE(B1449,""id"",""en"")"),"['Terbimah', 'Love', 'Telkomsel', 'Use', 'Telkomsel', 'Internet', 'Signal', 'Full', 'Sometimes',' Reduced ',' Internet ',' Browsing ',' YouTube ',' Game ',' ']")</f>
        <v>['Terbimah', 'Love', 'Telkomsel', 'Use', 'Telkomsel', 'Internet', 'Signal', 'Full', 'Sometimes',' Reduced ',' Internet ',' Browsing ',' YouTube ',' Game ',' ']</v>
      </c>
      <c r="D1449" s="3">
        <v>5.0</v>
      </c>
    </row>
    <row r="1450" ht="15.75" customHeight="1">
      <c r="A1450" s="1">
        <v>1544.0</v>
      </c>
      <c r="B1450" s="3" t="s">
        <v>1435</v>
      </c>
      <c r="C1450" s="3" t="str">
        <f>IFERROR(__xludf.DUMMYFUNCTION("GOOGLETRANSLATE(B1450,""id"",""en"")"),"['Sorry', 'just', 'pulses', 'buy', 'package', 'for', 'balance', 'run out', 'debt', 'or', 'gimna']")</f>
        <v>['Sorry', 'just', 'pulses', 'buy', 'package', 'for', 'balance', 'run out', 'debt', 'or', 'gimna']</v>
      </c>
      <c r="D1450" s="3">
        <v>1.0</v>
      </c>
    </row>
    <row r="1451" ht="15.75" customHeight="1">
      <c r="A1451" s="1">
        <v>1545.0</v>
      </c>
      <c r="B1451" s="3" t="s">
        <v>1436</v>
      </c>
      <c r="C1451" s="3" t="str">
        <f>IFERROR(__xludf.DUMMYFUNCTION("GOOGLETRANSLATE(B1451,""id"",""en"")"),"['Please', 'level', 'strength', 'signal', 'in the area']")</f>
        <v>['Please', 'level', 'strength', 'signal', 'in the area']</v>
      </c>
      <c r="D1451" s="3">
        <v>5.0</v>
      </c>
    </row>
    <row r="1452" ht="15.75" customHeight="1">
      <c r="A1452" s="1">
        <v>1546.0</v>
      </c>
      <c r="B1452" s="3" t="s">
        <v>1437</v>
      </c>
      <c r="C1452" s="3" t="str">
        <f>IFERROR(__xludf.DUMMYFUNCTION("GOOGLETRANSLATE(B1452,""id"",""en"")"),"['Understand', 'run out', 'check', 'dapa', 'no']")</f>
        <v>['Understand', 'run out', 'check', 'dapa', 'no']</v>
      </c>
      <c r="D1452" s="3">
        <v>3.0</v>
      </c>
    </row>
    <row r="1453" ht="15.75" customHeight="1">
      <c r="A1453" s="1">
        <v>1547.0</v>
      </c>
      <c r="B1453" s="3" t="s">
        <v>1438</v>
      </c>
      <c r="C1453" s="3" t="str">
        <f>IFERROR(__xludf.DUMMYFUNCTION("GOOGLETRANSLATE(B1453,""id"",""en"")"),"['in the heart']")</f>
        <v>['in the heart']</v>
      </c>
      <c r="D1453" s="3">
        <v>5.0</v>
      </c>
    </row>
    <row r="1454" ht="15.75" customHeight="1">
      <c r="A1454" s="1">
        <v>1548.0</v>
      </c>
      <c r="B1454" s="3" t="s">
        <v>1439</v>
      </c>
      <c r="C1454" s="3" t="str">
        <f>IFERROR(__xludf.DUMMYFUNCTION("GOOGLETRANSLATE(B1454,""id"",""en"")"),"['Good', 'hope', 'keep', 'Increase', 'Perform', '']")</f>
        <v>['Good', 'hope', 'keep', 'Increase', 'Perform', '']</v>
      </c>
      <c r="D1454" s="3">
        <v>5.0</v>
      </c>
    </row>
    <row r="1455" ht="15.75" customHeight="1">
      <c r="A1455" s="1">
        <v>1549.0</v>
      </c>
      <c r="B1455" s="3" t="s">
        <v>1440</v>
      </c>
      <c r="C1455" s="3" t="str">
        <f>IFERROR(__xludf.DUMMYFUNCTION("GOOGLETRANSLATE(B1455,""id"",""en"")"),"['ask', 'enter', 'application']")</f>
        <v>['ask', 'enter', 'application']</v>
      </c>
      <c r="D1455" s="3">
        <v>1.0</v>
      </c>
    </row>
    <row r="1456" ht="15.75" customHeight="1">
      <c r="A1456" s="1">
        <v>1550.0</v>
      </c>
      <c r="B1456" s="3" t="s">
        <v>1441</v>
      </c>
      <c r="C1456" s="3" t="str">
        <f>IFERROR(__xludf.DUMMYFUNCTION("GOOGLETRANSLATE(B1456,""id"",""en"")"),"['Suggestion', 'Min', 'Addin', 'Menu', 'Buy', 'Voucher', 'Game', 'The Application', 'Min', 'Rich', 'Application', 'Min', ' Easy ',' Top ',' Diamon ',' Etc. ',' Min ']")</f>
        <v>['Suggestion', 'Min', 'Addin', 'Menu', 'Buy', 'Voucher', 'Game', 'The Application', 'Min', 'Rich', 'Application', 'Min', ' Easy ',' Top ',' Diamon ',' Etc. ',' Min ']</v>
      </c>
      <c r="D1456" s="3">
        <v>3.0</v>
      </c>
    </row>
    <row r="1457" ht="15.75" customHeight="1">
      <c r="A1457" s="1">
        <v>1552.0</v>
      </c>
      <c r="B1457" s="3" t="s">
        <v>1442</v>
      </c>
      <c r="C1457" s="3" t="str">
        <f>IFERROR(__xludf.DUMMYFUNCTION("GOOGLETRANSLATE(B1457,""id"",""en"")"),"['Information', 'convenience', 'use', 'Telkomsel', 'easy']")</f>
        <v>['Information', 'convenience', 'use', 'Telkomsel', 'easy']</v>
      </c>
      <c r="D1457" s="3">
        <v>5.0</v>
      </c>
    </row>
    <row r="1458" ht="15.75" customHeight="1">
      <c r="A1458" s="1">
        <v>1554.0</v>
      </c>
      <c r="B1458" s="3" t="s">
        <v>1443</v>
      </c>
      <c r="C1458" s="3" t="str">
        <f>IFERROR(__xludf.DUMMYFUNCTION("GOOGLETRANSLATE(B1458,""id"",""en"")"),"['Telkomsi', 'Open', 'Liat', 'Remnant', 'Quota', 'Used']")</f>
        <v>['Telkomsi', 'Open', 'Liat', 'Remnant', 'Quota', 'Used']</v>
      </c>
      <c r="D1458" s="3">
        <v>3.0</v>
      </c>
    </row>
    <row r="1459" ht="15.75" customHeight="1">
      <c r="A1459" s="1">
        <v>1555.0</v>
      </c>
      <c r="B1459" s="3" t="s">
        <v>1444</v>
      </c>
      <c r="C1459" s="3" t="str">
        <f>IFERROR(__xludf.DUMMYFUNCTION("GOOGLETRANSLATE(B1459,""id"",""en"")"),"['Check', 'Package', 'Kouta', 'Number', 'History', 'Kouta', 'People', 'Appears', 'Please', 'Repaired', 'Thanks']")</f>
        <v>['Check', 'Package', 'Kouta', 'Number', 'History', 'Kouta', 'People', 'Appears', 'Please', 'Repaired', 'Thanks']</v>
      </c>
      <c r="D1459" s="3">
        <v>3.0</v>
      </c>
    </row>
    <row r="1460" ht="15.75" customHeight="1">
      <c r="A1460" s="1">
        <v>1556.0</v>
      </c>
      <c r="B1460" s="3" t="s">
        <v>1445</v>
      </c>
      <c r="C1460" s="3" t="str">
        <f>IFERROR(__xludf.DUMMYFUNCTION("GOOGLETRANSLATE(B1460,""id"",""en"")"),"['Good', 'Relief', '']")</f>
        <v>['Good', 'Relief', '']</v>
      </c>
      <c r="D1460" s="3">
        <v>4.0</v>
      </c>
    </row>
    <row r="1461" ht="15.75" customHeight="1">
      <c r="A1461" s="1">
        <v>1557.0</v>
      </c>
      <c r="B1461" s="3" t="s">
        <v>1446</v>
      </c>
      <c r="C1461" s="3" t="str">
        <f>IFERROR(__xludf.DUMMYFUNCTION("GOOGLETRANSLATE(B1461,""id"",""en"")"),"['signal', 'like', 'down', 'buy', 'package', 'expensive', 'signal', 'ugly']")</f>
        <v>['signal', 'like', 'down', 'buy', 'package', 'expensive', 'signal', 'ugly']</v>
      </c>
      <c r="D1461" s="3">
        <v>3.0</v>
      </c>
    </row>
    <row r="1462" ht="15.75" customHeight="1">
      <c r="A1462" s="1">
        <v>1558.0</v>
      </c>
      <c r="B1462" s="3" t="s">
        <v>1447</v>
      </c>
      <c r="C1462" s="3" t="str">
        <f>IFERROR(__xludf.DUMMYFUNCTION("GOOGLETRANSLATE(B1462,""id"",""en"")"),"['Beware', 'Bohongan', 'Gift', ""]")</f>
        <v>['Beware', 'Bohongan', 'Gift', "]</v>
      </c>
      <c r="D1462" s="3">
        <v>5.0</v>
      </c>
    </row>
    <row r="1463" ht="15.75" customHeight="1">
      <c r="A1463" s="1">
        <v>1559.0</v>
      </c>
      <c r="B1463" s="3" t="s">
        <v>1448</v>
      </c>
      <c r="C1463" s="3" t="str">
        <f>IFERROR(__xludf.DUMMYFUNCTION("GOOGLETRANSLATE(B1463,""id"",""en"")"),"['Enter', 'confused', 'contents', 'data']")</f>
        <v>['Enter', 'confused', 'contents', 'data']</v>
      </c>
      <c r="D1463" s="3">
        <v>2.0</v>
      </c>
    </row>
    <row r="1464" ht="15.75" customHeight="1">
      <c r="A1464" s="1">
        <v>1560.0</v>
      </c>
      <c r="B1464" s="3" t="s">
        <v>1449</v>
      </c>
      <c r="C1464" s="3" t="str">
        <f>IFERROR(__xludf.DUMMYFUNCTION("GOOGLETRANSLATE(B1464,""id"",""en"")"),"['Exchange', 'coin', 'can', 'pulse']")</f>
        <v>['Exchange', 'coin', 'can', 'pulse']</v>
      </c>
      <c r="D1464" s="3">
        <v>5.0</v>
      </c>
    </row>
    <row r="1465" ht="15.75" customHeight="1">
      <c r="A1465" s="1">
        <v>1561.0</v>
      </c>
      <c r="B1465" s="3" t="s">
        <v>1450</v>
      </c>
      <c r="C1465" s="3" t="str">
        <f>IFERROR(__xludf.DUMMYFUNCTION("GOOGLETRANSLATE(B1465,""id"",""en"")"),"['Nice', 'gift', 'bnyk', 'conten', 'interesting', 'bnyk', 'discon', 'basics', 'asyiik']")</f>
        <v>['Nice', 'gift', 'bnyk', 'conten', 'interesting', 'bnyk', 'discon', 'basics', 'asyiik']</v>
      </c>
      <c r="D1465" s="3">
        <v>5.0</v>
      </c>
    </row>
    <row r="1466" ht="15.75" customHeight="1">
      <c r="A1466" s="1">
        <v>1562.0</v>
      </c>
      <c r="B1466" s="3" t="s">
        <v>1451</v>
      </c>
      <c r="C1466" s="3" t="str">
        <f>IFERROR(__xludf.DUMMYFUNCTION("GOOGLETRANSLATE(B1466,""id"",""en"")"),"['slow', '']")</f>
        <v>['slow', '']</v>
      </c>
      <c r="D1466" s="3">
        <v>4.0</v>
      </c>
    </row>
    <row r="1467" ht="15.75" customHeight="1">
      <c r="A1467" s="1">
        <v>1563.0</v>
      </c>
      <c r="B1467" s="3" t="s">
        <v>1452</v>
      </c>
      <c r="C1467" s="3" t="str">
        <f>IFERROR(__xludf.DUMMYFUNCTION("GOOGLETRANSLATE(B1467,""id"",""en"")"),"['FOR' ',' Application ',' Kebuka ',' how ',' Min ', ""]")</f>
        <v>['FOR' ',' Application ',' Kebuka ',' how ',' Min ', "]</v>
      </c>
      <c r="D1467" s="3">
        <v>1.0</v>
      </c>
    </row>
    <row r="1468" ht="15.75" customHeight="1">
      <c r="A1468" s="1">
        <v>1564.0</v>
      </c>
      <c r="B1468" s="3" t="s">
        <v>1453</v>
      </c>
      <c r="C1468" s="3" t="str">
        <f>IFERROR(__xludf.DUMMYFUNCTION("GOOGLETRANSLATE(B1468,""id"",""en"")"),"['Experience', 'Join', 'Network', 'Telkomsel', 'Satisfied']")</f>
        <v>['Experience', 'Join', 'Network', 'Telkomsel', 'Satisfied']</v>
      </c>
      <c r="D1468" s="3">
        <v>1.0</v>
      </c>
    </row>
    <row r="1469" ht="15.75" customHeight="1">
      <c r="A1469" s="1">
        <v>1565.0</v>
      </c>
      <c r="B1469" s="3" t="s">
        <v>1454</v>
      </c>
      <c r="C1469" s="3" t="str">
        <f>IFERROR(__xludf.DUMMYFUNCTION("GOOGLETRANSLATE(B1469,""id"",""en"")"),"['buy', 'pulse', 'kounter', 'list', 'application', 'telkomsel', 'right', 'open', 'application', 'data', 'cellular', 'list', ' package ',' pulse ',' suck ',' high school ',' application ',' install ',' application ']")</f>
        <v>['buy', 'pulse', 'kounter', 'list', 'application', 'telkomsel', 'right', 'open', 'application', 'data', 'cellular', 'list', ' package ',' pulse ',' suck ',' high school ',' application ',' install ',' application ']</v>
      </c>
      <c r="D1469" s="3">
        <v>1.0</v>
      </c>
    </row>
    <row r="1470" ht="15.75" customHeight="1">
      <c r="A1470" s="1">
        <v>1566.0</v>
      </c>
      <c r="B1470" s="3" t="s">
        <v>1455</v>
      </c>
      <c r="C1470" s="3" t="str">
        <f>IFERROR(__xludf.DUMMYFUNCTION("GOOGLETRANSLATE(B1470,""id"",""en"")"),"['intend', 'wanted', 'moved', 'operator', 'next door', 'system', 'disorder', 'cook', 'gapari', 'besuk', 'access',' right ',' Besuk ',' ']")</f>
        <v>['intend', 'wanted', 'moved', 'operator', 'next door', 'system', 'disorder', 'cook', 'gapari', 'besuk', 'access',' right ',' Besuk ',' ']</v>
      </c>
      <c r="D1470" s="3">
        <v>1.0</v>
      </c>
    </row>
    <row r="1471" ht="15.75" customHeight="1">
      <c r="A1471" s="1">
        <v>1567.0</v>
      </c>
      <c r="B1471" s="3" t="s">
        <v>1456</v>
      </c>
      <c r="C1471" s="3" t="str">
        <f>IFERROR(__xludf.DUMMYFUNCTION("GOOGLETRANSLATE(B1471,""id"",""en"")"),"['App', 'update', 'the latest', 'ngestuck', 'opened', '']")</f>
        <v>['App', 'update', 'the latest', 'ngestuck', 'opened', '']</v>
      </c>
      <c r="D1471" s="3">
        <v>1.0</v>
      </c>
    </row>
    <row r="1472" ht="15.75" customHeight="1">
      <c r="A1472" s="1">
        <v>1568.0</v>
      </c>
      <c r="B1472" s="3" t="s">
        <v>1457</v>
      </c>
      <c r="C1472" s="3" t="str">
        <f>IFERROR(__xludf.DUMMYFUNCTION("GOOGLETRANSLATE(B1472,""id"",""en"")"),"['NOHP', 'sympathy', 'loyal', 'th', 'Telkomsel', 'rival', 'des',' Telkomsel ',' rival ',' responsibility ',' his products', 'sell', ' cheap ',' unlimited ',' loyalty ',' customers', 'Telkomsel', 'drunk', 'sea', 'hopefully', 'reference', 'product', 'Telkom"&amp;"sel', 'direction', 'cheap' , 'unlimited', 'Boroh', 'Renego', 'detergent', 'price', 'expensive', 'price', 'cheap', 'clean', 'laundry', 'detergent', 'expensive', ' Cheap ',' abandoned ',' consumer ',' community ',' greetings']")</f>
        <v>['NOHP', 'sympathy', 'loyal', 'th', 'Telkomsel', 'rival', 'des',' Telkomsel ',' rival ',' responsibility ',' his products', 'sell', ' cheap ',' unlimited ',' loyalty ',' customers', 'Telkomsel', 'drunk', 'sea', 'hopefully', 'reference', 'product', 'Telkomsel', 'direction', 'cheap' , 'unlimited', 'Boroh', 'Renego', 'detergent', 'price', 'expensive', 'price', 'cheap', 'clean', 'laundry', 'detergent', 'expensive', ' Cheap ',' abandoned ',' consumer ',' community ',' greetings']</v>
      </c>
      <c r="D1472" s="3">
        <v>4.0</v>
      </c>
    </row>
    <row r="1473" ht="15.75" customHeight="1">
      <c r="A1473" s="1">
        <v>1569.0</v>
      </c>
      <c r="B1473" s="3" t="s">
        <v>1458</v>
      </c>
      <c r="C1473" s="3" t="str">
        <f>IFERROR(__xludf.DUMMYFUNCTION("GOOGLETRANSLATE(B1473,""id"",""en"")"),"['App', 'Road', '']")</f>
        <v>['App', 'Road', '']</v>
      </c>
      <c r="D1473" s="3">
        <v>5.0</v>
      </c>
    </row>
    <row r="1474" ht="15.75" customHeight="1">
      <c r="A1474" s="1">
        <v>1570.0</v>
      </c>
      <c r="B1474" s="3" t="s">
        <v>1459</v>
      </c>
      <c r="C1474" s="3" t="str">
        <f>IFERROR(__xludf.DUMMYFUNCTION("GOOGLETRANSLATE(B1474,""id"",""en"")"),"['Sutoyo', 'Banjarmasin', 'package', 'promo', 'expensive', 'ehh', 'network', 'slow', 'maumuuuu']")</f>
        <v>['Sutoyo', 'Banjarmasin', 'package', 'promo', 'expensive', 'ehh', 'network', 'slow', 'maumuuuu']</v>
      </c>
      <c r="D1474" s="3">
        <v>1.0</v>
      </c>
    </row>
    <row r="1475" ht="15.75" customHeight="1">
      <c r="A1475" s="1">
        <v>1571.0</v>
      </c>
      <c r="B1475" s="3" t="s">
        <v>1460</v>
      </c>
      <c r="C1475" s="3" t="str">
        <f>IFERROR(__xludf.DUMMYFUNCTION("GOOGLETRANSLATE(B1475,""id"",""en"")"),"['Facilitates', 'Customer', 'Jaya', '']")</f>
        <v>['Facilitates', 'Customer', 'Jaya', '']</v>
      </c>
      <c r="D1475" s="3">
        <v>5.0</v>
      </c>
    </row>
    <row r="1476" ht="15.75" customHeight="1">
      <c r="A1476" s="1">
        <v>1572.0</v>
      </c>
      <c r="B1476" s="3" t="s">
        <v>1461</v>
      </c>
      <c r="C1476" s="3" t="str">
        <f>IFERROR(__xludf.DUMMYFUNCTION("GOOGLETRANSLATE(B1476,""id"",""en"")"),"['Many', 'Delete', 'Download', 'Screen', 'White', 'Class', 'Telkomsel', 'APK', 'Trash', 'Most', 'Corrupy', ""]")</f>
        <v>['Many', 'Delete', 'Download', 'Screen', 'White', 'Class', 'Telkomsel', 'APK', 'Trash', 'Most', 'Corrupy', "]</v>
      </c>
      <c r="D1476" s="3">
        <v>1.0</v>
      </c>
    </row>
    <row r="1477" ht="15.75" customHeight="1">
      <c r="A1477" s="1">
        <v>1573.0</v>
      </c>
      <c r="B1477" s="3" t="s">
        <v>592</v>
      </c>
      <c r="C1477" s="3" t="str">
        <f>IFERROR(__xludf.DUMMYFUNCTION("GOOGLETRANSLATE(B1477,""id"",""en"")"),"['Telkomsel']")</f>
        <v>['Telkomsel']</v>
      </c>
      <c r="D1477" s="3">
        <v>5.0</v>
      </c>
    </row>
    <row r="1478" ht="15.75" customHeight="1">
      <c r="A1478" s="1">
        <v>1574.0</v>
      </c>
      <c r="B1478" s="3" t="s">
        <v>1462</v>
      </c>
      <c r="C1478" s="3" t="str">
        <f>IFERROR(__xludf.DUMMYFUNCTION("GOOGLETRANSLATE(B1478,""id"",""en"")"),"['Credit', 'Reduced', 'Gajelas', 'Package', 'Data', 'Buy', 'Tetep', 'Credit', 'Reduced', ""]")</f>
        <v>['Credit', 'Reduced', 'Gajelas', 'Package', 'Data', 'Buy', 'Tetep', 'Credit', 'Reduced', "]</v>
      </c>
      <c r="D1478" s="3">
        <v>1.0</v>
      </c>
    </row>
    <row r="1479" ht="15.75" customHeight="1">
      <c r="A1479" s="1">
        <v>1576.0</v>
      </c>
      <c r="B1479" s="3" t="s">
        <v>1463</v>
      </c>
      <c r="C1479" s="3" t="str">
        <f>IFERROR(__xludf.DUMMYFUNCTION("GOOGLETRANSLATE(B1479,""id"",""en"")"),"['It's easier for']")</f>
        <v>['It's easier for']</v>
      </c>
      <c r="D1479" s="3">
        <v>5.0</v>
      </c>
    </row>
    <row r="1480" ht="15.75" customHeight="1">
      <c r="A1480" s="1">
        <v>1577.0</v>
      </c>
      <c r="B1480" s="3" t="s">
        <v>1464</v>
      </c>
      <c r="C1480" s="3" t="str">
        <f>IFERROR(__xludf.DUMMYFUNCTION("GOOGLETRANSLATE(B1480,""id"",""en"")"),"['Increases', 'Promo', 'Package', 'Data', 'Cheap']")</f>
        <v>['Increases', 'Promo', 'Package', 'Data', 'Cheap']</v>
      </c>
      <c r="D1480" s="3">
        <v>5.0</v>
      </c>
    </row>
    <row r="1481" ht="15.75" customHeight="1">
      <c r="A1481" s="1">
        <v>1578.0</v>
      </c>
      <c r="B1481" s="3" t="s">
        <v>1465</v>
      </c>
      <c r="C1481" s="3" t="str">
        <f>IFERROR(__xludf.DUMMYFUNCTION("GOOGLETRANSLATE(B1481,""id"",""en"")"),"['steady', 'slow', 'buy', 'package', 'data', 'linked', 'APK', 'funds',' slow ',' ampiun ',' mimim ',' staple ',' slow ',' let ',' let ',' hopefully ',' going forward ',' smooth ',' ride ',' rating ']")</f>
        <v>['steady', 'slow', 'buy', 'package', 'data', 'linked', 'APK', 'funds',' slow ',' ampiun ',' mimim ',' staple ',' slow ',' let ',' let ',' hopefully ',' going forward ',' smooth ',' ride ',' rating ']</v>
      </c>
      <c r="D1481" s="3">
        <v>3.0</v>
      </c>
    </row>
    <row r="1482" ht="15.75" customHeight="1">
      <c r="A1482" s="1">
        <v>1579.0</v>
      </c>
      <c r="B1482" s="3" t="s">
        <v>1466</v>
      </c>
      <c r="C1482" s="3" t="str">
        <f>IFERROR(__xludf.DUMMYFUNCTION("GOOGLETRANSLATE(B1482,""id"",""en"")"),"['times',' complement ',' Telkomsel ',' buy ',' pulse ',' missing ',' intention ',' top ',' diamond ',' buy ',' pulse ',' kaga ',' TOP ',' Diamond ',' Coda ',' Shop ',' Yesterday ',' Kaga ',' Kaga ',' Strange ',' Credit ',' Consumers', 'Harmed', 'Telkomse"&amp;"l', 'hopefully' , 'responded to', 'Thanks', ""]")</f>
        <v>['times',' complement ',' Telkomsel ',' buy ',' pulse ',' missing ',' intention ',' top ',' diamond ',' buy ',' pulse ',' kaga ',' TOP ',' Diamond ',' Coda ',' Shop ',' Yesterday ',' Kaga ',' Kaga ',' Strange ',' Credit ',' Consumers', 'Harmed', 'Telkomsel', 'hopefully' , 'responded to', 'Thanks', "]</v>
      </c>
      <c r="D1482" s="3">
        <v>1.0</v>
      </c>
    </row>
    <row r="1483" ht="15.75" customHeight="1">
      <c r="A1483" s="1">
        <v>1580.0</v>
      </c>
      <c r="B1483" s="3" t="s">
        <v>1467</v>
      </c>
      <c r="C1483" s="3" t="str">
        <f>IFERROR(__xludf.DUMMYFUNCTION("GOOGLETRANSLATE(B1483,""id"",""en"")"),"['APK', 'Best']")</f>
        <v>['APK', 'Best']</v>
      </c>
      <c r="D1483" s="3">
        <v>5.0</v>
      </c>
    </row>
    <row r="1484" ht="15.75" customHeight="1">
      <c r="A1484" s="1">
        <v>1581.0</v>
      </c>
      <c r="B1484" s="3" t="s">
        <v>1468</v>
      </c>
      <c r="C1484" s="3" t="str">
        <f>IFERROR(__xludf.DUMMYFUNCTION("GOOGLETRANSLATE(B1484,""id"",""en"")"),"['No', 'opened', 'already' week ',' week ',' activated ',' package ',' sms ',' buy ',' pulse ',' activated ',' package ',' application ',' 'Mih', 'uninstall', 'install', 'mggak']")</f>
        <v>['No', 'opened', 'already' week ',' week ',' activated ',' package ',' sms ',' buy ',' pulse ',' activated ',' package ',' application ',' 'Mih', 'uninstall', 'install', 'mggak']</v>
      </c>
      <c r="D1484" s="3">
        <v>1.0</v>
      </c>
    </row>
    <row r="1485" ht="15.75" customHeight="1">
      <c r="A1485" s="1">
        <v>1582.0</v>
      </c>
      <c r="B1485" s="3" t="s">
        <v>1469</v>
      </c>
      <c r="C1485" s="3" t="str">
        <f>IFERROR(__xludf.DUMMYFUNCTION("GOOGLETRANSLATE(B1485,""id"",""en"")"),"['difficult', 'Telkomsel']")</f>
        <v>['difficult', 'Telkomsel']</v>
      </c>
      <c r="D1485" s="3">
        <v>1.0</v>
      </c>
    </row>
    <row r="1486" ht="15.75" customHeight="1">
      <c r="A1486" s="1">
        <v>1584.0</v>
      </c>
      <c r="B1486" s="3" t="s">
        <v>1470</v>
      </c>
      <c r="C1486" s="3" t="str">
        <f>IFERROR(__xludf.DUMMYFUNCTION("GOOGLETRANSLATE(B1486,""id"",""en"")"),"['Application', 'Mantap', 'Thanks', 'MyTelkomsel']")</f>
        <v>['Application', 'Mantap', 'Thanks', 'MyTelkomsel']</v>
      </c>
      <c r="D1486" s="3">
        <v>5.0</v>
      </c>
    </row>
    <row r="1487" ht="15.75" customHeight="1">
      <c r="A1487" s="1">
        <v>1585.0</v>
      </c>
      <c r="B1487" s="3" t="s">
        <v>1471</v>
      </c>
      <c r="C1487" s="3" t="str">
        <f>IFERROR(__xludf.DUMMYFUNCTION("GOOGLETRANSLATE(B1487,""id"",""en"")"),"['application', 'good', 'right', 'activate', 'network', 'data', 'buy', 'package', 'pulse', 'abis', 'fix', '']")</f>
        <v>['application', 'good', 'right', 'activate', 'network', 'data', 'buy', 'package', 'pulse', 'abis', 'fix', '']</v>
      </c>
      <c r="D1487" s="3">
        <v>4.0</v>
      </c>
    </row>
    <row r="1488" ht="15.75" customHeight="1">
      <c r="A1488" s="1">
        <v>1586.0</v>
      </c>
      <c r="B1488" s="3" t="s">
        <v>1472</v>
      </c>
      <c r="C1488" s="3" t="str">
        <f>IFERROR(__xludf.DUMMYFUNCTION("GOOGLETRANSLATE(B1488,""id"",""en"")"),"['The application', 'easy', 'features', 'features', 'interesting', '']")</f>
        <v>['The application', 'easy', 'features', 'features', 'interesting', '']</v>
      </c>
      <c r="D1488" s="3">
        <v>5.0</v>
      </c>
    </row>
    <row r="1489" ht="15.75" customHeight="1">
      <c r="A1489" s="1">
        <v>1587.0</v>
      </c>
      <c r="B1489" s="3" t="s">
        <v>1473</v>
      </c>
      <c r="C1489" s="3" t="str">
        <f>IFERROR(__xludf.DUMMYFUNCTION("GOOGLETRANSLATE(B1489,""id"",""en"")"),"['Looming', 'CPAT']")</f>
        <v>['Looming', 'CPAT']</v>
      </c>
      <c r="D1489" s="3">
        <v>4.0</v>
      </c>
    </row>
    <row r="1490" ht="15.75" customHeight="1">
      <c r="A1490" s="1">
        <v>1588.0</v>
      </c>
      <c r="B1490" s="3" t="s">
        <v>1474</v>
      </c>
      <c r="C1490" s="3" t="str">
        <f>IFERROR(__xludf.DUMMYFUNCTION("GOOGLETRANSLATE(B1490,""id"",""en"")"),"['Good', 'star']")</f>
        <v>['Good', 'star']</v>
      </c>
      <c r="D1490" s="3">
        <v>5.0</v>
      </c>
    </row>
    <row r="1491" ht="15.75" customHeight="1">
      <c r="A1491" s="1">
        <v>1590.0</v>
      </c>
      <c r="B1491" s="3" t="s">
        <v>1475</v>
      </c>
      <c r="C1491" s="3" t="str">
        <f>IFERROR(__xludf.DUMMYFUNCTION("GOOGLETRANSLATE(B1491,""id"",""en"")"),"['Current', 'cheap', 'bonus']")</f>
        <v>['Current', 'cheap', 'bonus']</v>
      </c>
      <c r="D1491" s="3">
        <v>5.0</v>
      </c>
    </row>
    <row r="1492" ht="15.75" customHeight="1">
      <c r="A1492" s="1">
        <v>1591.0</v>
      </c>
      <c r="B1492" s="3" t="s">
        <v>1476</v>
      </c>
      <c r="C1492" s="3" t="str">
        <f>IFERROR(__xludf.DUMMYFUNCTION("GOOGLETRANSLATE(B1492,""id"",""en"")"),"['Steady', 'PKO']")</f>
        <v>['Steady', 'PKO']</v>
      </c>
      <c r="D1492" s="3">
        <v>5.0</v>
      </c>
    </row>
    <row r="1493" ht="15.75" customHeight="1">
      <c r="A1493" s="1">
        <v>1593.0</v>
      </c>
      <c r="B1493" s="3" t="s">
        <v>1477</v>
      </c>
      <c r="C1493" s="3" t="str">
        <f>IFERROR(__xludf.DUMMYFUNCTION("GOOGLETRANSLATE(B1493,""id"",""en"")"),"['Bagusbank', 'promo']")</f>
        <v>['Bagusbank', 'promo']</v>
      </c>
      <c r="D1493" s="3">
        <v>5.0</v>
      </c>
    </row>
    <row r="1494" ht="15.75" customHeight="1">
      <c r="A1494" s="1">
        <v>1594.0</v>
      </c>
      <c r="B1494" s="3" t="s">
        <v>1478</v>
      </c>
      <c r="C1494" s="3" t="str">
        <f>IFERROR(__xludf.DUMMYFUNCTION("GOOGLETRANSLATE(B1494,""id"",""en"")"),"['Comfortable', 'Safe', 'Network', 'Telkomsel']")</f>
        <v>['Comfortable', 'Safe', 'Network', 'Telkomsel']</v>
      </c>
      <c r="D1494" s="3">
        <v>5.0</v>
      </c>
    </row>
    <row r="1495" ht="15.75" customHeight="1">
      <c r="A1495" s="1">
        <v>1595.0</v>
      </c>
      <c r="B1495" s="3" t="s">
        <v>1479</v>
      </c>
      <c r="C1495" s="3" t="str">
        <f>IFERROR(__xludf.DUMMYFUNCTION("GOOGLETRANSLATE(B1495,""id"",""en"")"),"['Network', 'here', 'ugly', 'taste', 'no', 'the difference', 'use', 'Telkomsel', 'the network', 'good', 'ugly', '']")</f>
        <v>['Network', 'here', 'ugly', 'taste', 'no', 'the difference', 'use', 'Telkomsel', 'the network', 'good', 'ugly', '']</v>
      </c>
      <c r="D1495" s="3">
        <v>3.0</v>
      </c>
    </row>
    <row r="1496" ht="15.75" customHeight="1">
      <c r="A1496" s="1">
        <v>1596.0</v>
      </c>
      <c r="B1496" s="3" t="s">
        <v>1480</v>
      </c>
      <c r="C1496" s="3" t="str">
        <f>IFERROR(__xludf.DUMMYFUNCTION("GOOGLETRANSLATE(B1496,""id"",""en"")"),"['', 'Telkomsel', 'Sanggar', 'help']")</f>
        <v>['', 'Telkomsel', 'Sanggar', 'help']</v>
      </c>
      <c r="D1496" s="3">
        <v>5.0</v>
      </c>
    </row>
    <row r="1497" ht="15.75" customHeight="1">
      <c r="A1497" s="1">
        <v>1598.0</v>
      </c>
      <c r="B1497" s="3" t="s">
        <v>1481</v>
      </c>
      <c r="C1497" s="3" t="str">
        <f>IFERROR(__xludf.DUMMYFUNCTION("GOOGLETRANSLATE(B1497,""id"",""en"")"),"['difficult', 'open', 'application']")</f>
        <v>['difficult', 'open', 'application']</v>
      </c>
      <c r="D1497" s="3">
        <v>2.0</v>
      </c>
    </row>
    <row r="1498" ht="15.75" customHeight="1">
      <c r="A1498" s="1">
        <v>1599.0</v>
      </c>
      <c r="B1498" s="3" t="s">
        <v>1482</v>
      </c>
      <c r="C1498" s="3" t="str">
        <f>IFERROR(__xludf.DUMMYFUNCTION("GOOGLETRANSLATE(B1498,""id"",""en"")"),"['sdg', 'access',' internet ',' rates', 'non', 'package', 'sdg', 'wear', 'data', 'as a result', 'pulse', 'truncated', ' Really ',' disappointed ',' provider ', ""]")</f>
        <v>['sdg', 'access',' internet ',' rates', 'non', 'package', 'sdg', 'wear', 'data', 'as a result', 'pulse', 'truncated', ' Really ',' disappointed ',' provider ', "]</v>
      </c>
      <c r="D1498" s="3">
        <v>1.0</v>
      </c>
    </row>
    <row r="1499" ht="15.75" customHeight="1">
      <c r="A1499" s="1">
        <v>1600.0</v>
      </c>
      <c r="B1499" s="3" t="s">
        <v>1483</v>
      </c>
      <c r="C1499" s="3" t="str">
        <f>IFERROR(__xludf.DUMMYFUNCTION("GOOGLETRANSLATE(B1499,""id"",""en"")"),"['interesting', 'easy', 'contents', 'package', 'cheap']")</f>
        <v>['interesting', 'easy', 'contents', 'package', 'cheap']</v>
      </c>
      <c r="D1499" s="3">
        <v>5.0</v>
      </c>
    </row>
    <row r="1500" ht="15.75" customHeight="1">
      <c r="A1500" s="1">
        <v>1601.0</v>
      </c>
      <c r="B1500" s="3" t="s">
        <v>1484</v>
      </c>
      <c r="C1500" s="3" t="str">
        <f>IFERROR(__xludf.DUMMYFUNCTION("GOOGLETRANSLATE(B1500,""id"",""en"")"),"['Signal', 'Sekrng', 'Good', 'Operator', 'Indosat', 'Smafren', 'Region', ""]")</f>
        <v>['Signal', 'Sekrng', 'Good', 'Operator', 'Indosat', 'Smafren', 'Region', "]</v>
      </c>
      <c r="D1500" s="3">
        <v>5.0</v>
      </c>
    </row>
    <row r="1501" ht="15.75" customHeight="1">
      <c r="A1501" s="1">
        <v>1602.0</v>
      </c>
      <c r="B1501" s="3" t="s">
        <v>1485</v>
      </c>
      <c r="C1501" s="3" t="str">
        <f>IFERROR(__xludf.DUMMYFUNCTION("GOOGLETRANSLATE(B1501,""id"",""en"")"),"['knpa', 'run out', 'updet', 'the application', 'opened', '']")</f>
        <v>['knpa', 'run out', 'updet', 'the application', 'opened', '']</v>
      </c>
      <c r="D1501" s="3">
        <v>2.0</v>
      </c>
    </row>
    <row r="1502" ht="15.75" customHeight="1">
      <c r="A1502" s="1">
        <v>1605.0</v>
      </c>
      <c r="B1502" s="3" t="s">
        <v>1486</v>
      </c>
      <c r="C1502" s="3" t="str">
        <f>IFERROR(__xludf.DUMMYFUNCTION("GOOGLETRANSLATE(B1502,""id"",""en"")"),"['', 'exact', 'village', 'poror', 'paring', 'kel', 'poring', 'paring', 'sub-district', 'sukolilo', 'starch', 'Java', 'signal ',' internet ',' sustaah ',' please ',' solution ',' ']")</f>
        <v>['', 'exact', 'village', 'poror', 'paring', 'kel', 'poring', 'paring', 'sub-district', 'sukolilo', 'starch', 'Java', 'signal ',' internet ',' sustaah ',' please ',' solution ',' ']</v>
      </c>
      <c r="D1502" s="3">
        <v>4.0</v>
      </c>
    </row>
    <row r="1503" ht="15.75" customHeight="1">
      <c r="A1503" s="1">
        <v>1606.0</v>
      </c>
      <c r="B1503" s="3" t="s">
        <v>1487</v>
      </c>
      <c r="C1503" s="3" t="str">
        <f>IFERROR(__xludf.DUMMYFUNCTION("GOOGLETRANSLATE(B1503,""id"",""en"")"),"['apk', 'kagak', 'open']")</f>
        <v>['apk', 'kagak', 'open']</v>
      </c>
      <c r="D1503" s="3">
        <v>2.0</v>
      </c>
    </row>
    <row r="1504" ht="15.75" customHeight="1">
      <c r="A1504" s="1">
        <v>1607.0</v>
      </c>
      <c r="B1504" s="3" t="s">
        <v>1488</v>
      </c>
      <c r="C1504" s="3" t="str">
        <f>IFERROR(__xludf.DUMMYFUNCTION("GOOGLETRANSLATE(B1504,""id"",""en"")"),"['TELKOMSEM', 'Bukak', 'Ceh', 'Disappointed']")</f>
        <v>['TELKOMSEM', 'Bukak', 'Ceh', 'Disappointed']</v>
      </c>
      <c r="D1504" s="3">
        <v>1.0</v>
      </c>
    </row>
    <row r="1505" ht="15.75" customHeight="1">
      <c r="A1505" s="1">
        <v>1610.0</v>
      </c>
      <c r="B1505" s="3" t="s">
        <v>1489</v>
      </c>
      <c r="C1505" s="3" t="str">
        <f>IFERROR(__xludf.DUMMYFUNCTION("GOOGLETRANSLATE(B1505,""id"",""en"")"),"['Sorry', 'Disruption', 'System', 'Buy', 'Package', 'Use', 'Credit', 'Application', 'Manual', 'Why', ""]")</f>
        <v>['Sorry', 'Disruption', 'System', 'Buy', 'Package', 'Use', 'Credit', 'Application', 'Manual', 'Why', "]</v>
      </c>
      <c r="D1505" s="3">
        <v>2.0</v>
      </c>
    </row>
    <row r="1506" ht="15.75" customHeight="1">
      <c r="A1506" s="1">
        <v>1611.0</v>
      </c>
      <c r="B1506" s="3" t="s">
        <v>1490</v>
      </c>
      <c r="C1506" s="3" t="str">
        <f>IFERROR(__xludf.DUMMYFUNCTION("GOOGLETRANSLATE(B1506,""id"",""en"")"),"['right', 'update', 'error', 'white', 'doang', 'picture', '']")</f>
        <v>['right', 'update', 'error', 'white', 'doang', 'picture', '']</v>
      </c>
      <c r="D1506" s="3">
        <v>1.0</v>
      </c>
    </row>
    <row r="1507" ht="15.75" customHeight="1">
      <c r="A1507" s="1">
        <v>1612.0</v>
      </c>
      <c r="B1507" s="3" t="s">
        <v>1491</v>
      </c>
      <c r="C1507" s="3" t="str">
        <f>IFERROR(__xludf.DUMMYFUNCTION("GOOGLETRANSLATE(B1507,""id"",""en"")"),"['disappointing', 'download', 'APK', 'pulse', 'abis', 'truncated', 'package', 'data', 'along with', 'bonus']")</f>
        <v>['disappointing', 'download', 'APK', 'pulse', 'abis', 'truncated', 'package', 'data', 'along with', 'bonus']</v>
      </c>
      <c r="D1507" s="3">
        <v>1.0</v>
      </c>
    </row>
    <row r="1508" ht="15.75" customHeight="1">
      <c r="A1508" s="1">
        <v>1613.0</v>
      </c>
      <c r="B1508" s="3" t="s">
        <v>1492</v>
      </c>
      <c r="C1508" s="3" t="str">
        <f>IFERROR(__xludf.DUMMYFUNCTION("GOOGLETRANSLATE(B1508,""id"",""en"")"),"['Download']")</f>
        <v>['Download']</v>
      </c>
      <c r="D1508" s="3">
        <v>3.0</v>
      </c>
    </row>
    <row r="1509" ht="15.75" customHeight="1">
      <c r="A1509" s="1">
        <v>1614.0</v>
      </c>
      <c r="B1509" s="3" t="s">
        <v>1493</v>
      </c>
      <c r="C1509" s="3" t="str">
        <f>IFERROR(__xludf.DUMMYFUNCTION("GOOGLETRANSLATE(B1509,""id"",""en"")"),"['Trimakasih', 'Network', 'Strong', 'Good']")</f>
        <v>['Trimakasih', 'Network', 'Strong', 'Good']</v>
      </c>
      <c r="D1509" s="3">
        <v>5.0</v>
      </c>
    </row>
    <row r="1510" ht="15.75" customHeight="1">
      <c r="A1510" s="1">
        <v>1615.0</v>
      </c>
      <c r="B1510" s="3" t="s">
        <v>1494</v>
      </c>
      <c r="C1510" s="3" t="str">
        <f>IFERROR(__xludf.DUMMYFUNCTION("GOOGLETRANSLATE(B1510,""id"",""en"")"),"['already', 'open', '']")</f>
        <v>['already', 'open', '']</v>
      </c>
      <c r="D1510" s="3">
        <v>1.0</v>
      </c>
    </row>
    <row r="1511" ht="15.75" customHeight="1">
      <c r="A1511" s="1">
        <v>1616.0</v>
      </c>
      <c r="B1511" s="3" t="s">
        <v>1495</v>
      </c>
      <c r="C1511" s="3" t="str">
        <f>IFERROR(__xludf.DUMMYFUNCTION("GOOGLETRANSLATE(B1511,""id"",""en"")"),"['', 'update', 'open', 'response', 'many', 'times', 'download', 'reset', 'waste', 'package', 'data']")</f>
        <v>['', 'update', 'open', 'response', 'many', 'times', 'download', 'reset', 'waste', 'package', 'data']</v>
      </c>
      <c r="D1511" s="3">
        <v>5.0</v>
      </c>
    </row>
    <row r="1512" ht="15.75" customHeight="1">
      <c r="A1512" s="1">
        <v>1617.0</v>
      </c>
      <c r="B1512" s="3" t="s">
        <v>1496</v>
      </c>
      <c r="C1512" s="3" t="str">
        <f>IFERROR(__xludf.DUMMYFUNCTION("GOOGLETRANSLATE(B1512,""id"",""en"")"),"['Fix', 'system', 'buy', 'pulse', 'no', 'via', 'Gopay', 'payment', 'just', 'link', 'JT', 'Live', ' No ',' funny ']")</f>
        <v>['Fix', 'system', 'buy', 'pulse', 'no', 'via', 'Gopay', 'payment', 'just', 'link', 'JT', 'Live', ' No ',' funny ']</v>
      </c>
      <c r="D1512" s="3">
        <v>1.0</v>
      </c>
    </row>
    <row r="1513" ht="15.75" customHeight="1">
      <c r="A1513" s="1">
        <v>1618.0</v>
      </c>
      <c r="B1513" s="3" t="s">
        <v>478</v>
      </c>
      <c r="C1513" s="3" t="str">
        <f>IFERROR(__xludf.DUMMYFUNCTION("GOOGLETRANSLATE(B1513,""id"",""en"")"),"Of course")</f>
        <v>Of course</v>
      </c>
      <c r="D1513" s="3">
        <v>3.0</v>
      </c>
    </row>
    <row r="1514" ht="15.75" customHeight="1">
      <c r="A1514" s="1">
        <v>1619.0</v>
      </c>
      <c r="B1514" s="3" t="s">
        <v>1497</v>
      </c>
      <c r="C1514" s="3" t="str">
        <f>IFERROR(__xludf.DUMMYFUNCTION("GOOGLETRANSLATE(B1514,""id"",""en"")"),"['network', 'widest', 'access', 'fast', 'best', '']")</f>
        <v>['network', 'widest', 'access', 'fast', 'best', '']</v>
      </c>
      <c r="D1514" s="3">
        <v>5.0</v>
      </c>
    </row>
    <row r="1515" ht="15.75" customHeight="1">
      <c r="A1515" s="1">
        <v>1620.0</v>
      </c>
      <c r="B1515" s="3" t="s">
        <v>1498</v>
      </c>
      <c r="C1515" s="3" t="str">
        <f>IFERROR(__xludf.DUMMYFUNCTION("GOOGLETRANSLATE(B1515,""id"",""en"")"),"['steady', 'package', 'cheap']")</f>
        <v>['steady', 'package', 'cheap']</v>
      </c>
      <c r="D1515" s="3">
        <v>5.0</v>
      </c>
    </row>
    <row r="1516" ht="15.75" customHeight="1">
      <c r="A1516" s="1">
        <v>1621.0</v>
      </c>
      <c r="B1516" s="3" t="s">
        <v>1499</v>
      </c>
      <c r="C1516" s="3" t="str">
        <f>IFERROR(__xludf.DUMMYFUNCTION("GOOGLETRANSLATE(B1516,""id"",""en"")"),"['Application', 'Good', 'Easy', 'Fast', 'Hurry', 'Download', '']")</f>
        <v>['Application', 'Good', 'Easy', 'Fast', 'Hurry', 'Download', '']</v>
      </c>
      <c r="D1516" s="3">
        <v>4.0</v>
      </c>
    </row>
    <row r="1517" ht="15.75" customHeight="1">
      <c r="A1517" s="1">
        <v>1622.0</v>
      </c>
      <c r="B1517" s="3" t="s">
        <v>1500</v>
      </c>
      <c r="C1517" s="3" t="str">
        <f>IFERROR(__xludf.DUMMYFUNCTION("GOOGLETRANSLATE(B1517,""id"",""en"")"),"['here', 'difficult', 'log', 'difficult', 'error', 'error', 'mulu', 'please', 'repaired', 'buy', 'package', 'Telkomsel', ' WiFi ',' Provider ',' enter ',' strange ',' buy ',' package ',' complicated ', ""]")</f>
        <v>['here', 'difficult', 'log', 'difficult', 'error', 'error', 'mulu', 'please', 'repaired', 'buy', 'package', 'Telkomsel', ' WiFi ',' Provider ',' enter ',' strange ',' buy ',' package ',' complicated ', "]</v>
      </c>
      <c r="D1517" s="3">
        <v>1.0</v>
      </c>
    </row>
    <row r="1518" ht="15.75" customHeight="1">
      <c r="A1518" s="1">
        <v>1623.0</v>
      </c>
      <c r="B1518" s="3" t="s">
        <v>1501</v>
      </c>
      <c r="C1518" s="3" t="str">
        <f>IFERROR(__xludf.DUMMYFUNCTION("GOOGLETRANSLATE(B1518,""id"",""en"")"),"['application', 'drain', 'pulse', 'nga', 'lgi', 'night', 'tdi', 'buy', 'tomorrow', 'nga', 'pulse', 'Telkomsel', ' Telkomsel ',' ']")</f>
        <v>['application', 'drain', 'pulse', 'nga', 'lgi', 'night', 'tdi', 'buy', 'tomorrow', 'nga', 'pulse', 'Telkomsel', ' Telkomsel ',' ']</v>
      </c>
      <c r="D1518" s="3">
        <v>1.0</v>
      </c>
    </row>
    <row r="1519" ht="15.75" customHeight="1">
      <c r="A1519" s="1">
        <v>1624.0</v>
      </c>
      <c r="B1519" s="3" t="s">
        <v>1502</v>
      </c>
      <c r="C1519" s="3" t="str">
        <f>IFERROR(__xludf.DUMMYFUNCTION("GOOGLETRANSLATE(B1519,""id"",""en"")"),"['Practical', 'Ribet', 'Pokonya', 'The', 'Best']")</f>
        <v>['Practical', 'Ribet', 'Pokonya', 'The', 'Best']</v>
      </c>
      <c r="D1519" s="3">
        <v>5.0</v>
      </c>
    </row>
    <row r="1520" ht="15.75" customHeight="1">
      <c r="A1520" s="1">
        <v>1625.0</v>
      </c>
      <c r="B1520" s="3" t="s">
        <v>1503</v>
      </c>
      <c r="C1520" s="3" t="str">
        <f>IFERROR(__xludf.DUMMYFUNCTION("GOOGLETRANSLATE(B1520,""id"",""en"")"),"['Package', 'Internet', 'Telkomsel', 'Mahaal', 'Very', 'pulse', 'promo', 'strange', 'buy', 'pulse', 'promo', 'missing', ' ']")</f>
        <v>['Package', 'Internet', 'Telkomsel', 'Mahaal', 'Very', 'pulse', 'promo', 'strange', 'buy', 'pulse', 'promo', 'missing', ' ']</v>
      </c>
      <c r="D1520" s="3">
        <v>1.0</v>
      </c>
    </row>
    <row r="1521" ht="15.75" customHeight="1">
      <c r="A1521" s="1">
        <v>1626.0</v>
      </c>
      <c r="B1521" s="3" t="s">
        <v>1504</v>
      </c>
      <c r="C1521" s="3" t="str">
        <f>IFERROR(__xludf.DUMMYFUNCTION("GOOGLETRANSLATE(B1521,""id"",""en"")"),"['Cheap', 'list', 'kouta']")</f>
        <v>['Cheap', 'list', 'kouta']</v>
      </c>
      <c r="D1521" s="3">
        <v>5.0</v>
      </c>
    </row>
    <row r="1522" ht="15.75" customHeight="1">
      <c r="A1522" s="1">
        <v>1627.0</v>
      </c>
      <c r="B1522" s="3" t="s">
        <v>1505</v>
      </c>
      <c r="C1522" s="3" t="str">
        <f>IFERROR(__xludf.DUMMYFUNCTION("GOOGLETRANSLATE(B1522,""id"",""en"")"),"['report', 'village', 'Walikuun', 'Ngawi', 'East Java', 'since' since 'electricity', 'goes',' network ',' Telkomsel ',' slow ',' really ',' signal ',' sometimes', 'bar', 'bar', 'normal', 'location', 'area', 'sub-district', 'station', 'train', 'fire', 'wal"&amp;"ikuun']")</f>
        <v>['report', 'village', 'Walikuun', 'Ngawi', 'East Java', 'since' since 'electricity', 'goes',' network ',' Telkomsel ',' slow ',' really ',' signal ',' sometimes', 'bar', 'bar', 'normal', 'location', 'area', 'sub-district', 'station', 'train', 'fire', 'walikuun']</v>
      </c>
      <c r="D1522" s="3">
        <v>1.0</v>
      </c>
    </row>
    <row r="1523" ht="15.75" customHeight="1">
      <c r="A1523" s="1">
        <v>1628.0</v>
      </c>
      <c r="B1523" s="3" t="s">
        <v>1506</v>
      </c>
      <c r="C1523" s="3" t="str">
        <f>IFERROR(__xludf.DUMMYFUNCTION("GOOGLETRANSLATE(B1523,""id"",""en"")"),"['Good', 'really', 'sell', 'pulses', '']")</f>
        <v>['Good', 'really', 'sell', 'pulses', '']</v>
      </c>
      <c r="D1523" s="3">
        <v>5.0</v>
      </c>
    </row>
    <row r="1524" ht="15.75" customHeight="1">
      <c r="A1524" s="1">
        <v>1629.0</v>
      </c>
      <c r="B1524" s="3" t="s">
        <v>1507</v>
      </c>
      <c r="C1524" s="3" t="str">
        <f>IFERROR(__xludf.DUMMYFUNCTION("GOOGLETRANSLATE(B1524,""id"",""en"")"),"['Cheap', 'cheap', 'skarang', 'buy', 'package', 'application', 'smakin', 'expensive', 'price', 'please', 'repaired', ' Users', 'need', 'cheap', 'expensive', 'thank you']")</f>
        <v>['Cheap', 'cheap', 'skarang', 'buy', 'package', 'application', 'smakin', 'expensive', 'price', 'please', 'repaired', ' Users', 'need', 'cheap', 'expensive', 'thank you']</v>
      </c>
      <c r="D1524" s="3">
        <v>1.0</v>
      </c>
    </row>
    <row r="1525" ht="15.75" customHeight="1">
      <c r="A1525" s="1">
        <v>1630.0</v>
      </c>
      <c r="B1525" s="3" t="s">
        <v>1508</v>
      </c>
      <c r="C1525" s="3" t="str">
        <f>IFERROR(__xludf.DUMMYFUNCTION("GOOGLETRANSLATE(B1525,""id"",""en"")"),"['Quality', 'Network', 'Bad']")</f>
        <v>['Quality', 'Network', 'Bad']</v>
      </c>
      <c r="D1525" s="3">
        <v>1.0</v>
      </c>
    </row>
    <row r="1526" ht="15.75" customHeight="1">
      <c r="A1526" s="1">
        <v>1631.0</v>
      </c>
      <c r="B1526" s="3" t="s">
        <v>1509</v>
      </c>
      <c r="C1526" s="3" t="str">
        <f>IFERROR(__xludf.DUMMYFUNCTION("GOOGLETRANSLATE(B1526,""id"",""en"")"),"['progress']")</f>
        <v>['progress']</v>
      </c>
      <c r="D1526" s="3">
        <v>5.0</v>
      </c>
    </row>
    <row r="1527" ht="15.75" customHeight="1">
      <c r="A1527" s="1">
        <v>1632.0</v>
      </c>
      <c r="B1527" s="3" t="s">
        <v>1510</v>
      </c>
      <c r="C1527" s="3" t="str">
        <f>IFERROR(__xludf.DUMMYFUNCTION("GOOGLETRANSLATE(B1527,""id"",""en"")"),"['informative', 'trmksh', 'exchange', 'point', 'beg', 'krna', 'smw', 'choice', 'exchange', 'point', 'hmpir', ' SMW ',' ']")</f>
        <v>['informative', 'trmksh', 'exchange', 'point', 'beg', 'krna', 'smw', 'choice', 'exchange', 'point', 'hmpir', ' SMW ',' ']</v>
      </c>
      <c r="D1527" s="3">
        <v>5.0</v>
      </c>
    </row>
    <row r="1528" ht="15.75" customHeight="1">
      <c r="A1528" s="1">
        <v>1633.0</v>
      </c>
      <c r="B1528" s="3" t="s">
        <v>1511</v>
      </c>
      <c r="C1528" s="3" t="str">
        <f>IFERROR(__xludf.DUMMYFUNCTION("GOOGLETRANSLATE(B1528,""id"",""en"")"),"['Aga', 'ugly', 'signal', 'then']")</f>
        <v>['Aga', 'ugly', 'signal', 'then']</v>
      </c>
      <c r="D1528" s="3">
        <v>3.0</v>
      </c>
    </row>
    <row r="1529" ht="15.75" customHeight="1">
      <c r="A1529" s="1">
        <v>1634.0</v>
      </c>
      <c r="B1529" s="3" t="s">
        <v>1512</v>
      </c>
      <c r="C1529" s="3" t="str">
        <f>IFERROR(__xludf.DUMMYFUNCTION("GOOGLETRANSLATE(B1529,""id"",""en"")"),"['Explanation', 'Complete', 'Understand', 'Credit', 'Telkomsel', 'Sumpot', 'Ajah', ""]")</f>
        <v>['Explanation', 'Complete', 'Understand', 'Credit', 'Telkomsel', 'Sumpot', 'Ajah', "]</v>
      </c>
      <c r="D1529" s="3">
        <v>1.0</v>
      </c>
    </row>
    <row r="1530" ht="15.75" customHeight="1">
      <c r="A1530" s="1">
        <v>1635.0</v>
      </c>
      <c r="B1530" s="3" t="s">
        <v>1513</v>
      </c>
      <c r="C1530" s="3" t="str">
        <f>IFERROR(__xludf.DUMMYFUNCTION("GOOGLETRANSLATE(B1530,""id"",""en"")"),"['star', 'talk', 'promo', 'number', 'different', 'number', 'lbh', 'cheap', 'Telkomsel', '']")</f>
        <v>['star', 'talk', 'promo', 'number', 'different', 'number', 'lbh', 'cheap', 'Telkomsel', '']</v>
      </c>
      <c r="D1530" s="3">
        <v>5.0</v>
      </c>
    </row>
    <row r="1531" ht="15.75" customHeight="1">
      <c r="A1531" s="1">
        <v>1636.0</v>
      </c>
      <c r="B1531" s="3" t="s">
        <v>1514</v>
      </c>
      <c r="C1531" s="3" t="str">
        <f>IFERROR(__xludf.DUMMYFUNCTION("GOOGLETRANSLATE(B1531,""id"",""en"")"),"['Make it easier', 'Information', 'Telkomsel']")</f>
        <v>['Make it easier', 'Information', 'Telkomsel']</v>
      </c>
      <c r="D1531" s="3">
        <v>5.0</v>
      </c>
    </row>
    <row r="1532" ht="15.75" customHeight="1">
      <c r="A1532" s="1">
        <v>1637.0</v>
      </c>
      <c r="B1532" s="3" t="s">
        <v>1515</v>
      </c>
      <c r="C1532" s="3" t="str">
        <f>IFERROR(__xludf.DUMMYFUNCTION("GOOGLETRANSLATE(B1532,""id"",""en"")"),"['Telkomsel', 'offered', 'migration', 'card', 'Hello', 'bid', 'GB', 'thousand', 'right', 'already', 'finished', 'process',' The quota ',' just ',' GB ',' and then ',' divided ',' understand ',' telemarketing ',' weve ',' born ',' artisan ',' tricks', 'TEL"&amp;"KOMSEL', 'Training' , 'marketing', 'culuci', 'person', 'card', 'snaring', 'person', 'happy', 'heart', 'grapari', 'closed', 'card', 'hello', ' Move ',' Provider ',' ']")</f>
        <v>['Telkomsel', 'offered', 'migration', 'card', 'Hello', 'bid', 'GB', 'thousand', 'right', 'already', 'finished', 'process',' The quota ',' just ',' GB ',' and then ',' divided ',' understand ',' telemarketing ',' weve ',' born ',' artisan ',' tricks', 'TELKOMSEL', 'Training' , 'marketing', 'culuci', 'person', 'card', 'snaring', 'person', 'happy', 'heart', 'grapari', 'closed', 'card', 'hello', ' Move ',' Provider ',' ']</v>
      </c>
      <c r="D1532" s="3">
        <v>1.0</v>
      </c>
    </row>
    <row r="1533" ht="15.75" customHeight="1">
      <c r="A1533" s="1">
        <v>1638.0</v>
      </c>
      <c r="B1533" s="3" t="s">
        <v>1516</v>
      </c>
      <c r="C1533" s="3" t="str">
        <f>IFERROR(__xludf.DUMMYFUNCTION("GOOGLETRANSLATE(B1533,""id"",""en"")"),"['signal', 'boss', 'replace', 'then', '']")</f>
        <v>['signal', 'boss', 'replace', 'then', '']</v>
      </c>
      <c r="D1533" s="3">
        <v>1.0</v>
      </c>
    </row>
    <row r="1534" ht="15.75" customHeight="1">
      <c r="A1534" s="1">
        <v>1639.0</v>
      </c>
      <c r="B1534" s="3" t="s">
        <v>1517</v>
      </c>
      <c r="C1534" s="3" t="str">
        <f>IFERROR(__xludf.DUMMYFUNCTION("GOOGLETRANSLATE(B1534,""id"",""en"")"),"['Open', 'Application', 'Telkomsel', 'White', 'Screen', 'Ngeblank', 'already', 'Try', 'Uninstall', 'Install', 'Knp', 'Version', ' Different ',' gmnnya ',' Please ',' solution ',' ']")</f>
        <v>['Open', 'Application', 'Telkomsel', 'White', 'Screen', 'Ngeblank', 'already', 'Try', 'Uninstall', 'Install', 'Knp', 'Version', ' Different ',' gmnnya ',' Please ',' solution ',' ']</v>
      </c>
      <c r="D1534" s="3">
        <v>3.0</v>
      </c>
    </row>
    <row r="1535" ht="15.75" customHeight="1">
      <c r="A1535" s="1">
        <v>1641.0</v>
      </c>
      <c r="B1535" s="3" t="s">
        <v>1518</v>
      </c>
      <c r="C1535" s="3" t="str">
        <f>IFERROR(__xludf.DUMMYFUNCTION("GOOGLETRANSLATE(B1535,""id"",""en"")"),"['Come', 'signal', 'Nurun', 'Quality', 'Memorage', 'Udh', 'That's', 'Doang']")</f>
        <v>['Come', 'signal', 'Nurun', 'Quality', 'Memorage', 'Udh', 'That's', 'Doang']</v>
      </c>
      <c r="D1535" s="3">
        <v>1.0</v>
      </c>
    </row>
    <row r="1536" ht="15.75" customHeight="1">
      <c r="A1536" s="1">
        <v>1642.0</v>
      </c>
      <c r="B1536" s="3" t="s">
        <v>1519</v>
      </c>
      <c r="C1536" s="3" t="str">
        <f>IFERROR(__xludf.DUMMYFUNCTION("GOOGLETRANSLATE(B1536,""id"",""en"")"),"['Strengthen', 'Network', 'Internet', 'Kutai', 'West', 'Melak', 'Ilir', 'really', 'His Disorders', ""]")</f>
        <v>['Strengthen', 'Network', 'Internet', 'Kutai', 'West', 'Melak', 'Ilir', 'really', 'His Disorders', "]</v>
      </c>
      <c r="D1536" s="3">
        <v>5.0</v>
      </c>
    </row>
    <row r="1537" ht="15.75" customHeight="1">
      <c r="A1537" s="1">
        <v>1643.0</v>
      </c>
      <c r="B1537" s="3" t="s">
        <v>1520</v>
      </c>
      <c r="C1537" s="3" t="str">
        <f>IFERROR(__xludf.DUMMYFUNCTION("GOOGLETRANSLATE(B1537,""id"",""en"")"),"['Follow', 'Lottery', 'Points',' Already ',' Samoe ',' Zong ',' Update ',' Application ',' Lemotttt ',' NOT ',' Learning ',' Application ',' Advanced ']")</f>
        <v>['Follow', 'Lottery', 'Points',' Already ',' Samoe ',' Zong ',' Update ',' Application ',' Lemotttt ',' NOT ',' Learning ',' Application ',' Advanced ']</v>
      </c>
      <c r="D1537" s="3">
        <v>1.0</v>
      </c>
    </row>
    <row r="1538" ht="15.75" customHeight="1">
      <c r="A1538" s="1">
        <v>1644.0</v>
      </c>
      <c r="B1538" s="3" t="s">
        <v>1521</v>
      </c>
      <c r="C1538" s="3" t="str">
        <f>IFERROR(__xludf.DUMMYFUNCTION("GOOGLETRANSLATE(B1538,""id"",""en"")"),"['Telkomsel', 'advanced', 'skarang', 'menu', 'buy', 'active', 'like', 'features', 'Sanga', 'help', 'active', 'rare' reload phone credit', '']")</f>
        <v>['Telkomsel', 'advanced', 'skarang', 'menu', 'buy', 'active', 'like', 'features', 'Sanga', 'help', 'active', 'rare' reload phone credit', '']</v>
      </c>
      <c r="D1538" s="3">
        <v>5.0</v>
      </c>
    </row>
    <row r="1539" ht="15.75" customHeight="1">
      <c r="A1539" s="1">
        <v>1645.0</v>
      </c>
      <c r="B1539" s="3" t="s">
        <v>1522</v>
      </c>
      <c r="C1539" s="3" t="str">
        <f>IFERROR(__xludf.DUMMYFUNCTION("GOOGLETRANSLATE(B1539,""id"",""en"")"),"['fun', 'Telkomsel']")</f>
        <v>['fun', 'Telkomsel']</v>
      </c>
      <c r="D1539" s="3">
        <v>5.0</v>
      </c>
    </row>
    <row r="1540" ht="15.75" customHeight="1">
      <c r="A1540" s="1">
        <v>1646.0</v>
      </c>
      <c r="B1540" s="3" t="s">
        <v>1523</v>
      </c>
      <c r="C1540" s="3" t="str">
        <f>IFERROR(__xludf.DUMMYFUNCTION("GOOGLETRANSLATE(B1540,""id"",""en"")"),"['Internet', 'Lancardengan', 'signal', 'good', '']")</f>
        <v>['Internet', 'Lancardengan', 'signal', 'good', '']</v>
      </c>
      <c r="D1540" s="3">
        <v>5.0</v>
      </c>
    </row>
    <row r="1541" ht="15.75" customHeight="1">
      <c r="A1541" s="1">
        <v>1647.0</v>
      </c>
      <c r="B1541" s="3" t="s">
        <v>1524</v>
      </c>
      <c r="C1541" s="3" t="str">
        <f>IFERROR(__xludf.DUMMYFUNCTION("GOOGLETRANSLATE(B1541,""id"",""en"")"),"['White', 'Abis', 'Update', 'That's', 'Update', 'Buy', 'Quota', 'Ribet', ""]")</f>
        <v>['White', 'Abis', 'Update', 'That's', 'Update', 'Buy', 'Quota', 'Ribet', "]</v>
      </c>
      <c r="D1541" s="3">
        <v>2.0</v>
      </c>
    </row>
    <row r="1542" ht="15.75" customHeight="1">
      <c r="A1542" s="1">
        <v>1648.0</v>
      </c>
      <c r="B1542" s="3" t="s">
        <v>1525</v>
      </c>
      <c r="C1542" s="3" t="str">
        <f>IFERROR(__xludf.DUMMYFUNCTION("GOOGLETRANSLATE(B1542,""id"",""en"")"),"['Developer', 'Package', 'Game', 'Max', 'Game', 'Addin', 'Pub', 'Mobile', 'Terimaksih', ""]")</f>
        <v>['Developer', 'Package', 'Game', 'Max', 'Game', 'Addin', 'Pub', 'Mobile', 'Terimaksih', "]</v>
      </c>
      <c r="D1542" s="3">
        <v>4.0</v>
      </c>
    </row>
    <row r="1543" ht="15.75" customHeight="1">
      <c r="A1543" s="1">
        <v>1649.0</v>
      </c>
      <c r="B1543" s="3" t="s">
        <v>1526</v>
      </c>
      <c r="C1543" s="3" t="str">
        <f>IFERROR(__xludf.DUMMYFUNCTION("GOOGLETRANSLATE(B1543,""id"",""en"")"),"['Telkomsel', 'please', 'promo', 'package', 'cheap', 'package', 'combo', 'Sakti', '']")</f>
        <v>['Telkomsel', 'please', 'promo', 'package', 'cheap', 'package', 'combo', 'Sakti', '']</v>
      </c>
      <c r="D1543" s="3">
        <v>3.0</v>
      </c>
    </row>
    <row r="1544" ht="15.75" customHeight="1">
      <c r="A1544" s="1">
        <v>1650.0</v>
      </c>
      <c r="B1544" s="3" t="s">
        <v>1527</v>
      </c>
      <c r="C1544" s="3" t="str">
        <f>IFERROR(__xludf.DUMMYFUNCTION("GOOGLETRANSLATE(B1544,""id"",""en"")"),"['package', 'data', 'trial', 'expensive', 'then', 'coin', 'tuker']")</f>
        <v>['package', 'data', 'trial', 'expensive', 'then', 'coin', 'tuker']</v>
      </c>
      <c r="D1544" s="3">
        <v>1.0</v>
      </c>
    </row>
    <row r="1545" ht="15.75" customHeight="1">
      <c r="A1545" s="1">
        <v>1651.0</v>
      </c>
      <c r="B1545" s="3" t="s">
        <v>1528</v>
      </c>
      <c r="C1545" s="3" t="str">
        <f>IFERROR(__xludf.DUMMYFUNCTION("GOOGLETRANSLATE(B1545,""id"",""en"")"),"['Help', 'user']")</f>
        <v>['Help', 'user']</v>
      </c>
      <c r="D1545" s="3">
        <v>5.0</v>
      </c>
    </row>
    <row r="1546" ht="15.75" customHeight="1">
      <c r="A1546" s="1">
        <v>1652.0</v>
      </c>
      <c r="B1546" s="3" t="s">
        <v>1529</v>
      </c>
      <c r="C1546" s="3" t="str">
        <f>IFERROR(__xludf.DUMMYFUNCTION("GOOGLETRANSLATE(B1546,""id"",""en"")"),"['Please', 'Sorry', 'Dear', 'here', 'Telkomsel', 'Expensive', 'Paketan', 'Combo', 'Seat', 'Lost', 'Skrang', 'Move', ' next door ',' my ',' signal ',' right ',' play ',' game ',' missing ',' a loss', 'rain', 'wind', 'eeeh', 'miss',' let ' , 'APK', 'SET', '"&amp;"MINSE']")</f>
        <v>['Please', 'Sorry', 'Dear', 'here', 'Telkomsel', 'Expensive', 'Paketan', 'Combo', 'Seat', 'Lost', 'Skrang', 'Move', ' next door ',' my ',' signal ',' right ',' play ',' game ',' missing ',' a loss', 'rain', 'wind', 'eeeh', 'miss',' let ' , 'APK', 'SET', 'MINSE']</v>
      </c>
      <c r="D1546" s="3">
        <v>1.0</v>
      </c>
    </row>
    <row r="1547" ht="15.75" customHeight="1">
      <c r="A1547" s="1">
        <v>1653.0</v>
      </c>
      <c r="B1547" s="3" t="s">
        <v>1530</v>
      </c>
      <c r="C1547" s="3" t="str">
        <f>IFERROR(__xludf.DUMMYFUNCTION("GOOGLETRANSLATE(B1547,""id"",""en"")"),"['try']")</f>
        <v>['try']</v>
      </c>
      <c r="D1547" s="3">
        <v>2.0</v>
      </c>
    </row>
    <row r="1548" ht="15.75" customHeight="1">
      <c r="A1548" s="1">
        <v>1654.0</v>
      </c>
      <c r="B1548" s="3" t="s">
        <v>1531</v>
      </c>
      <c r="C1548" s="3" t="str">
        <f>IFERROR(__xludf.DUMMYFUNCTION("GOOGLETRANSLATE(B1548,""id"",""en"")"),"['Package', 'Internet', 'Available', 'APK', 'Expensive']")</f>
        <v>['Package', 'Internet', 'Available', 'APK', 'Expensive']</v>
      </c>
      <c r="D1548" s="3">
        <v>2.0</v>
      </c>
    </row>
    <row r="1549" ht="15.75" customHeight="1">
      <c r="A1549" s="1">
        <v>1655.0</v>
      </c>
      <c r="B1549" s="3" t="s">
        <v>1532</v>
      </c>
      <c r="C1549" s="3" t="str">
        <f>IFERROR(__xludf.DUMMYFUNCTION("GOOGLETRANSLATE(B1549,""id"",""en"")"),"['application', 'bgus']")</f>
        <v>['application', 'bgus']</v>
      </c>
      <c r="D1549" s="3">
        <v>5.0</v>
      </c>
    </row>
    <row r="1550" ht="15.75" customHeight="1">
      <c r="A1550" s="1">
        <v>1656.0</v>
      </c>
      <c r="B1550" s="3" t="s">
        <v>1533</v>
      </c>
      <c r="C1550" s="3" t="str">
        <f>IFERROR(__xludf.DUMMYFUNCTION("GOOGLETRANSLATE(B1550,""id"",""en"")"),"['Function', 'Helpful', 'User', '']")</f>
        <v>['Function', 'Helpful', 'User', '']</v>
      </c>
      <c r="D1550" s="3">
        <v>5.0</v>
      </c>
    </row>
    <row r="1551" ht="15.75" customHeight="1">
      <c r="A1551" s="1">
        <v>1657.0</v>
      </c>
      <c r="B1551" s="3" t="s">
        <v>1534</v>
      </c>
      <c r="C1551" s="3" t="str">
        <f>IFERROR(__xludf.DUMMYFUNCTION("GOOGLETRANSLATE(B1551,""id"",""en"")"),"['already', 'buy', 'quota', 'enter', 'person', 'already', 'pay', 'love', 'quota', ""]")</f>
        <v>['already', 'buy', 'quota', 'enter', 'person', 'already', 'pay', 'love', 'quota', "]</v>
      </c>
      <c r="D1551" s="3">
        <v>1.0</v>
      </c>
    </row>
    <row r="1552" ht="15.75" customHeight="1">
      <c r="A1552" s="1">
        <v>1658.0</v>
      </c>
      <c r="B1552" s="3" t="s">
        <v>1535</v>
      </c>
      <c r="C1552" s="3" t="str">
        <f>IFERROR(__xludf.DUMMYFUNCTION("GOOGLETRANSLATE(B1552,""id"",""en"")"),"['expensive', 'buy', 'package', '']")</f>
        <v>['expensive', 'buy', 'package', '']</v>
      </c>
      <c r="D1552" s="3">
        <v>4.0</v>
      </c>
    </row>
    <row r="1553" ht="15.75" customHeight="1">
      <c r="A1553" s="1">
        <v>1659.0</v>
      </c>
      <c r="B1553" s="3" t="s">
        <v>1536</v>
      </c>
      <c r="C1553" s="3" t="str">
        <f>IFERROR(__xludf.DUMMYFUNCTION("GOOGLETRANSLATE(B1553,""id"",""en"")"),"['application', 'it's easy']")</f>
        <v>['application', 'it's easy']</v>
      </c>
      <c r="D1553" s="3">
        <v>5.0</v>
      </c>
    </row>
    <row r="1554" ht="15.75" customHeight="1">
      <c r="A1554" s="1">
        <v>1661.0</v>
      </c>
      <c r="B1554" s="3" t="s">
        <v>1537</v>
      </c>
      <c r="C1554" s="3" t="str">
        <f>IFERROR(__xludf.DUMMYFUNCTION("GOOGLETRANSLATE(B1554,""id"",""en"")"),"['Download', 'open', 'screen', 'white']")</f>
        <v>['Download', 'open', 'screen', 'white']</v>
      </c>
      <c r="D1554" s="3">
        <v>1.0</v>
      </c>
    </row>
    <row r="1555" ht="15.75" customHeight="1">
      <c r="A1555" s="1">
        <v>1662.0</v>
      </c>
      <c r="B1555" s="3" t="s">
        <v>1538</v>
      </c>
      <c r="C1555" s="3" t="str">
        <f>IFERROR(__xludf.DUMMYFUNCTION("GOOGLETRANSLATE(B1555,""id"",""en"")"),"['PLN', 'Mobile', 'easy']")</f>
        <v>['PLN', 'Mobile', 'easy']</v>
      </c>
      <c r="D1555" s="3">
        <v>5.0</v>
      </c>
    </row>
    <row r="1556" ht="15.75" customHeight="1">
      <c r="A1556" s="1">
        <v>1663.0</v>
      </c>
      <c r="B1556" s="3" t="s">
        <v>1539</v>
      </c>
      <c r="C1556" s="3" t="str">
        <f>IFERROR(__xludf.DUMMYFUNCTION("GOOGLETRANSLATE(B1556,""id"",""en"")"),"['pulp', 'bet', 'network']")</f>
        <v>['pulp', 'bet', 'network']</v>
      </c>
      <c r="D1556" s="3">
        <v>1.0</v>
      </c>
    </row>
    <row r="1557" ht="15.75" customHeight="1">
      <c r="A1557" s="1">
        <v>1664.0</v>
      </c>
      <c r="B1557" s="3" t="s">
        <v>859</v>
      </c>
      <c r="C1557" s="3" t="str">
        <f>IFERROR(__xludf.DUMMYFUNCTION("GOOGLETRANSLATE(B1557,""id"",""en"")"),"['help', '']")</f>
        <v>['help', '']</v>
      </c>
      <c r="D1557" s="3">
        <v>5.0</v>
      </c>
    </row>
    <row r="1558" ht="15.75" customHeight="1">
      <c r="A1558" s="1">
        <v>1665.0</v>
      </c>
      <c r="B1558" s="3" t="s">
        <v>1540</v>
      </c>
      <c r="C1558" s="3" t="str">
        <f>IFERROR(__xludf.DUMMYFUNCTION("GOOGLETRANSLATE(B1558,""id"",""en"")"),"['disappointing', 'pulse', 'truncated', 'pay', 'internet', 'non', 'package', 'lazy', 'contents',' pulse ',' contents', 'pulses',' Grace ',' ehh ',' useful ',' grace ',' ']")</f>
        <v>['disappointing', 'pulse', 'truncated', 'pay', 'internet', 'non', 'package', 'lazy', 'contents',' pulse ',' contents', 'pulses',' Grace ',' ehh ',' useful ',' grace ',' ']</v>
      </c>
      <c r="D1558" s="3">
        <v>1.0</v>
      </c>
    </row>
    <row r="1559" ht="15.75" customHeight="1">
      <c r="A1559" s="1">
        <v>1666.0</v>
      </c>
      <c r="B1559" s="3" t="s">
        <v>1541</v>
      </c>
      <c r="C1559" s="3" t="str">
        <f>IFERROR(__xludf.DUMMYFUNCTION("GOOGLETRANSLATE(B1559,""id"",""en"")"),"['apk', 'Telkomsel', 'gag', 'open', 'ragara', 'gag', 'buy', 'pulse', 'package', 'era', 'pandemic', 'looked', ' money ',' difficult ',' jng ',' darling ',' point ',' gag ',' free ',' quota ',' GB ',' gag ',' access', 'beg', 'access' , 'Telkomsel', 'easy', "&amp;"'check', 'pulse', 'quota', 'dsb', 'ksh', 'wkt', 'yrs',' dpn ',' date ',' msh ',' gag ',' sorry ',' replace ',' card ',' lbh ',' cheap ',' customer ',' yrs', 'loyal', 'use', 'telkomsel', 'can']")</f>
        <v>['apk', 'Telkomsel', 'gag', 'open', 'ragara', 'gag', 'buy', 'pulse', 'package', 'era', 'pandemic', 'looked', ' money ',' difficult ',' jng ',' darling ',' point ',' gag ',' free ',' quota ',' GB ',' gag ',' access', 'beg', 'access' , 'Telkomsel', 'easy', 'check', 'pulse', 'quota', 'dsb', 'ksh', 'wkt', 'yrs',' dpn ',' date ',' msh ',' gag ',' sorry ',' replace ',' card ',' lbh ',' cheap ',' customer ',' yrs', 'loyal', 'use', 'telkomsel', 'can']</v>
      </c>
      <c r="D1559" s="3">
        <v>1.0</v>
      </c>
    </row>
    <row r="1560" ht="15.75" customHeight="1">
      <c r="A1560" s="1">
        <v>1667.0</v>
      </c>
      <c r="B1560" s="3" t="s">
        <v>1542</v>
      </c>
      <c r="C1560" s="3" t="str">
        <f>IFERROR(__xludf.DUMMYFUNCTION("GOOGLETRANSLATE(B1560,""id"",""en"")"),"['Severe', 'printed', 'Package', 'Call', 'right', 'Click', 'Price', 'Sampe', 'Package', 'Internet', 'Severe', 'might', ' No ',' Sync ',' Service ',' Ngakalin ',' User ',' Screaming ',' Fund ',' Rival ',' Sync ',' Price ',' Tertered ',' Consistent ',' Ntar"&amp;" ' , 'appears',' operator ',' then ',' rivals', 'Telkomsel', 'improving', 'network', 'Telkomsel', 'lngsung', 'Jatoh', 'reputation', 'point', ' company ',' smartphone ',' famous', 'come on', 'fix', 'lyann']")</f>
        <v>['Severe', 'printed', 'Package', 'Call', 'right', 'Click', 'Price', 'Sampe', 'Package', 'Internet', 'Severe', 'might', ' No ',' Sync ',' Service ',' Ngakalin ',' User ',' Screaming ',' Fund ',' Rival ',' Sync ',' Price ',' Tertered ',' Consistent ',' Ntar ' , 'appears',' operator ',' then ',' rivals', 'Telkomsel', 'improving', 'network', 'Telkomsel', 'lngsung', 'Jatoh', 'reputation', 'point', ' company ',' smartphone ',' famous', 'come on', 'fix', 'lyann']</v>
      </c>
      <c r="D1560" s="3">
        <v>2.0</v>
      </c>
    </row>
    <row r="1561" ht="15.75" customHeight="1">
      <c r="A1561" s="1">
        <v>1668.0</v>
      </c>
      <c r="B1561" s="3" t="s">
        <v>1543</v>
      </c>
      <c r="C1561" s="3" t="str">
        <f>IFERROR(__xludf.DUMMYFUNCTION("GOOGLETRANSLATE(B1561,""id"",""en"")"),"['Telkomsel', 'Open']")</f>
        <v>['Telkomsel', 'Open']</v>
      </c>
      <c r="D1561" s="3">
        <v>1.0</v>
      </c>
    </row>
    <row r="1562" ht="15.75" customHeight="1">
      <c r="A1562" s="1">
        <v>1669.0</v>
      </c>
      <c r="B1562" s="3" t="s">
        <v>1544</v>
      </c>
      <c r="C1562" s="3" t="str">
        <f>IFERROR(__xludf.DUMMYFUNCTION("GOOGLETRANSLATE(B1562,""id"",""en"")"),"['good', 'price', 'package', 'data', 'expensive']")</f>
        <v>['good', 'price', 'package', 'data', 'expensive']</v>
      </c>
      <c r="D1562" s="3">
        <v>5.0</v>
      </c>
    </row>
    <row r="1563" ht="15.75" customHeight="1">
      <c r="A1563" s="1">
        <v>1670.0</v>
      </c>
      <c r="B1563" s="3" t="s">
        <v>1545</v>
      </c>
      <c r="C1563" s="3" t="str">
        <f>IFERROR(__xludf.DUMMYFUNCTION("GOOGLETRANSLATE(B1563,""id"",""en"")"),"['APK', 'broken', 'hpus']")</f>
        <v>['APK', 'broken', 'hpus']</v>
      </c>
      <c r="D1563" s="3">
        <v>1.0</v>
      </c>
    </row>
    <row r="1564" ht="15.75" customHeight="1">
      <c r="A1564" s="1">
        <v>1671.0</v>
      </c>
      <c r="B1564" s="3" t="s">
        <v>846</v>
      </c>
      <c r="C1564" s="3" t="str">
        <f>IFERROR(__xludf.DUMMYFUNCTION("GOOGLETRANSLATE(B1564,""id"",""en"")"),"['application', 'good']")</f>
        <v>['application', 'good']</v>
      </c>
      <c r="D1564" s="3">
        <v>5.0</v>
      </c>
    </row>
    <row r="1565" ht="15.75" customHeight="1">
      <c r="A1565" s="1">
        <v>1672.0</v>
      </c>
      <c r="B1565" s="3" t="s">
        <v>1546</v>
      </c>
      <c r="C1565" s="3" t="str">
        <f>IFERROR(__xludf.DUMMYFUNCTION("GOOGLETRANSLATE(B1565,""id"",""en"")"),"['critical']")</f>
        <v>['critical']</v>
      </c>
      <c r="D1565" s="3">
        <v>2.0</v>
      </c>
    </row>
    <row r="1566" ht="15.75" customHeight="1">
      <c r="A1566" s="1">
        <v>1673.0</v>
      </c>
      <c r="B1566" s="3" t="s">
        <v>1547</v>
      </c>
      <c r="C1566" s="3" t="str">
        <f>IFERROR(__xludf.DUMMYFUNCTION("GOOGLETRANSLATE(B1566,""id"",""en"")"),"['APK's', 'problematic', 'kah', '']")</f>
        <v>['APK's', 'problematic', 'kah', '']</v>
      </c>
      <c r="D1566" s="3">
        <v>4.0</v>
      </c>
    </row>
    <row r="1567" ht="15.75" customHeight="1">
      <c r="A1567" s="1">
        <v>1674.0</v>
      </c>
      <c r="B1567" s="3" t="s">
        <v>1548</v>
      </c>
      <c r="C1567" s="3" t="str">
        <f>IFERROR(__xludf.DUMMYFUNCTION("GOOGLETRANSLATE(B1567,""id"",""en"")"),"['bill', 'Telkomsel', 'expensive']")</f>
        <v>['bill', 'Telkomsel', 'expensive']</v>
      </c>
      <c r="D1567" s="3">
        <v>1.0</v>
      </c>
    </row>
    <row r="1568" ht="15.75" customHeight="1">
      <c r="A1568" s="1">
        <v>1675.0</v>
      </c>
      <c r="B1568" s="3" t="s">
        <v>1549</v>
      </c>
      <c r="C1568" s="3" t="str">
        <f>IFERROR(__xludf.DUMMYFUNCTION("GOOGLETRANSLATE(B1568,""id"",""en"")"),"['App', 'good', 'really']")</f>
        <v>['App', 'good', 'really']</v>
      </c>
      <c r="D1568" s="3">
        <v>5.0</v>
      </c>
    </row>
    <row r="1569" ht="15.75" customHeight="1">
      <c r="A1569" s="1">
        <v>1676.0</v>
      </c>
      <c r="B1569" s="3" t="s">
        <v>1550</v>
      </c>
      <c r="C1569" s="3" t="str">
        <f>IFERROR(__xludf.DUMMYFUNCTION("GOOGLETRANSLATE(B1569,""id"",""en"")"),"['MyTelkomsel', 'okay']")</f>
        <v>['MyTelkomsel', 'okay']</v>
      </c>
      <c r="D1569" s="3">
        <v>5.0</v>
      </c>
    </row>
    <row r="1570" ht="15.75" customHeight="1">
      <c r="A1570" s="1">
        <v>1677.0</v>
      </c>
      <c r="B1570" s="3" t="s">
        <v>1551</v>
      </c>
      <c r="C1570" s="3" t="str">
        <f>IFERROR(__xludf.DUMMYFUNCTION("GOOGLETRANSLATE(B1570,""id"",""en"")"),"['absent', 'use', 'Telkomsel']")</f>
        <v>['absent', 'use', 'Telkomsel']</v>
      </c>
      <c r="D1570" s="3">
        <v>5.0</v>
      </c>
    </row>
    <row r="1571" ht="15.75" customHeight="1">
      <c r="A1571" s="1">
        <v>1678.0</v>
      </c>
      <c r="B1571" s="3" t="s">
        <v>1552</v>
      </c>
      <c r="C1571" s="3" t="str">
        <f>IFERROR(__xludf.DUMMYFUNCTION("GOOGLETRANSLATE(B1571,""id"",""en"")"),"['MyTelkomsel', 'opened']")</f>
        <v>['MyTelkomsel', 'opened']</v>
      </c>
      <c r="D1571" s="3">
        <v>1.0</v>
      </c>
    </row>
    <row r="1572" ht="15.75" customHeight="1">
      <c r="A1572" s="1">
        <v>1679.0</v>
      </c>
      <c r="B1572" s="3" t="s">
        <v>1553</v>
      </c>
      <c r="C1572" s="3" t="str">
        <f>IFERROR(__xludf.DUMMYFUNCTION("GOOGLETRANSLATE(B1572,""id"",""en"")"),"['mantaf', 'good', 'help']")</f>
        <v>['mantaf', 'good', 'help']</v>
      </c>
      <c r="D1572" s="3">
        <v>5.0</v>
      </c>
    </row>
    <row r="1573" ht="15.75" customHeight="1">
      <c r="A1573" s="1">
        <v>1680.0</v>
      </c>
      <c r="B1573" s="3" t="s">
        <v>1554</v>
      </c>
      <c r="C1573" s="3" t="str">
        <f>IFERROR(__xludf.DUMMYFUNCTION("GOOGLETRANSLATE(B1573,""id"",""en"")"),"['Card', 'Hello', 'Network', 'Emotion']")</f>
        <v>['Card', 'Hello', 'Network', 'Emotion']</v>
      </c>
      <c r="D1573" s="3">
        <v>1.0</v>
      </c>
    </row>
    <row r="1574" ht="15.75" customHeight="1">
      <c r="A1574" s="1">
        <v>1681.0</v>
      </c>
      <c r="B1574" s="3" t="s">
        <v>1555</v>
      </c>
      <c r="C1574" s="3" t="str">
        <f>IFERROR(__xludf.DUMMYFUNCTION("GOOGLETRANSLATE(B1574,""id"",""en"")"),"['application', 'open', '']")</f>
        <v>['application', 'open', '']</v>
      </c>
      <c r="D1574" s="3">
        <v>5.0</v>
      </c>
    </row>
    <row r="1575" ht="15.75" customHeight="1">
      <c r="A1575" s="1">
        <v>1682.0</v>
      </c>
      <c r="B1575" s="3" t="s">
        <v>1556</v>
      </c>
      <c r="C1575" s="3" t="str">
        <f>IFERROR(__xludf.DUMMYFUNCTION("GOOGLETRANSLATE(B1575,""id"",""en"")"),"['ser', 'ng', 'disappointed', 'service', 'Telkomsel', 'quota', 'bhw', 'quota', 'run out', 'quota', 'emergency', 'take', ' Credit ',' contents', 'reset', 'please', 'telkom', 'fix', 'condition', 'telkom', 'count on', 'system', 'fair']")</f>
        <v>['ser', 'ng', 'disappointed', 'service', 'Telkomsel', 'quota', 'bhw', 'quota', 'run out', 'quota', 'emergency', 'take', ' Credit ',' contents', 'reset', 'please', 'telkom', 'fix', 'condition', 'telkom', 'count on', 'system', 'fair']</v>
      </c>
      <c r="D1575" s="3">
        <v>2.0</v>
      </c>
    </row>
    <row r="1576" ht="15.75" customHeight="1">
      <c r="A1576" s="1">
        <v>1683.0</v>
      </c>
      <c r="B1576" s="3" t="s">
        <v>1557</v>
      </c>
      <c r="C1576" s="3" t="str">
        <f>IFERROR(__xludf.DUMMYFUNCTION("GOOGLETRANSLATE(B1576,""id"",""en"")"),"['apk', 'Different', 'buy', 'package', 'internet', 'package', 'maxtrime', 'watch', 'do you think', 'no', 'need', 'mending', ' Rich ',' Yesterday ',' Manyakan ',' internet ',' confused ']")</f>
        <v>['apk', 'Different', 'buy', 'package', 'internet', 'package', 'maxtrime', 'watch', 'do you think', 'no', 'need', 'mending', ' Rich ',' Yesterday ',' Manyakan ',' internet ',' confused ']</v>
      </c>
      <c r="D1576" s="3">
        <v>1.0</v>
      </c>
    </row>
    <row r="1577" ht="15.75" customHeight="1">
      <c r="A1577" s="1">
        <v>1684.0</v>
      </c>
      <c r="B1577" s="3" t="s">
        <v>1558</v>
      </c>
      <c r="C1577" s="3" t="str">
        <f>IFERROR(__xludf.DUMMYFUNCTION("GOOGLETRANSLATE(B1577,""id"",""en"")"),"['ksih', 'star', 'apk', 'login', 'hnya', 'screen', 'white', 'udh', 'normal', 'sya', 'tmbahin', 'his star', ' trguant ',' dri ',' progression ',' the application ',' good ',' smpai ',' star ',' ']")</f>
        <v>['ksih', 'star', 'apk', 'login', 'hnya', 'screen', 'white', 'udh', 'normal', 'sya', 'tmbahin', 'his star', ' trguant ',' dri ',' progression ',' the application ',' good ',' smpai ',' star ',' ']</v>
      </c>
      <c r="D1577" s="3">
        <v>1.0</v>
      </c>
    </row>
    <row r="1578" ht="15.75" customHeight="1">
      <c r="A1578" s="1">
        <v>1685.0</v>
      </c>
      <c r="B1578" s="3" t="s">
        <v>1559</v>
      </c>
      <c r="C1578" s="3" t="str">
        <f>IFERROR(__xludf.DUMMYFUNCTION("GOOGLETRANSLATE(B1578,""id"",""en"")"),"['quota', 'then', 'already', 'card', 'quota', 'expensive', 'cheap', 'ngk', 'nyampe', 'it is',' already ',' Abis', ' week']")</f>
        <v>['quota', 'then', 'already', 'card', 'quota', 'expensive', 'cheap', 'ngk', 'nyampe', 'it is',' already ',' Abis', ' week']</v>
      </c>
      <c r="D1578" s="3">
        <v>1.0</v>
      </c>
    </row>
    <row r="1579" ht="15.75" customHeight="1">
      <c r="A1579" s="1">
        <v>1686.0</v>
      </c>
      <c r="B1579" s="3" t="s">
        <v>312</v>
      </c>
      <c r="C1579" s="3" t="str">
        <f>IFERROR(__xludf.DUMMYFUNCTION("GOOGLETRANSLATE(B1579,""id"",""en"")"),"['best']")</f>
        <v>['best']</v>
      </c>
      <c r="D1579" s="3">
        <v>5.0</v>
      </c>
    </row>
    <row r="1580" ht="15.75" customHeight="1">
      <c r="A1580" s="1">
        <v>1687.0</v>
      </c>
      <c r="B1580" s="3" t="s">
        <v>478</v>
      </c>
      <c r="C1580" s="3" t="str">
        <f>IFERROR(__xludf.DUMMYFUNCTION("GOOGLETRANSLATE(B1580,""id"",""en"")"),"Of course")</f>
        <v>Of course</v>
      </c>
      <c r="D1580" s="3">
        <v>3.0</v>
      </c>
    </row>
    <row r="1581" ht="15.75" customHeight="1">
      <c r="A1581" s="1">
        <v>1688.0</v>
      </c>
      <c r="B1581" s="3" t="s">
        <v>1560</v>
      </c>
      <c r="C1581" s="3" t="str">
        <f>IFERROR(__xludf.DUMMYFUNCTION("GOOGLETRANSLATE(B1581,""id"",""en"")"),"['apk', 'okay', 'mines',' gemers', 'like', 'top', 'via', 'pulse', 'please', 'multiply', 'choice', 'exchange', ' Points', 'Telkomsel', 'Games',' Choices', 'Games',' Please ',' Drink ',' ']")</f>
        <v>['apk', 'okay', 'mines',' gemers', 'like', 'top', 'via', 'pulse', 'please', 'multiply', 'choice', 'exchange', ' Points', 'Telkomsel', 'Games',' Choices', 'Games',' Please ',' Drink ',' ']</v>
      </c>
      <c r="D1581" s="3">
        <v>4.0</v>
      </c>
    </row>
    <row r="1582" ht="15.75" customHeight="1">
      <c r="A1582" s="1">
        <v>1689.0</v>
      </c>
      <c r="B1582" s="3" t="s">
        <v>1561</v>
      </c>
      <c r="C1582" s="3" t="str">
        <f>IFERROR(__xludf.DUMMYFUNCTION("GOOGLETRANSLATE(B1582,""id"",""en"")"),"['Claim', 'Gift', 'Check', 'Daily', 'Wear', 'Costs', 'Rp', 'Reduce', 'Points', 'Please', 'Help']")</f>
        <v>['Claim', 'Gift', 'Check', 'Daily', 'Wear', 'Costs', 'Rp', 'Reduce', 'Points', 'Please', 'Help']</v>
      </c>
      <c r="D1582" s="3">
        <v>2.0</v>
      </c>
    </row>
    <row r="1583" ht="15.75" customHeight="1">
      <c r="A1583" s="1">
        <v>1690.0</v>
      </c>
      <c r="B1583" s="3" t="s">
        <v>1562</v>
      </c>
      <c r="C1583" s="3" t="str">
        <f>IFERROR(__xludf.DUMMYFUNCTION("GOOGLETRANSLATE(B1583,""id"",""en"")"),"['Multimedia', 'Chat', 'Music', 'Games',' Sosmed ',' PAS ',' Try ',' Open ',' Sosmed ',' Game ',' Stream ',' Video ',' Spotify ',' road ',' None ',' buy ',' quota ',' description ',' adequate ',' customer ',' service ',' talk ',' robot ',' fill ' , 'Credi"&amp;"t', 'Shopeepay', 'already', 'Confirmed', 'Shopeepay', 'Credit', 'Enter', 'check', 'check', 'use', 'anything', ' pulse ',' complain ',' response ',' service ',' bad ',' responsibility ']")</f>
        <v>['Multimedia', 'Chat', 'Music', 'Games',' Sosmed ',' PAS ',' Try ',' Open ',' Sosmed ',' Game ',' Stream ',' Video ',' Spotify ',' road ',' None ',' buy ',' quota ',' description ',' adequate ',' customer ',' service ',' talk ',' robot ',' fill ' , 'Credit', 'Shopeepay', 'already', 'Confirmed', 'Shopeepay', 'Credit', 'Enter', 'check', 'check', 'use', 'anything', ' pulse ',' complain ',' response ',' service ',' bad ',' responsibility ']</v>
      </c>
      <c r="D1583" s="3">
        <v>1.0</v>
      </c>
    </row>
    <row r="1584" ht="15.75" customHeight="1">
      <c r="A1584" s="1">
        <v>1691.0</v>
      </c>
      <c r="B1584" s="3" t="s">
        <v>1563</v>
      </c>
      <c r="C1584" s="3" t="str">
        <f>IFERROR(__xludf.DUMMYFUNCTION("GOOGLETRANSLATE(B1584,""id"",""en"")"),"['hope', 'package', 'data', 'expensive']")</f>
        <v>['hope', 'package', 'data', 'expensive']</v>
      </c>
      <c r="D1584" s="3">
        <v>5.0</v>
      </c>
    </row>
    <row r="1585" ht="15.75" customHeight="1">
      <c r="A1585" s="1">
        <v>1692.0</v>
      </c>
      <c r="B1585" s="3" t="s">
        <v>1564</v>
      </c>
      <c r="C1585" s="3" t="str">
        <f>IFERROR(__xludf.DUMMYFUNCTION("GOOGLETRANSLATE(B1585,""id"",""en"")"),"['Crazy', 'Redem', 'Vocer', 'Network', 'Busy', 'Severe', 'Issle', 'Take', 'Right', 'Sendirj', 'Hadehhh']")</f>
        <v>['Crazy', 'Redem', 'Vocer', 'Network', 'Busy', 'Severe', 'Issle', 'Take', 'Right', 'Sendirj', 'Hadehhh']</v>
      </c>
      <c r="D1585" s="3">
        <v>1.0</v>
      </c>
    </row>
    <row r="1586" ht="15.75" customHeight="1">
      <c r="A1586" s="1">
        <v>1693.0</v>
      </c>
      <c r="B1586" s="3" t="s">
        <v>1565</v>
      </c>
      <c r="C1586" s="3" t="str">
        <f>IFERROR(__xludf.DUMMYFUNCTION("GOOGLETRANSLATE(B1586,""id"",""en"")"),"['Alhamdulliah', 'improved']")</f>
        <v>['Alhamdulliah', 'improved']</v>
      </c>
      <c r="D1586" s="3">
        <v>5.0</v>
      </c>
    </row>
    <row r="1587" ht="15.75" customHeight="1">
      <c r="A1587" s="1">
        <v>1694.0</v>
      </c>
      <c r="B1587" s="3" t="s">
        <v>1566</v>
      </c>
      <c r="C1587" s="3" t="str">
        <f>IFERROR(__xludf.DUMMYFUNCTION("GOOGLETRANSLATE(B1587,""id"",""en"")"),"['satisfying', 'easy', 'buy', 'package', 'promo', 'promo', 'package', 'package', 'provided', 'cheap', 'basics']")</f>
        <v>['satisfying', 'easy', 'buy', 'package', 'promo', 'promo', 'package', 'package', 'provided', 'cheap', 'basics']</v>
      </c>
      <c r="D1587" s="3">
        <v>5.0</v>
      </c>
    </row>
    <row r="1588" ht="15.75" customHeight="1">
      <c r="A1588" s="1">
        <v>1695.0</v>
      </c>
      <c r="B1588" s="3" t="s">
        <v>1567</v>
      </c>
      <c r="C1588" s="3" t="str">
        <f>IFERROR(__xludf.DUMMYFUNCTION("GOOGLETRANSLATE(B1588,""id"",""en"")"),"['Irit', 'bnyak', 'choice']")</f>
        <v>['Irit', 'bnyak', 'choice']</v>
      </c>
      <c r="D1588" s="3">
        <v>5.0</v>
      </c>
    </row>
    <row r="1589" ht="15.75" customHeight="1">
      <c r="A1589" s="1">
        <v>1697.0</v>
      </c>
      <c r="B1589" s="3" t="s">
        <v>1568</v>
      </c>
      <c r="C1589" s="3" t="str">
        <f>IFERROR(__xludf.DUMMYFUNCTION("GOOGLETRANSLATE(B1589,""id"",""en"")"),"['easy', 'cheap', 'purchase', 'package', 'internet']")</f>
        <v>['easy', 'cheap', 'purchase', 'package', 'internet']</v>
      </c>
      <c r="D1589" s="3">
        <v>5.0</v>
      </c>
    </row>
    <row r="1590" ht="15.75" customHeight="1">
      <c r="A1590" s="1">
        <v>1698.0</v>
      </c>
      <c r="B1590" s="3" t="s">
        <v>1569</v>
      </c>
      <c r="C1590" s="3" t="str">
        <f>IFERROR(__xludf.DUMMYFUNCTION("GOOGLETRANSLATE(B1590,""id"",""en"")"),"['Gajelas',' Bangett ',' Fill ',' Credit ',' Enter ',' Direct ',' Buy ',' Package ',' Nelfon ',' BLM ',' second ',' enter ',' Udh ',' Kantel ',' Gajelas', 'Bangett']")</f>
        <v>['Gajelas',' Bangett ',' Fill ',' Credit ',' Enter ',' Direct ',' Buy ',' Package ',' Nelfon ',' BLM ',' second ',' enter ',' Udh ',' Kantel ',' Gajelas', 'Bangett']</v>
      </c>
      <c r="D1590" s="3">
        <v>1.0</v>
      </c>
    </row>
    <row r="1591" ht="15.75" customHeight="1">
      <c r="A1591" s="1">
        <v>1699.0</v>
      </c>
      <c r="B1591" s="3" t="s">
        <v>1570</v>
      </c>
      <c r="C1591" s="3" t="str">
        <f>IFERROR(__xludf.DUMMYFUNCTION("GOOGLETRANSLATE(B1591,""id"",""en"")"),"['Sometimes', 'like', 'slow', 'signal']")</f>
        <v>['Sometimes', 'like', 'slow', 'signal']</v>
      </c>
      <c r="D1591" s="3">
        <v>4.0</v>
      </c>
    </row>
    <row r="1592" ht="15.75" customHeight="1">
      <c r="A1592" s="1">
        <v>1700.0</v>
      </c>
      <c r="B1592" s="3" t="s">
        <v>1571</v>
      </c>
      <c r="C1592" s="3" t="str">
        <f>IFERROR(__xludf.DUMMYFUNCTION("GOOGLETRANSLATE(B1592,""id"",""en"")"),"['Network', 'Severe', 'expensive', 'Doang', 'parahhhhhh']")</f>
        <v>['Network', 'Severe', 'expensive', 'Doang', 'parahhhhhh']</v>
      </c>
      <c r="D1592" s="3">
        <v>2.0</v>
      </c>
    </row>
    <row r="1593" ht="15.75" customHeight="1">
      <c r="A1593" s="1">
        <v>1701.0</v>
      </c>
      <c r="B1593" s="3" t="s">
        <v>1572</v>
      </c>
      <c r="C1593" s="3" t="str">
        <f>IFERROR(__xludf.DUMMYFUNCTION("GOOGLETRANSLATE(B1593,""id"",""en"")"),"['', 'people', 'pulse', 'thousand', 'me', 'pulse', 'annjing', 'really', 'Telkomsel', 'said', 'I', 'routine', 'buy ',' package ',' expensive ',' rare ',' buy ',' package ',' cheap ',' emang ',' said ',' Telkomsel ',' mending ',' me ',' make ', 'Indosat']")</f>
        <v>['', 'people', 'pulse', 'thousand', 'me', 'pulse', 'annjing', 'really', 'Telkomsel', 'said', 'I', 'routine', 'buy ',' package ',' expensive ',' rare ',' buy ',' package ',' cheap ',' emang ',' said ',' Telkomsel ',' mending ',' me ',' make ', 'Indosat']</v>
      </c>
      <c r="D1593" s="3">
        <v>1.0</v>
      </c>
    </row>
    <row r="1594" ht="15.75" customHeight="1">
      <c r="A1594" s="1">
        <v>1702.0</v>
      </c>
      <c r="B1594" s="3" t="s">
        <v>1573</v>
      </c>
      <c r="C1594" s="3" t="str">
        <f>IFERROR(__xludf.DUMMYFUNCTION("GOOGLETRANSLATE(B1594,""id"",""en"")"),"['quota', 'Multimedia', 'Kekeke', 'YouTube', 'this is',' quota ',' main ',' dluan ',' abis', 'already', 'quota', 'multimedia', ' Doang ',' Hard ',' Hadeh ']")</f>
        <v>['quota', 'Multimedia', 'Kekeke', 'YouTube', 'this is',' quota ',' main ',' dluan ',' abis', 'already', 'quota', 'multimedia', ' Doang ',' Hard ',' Hadeh ']</v>
      </c>
      <c r="D1594" s="3">
        <v>2.0</v>
      </c>
    </row>
    <row r="1595" ht="15.75" customHeight="1">
      <c r="A1595" s="1">
        <v>1703.0</v>
      </c>
      <c r="B1595" s="3" t="s">
        <v>1574</v>
      </c>
      <c r="C1595" s="3" t="str">
        <f>IFERROR(__xludf.DUMMYFUNCTION("GOOGLETRANSLATE(B1595,""id"",""en"")"),"['Network', 'ugly', 'really', '']")</f>
        <v>['Network', 'ugly', 'really', '']</v>
      </c>
      <c r="D1595" s="3">
        <v>1.0</v>
      </c>
    </row>
    <row r="1596" ht="15.75" customHeight="1">
      <c r="A1596" s="1">
        <v>1704.0</v>
      </c>
      <c r="B1596" s="3" t="s">
        <v>1575</v>
      </c>
      <c r="C1596" s="3" t="str">
        <f>IFERROR(__xludf.DUMMYFUNCTION("GOOGLETRANSLATE(B1596,""id"",""en"")"),"['Error', 'Package', 'Different', 'bought', 'Complained', 'Pulak', 'Please', 'Repaired', 'Thank you']")</f>
        <v>['Error', 'Package', 'Different', 'bought', 'Complained', 'Pulak', 'Please', 'Repaired', 'Thank you']</v>
      </c>
      <c r="D1596" s="3">
        <v>1.0</v>
      </c>
    </row>
    <row r="1597" ht="15.75" customHeight="1">
      <c r="A1597" s="1">
        <v>1705.0</v>
      </c>
      <c r="B1597" s="3" t="s">
        <v>1576</v>
      </c>
      <c r="C1597" s="3" t="str">
        <f>IFERROR(__xludf.DUMMYFUNCTION("GOOGLETRANSLATE(B1597,""id"",""en"")"),"['', 'APK', 'signal']")</f>
        <v>['', 'APK', 'signal']</v>
      </c>
      <c r="D1597" s="3">
        <v>1.0</v>
      </c>
    </row>
    <row r="1598" ht="15.75" customHeight="1">
      <c r="A1598" s="1">
        <v>1706.0</v>
      </c>
      <c r="B1598" s="3" t="s">
        <v>619</v>
      </c>
      <c r="C1598" s="3" t="str">
        <f>IFERROR(__xludf.DUMMYFUNCTION("GOOGLETRANSLATE(B1598,""id"",""en"")"),"['Good', 'help']")</f>
        <v>['Good', 'help']</v>
      </c>
      <c r="D1598" s="3">
        <v>4.0</v>
      </c>
    </row>
    <row r="1599" ht="15.75" customHeight="1">
      <c r="A1599" s="1">
        <v>1707.0</v>
      </c>
      <c r="B1599" s="3" t="s">
        <v>1577</v>
      </c>
      <c r="C1599" s="3" t="str">
        <f>IFERROR(__xludf.DUMMYFUNCTION("GOOGLETRANSLATE(B1599,""id"",""en"")"),"['Mehong', 'expensive', 'price']")</f>
        <v>['Mehong', 'expensive', 'price']</v>
      </c>
      <c r="D1599" s="3">
        <v>1.0</v>
      </c>
    </row>
    <row r="1600" ht="15.75" customHeight="1">
      <c r="A1600" s="1">
        <v>1708.0</v>
      </c>
      <c r="B1600" s="3" t="s">
        <v>1578</v>
      </c>
      <c r="C1600" s="3" t="str">
        <f>IFERROR(__xludf.DUMMYFUNCTION("GOOGLETRANSLATE(B1600,""id"",""en"")"),"['package', 'expensive', 'signal', 'kayak', 'babijjjjjjjj']")</f>
        <v>['package', 'expensive', 'signal', 'kayak', 'babijjjjjjjj']</v>
      </c>
      <c r="D1600" s="3">
        <v>1.0</v>
      </c>
    </row>
    <row r="1601" ht="15.75" customHeight="1">
      <c r="A1601" s="1">
        <v>1709.0</v>
      </c>
      <c r="B1601" s="3" t="s">
        <v>1579</v>
      </c>
      <c r="C1601" s="3" t="str">
        <f>IFERROR(__xludf.DUMMYFUNCTION("GOOGLETRANSLATE(B1601,""id"",""en"")"),"['Sis', 'APK', 'opened']")</f>
        <v>['Sis', 'APK', 'opened']</v>
      </c>
      <c r="D1601" s="3">
        <v>5.0</v>
      </c>
    </row>
    <row r="1602" ht="15.75" customHeight="1">
      <c r="A1602" s="1">
        <v>1710.0</v>
      </c>
      <c r="B1602" s="3" t="s">
        <v>1580</v>
      </c>
      <c r="C1602" s="3" t="str">
        <f>IFERROR(__xludf.DUMMYFUNCTION("GOOGLETRANSLATE(B1602,""id"",""en"")"),"['The network', 'slow', 'already', 'upgrade', 'card', 'Hello', 'slow', 'feeling', 'bad', 'network']")</f>
        <v>['The network', 'slow', 'already', 'upgrade', 'card', 'Hello', 'slow', 'feeling', 'bad', 'network']</v>
      </c>
      <c r="D1602" s="3">
        <v>1.0</v>
      </c>
    </row>
    <row r="1603" ht="15.75" customHeight="1">
      <c r="A1603" s="1">
        <v>1711.0</v>
      </c>
      <c r="B1603" s="3" t="s">
        <v>1581</v>
      </c>
      <c r="C1603" s="3" t="str">
        <f>IFERROR(__xludf.DUMMYFUNCTION("GOOGLETRANSLATE(B1603,""id"",""en"")"),"['Ease', 'Enhanced', 'Communication', 'Related', 'Problems',' Regarding ',' Telkomsel ',' In ',' Chat ',' Application ',' Telkomsel ',' Fast ',' response ',' thank ',' love ']")</f>
        <v>['Ease', 'Enhanced', 'Communication', 'Related', 'Problems',' Regarding ',' Telkomsel ',' In ',' Chat ',' Application ',' Telkomsel ',' Fast ',' response ',' thank ',' love ']</v>
      </c>
      <c r="D1603" s="3">
        <v>5.0</v>
      </c>
    </row>
    <row r="1604" ht="15.75" customHeight="1">
      <c r="A1604" s="1">
        <v>1712.0</v>
      </c>
      <c r="B1604" s="3" t="s">
        <v>1582</v>
      </c>
      <c r="C1604" s="3" t="str">
        <f>IFERROR(__xludf.DUMMYFUNCTION("GOOGLETRANSLATE(B1604,""id"",""en"")"),"['Package', 'Out', 'Credit', 'Sumpot', 'Direct', 'Out']")</f>
        <v>['Package', 'Out', 'Credit', 'Sumpot', 'Direct', 'Out']</v>
      </c>
      <c r="D1604" s="3">
        <v>1.0</v>
      </c>
    </row>
    <row r="1605" ht="15.75" customHeight="1">
      <c r="A1605" s="1">
        <v>1713.0</v>
      </c>
      <c r="B1605" s="3" t="s">
        <v>1583</v>
      </c>
      <c r="C1605" s="3" t="str">
        <f>IFERROR(__xludf.DUMMYFUNCTION("GOOGLETRANSLATE(B1605,""id"",""en"")"),"['Please', 'Tight', 'Network', 'User', 'Telkomsel', 'Comfortable', 'Price', 'Doang', 'Expensive', 'Network', 'ugly']")</f>
        <v>['Please', 'Tight', 'Network', 'User', 'Telkomsel', 'Comfortable', 'Price', 'Doang', 'Expensive', 'Network', 'ugly']</v>
      </c>
      <c r="D1605" s="3">
        <v>1.0</v>
      </c>
    </row>
    <row r="1606" ht="15.75" customHeight="1">
      <c r="A1606" s="1">
        <v>1714.0</v>
      </c>
      <c r="B1606" s="3" t="s">
        <v>1584</v>
      </c>
      <c r="C1606" s="3" t="str">
        <f>IFERROR(__xludf.DUMMYFUNCTION("GOOGLETRANSLATE(B1606,""id"",""en"")"),"['network', 'widest', 'signal', 'strong']")</f>
        <v>['network', 'widest', 'signal', 'strong']</v>
      </c>
      <c r="D1606" s="3">
        <v>5.0</v>
      </c>
    </row>
    <row r="1607" ht="15.75" customHeight="1">
      <c r="A1607" s="1">
        <v>1715.0</v>
      </c>
      <c r="B1607" s="3" t="s">
        <v>1585</v>
      </c>
      <c r="C1607" s="3" t="str">
        <f>IFERROR(__xludf.DUMMYFUNCTION("GOOGLETRANSLATE(B1607,""id"",""en"")"),"['opportunity', 'extend', 'subscription', 'internet', 'Telkomsel', 'choose', 'package', 'direct', 'cut', 'truncated', 'rupiah', 'active', ' The Internet ',' Out ',' Enter ',' App ',' Telkomsel ',' Divert ',' Use ',' Data ',' Credit ',' Regular ',' Complai"&amp;"nts', 'Understand', 'Telkomsel' , 'disappointed', '']")</f>
        <v>['opportunity', 'extend', 'subscription', 'internet', 'Telkomsel', 'choose', 'package', 'direct', 'cut', 'truncated', 'rupiah', 'active', ' The Internet ',' Out ',' Enter ',' App ',' Telkomsel ',' Divert ',' Use ',' Data ',' Credit ',' Regular ',' Complaints', 'Understand', 'Telkomsel' , 'disappointed', '']</v>
      </c>
      <c r="D1607" s="3">
        <v>1.0</v>
      </c>
    </row>
    <row r="1608" ht="15.75" customHeight="1">
      <c r="A1608" s="1">
        <v>1716.0</v>
      </c>
      <c r="B1608" s="3" t="s">
        <v>1586</v>
      </c>
      <c r="C1608" s="3" t="str">
        <f>IFERROR(__xludf.DUMMYFUNCTION("GOOGLETRANSLATE(B1608,""id"",""en"")"),"['Application', 'MyTemkomsel', 'Different', 'Application', 'Provider', 'Service', 'Network', 'Application', 'MyTemkomsel', 'Simple', 'Profitable', 'Purchase', ' Package ',' Dial ',' Number ',' ']")</f>
        <v>['Application', 'MyTemkomsel', 'Different', 'Application', 'Provider', 'Service', 'Network', 'Application', 'MyTemkomsel', 'Simple', 'Profitable', 'Purchase', ' Package ',' Dial ',' Number ',' ']</v>
      </c>
      <c r="D1608" s="3">
        <v>5.0</v>
      </c>
    </row>
    <row r="1609" ht="15.75" customHeight="1">
      <c r="A1609" s="1">
        <v>1717.0</v>
      </c>
      <c r="B1609" s="3" t="s">
        <v>1587</v>
      </c>
      <c r="C1609" s="3" t="str">
        <f>IFERROR(__xludf.DUMMYFUNCTION("GOOGLETRANSLATE(B1609,""id"",""en"")"),"['iyah', 'take', 'package', 'system', 'busy', 'mulu', 'his writing', 'application', 'really', 'please', 'fix']")</f>
        <v>['iyah', 'take', 'package', 'system', 'busy', 'mulu', 'his writing', 'application', 'really', 'please', 'fix']</v>
      </c>
      <c r="D1609" s="3">
        <v>1.0</v>
      </c>
    </row>
    <row r="1610" ht="15.75" customHeight="1">
      <c r="A1610" s="1">
        <v>1718.0</v>
      </c>
      <c r="B1610" s="3" t="s">
        <v>1588</v>
      </c>
      <c r="C1610" s="3" t="str">
        <f>IFERROR(__xludf.DUMMYFUNCTION("GOOGLETRANSLATE(B1610,""id"",""en"")"),"['Price', 'package', 'expensive']")</f>
        <v>['Price', 'package', 'expensive']</v>
      </c>
      <c r="D1610" s="3">
        <v>1.0</v>
      </c>
    </row>
    <row r="1611" ht="15.75" customHeight="1">
      <c r="A1611" s="1">
        <v>1719.0</v>
      </c>
      <c r="B1611" s="3" t="s">
        <v>1589</v>
      </c>
      <c r="C1611" s="3" t="str">
        <f>IFERROR(__xludf.DUMMYFUNCTION("GOOGLETRANSLATE(B1611,""id"",""en"")"),"['The lottery', 'exchange', 'coin', 'bnyak', 'result', 'access it', 'hahaha', ""]")</f>
        <v>['The lottery', 'exchange', 'coin', 'bnyak', 'result', 'access it', 'hahaha', "]</v>
      </c>
      <c r="D1611" s="3">
        <v>1.0</v>
      </c>
    </row>
    <row r="1612" ht="15.75" customHeight="1">
      <c r="A1612" s="1">
        <v>1720.0</v>
      </c>
      <c r="B1612" s="3" t="s">
        <v>1590</v>
      </c>
      <c r="C1612" s="3" t="str">
        <f>IFERROR(__xludf.DUMMYFUNCTION("GOOGLETRANSLATE(B1612,""id"",""en"")"),"['Nga', 'Open']")</f>
        <v>['Nga', 'Open']</v>
      </c>
      <c r="D1612" s="3">
        <v>1.0</v>
      </c>
    </row>
    <row r="1613" ht="15.75" customHeight="1">
      <c r="A1613" s="1">
        <v>1721.0</v>
      </c>
      <c r="B1613" s="3" t="s">
        <v>1167</v>
      </c>
      <c r="C1613" s="3" t="str">
        <f>IFERROR(__xludf.DUMMYFUNCTION("GOOGLETRANSLATE(B1613,""id"",""en"")"),"['help']")</f>
        <v>['help']</v>
      </c>
      <c r="D1613" s="3">
        <v>5.0</v>
      </c>
    </row>
    <row r="1614" ht="15.75" customHeight="1">
      <c r="A1614" s="1">
        <v>1722.0</v>
      </c>
      <c r="B1614" s="3" t="s">
        <v>1591</v>
      </c>
      <c r="C1614" s="3" t="str">
        <f>IFERROR(__xludf.DUMMYFUNCTION("GOOGLETRANSLATE(B1614,""id"",""en"")"),"['Disappointed', 'Telkomsel', 'the network', 'ugly', 'play', 'game', 'red', 'lgi', 'clock', 'night', 'gax', 'burn', ' Tower ',' Telkomsel ']")</f>
        <v>['Disappointed', 'Telkomsel', 'the network', 'ugly', 'play', 'game', 'red', 'lgi', 'clock', 'night', 'gax', 'burn', ' Tower ',' Telkomsel ']</v>
      </c>
      <c r="D1614" s="3">
        <v>1.0</v>
      </c>
    </row>
    <row r="1615" ht="15.75" customHeight="1">
      <c r="A1615" s="1">
        <v>1723.0</v>
      </c>
      <c r="B1615" s="3" t="s">
        <v>1592</v>
      </c>
      <c r="C1615" s="3" t="str">
        <f>IFERROR(__xludf.DUMMYFUNCTION("GOOGLETRANSLATE(B1615,""id"",""en"")"),"['Update', 'the latest', 'opened', 'Samsung', 'Install', 'version']")</f>
        <v>['Update', 'the latest', 'opened', 'Samsung', 'Install', 'version']</v>
      </c>
      <c r="D1615" s="3">
        <v>3.0</v>
      </c>
    </row>
    <row r="1616" ht="15.75" customHeight="1">
      <c r="A1616" s="1">
        <v>1724.0</v>
      </c>
      <c r="B1616" s="3" t="s">
        <v>1593</v>
      </c>
      <c r="C1616" s="3" t="str">
        <f>IFERROR(__xludf.DUMMYFUNCTION("GOOGLETRANSLATE(B1616,""id"",""en"")"),"['Update', 'Application', 'Telkomsel', 'Delete', 'Download', 'reset', 'open', 'Embossed', 'screen', 'White', ""]")</f>
        <v>['Update', 'Application', 'Telkomsel', 'Delete', 'Download', 'reset', 'open', 'Embossed', 'screen', 'White', "]</v>
      </c>
      <c r="D1616" s="3">
        <v>2.0</v>
      </c>
    </row>
    <row r="1617" ht="15.75" customHeight="1">
      <c r="A1617" s="1">
        <v>1725.0</v>
      </c>
      <c r="B1617" s="3" t="s">
        <v>1594</v>
      </c>
      <c r="C1617" s="3" t="str">
        <f>IFERROR(__xludf.DUMMYFUNCTION("GOOGLETRANSLATE(B1617,""id"",""en"")"),"['apan', 'notice', 'quota', 'reduced', 'Telkom', 'ugly']")</f>
        <v>['apan', 'notice', 'quota', 'reduced', 'Telkom', 'ugly']</v>
      </c>
      <c r="D1617" s="3">
        <v>2.0</v>
      </c>
    </row>
    <row r="1618" ht="15.75" customHeight="1">
      <c r="A1618" s="1">
        <v>1726.0</v>
      </c>
      <c r="B1618" s="3" t="s">
        <v>1595</v>
      </c>
      <c r="C1618" s="3" t="str">
        <f>IFERROR(__xludf.DUMMYFUNCTION("GOOGLETRANSLATE(B1618,""id"",""en"")"),"['Easy', 'transact', 'MyTelkomsel']")</f>
        <v>['Easy', 'transact', 'MyTelkomsel']</v>
      </c>
      <c r="D1618" s="3">
        <v>5.0</v>
      </c>
    </row>
    <row r="1619" ht="15.75" customHeight="1">
      <c r="A1619" s="1">
        <v>1727.0</v>
      </c>
      <c r="B1619" s="3" t="s">
        <v>1596</v>
      </c>
      <c r="C1619" s="3" t="str">
        <f>IFERROR(__xludf.DUMMYFUNCTION("GOOGLETRANSLATE(B1619,""id"",""en"")"),"['', 'dowload', 'application', 'Telkomsel', 'open', 'please', 'help', 'mksh']")</f>
        <v>['', 'dowload', 'application', 'Telkomsel', 'open', 'please', 'help', 'mksh']</v>
      </c>
      <c r="D1619" s="3">
        <v>2.0</v>
      </c>
    </row>
    <row r="1620" ht="15.75" customHeight="1">
      <c r="A1620" s="1">
        <v>1729.0</v>
      </c>
      <c r="B1620" s="3" t="s">
        <v>1597</v>
      </c>
      <c r="C1620" s="3" t="str">
        <f>IFERROR(__xludf.DUMMYFUNCTION("GOOGLETRANSLATE(B1620,""id"",""en"")"),"['Informative', 'help']")</f>
        <v>['Informative', 'help']</v>
      </c>
      <c r="D1620" s="3">
        <v>5.0</v>
      </c>
    </row>
    <row r="1621" ht="15.75" customHeight="1">
      <c r="A1621" s="1">
        <v>1730.0</v>
      </c>
      <c r="B1621" s="3" t="s">
        <v>1598</v>
      </c>
      <c r="C1621" s="3" t="str">
        <f>IFERROR(__xludf.DUMMYFUNCTION("GOOGLETRANSLATE(B1621,""id"",""en"")"),"['Ad', 'annoying', 'at the time', 'play', 'game']")</f>
        <v>['Ad', 'annoying', 'at the time', 'play', 'game']</v>
      </c>
      <c r="D1621" s="3">
        <v>1.0</v>
      </c>
    </row>
    <row r="1622" ht="15.75" customHeight="1">
      <c r="A1622" s="1">
        <v>1731.0</v>
      </c>
      <c r="B1622" s="3" t="s">
        <v>1599</v>
      </c>
      <c r="C1622" s="3" t="str">
        <f>IFERROR(__xludf.DUMMYFUNCTION("GOOGLETRANSLATE(B1622,""id"",""en"")"),"['Good', 'May', 'Telkomsel', 'buy', 'quota', 'pulse', 'point', 'exchange', 'type', 'anything', 'gift']")</f>
        <v>['Good', 'May', 'Telkomsel', 'buy', 'quota', 'pulse', 'point', 'exchange', 'type', 'anything', 'gift']</v>
      </c>
      <c r="D1622" s="3">
        <v>5.0</v>
      </c>
    </row>
    <row r="1623" ht="15.75" customHeight="1">
      <c r="A1623" s="1">
        <v>1732.0</v>
      </c>
      <c r="B1623" s="3" t="s">
        <v>1600</v>
      </c>
      <c r="C1623" s="3" t="str">
        <f>IFERROR(__xludf.DUMMYFUNCTION("GOOGLETRANSLATE(B1623,""id"",""en"")"),"['Sorry', 'Telkomsel', 'Card', 'Telkomsel', 'Network', 'Telkomsel', 'Severe', 'Credit', 'ilang', 'Where', 'Consider', 'Relax', ' Skrng ',' Package ',' Telkomsel ',' expensive ',' The network ',' Disappointed ',' Buy ',' Package ',' Call ',' Buy ']")</f>
        <v>['Sorry', 'Telkomsel', 'Card', 'Telkomsel', 'Network', 'Telkomsel', 'Severe', 'Credit', 'ilang', 'Where', 'Consider', 'Relax', ' Skrng ',' Package ',' Telkomsel ',' expensive ',' The network ',' Disappointed ',' Buy ',' Package ',' Call ',' Buy ']</v>
      </c>
      <c r="D1623" s="3">
        <v>1.0</v>
      </c>
    </row>
    <row r="1624" ht="15.75" customHeight="1">
      <c r="A1624" s="1">
        <v>1733.0</v>
      </c>
      <c r="B1624" s="3" t="s">
        <v>1601</v>
      </c>
      <c r="C1624" s="3" t="str">
        <f>IFERROR(__xludf.DUMMYFUNCTION("GOOGLETRANSLATE(B1624,""id"",""en"")"),"['open']")</f>
        <v>['open']</v>
      </c>
      <c r="D1624" s="3">
        <v>3.0</v>
      </c>
    </row>
    <row r="1625" ht="15.75" customHeight="1">
      <c r="A1625" s="1">
        <v>1734.0</v>
      </c>
      <c r="B1625" s="3" t="s">
        <v>1602</v>
      </c>
      <c r="C1625" s="3" t="str">
        <f>IFERROR(__xludf.DUMMYFUNCTION("GOOGLETRANSLATE(B1625,""id"",""en"")"),"['Thank "",' Love ',' Telkomsel ',' Waiting ',' Hahahaha ',' Success', 'Telkomsel',""]")</f>
        <v>['Thank ",' Love ',' Telkomsel ',' Waiting ',' Hahahaha ',' Success', 'Telkomsel',"]</v>
      </c>
      <c r="D1625" s="3">
        <v>5.0</v>
      </c>
    </row>
    <row r="1626" ht="15.75" customHeight="1">
      <c r="A1626" s="1">
        <v>1735.0</v>
      </c>
      <c r="B1626" s="3" t="s">
        <v>1603</v>
      </c>
      <c r="C1626" s="3" t="str">
        <f>IFERROR(__xludf.DUMMYFUNCTION("GOOGLETRANSLATE(B1626,""id"",""en"")"),"['Network', 'slow', 'already', 'expensive', 'slow']")</f>
        <v>['Network', 'slow', 'already', 'expensive', 'slow']</v>
      </c>
      <c r="D1626" s="3">
        <v>1.0</v>
      </c>
    </row>
    <row r="1627" ht="15.75" customHeight="1">
      <c r="A1627" s="1">
        <v>1736.0</v>
      </c>
      <c r="B1627" s="3" t="s">
        <v>1604</v>
      </c>
      <c r="C1627" s="3" t="str">
        <f>IFERROR(__xludf.DUMMYFUNCTION("GOOGLETRANSLATE(B1627,""id"",""en"")"),"['suggestion', 'package', 'divided', 'buy', 'think', 'times', 'because' package ',' watch it ',' package ',' dipake ',' outside ',' application ',' watch ',' service ',' already ',' good ',' times', 'assisted', 'veronika', 'quality', 'network', 'already',"&amp;" 'good', 'dependent' , 'weather', '']")</f>
        <v>['suggestion', 'package', 'divided', 'buy', 'think', 'times', 'because' package ',' watch it ',' package ',' dipake ',' outside ',' application ',' watch ',' service ',' already ',' good ',' times', 'assisted', 'veronika', 'quality', 'network', 'already', 'good', 'dependent' , 'weather', '']</v>
      </c>
      <c r="D1627" s="3">
        <v>5.0</v>
      </c>
    </row>
    <row r="1628" ht="15.75" customHeight="1">
      <c r="A1628" s="1">
        <v>1737.0</v>
      </c>
      <c r="B1628" s="3" t="s">
        <v>1605</v>
      </c>
      <c r="C1628" s="3" t="str">
        <f>IFERROR(__xludf.DUMMYFUNCTION("GOOGLETRANSLATE(B1628,""id"",""en"")"),"['Ouch', 'quality', 'signal', 'bad', 'really', '']")</f>
        <v>['Ouch', 'quality', 'signal', 'bad', 'really', '']</v>
      </c>
      <c r="D1628" s="3">
        <v>1.0</v>
      </c>
    </row>
    <row r="1629" ht="15.75" customHeight="1">
      <c r="A1629" s="1">
        <v>1738.0</v>
      </c>
      <c r="B1629" s="3" t="s">
        <v>1606</v>
      </c>
      <c r="C1629" s="3" t="str">
        <f>IFERROR(__xludf.DUMMYFUNCTION("GOOGLETRANSLATE(B1629,""id"",""en"")"),"['knapa', 'update', 'apk', 'mytelpomsel', 'open', 'disappointed', ""]")</f>
        <v>['knapa', 'update', 'apk', 'mytelpomsel', 'open', 'disappointed', "]</v>
      </c>
      <c r="D1629" s="3">
        <v>3.0</v>
      </c>
    </row>
    <row r="1630" ht="15.75" customHeight="1">
      <c r="A1630" s="1">
        <v>1739.0</v>
      </c>
      <c r="B1630" s="3" t="s">
        <v>1607</v>
      </c>
      <c r="C1630" s="3" t="str">
        <f>IFERROR(__xludf.DUMMYFUNCTION("GOOGLETRANSLATE(B1630,""id"",""en"")"),"['steady', 'share', 'gift', 'times', 'car', '']")</f>
        <v>['steady', 'share', 'gift', 'times', 'car', '']</v>
      </c>
      <c r="D1630" s="3">
        <v>5.0</v>
      </c>
    </row>
    <row r="1631" ht="15.75" customHeight="1">
      <c r="A1631" s="1">
        <v>1740.0</v>
      </c>
      <c r="B1631" s="3" t="s">
        <v>1608</v>
      </c>
      <c r="C1631" s="3" t="str">
        <f>IFERROR(__xludf.DUMMYFUNCTION("GOOGLETRANSLATE(B1631,""id"",""en"")"),"['Paketan', 'Worst', 'Telkomsel', 'Main', 'Game', 'Network', 'Bad', 'Stop', 'Subscriptions', 'Delete', 'Application', 'Bad']")</f>
        <v>['Paketan', 'Worst', 'Telkomsel', 'Main', 'Game', 'Network', 'Bad', 'Stop', 'Subscriptions', 'Delete', 'Application', 'Bad']</v>
      </c>
      <c r="D1631" s="3">
        <v>1.0</v>
      </c>
    </row>
    <row r="1632" ht="15.75" customHeight="1">
      <c r="A1632" s="1">
        <v>1742.0</v>
      </c>
      <c r="B1632" s="3" t="s">
        <v>1609</v>
      </c>
      <c r="C1632" s="3" t="str">
        <f>IFERROR(__xludf.DUMMYFUNCTION("GOOGLETRANSLATE(B1632,""id"",""en"")"),"['Signal', 'Telkomsel', 'ugly', 'gini', 'disorder', 'rain', 'little', 'disruption', 'Telkomsel', 'party', 'Lampung', 'east']")</f>
        <v>['Signal', 'Telkomsel', 'ugly', 'gini', 'disorder', 'rain', 'little', 'disruption', 'Telkomsel', 'party', 'Lampung', 'east']</v>
      </c>
      <c r="D1632" s="3">
        <v>1.0</v>
      </c>
    </row>
    <row r="1633" ht="15.75" customHeight="1">
      <c r="A1633" s="1">
        <v>1743.0</v>
      </c>
      <c r="B1633" s="3" t="s">
        <v>1610</v>
      </c>
      <c r="C1633" s="3" t="str">
        <f>IFERROR(__xludf.DUMMYFUNCTION("GOOGLETRANSLATE(B1633,""id"",""en"")"),"['Paketan', 'expensive', 'network', 'abal', 'abal', 'yuk', 'replace', 'provider']")</f>
        <v>['Paketan', 'expensive', 'network', 'abal', 'abal', 'yuk', 'replace', 'provider']</v>
      </c>
      <c r="D1633" s="3">
        <v>1.0</v>
      </c>
    </row>
    <row r="1634" ht="15.75" customHeight="1">
      <c r="A1634" s="1">
        <v>1744.0</v>
      </c>
      <c r="B1634" s="3" t="s">
        <v>1611</v>
      </c>
      <c r="C1634" s="3" t="str">
        <f>IFERROR(__xludf.DUMMYFUNCTION("GOOGLETRANSLATE(B1634,""id"",""en"")"),"['connection', 'internet', 'sometimes', 'directly', 'lag', 'sometimes', 'ugly', 'price', 'expensive', 'quality', 'cheap', '']")</f>
        <v>['connection', 'internet', 'sometimes', 'directly', 'lag', 'sometimes', 'ugly', 'price', 'expensive', 'quality', 'cheap', '']</v>
      </c>
      <c r="D1634" s="3">
        <v>1.0</v>
      </c>
    </row>
    <row r="1635" ht="15.75" customHeight="1">
      <c r="A1635" s="1">
        <v>1745.0</v>
      </c>
      <c r="B1635" s="3" t="s">
        <v>1612</v>
      </c>
      <c r="C1635" s="3" t="str">
        <f>IFERROR(__xludf.DUMMYFUNCTION("GOOGLETRANSLATE(B1635,""id"",""en"")"),"['easy', 'buy', 'package', 'internet', 'mantab', 'basics']")</f>
        <v>['easy', 'buy', 'package', 'internet', 'mantab', 'basics']</v>
      </c>
      <c r="D1635" s="3">
        <v>4.0</v>
      </c>
    </row>
    <row r="1636" ht="15.75" customHeight="1">
      <c r="A1636" s="1">
        <v>1746.0</v>
      </c>
      <c r="B1636" s="3" t="s">
        <v>1613</v>
      </c>
      <c r="C1636" s="3" t="str">
        <f>IFERROR(__xludf.DUMMYFUNCTION("GOOGLETRANSLATE(B1636,""id"",""en"")"),"['Telkomsel', 'mainstay', 'network', 'trrrmudah', 'TERRR', 'fast']")</f>
        <v>['Telkomsel', 'mainstay', 'network', 'trrrmudah', 'TERRR', 'fast']</v>
      </c>
      <c r="D1636" s="3">
        <v>5.0</v>
      </c>
    </row>
    <row r="1637" ht="15.75" customHeight="1">
      <c r="A1637" s="1">
        <v>1747.0</v>
      </c>
      <c r="B1637" s="3" t="s">
        <v>1614</v>
      </c>
      <c r="C1637" s="3" t="str">
        <f>IFERROR(__xludf.DUMMYFUNCTION("GOOGLETRANSLATE(B1637,""id"",""en"")"),"['Telkomsel', 'signal', 'rich', 'card', 'slow', 'baget']")</f>
        <v>['Telkomsel', 'signal', 'rich', 'card', 'slow', 'baget']</v>
      </c>
      <c r="D1637" s="3">
        <v>1.0</v>
      </c>
    </row>
    <row r="1638" ht="15.75" customHeight="1">
      <c r="A1638" s="1">
        <v>1748.0</v>
      </c>
      <c r="B1638" s="3" t="s">
        <v>1615</v>
      </c>
      <c r="C1638" s="3" t="str">
        <f>IFERROR(__xludf.DUMMYFUNCTION("GOOGLETRANSLATE(B1638,""id"",""en"")"),"['APK', 'opened', 'PDHL', 'UDH', 'Update', ""]")</f>
        <v>['APK', 'opened', 'PDHL', 'UDH', 'Update', "]</v>
      </c>
      <c r="D1638" s="3">
        <v>1.0</v>
      </c>
    </row>
    <row r="1639" ht="15.75" customHeight="1">
      <c r="A1639" s="1">
        <v>1749.0</v>
      </c>
      <c r="B1639" s="3" t="s">
        <v>1616</v>
      </c>
      <c r="C1639" s="3" t="str">
        <f>IFERROR(__xludf.DUMMYFUNCTION("GOOGLETRANSLATE(B1639,""id"",""en"")"),"['Signal', 'Network', 'Telkomsel', 'in the city', 'doubt', 'Diesa', 'weak', 'reach']")</f>
        <v>['Signal', 'Network', 'Telkomsel', 'in the city', 'doubt', 'Diesa', 'weak', 'reach']</v>
      </c>
      <c r="D1639" s="3">
        <v>5.0</v>
      </c>
    </row>
    <row r="1640" ht="15.75" customHeight="1">
      <c r="A1640" s="1">
        <v>1750.0</v>
      </c>
      <c r="B1640" s="3" t="s">
        <v>1617</v>
      </c>
      <c r="C1640" s="3" t="str">
        <f>IFERROR(__xludf.DUMMYFUNCTION("GOOGLETRANSLATE(B1640,""id"",""en"")"),"['network', 'error', 'play', 'game', 'play', 'sosmed', 'nge', 'reply', 'bot', 'operator']")</f>
        <v>['network', 'error', 'play', 'game', 'play', 'sosmed', 'nge', 'reply', 'bot', 'operator']</v>
      </c>
      <c r="D1640" s="3">
        <v>1.0</v>
      </c>
    </row>
    <row r="1641" ht="15.75" customHeight="1">
      <c r="A1641" s="1">
        <v>1751.0</v>
      </c>
      <c r="B1641" s="3" t="s">
        <v>1618</v>
      </c>
      <c r="C1641" s="3" t="str">
        <f>IFERROR(__xludf.DUMMYFUNCTION("GOOGLETRANSLATE(B1641,""id"",""en"")"),"['', 'matched', 'entertainment', 'good', 'no', 'try']")</f>
        <v>['', 'matched', 'entertainment', 'good', 'no', 'try']</v>
      </c>
      <c r="D1641" s="3">
        <v>5.0</v>
      </c>
    </row>
    <row r="1642" ht="15.75" customHeight="1">
      <c r="A1642" s="1">
        <v>1753.0</v>
      </c>
      <c r="B1642" s="3" t="s">
        <v>1619</v>
      </c>
      <c r="C1642" s="3" t="str">
        <f>IFERROR(__xludf.DUMMYFUNCTION("GOOGLETRANSLATE(B1642,""id"",""en"")"),"['Hopefully', 'Engine', 'Good', 'Success', 'Increases', 'Should', 'Judgment', 'Hopefully', 'Proven', 'Hadia', 'Amin']")</f>
        <v>['Hopefully', 'Engine', 'Good', 'Success', 'Increases', 'Should', 'Judgment', 'Hopefully', 'Proven', 'Hadia', 'Amin']</v>
      </c>
      <c r="D1642" s="3">
        <v>5.0</v>
      </c>
    </row>
    <row r="1643" ht="15.75" customHeight="1">
      <c r="A1643" s="1">
        <v>1754.0</v>
      </c>
      <c r="B1643" s="3" t="s">
        <v>1620</v>
      </c>
      <c r="C1643" s="3" t="str">
        <f>IFERROR(__xludf.DUMMYFUNCTION("GOOGLETRANSLATE(B1643,""id"",""en"")"),"['dwonload', 'enter', 'application', 'open', 'backgraund', 'screen', 'white', 'look', 'repeat', 'times', 'dwonload']")</f>
        <v>['dwonload', 'enter', 'application', 'open', 'backgraund', 'screen', 'white', 'look', 'repeat', 'times', 'dwonload']</v>
      </c>
      <c r="D1643" s="3">
        <v>1.0</v>
      </c>
    </row>
    <row r="1644" ht="15.75" customHeight="1">
      <c r="A1644" s="1">
        <v>1755.0</v>
      </c>
      <c r="B1644" s="3" t="s">
        <v>1621</v>
      </c>
      <c r="C1644" s="3" t="str">
        <f>IFERROR(__xludf.DUMMYFUNCTION("GOOGLETRANSLATE(B1644,""id"",""en"")"),"['easy', 'serving', 'pokonya', 'sip']")</f>
        <v>['easy', 'serving', 'pokonya', 'sip']</v>
      </c>
      <c r="D1644" s="3">
        <v>4.0</v>
      </c>
    </row>
    <row r="1645" ht="15.75" customHeight="1">
      <c r="A1645" s="1">
        <v>1756.0</v>
      </c>
      <c r="B1645" s="3" t="s">
        <v>1622</v>
      </c>
      <c r="C1645" s="3" t="str">
        <f>IFERROR(__xludf.DUMMYFUNCTION("GOOGLETRANSLATE(B1645,""id"",""en"")"),"['Swinger', 'Points', 'Credit']")</f>
        <v>['Swinger', 'Points', 'Credit']</v>
      </c>
      <c r="D1645" s="3">
        <v>2.0</v>
      </c>
    </row>
    <row r="1646" ht="15.75" customHeight="1">
      <c r="A1646" s="1">
        <v>1757.0</v>
      </c>
      <c r="B1646" s="3" t="s">
        <v>1623</v>
      </c>
      <c r="C1646" s="3" t="str">
        <f>IFERROR(__xludf.DUMMYFUNCTION("GOOGLETRANSLATE(B1646,""id"",""en"")"),"['php', 'aka', 'different', '']")</f>
        <v>['php', 'aka', 'different', '']</v>
      </c>
      <c r="D1646" s="3">
        <v>5.0</v>
      </c>
    </row>
    <row r="1647" ht="15.75" customHeight="1">
      <c r="A1647" s="1">
        <v>1758.0</v>
      </c>
      <c r="B1647" s="3" t="s">
        <v>1624</v>
      </c>
      <c r="C1647" s="3" t="str">
        <f>IFERROR(__xludf.DUMMYFUNCTION("GOOGLETRANSLATE(B1647,""id"",""en"")"),"['Please', 'Price', 'Customize', 'Quality', 'Connection', 'Network', 'lag', 'Play', 'Game']")</f>
        <v>['Please', 'Price', 'Customize', 'Quality', 'Connection', 'Network', 'lag', 'Play', 'Game']</v>
      </c>
      <c r="D1647" s="3">
        <v>1.0</v>
      </c>
    </row>
    <row r="1648" ht="15.75" customHeight="1">
      <c r="A1648" s="1">
        <v>1759.0</v>
      </c>
      <c r="B1648" s="3" t="s">
        <v>1625</v>
      </c>
      <c r="C1648" s="3" t="str">
        <f>IFERROR(__xludf.DUMMYFUNCTION("GOOGLETRANSLATE(B1648,""id"",""en"")"),"['Package', 'expensive', 'tautaya', 'slow']")</f>
        <v>['Package', 'expensive', 'tautaya', 'slow']</v>
      </c>
      <c r="D1648" s="3">
        <v>1.0</v>
      </c>
    </row>
    <row r="1649" ht="15.75" customHeight="1">
      <c r="A1649" s="1">
        <v>1760.0</v>
      </c>
      <c r="B1649" s="3" t="s">
        <v>1626</v>
      </c>
      <c r="C1649" s="3" t="str">
        <f>IFERROR(__xludf.DUMMYFUNCTION("GOOGLETRANSLATE(B1649,""id"",""en"")"),"['ugly', 'really', 'application', 'Telkomsel', 'kaga', 'open', 'out', 'update', 'kaga', 'open', 'data', 'delete', ' Cache ',' Delete ']")</f>
        <v>['ugly', 'really', 'application', 'Telkomsel', 'kaga', 'open', 'out', 'update', 'kaga', 'open', 'data', 'delete', ' Cache ',' Delete ']</v>
      </c>
      <c r="D1649" s="3">
        <v>5.0</v>
      </c>
    </row>
    <row r="1650" ht="15.75" customHeight="1">
      <c r="A1650" s="1">
        <v>1761.0</v>
      </c>
      <c r="B1650" s="3" t="s">
        <v>1627</v>
      </c>
      <c r="C1650" s="3" t="str">
        <f>IFERROR(__xludf.DUMMYFUNCTION("GOOGLETRANSLATE(B1650,""id"",""en"")"),"['Dperbhrui', 'Perbaharu', 'LGI', 'Open', 'PMBibruan']")</f>
        <v>['Dperbhrui', 'Perbaharu', 'LGI', 'Open', 'PMBibruan']</v>
      </c>
      <c r="D1650" s="3">
        <v>4.0</v>
      </c>
    </row>
    <row r="1651" ht="15.75" customHeight="1">
      <c r="A1651" s="1">
        <v>1763.0</v>
      </c>
      <c r="B1651" s="3" t="s">
        <v>1628</v>
      </c>
      <c r="C1651" s="3" t="str">
        <f>IFERROR(__xludf.DUMMYFUNCTION("GOOGLETRANSLATE(B1651,""id"",""en"")"),"['Siyala', 'parahh', 'Jamin', 'price', 'expensive']")</f>
        <v>['Siyala', 'parahh', 'Jamin', 'price', 'expensive']</v>
      </c>
      <c r="D1651" s="3">
        <v>1.0</v>
      </c>
    </row>
    <row r="1652" ht="15.75" customHeight="1">
      <c r="A1652" s="1">
        <v>1764.0</v>
      </c>
      <c r="B1652" s="3" t="s">
        <v>1629</v>
      </c>
      <c r="C1652" s="3" t="str">
        <f>IFERROR(__xludf.DUMMYFUNCTION("GOOGLETRANSLATE(B1652,""id"",""en"")"),"['Disappointed', 'Telkomsel', 'skrang', 'bad', 'network', 'always', 'slow', 'as good', '']")</f>
        <v>['Disappointed', 'Telkomsel', 'skrang', 'bad', 'network', 'always', 'slow', 'as good', '']</v>
      </c>
      <c r="D1652" s="3">
        <v>1.0</v>
      </c>
    </row>
    <row r="1653" ht="15.75" customHeight="1">
      <c r="A1653" s="1">
        <v>1765.0</v>
      </c>
      <c r="B1653" s="3" t="s">
        <v>1630</v>
      </c>
      <c r="C1653" s="3" t="str">
        <f>IFERROR(__xludf.DUMMYFUNCTION("GOOGLETRANSLATE(B1653,""id"",""en"")"),"['Please', 'price', 'quota', 'perman', 'in the past', 'pamdemi', 'gini', 'difficult', 'search', 'money', 'quota', 'expensive', ' ']")</f>
        <v>['Please', 'price', 'quota', 'perman', 'in the past', 'pamdemi', 'gini', 'difficult', 'search', 'money', 'quota', 'expensive', ' ']</v>
      </c>
      <c r="D1653" s="3">
        <v>3.0</v>
      </c>
    </row>
    <row r="1654" ht="15.75" customHeight="1">
      <c r="A1654" s="1">
        <v>1766.0</v>
      </c>
      <c r="B1654" s="3" t="s">
        <v>1631</v>
      </c>
      <c r="C1654" s="3" t="str">
        <f>IFERROR(__xludf.DUMMYFUNCTION("GOOGLETRANSLATE(B1654,""id"",""en"")"),"['Increase', 'trs']")</f>
        <v>['Increase', 'trs']</v>
      </c>
      <c r="D1654" s="3">
        <v>5.0</v>
      </c>
    </row>
    <row r="1655" ht="15.75" customHeight="1">
      <c r="A1655" s="1">
        <v>1767.0</v>
      </c>
      <c r="B1655" s="3" t="s">
        <v>1632</v>
      </c>
      <c r="C1655" s="3" t="str">
        <f>IFERROR(__xludf.DUMMYFUNCTION("GOOGLETRANSLATE(B1655,""id"",""en"")"),"['buy', 'package', 'gamemax', 'regret', 'ngellag', 'severe', 'ping', 'gapernah', 'buy', 'gamemax', 'complain', 'telephone', ' useless']")</f>
        <v>['buy', 'package', 'gamemax', 'regret', 'ngellag', 'severe', 'ping', 'gapernah', 'buy', 'gamemax', 'complain', 'telephone', ' useless']</v>
      </c>
      <c r="D1655" s="3">
        <v>1.0</v>
      </c>
    </row>
    <row r="1656" ht="15.75" customHeight="1">
      <c r="A1656" s="1">
        <v>1768.0</v>
      </c>
      <c r="B1656" s="3" t="s">
        <v>1633</v>
      </c>
      <c r="C1656" s="3" t="str">
        <f>IFERROR(__xludf.DUMMYFUNCTION("GOOGLETRANSLATE(B1656,""id"",""en"")"),"['How', 'cave', 'regret', 'buy', 'pulse', 'put together', 'network', 'KEK', 'hope', 'pulse', 'returned', 'buy', ' quota ',' direct ',' limit ',' fup ',' strange ']")</f>
        <v>['How', 'cave', 'regret', 'buy', 'pulse', 'put together', 'network', 'KEK', 'hope', 'pulse', 'returned', 'buy', ' quota ',' direct ',' limit ',' fup ',' strange ']</v>
      </c>
      <c r="D1656" s="3">
        <v>1.0</v>
      </c>
    </row>
    <row r="1657" ht="15.75" customHeight="1">
      <c r="A1657" s="1">
        <v>1769.0</v>
      </c>
      <c r="B1657" s="3" t="s">
        <v>1634</v>
      </c>
      <c r="C1657" s="3" t="str">
        <f>IFERROR(__xludf.DUMMYFUNCTION("GOOGLETRANSLATE(B1657,""id"",""en"")"),"['signal', 'Telkomsel', 'ugly', 'hours', 'slow', 'difficult', 'quota', 'expensive', 'lemooot', 'disorder']")</f>
        <v>['signal', 'Telkomsel', 'ugly', 'hours', 'slow', 'difficult', 'quota', 'expensive', 'lemooot', 'disorder']</v>
      </c>
      <c r="D1657" s="3">
        <v>1.0</v>
      </c>
    </row>
    <row r="1658" ht="15.75" customHeight="1">
      <c r="A1658" s="1">
        <v>1770.0</v>
      </c>
      <c r="B1658" s="3" t="s">
        <v>1635</v>
      </c>
      <c r="C1658" s="3" t="str">
        <f>IFERROR(__xludf.DUMMYFUNCTION("GOOGLETRANSLATE(B1658,""id"",""en"")"),"['Moral', 'money', 'service', 'expect', '']")</f>
        <v>['Moral', 'money', 'service', 'expect', '']</v>
      </c>
      <c r="D1658" s="3">
        <v>1.0</v>
      </c>
    </row>
    <row r="1659" ht="15.75" customHeight="1">
      <c r="A1659" s="1">
        <v>1771.0</v>
      </c>
      <c r="B1659" s="3" t="s">
        <v>1636</v>
      </c>
      <c r="C1659" s="3" t="str">
        <f>IFERROR(__xludf.DUMMYFUNCTION("GOOGLETRANSLATE(B1659,""id"",""en"")"),"['quota', 'network', 'fulll', 'game', 'threat', 'really', 'card', 'prime', 'expensive', 'gini', 'please', 'fix', ' Pain ',' Heart ',' Karna ',' Signal ',' Tipu ', ""]")</f>
        <v>['quota', 'network', 'fulll', 'game', 'threat', 'really', 'card', 'prime', 'expensive', 'gini', 'please', 'fix', ' Pain ',' Heart ',' Karna ',' Signal ',' Tipu ', "]</v>
      </c>
      <c r="D1659" s="3">
        <v>1.0</v>
      </c>
    </row>
    <row r="1660" ht="15.75" customHeight="1">
      <c r="A1660" s="1">
        <v>1772.0</v>
      </c>
      <c r="B1660" s="3" t="s">
        <v>1637</v>
      </c>
      <c r="C1660" s="3" t="str">
        <f>IFERROR(__xludf.DUMMYFUNCTION("GOOGLETRANSLATE(B1660,""id"",""en"")"),"['Telkomsel', 'signal', 'ilang', 'setabilia', 'play', 'game', 'ilang', 'kridit', 'score', 'run out', 'love', 'star']")</f>
        <v>['Telkomsel', 'signal', 'ilang', 'setabilia', 'play', 'game', 'ilang', 'kridit', 'score', 'run out', 'love', 'star']</v>
      </c>
      <c r="D1660" s="3">
        <v>1.0</v>
      </c>
    </row>
    <row r="1661" ht="15.75" customHeight="1">
      <c r="A1661" s="1">
        <v>1773.0</v>
      </c>
      <c r="B1661" s="3" t="s">
        <v>1638</v>
      </c>
      <c r="C1661" s="3" t="str">
        <f>IFERROR(__xludf.DUMMYFUNCTION("GOOGLETRANSLATE(B1661,""id"",""en"")"),"['signal', 'good', 'help']")</f>
        <v>['signal', 'good', 'help']</v>
      </c>
      <c r="D1661" s="3">
        <v>5.0</v>
      </c>
    </row>
    <row r="1662" ht="15.75" customHeight="1">
      <c r="A1662" s="1">
        <v>1774.0</v>
      </c>
      <c r="B1662" s="3" t="s">
        <v>1639</v>
      </c>
      <c r="C1662" s="3" t="str">
        <f>IFERROR(__xludf.DUMMYFUNCTION("GOOGLETRANSLATE(B1662,""id"",""en"")"),"['Req', 'rmh']")</f>
        <v>['Req', 'rmh']</v>
      </c>
      <c r="D1662" s="3">
        <v>5.0</v>
      </c>
    </row>
    <row r="1663" ht="15.75" customHeight="1">
      <c r="A1663" s="1">
        <v>1775.0</v>
      </c>
      <c r="B1663" s="3" t="s">
        <v>1640</v>
      </c>
      <c r="C1663" s="3" t="str">
        <f>IFERROR(__xludf.DUMMYFUNCTION("GOOGLETRANSLATE(B1663,""id"",""en"")"),"['APL', 'Help', '']")</f>
        <v>['APL', 'Help', '']</v>
      </c>
      <c r="D1663" s="3">
        <v>4.0</v>
      </c>
    </row>
    <row r="1664" ht="15.75" customHeight="1">
      <c r="A1664" s="1">
        <v>1776.0</v>
      </c>
      <c r="B1664" s="3" t="s">
        <v>1641</v>
      </c>
      <c r="C1664" s="3" t="str">
        <f>IFERROR(__xludf.DUMMYFUNCTION("GOOGLETRANSLATE(B1664,""id"",""en"")"),"['walk', 'smooth', 'here', 'signal', 'slow', 'lose', 'Provaider', 'next door', 'abal', 'abal', 'application', 'Telkomsel', ' Opened ',' Pelangement ',' loyal ',' Telkomsel ',' how ',' service ',' Kian ',' downhill ']")</f>
        <v>['walk', 'smooth', 'here', 'signal', 'slow', 'lose', 'Provaider', 'next door', 'abal', 'abal', 'application', 'Telkomsel', ' Opened ',' Pelangement ',' loyal ',' Telkomsel ',' how ',' service ',' Kian ',' downhill ']</v>
      </c>
      <c r="D1664" s="3">
        <v>3.0</v>
      </c>
    </row>
    <row r="1665" ht="15.75" customHeight="1">
      <c r="A1665" s="1">
        <v>1777.0</v>
      </c>
      <c r="B1665" s="3" t="s">
        <v>1642</v>
      </c>
      <c r="C1665" s="3" t="str">
        <f>IFERROR(__xludf.DUMMYFUNCTION("GOOGLETRANSLATE(B1665,""id"",""en"")"),"['Pay', 'Gopay', 'Teleport', 'Playstore', 'Gajelas']")</f>
        <v>['Pay', 'Gopay', 'Teleport', 'Playstore', 'Gajelas']</v>
      </c>
      <c r="D1665" s="3">
        <v>1.0</v>
      </c>
    </row>
    <row r="1666" ht="15.75" customHeight="1">
      <c r="A1666" s="1">
        <v>1778.0</v>
      </c>
      <c r="B1666" s="3" t="s">
        <v>1643</v>
      </c>
      <c r="C1666" s="3" t="str">
        <f>IFERROR(__xludf.DUMMYFUNCTION("GOOGLETRANSLATE(B1666,""id"",""en"")"),"['Paketannya', 'expensive', 'network', 'cheap', 'ktanya', 'good', 'mna', 'entry', 'kampung', 'little', 'ugly', 'forgiveness',' Changes', 'forced', 'stop', 'subscribers',' ']")</f>
        <v>['Paketannya', 'expensive', 'network', 'cheap', 'ktanya', 'good', 'mna', 'entry', 'kampung', 'little', 'ugly', 'forgiveness',' Changes', 'forced', 'stop', 'subscribers',' ']</v>
      </c>
      <c r="D1666" s="3">
        <v>1.0</v>
      </c>
    </row>
    <row r="1667" ht="15.75" customHeight="1">
      <c r="A1667" s="1">
        <v>1779.0</v>
      </c>
      <c r="B1667" s="3" t="s">
        <v>1644</v>
      </c>
      <c r="C1667" s="3" t="str">
        <f>IFERROR(__xludf.DUMMYFUNCTION("GOOGLETRANSLATE(B1667,""id"",""en"")"),"['Jos', 'staple', '']")</f>
        <v>['Jos', 'staple', '']</v>
      </c>
      <c r="D1667" s="3">
        <v>5.0</v>
      </c>
    </row>
    <row r="1668" ht="15.75" customHeight="1">
      <c r="A1668" s="1">
        <v>1780.0</v>
      </c>
      <c r="B1668" s="3" t="s">
        <v>1645</v>
      </c>
      <c r="C1668" s="3" t="str">
        <f>IFERROR(__xludf.DUMMYFUNCTION("GOOGLETRANSLATE(B1668,""id"",""en"")"),"['Open', 'Telkomsel', 'Mao', 'Caskek', 'Point']")</f>
        <v>['Open', 'Telkomsel', 'Mao', 'Caskek', 'Point']</v>
      </c>
      <c r="D1668" s="3">
        <v>1.0</v>
      </c>
    </row>
    <row r="1669" ht="15.75" customHeight="1">
      <c r="A1669" s="1">
        <v>1781.0</v>
      </c>
      <c r="B1669" s="3" t="s">
        <v>1367</v>
      </c>
      <c r="C1669" s="3" t="str">
        <f>IFERROR(__xludf.DUMMYFUNCTION("GOOGLETRANSLATE(B1669,""id"",""en"")"),"['good']")</f>
        <v>['good']</v>
      </c>
      <c r="D1669" s="3">
        <v>5.0</v>
      </c>
    </row>
    <row r="1670" ht="15.75" customHeight="1">
      <c r="A1670" s="1">
        <v>1782.0</v>
      </c>
      <c r="B1670" s="3" t="s">
        <v>1646</v>
      </c>
      <c r="C1670" s="3" t="str">
        <f>IFERROR(__xludf.DUMMYFUNCTION("GOOGLETRANSLATE(B1670,""id"",""en"")"),"['easy', 'complicated', 'usex', 'Thanks', 'Telkomsel', '']")</f>
        <v>['easy', 'complicated', 'usex', 'Thanks', 'Telkomsel', '']</v>
      </c>
      <c r="D1670" s="3">
        <v>5.0</v>
      </c>
    </row>
    <row r="1671" ht="15.75" customHeight="1">
      <c r="A1671" s="1">
        <v>1783.0</v>
      </c>
      <c r="B1671" s="3" t="s">
        <v>1647</v>
      </c>
      <c r="C1671" s="3" t="str">
        <f>IFERROR(__xludf.DUMMYFUNCTION("GOOGLETRANSLATE(B1671,""id"",""en"")"),"['Lemot', 'Telkomsel']")</f>
        <v>['Lemot', 'Telkomsel']</v>
      </c>
      <c r="D1671" s="3">
        <v>1.0</v>
      </c>
    </row>
    <row r="1672" ht="15.75" customHeight="1">
      <c r="A1672" s="1">
        <v>1784.0</v>
      </c>
      <c r="B1672" s="3" t="s">
        <v>1648</v>
      </c>
      <c r="C1672" s="3" t="str">
        <f>IFERROR(__xludf.DUMMYFUNCTION("GOOGLETRANSLATE(B1672,""id"",""en"")"),"['times', 'uninstall', 'application', 'download', 'reset', 'right', 'open', 'application', 'screen', 'white', 'please', ""]")</f>
        <v>['times', 'uninstall', 'application', 'download', 'reset', 'right', 'open', 'application', 'screen', 'white', 'please', "]</v>
      </c>
      <c r="D1672" s="3">
        <v>1.0</v>
      </c>
    </row>
    <row r="1673" ht="15.75" customHeight="1">
      <c r="A1673" s="1">
        <v>1785.0</v>
      </c>
      <c r="B1673" s="3" t="s">
        <v>1649</v>
      </c>
      <c r="C1673" s="3" t="str">
        <f>IFERROR(__xludf.DUMMYFUNCTION("GOOGLETRANSLATE(B1673,""id"",""en"")"),"['type', 'packetane', 'silly', 'rich', 'wagu', ""]")</f>
        <v>['type', 'packetane', 'silly', 'rich', 'wagu', "]</v>
      </c>
      <c r="D1673" s="3">
        <v>1.0</v>
      </c>
    </row>
    <row r="1674" ht="15.75" customHeight="1">
      <c r="A1674" s="1">
        <v>1786.0</v>
      </c>
      <c r="B1674" s="3" t="s">
        <v>1650</v>
      </c>
      <c r="C1674" s="3" t="str">
        <f>IFERROR(__xludf.DUMMYFUNCTION("GOOGLETRANSLATE(B1674,""id"",""en"")"),"['Come here', 'expensive', 'price', 'package', 'Telkomsel', 'already', 'subscribe', 'many years',' times', 'think', 'search', 'provider', ' price ',' package ',' affordable ',' use ',' Telkomsel ',' superior ',' coverage ',' pandemic ',' gini ',' provider"&amp;" ',' plate ',' red ',' populat ' , 'really', 'price', 'package', '']")</f>
        <v>['Come here', 'expensive', 'price', 'package', 'Telkomsel', 'already', 'subscribe', 'many years',' times', 'think', 'search', 'provider', ' price ',' package ',' affordable ',' use ',' Telkomsel ',' superior ',' coverage ',' pandemic ',' gini ',' provider ',' plate ',' red ',' populat ' , 'really', 'price', 'package', '']</v>
      </c>
      <c r="D1674" s="3">
        <v>4.0</v>
      </c>
    </row>
    <row r="1675" ht="15.75" customHeight="1">
      <c r="A1675" s="1">
        <v>1787.0</v>
      </c>
      <c r="B1675" s="3" t="s">
        <v>1651</v>
      </c>
      <c r="C1675" s="3" t="str">
        <f>IFERROR(__xludf.DUMMYFUNCTION("GOOGLETRANSLATE(B1675,""id"",""en"")"),"['UDH', 'user', 'card', 'Telkomsel', 'signal', 'ajh', 'ajh', 'disorder', 'disappointed', 'udh', 'mah', 'expensive', ' Quota ',' signal ',' ugly ',' ']")</f>
        <v>['UDH', 'user', 'card', 'Telkomsel', 'signal', 'ajh', 'ajh', 'disorder', 'disappointed', 'udh', 'mah', 'expensive', ' Quota ',' signal ',' ugly ',' ']</v>
      </c>
      <c r="D1675" s="3">
        <v>1.0</v>
      </c>
    </row>
    <row r="1676" ht="15.75" customHeight="1">
      <c r="A1676" s="1">
        <v>1788.0</v>
      </c>
      <c r="B1676" s="3" t="s">
        <v>1652</v>
      </c>
      <c r="C1676" s="3" t="str">
        <f>IFERROR(__xludf.DUMMYFUNCTION("GOOGLETRANSLATE(B1676,""id"",""en"")"),"['Since', 'update', 'apk', 'error', 'screen', 'white', 'please', 'knpa']")</f>
        <v>['Since', 'update', 'apk', 'error', 'screen', 'white', 'please', 'knpa']</v>
      </c>
      <c r="D1676" s="3">
        <v>1.0</v>
      </c>
    </row>
    <row r="1677" ht="15.75" customHeight="1">
      <c r="A1677" s="1">
        <v>1789.0</v>
      </c>
      <c r="B1677" s="3" t="s">
        <v>1653</v>
      </c>
      <c r="C1677" s="3" t="str">
        <f>IFERROR(__xludf.DUMMYFUNCTION("GOOGLETRANSLATE(B1677,""id"",""en"")"),"['Ber', 'star', 'Telkomsel', 'gave', 'gift', 'love', 'Doong']")</f>
        <v>['Ber', 'star', 'Telkomsel', 'gave', 'gift', 'love', 'Doong']</v>
      </c>
      <c r="D1677" s="3">
        <v>5.0</v>
      </c>
    </row>
    <row r="1678" ht="15.75" customHeight="1">
      <c r="A1678" s="1">
        <v>1790.0</v>
      </c>
      <c r="B1678" s="3" t="s">
        <v>1654</v>
      </c>
      <c r="C1678" s="3" t="str">
        <f>IFERROR(__xludf.DUMMYFUNCTION("GOOGLETRANSLATE(B1678,""id"",""en"")"),"['', 'Login', 'a month', 'nnti', 'love', 'star']")</f>
        <v>['', 'Login', 'a month', 'nnti', 'love', 'star']</v>
      </c>
      <c r="D1678" s="3">
        <v>2.0</v>
      </c>
    </row>
    <row r="1679" ht="15.75" customHeight="1">
      <c r="A1679" s="1">
        <v>1791.0</v>
      </c>
      <c r="B1679" s="3" t="s">
        <v>1655</v>
      </c>
      <c r="C1679" s="3" t="str">
        <f>IFERROR(__xludf.DUMMYFUNCTION("GOOGLETRANSLATE(B1679,""id"",""en"")"),"['process', 'order', 'package', 'hadeeeu']")</f>
        <v>['process', 'order', 'package', 'hadeeeu']</v>
      </c>
      <c r="D1679" s="3">
        <v>1.0</v>
      </c>
    </row>
    <row r="1680" ht="15.75" customHeight="1">
      <c r="A1680" s="1">
        <v>1792.0</v>
      </c>
      <c r="B1680" s="3" t="s">
        <v>1656</v>
      </c>
      <c r="C1680" s="3" t="str">
        <f>IFERROR(__xludf.DUMMYFUNCTION("GOOGLETRANSLATE(B1680,""id"",""en"")"),"['Satisfied', 'Service', 'Application', 'MyTelkomsel', '']")</f>
        <v>['Satisfied', 'Service', 'Application', 'MyTelkomsel', '']</v>
      </c>
      <c r="D1680" s="3">
        <v>5.0</v>
      </c>
    </row>
    <row r="1681" ht="15.75" customHeight="1">
      <c r="A1681" s="1">
        <v>1793.0</v>
      </c>
      <c r="B1681" s="3" t="s">
        <v>1657</v>
      </c>
      <c r="C1681" s="3" t="str">
        <f>IFERROR(__xludf.DUMMYFUNCTION("GOOGLETRANSLATE(B1681,""id"",""en"")"),"['Increase', 'promo', 'pulses', '']")</f>
        <v>['Increase', 'promo', 'pulses', '']</v>
      </c>
      <c r="D1681" s="3">
        <v>5.0</v>
      </c>
    </row>
    <row r="1682" ht="15.75" customHeight="1">
      <c r="A1682" s="1">
        <v>1794.0</v>
      </c>
      <c r="B1682" s="3" t="s">
        <v>1658</v>
      </c>
      <c r="C1682" s="3" t="str">
        <f>IFERROR(__xludf.DUMMYFUNCTION("GOOGLETRANSLATE(B1682,""id"",""en"")"),"['Network', 'You', 'Kek', 'Baby', 'Dajjal', 'People', 'Play', 'Game', 'Lag', 'Kak', 'Child', 'Baby']")</f>
        <v>['Network', 'You', 'Kek', 'Baby', 'Dajjal', 'People', 'Play', 'Game', 'Lag', 'Kak', 'Child', 'Baby']</v>
      </c>
      <c r="D1682" s="3">
        <v>1.0</v>
      </c>
    </row>
    <row r="1683" ht="15.75" customHeight="1">
      <c r="A1683" s="1">
        <v>1795.0</v>
      </c>
      <c r="B1683" s="3" t="s">
        <v>1659</v>
      </c>
      <c r="C1683" s="3" t="str">
        <f>IFERROR(__xludf.DUMMYFUNCTION("GOOGLETRANSLATE(B1683,""id"",""en"")"),"['expensive', 'package', 'signal', 'Se-Segek', 'CaCD', '']")</f>
        <v>['expensive', 'package', 'signal', 'Se-Segek', 'CaCD', '']</v>
      </c>
      <c r="D1683" s="3">
        <v>1.0</v>
      </c>
    </row>
    <row r="1684" ht="15.75" customHeight="1">
      <c r="A1684" s="1">
        <v>1796.0</v>
      </c>
      <c r="B1684" s="3" t="s">
        <v>1660</v>
      </c>
      <c r="C1684" s="3" t="str">
        <f>IFERROR(__xludf.DUMMYFUNCTION("GOOGLETRANSLATE(B1684,""id"",""en"")"),"['quota', 'credit', 'RB', 'Ludes',' Jga ',' Nyampe ',' Sisain ',' zero ',' bkn ',' skali ',' rich ',' gini ',' UDH ',' BBRAPA ',' BLN ',' Rich ',' Gini ',' then ',' UDH ',' quota ',' expensive ',' skrg ',' credit ',' Malingin ',' JLS ' , 'Telkomsel', 'KLW"&amp;"', 'Total', 'Malingin', 'UDH', 'LBH', 'Dri', 'Rb', 'plsa', 'take', 'trs',' pdhl ',' quota ',' msh ',' byk ',' pke ',' unlimited ',' ttp ',' plsa ',' gercep ',' take ',' mnding ',' pke ',' krtu ',' dri ' , 'PDA', 'then', 'Empet', 'Make', 'Telkomsel', 'PDHL"&amp;"', 'UDH', 'UDH', 'LBH', 'THN', 'DRI', 'PKE', ' Kcwa ',' skrg ']")</f>
        <v>['quota', 'credit', 'RB', 'Ludes',' Jga ',' Nyampe ',' Sisain ',' zero ',' bkn ',' skali ',' rich ',' gini ',' UDH ',' BBRAPA ',' BLN ',' Rich ',' Gini ',' then ',' UDH ',' quota ',' expensive ',' skrg ',' credit ',' Malingin ',' JLS ' , 'Telkomsel', 'KLW', 'Total', 'Malingin', 'UDH', 'LBH', 'Dri', 'Rb', 'plsa', 'take', 'trs',' pdhl ',' quota ',' msh ',' byk ',' pke ',' unlimited ',' ttp ',' plsa ',' gercep ',' take ',' mnding ',' pke ',' krtu ',' dri ' , 'PDA', 'then', 'Empet', 'Make', 'Telkomsel', 'PDHL', 'UDH', 'UDH', 'LBH', 'THN', 'DRI', 'PKE', ' Kcwa ',' skrg ']</v>
      </c>
      <c r="D1684" s="3">
        <v>1.0</v>
      </c>
    </row>
    <row r="1685" ht="15.75" customHeight="1">
      <c r="A1685" s="1">
        <v>1797.0</v>
      </c>
      <c r="B1685" s="3" t="s">
        <v>567</v>
      </c>
      <c r="C1685" s="3" t="str">
        <f>IFERROR(__xludf.DUMMYFUNCTION("GOOGLETRANSLATE(B1685,""id"",""en"")"),"['application']")</f>
        <v>['application']</v>
      </c>
      <c r="D1685" s="3">
        <v>1.0</v>
      </c>
    </row>
    <row r="1686" ht="15.75" customHeight="1">
      <c r="A1686" s="1">
        <v>1798.0</v>
      </c>
      <c r="B1686" s="3" t="s">
        <v>1661</v>
      </c>
      <c r="C1686" s="3" t="str">
        <f>IFERROR(__xludf.DUMMYFUNCTION("GOOGLETRANSLATE(B1686,""id"",""en"")"),"['signal', 'steady', 'remote']")</f>
        <v>['signal', 'steady', 'remote']</v>
      </c>
      <c r="D1686" s="3">
        <v>5.0</v>
      </c>
    </row>
    <row r="1687" ht="15.75" customHeight="1">
      <c r="A1687" s="1">
        <v>1799.0</v>
      </c>
      <c r="B1687" s="3" t="s">
        <v>1662</v>
      </c>
      <c r="C1687" s="3" t="str">
        <f>IFERROR(__xludf.DUMMYFUNCTION("GOOGLETRANSLATE(B1687,""id"",""en"")"),"['Hopefully', 'advanced', 'cheap', 'price', 'quota', 'good', 'network', 'success',' Telkomsel ',' NOTED ',' makes it difficult ',' Customer ',' The card ',' charred ',' replaced ',' number ',' detrimental ',' consumer ',' number ',' replaced ',' dngn ',' "&amp;"thank you ']")</f>
        <v>['Hopefully', 'advanced', 'cheap', 'price', 'quota', 'good', 'network', 'success',' Telkomsel ',' NOTED ',' makes it difficult ',' Customer ',' The card ',' charred ',' replaced ',' number ',' detrimental ',' consumer ',' number ',' replaced ',' dngn ',' thank you ']</v>
      </c>
      <c r="D1687" s="3">
        <v>5.0</v>
      </c>
    </row>
    <row r="1688" ht="15.75" customHeight="1">
      <c r="A1688" s="1">
        <v>1800.0</v>
      </c>
      <c r="B1688" s="3" t="s">
        <v>1663</v>
      </c>
      <c r="C1688" s="3" t="str">
        <f>IFERROR(__xludf.DUMMYFUNCTION("GOOGLETRANSLATE(B1688,""id"",""en"")"),"['network', 'Telkomsel', 'slow', 'open', 'game', 'online', 'open', 'LTE', 'difficult', 'disappointed', 'Telkomsel', 'know', ' network ',' best ',' network ']")</f>
        <v>['network', 'Telkomsel', 'slow', 'open', 'game', 'online', 'open', 'LTE', 'difficult', 'disappointed', 'Telkomsel', 'know', ' network ',' best ',' network ']</v>
      </c>
      <c r="D1688" s="3">
        <v>1.0</v>
      </c>
    </row>
    <row r="1689" ht="15.75" customHeight="1">
      <c r="A1689" s="1">
        <v>1801.0</v>
      </c>
      <c r="B1689" s="3" t="s">
        <v>1664</v>
      </c>
      <c r="C1689" s="3" t="str">
        <f>IFERROR(__xludf.DUMMYFUNCTION("GOOGLETRANSLATE(B1689,""id"",""en"")"),"['Rely on', 'signal', 'ugly', 'stable', 'game', 'online', 'expensive', 'service', 'span', 'complain', 'wait', 'process',' Good ',' simPATI ',' Rely on ',' ']")</f>
        <v>['Rely on', 'signal', 'ugly', 'stable', 'game', 'online', 'expensive', 'service', 'span', 'complain', 'wait', 'process',' Good ',' simPATI ',' Rely on ',' ']</v>
      </c>
      <c r="D1689" s="3">
        <v>1.0</v>
      </c>
    </row>
    <row r="1690" ht="15.75" customHeight="1">
      <c r="A1690" s="1">
        <v>1802.0</v>
      </c>
      <c r="B1690" s="3" t="s">
        <v>1665</v>
      </c>
      <c r="C1690" s="3" t="str">
        <f>IFERROR(__xludf.DUMMYFUNCTION("GOOGLETRANSLATE(B1690,""id"",""en"")"),"['Internet', 'Region', 'Full', 'Min', '']")</f>
        <v>['Internet', 'Region', 'Full', 'Min', '']</v>
      </c>
      <c r="D1690" s="3">
        <v>4.0</v>
      </c>
    </row>
    <row r="1691" ht="15.75" customHeight="1">
      <c r="A1691" s="1">
        <v>1803.0</v>
      </c>
      <c r="B1691" s="3" t="s">
        <v>1666</v>
      </c>
      <c r="C1691" s="3" t="str">
        <f>IFERROR(__xludf.DUMMYFUNCTION("GOOGLETRANSLATE(B1691,""id"",""en"")"),"['Telkomsel', 'idiot', 'anniversary', 'expensive', 'doank', 'network', 'internet', 'rich', 'pig', 'disappointed', 'as', 'user']")</f>
        <v>['Telkomsel', 'idiot', 'anniversary', 'expensive', 'doank', 'network', 'internet', 'rich', 'pig', 'disappointed', 'as', 'user']</v>
      </c>
      <c r="D1691" s="3">
        <v>1.0</v>
      </c>
    </row>
    <row r="1692" ht="15.75" customHeight="1">
      <c r="A1692" s="1">
        <v>1804.0</v>
      </c>
      <c r="B1692" s="3" t="s">
        <v>1667</v>
      </c>
      <c r="C1692" s="3" t="str">
        <f>IFERROR(__xludf.DUMMYFUNCTION("GOOGLETRANSLATE(B1692,""id"",""en"")"),"['Signal', 'ugly', 'Skaanng']")</f>
        <v>['Signal', 'ugly', 'Skaanng']</v>
      </c>
      <c r="D1692" s="3">
        <v>1.0</v>
      </c>
    </row>
    <row r="1693" ht="15.75" customHeight="1">
      <c r="A1693" s="1">
        <v>1805.0</v>
      </c>
      <c r="B1693" s="3" t="s">
        <v>1668</v>
      </c>
      <c r="C1693" s="3" t="str">
        <f>IFERROR(__xludf.DUMMYFUNCTION("GOOGLETRANSLATE(B1693,""id"",""en"")"),"['Network', 'BURIK', 'Price', 'expensive', 'Customer', 'Service', 'Help', 'complaints', 'Customer', 'here', 'Severe']")</f>
        <v>['Network', 'BURIK', 'Price', 'expensive', 'Customer', 'Service', 'Help', 'complaints', 'Customer', 'here', 'Severe']</v>
      </c>
      <c r="D1693" s="3">
        <v>1.0</v>
      </c>
    </row>
    <row r="1694" ht="15.75" customHeight="1">
      <c r="A1694" s="1">
        <v>1806.0</v>
      </c>
      <c r="B1694" s="3" t="s">
        <v>1669</v>
      </c>
      <c r="C1694" s="3" t="str">
        <f>IFERROR(__xludf.DUMMYFUNCTION("GOOGLETRANSLATE(B1694,""id"",""en"")"),"['Application', 'Good', 'user', 'Telkomsel']")</f>
        <v>['Application', 'Good', 'user', 'Telkomsel']</v>
      </c>
      <c r="D1694" s="3">
        <v>5.0</v>
      </c>
    </row>
    <row r="1695" ht="15.75" customHeight="1">
      <c r="A1695" s="1">
        <v>1807.0</v>
      </c>
      <c r="B1695" s="3" t="s">
        <v>1670</v>
      </c>
      <c r="C1695" s="3" t="str">
        <f>IFERROR(__xludf.DUMMYFUNCTION("GOOGLETRANSLATE(B1695,""id"",""en"")"),"['Paketan', 'price', 'expensive', 'signal', 'ugly', 'France', 'Telkomsel']")</f>
        <v>['Paketan', 'price', 'expensive', 'signal', 'ugly', 'France', 'Telkomsel']</v>
      </c>
      <c r="D1695" s="3">
        <v>1.0</v>
      </c>
    </row>
    <row r="1696" ht="15.75" customHeight="1">
      <c r="A1696" s="1">
        <v>1808.0</v>
      </c>
      <c r="B1696" s="3" t="s">
        <v>1671</v>
      </c>
      <c r="C1696" s="3" t="str">
        <f>IFERROR(__xludf.DUMMYFUNCTION("GOOGLETRANSLATE(B1696,""id"",""en"")"),"['Buy', 'Package', 'Additional', 'YouTube', 'Unlimited', 'Cut', 'Kouta', 'Main']")</f>
        <v>['Buy', 'Package', 'Additional', 'YouTube', 'Unlimited', 'Cut', 'Kouta', 'Main']</v>
      </c>
      <c r="D1696" s="3">
        <v>1.0</v>
      </c>
    </row>
    <row r="1697" ht="15.75" customHeight="1">
      <c r="A1697" s="1">
        <v>1809.0</v>
      </c>
      <c r="B1697" s="3" t="s">
        <v>1672</v>
      </c>
      <c r="C1697" s="3" t="str">
        <f>IFERROR(__xludf.DUMMYFUNCTION("GOOGLETRANSLATE(B1697,""id"",""en"")"),"['Signal', 'Dlm', 'City', 'Severe', 'Lemot']")</f>
        <v>['Signal', 'Dlm', 'City', 'Severe', 'Lemot']</v>
      </c>
      <c r="D1697" s="3">
        <v>1.0</v>
      </c>
    </row>
    <row r="1698" ht="15.75" customHeight="1">
      <c r="A1698" s="1">
        <v>1810.0</v>
      </c>
      <c r="B1698" s="3" t="s">
        <v>1673</v>
      </c>
      <c r="C1698" s="3" t="str">
        <f>IFERROR(__xludf.DUMMYFUNCTION("GOOGLETRANSLATE(B1698,""id"",""en"")"),"['Disappointed', 'Heavy', 'SMA', 'Telkomsel', 'Package', 'Expensive', 'Network', 'Kek', 'Pig', 'Ngelag', 'Severe', 'Game', ' Ngellag ',' robohin ',' tower ',' lag ',' trs', ""]")</f>
        <v>['Disappointed', 'Heavy', 'SMA', 'Telkomsel', 'Package', 'Expensive', 'Network', 'Kek', 'Pig', 'Ngelag', 'Severe', 'Game', ' Ngellag ',' robohin ',' tower ',' lag ',' trs', "]</v>
      </c>
      <c r="D1698" s="3">
        <v>1.0</v>
      </c>
    </row>
    <row r="1699" ht="15.75" customHeight="1">
      <c r="A1699" s="1">
        <v>1811.0</v>
      </c>
      <c r="B1699" s="3" t="s">
        <v>1674</v>
      </c>
      <c r="C1699" s="3" t="str">
        <f>IFERROR(__xludf.DUMMYFUNCTION("GOOGLETRANSLATE(B1699,""id"",""en"")"),"['Min', 'Telkomsel', 'Open', 'Many', 'unsintal', 'Install', 're-open', 'open', 'emang', 'obstacle', 'gmn', 'already', ' ABULANAN ',' opened ']")</f>
        <v>['Min', 'Telkomsel', 'Open', 'Many', 'unsintal', 'Install', 're-open', 'open', 'emang', 'obstacle', 'gmn', 'already', ' ABULANAN ',' opened ']</v>
      </c>
      <c r="D1699" s="3">
        <v>2.0</v>
      </c>
    </row>
    <row r="1700" ht="15.75" customHeight="1">
      <c r="A1700" s="1">
        <v>1812.0</v>
      </c>
      <c r="B1700" s="3" t="s">
        <v>1675</v>
      </c>
      <c r="C1700" s="3" t="str">
        <f>IFERROR(__xludf.DUMMYFUNCTION("GOOGLETRANSLATE(B1700,""id"",""en"")"),"['Change', 'card', 'Hello', '']")</f>
        <v>['Change', 'card', 'Hello', '']</v>
      </c>
      <c r="D1700" s="3">
        <v>2.0</v>
      </c>
    </row>
    <row r="1701" ht="15.75" customHeight="1">
      <c r="A1701" s="1">
        <v>1813.0</v>
      </c>
      <c r="B1701" s="3" t="s">
        <v>1676</v>
      </c>
      <c r="C1701" s="3" t="str">
        <f>IFERROR(__xludf.DUMMYFUNCTION("GOOGLETRANSLATE(B1701,""id"",""en"")"),"['signal', 'paraah', 'already', 'expensive', 'signal', 'severe', 'that's', 'service', 'replace', 'operator']")</f>
        <v>['signal', 'paraah', 'already', 'expensive', 'signal', 'severe', 'that's', 'service', 'replace', 'operator']</v>
      </c>
      <c r="D1701" s="3">
        <v>1.0</v>
      </c>
    </row>
    <row r="1702" ht="15.75" customHeight="1">
      <c r="A1702" s="1">
        <v>1814.0</v>
      </c>
      <c r="B1702" s="3" t="s">
        <v>1677</v>
      </c>
      <c r="C1702" s="3" t="str">
        <f>IFERROR(__xludf.DUMMYFUNCTION("GOOGLETRANSLATE(B1702,""id"",""en"")"),"['Sanagat', 'help', 'like']")</f>
        <v>['Sanagat', 'help', 'like']</v>
      </c>
      <c r="D1702" s="3">
        <v>5.0</v>
      </c>
    </row>
    <row r="1703" ht="15.75" customHeight="1">
      <c r="A1703" s="1">
        <v>1815.0</v>
      </c>
      <c r="B1703" s="3" t="s">
        <v>1678</v>
      </c>
      <c r="C1703" s="3" t="str">
        <f>IFERROR(__xludf.DUMMYFUNCTION("GOOGLETRANSLATE(B1703,""id"",""en"")"),"['Kepingan', 'Quality', 'Telkomsel']")</f>
        <v>['Kepingan', 'Quality', 'Telkomsel']</v>
      </c>
      <c r="D1703" s="3">
        <v>5.0</v>
      </c>
    </row>
    <row r="1704" ht="15.75" customHeight="1">
      <c r="A1704" s="1">
        <v>1816.0</v>
      </c>
      <c r="B1704" s="3" t="s">
        <v>1679</v>
      </c>
      <c r="C1704" s="3" t="str">
        <f>IFERROR(__xludf.DUMMYFUNCTION("GOOGLETRANSLATE(B1704,""id"",""en"")"),"['application', 'network', 'already', 'provider', 'cheap', 'ajah', 'price', 'expensive', 'quality', 'squat', '']")</f>
        <v>['application', 'network', 'already', 'provider', 'cheap', 'ajah', 'price', 'expensive', 'quality', 'squat', '']</v>
      </c>
      <c r="D1704" s="3">
        <v>5.0</v>
      </c>
    </row>
    <row r="1705" ht="15.75" customHeight="1">
      <c r="A1705" s="1">
        <v>1818.0</v>
      </c>
      <c r="B1705" s="3" t="s">
        <v>1680</v>
      </c>
      <c r="C1705" s="3" t="str">
        <f>IFERROR(__xludf.DUMMYFUNCTION("GOOGLETRANSLATE(B1705,""id"",""en"")"),"['already', 'week', 'application', 'open', 'screen', 'white', 'doank', 'appear', 'alternating', 'download', 'tetep', 'sad', ' ']")</f>
        <v>['already', 'week', 'application', 'open', 'screen', 'white', 'doank', 'appear', 'alternating', 'download', 'tetep', 'sad', ' ']</v>
      </c>
      <c r="D1705" s="3">
        <v>1.0</v>
      </c>
    </row>
    <row r="1706" ht="15.75" customHeight="1">
      <c r="A1706" s="1">
        <v>1819.0</v>
      </c>
      <c r="B1706" s="3" t="s">
        <v>1681</v>
      </c>
      <c r="C1706" s="3" t="str">
        <f>IFERROR(__xludf.DUMMYFUNCTION("GOOGLETRANSLATE(B1706,""id"",""en"")"),"['already', 'Lottery', 'Telkomsel', 'sustenance']")</f>
        <v>['already', 'Lottery', 'Telkomsel', 'sustenance']</v>
      </c>
      <c r="D1706" s="3">
        <v>5.0</v>
      </c>
    </row>
    <row r="1707" ht="15.75" customHeight="1">
      <c r="A1707" s="1">
        <v>1820.0</v>
      </c>
      <c r="B1707" s="3" t="s">
        <v>1682</v>
      </c>
      <c r="C1707" s="3" t="str">
        <f>IFERROR(__xludf.DUMMYFUNCTION("GOOGLETRANSLATE(B1707,""id"",""en"")"),"['Network', 'boarding']")</f>
        <v>['Network', 'boarding']</v>
      </c>
      <c r="D1707" s="3">
        <v>1.0</v>
      </c>
    </row>
    <row r="1708" ht="15.75" customHeight="1">
      <c r="A1708" s="1">
        <v>1821.0</v>
      </c>
      <c r="B1708" s="3" t="s">
        <v>1683</v>
      </c>
      <c r="C1708" s="3" t="str">
        <f>IFERROR(__xludf.DUMMYFUNCTION("GOOGLETRANSLATE(B1708,""id"",""en"")"),"['Banti', 'boss', ""]")</f>
        <v>['Banti', 'boss', "]</v>
      </c>
      <c r="D1708" s="3">
        <v>5.0</v>
      </c>
    </row>
    <row r="1709" ht="15.75" customHeight="1">
      <c r="A1709" s="1">
        <v>1822.0</v>
      </c>
      <c r="B1709" s="3" t="s">
        <v>1684</v>
      </c>
      <c r="C1709" s="3" t="str">
        <f>IFERROR(__xludf.DUMMYFUNCTION("GOOGLETRANSLATE(B1709,""id"",""en"")"),"['Since', 'Update', 'Application', 'Biaa', 'Open', 'Screen', 'White']")</f>
        <v>['Since', 'Update', 'Application', 'Biaa', 'Open', 'Screen', 'White']</v>
      </c>
      <c r="D1709" s="3">
        <v>1.0</v>
      </c>
    </row>
    <row r="1710" ht="15.75" customHeight="1">
      <c r="A1710" s="1">
        <v>1823.0</v>
      </c>
      <c r="B1710" s="3" t="s">
        <v>1685</v>
      </c>
      <c r="C1710" s="3" t="str">
        <f>IFERROR(__xludf.DUMMYFUNCTION("GOOGLETRANSLATE(B1710,""id"",""en"")"),"['Network', 'bad', 'Pemian']")</f>
        <v>['Network', 'bad', 'Pemian']</v>
      </c>
      <c r="D1710" s="3">
        <v>1.0</v>
      </c>
    </row>
    <row r="1711" ht="15.75" customHeight="1">
      <c r="A1711" s="1">
        <v>1824.0</v>
      </c>
      <c r="B1711" s="3" t="s">
        <v>1686</v>
      </c>
      <c r="C1711" s="3" t="str">
        <f>IFERROR(__xludf.DUMMYFUNCTION("GOOGLETRANSLATE(B1711,""id"",""en"")"),"['already', 'a month', 'aflication', 'mytelkomsel', 'nge', 'blank', 'bgaimana', 'nakya']")</f>
        <v>['already', 'a month', 'aflication', 'mytelkomsel', 'nge', 'blank', 'bgaimana', 'nakya']</v>
      </c>
      <c r="D1711" s="3">
        <v>5.0</v>
      </c>
    </row>
    <row r="1712" ht="15.75" customHeight="1">
      <c r="A1712" s="1">
        <v>1825.0</v>
      </c>
      <c r="B1712" s="3" t="s">
        <v>1687</v>
      </c>
      <c r="C1712" s="3" t="str">
        <f>IFERROR(__xludf.DUMMYFUNCTION("GOOGLETRANSLATE(B1712,""id"",""en"")"),"['Sinyal', 'Severe', 'Region', 'Bojonggede', 'Bogor']")</f>
        <v>['Sinyal', 'Severe', 'Region', 'Bojonggede', 'Bogor']</v>
      </c>
      <c r="D1712" s="3">
        <v>3.0</v>
      </c>
    </row>
    <row r="1713" ht="15.75" customHeight="1">
      <c r="A1713" s="1">
        <v>1826.0</v>
      </c>
      <c r="B1713" s="3" t="s">
        <v>1688</v>
      </c>
      <c r="C1713" s="3" t="str">
        <f>IFERROR(__xludf.DUMMYFUNCTION("GOOGLETRANSLATE(B1713,""id"",""en"")"),"['Application', 'Error', 'Samsung', 'Android']")</f>
        <v>['Application', 'Error', 'Samsung', 'Android']</v>
      </c>
      <c r="D1713" s="3">
        <v>4.0</v>
      </c>
    </row>
    <row r="1714" ht="15.75" customHeight="1">
      <c r="A1714" s="1">
        <v>1827.0</v>
      </c>
      <c r="B1714" s="3" t="s">
        <v>1689</v>
      </c>
      <c r="C1714" s="3" t="str">
        <f>IFERROR(__xludf.DUMMYFUNCTION("GOOGLETRANSLATE(B1714,""id"",""en"")"),"['FUP', 'Paketan', 'Disturbing', 'Disappointed', 'Mending', 'DLU', 'BLN', 'Use', 'Internet', 'Unlimited', 'YouTube', 'Current', ' Apps', 'Masoh', 'smooth', 'emotion', '']")</f>
        <v>['FUP', 'Paketan', 'Disturbing', 'Disappointed', 'Mending', 'DLU', 'BLN', 'Use', 'Internet', 'Unlimited', 'YouTube', 'Current', ' Apps', 'Masoh', 'smooth', 'emotion', '']</v>
      </c>
      <c r="D1714" s="3">
        <v>2.0</v>
      </c>
    </row>
    <row r="1715" ht="15.75" customHeight="1">
      <c r="A1715" s="1">
        <v>1828.0</v>
      </c>
      <c r="B1715" s="3" t="s">
        <v>1690</v>
      </c>
      <c r="C1715" s="3" t="str">
        <f>IFERROR(__xludf.DUMMYFUNCTION("GOOGLETRANSLATE(B1715,""id"",""en"")"),"['Price', 'Mahalin', 'Network', 'repay', 'Taik']")</f>
        <v>['Price', 'Mahalin', 'Network', 'repay', 'Taik']</v>
      </c>
      <c r="D1715" s="3">
        <v>1.0</v>
      </c>
    </row>
    <row r="1716" ht="15.75" customHeight="1">
      <c r="A1716" s="1">
        <v>1829.0</v>
      </c>
      <c r="B1716" s="3" t="s">
        <v>1691</v>
      </c>
      <c r="C1716" s="3" t="str">
        <f>IFERROR(__xludf.DUMMYFUNCTION("GOOGLETRANSLATE(B1716,""id"",""en"")"),"['Not bad', 'Updete', 'Support', 'DPI', 'Please', 'Exchange', 'Points',' Notice ',' Switch ',' Points', 'Meberi', 'Difficulties',' Saturation ',' LGI ',' Restar ',' Cutting ',' Points', 'Sessions',' Out ', ""]")</f>
        <v>['Not bad', 'Updete', 'Support', 'DPI', 'Please', 'Exchange', 'Points',' Notice ',' Switch ',' Points', 'Meberi', 'Difficulties',' Saturation ',' LGI ',' Restar ',' Cutting ',' Points', 'Sessions',' Out ', "]</v>
      </c>
      <c r="D1716" s="3">
        <v>4.0</v>
      </c>
    </row>
    <row r="1717" ht="15.75" customHeight="1">
      <c r="A1717" s="1">
        <v>1830.0</v>
      </c>
      <c r="B1717" s="3" t="s">
        <v>1692</v>
      </c>
      <c r="C1717" s="3" t="str">
        <f>IFERROR(__xludf.DUMMYFUNCTION("GOOGLETRANSLATE(B1717,""id"",""en"")"),"['expensive', 'sinya', 'ugly', 'pig', '']")</f>
        <v>['expensive', 'sinya', 'ugly', 'pig', '']</v>
      </c>
      <c r="D1717" s="3">
        <v>1.0</v>
      </c>
    </row>
    <row r="1718" ht="15.75" customHeight="1">
      <c r="A1718" s="1">
        <v>1831.0</v>
      </c>
      <c r="B1718" s="3" t="s">
        <v>1693</v>
      </c>
      <c r="C1718" s="3" t="str">
        <f>IFERROR(__xludf.DUMMYFUNCTION("GOOGLETRANSLATE(B1718,""id"",""en"")"),"['Satisfied', 'application']")</f>
        <v>['Satisfied', 'application']</v>
      </c>
      <c r="D1718" s="3">
        <v>5.0</v>
      </c>
    </row>
    <row r="1719" ht="15.75" customHeight="1">
      <c r="A1719" s="1">
        <v>1832.0</v>
      </c>
      <c r="B1719" s="3" t="s">
        <v>1694</v>
      </c>
      <c r="C1719" s="3" t="str">
        <f>IFERROR(__xludf.DUMMYFUNCTION("GOOGLETRANSLATE(B1719,""id"",""en"")"),"['bad connection']")</f>
        <v>['bad connection']</v>
      </c>
      <c r="D1719" s="3">
        <v>1.0</v>
      </c>
    </row>
    <row r="1720" ht="15.75" customHeight="1">
      <c r="A1720" s="1">
        <v>1833.0</v>
      </c>
      <c r="B1720" s="3" t="s">
        <v>1695</v>
      </c>
      <c r="C1720" s="3" t="str">
        <f>IFERROR(__xludf.DUMMYFUNCTION("GOOGLETRANSLATE(B1720,""id"",""en"")"),"['skrng', 'Telkomsel', 'Network', 'slow', '']")</f>
        <v>['skrng', 'Telkomsel', 'Network', 'slow', '']</v>
      </c>
      <c r="D1720" s="3">
        <v>1.0</v>
      </c>
    </row>
    <row r="1721" ht="15.75" customHeight="1">
      <c r="A1721" s="1">
        <v>1834.0</v>
      </c>
      <c r="B1721" s="3" t="s">
        <v>1696</v>
      </c>
      <c r="C1721" s="3" t="str">
        <f>IFERROR(__xludf.DUMMYFUNCTION("GOOGLETRANSLATE(B1721,""id"",""en"")"),"['Success', 'Success', 'Trus', 'Telkomsel']")</f>
        <v>['Success', 'Success', 'Trus', 'Telkomsel']</v>
      </c>
      <c r="D1721" s="3">
        <v>5.0</v>
      </c>
    </row>
    <row r="1722" ht="15.75" customHeight="1">
      <c r="A1722" s="1">
        <v>1836.0</v>
      </c>
      <c r="B1722" s="3" t="s">
        <v>1697</v>
      </c>
      <c r="C1722" s="3" t="str">
        <f>IFERROR(__xludf.DUMMYFUNCTION("GOOGLETRANSLATE(B1722,""id"",""en"")"),"['application', 'provides',' service ',' free ',' data ',' customer ',' purchase ',' package ',' data ',' condition ',' emergency ',' run out ',' Package ',' Data ',' Region ',' remote ', ""]")</f>
        <v>['application', 'provides',' service ',' free ',' data ',' customer ',' purchase ',' package ',' data ',' condition ',' emergency ',' run out ',' Package ',' Data ',' Region ',' remote ', "]</v>
      </c>
      <c r="D1722" s="3">
        <v>2.0</v>
      </c>
    </row>
    <row r="1723" ht="15.75" customHeight="1">
      <c r="A1723" s="1">
        <v>1837.0</v>
      </c>
      <c r="B1723" s="3" t="s">
        <v>1698</v>
      </c>
      <c r="C1723" s="3" t="str">
        <f>IFERROR(__xludf.DUMMYFUNCTION("GOOGLETRANSLATE(B1723,""id"",""en"")"),"['cave', 'buy', 'promo', 'rb', 'GB', 'failed', 'pulse', 'sufficient', 'already', 'contents',' pulse ',' trick ',' People ',' buy ',' credit ',' Telkom ',' ']")</f>
        <v>['cave', 'buy', 'promo', 'rb', 'GB', 'failed', 'pulse', 'sufficient', 'already', 'contents',' pulse ',' trick ',' People ',' buy ',' credit ',' Telkom ',' ']</v>
      </c>
      <c r="D1723" s="3">
        <v>1.0</v>
      </c>
    </row>
    <row r="1724" ht="15.75" customHeight="1">
      <c r="A1724" s="1">
        <v>1838.0</v>
      </c>
      <c r="B1724" s="3" t="s">
        <v>1699</v>
      </c>
      <c r="C1724" s="3" t="str">
        <f>IFERROR(__xludf.DUMMYFUNCTION("GOOGLETRANSLATE(B1724,""id"",""en"")"),"['apk', 'open', 'disappointed', 'love', 'solution']")</f>
        <v>['apk', 'open', 'disappointed', 'love', 'solution']</v>
      </c>
      <c r="D1724" s="3">
        <v>1.0</v>
      </c>
    </row>
    <row r="1725" ht="15.75" customHeight="1">
      <c r="A1725" s="1">
        <v>1839.0</v>
      </c>
      <c r="B1725" s="3" t="s">
        <v>1700</v>
      </c>
      <c r="C1725" s="3" t="str">
        <f>IFERROR(__xludf.DUMMYFUNCTION("GOOGLETRANSLATE(B1725,""id"",""en"")"),"['network', 'Telkomsel', 'Bener', 'Wind', 'Rain', 'Signal', 'Lost', 'Boro', 'Network', 'Internet', 'Jaringn', 'Tel', ' Lost ',' network ',' LBH ',' cheap ',' signal ',' good ']")</f>
        <v>['network', 'Telkomsel', 'Bener', 'Wind', 'Rain', 'Signal', 'Lost', 'Boro', 'Network', 'Internet', 'Jaringn', 'Tel', ' Lost ',' network ',' LBH ',' cheap ',' signal ',' good ']</v>
      </c>
      <c r="D1725" s="3">
        <v>1.0</v>
      </c>
    </row>
    <row r="1726" ht="15.75" customHeight="1">
      <c r="A1726" s="1">
        <v>1840.0</v>
      </c>
      <c r="B1726" s="3" t="s">
        <v>1701</v>
      </c>
      <c r="C1726" s="3" t="str">
        <f>IFERROR(__xludf.DUMMYFUNCTION("GOOGLETRANSLATE(B1726,""id"",""en"")"),"['apk', 'nyah', 'ugly', 'slow', 'quota', 'expensive']")</f>
        <v>['apk', 'nyah', 'ugly', 'slow', 'quota', 'expensive']</v>
      </c>
      <c r="D1726" s="3">
        <v>1.0</v>
      </c>
    </row>
    <row r="1727" ht="15.75" customHeight="1">
      <c r="A1727" s="1">
        <v>1842.0</v>
      </c>
      <c r="B1727" s="3" t="s">
        <v>1702</v>
      </c>
      <c r="C1727" s="3" t="str">
        <f>IFERROR(__xludf.DUMMYFUNCTION("GOOGLETRANSLATE(B1727,""id"",""en"")"),"['liar', 'borrow', 'package', 'data', 'price', 'Rp', 'fill', 'reset', 'pulse', 'pulse', 'sucked', '']")</f>
        <v>['liar', 'borrow', 'package', 'data', 'price', 'Rp', 'fill', 'reset', 'pulse', 'pulse', 'sucked', '']</v>
      </c>
      <c r="D1727" s="3">
        <v>1.0</v>
      </c>
    </row>
    <row r="1728" ht="15.75" customHeight="1">
      <c r="A1728" s="1">
        <v>1843.0</v>
      </c>
      <c r="B1728" s="3" t="s">
        <v>1703</v>
      </c>
      <c r="C1728" s="3" t="str">
        <f>IFERROR(__xludf.DUMMYFUNCTION("GOOGLETRANSLATE(B1728,""id"",""en"")"),"['Good', 'save', 'expenditure', '']")</f>
        <v>['Good', 'save', 'expenditure', '']</v>
      </c>
      <c r="D1728" s="3">
        <v>5.0</v>
      </c>
    </row>
    <row r="1729" ht="15.75" customHeight="1">
      <c r="A1729" s="1">
        <v>1844.0</v>
      </c>
      <c r="B1729" s="3" t="s">
        <v>1704</v>
      </c>
      <c r="C1729" s="3" t="str">
        <f>IFERROR(__xludf.DUMMYFUNCTION("GOOGLETRANSLATE(B1729,""id"",""en"")"),"['crazy', 'package', 'price', 'expensive', 'compared', 'friend', 'Different', 'Sampe', 'Rb', 'buy', 'package', 'omg', ' Just ',' knapa ',' price ',' disappointed ',' severe ',' Telkomsel ']")</f>
        <v>['crazy', 'package', 'price', 'expensive', 'compared', 'friend', 'Different', 'Sampe', 'Rb', 'buy', 'package', 'omg', ' Just ',' knapa ',' price ',' disappointed ',' severe ',' Telkomsel ']</v>
      </c>
      <c r="D1729" s="3">
        <v>1.0</v>
      </c>
    </row>
    <row r="1730" ht="15.75" customHeight="1">
      <c r="A1730" s="1">
        <v>1845.0</v>
      </c>
      <c r="B1730" s="3" t="s">
        <v>1705</v>
      </c>
      <c r="C1730" s="3" t="str">
        <f>IFERROR(__xludf.DUMMYFUNCTION("GOOGLETRANSLATE(B1730,""id"",""en"")"),"['Network', 'jdi', 'slow', 'kek', 'snail']")</f>
        <v>['Network', 'jdi', 'slow', 'kek', 'snail']</v>
      </c>
      <c r="D1730" s="3">
        <v>1.0</v>
      </c>
    </row>
    <row r="1731" ht="15.75" customHeight="1">
      <c r="A1731" s="1">
        <v>1846.0</v>
      </c>
      <c r="B1731" s="3" t="s">
        <v>1706</v>
      </c>
      <c r="C1731" s="3" t="str">
        <f>IFERROR(__xludf.DUMMYFUNCTION("GOOGLETRANSLATE(B1731,""id"",""en"")"),"['package', 'expensive', 'network', 'bad', 'network', 'lost', 'lost']")</f>
        <v>['package', 'expensive', 'network', 'bad', 'network', 'lost', 'lost']</v>
      </c>
      <c r="D1731" s="3">
        <v>1.0</v>
      </c>
    </row>
    <row r="1732" ht="15.75" customHeight="1">
      <c r="A1732" s="1">
        <v>1848.0</v>
      </c>
      <c r="B1732" s="3" t="s">
        <v>1707</v>
      </c>
      <c r="C1732" s="3" t="str">
        <f>IFERROR(__xludf.DUMMYFUNCTION("GOOGLETRANSLATE(B1732,""id"",""en"")"),"['Telkomsel', 'okay', 'really', '']")</f>
        <v>['Telkomsel', 'okay', 'really', '']</v>
      </c>
      <c r="D1732" s="3">
        <v>5.0</v>
      </c>
    </row>
    <row r="1733" ht="15.75" customHeight="1">
      <c r="A1733" s="1">
        <v>1849.0</v>
      </c>
      <c r="B1733" s="3" t="s">
        <v>1708</v>
      </c>
      <c r="C1733" s="3" t="str">
        <f>IFERROR(__xludf.DUMMYFUNCTION("GOOGLETRANSLATE(B1733,""id"",""en"")"),"['KNPA', 'Oppo', 'Install', 'App', 'Please', 'Help']")</f>
        <v>['KNPA', 'Oppo', 'Install', 'App', 'Please', 'Help']</v>
      </c>
      <c r="D1733" s="3">
        <v>5.0</v>
      </c>
    </row>
    <row r="1734" ht="15.75" customHeight="1">
      <c r="A1734" s="1">
        <v>1850.0</v>
      </c>
      <c r="B1734" s="3" t="s">
        <v>1709</v>
      </c>
      <c r="C1734" s="3" t="str">
        <f>IFERROR(__xludf.DUMMYFUNCTION("GOOGLETRANSLATE(B1734,""id"",""en"")"),"['signal', 'lag', 'please', 'repaired', 'signal', 'area', 'plungok', 'area', '']")</f>
        <v>['signal', 'lag', 'please', 'repaired', 'signal', 'area', 'plungok', 'area', '']</v>
      </c>
      <c r="D1734" s="3">
        <v>1.0</v>
      </c>
    </row>
    <row r="1735" ht="15.75" customHeight="1">
      <c r="A1735" s="1">
        <v>1851.0</v>
      </c>
      <c r="B1735" s="3" t="s">
        <v>1710</v>
      </c>
      <c r="C1735" s="3" t="str">
        <f>IFERROR(__xludf.DUMMYFUNCTION("GOOGLETRANSLATE(B1735,""id"",""en"")"),"['', 'Error', 'then', 'Please', 'Try', 'then']")</f>
        <v>['', 'Error', 'then', 'Please', 'Try', 'then']</v>
      </c>
      <c r="D1735" s="3">
        <v>1.0</v>
      </c>
    </row>
    <row r="1736" ht="15.75" customHeight="1">
      <c r="A1736" s="1">
        <v>1852.0</v>
      </c>
      <c r="B1736" s="3" t="s">
        <v>1711</v>
      </c>
      <c r="C1736" s="3" t="str">
        <f>IFERROR(__xludf.DUMMYFUNCTION("GOOGLETRANSLATE(B1736,""id"",""en"")"),"['Application', 'Telkomsel', 'kren']")</f>
        <v>['Application', 'Telkomsel', 'kren']</v>
      </c>
      <c r="D1736" s="3">
        <v>5.0</v>
      </c>
    </row>
    <row r="1737" ht="15.75" customHeight="1">
      <c r="A1737" s="1">
        <v>1853.0</v>
      </c>
      <c r="B1737" s="3" t="s">
        <v>1712</v>
      </c>
      <c r="C1737" s="3" t="str">
        <f>IFERROR(__xludf.DUMMYFUNCTION("GOOGLETRANSLATE(B1737,""id"",""en"")"),"['Kya', 'Network']")</f>
        <v>['Kya', 'Network']</v>
      </c>
      <c r="D1737" s="3">
        <v>5.0</v>
      </c>
    </row>
    <row r="1738" ht="15.75" customHeight="1">
      <c r="A1738" s="1">
        <v>1854.0</v>
      </c>
      <c r="B1738" s="3" t="s">
        <v>1713</v>
      </c>
      <c r="C1738" s="3" t="str">
        <f>IFERROR(__xludf.DUMMYFUNCTION("GOOGLETRANSLATE(B1738,""id"",""en"")"),"['package', 'expensive', 'expensive', 'try', 'promo', 'quota', 'internet', '']")</f>
        <v>['package', 'expensive', 'expensive', 'try', 'promo', 'quota', 'internet', '']</v>
      </c>
      <c r="D1738" s="3">
        <v>1.0</v>
      </c>
    </row>
    <row r="1739" ht="15.75" customHeight="1">
      <c r="A1739" s="1">
        <v>1855.0</v>
      </c>
      <c r="B1739" s="3" t="s">
        <v>1714</v>
      </c>
      <c r="C1739" s="3" t="str">
        <f>IFERROR(__xludf.DUMMYFUNCTION("GOOGLETRANSLATE(B1739,""id"",""en"")"),"['woi', 'signal', 'kau', 'bangsatttt', '']")</f>
        <v>['woi', 'signal', 'kau', 'bangsatttt', '']</v>
      </c>
      <c r="D1739" s="3">
        <v>1.0</v>
      </c>
    </row>
    <row r="1740" ht="15.75" customHeight="1">
      <c r="A1740" s="1">
        <v>1856.0</v>
      </c>
      <c r="B1740" s="3" t="s">
        <v>1715</v>
      </c>
      <c r="C1740" s="3" t="str">
        <f>IFERROR(__xludf.DUMMYFUNCTION("GOOGLETRANSLATE(B1740,""id"",""en"")"),"['goog', 'good', 'really']")</f>
        <v>['goog', 'good', 'really']</v>
      </c>
      <c r="D1740" s="3">
        <v>5.0</v>
      </c>
    </row>
    <row r="1741" ht="15.75" customHeight="1">
      <c r="A1741" s="1">
        <v>1857.0</v>
      </c>
      <c r="B1741" s="3" t="s">
        <v>1716</v>
      </c>
      <c r="C1741" s="3" t="str">
        <f>IFERROR(__xludf.DUMMYFUNCTION("GOOGLETRANSLATE(B1741,""id"",""en"")"),"['signal', 'bad', 'expensive']")</f>
        <v>['signal', 'bad', 'expensive']</v>
      </c>
      <c r="D1741" s="3">
        <v>1.0</v>
      </c>
    </row>
    <row r="1742" ht="15.75" customHeight="1">
      <c r="A1742" s="1">
        <v>1858.0</v>
      </c>
      <c r="B1742" s="3" t="s">
        <v>1717</v>
      </c>
      <c r="C1742" s="3" t="str">
        <f>IFERROR(__xludf.DUMMYFUNCTION("GOOGLETRANSLATE(B1742,""id"",""en"")"),"['Signal', 'slow']")</f>
        <v>['Signal', 'slow']</v>
      </c>
      <c r="D1742" s="3">
        <v>1.0</v>
      </c>
    </row>
    <row r="1743" ht="15.75" customHeight="1">
      <c r="A1743" s="1">
        <v>1859.0</v>
      </c>
      <c r="B1743" s="3" t="s">
        <v>1718</v>
      </c>
      <c r="C1743" s="3" t="str">
        <f>IFERROR(__xludf.DUMMYFUNCTION("GOOGLETRANSLATE(B1743,""id"",""en"")"),"['Sangangat', 'Help', 'Limbeli', 'Intrnetan']")</f>
        <v>['Sangangat', 'Help', 'Limbeli', 'Intrnetan']</v>
      </c>
      <c r="D1743" s="3">
        <v>5.0</v>
      </c>
    </row>
    <row r="1744" ht="15.75" customHeight="1">
      <c r="A1744" s="1">
        <v>1860.0</v>
      </c>
      <c r="B1744" s="3" t="s">
        <v>1719</v>
      </c>
      <c r="C1744" s="3" t="str">
        <f>IFERROR(__xludf.DUMMYFUNCTION("GOOGLETRANSLATE(B1744,""id"",""en"")"),"['Application', 'Open', 'Nongol', 'Color', 'White']")</f>
        <v>['Application', 'Open', 'Nongol', 'Color', 'White']</v>
      </c>
      <c r="D1744" s="3">
        <v>5.0</v>
      </c>
    </row>
    <row r="1745" ht="15.75" customHeight="1">
      <c r="A1745" s="1">
        <v>1861.0</v>
      </c>
      <c r="B1745" s="3" t="s">
        <v>1720</v>
      </c>
      <c r="C1745" s="3" t="str">
        <f>IFERROR(__xludf.DUMMYFUNCTION("GOOGLETRANSLATE(B1745,""id"",""en"")"),"['Love', 'promo', 'RbU', 'Kya', 'card', 'neighbor', 'mksh']")</f>
        <v>['Love', 'promo', 'RbU', 'Kya', 'card', 'neighbor', 'mksh']</v>
      </c>
      <c r="D1745" s="3">
        <v>5.0</v>
      </c>
    </row>
    <row r="1746" ht="15.75" customHeight="1">
      <c r="A1746" s="1">
        <v>1862.0</v>
      </c>
      <c r="B1746" s="3" t="s">
        <v>1721</v>
      </c>
      <c r="C1746" s="3" t="str">
        <f>IFERROR(__xludf.DUMMYFUNCTION("GOOGLETRANSLATE(B1746,""id"",""en"")"),"['Disappointed', 'buy', 'quota', 'combo', 'Sakti', 'signal', 'ilang']")</f>
        <v>['Disappointed', 'buy', 'quota', 'combo', 'Sakti', 'signal', 'ilang']</v>
      </c>
      <c r="D1746" s="3">
        <v>2.0</v>
      </c>
    </row>
    <row r="1747" ht="15.75" customHeight="1">
      <c r="A1747" s="1">
        <v>1863.0</v>
      </c>
      <c r="B1747" s="3" t="s">
        <v>1722</v>
      </c>
      <c r="C1747" s="3" t="str">
        <f>IFERROR(__xludf.DUMMYFUNCTION("GOOGLETRANSLATE(B1747,""id"",""en"")"),"['Application', 'disappear', 'connection', 'slow', 'slow', 'expensive', 'connection', 'ugly', '']")</f>
        <v>['Application', 'disappear', 'connection', 'slow', 'slow', 'expensive', 'connection', 'ugly', '']</v>
      </c>
      <c r="D1747" s="3">
        <v>1.0</v>
      </c>
    </row>
    <row r="1748" ht="15.75" customHeight="1">
      <c r="A1748" s="1">
        <v>1864.0</v>
      </c>
      <c r="B1748" s="3" t="s">
        <v>1723</v>
      </c>
      <c r="C1748" s="3" t="str">
        <f>IFERROR(__xludf.DUMMYFUNCTION("GOOGLETRANSLATE(B1748,""id"",""en"")"),"['Mantappp', 'Telkomsel', 'Best']")</f>
        <v>['Mantappp', 'Telkomsel', 'Best']</v>
      </c>
      <c r="D1748" s="3">
        <v>5.0</v>
      </c>
    </row>
    <row r="1749" ht="15.75" customHeight="1">
      <c r="A1749" s="1">
        <v>1865.0</v>
      </c>
      <c r="B1749" s="3" t="s">
        <v>1724</v>
      </c>
      <c r="C1749" s="3" t="str">
        <f>IFERROR(__xludf.DUMMYFUNCTION("GOOGLETRANSLATE(B1749,""id"",""en"")"),"['Package', 'Internet', 'all', 'expensive']")</f>
        <v>['Package', 'Internet', 'all', 'expensive']</v>
      </c>
      <c r="D1749" s="3">
        <v>2.0</v>
      </c>
    </row>
    <row r="1750" ht="15.75" customHeight="1">
      <c r="A1750" s="1">
        <v>1866.0</v>
      </c>
      <c r="B1750" s="3" t="s">
        <v>1725</v>
      </c>
      <c r="C1750" s="3" t="str">
        <f>IFERROR(__xludf.DUMMYFUNCTION("GOOGLETRANSLATE(B1750,""id"",""en"")"),"['Login', 'difficult', 'Papua', 'majority', 'users', 'Telkomsel']")</f>
        <v>['Login', 'difficult', 'Papua', 'majority', 'users', 'Telkomsel']</v>
      </c>
      <c r="D1750" s="3">
        <v>1.0</v>
      </c>
    </row>
    <row r="1751" ht="15.75" customHeight="1">
      <c r="A1751" s="1">
        <v>1868.0</v>
      </c>
      <c r="B1751" s="3" t="s">
        <v>1726</v>
      </c>
      <c r="C1751" s="3" t="str">
        <f>IFERROR(__xludf.DUMMYFUNCTION("GOOGLETRANSLATE(B1751,""id"",""en"")"),"['The internet', 'slow', 'kada', 'like', 'network', 'internet', 'tasty', 'network', 'Telkomsel', 'sorry', 'love', 'star', ' ']")</f>
        <v>['The internet', 'slow', 'kada', 'like', 'network', 'internet', 'tasty', 'network', 'Telkomsel', 'sorry', 'love', 'star', ' ']</v>
      </c>
      <c r="D1751" s="3">
        <v>1.0</v>
      </c>
    </row>
    <row r="1752" ht="15.75" customHeight="1">
      <c r="A1752" s="1">
        <v>1870.0</v>
      </c>
      <c r="B1752" s="3" t="s">
        <v>1727</v>
      </c>
      <c r="C1752" s="3" t="str">
        <f>IFERROR(__xludf.DUMMYFUNCTION("GOOGLETRANSLATE(B1752,""id"",""en"")"),"['Can', 'promo', 'parcel', 'missing', 'promo', 'combony', '']")</f>
        <v>['Can', 'promo', 'parcel', 'missing', 'promo', 'combony', '']</v>
      </c>
      <c r="D1752" s="3">
        <v>3.0</v>
      </c>
    </row>
    <row r="1753" ht="15.75" customHeight="1">
      <c r="A1753" s="1">
        <v>1871.0</v>
      </c>
      <c r="B1753" s="3" t="s">
        <v>1728</v>
      </c>
      <c r="C1753" s="3" t="str">
        <f>IFERROR(__xludf.DUMMYFUNCTION("GOOGLETRANSLATE(B1753,""id"",""en"")"),"['Disappointed', 'UDH', 'Blank', 'White']")</f>
        <v>['Disappointed', 'UDH', 'Blank', 'White']</v>
      </c>
      <c r="D1753" s="3">
        <v>2.0</v>
      </c>
    </row>
    <row r="1754" ht="15.75" customHeight="1">
      <c r="A1754" s="1">
        <v>1872.0</v>
      </c>
      <c r="B1754" s="3" t="s">
        <v>1729</v>
      </c>
      <c r="C1754" s="3" t="str">
        <f>IFERROR(__xludf.DUMMYFUNCTION("GOOGLETRANSLATE(B1754,""id"",""en"")"),"['Network', 'ngeleg', 'signal', 'full', 'package', 'buy', '']")</f>
        <v>['Network', 'ngeleg', 'signal', 'full', 'package', 'buy', '']</v>
      </c>
      <c r="D1754" s="3">
        <v>2.0</v>
      </c>
    </row>
    <row r="1755" ht="15.75" customHeight="1">
      <c r="A1755" s="1">
        <v>1873.0</v>
      </c>
      <c r="B1755" s="3" t="s">
        <v>1730</v>
      </c>
      <c r="C1755" s="3" t="str">
        <f>IFERROR(__xludf.DUMMYFUNCTION("GOOGLETRANSLATE(B1755,""id"",""en"")"),"['Application', 'Display', 'Error', 'Screen', 'White']")</f>
        <v>['Application', 'Display', 'Error', 'Screen', 'White']</v>
      </c>
      <c r="D1755" s="3">
        <v>1.0</v>
      </c>
    </row>
    <row r="1756" ht="15.75" customHeight="1">
      <c r="A1756" s="1">
        <v>1874.0</v>
      </c>
      <c r="B1756" s="3" t="s">
        <v>1731</v>
      </c>
      <c r="C1756" s="3" t="str">
        <f>IFERROR(__xludf.DUMMYFUNCTION("GOOGLETRANSLATE(B1756,""id"",""en"")"),"['Increase', 'aspects', 'network', 'stagnant', 'skat', 'use', 'internet']")</f>
        <v>['Increase', 'aspects', 'network', 'stagnant', 'skat', 'use', 'internet']</v>
      </c>
      <c r="D1756" s="3">
        <v>5.0</v>
      </c>
    </row>
    <row r="1757" ht="15.75" customHeight="1">
      <c r="A1757" s="1">
        <v>1875.0</v>
      </c>
      <c r="B1757" s="3" t="s">
        <v>1732</v>
      </c>
      <c r="C1757" s="3" t="str">
        <f>IFERROR(__xludf.DUMMYFUNCTION("GOOGLETRANSLATE(B1757,""id"",""en"")"),"['Govlo', 'Very', 'Telkomsel', 'Lotsin', 'Features', 'Reduce', 'Quality', 'Network', 'Season', 'Ampe', 'Santing', 'Original']")</f>
        <v>['Govlo', 'Very', 'Telkomsel', 'Lotsin', 'Features', 'Reduce', 'Quality', 'Network', 'Season', 'Ampe', 'Santing', 'Original']</v>
      </c>
      <c r="D1757" s="3">
        <v>1.0</v>
      </c>
    </row>
    <row r="1758" ht="15.75" customHeight="1">
      <c r="A1758" s="1">
        <v>1876.0</v>
      </c>
      <c r="B1758" s="3" t="s">
        <v>1733</v>
      </c>
      <c r="C1758" s="3" t="str">
        <f>IFERROR(__xludf.DUMMYFUNCTION("GOOGLETRANSLATE(B1758,""id"",""en"")"),"['Quality', 'ugly', 'service', 'admin', 'WhatsApp', 'friendly', 'Fast', 'response']")</f>
        <v>['Quality', 'ugly', 'service', 'admin', 'WhatsApp', 'friendly', 'Fast', 'response']</v>
      </c>
      <c r="D1758" s="3">
        <v>1.0</v>
      </c>
    </row>
    <row r="1759" ht="15.75" customHeight="1">
      <c r="A1759" s="1">
        <v>1878.0</v>
      </c>
      <c r="B1759" s="3" t="s">
        <v>1734</v>
      </c>
      <c r="C1759" s="3" t="str">
        <f>IFERROR(__xludf.DUMMYFUNCTION("GOOGLETRANSLATE(B1759,""id"",""en"")"),"['Telkomsel', 'great', 'great', 'slow', 'contents',' quota ',' tiktok ',' used ',' eat ',' money ',' people ',' hopefully ',' blessings', 'live', 'network', 'super', 'slow', 'lose', 'AXIS', 'subscription', 'Telkomsel', 'Msih', 'high school', 'Thun', ""]")</f>
        <v>['Telkomsel', 'great', 'great', 'slow', 'contents',' quota ',' tiktok ',' used ',' eat ',' money ',' people ',' hopefully ',' blessings', 'live', 'network', 'super', 'slow', 'lose', 'AXIS', 'subscription', 'Telkomsel', 'Msih', 'high school', 'Thun', "]</v>
      </c>
      <c r="D1759" s="3">
        <v>1.0</v>
      </c>
    </row>
    <row r="1760" ht="15.75" customHeight="1">
      <c r="A1760" s="1">
        <v>1879.0</v>
      </c>
      <c r="B1760" s="3" t="s">
        <v>1735</v>
      </c>
      <c r="C1760" s="3" t="str">
        <f>IFERROR(__xludf.DUMMYFUNCTION("GOOGLETRANSLATE(B1760,""id"",""en"")"),"['please', 'Telkomsel', 'signal', 'right', 'rain', 'rain', 'signal', 'ugly', 'just', 'please', 'fix', '']")</f>
        <v>['please', 'Telkomsel', 'signal', 'right', 'rain', 'rain', 'signal', 'ugly', 'just', 'please', 'fix', '']</v>
      </c>
      <c r="D1760" s="3">
        <v>1.0</v>
      </c>
    </row>
    <row r="1761" ht="15.75" customHeight="1">
      <c r="A1761" s="1">
        <v>1880.0</v>
      </c>
      <c r="B1761" s="3" t="s">
        <v>1736</v>
      </c>
      <c r="C1761" s="3" t="str">
        <f>IFERROR(__xludf.DUMMYFUNCTION("GOOGLETRANSLATE(B1761,""id"",""en"")"),"['BSA', 'Open']")</f>
        <v>['BSA', 'Open']</v>
      </c>
      <c r="D1761" s="3">
        <v>1.0</v>
      </c>
    </row>
    <row r="1762" ht="15.75" customHeight="1">
      <c r="A1762" s="1">
        <v>1881.0</v>
      </c>
      <c r="B1762" s="3" t="s">
        <v>1737</v>
      </c>
      <c r="C1762" s="3" t="str">
        <f>IFERROR(__xludf.DUMMYFUNCTION("GOOGLETRANSLATE(B1762,""id"",""en"")"),"['Buy', 'Package', 'Application', 'Telkomsel', 'Open', '']")</f>
        <v>['Buy', 'Package', 'Application', 'Telkomsel', 'Open', '']</v>
      </c>
      <c r="D1762" s="3">
        <v>5.0</v>
      </c>
    </row>
    <row r="1763" ht="15.75" customHeight="1">
      <c r="A1763" s="1">
        <v>1882.0</v>
      </c>
      <c r="B1763" s="3" t="s">
        <v>1738</v>
      </c>
      <c r="C1763" s="3" t="str">
        <f>IFERROR(__xludf.DUMMYFUNCTION("GOOGLETRANSLATE(B1763,""id"",""en"")"),"['Difficult', 'Used', 'Non', 'Internet']")</f>
        <v>['Difficult', 'Used', 'Non', 'Internet']</v>
      </c>
      <c r="D1763" s="3">
        <v>3.0</v>
      </c>
    </row>
    <row r="1764" ht="15.75" customHeight="1">
      <c r="A1764" s="1">
        <v>1883.0</v>
      </c>
      <c r="B1764" s="3" t="s">
        <v>1739</v>
      </c>
      <c r="C1764" s="3" t="str">
        <f>IFERROR(__xludf.DUMMYFUNCTION("GOOGLETRANSLATE(B1764,""id"",""en"")"),"['Application', 'Ngebug', 'Screen', 'White', 'Doang', ""]")</f>
        <v>['Application', 'Ngebug', 'Screen', 'White', 'Doang', "]</v>
      </c>
      <c r="D1764" s="3">
        <v>1.0</v>
      </c>
    </row>
    <row r="1765" ht="15.75" customHeight="1">
      <c r="A1765" s="1">
        <v>1884.0</v>
      </c>
      <c r="B1765" s="3" t="s">
        <v>1740</v>
      </c>
      <c r="C1765" s="3" t="str">
        <f>IFERROR(__xludf.DUMMYFUNCTION("GOOGLETRANSLATE(B1765,""id"",""en"")"),"['service', 'signal', 'good', 'disappointed', 'price', 'expensive', 'quality', 'fix']")</f>
        <v>['service', 'signal', 'good', 'disappointed', 'price', 'expensive', 'quality', 'fix']</v>
      </c>
      <c r="D1765" s="3">
        <v>1.0</v>
      </c>
    </row>
    <row r="1766" ht="15.75" customHeight="1">
      <c r="A1766" s="1">
        <v>1885.0</v>
      </c>
      <c r="B1766" s="3" t="s">
        <v>1741</v>
      </c>
      <c r="C1766" s="3" t="str">
        <f>IFERROR(__xludf.DUMMYFUNCTION("GOOGLETRANSLATE(B1766,""id"",""en"")"),"['Good', 'name', 'slow']")</f>
        <v>['Good', 'name', 'slow']</v>
      </c>
      <c r="D1766" s="3">
        <v>5.0</v>
      </c>
    </row>
    <row r="1767" ht="15.75" customHeight="1">
      <c r="A1767" s="1">
        <v>1886.0</v>
      </c>
      <c r="B1767" s="3" t="s">
        <v>1742</v>
      </c>
      <c r="C1767" s="3" t="str">
        <f>IFERROR(__xludf.DUMMYFUNCTION("GOOGLETRANSLATE(B1767,""id"",""en"")"),"['Rating', 'bad', 'improvement', 'honest', 'here', 'quality', 'connection', 'bad', 'price', 'package', 'expensive', ' Quality ',' Nambah ',' Nambah ',' Bad ',' Customer ',' loyal ',' Telkomsel ',' Service ',' customer ',' price ',' pay ',' cheap ', ""]")</f>
        <v>['Rating', 'bad', 'improvement', 'honest', 'here', 'quality', 'connection', 'bad', 'price', 'package', 'expensive', ' Quality ',' Nambah ',' Nambah ',' Bad ',' Customer ',' loyal ',' Telkomsel ',' Service ',' customer ',' price ',' pay ',' cheap ', "]</v>
      </c>
      <c r="D1767" s="3">
        <v>1.0</v>
      </c>
    </row>
    <row r="1768" ht="15.75" customHeight="1">
      <c r="A1768" s="1">
        <v>1887.0</v>
      </c>
      <c r="B1768" s="3" t="s">
        <v>1743</v>
      </c>
      <c r="C1768" s="3" t="str">
        <f>IFERROR(__xludf.DUMMYFUNCTION("GOOGLETRANSLATE(B1768,""id"",""en"")"),"['', 'upgrade', 'card', 'Hallo', 'good', 'service', 'poor', 'me', 'stop', 'subscribe', 'emang', 'unlimited', 'unlimited ',' anything ',' ngelag ',' ngelag ',' delete ',' method ',' exchange ',' point ',' tip ',' exchange ',' ']")</f>
        <v>['', 'upgrade', 'card', 'Hallo', 'good', 'service', 'poor', 'me', 'stop', 'subscribe', 'emang', 'unlimited', 'unlimited ',' anything ',' ngelag ',' ngelag ',' delete ',' method ',' exchange ',' point ',' tip ',' exchange ',' ']</v>
      </c>
      <c r="D1768" s="3">
        <v>1.0</v>
      </c>
    </row>
    <row r="1769" ht="15.75" customHeight="1">
      <c r="A1769" s="1">
        <v>1888.0</v>
      </c>
      <c r="B1769" s="3" t="s">
        <v>1744</v>
      </c>
      <c r="C1769" s="3" t="str">
        <f>IFERROR(__xludf.DUMMYFUNCTION("GOOGLETRANSLATE(B1769,""id"",""en"")"),"['Kox', 'Telkomsel', 'Ngak', 'Bukak', ""]")</f>
        <v>['Kox', 'Telkomsel', 'Ngak', 'Bukak', "]</v>
      </c>
      <c r="D1769" s="3">
        <v>1.0</v>
      </c>
    </row>
    <row r="1770" ht="15.75" customHeight="1">
      <c r="A1770" s="1">
        <v>1889.0</v>
      </c>
      <c r="B1770" s="3" t="s">
        <v>1745</v>
      </c>
      <c r="C1770" s="3" t="str">
        <f>IFERROR(__xludf.DUMMYFUNCTION("GOOGLETRANSLATE(B1770,""id"",""en"")"),"['Practical', 'easy', '']")</f>
        <v>['Practical', 'easy', '']</v>
      </c>
      <c r="D1770" s="3">
        <v>5.0</v>
      </c>
    </row>
    <row r="1771" ht="15.75" customHeight="1">
      <c r="A1771" s="1">
        <v>1890.0</v>
      </c>
      <c r="B1771" s="3" t="s">
        <v>1746</v>
      </c>
      <c r="C1771" s="3" t="str">
        <f>IFERROR(__xludf.DUMMYFUNCTION("GOOGLETRANSLATE(B1771,""id"",""en"")"),"['Disappointed', 'really', 'buy', 'package', 'expensive', 'expensive', 'network', 'stable', 'speed', 'network', 'slow']")</f>
        <v>['Disappointed', 'really', 'buy', 'package', 'expensive', 'expensive', 'network', 'stable', 'speed', 'network', 'slow']</v>
      </c>
      <c r="D1771" s="3">
        <v>1.0</v>
      </c>
    </row>
    <row r="1772" ht="15.75" customHeight="1">
      <c r="A1772" s="1">
        <v>1891.0</v>
      </c>
      <c r="B1772" s="3" t="s">
        <v>1747</v>
      </c>
      <c r="C1772" s="3" t="str">
        <f>IFERROR(__xludf.DUMMYFUNCTION("GOOGLETRANSLATE(B1772,""id"",""en"")"),"['Simple', 'use it', 'please', 'fix', 'network', 'yeaa', 'top', 'game', 'simple', ""]")</f>
        <v>['Simple', 'use it', 'please', 'fix', 'network', 'yeaa', 'top', 'game', 'simple', "]</v>
      </c>
      <c r="D1772" s="3">
        <v>3.0</v>
      </c>
    </row>
    <row r="1773" ht="15.75" customHeight="1">
      <c r="A1773" s="1">
        <v>1892.0</v>
      </c>
      <c r="B1773" s="3" t="s">
        <v>1748</v>
      </c>
      <c r="C1773" s="3" t="str">
        <f>IFERROR(__xludf.DUMMYFUNCTION("GOOGLETRANSLATE(B1773,""id"",""en"")"),"['Disappointed', 'Rain', 'Dead', 'Lights', 'Signal', 'Lost', 'Please', 'Repaired', 'Connection', 'Thank you']")</f>
        <v>['Disappointed', 'Rain', 'Dead', 'Lights', 'Signal', 'Lost', 'Please', 'Repaired', 'Connection', 'Thank you']</v>
      </c>
      <c r="D1773" s="3">
        <v>2.0</v>
      </c>
    </row>
    <row r="1774" ht="15.75" customHeight="1">
      <c r="A1774" s="1">
        <v>1893.0</v>
      </c>
      <c r="B1774" s="3" t="s">
        <v>1749</v>
      </c>
      <c r="C1774" s="3" t="str">
        <f>IFERROR(__xludf.DUMMYFUNCTION("GOOGLETRANSLATE(B1774,""id"",""en"")"),"['Network', 'Kontoll', 'expensive', 'buy', 'Package', 'Telkomsel', 'Taikk', 'Open', 'YouTube', 'lag', 'HPus',' Network ',' Mending ',' moved ',' smartfren ',' user ',' Jngan ',' buy ',' Telkomsel ',' loss', 'price', 'package', 'expensive', 'network', '']")</f>
        <v>['Network', 'Kontoll', 'expensive', 'buy', 'Package', 'Telkomsel', 'Taikk', 'Open', 'YouTube', 'lag', 'HPus',' Network ',' Mending ',' moved ',' smartfren ',' user ',' Jngan ',' buy ',' Telkomsel ',' loss', 'price', 'package', 'expensive', 'network', '']</v>
      </c>
      <c r="D1774" s="3">
        <v>1.0</v>
      </c>
    </row>
    <row r="1775" ht="15.75" customHeight="1">
      <c r="A1775" s="1">
        <v>1894.0</v>
      </c>
      <c r="B1775" s="3" t="s">
        <v>1750</v>
      </c>
      <c r="C1775" s="3" t="str">
        <f>IFERROR(__xludf.DUMMYFUNCTION("GOOGLETRANSLATE(B1775,""id"",""en"")"),"['Telkomsel', 'signal', 'emotions',' naek ',' blood ',' good ',' smooth ',' internet ',' nyut ',' signal ',' loading ',' mulu ',' Remote ',' remote ',' how ',' skrg ',' JKRT ',' signal ',' internet ',' pdhal ',' quota ',' msh ',' trouble ',' mulu ',' Telk"&amp;"omsel ' , 'Internet', 'audience', 'disappointed', '']")</f>
        <v>['Telkomsel', 'signal', 'emotions',' naek ',' blood ',' good ',' smooth ',' internet ',' nyut ',' signal ',' loading ',' mulu ',' Remote ',' remote ',' how ',' skrg ',' JKRT ',' signal ',' internet ',' pdhal ',' quota ',' msh ',' trouble ',' mulu ',' Telkomsel ' , 'Internet', 'audience', 'disappointed', '']</v>
      </c>
      <c r="D1775" s="3">
        <v>1.0</v>
      </c>
    </row>
    <row r="1776" ht="15.75" customHeight="1">
      <c r="A1776" s="1">
        <v>1895.0</v>
      </c>
      <c r="B1776" s="3" t="s">
        <v>1751</v>
      </c>
      <c r="C1776" s="3" t="str">
        <f>IFERROR(__xludf.DUMMYFUNCTION("GOOGLETRANSLATE(B1776,""id"",""en"")"),"['Sometimes', 'tasty', 'times', 'pakek', 'application', 'congratulations', 'application', 'steady', 'staple']")</f>
        <v>['Sometimes', 'tasty', 'times', 'pakek', 'application', 'congratulations', 'application', 'steady', 'staple']</v>
      </c>
      <c r="D1776" s="3">
        <v>5.0</v>
      </c>
    </row>
    <row r="1777" ht="15.75" customHeight="1">
      <c r="A1777" s="1">
        <v>1896.0</v>
      </c>
      <c r="B1777" s="3" t="s">
        <v>1752</v>
      </c>
      <c r="C1777" s="3" t="str">
        <f>IFERROR(__xludf.DUMMYFUNCTION("GOOGLETRANSLATE(B1777,""id"",""en"")"),"['Sell', 'Tower', 'signal', 'ugly']")</f>
        <v>['Sell', 'Tower', 'signal', 'ugly']</v>
      </c>
      <c r="D1777" s="3">
        <v>1.0</v>
      </c>
    </row>
    <row r="1778" ht="15.75" customHeight="1">
      <c r="A1778" s="1">
        <v>1897.0</v>
      </c>
      <c r="B1778" s="3" t="s">
        <v>1753</v>
      </c>
      <c r="C1778" s="3" t="str">
        <f>IFERROR(__xludf.DUMMYFUNCTION("GOOGLETRANSLATE(B1778,""id"",""en"")"),"['steady', 'package', 'PDA', 'cheap', 'promo']")</f>
        <v>['steady', 'package', 'PDA', 'cheap', 'promo']</v>
      </c>
      <c r="D1778" s="3">
        <v>5.0</v>
      </c>
    </row>
    <row r="1779" ht="15.75" customHeight="1">
      <c r="A1779" s="1">
        <v>1898.0</v>
      </c>
      <c r="B1779" s="3" t="s">
        <v>1754</v>
      </c>
      <c r="C1779" s="3" t="str">
        <f>IFERROR(__xludf.DUMMYFUNCTION("GOOGLETRANSLATE(B1779,""id"",""en"")"),"['', 'open']")</f>
        <v>['', 'open']</v>
      </c>
      <c r="D1779" s="3">
        <v>1.0</v>
      </c>
    </row>
    <row r="1780" ht="15.75" customHeight="1">
      <c r="A1780" s="1">
        <v>1899.0</v>
      </c>
      <c r="B1780" s="3" t="s">
        <v>1755</v>
      </c>
      <c r="C1780" s="3" t="str">
        <f>IFERROR(__xludf.DUMMYFUNCTION("GOOGLETRANSLATE(B1780,""id"",""en"")"),"['Login', 'strange', 'Telkomsel', 'click', 'Link', 'SMS', 'click']")</f>
        <v>['Login', 'strange', 'Telkomsel', 'click', 'Link', 'SMS', 'click']</v>
      </c>
      <c r="D1780" s="3">
        <v>5.0</v>
      </c>
    </row>
    <row r="1781" ht="15.75" customHeight="1">
      <c r="A1781" s="1">
        <v>1900.0</v>
      </c>
      <c r="B1781" s="3" t="s">
        <v>1756</v>
      </c>
      <c r="C1781" s="3" t="str">
        <f>IFERROR(__xludf.DUMMYFUNCTION("GOOGLETRANSLATE(B1781,""id"",""en"")"),"['Disappointed', 'Telkomsel', 'Make', 'Combo', 'Sakti', 'Unliminitide', 'Package', 'Main', 'Already', 'Abis',' Lemot ',' Really ',' package ',' Multemedia ',' then ',' slow ',' really ',' Aduhh ',' Kefewa ',' rich ',' combo ',' sakta ',' kouta ',' main ',"&amp;"' Abis' , 'smooth', 'internet', 'slow', 'different', '']")</f>
        <v>['Disappointed', 'Telkomsel', 'Make', 'Combo', 'Sakti', 'Unliminitide', 'Package', 'Main', 'Already', 'Abis',' Lemot ',' Really ',' package ',' Multemedia ',' then ',' slow ',' really ',' Aduhh ',' Kefewa ',' rich ',' combo ',' sakta ',' kouta ',' main ',' Abis' , 'smooth', 'internet', 'slow', 'different', '']</v>
      </c>
      <c r="D1781" s="3">
        <v>1.0</v>
      </c>
    </row>
    <row r="1782" ht="15.75" customHeight="1">
      <c r="A1782" s="1">
        <v>1901.0</v>
      </c>
      <c r="B1782" s="3" t="s">
        <v>1757</v>
      </c>
      <c r="C1782" s="3" t="str">
        <f>IFERROR(__xludf.DUMMYFUNCTION("GOOGLETRANSLATE(B1782,""id"",""en"")"),"['promo', 'package', 'for', 'card', 'cheap', 'derived', 'price']")</f>
        <v>['promo', 'package', 'for', 'card', 'cheap', 'derived', 'price']</v>
      </c>
      <c r="D1782" s="3">
        <v>5.0</v>
      </c>
    </row>
    <row r="1783" ht="15.75" customHeight="1">
      <c r="A1783" s="1">
        <v>1902.0</v>
      </c>
      <c r="B1783" s="3" t="s">
        <v>1758</v>
      </c>
      <c r="C1783" s="3" t="str">
        <f>IFERROR(__xludf.DUMMYFUNCTION("GOOGLETRANSLATE(B1783,""id"",""en"")"),"['Convenience', 'transact', 'Ribet', ""]")</f>
        <v>['Convenience', 'transact', 'Ribet', "]</v>
      </c>
      <c r="D1783" s="3">
        <v>5.0</v>
      </c>
    </row>
    <row r="1784" ht="15.75" customHeight="1">
      <c r="A1784" s="1">
        <v>1903.0</v>
      </c>
      <c r="B1784" s="3" t="s">
        <v>1759</v>
      </c>
      <c r="C1784" s="3" t="str">
        <f>IFERROR(__xludf.DUMMYFUNCTION("GOOGLETRANSLATE(B1784,""id"",""en"")"),"['Kek', 'Man', 'Telkomsel', 'Package', 'Call', 'Phone', 'Kagak']")</f>
        <v>['Kek', 'Man', 'Telkomsel', 'Package', 'Call', 'Phone', 'Kagak']</v>
      </c>
      <c r="D1784" s="3">
        <v>1.0</v>
      </c>
    </row>
    <row r="1785" ht="15.75" customHeight="1">
      <c r="A1785" s="1">
        <v>1904.0</v>
      </c>
      <c r="B1785" s="3" t="s">
        <v>1760</v>
      </c>
      <c r="C1785" s="3" t="str">
        <f>IFERROR(__xludf.DUMMYFUNCTION("GOOGLETRANSLATE(B1785,""id"",""en"")"),"['already', 'update']")</f>
        <v>['already', 'update']</v>
      </c>
      <c r="D1785" s="3">
        <v>1.0</v>
      </c>
    </row>
    <row r="1786" ht="15.75" customHeight="1">
      <c r="A1786" s="1">
        <v>1905.0</v>
      </c>
      <c r="B1786" s="3" t="s">
        <v>1761</v>
      </c>
      <c r="C1786" s="3" t="str">
        <f>IFERROR(__xludf.DUMMYFUNCTION("GOOGLETRANSLATE(B1786,""id"",""en"")"),"['go home', 'work', 'saturated', 'dizziness',' mind ',' wanted ',' really ',' rest ',' watch ',' vidio ',' film ',' anything ',' Entertaining ',' Sinyal ',' ugly ',' really ',' Ouch ',' depression ',' dead ', ""]")</f>
        <v>['go home', 'work', 'saturated', 'dizziness',' mind ',' wanted ',' really ',' rest ',' watch ',' vidio ',' film ',' anything ',' Entertaining ',' Sinyal ',' ugly ',' really ',' Ouch ',' depression ',' dead ', "]</v>
      </c>
      <c r="D1786" s="3">
        <v>3.0</v>
      </c>
    </row>
    <row r="1787" ht="15.75" customHeight="1">
      <c r="A1787" s="1">
        <v>1906.0</v>
      </c>
      <c r="B1787" s="3" t="s">
        <v>1762</v>
      </c>
      <c r="C1787" s="3" t="str">
        <f>IFERROR(__xludf.DUMMYFUNCTION("GOOGLETRANSLATE(B1787,""id"",""en"")"),"['network', 'kek', 'that's', 'buy', 'expensive', 'expensive', 'network', 'ugly']")</f>
        <v>['network', 'kek', 'that's', 'buy', 'expensive', 'expensive', 'network', 'ugly']</v>
      </c>
      <c r="D1787" s="3">
        <v>1.0</v>
      </c>
    </row>
    <row r="1788" ht="15.75" customHeight="1">
      <c r="A1788" s="1">
        <v>1907.0</v>
      </c>
      <c r="B1788" s="3" t="s">
        <v>1763</v>
      </c>
      <c r="C1788" s="3" t="str">
        <f>IFERROR(__xludf.DUMMYFUNCTION("GOOGLETRANSLATE(B1788,""id"",""en"")"),"['sinnyal', 'good', 'network', 'ugly', 'mending', 'love', 'sinnyal', 'sexalian']")</f>
        <v>['sinnyal', 'good', 'network', 'ugly', 'mending', 'love', 'sinnyal', 'sexalian']</v>
      </c>
      <c r="D1788" s="3">
        <v>1.0</v>
      </c>
    </row>
    <row r="1789" ht="15.75" customHeight="1">
      <c r="A1789" s="1">
        <v>1908.0</v>
      </c>
      <c r="B1789" s="3" t="s">
        <v>1764</v>
      </c>
      <c r="C1789" s="3" t="str">
        <f>IFERROR(__xludf.DUMMYFUNCTION("GOOGLETRANSLATE(B1789,""id"",""en"")"),"['application', 'easy', 'buy', 'package', 'discount', 'nyaaaaa', '']")</f>
        <v>['application', 'easy', 'buy', 'package', 'discount', 'nyaaaaa', '']</v>
      </c>
      <c r="D1789" s="3">
        <v>5.0</v>
      </c>
    </row>
    <row r="1790" ht="15.75" customHeight="1">
      <c r="A1790" s="1">
        <v>1909.0</v>
      </c>
      <c r="B1790" s="3" t="s">
        <v>1765</v>
      </c>
      <c r="C1790" s="3" t="str">
        <f>IFERROR(__xludf.DUMMYFUNCTION("GOOGLETRANSLATE(B1790,""id"",""en"")"),"['Android', 'Open', 'Tsel', 'blank', 'screen', 'white', '']")</f>
        <v>['Android', 'Open', 'Tsel', 'blank', 'screen', 'white', '']</v>
      </c>
      <c r="D1790" s="3">
        <v>1.0</v>
      </c>
    </row>
    <row r="1791" ht="15.75" customHeight="1">
      <c r="A1791" s="1">
        <v>1910.0</v>
      </c>
      <c r="B1791" s="3" t="s">
        <v>1766</v>
      </c>
      <c r="C1791" s="3" t="str">
        <f>IFERROR(__xludf.DUMMYFUNCTION("GOOGLETRANSLATE(B1791,""id"",""en"")"),"['buy', 'quota', 'expensive', 'lazy', 'lag', 'bang', 'bigger', 'gajelas', 'bngt', 'smpe', 'see', 'kaga']")</f>
        <v>['buy', 'quota', 'expensive', 'lazy', 'lag', 'bang', 'bigger', 'gajelas', 'bngt', 'smpe', 'see', 'kaga']</v>
      </c>
      <c r="D1791" s="3">
        <v>1.0</v>
      </c>
    </row>
    <row r="1792" ht="15.75" customHeight="1">
      <c r="A1792" s="1">
        <v>1911.0</v>
      </c>
      <c r="B1792" s="3" t="s">
        <v>1767</v>
      </c>
      <c r="C1792" s="3" t="str">
        <f>IFERROR(__xludf.DUMMYFUNCTION("GOOGLETRANSLATE(B1792,""id"",""en"")"),"['buy', 'pulse', 'thousand', 'Rupiah', 'Telkomsel', 'enter', 'pay', 'virtual', 'ACOUNT', 'BCA', 'enter', 'please', ' response']")</f>
        <v>['buy', 'pulse', 'thousand', 'Rupiah', 'Telkomsel', 'enter', 'pay', 'virtual', 'ACOUNT', 'BCA', 'enter', 'please', ' response']</v>
      </c>
      <c r="D1792" s="3">
        <v>1.0</v>
      </c>
    </row>
    <row r="1793" ht="15.75" customHeight="1">
      <c r="A1793" s="1">
        <v>1912.0</v>
      </c>
      <c r="B1793" s="3" t="s">
        <v>1768</v>
      </c>
      <c r="C1793" s="3" t="str">
        <f>IFERROR(__xludf.DUMMYFUNCTION("GOOGLETRANSLATE(B1793,""id"",""en"")"),"['service', 'friendly', 'complicated', 'RUWED', 'difficult', 'stingy', 'plin', 'plan']")</f>
        <v>['service', 'friendly', 'complicated', 'RUWED', 'difficult', 'stingy', 'plin', 'plan']</v>
      </c>
      <c r="D1793" s="3">
        <v>1.0</v>
      </c>
    </row>
    <row r="1794" ht="15.75" customHeight="1">
      <c r="A1794" s="1">
        <v>1913.0</v>
      </c>
      <c r="B1794" s="3" t="s">
        <v>1769</v>
      </c>
      <c r="C1794" s="3" t="str">
        <f>IFERROR(__xludf.DUMMYFUNCTION("GOOGLETRANSLATE(B1794,""id"",""en"")"),"['gabisa', 'transaction', 'buy', 'pulse']")</f>
        <v>['gabisa', 'transaction', 'buy', 'pulse']</v>
      </c>
      <c r="D1794" s="3">
        <v>1.0</v>
      </c>
    </row>
    <row r="1795" ht="15.75" customHeight="1">
      <c r="A1795" s="1">
        <v>1914.0</v>
      </c>
      <c r="B1795" s="3" t="s">
        <v>1770</v>
      </c>
      <c r="C1795" s="3" t="str">
        <f>IFERROR(__xludf.DUMMYFUNCTION("GOOGLETRANSLATE(B1795,""id"",""en"")"),"['', 'Sexeled', 'Best']")</f>
        <v>['', 'Sexeled', 'Best']</v>
      </c>
      <c r="D1795" s="3">
        <v>5.0</v>
      </c>
    </row>
    <row r="1796" ht="15.75" customHeight="1">
      <c r="A1796" s="1">
        <v>1915.0</v>
      </c>
      <c r="B1796" s="3" t="s">
        <v>1771</v>
      </c>
      <c r="C1796" s="3" t="str">
        <f>IFERROR(__xludf.DUMMYFUNCTION("GOOGLETRANSLATE(B1796,""id"",""en"")"),"['Telkomsel', 'sekrang', 'error', 'network', 'blm', 'smooth', ""]")</f>
        <v>['Telkomsel', 'sekrang', 'error', 'network', 'blm', 'smooth', "]</v>
      </c>
      <c r="D1796" s="3">
        <v>3.0</v>
      </c>
    </row>
    <row r="1797" ht="15.75" customHeight="1">
      <c r="A1797" s="1">
        <v>1916.0</v>
      </c>
      <c r="B1797" s="3" t="s">
        <v>1772</v>
      </c>
      <c r="C1797" s="3" t="str">
        <f>IFERROR(__xludf.DUMMYFUNCTION("GOOGLETRANSLATE(B1797,""id"",""en"")"),"['Paketan', 'expensive', 'signal', 'Jing', '']")</f>
        <v>['Paketan', 'expensive', 'signal', 'Jing', '']</v>
      </c>
      <c r="D1797" s="3">
        <v>1.0</v>
      </c>
    </row>
    <row r="1798" ht="15.75" customHeight="1">
      <c r="A1798" s="1">
        <v>1917.0</v>
      </c>
      <c r="B1798" s="3" t="s">
        <v>1773</v>
      </c>
      <c r="C1798" s="3" t="str">
        <f>IFERROR(__xludf.DUMMYFUNCTION("GOOGLETRANSLATE(B1798,""id"",""en"")"),"['Telkomsel', 'Open', 'Uda', 'Delete', 'Download', 'Update', 'Tetep', 'Open', 'Please', 'Explanation', ""]")</f>
        <v>['Telkomsel', 'Open', 'Uda', 'Delete', 'Download', 'Update', 'Tetep', 'Open', 'Please', 'Explanation', "]</v>
      </c>
      <c r="D1798" s="3">
        <v>1.0</v>
      </c>
    </row>
    <row r="1799" ht="15.75" customHeight="1">
      <c r="A1799" s="1">
        <v>1918.0</v>
      </c>
      <c r="B1799" s="3" t="s">
        <v>478</v>
      </c>
      <c r="C1799" s="3" t="str">
        <f>IFERROR(__xludf.DUMMYFUNCTION("GOOGLETRANSLATE(B1799,""id"",""en"")"),"Of course")</f>
        <v>Of course</v>
      </c>
      <c r="D1799" s="3">
        <v>5.0</v>
      </c>
    </row>
    <row r="1800" ht="15.75" customHeight="1">
      <c r="A1800" s="1">
        <v>1919.0</v>
      </c>
      <c r="B1800" s="3" t="s">
        <v>1774</v>
      </c>
      <c r="C1800" s="3" t="str">
        <f>IFERROR(__xludf.DUMMYFUNCTION("GOOGLETRANSLATE(B1800,""id"",""en"")"),"['', 'application', 'Telkomsel', 'open', 'yahh', 'smooth']")</f>
        <v>['', 'application', 'Telkomsel', 'open', 'yahh', 'smooth']</v>
      </c>
      <c r="D1800" s="3">
        <v>2.0</v>
      </c>
    </row>
    <row r="1801" ht="15.75" customHeight="1">
      <c r="A1801" s="1">
        <v>1920.0</v>
      </c>
      <c r="B1801" s="3" t="s">
        <v>1775</v>
      </c>
      <c r="C1801" s="3" t="str">
        <f>IFERROR(__xludf.DUMMYFUNCTION("GOOGLETRANSLATE(B1801,""id"",""en"")"),"['Price', 'Products', 'Telkomsel', 'Different', 'Thin', 'Price', 'Pasar', 'Young', 'Top', 'Pasar']")</f>
        <v>['Price', 'Products', 'Telkomsel', 'Different', 'Thin', 'Price', 'Pasar', 'Young', 'Top', 'Pasar']</v>
      </c>
      <c r="D1801" s="3">
        <v>3.0</v>
      </c>
    </row>
    <row r="1802" ht="15.75" customHeight="1">
      <c r="A1802" s="1">
        <v>1922.0</v>
      </c>
      <c r="B1802" s="3" t="s">
        <v>1776</v>
      </c>
      <c r="C1802" s="3" t="str">
        <f>IFERROR(__xludf.DUMMYFUNCTION("GOOGLETRANSLATE(B1802,""id"",""en"")"),"['Good', 'Please', 'Increase']")</f>
        <v>['Good', 'Please', 'Increase']</v>
      </c>
      <c r="D1802" s="3">
        <v>5.0</v>
      </c>
    </row>
    <row r="1803" ht="15.75" customHeight="1">
      <c r="A1803" s="1">
        <v>1923.0</v>
      </c>
      <c r="B1803" s="3" t="s">
        <v>1777</v>
      </c>
      <c r="C1803" s="3" t="str">
        <f>IFERROR(__xludf.DUMMYFUNCTION("GOOGLETRANSLATE(B1803,""id"",""en"")"),"['Sis', 'Bagus', 'ride', 'star', 'mkny', 'ksih', 'price', 'package', 'italic', 'expensive', '']")</f>
        <v>['Sis', 'Bagus', 'ride', 'star', 'mkny', 'ksih', 'price', 'package', 'italic', 'expensive', '']</v>
      </c>
      <c r="D1803" s="3">
        <v>3.0</v>
      </c>
    </row>
    <row r="1804" ht="15.75" customHeight="1">
      <c r="A1804" s="1">
        <v>1924.0</v>
      </c>
      <c r="B1804" s="3" t="s">
        <v>1778</v>
      </c>
      <c r="C1804" s="3" t="str">
        <f>IFERROR(__xludf.DUMMYFUNCTION("GOOGLETRANSLATE(B1804,""id"",""en"")"),"['Telkomsel', 'city', 'klw', 'area', 'plain', 'mountains',' difficult ',' signal ',' network ',' anything ',' difficult ',' beg ',' Note ',' village ',' stay ',' plains', '']")</f>
        <v>['Telkomsel', 'city', 'klw', 'area', 'plain', 'mountains',' difficult ',' signal ',' network ',' anything ',' difficult ',' beg ',' Note ',' village ',' stay ',' plains', '']</v>
      </c>
      <c r="D1804" s="3">
        <v>5.0</v>
      </c>
    </row>
    <row r="1805" ht="15.75" customHeight="1">
      <c r="A1805" s="1">
        <v>1925.0</v>
      </c>
      <c r="B1805" s="3" t="s">
        <v>1779</v>
      </c>
      <c r="C1805" s="3" t="str">
        <f>IFERROR(__xludf.DUMMYFUNCTION("GOOGLETRANSLATE(B1805,""id"",""en"")"),"['Pay', 'package', 'expensive', 'network', 'slow', 'game', 'nglag', 'severe']")</f>
        <v>['Pay', 'package', 'expensive', 'network', 'slow', 'game', 'nglag', 'severe']</v>
      </c>
      <c r="D1805" s="3">
        <v>1.0</v>
      </c>
    </row>
    <row r="1806" ht="15.75" customHeight="1">
      <c r="A1806" s="1">
        <v>1926.0</v>
      </c>
      <c r="B1806" s="3" t="s">
        <v>1780</v>
      </c>
      <c r="C1806" s="3" t="str">
        <f>IFERROR(__xludf.DUMMYFUNCTION("GOOGLETRANSLATE(B1806,""id"",""en"")"),"['hopefully', '']")</f>
        <v>['hopefully', '']</v>
      </c>
      <c r="D1806" s="3">
        <v>5.0</v>
      </c>
    </row>
    <row r="1807" ht="15.75" customHeight="1">
      <c r="A1807" s="1">
        <v>1927.0</v>
      </c>
      <c r="B1807" s="3" t="s">
        <v>1781</v>
      </c>
      <c r="C1807" s="3" t="str">
        <f>IFERROR(__xludf.DUMMYFUNCTION("GOOGLETRANSLATE(B1807,""id"",""en"")"),"['easy', 'easy', 'buy', 'pulse', 'data']")</f>
        <v>['easy', 'easy', 'buy', 'pulse', 'data']</v>
      </c>
      <c r="D1807" s="3">
        <v>5.0</v>
      </c>
    </row>
    <row r="1808" ht="15.75" customHeight="1">
      <c r="A1808" s="1">
        <v>1928.0</v>
      </c>
      <c r="B1808" s="3" t="s">
        <v>1782</v>
      </c>
      <c r="C1808" s="3" t="str">
        <f>IFERROR(__xludf.DUMMYFUNCTION("GOOGLETRANSLATE(B1808,""id"",""en"")"),"['menu', 'choice', 'buy', 'package', 'data', 'price', 'IDR', 'run out', 'fill', 'pulses',' leftover ',' pulses', ' stay ',' security ',' the rest ',' credit ',' check ',' leftover ',' please ',' really ',' computer ',' operator ',' ngacok ',' woi ',' telk"&amp;"omsel ' , 'sympathy', 'LTE', 'Brekele', 'Bener']")</f>
        <v>['menu', 'choice', 'buy', 'package', 'data', 'price', 'IDR', 'run out', 'fill', 'pulses',' leftover ',' pulses', ' stay ',' security ',' the rest ',' credit ',' check ',' leftover ',' please ',' really ',' computer ',' operator ',' ngacok ',' woi ',' telkomsel ' , 'sympathy', 'LTE', 'Brekele', 'Bener']</v>
      </c>
      <c r="D1808" s="3">
        <v>4.0</v>
      </c>
    </row>
    <row r="1809" ht="15.75" customHeight="1">
      <c r="A1809" s="1">
        <v>1929.0</v>
      </c>
      <c r="B1809" s="3" t="s">
        <v>1783</v>
      </c>
      <c r="C1809" s="3" t="str">
        <f>IFERROR(__xludf.DUMMYFUNCTION("GOOGLETRANSLATE(B1809,""id"",""en"")"),"['Help', 'process', 'learn']")</f>
        <v>['Help', 'process', 'learn']</v>
      </c>
      <c r="D1809" s="3">
        <v>5.0</v>
      </c>
    </row>
    <row r="1810" ht="15.75" customHeight="1">
      <c r="A1810" s="1">
        <v>1930.0</v>
      </c>
      <c r="B1810" s="3" t="s">
        <v>1784</v>
      </c>
      <c r="C1810" s="3" t="str">
        <f>IFERROR(__xludf.DUMMYFUNCTION("GOOGLETRANSLATE(B1810,""id"",""en"")"),"['Application', 'TOP']")</f>
        <v>['Application', 'TOP']</v>
      </c>
      <c r="D1810" s="3">
        <v>5.0</v>
      </c>
    </row>
    <row r="1811" ht="15.75" customHeight="1">
      <c r="A1811" s="1">
        <v>1931.0</v>
      </c>
      <c r="B1811" s="3" t="s">
        <v>1785</v>
      </c>
      <c r="C1811" s="3" t="str">
        <f>IFERROR(__xludf.DUMMYFUNCTION("GOOGLETRANSLATE(B1811,""id"",""en"")"),"['Please', 'improve', 'network', 'buy', 'quota', 'package', 'money', 'quality', 'adequate', 'forward', 'dilapidated']")</f>
        <v>['Please', 'improve', 'network', 'buy', 'quota', 'package', 'money', 'quality', 'adequate', 'forward', 'dilapidated']</v>
      </c>
      <c r="D1811" s="3">
        <v>1.0</v>
      </c>
    </row>
    <row r="1812" ht="15.75" customHeight="1">
      <c r="A1812" s="1">
        <v>1933.0</v>
      </c>
      <c r="B1812" s="3" t="s">
        <v>1786</v>
      </c>
      <c r="C1812" s="3" t="str">
        <f>IFERROR(__xludf.DUMMYFUNCTION("GOOGLETRANSLATE(B1812,""id"",""en"")"),"['easy', 'purchase', 'quota', 'internet', 'promo', 'interesting', '']")</f>
        <v>['easy', 'purchase', 'quota', 'internet', 'promo', 'interesting', '']</v>
      </c>
      <c r="D1812" s="3">
        <v>5.0</v>
      </c>
    </row>
    <row r="1813" ht="15.75" customHeight="1">
      <c r="A1813" s="1">
        <v>1934.0</v>
      </c>
      <c r="B1813" s="3" t="s">
        <v>1787</v>
      </c>
      <c r="C1813" s="3" t="str">
        <f>IFERROR(__xludf.DUMMYFUNCTION("GOOGLETRANSLATE(B1813,""id"",""en"")"),"['Hope it is useful']")</f>
        <v>['Hope it is useful']</v>
      </c>
      <c r="D1813" s="3">
        <v>5.0</v>
      </c>
    </row>
    <row r="1814" ht="15.75" customHeight="1">
      <c r="A1814" s="1">
        <v>1935.0</v>
      </c>
      <c r="B1814" s="3" t="s">
        <v>1788</v>
      </c>
      <c r="C1814" s="3" t="str">
        <f>IFERROR(__xludf.DUMMYFUNCTION("GOOGLETRANSLATE(B1814,""id"",""en"")"),"['Affairs', 'easy']")</f>
        <v>['Affairs', 'easy']</v>
      </c>
      <c r="D1814" s="3">
        <v>5.0</v>
      </c>
    </row>
    <row r="1815" ht="15.75" customHeight="1">
      <c r="A1815" s="1">
        <v>1936.0</v>
      </c>
      <c r="B1815" s="3" t="s">
        <v>1789</v>
      </c>
      <c r="C1815" s="3" t="str">
        <f>IFERROR(__xludf.DUMMYFUNCTION("GOOGLETRANSLATE(B1815,""id"",""en"")"),"['standard', 'good', 'look', 'slow', 'lose', 'next door']")</f>
        <v>['standard', 'good', 'look', 'slow', 'lose', 'next door']</v>
      </c>
      <c r="D1815" s="3">
        <v>1.0</v>
      </c>
    </row>
    <row r="1816" ht="15.75" customHeight="1">
      <c r="A1816" s="1">
        <v>1937.0</v>
      </c>
      <c r="B1816" s="3" t="s">
        <v>1790</v>
      </c>
      <c r="C1816" s="3" t="str">
        <f>IFERROR(__xludf.DUMMYFUNCTION("GOOGLETRANSLATE(B1816,""id"",""en"")"),"['signal', 'Telkomsel', 'kayak', 'taiiiii', 'anjinggggg']")</f>
        <v>['signal', 'Telkomsel', 'kayak', 'taiiiii', 'anjinggggg']</v>
      </c>
      <c r="D1816" s="3">
        <v>1.0</v>
      </c>
    </row>
    <row r="1817" ht="15.75" customHeight="1">
      <c r="A1817" s="1">
        <v>1938.0</v>
      </c>
      <c r="B1817" s="3" t="s">
        <v>1791</v>
      </c>
      <c r="C1817" s="3" t="str">
        <f>IFERROR(__xludf.DUMMYFUNCTION("GOOGLETRANSLATE(B1817,""id"",""en"")"),"['complete']")</f>
        <v>['complete']</v>
      </c>
      <c r="D1817" s="3">
        <v>5.0</v>
      </c>
    </row>
    <row r="1818" ht="15.75" customHeight="1">
      <c r="A1818" s="1">
        <v>1939.0</v>
      </c>
      <c r="B1818" s="3" t="s">
        <v>1792</v>
      </c>
      <c r="C1818" s="3" t="str">
        <f>IFERROR(__xludf.DUMMYFUNCTION("GOOGLETRANSLATE(B1818,""id"",""en"")"),"['contents',' pulse ',' RB ',' open ',' application ',' reduced ',' purchase ',' anything ',' buy ',' package ',' night ',' GB ',' rb ',' appears', 'quota', 'pulse', 'cheek', 'check', 'sms',' message ',' check ',' check ',' quota ',' written ' , 'Credit',"&amp;" 'chick', 'at the time', 'buy', 'package', 'night', 'quota', 'entry', 'Please', 'help', ""]")</f>
        <v>['contents',' pulse ',' RB ',' open ',' application ',' reduced ',' purchase ',' anything ',' buy ',' package ',' night ',' GB ',' rb ',' appears', 'quota', 'pulse', 'cheek', 'check', 'sms',' message ',' check ',' check ',' quota ',' written ' , 'Credit', 'chick', 'at the time', 'buy', 'package', 'night', 'quota', 'entry', 'Please', 'help', "]</v>
      </c>
      <c r="D1818" s="3">
        <v>1.0</v>
      </c>
    </row>
    <row r="1819" ht="15.75" customHeight="1">
      <c r="A1819" s="1">
        <v>1940.0</v>
      </c>
      <c r="B1819" s="3" t="s">
        <v>1793</v>
      </c>
      <c r="C1819" s="3" t="str">
        <f>IFERROR(__xludf.DUMMYFUNCTION("GOOGLETRANSLATE(B1819,""id"",""en"")"),"['expensive', 'doang', 'network', 'rich', 'dog', 'ngeleg', 'severe', 'really']")</f>
        <v>['expensive', 'doang', 'network', 'rich', 'dog', 'ngeleg', 'severe', 'really']</v>
      </c>
      <c r="D1819" s="3">
        <v>1.0</v>
      </c>
    </row>
    <row r="1820" ht="15.75" customHeight="1">
      <c r="A1820" s="1">
        <v>1941.0</v>
      </c>
      <c r="B1820" s="3" t="s">
        <v>1794</v>
      </c>
      <c r="C1820" s="3" t="str">
        <f>IFERROR(__xludf.DUMMYFUNCTION("GOOGLETRANSLATE(B1820,""id"",""en"")"),"['Install', 'Telkomsel', 'opened', 'please', 'assisted', 'information', 'solution', '']")</f>
        <v>['Install', 'Telkomsel', 'opened', 'please', 'assisted', 'information', 'solution', '']</v>
      </c>
      <c r="D1820" s="3">
        <v>1.0</v>
      </c>
    </row>
    <row r="1821" ht="15.75" customHeight="1">
      <c r="A1821" s="1">
        <v>1942.0</v>
      </c>
      <c r="B1821" s="3" t="s">
        <v>1795</v>
      </c>
      <c r="C1821" s="3" t="str">
        <f>IFERROR(__xludf.DUMMYFUNCTION("GOOGLETRANSLATE(B1821,""id"",""en"")"),"['Mehong', 'signal', 'no', 'stable', 'esmosi', '']")</f>
        <v>['Mehong', 'signal', 'no', 'stable', 'esmosi', '']</v>
      </c>
      <c r="D1821" s="3">
        <v>2.0</v>
      </c>
    </row>
    <row r="1822" ht="15.75" customHeight="1">
      <c r="A1822" s="1">
        <v>1943.0</v>
      </c>
      <c r="B1822" s="3" t="s">
        <v>1796</v>
      </c>
      <c r="C1822" s="3" t="str">
        <f>IFERROR(__xludf.DUMMYFUNCTION("GOOGLETRANSLATE(B1822,""id"",""en"")"),"['Bagus', 'makes it easy', 'purchase', 'package', 'data', '']")</f>
        <v>['Bagus', 'makes it easy', 'purchase', 'package', 'data', '']</v>
      </c>
      <c r="D1822" s="3">
        <v>5.0</v>
      </c>
    </row>
    <row r="1823" ht="15.75" customHeight="1">
      <c r="A1823" s="1">
        <v>1944.0</v>
      </c>
      <c r="B1823" s="3" t="s">
        <v>1797</v>
      </c>
      <c r="C1823" s="3" t="str">
        <f>IFERROR(__xludf.DUMMYFUNCTION("GOOGLETRANSLATE(B1823,""id"",""en"")"),"['already', 'buy', 'package', 'tetep', 'pulse', 'sucked', 'heart', 'gaes']")</f>
        <v>['already', 'buy', 'package', 'tetep', 'pulse', 'sucked', 'heart', 'gaes']</v>
      </c>
      <c r="D1823" s="3">
        <v>1.0</v>
      </c>
    </row>
    <row r="1824" ht="15.75" customHeight="1">
      <c r="A1824" s="1">
        <v>1945.0</v>
      </c>
      <c r="B1824" s="3" t="s">
        <v>1798</v>
      </c>
      <c r="C1824" s="3" t="str">
        <f>IFERROR(__xludf.DUMMYFUNCTION("GOOGLETRANSLATE(B1824,""id"",""en"")"),"['The application', 'no', 'opened', 'screen', 'white', ""]")</f>
        <v>['The application', 'no', 'opened', 'screen', 'white', "]</v>
      </c>
      <c r="D1824" s="3">
        <v>1.0</v>
      </c>
    </row>
    <row r="1825" ht="15.75" customHeight="1">
      <c r="A1825" s="1">
        <v>1946.0</v>
      </c>
      <c r="B1825" s="3" t="s">
        <v>1799</v>
      </c>
      <c r="C1825" s="3" t="str">
        <f>IFERROR(__xludf.DUMMYFUNCTION("GOOGLETRANSLATE(B1825,""id"",""en"")"),"['Business',' Thinking ',' Thinking ',' People ',' Gunain ',' Goods', 'Mending', 'Kaga', 'Business',' Forward ',' Business', 'Ngrugin', ' person']")</f>
        <v>['Business',' Thinking ',' Thinking ',' People ',' Gunain ',' Goods', 'Mending', 'Kaga', 'Business',' Forward ',' Business', 'Ngrugin', ' person']</v>
      </c>
      <c r="D1825" s="3">
        <v>1.0</v>
      </c>
    </row>
    <row r="1826" ht="15.75" customHeight="1">
      <c r="A1826" s="1">
        <v>1947.0</v>
      </c>
      <c r="B1826" s="3" t="s">
        <v>1800</v>
      </c>
      <c r="C1826" s="3" t="str">
        <f>IFERROR(__xludf.DUMMYFUNCTION("GOOGLETRANSLATE(B1826,""id"",""en"")"),"['Slalu', 'loyal', 'Telkomsel']")</f>
        <v>['Slalu', 'loyal', 'Telkomsel']</v>
      </c>
      <c r="D1826" s="3">
        <v>5.0</v>
      </c>
    </row>
    <row r="1827" ht="15.75" customHeight="1">
      <c r="A1827" s="1">
        <v>1948.0</v>
      </c>
      <c r="B1827" s="3" t="s">
        <v>1801</v>
      </c>
      <c r="C1827" s="3" t="str">
        <f>IFERROR(__xludf.DUMMYFUNCTION("GOOGLETRANSLATE(B1827,""id"",""en"")"),"['repaired', 'service', 'application', 'a week', 'complaint', 'responded', '']")</f>
        <v>['repaired', 'service', 'application', 'a week', 'complaint', 'responded', '']</v>
      </c>
      <c r="D1827" s="3">
        <v>1.0</v>
      </c>
    </row>
    <row r="1828" ht="15.75" customHeight="1">
      <c r="A1828" s="1">
        <v>1949.0</v>
      </c>
      <c r="B1828" s="3" t="s">
        <v>1802</v>
      </c>
      <c r="C1828" s="3" t="str">
        <f>IFERROR(__xludf.DUMMYFUNCTION("GOOGLETRANSLATE(B1828,""id"",""en"")"),"['users', 'Telkomsel', 'signal', 'good', 'slow', 'gini', 'severe', 'signal', 'Telkomsel', 'Aduhhh', 'disappointed', ""]")</f>
        <v>['users', 'Telkomsel', 'signal', 'good', 'slow', 'gini', 'severe', 'signal', 'Telkomsel', 'Aduhhh', 'disappointed', "]</v>
      </c>
      <c r="D1828" s="3">
        <v>5.0</v>
      </c>
    </row>
    <row r="1829" ht="15.75" customHeight="1">
      <c r="A1829" s="1">
        <v>1950.0</v>
      </c>
      <c r="B1829" s="3" t="s">
        <v>1803</v>
      </c>
      <c r="C1829" s="3" t="str">
        <f>IFERROR(__xludf.DUMMYFUNCTION("GOOGLETRANSLATE(B1829,""id"",""en"")"),"['package', 'expensive', 'connection', 'Buriikkk', 'home', 'stable', 'down', 'signal', 'labile', 'severe', 'speed', 'download', ' Original ',' Sampe ',' Mbps', 'get', 'Mbps',' Down ',' Drop ',' Severe ',' ']")</f>
        <v>['package', 'expensive', 'connection', 'Buriikkk', 'home', 'stable', 'down', 'signal', 'labile', 'severe', 'speed', 'download', ' Original ',' Sampe ',' Mbps', 'get', 'Mbps',' Down ',' Drop ',' Severe ',' ']</v>
      </c>
      <c r="D1829" s="3">
        <v>2.0</v>
      </c>
    </row>
    <row r="1830" ht="15.75" customHeight="1">
      <c r="A1830" s="1">
        <v>1951.0</v>
      </c>
      <c r="B1830" s="3" t="s">
        <v>1804</v>
      </c>
      <c r="C1830" s="3" t="str">
        <f>IFERROR(__xludf.DUMMYFUNCTION("GOOGLETRANSLATE(B1830,""id"",""en"")"),"['', 'help', 'check', 'pls']")</f>
        <v>['', 'help', 'check', 'pls']</v>
      </c>
      <c r="D1830" s="3">
        <v>5.0</v>
      </c>
    </row>
    <row r="1831" ht="15.75" customHeight="1">
      <c r="A1831" s="1">
        <v>1952.0</v>
      </c>
      <c r="B1831" s="3" t="s">
        <v>1805</v>
      </c>
      <c r="C1831" s="3" t="str">
        <f>IFERROR(__xludf.DUMMYFUNCTION("GOOGLETRANSLATE(B1831,""id"",""en"")"),"['Different', 'promo', 'JLS', 'Telkomsel']")</f>
        <v>['Different', 'promo', 'JLS', 'Telkomsel']</v>
      </c>
      <c r="D1831" s="3">
        <v>1.0</v>
      </c>
    </row>
    <row r="1832" ht="15.75" customHeight="1">
      <c r="A1832" s="1">
        <v>1953.0</v>
      </c>
      <c r="B1832" s="3" t="s">
        <v>1806</v>
      </c>
      <c r="C1832" s="3" t="str">
        <f>IFERROR(__xludf.DUMMYFUNCTION("GOOGLETRANSLATE(B1832,""id"",""en"")"),"['MyTelkomsel', 'cheap', 'practical']")</f>
        <v>['MyTelkomsel', 'cheap', 'practical']</v>
      </c>
      <c r="D1832" s="3">
        <v>5.0</v>
      </c>
    </row>
    <row r="1833" ht="15.75" customHeight="1">
      <c r="A1833" s="1">
        <v>1954.0</v>
      </c>
      <c r="B1833" s="3" t="s">
        <v>1807</v>
      </c>
      <c r="C1833" s="3" t="str">
        <f>IFERROR(__xludf.DUMMYFUNCTION("GOOGLETRANSLATE(B1833,""id"",""en"")"),"['Taik', 'Telkomsel', 'slow', 'signal', 'forgiveness',' buy ',' expensive ',' quota ',' mending ',' Indosat ',' card ',' steady ',' Strong ',' cheap ',' quota ']")</f>
        <v>['Taik', 'Telkomsel', 'slow', 'signal', 'forgiveness',' buy ',' expensive ',' quota ',' mending ',' Indosat ',' card ',' steady ',' Strong ',' cheap ',' quota ']</v>
      </c>
      <c r="D1833" s="3">
        <v>1.0</v>
      </c>
    </row>
    <row r="1834" ht="15.75" customHeight="1">
      <c r="A1834" s="1">
        <v>1955.0</v>
      </c>
      <c r="B1834" s="3" t="s">
        <v>1808</v>
      </c>
      <c r="C1834" s="3" t="str">
        <f>IFERROR(__xludf.DUMMYFUNCTION("GOOGLETRANSLATE(B1834,""id"",""en"")"),"['Ujan', 'lag', 'wants', 'anjjjj']")</f>
        <v>['Ujan', 'lag', 'wants', 'anjjjj']</v>
      </c>
      <c r="D1834" s="3">
        <v>1.0</v>
      </c>
    </row>
    <row r="1835" ht="15.75" customHeight="1">
      <c r="A1835" s="1">
        <v>1956.0</v>
      </c>
      <c r="B1835" s="3" t="s">
        <v>1809</v>
      </c>
      <c r="C1835" s="3" t="str">
        <f>IFERROR(__xludf.DUMMYFUNCTION("GOOGLETRANSLATE(B1835,""id"",""en"")"),"['steady', 'makes it easy', 'choose', 'package', 'internet']")</f>
        <v>['steady', 'makes it easy', 'choose', 'package', 'internet']</v>
      </c>
      <c r="D1835" s="3">
        <v>5.0</v>
      </c>
    </row>
    <row r="1836" ht="15.75" customHeight="1">
      <c r="A1836" s="1">
        <v>1957.0</v>
      </c>
      <c r="B1836" s="3" t="s">
        <v>1810</v>
      </c>
      <c r="C1836" s="3" t="str">
        <f>IFERROR(__xludf.DUMMYFUNCTION("GOOGLETRANSLATE(B1836,""id"",""en"")"),"['Bet', 'Updet', '']")</f>
        <v>['Bet', 'Updet', '']</v>
      </c>
      <c r="D1836" s="3">
        <v>1.0</v>
      </c>
    </row>
    <row r="1837" ht="15.75" customHeight="1">
      <c r="A1837" s="1">
        <v>1958.0</v>
      </c>
      <c r="B1837" s="3" t="s">
        <v>1811</v>
      </c>
      <c r="C1837" s="3" t="str">
        <f>IFERROR(__xludf.DUMMYFUNCTION("GOOGLETRANSLATE(B1837,""id"",""en"")"),"['package', 'Internet', 'Telkomsel', 'expensive', 'number', 'network', 'slow', 'fortunately', 'expensive', 'signal', 'BURIK']")</f>
        <v>['package', 'Internet', 'Telkomsel', 'expensive', 'number', 'network', 'slow', 'fortunately', 'expensive', 'signal', 'BURIK']</v>
      </c>
      <c r="D1837" s="3">
        <v>1.0</v>
      </c>
    </row>
    <row r="1838" ht="15.75" customHeight="1">
      <c r="A1838" s="1">
        <v>1959.0</v>
      </c>
      <c r="B1838" s="3" t="s">
        <v>1191</v>
      </c>
      <c r="C1838" s="3" t="str">
        <f>IFERROR(__xludf.DUMMYFUNCTION("GOOGLETRANSLATE(B1838,""id"",""en"")"),"['APK']")</f>
        <v>['APK']</v>
      </c>
      <c r="D1838" s="3">
        <v>5.0</v>
      </c>
    </row>
    <row r="1839" ht="15.75" customHeight="1">
      <c r="A1839" s="1">
        <v>1960.0</v>
      </c>
      <c r="B1839" s="3" t="s">
        <v>1812</v>
      </c>
      <c r="C1839" s="3" t="str">
        <f>IFERROR(__xludf.DUMMYFUNCTION("GOOGLETRANSLATE(B1839,""id"",""en"")"),"['Look', 'steady', 'confusing', 'user', 'lay', 'Thanks']")</f>
        <v>['Look', 'steady', 'confusing', 'user', 'lay', 'Thanks']</v>
      </c>
      <c r="D1839" s="3">
        <v>5.0</v>
      </c>
    </row>
    <row r="1840" ht="15.75" customHeight="1">
      <c r="A1840" s="1">
        <v>1962.0</v>
      </c>
      <c r="B1840" s="3" t="s">
        <v>1813</v>
      </c>
      <c r="C1840" s="3" t="str">
        <f>IFERROR(__xludf.DUMMYFUNCTION("GOOGLETRANSLATE(B1840,""id"",""en"")"),"['level', 'quality', 'signal', 'area', 'province', 'bengkulu', 'north', 'kab', 'muko', 'muko', 'kec', 'koto', ' ']")</f>
        <v>['level', 'quality', 'signal', 'area', 'province', 'bengkulu', 'north', 'kab', 'muko', 'muko', 'kec', 'koto', ' ']</v>
      </c>
      <c r="D1840" s="3">
        <v>5.0</v>
      </c>
    </row>
    <row r="1841" ht="15.75" customHeight="1">
      <c r="A1841" s="1">
        <v>1963.0</v>
      </c>
      <c r="B1841" s="3" t="s">
        <v>1814</v>
      </c>
      <c r="C1841" s="3" t="str">
        <f>IFERROR(__xludf.DUMMYFUNCTION("GOOGLETRANSLATE(B1841,""id"",""en"")"),"['Nurse', 'Pay', 'Ovo', 'Sagat', 'IGin']")</f>
        <v>['Nurse', 'Pay', 'Ovo', 'Sagat', 'IGin']</v>
      </c>
      <c r="D1841" s="3">
        <v>5.0</v>
      </c>
    </row>
    <row r="1842" ht="15.75" customHeight="1">
      <c r="A1842" s="1">
        <v>1964.0</v>
      </c>
      <c r="B1842" s="3" t="s">
        <v>1815</v>
      </c>
      <c r="C1842" s="3" t="str">
        <f>IFERROR(__xludf.DUMMYFUNCTION("GOOGLETRANSLATE(B1842,""id"",""en"")"),"['maxh', 'package', 'cave', 'cheap', 'really', 'cmn', 'rb', 'ngerak', 'wkwkwk', 'good', 'my apk', '']")</f>
        <v>['maxh', 'package', 'cave', 'cheap', 'really', 'cmn', 'rb', 'ngerak', 'wkwkwk', 'good', 'my apk', '']</v>
      </c>
      <c r="D1842" s="3">
        <v>5.0</v>
      </c>
    </row>
    <row r="1843" ht="15.75" customHeight="1">
      <c r="A1843" s="1">
        <v>1965.0</v>
      </c>
      <c r="B1843" s="3" t="s">
        <v>1816</v>
      </c>
      <c r="C1843" s="3" t="str">
        <f>IFERROR(__xludf.DUMMYFUNCTION("GOOGLETRANSLATE(B1843,""id"",""en"")"),"['', 'Telkomsel', 'best']")</f>
        <v>['', 'Telkomsel', 'best']</v>
      </c>
      <c r="D1843" s="3">
        <v>5.0</v>
      </c>
    </row>
    <row r="1844" ht="15.75" customHeight="1">
      <c r="A1844" s="1">
        <v>1966.0</v>
      </c>
      <c r="B1844" s="3" t="s">
        <v>1817</v>
      </c>
      <c r="C1844" s="3" t="str">
        <f>IFERROR(__xludf.DUMMYFUNCTION("GOOGLETRANSLATE(B1844,""id"",""en"")"),"['open', 'application', 'Telkom', 'cell', 'beg', 'solution']")</f>
        <v>['open', 'application', 'Telkom', 'cell', 'beg', 'solution']</v>
      </c>
      <c r="D1844" s="3">
        <v>5.0</v>
      </c>
    </row>
    <row r="1845" ht="15.75" customHeight="1">
      <c r="A1845" s="1">
        <v>1967.0</v>
      </c>
      <c r="B1845" s="3" t="s">
        <v>706</v>
      </c>
      <c r="C1845" s="3" t="str">
        <f>IFERROR(__xludf.DUMMYFUNCTION("GOOGLETRANSLATE(B1845,""id"",""en"")"),"['Good', 'like']")</f>
        <v>['Good', 'like']</v>
      </c>
      <c r="D1845" s="3">
        <v>5.0</v>
      </c>
    </row>
    <row r="1846" ht="15.75" customHeight="1">
      <c r="A1846" s="1">
        <v>1968.0</v>
      </c>
      <c r="B1846" s="3" t="s">
        <v>1818</v>
      </c>
      <c r="C1846" s="3" t="str">
        <f>IFERROR(__xludf.DUMMYFUNCTION("GOOGLETRANSLATE(B1846,""id"",""en"")"),"['Please', 'Region', 'South Kalimantan', 'Exact', 'City', 'Banjarbaru', 'Network', 'Leet', 'Open', 'Muter', 'Doang', 'APLG', ' right ',' MLM ',' Network ',' Brisk ',' Doang ',' Support ',' Lock ',' Network ',' Leet ',' MNT ',' Forgiveness', 'Telkomsel', "&amp;"""]")</f>
        <v>['Please', 'Region', 'South Kalimantan', 'Exact', 'City', 'Banjarbaru', 'Network', 'Leet', 'Open', 'Muter', 'Doang', 'APLG', ' right ',' MLM ',' Network ',' Brisk ',' Doang ',' Support ',' Lock ',' Network ',' Leet ',' MNT ',' Forgiveness', 'Telkomsel', "]</v>
      </c>
      <c r="D1846" s="3">
        <v>1.0</v>
      </c>
    </row>
    <row r="1847" ht="15.75" customHeight="1">
      <c r="A1847" s="1">
        <v>1969.0</v>
      </c>
      <c r="B1847" s="3" t="s">
        <v>1819</v>
      </c>
      <c r="C1847" s="3" t="str">
        <f>IFERROR(__xludf.DUMMYFUNCTION("GOOGLETRANSLATE(B1847,""id"",""en"")"),"['Adin', 'promo', 'quota', 'gift', 'login', 'already', 'steady', 'level', 'gift', 'bonus', ""]")</f>
        <v>['Adin', 'promo', 'quota', 'gift', 'login', 'already', 'steady', 'level', 'gift', 'bonus', "]</v>
      </c>
      <c r="D1847" s="3">
        <v>4.0</v>
      </c>
    </row>
    <row r="1848" ht="15.75" customHeight="1">
      <c r="A1848" s="1">
        <v>1970.0</v>
      </c>
      <c r="B1848" s="3" t="s">
        <v>1820</v>
      </c>
      <c r="C1848" s="3" t="str">
        <f>IFERROR(__xludf.DUMMYFUNCTION("GOOGLETRANSLATE(B1848,""id"",""en"")"),"['KOQ', 'Karuan', 'Nie', 'Signal', 'Telkomsel', 'Used', 'Online', 'Signal', 'Taken', 'Enter', 'Building', 'Parking', ' Airport ',' Ngeblass']")</f>
        <v>['KOQ', 'Karuan', 'Nie', 'Signal', 'Telkomsel', 'Used', 'Online', 'Signal', 'Taken', 'Enter', 'Building', 'Parking', ' Airport ',' Ngeblass']</v>
      </c>
      <c r="D1848" s="3">
        <v>1.0</v>
      </c>
    </row>
    <row r="1849" ht="15.75" customHeight="1">
      <c r="A1849" s="1">
        <v>1971.0</v>
      </c>
      <c r="B1849" s="3" t="s">
        <v>1821</v>
      </c>
      <c r="C1849" s="3" t="str">
        <f>IFERROR(__xludf.DUMMYFUNCTION("GOOGLETRANSLATE(B1849,""id"",""en"")"),"['Gakbisa', 'opened']")</f>
        <v>['Gakbisa', 'opened']</v>
      </c>
      <c r="D1849" s="3">
        <v>1.0</v>
      </c>
    </row>
    <row r="1850" ht="15.75" customHeight="1">
      <c r="A1850" s="1">
        <v>1972.0</v>
      </c>
      <c r="B1850" s="3" t="s">
        <v>1822</v>
      </c>
      <c r="C1850" s="3" t="str">
        <f>IFERROR(__xludf.DUMMYFUNCTION("GOOGLETRANSLATE(B1850,""id"",""en"")"),"['application', 'Cool', 'promo', 'Telkomsel', 'emng', 'The', 'bast', 'regret', 'dowload', 'user', 'buy', 'quota', ' GB ',' price ',' just ',' thousand ',' doang ']")</f>
        <v>['application', 'Cool', 'promo', 'Telkomsel', 'emng', 'The', 'bast', 'regret', 'dowload', 'user', 'buy', 'quota', ' GB ',' price ',' just ',' thousand ',' doang ']</v>
      </c>
      <c r="D1850" s="3">
        <v>5.0</v>
      </c>
    </row>
    <row r="1851" ht="15.75" customHeight="1">
      <c r="A1851" s="1">
        <v>1973.0</v>
      </c>
      <c r="B1851" s="3" t="s">
        <v>1823</v>
      </c>
      <c r="C1851" s="3" t="str">
        <f>IFERROR(__xludf.DUMMYFUNCTION("GOOGLETRANSLATE(B1851,""id"",""en"")"),"['pulses', 'run out', 'Nggk', 'use', 'Please', 'The info']")</f>
        <v>['pulses', 'run out', 'Nggk', 'use', 'Please', 'The info']</v>
      </c>
      <c r="D1851" s="3">
        <v>5.0</v>
      </c>
    </row>
    <row r="1852" ht="15.75" customHeight="1">
      <c r="A1852" s="1">
        <v>1974.0</v>
      </c>
      <c r="B1852" s="3" t="s">
        <v>881</v>
      </c>
      <c r="C1852" s="3" t="str">
        <f>IFERROR(__xludf.DUMMYFUNCTION("GOOGLETRANSLATE(B1852,""id"",""en"")"),"['Telkomsel', 'steady']")</f>
        <v>['Telkomsel', 'steady']</v>
      </c>
      <c r="D1852" s="3">
        <v>5.0</v>
      </c>
    </row>
    <row r="1853" ht="15.75" customHeight="1">
      <c r="A1853" s="1">
        <v>1975.0</v>
      </c>
      <c r="B1853" s="3" t="s">
        <v>1824</v>
      </c>
      <c r="C1853" s="3" t="str">
        <f>IFERROR(__xludf.DUMMYFUNCTION("GOOGLETRANSLATE(B1853,""id"",""en"")"),"['interesting', 'easy', 'easier', 'getting', 'Telkomsel', 'hope', 'Telkomsel', 'great', '']")</f>
        <v>['interesting', 'easy', 'easier', 'getting', 'Telkomsel', 'hope', 'Telkomsel', 'great', '']</v>
      </c>
      <c r="D1853" s="3">
        <v>5.0</v>
      </c>
    </row>
    <row r="1854" ht="15.75" customHeight="1">
      <c r="A1854" s="1">
        <v>1976.0</v>
      </c>
      <c r="B1854" s="3" t="s">
        <v>1825</v>
      </c>
      <c r="C1854" s="3" t="str">
        <f>IFERROR(__xludf.DUMMYFUNCTION("GOOGLETRANSLATE(B1854,""id"",""en"")"),"['BSA', 'opened', 'check', 'quota', 'manual', 'have']")</f>
        <v>['BSA', 'opened', 'check', 'quota', 'manual', 'have']</v>
      </c>
      <c r="D1854" s="3">
        <v>1.0</v>
      </c>
    </row>
    <row r="1855" ht="15.75" customHeight="1">
      <c r="A1855" s="1">
        <v>1977.0</v>
      </c>
      <c r="B1855" s="3" t="s">
        <v>1826</v>
      </c>
      <c r="C1855" s="3" t="str">
        <f>IFERROR(__xludf.DUMMYFUNCTION("GOOGLETRANSLATE(B1855,""id"",""en"")"),"['Price', 'Package', 'Internet', 'Telkomsel', 'Expensive', 'Operator']")</f>
        <v>['Price', 'Package', 'Internet', 'Telkomsel', 'Expensive', 'Operator']</v>
      </c>
      <c r="D1855" s="3">
        <v>3.0</v>
      </c>
    </row>
    <row r="1856" ht="15.75" customHeight="1">
      <c r="A1856" s="1">
        <v>1978.0</v>
      </c>
      <c r="B1856" s="3" t="s">
        <v>1827</v>
      </c>
      <c r="C1856" s="3" t="str">
        <f>IFERROR(__xludf.DUMMYFUNCTION("GOOGLETRANSLATE(B1856,""id"",""en"")"),"['', 'Telkomsel', 'makes it easy', 'purchase', 'quota', 'check', 'pulse', 'thank', 'love', 'Telkomsel', ""]")</f>
        <v>['', 'Telkomsel', 'makes it easy', 'purchase', 'quota', 'check', 'pulse', 'thank', 'love', 'Telkomsel', "]</v>
      </c>
      <c r="D1856" s="3">
        <v>5.0</v>
      </c>
    </row>
    <row r="1857" ht="15.75" customHeight="1">
      <c r="A1857" s="1">
        <v>1979.0</v>
      </c>
      <c r="B1857" s="3" t="s">
        <v>1828</v>
      </c>
      <c r="C1857" s="3" t="str">
        <f>IFERROR(__xludf.DUMMYFUNCTION("GOOGLETRANSLATE(B1857,""id"",""en"")"),"['Disruption', 'Application', 'Telkomsel', 'Opened']")</f>
        <v>['Disruption', 'Application', 'Telkomsel', 'Opened']</v>
      </c>
      <c r="D1857" s="3">
        <v>1.0</v>
      </c>
    </row>
    <row r="1858" ht="15.75" customHeight="1">
      <c r="A1858" s="1">
        <v>1980.0</v>
      </c>
      <c r="B1858" s="3" t="s">
        <v>1829</v>
      </c>
      <c r="C1858" s="3" t="str">
        <f>IFERROR(__xludf.DUMMYFUNCTION("GOOGLETRANSLATE(B1858,""id"",""en"")"),"['Mantul', 'cutting', 'credit', 'because', '']")</f>
        <v>['Mantul', 'cutting', 'credit', 'because', '']</v>
      </c>
      <c r="D1858" s="3">
        <v>5.0</v>
      </c>
    </row>
    <row r="1859" ht="15.75" customHeight="1">
      <c r="A1859" s="1">
        <v>1981.0</v>
      </c>
      <c r="B1859" s="3" t="s">
        <v>1830</v>
      </c>
      <c r="C1859" s="3" t="str">
        <f>IFERROR(__xludf.DUMMYFUNCTION("GOOGLETRANSLATE(B1859,""id"",""en"")"),"['Disappointed', 'Weight', 'Package', 'Combo', 'Sakti', 'Unlimited', 'Chat', 'Music', 'Game', 'Sosmed', 'Cave', 'Use', ' Doang ',' play ',' game ',' COC ',' enter ',' Klau ',' sosmed ',' enter ',' March ',' Mutar ',' contact ',' Veronika ',' Nick ' , 'Ove"&amp;"r', 'Nyesalll', 'buy', 'Package', 'Telkomsel', 'Klau', 'Enter', 'photo', 'uda', 'I put', 'package', 'GB', ' Use ']")</f>
        <v>['Disappointed', 'Weight', 'Package', 'Combo', 'Sakti', 'Unlimited', 'Chat', 'Music', 'Game', 'Sosmed', 'Cave', 'Use', ' Doang ',' play ',' game ',' COC ',' enter ',' Klau ',' sosmed ',' enter ',' March ',' Mutar ',' contact ',' Veronika ',' Nick ' , 'Over', 'Nyesalll', 'buy', 'Package', 'Telkomsel', 'Klau', 'Enter', 'photo', 'uda', 'I put', 'package', 'GB', ' Use ']</v>
      </c>
      <c r="D1859" s="3">
        <v>1.0</v>
      </c>
    </row>
    <row r="1860" ht="15.75" customHeight="1">
      <c r="A1860" s="1">
        <v>1982.0</v>
      </c>
      <c r="B1860" s="3" t="s">
        <v>1831</v>
      </c>
      <c r="C1860" s="3" t="str">
        <f>IFERROR(__xludf.DUMMYFUNCTION("GOOGLETRANSLATE(B1860,""id"",""en"")"),"['Process', 'CPT', 'Hopefully', 'Package', 'BTL', 'Happy']")</f>
        <v>['Process', 'CPT', 'Hopefully', 'Package', 'BTL', 'Happy']</v>
      </c>
      <c r="D1860" s="3">
        <v>5.0</v>
      </c>
    </row>
    <row r="1861" ht="15.75" customHeight="1">
      <c r="A1861" s="1">
        <v>1983.0</v>
      </c>
      <c r="B1861" s="3" t="s">
        <v>1832</v>
      </c>
      <c r="C1861" s="3" t="str">
        <f>IFERROR(__xludf.DUMMYFUNCTION("GOOGLETRANSLATE(B1861,""id"",""en"")"),"['SERBA', 'expensive', 'discount', 'Tah']")</f>
        <v>['SERBA', 'expensive', 'discount', 'Tah']</v>
      </c>
      <c r="D1861" s="3">
        <v>3.0</v>
      </c>
    </row>
    <row r="1862" ht="15.75" customHeight="1">
      <c r="A1862" s="1">
        <v>1984.0</v>
      </c>
      <c r="B1862" s="3" t="s">
        <v>1833</v>
      </c>
      <c r="C1862" s="3" t="str">
        <f>IFERROR(__xludf.DUMMYFUNCTION("GOOGLETRANSLATE(B1862,""id"",""en"")"),"['Gaada', 'quota', 'free']")</f>
        <v>['Gaada', 'quota', 'free']</v>
      </c>
      <c r="D1862" s="3">
        <v>3.0</v>
      </c>
    </row>
    <row r="1863" ht="15.75" customHeight="1">
      <c r="A1863" s="1">
        <v>1985.0</v>
      </c>
      <c r="B1863" s="3" t="s">
        <v>1834</v>
      </c>
      <c r="C1863" s="3" t="str">
        <f>IFERROR(__xludf.DUMMYFUNCTION("GOOGLETRANSLATE(B1863,""id"",""en"")"),"['Claim', 'Gift', 'Login', 'Use', 'Credit', 'Use', 'Points',' Claim ',' Gift ',' Use ',' Credit ',' Buy ',' free']")</f>
        <v>['Claim', 'Gift', 'Login', 'Use', 'Credit', 'Use', 'Points',' Claim ',' Gift ',' Use ',' Credit ',' Buy ',' free']</v>
      </c>
      <c r="D1863" s="3">
        <v>2.0</v>
      </c>
    </row>
    <row r="1864" ht="15.75" customHeight="1">
      <c r="A1864" s="1">
        <v>1986.0</v>
      </c>
      <c r="B1864" s="3" t="s">
        <v>567</v>
      </c>
      <c r="C1864" s="3" t="str">
        <f>IFERROR(__xludf.DUMMYFUNCTION("GOOGLETRANSLATE(B1864,""id"",""en"")"),"['application']")</f>
        <v>['application']</v>
      </c>
      <c r="D1864" s="3">
        <v>5.0</v>
      </c>
    </row>
    <row r="1865" ht="15.75" customHeight="1">
      <c r="A1865" s="1">
        <v>1987.0</v>
      </c>
      <c r="B1865" s="3" t="s">
        <v>1835</v>
      </c>
      <c r="C1865" s="3" t="str">
        <f>IFERROR(__xludf.DUMMYFUNCTION("GOOGLETRANSLATE(B1865,""id"",""en"")"),"['Good', 'Increase', '']")</f>
        <v>['Good', 'Increase', '']</v>
      </c>
      <c r="D1865" s="3">
        <v>5.0</v>
      </c>
    </row>
    <row r="1866" ht="15.75" customHeight="1">
      <c r="A1866" s="1">
        <v>1988.0</v>
      </c>
      <c r="B1866" s="3" t="s">
        <v>1836</v>
      </c>
      <c r="C1866" s="3" t="str">
        <f>IFERROR(__xludf.DUMMYFUNCTION("GOOGLETRANSLATE(B1866,""id"",""en"")"),"['', 'Telkomsel', 'open', 'open', 'APK', 'color', 'white', 'oath', 'apk', 'ugly', 'buy']")</f>
        <v>['', 'Telkomsel', 'open', 'open', 'APK', 'color', 'white', 'oath', 'apk', 'ugly', 'buy']</v>
      </c>
      <c r="D1866" s="3">
        <v>1.0</v>
      </c>
    </row>
    <row r="1867" ht="15.75" customHeight="1">
      <c r="A1867" s="1">
        <v>1989.0</v>
      </c>
      <c r="B1867" s="3" t="s">
        <v>1837</v>
      </c>
      <c r="C1867" s="3" t="str">
        <f>IFERROR(__xludf.DUMMYFUNCTION("GOOGLETRANSLATE(B1867,""id"",""en"")"),"['bad', 'buy', 'expensive', 'package', 'game', 'YouTube', 'jeeeeelek', 'teroooosss', 'noon', 'night', 'leg', 'good' Providers', 'support', 'pulse', 'package', 'run out', 'play', 'take', 'rich', 'pulse', 'safe', 'data', 'run out']")</f>
        <v>['bad', 'buy', 'expensive', 'package', 'game', 'YouTube', 'jeeeeelek', 'teroooosss', 'noon', 'night', 'leg', 'good' Providers', 'support', 'pulse', 'package', 'run out', 'play', 'take', 'rich', 'pulse', 'safe', 'data', 'run out']</v>
      </c>
      <c r="D1867" s="3">
        <v>2.0</v>
      </c>
    </row>
    <row r="1868" ht="15.75" customHeight="1">
      <c r="A1868" s="1">
        <v>1990.0</v>
      </c>
      <c r="B1868" s="3" t="s">
        <v>1838</v>
      </c>
      <c r="C1868" s="3" t="str">
        <f>IFERROR(__xludf.DUMMYFUNCTION("GOOGLETRANSLATE(B1868,""id"",""en"")"),"['', 'Telkomsel', 'super', 'comfortable', 'operator']")</f>
        <v>['', 'Telkomsel', 'super', 'comfortable', 'operator']</v>
      </c>
      <c r="D1868" s="3">
        <v>5.0</v>
      </c>
    </row>
    <row r="1869" ht="15.75" customHeight="1">
      <c r="A1869" s="1">
        <v>1991.0</v>
      </c>
      <c r="B1869" s="3" t="s">
        <v>1839</v>
      </c>
      <c r="C1869" s="3" t="str">
        <f>IFERROR(__xludf.DUMMYFUNCTION("GOOGLETRANSLATE(B1869,""id"",""en"")"),"['enter', 'white']")</f>
        <v>['enter', 'white']</v>
      </c>
      <c r="D1869" s="3">
        <v>4.0</v>
      </c>
    </row>
    <row r="1870" ht="15.75" customHeight="1">
      <c r="A1870" s="1">
        <v>1992.0</v>
      </c>
      <c r="B1870" s="3" t="s">
        <v>1840</v>
      </c>
      <c r="C1870" s="3" t="str">
        <f>IFERROR(__xludf.DUMMYFUNCTION("GOOGLETRANSLATE(B1870,""id"",""en"")"),"['play', 'game', 'data', 'disconnected', 'Activate', 'Disable', 'mode', 'plane', 'turn on', 'data', 'cellular', 'signal', ' In the area ',' good ']")</f>
        <v>['play', 'game', 'data', 'disconnected', 'Activate', 'Disable', 'mode', 'plane', 'turn on', 'data', 'cellular', 'signal', ' In the area ',' good ']</v>
      </c>
      <c r="D1870" s="3">
        <v>1.0</v>
      </c>
    </row>
    <row r="1871" ht="15.75" customHeight="1">
      <c r="A1871" s="1">
        <v>1993.0</v>
      </c>
      <c r="B1871" s="3" t="s">
        <v>1841</v>
      </c>
      <c r="C1871" s="3" t="str">
        <f>IFERROR(__xludf.DUMMYFUNCTION("GOOGLETRANSLATE(B1871,""id"",""en"")"),"['Combo', 'Sakti', 'Anlimitit', 'Disney', 'Hostar', 'Install', 'Promo', '']")</f>
        <v>['Combo', 'Sakti', 'Anlimitit', 'Disney', 'Hostar', 'Install', 'Promo', '']</v>
      </c>
      <c r="D1871" s="3">
        <v>1.0</v>
      </c>
    </row>
    <row r="1872" ht="15.75" customHeight="1">
      <c r="A1872" s="1">
        <v>1994.0</v>
      </c>
      <c r="B1872" s="3" t="s">
        <v>1842</v>
      </c>
      <c r="C1872" s="3" t="str">
        <f>IFERROR(__xludf.DUMMYFUNCTION("GOOGLETRANSLATE(B1872,""id"",""en"")"),"['alternating', 'Install', 'reset', 'no' open ',' check ',' quota ',' difficult ',' quota ',' network ',' Telkomsel ',' like ',' Ngadat ',' expensive ',' ']")</f>
        <v>['alternating', 'Install', 'reset', 'no' open ',' check ',' quota ',' difficult ',' quota ',' network ',' Telkomsel ',' like ',' Ngadat ',' expensive ',' ']</v>
      </c>
      <c r="D1872" s="3">
        <v>1.0</v>
      </c>
    </row>
    <row r="1873" ht="15.75" customHeight="1">
      <c r="A1873" s="1">
        <v>1995.0</v>
      </c>
      <c r="B1873" s="3" t="s">
        <v>1843</v>
      </c>
      <c r="C1873" s="3" t="str">
        <f>IFERROR(__xludf.DUMMYFUNCTION("GOOGLETRANSLATE(B1873,""id"",""en"")"),"['thank', 'love', 'Telkomsel']")</f>
        <v>['thank', 'love', 'Telkomsel']</v>
      </c>
      <c r="D1873" s="3">
        <v>1.0</v>
      </c>
    </row>
    <row r="1874" ht="15.75" customHeight="1">
      <c r="A1874" s="1">
        <v>1996.0</v>
      </c>
      <c r="B1874" s="3" t="s">
        <v>1844</v>
      </c>
      <c r="C1874" s="3" t="str">
        <f>IFERROR(__xludf.DUMMYFUNCTION("GOOGLETRANSLATE(B1874,""id"",""en"")"),"['expensive', 'package', '']")</f>
        <v>['expensive', 'package', '']</v>
      </c>
      <c r="D1874" s="3">
        <v>2.0</v>
      </c>
    </row>
    <row r="1875" ht="15.75" customHeight="1">
      <c r="A1875" s="1">
        <v>1997.0</v>
      </c>
      <c r="B1875" s="3" t="s">
        <v>1845</v>
      </c>
      <c r="C1875" s="3" t="str">
        <f>IFERROR(__xludf.DUMMYFUNCTION("GOOGLETRANSLATE(B1875,""id"",""en"")"),"['Wait', 'Package', 'Sakti', 'Cheap', 'Hopefully', 'Naek', 'Buy', 'Fast', 'Out', '']")</f>
        <v>['Wait', 'Package', 'Sakti', 'Cheap', 'Hopefully', 'Naek', 'Buy', 'Fast', 'Out', '']</v>
      </c>
      <c r="D1875" s="3">
        <v>4.0</v>
      </c>
    </row>
    <row r="1876" ht="15.75" customHeight="1">
      <c r="A1876" s="1">
        <v>1998.0</v>
      </c>
      <c r="B1876" s="3" t="s">
        <v>1846</v>
      </c>
      <c r="C1876" s="3" t="str">
        <f>IFERROR(__xludf.DUMMYFUNCTION("GOOGLETRANSLATE(B1876,""id"",""en"")"),"['application', 'telkolmsel', 'times', 'open', 'just', 'screen', 'white']")</f>
        <v>['application', 'telkolmsel', 'times', 'open', 'just', 'screen', 'white']</v>
      </c>
      <c r="D1876" s="3">
        <v>2.0</v>
      </c>
    </row>
    <row r="1877" ht="15.75" customHeight="1">
      <c r="A1877" s="1">
        <v>1999.0</v>
      </c>
      <c r="B1877" s="3" t="s">
        <v>1847</v>
      </c>
      <c r="C1877" s="3" t="str">
        <f>IFERROR(__xludf.DUMMYFUNCTION("GOOGLETRANSLATE(B1877,""id"",""en"")"),"['Price', 'package', 'expensive', 'cheap', 'severe', 'really']")</f>
        <v>['Price', 'package', 'expensive', 'cheap', 'severe', 'really']</v>
      </c>
      <c r="D1877" s="3">
        <v>1.0</v>
      </c>
    </row>
    <row r="1878" ht="15.75" customHeight="1">
      <c r="A1878" s="1">
        <v>2000.0</v>
      </c>
      <c r="B1878" s="3" t="s">
        <v>1848</v>
      </c>
      <c r="C1878" s="3" t="str">
        <f>IFERROR(__xludf.DUMMYFUNCTION("GOOGLETRANSLATE(B1878,""id"",""en"")"),"['given', 'input', 'card', 'banded', 'sympathy', 'production', 'card', 'prime', 'choice', 'card', 'SIM', 'Indonesia', ' Hasn't ',' Fix ',' Support ',' System ',' Corrupt ',' Band ',' Number ',' Card ',' Customer ',' Show ',' Professional ',' type ' , 'car"&amp;"d', 'damage', 'system', 'thank you', 'card', 'SIM', 'difficult', 'big', 'banded', 'number', ""]")</f>
        <v>['given', 'input', 'card', 'banded', 'sympathy', 'production', 'card', 'prime', 'choice', 'card', 'SIM', 'Indonesia', ' Hasn't ',' Fix ',' Support ',' System ',' Corrupt ',' Band ',' Number ',' Card ',' Customer ',' Show ',' Professional ',' type ' , 'card', 'damage', 'system', 'thank you', 'card', 'SIM', 'difficult', 'big', 'banded', 'number', "]</v>
      </c>
      <c r="D1878" s="3">
        <v>1.0</v>
      </c>
    </row>
    <row r="1879" ht="15.75" customHeight="1">
      <c r="A1879" s="1">
        <v>2002.0</v>
      </c>
      <c r="B1879" s="3" t="s">
        <v>1849</v>
      </c>
      <c r="C1879" s="3" t="str">
        <f>IFERROR(__xludf.DUMMYFUNCTION("GOOGLETRANSLATE(B1879,""id"",""en"")"),"['opened', 'already', 'update']")</f>
        <v>['opened', 'already', 'update']</v>
      </c>
      <c r="D1879" s="3">
        <v>4.0</v>
      </c>
    </row>
    <row r="1880" ht="15.75" customHeight="1">
      <c r="A1880" s="1">
        <v>2004.0</v>
      </c>
      <c r="B1880" s="3" t="s">
        <v>1850</v>
      </c>
      <c r="C1880" s="3" t="str">
        <f>IFERROR(__xludf.DUMMYFUNCTION("GOOGLETRANSLATE(B1880,""id"",""en"")"),"['Kasi', 'star', 'special']")</f>
        <v>['Kasi', 'star', 'special']</v>
      </c>
      <c r="D1880" s="3">
        <v>4.0</v>
      </c>
    </row>
    <row r="1881" ht="15.75" customHeight="1">
      <c r="A1881" s="1">
        <v>2005.0</v>
      </c>
      <c r="B1881" s="3" t="s">
        <v>1851</v>
      </c>
      <c r="C1881" s="3" t="str">
        <f>IFERROR(__xludf.DUMMYFUNCTION("GOOGLETRANSLATE(B1881,""id"",""en"")"),"['Hopefully', 'Boss',' Tekomsel ',' Healthy ',' Give ',' Opportunity ',' Win ',' Lottery ',' Telkomsel ',' Point ',' Boss', 'Made', ' Ortu ',' Happy ']")</f>
        <v>['Hopefully', 'Boss',' Tekomsel ',' Healthy ',' Give ',' Opportunity ',' Win ',' Lottery ',' Telkomsel ',' Point ',' Boss', 'Made', ' Ortu ',' Happy ']</v>
      </c>
      <c r="D1881" s="3">
        <v>5.0</v>
      </c>
    </row>
    <row r="1882" ht="15.75" customHeight="1">
      <c r="A1882" s="1">
        <v>2007.0</v>
      </c>
      <c r="B1882" s="3" t="s">
        <v>1852</v>
      </c>
      <c r="C1882" s="3" t="str">
        <f>IFERROR(__xludf.DUMMYFUNCTION("GOOGLETRANSLATE(B1882,""id"",""en"")"),"['Steady', 'Anyway', 'Telkomsel', 'number', '']")</f>
        <v>['Steady', 'Anyway', 'Telkomsel', 'number', '']</v>
      </c>
      <c r="D1882" s="3">
        <v>5.0</v>
      </c>
    </row>
    <row r="1883" ht="15.75" customHeight="1">
      <c r="A1883" s="1">
        <v>2008.0</v>
      </c>
      <c r="B1883" s="3" t="s">
        <v>1853</v>
      </c>
      <c r="C1883" s="3" t="str">
        <f>IFERROR(__xludf.DUMMYFUNCTION("GOOGLETRANSLATE(B1883,""id"",""en"")"),"['according to', 'promise', 'point', 'exchange', 'package', 'quota', '']")</f>
        <v>['according to', 'promise', 'point', 'exchange', 'package', 'quota', '']</v>
      </c>
      <c r="D1883" s="3">
        <v>1.0</v>
      </c>
    </row>
    <row r="1884" ht="15.75" customHeight="1">
      <c r="A1884" s="1">
        <v>2009.0</v>
      </c>
      <c r="B1884" s="3" t="s">
        <v>1854</v>
      </c>
      <c r="C1884" s="3" t="str">
        <f>IFERROR(__xludf.DUMMYFUNCTION("GOOGLETRANSLATE(B1884,""id"",""en"")"),"['extraordinary', 'good', 'service']")</f>
        <v>['extraordinary', 'good', 'service']</v>
      </c>
      <c r="D1884" s="3">
        <v>5.0</v>
      </c>
    </row>
    <row r="1885" ht="15.75" customHeight="1">
      <c r="A1885" s="1">
        <v>2010.0</v>
      </c>
      <c r="B1885" s="3" t="s">
        <v>1855</v>
      </c>
      <c r="C1885" s="3" t="str">
        <f>IFERROR(__xludf.DUMMYFUNCTION("GOOGLETRANSLATE(B1885,""id"",""en"")"),"['Rain', 'rain', 'signal', 'difficult', 'no', ""]")</f>
        <v>['Rain', 'rain', 'signal', 'difficult', 'no', "]</v>
      </c>
      <c r="D1885" s="3">
        <v>3.0</v>
      </c>
    </row>
    <row r="1886" ht="15.75" customHeight="1">
      <c r="A1886" s="1">
        <v>2011.0</v>
      </c>
      <c r="B1886" s="3" t="s">
        <v>1856</v>
      </c>
      <c r="C1886" s="3" t="str">
        <f>IFERROR(__xludf.DUMMYFUNCTION("GOOGLETRANSLATE(B1886,""id"",""en"")"),"['All day', 'application', 'opened', '']")</f>
        <v>['All day', 'application', 'opened', '']</v>
      </c>
      <c r="D1886" s="3">
        <v>1.0</v>
      </c>
    </row>
    <row r="1887" ht="15.75" customHeight="1">
      <c r="A1887" s="1">
        <v>2012.0</v>
      </c>
      <c r="B1887" s="3" t="s">
        <v>1857</v>
      </c>
      <c r="C1887" s="3" t="str">
        <f>IFERROR(__xludf.DUMMYFUNCTION("GOOGLETRANSLATE(B1887,""id"",""en"")"),"['Signal', 'Telkomsel', 'Mulu', 'Dri', 'Down', 'Sometimes',' Signal ',' Lost ',' Yok ',' Compact ',' Pkek ',' Telkomsel ',' ']")</f>
        <v>['Signal', 'Telkomsel', 'Mulu', 'Dri', 'Down', 'Sometimes',' Signal ',' Lost ',' Yok ',' Compact ',' Pkek ',' Telkomsel ',' ']</v>
      </c>
      <c r="D1887" s="3">
        <v>1.0</v>
      </c>
    </row>
    <row r="1888" ht="15.75" customHeight="1">
      <c r="A1888" s="1">
        <v>2013.0</v>
      </c>
      <c r="B1888" s="3" t="s">
        <v>1858</v>
      </c>
      <c r="C1888" s="3" t="str">
        <f>IFERROR(__xludf.DUMMYFUNCTION("GOOGLETRANSLATE(B1888,""id"",""en"")"),"['Please', 'Provider', 'Network', 'Lost', 'Main', 'Game', 'Disright', 'Costumer', 'Price', 'Package', 'Telkomsel', 'Expensive']")</f>
        <v>['Please', 'Provider', 'Network', 'Lost', 'Main', 'Game', 'Disright', 'Costumer', 'Price', 'Package', 'Telkomsel', 'Expensive']</v>
      </c>
      <c r="D1888" s="3">
        <v>1.0</v>
      </c>
    </row>
    <row r="1889" ht="15.75" customHeight="1">
      <c r="A1889" s="1">
        <v>2014.0</v>
      </c>
      <c r="B1889" s="3" t="s">
        <v>478</v>
      </c>
      <c r="C1889" s="3" t="str">
        <f>IFERROR(__xludf.DUMMYFUNCTION("GOOGLETRANSLATE(B1889,""id"",""en"")"),"Of course")</f>
        <v>Of course</v>
      </c>
      <c r="D1889" s="3">
        <v>5.0</v>
      </c>
    </row>
    <row r="1890" ht="15.75" customHeight="1">
      <c r="A1890" s="1">
        <v>2015.0</v>
      </c>
      <c r="B1890" s="3" t="s">
        <v>1859</v>
      </c>
      <c r="C1890" s="3" t="str">
        <f>IFERROR(__xludf.DUMMYFUNCTION("GOOGLETRANSLATE(B1890,""id"",""en"")"),"['Mimin', 'sucks',' please ',' price ',' internett ',' curimiii ',' min ',' shy ',' price ',' exorbitant ',' network ',' lelattttt ',' Plisslah ',' draw ',' Gituuu ',' Sometimes', 'right', 'play', 'game', 'signal', 'ilang', 'plis',' min ',' arrived ',' ac"&amp;"ting ' , 'Dahlah', 'stay', 'TelkomTod', 'Alesan', 'Min', 'home', 'near', 'Tower', 'Telkomsel', 'so', 'thank', ' ']")</f>
        <v>['Mimin', 'sucks',' please ',' price ',' internett ',' curimiii ',' min ',' shy ',' price ',' exorbitant ',' network ',' lelattttt ',' Plisslah ',' draw ',' Gituuu ',' Sometimes', 'right', 'play', 'game', 'signal', 'ilang', 'plis',' min ',' arrived ',' acting ' , 'Dahlah', 'stay', 'TelkomTod', 'Alesan', 'Min', 'home', 'near', 'Tower', 'Telkomsel', 'so', 'thank', ' ']</v>
      </c>
      <c r="D1890" s="3">
        <v>1.0</v>
      </c>
    </row>
    <row r="1891" ht="15.75" customHeight="1">
      <c r="A1891" s="1">
        <v>2016.0</v>
      </c>
      <c r="B1891" s="3" t="s">
        <v>1860</v>
      </c>
      <c r="C1891" s="3" t="str">
        <f>IFERROR(__xludf.DUMMYFUNCTION("GOOGLETRANSLATE(B1891,""id"",""en"")"),"['connection', 'network', 'ngeleg', 'ngeleg', 'comfortable', 'play', 'game', 'online', 'like', 'mobile', 'legend', 'banggga', ' Telkomsel ',' Karna ',' card ',' smooth ',' here ',' bad ',' jealous', 'card', 'tri', 'want', 'replace', 'card']")</f>
        <v>['connection', 'network', 'ngeleg', 'ngeleg', 'comfortable', 'play', 'game', 'online', 'like', 'mobile', 'legend', 'banggga', ' Telkomsel ',' Karna ',' card ',' smooth ',' here ',' bad ',' jealous', 'card', 'tri', 'want', 'replace', 'card']</v>
      </c>
      <c r="D1891" s="3">
        <v>1.0</v>
      </c>
    </row>
    <row r="1892" ht="15.75" customHeight="1">
      <c r="A1892" s="1">
        <v>2017.0</v>
      </c>
      <c r="B1892" s="3" t="s">
        <v>1861</v>
      </c>
      <c r="C1892" s="3" t="str">
        <f>IFERROR(__xludf.DUMMYFUNCTION("GOOGLETRANSLATE(B1892,""id"",""en"")"),"['Paketan', 'Internet', 'Different', 'Different', 'card', 'Telkomsel', 'Damn', 'card', 'package', 'expensive', 'really', 'rich', ' Paketan ',' card ',' brother ',' promo ', ""]")</f>
        <v>['Paketan', 'Internet', 'Different', 'Different', 'card', 'Telkomsel', 'Damn', 'card', 'package', 'expensive', 'really', 'rich', ' Paketan ',' card ',' brother ',' promo ', "]</v>
      </c>
      <c r="D1892" s="3">
        <v>3.0</v>
      </c>
    </row>
    <row r="1893" ht="15.75" customHeight="1">
      <c r="A1893" s="1">
        <v>2019.0</v>
      </c>
      <c r="B1893" s="3" t="s">
        <v>478</v>
      </c>
      <c r="C1893" s="3" t="str">
        <f>IFERROR(__xludf.DUMMYFUNCTION("GOOGLETRANSLATE(B1893,""id"",""en"")"),"Of course")</f>
        <v>Of course</v>
      </c>
      <c r="D1893" s="3">
        <v>5.0</v>
      </c>
    </row>
    <row r="1894" ht="15.75" customHeight="1">
      <c r="A1894" s="1">
        <v>2020.0</v>
      </c>
      <c r="B1894" s="3" t="s">
        <v>1862</v>
      </c>
      <c r="C1894" s="3" t="str">
        <f>IFERROR(__xludf.DUMMYFUNCTION("GOOGLETRANSLATE(B1894,""id"",""en"")"),"['application', 'help', 'contents', 'package', 'data', 'easy']")</f>
        <v>['application', 'help', 'contents', 'package', 'data', 'easy']</v>
      </c>
      <c r="D1894" s="3">
        <v>5.0</v>
      </c>
    </row>
    <row r="1895" ht="15.75" customHeight="1">
      <c r="A1895" s="1">
        <v>2021.0</v>
      </c>
      <c r="B1895" s="3" t="s">
        <v>1863</v>
      </c>
      <c r="C1895" s="3" t="str">
        <f>IFERROR(__xludf.DUMMYFUNCTION("GOOGLETRANSLATE(B1895,""id"",""en"")"),"['Severe', 'I', 'buy', 'quota', 'GB', 'Snapchat', 'please', 'klau', 'sell', 'package', '']")</f>
        <v>['Severe', 'I', 'buy', 'quota', 'GB', 'Snapchat', 'please', 'klau', 'sell', 'package', '']</v>
      </c>
      <c r="D1895" s="3">
        <v>1.0</v>
      </c>
    </row>
    <row r="1896" ht="15.75" customHeight="1">
      <c r="A1896" s="1">
        <v>2022.0</v>
      </c>
      <c r="B1896" s="3" t="s">
        <v>1864</v>
      </c>
      <c r="C1896" s="3" t="str">
        <f>IFERROR(__xludf.DUMMYFUNCTION("GOOGLETRANSLATE(B1896,""id"",""en"")"),"['App', 'opened', 'screen', 'white', 'signal', 'good']")</f>
        <v>['App', 'opened', 'screen', 'white', 'signal', 'good']</v>
      </c>
      <c r="D1896" s="3">
        <v>2.0</v>
      </c>
    </row>
    <row r="1897" ht="15.75" customHeight="1">
      <c r="A1897" s="1">
        <v>2023.0</v>
      </c>
      <c r="B1897" s="3" t="s">
        <v>1865</v>
      </c>
      <c r="C1897" s="3" t="str">
        <f>IFERROR(__xludf.DUMMYFUNCTION("GOOGLETRANSLATE(B1897,""id"",""en"")"),"['Additional', 'On', 'Increases',' Transfer ',' Credit ',' So "", 'Cut', 'Increases',' Try ',' Fix ',' System ',""]")</f>
        <v>['Additional', 'On', 'Increases',' Transfer ',' Credit ',' So ", 'Cut', 'Increases',' Try ',' Fix ',' System ',"]</v>
      </c>
      <c r="D1897" s="3">
        <v>1.0</v>
      </c>
    </row>
    <row r="1898" ht="15.75" customHeight="1">
      <c r="A1898" s="1">
        <v>2024.0</v>
      </c>
      <c r="B1898" s="3" t="s">
        <v>1866</v>
      </c>
      <c r="C1898" s="3" t="str">
        <f>IFERROR(__xludf.DUMMYFUNCTION("GOOGLETRANSLATE(B1898,""id"",""en"")"),"['Help', 'User', 'Telkomsel', 'Information', 'Latest']")</f>
        <v>['Help', 'User', 'Telkomsel', 'Information', 'Latest']</v>
      </c>
      <c r="D1898" s="3">
        <v>5.0</v>
      </c>
    </row>
    <row r="1899" ht="15.75" customHeight="1">
      <c r="A1899" s="1">
        <v>2025.0</v>
      </c>
      <c r="B1899" s="3" t="s">
        <v>1867</v>
      </c>
      <c r="C1899" s="3" t="str">
        <f>IFERROR(__xludf.DUMMYFUNCTION("GOOGLETRANSLATE(B1899,""id"",""en"")"),"['Likeaa', 'Like', 'Telkomsel', 'Loveee', 'Loveee', '']")</f>
        <v>['Likeaa', 'Like', 'Telkomsel', 'Loveee', 'Loveee', '']</v>
      </c>
      <c r="D1899" s="3">
        <v>5.0</v>
      </c>
    </row>
    <row r="1900" ht="15.75" customHeight="1">
      <c r="A1900" s="1">
        <v>2026.0</v>
      </c>
      <c r="B1900" s="3" t="s">
        <v>1868</v>
      </c>
      <c r="C1900" s="3" t="str">
        <f>IFERROR(__xludf.DUMMYFUNCTION("GOOGLETRANSLATE(B1900,""id"",""en"")"),"['busyeet', 'signal', 'internet', 'paraah', 'buuangeet', '']")</f>
        <v>['busyeet', 'signal', 'internet', 'paraah', 'buuangeet', '']</v>
      </c>
      <c r="D1900" s="3">
        <v>3.0</v>
      </c>
    </row>
    <row r="1901" ht="15.75" customHeight="1">
      <c r="A1901" s="1">
        <v>2027.0</v>
      </c>
      <c r="B1901" s="3" t="s">
        <v>1869</v>
      </c>
      <c r="C1901" s="3" t="str">
        <f>IFERROR(__xludf.DUMMYFUNCTION("GOOGLETRANSLATE(B1901,""id"",""en"")"),"['', 'Telkomsel', 'Open', '']")</f>
        <v>['', 'Telkomsel', 'Open', '']</v>
      </c>
      <c r="D1901" s="3">
        <v>1.0</v>
      </c>
    </row>
    <row r="1902" ht="15.75" customHeight="1">
      <c r="A1902" s="1">
        <v>2028.0</v>
      </c>
      <c r="B1902" s="3" t="s">
        <v>1870</v>
      </c>
      <c r="C1902" s="3" t="str">
        <f>IFERROR(__xludf.DUMMYFUNCTION("GOOGLETRANSLATE(B1902,""id"",""en"")"),"['mantapp', 'bismillah', 'smg', 'sustenance', 'akhr', 'yrs', 'aamiin', 'Allah']")</f>
        <v>['mantapp', 'bismillah', 'smg', 'sustenance', 'akhr', 'yrs', 'aamiin', 'Allah']</v>
      </c>
      <c r="D1902" s="3">
        <v>5.0</v>
      </c>
    </row>
    <row r="1903" ht="15.75" customHeight="1">
      <c r="A1903" s="1">
        <v>2029.0</v>
      </c>
      <c r="B1903" s="3" t="s">
        <v>1871</v>
      </c>
      <c r="C1903" s="3" t="str">
        <f>IFERROR(__xludf.DUMMYFUNCTION("GOOGLETRANSLATE(B1903,""id"",""en"")"),"['Please', 'Provide', 'Package', 'Understand', 'Pouch', 'Network', 'Like', 'Leet', 'Price', 'According to', 'Service']")</f>
        <v>['Please', 'Provide', 'Package', 'Understand', 'Pouch', 'Network', 'Like', 'Leet', 'Price', 'According to', 'Service']</v>
      </c>
      <c r="D1903" s="3">
        <v>2.0</v>
      </c>
    </row>
    <row r="1904" ht="15.75" customHeight="1">
      <c r="A1904" s="1">
        <v>2030.0</v>
      </c>
      <c r="B1904" s="3" t="s">
        <v>1872</v>
      </c>
      <c r="C1904" s="3" t="str">
        <f>IFERROR(__xludf.DUMMYFUNCTION("GOOGLETRANSLATE(B1904,""id"",""en"")"),"['Free', 'SMS', 'Free', 'Tel', 'Function', '']")</f>
        <v>['Free', 'SMS', 'Free', 'Tel', 'Function', '']</v>
      </c>
      <c r="D1904" s="3">
        <v>3.0</v>
      </c>
    </row>
    <row r="1905" ht="15.75" customHeight="1">
      <c r="A1905" s="1">
        <v>2031.0</v>
      </c>
      <c r="B1905" s="3" t="s">
        <v>1873</v>
      </c>
      <c r="C1905" s="3" t="str">
        <f>IFERROR(__xludf.DUMMYFUNCTION("GOOGLETRANSLATE(B1905,""id"",""en"")"),"['quality', 'internet', 'bad', 'service', 'full', 'bot', 'no', 'finishing']")</f>
        <v>['quality', 'internet', 'bad', 'service', 'full', 'bot', 'no', 'finishing']</v>
      </c>
      <c r="D1905" s="3">
        <v>1.0</v>
      </c>
    </row>
    <row r="1906" ht="15.75" customHeight="1">
      <c r="A1906" s="1">
        <v>2032.0</v>
      </c>
      <c r="B1906" s="3" t="s">
        <v>1874</v>
      </c>
      <c r="C1906" s="3" t="str">
        <f>IFERROR(__xludf.DUMMYFUNCTION("GOOGLETRANSLATE(B1906,""id"",""en"")"),"['Exchange', 'Points', 'Ment']")</f>
        <v>['Exchange', 'Points', 'Ment']</v>
      </c>
      <c r="D1906" s="3">
        <v>2.0</v>
      </c>
    </row>
    <row r="1907" ht="15.75" customHeight="1">
      <c r="A1907" s="1">
        <v>2033.0</v>
      </c>
      <c r="B1907" s="3" t="s">
        <v>1875</v>
      </c>
      <c r="C1907" s="3" t="str">
        <f>IFERROR(__xludf.DUMMYFUNCTION("GOOGLETRANSLATE(B1907,""id"",""en"")"),"['application', 'mobile', 'application', 'difficult', 'open', 'heavy', 'napa', 'install', 'repeat', 'times',' bgtu ',' heavy ',' klwdi ',' open ',' open ',' screen ',' white ',' appear ',' ']")</f>
        <v>['application', 'mobile', 'application', 'difficult', 'open', 'heavy', 'napa', 'install', 'repeat', 'times',' bgtu ',' heavy ',' klwdi ',' open ',' open ',' screen ',' white ',' appear ',' ']</v>
      </c>
      <c r="D1907" s="3">
        <v>1.0</v>
      </c>
    </row>
    <row r="1908" ht="15.75" customHeight="1">
      <c r="A1908" s="1">
        <v>2034.0</v>
      </c>
      <c r="B1908" s="3" t="s">
        <v>1876</v>
      </c>
      <c r="C1908" s="3" t="str">
        <f>IFERROR(__xludf.DUMMYFUNCTION("GOOGLETRANSLATE(B1908,""id"",""en"")"),"['', 'PRNH', 'Aktiv', 'Data', 'WiFi', 'pulses',' missing ',' own ',' lazy ',' Telkomsel ',' Udh ',' expensive ',' thief ', 'pulse', '']")</f>
        <v>['', 'PRNH', 'Aktiv', 'Data', 'WiFi', 'pulses',' missing ',' own ',' lazy ',' Telkomsel ',' Udh ',' expensive ',' thief ', 'pulse', '']</v>
      </c>
      <c r="D1908" s="3">
        <v>1.0</v>
      </c>
    </row>
    <row r="1909" ht="15.75" customHeight="1">
      <c r="A1909" s="1">
        <v>2035.0</v>
      </c>
      <c r="B1909" s="3" t="s">
        <v>1877</v>
      </c>
      <c r="C1909" s="3" t="str">
        <f>IFERROR(__xludf.DUMMYFUNCTION("GOOGLETRANSLATE(B1909,""id"",""en"")"),"['Price', 'Service', 'Class',' Bintang ',' Service ',' Area ',' Coverage ',' Kec ',' Cimanggung ',' Kab ',' Sumedang ',' Java ',' West ',' Class', 'tick', 'Shame', 'You', '']")</f>
        <v>['Price', 'Service', 'Class',' Bintang ',' Service ',' Area ',' Coverage ',' Kec ',' Cimanggung ',' Kab ',' Sumedang ',' Java ',' West ',' Class', 'tick', 'Shame', 'You', '']</v>
      </c>
      <c r="D1909" s="3">
        <v>1.0</v>
      </c>
    </row>
    <row r="1910" ht="15.75" customHeight="1">
      <c r="A1910" s="1">
        <v>2036.0</v>
      </c>
      <c r="B1910" s="3" t="s">
        <v>1878</v>
      </c>
      <c r="C1910" s="3" t="str">
        <f>IFERROR(__xludf.DUMMYFUNCTION("GOOGLETRANSLATE(B1910,""id"",""en"")"),"['Updated', 'ngak', 'opened', '']")</f>
        <v>['Updated', 'ngak', 'opened', '']</v>
      </c>
      <c r="D1910" s="3">
        <v>1.0</v>
      </c>
    </row>
    <row r="1911" ht="15.75" customHeight="1">
      <c r="A1911" s="1">
        <v>2037.0</v>
      </c>
      <c r="B1911" s="3" t="s">
        <v>1879</v>
      </c>
      <c r="C1911" s="3" t="str">
        <f>IFERROR(__xludf.DUMMYFUNCTION("GOOGLETRANSLATE(B1911,""id"",""en"")"),"['Severe', 'play', 'game', 'signal', 'ugly', 'package', '']")</f>
        <v>['Severe', 'play', 'game', 'signal', 'ugly', 'package', '']</v>
      </c>
      <c r="D1911" s="3">
        <v>1.0</v>
      </c>
    </row>
    <row r="1912" ht="15.75" customHeight="1">
      <c r="A1912" s="1">
        <v>2038.0</v>
      </c>
      <c r="B1912" s="3" t="s">
        <v>1880</v>
      </c>
      <c r="C1912" s="3" t="str">
        <f>IFERROR(__xludf.DUMMYFUNCTION("GOOGLETRANSLATE(B1912,""id"",""en"")"),"['Do', 'Siknalnya', '']")</f>
        <v>['Do', 'Siknalnya', '']</v>
      </c>
      <c r="D1912" s="3">
        <v>5.0</v>
      </c>
    </row>
    <row r="1913" ht="15.75" customHeight="1">
      <c r="A1913" s="1">
        <v>2039.0</v>
      </c>
      <c r="B1913" s="3" t="s">
        <v>1881</v>
      </c>
      <c r="C1913" s="3" t="str">
        <f>IFERROR(__xludf.DUMMYFUNCTION("GOOGLETRANSLATE(B1913,""id"",""en"")"),"['Kayak']")</f>
        <v>['Kayak']</v>
      </c>
      <c r="D1913" s="3">
        <v>4.0</v>
      </c>
    </row>
    <row r="1914" ht="15.75" customHeight="1">
      <c r="A1914" s="1">
        <v>2040.0</v>
      </c>
      <c r="B1914" s="3" t="s">
        <v>1882</v>
      </c>
      <c r="C1914" s="3" t="str">
        <f>IFERROR(__xludf.DUMMYFUNCTION("GOOGLETRANSLATE(B1914,""id"",""en"")"),"['', 'application', 'opened', 'difficult', 'really']")</f>
        <v>['', 'application', 'opened', 'difficult', 'really']</v>
      </c>
      <c r="D1914" s="3">
        <v>1.0</v>
      </c>
    </row>
    <row r="1915" ht="15.75" customHeight="1">
      <c r="A1915" s="1">
        <v>2041.0</v>
      </c>
      <c r="B1915" s="3" t="s">
        <v>1883</v>
      </c>
      <c r="C1915" s="3" t="str">
        <f>IFERROR(__xludf.DUMMYFUNCTION("GOOGLETRANSLATE(B1915,""id"",""en"")"),"['application', 'opened', 'package', 'balance', 'automatically', 'extend', 'package', 'pulses', 'inedible', 'nonpacket', ""]")</f>
        <v>['application', 'opened', 'package', 'balance', 'automatically', 'extend', 'package', 'pulses', 'inedible', 'nonpacket', "]</v>
      </c>
      <c r="D1915" s="3">
        <v>1.0</v>
      </c>
    </row>
    <row r="1916" ht="15.75" customHeight="1">
      <c r="A1916" s="1">
        <v>2042.0</v>
      </c>
      <c r="B1916" s="3" t="s">
        <v>1884</v>
      </c>
      <c r="C1916" s="3" t="str">
        <f>IFERROR(__xludf.DUMMYFUNCTION("GOOGLETRANSLATE(B1916,""id"",""en"")"),"['Good', 'like', 'steady']")</f>
        <v>['Good', 'like', 'steady']</v>
      </c>
      <c r="D1916" s="3">
        <v>5.0</v>
      </c>
    </row>
    <row r="1917" ht="15.75" customHeight="1">
      <c r="A1917" s="1">
        <v>2043.0</v>
      </c>
      <c r="B1917" s="3" t="s">
        <v>1885</v>
      </c>
      <c r="C1917" s="3" t="str">
        <f>IFERROR(__xludf.DUMMYFUNCTION("GOOGLETRANSLATE(B1917,""id"",""en"")"),"['buy', 'quota', 'failed', 'his writing', 'pulse', 'nominal', 'pulse', 'price', 'package', 'open', 'loading', ' ',' second ',' pulse ',' chick ',' rb ',' emg ',' tired ',' deh ',' ']")</f>
        <v>['buy', 'quota', 'failed', 'his writing', 'pulse', 'nominal', 'pulse', 'price', 'package', 'open', 'loading', ' ',' second ',' pulse ',' chick ',' rb ',' emg ',' tired ',' deh ',' ']</v>
      </c>
      <c r="D1917" s="3">
        <v>1.0</v>
      </c>
    </row>
    <row r="1918" ht="15.75" customHeight="1">
      <c r="A1918" s="1">
        <v>2044.0</v>
      </c>
      <c r="B1918" s="3" t="s">
        <v>1886</v>
      </c>
      <c r="C1918" s="3" t="str">
        <f>IFERROR(__xludf.DUMMYFUNCTION("GOOGLETRANSLATE(B1918,""id"",""en"")"),"['quota', 'mlbb', 'really', 'jncgokk', 'start', 'maching', 'mulu', 'creditorskor', 'down', 'then', 'disconect', 'as a result' JDI ',' AFK ',' Gada ',' Ahlak ',' Telkomsel ', ""]")</f>
        <v>['quota', 'mlbb', 'really', 'jncgokk', 'start', 'maching', 'mulu', 'creditorskor', 'down', 'then', 'disconect', 'as a result' JDI ',' AFK ',' Gada ',' Ahlak ',' Telkomsel ', "]</v>
      </c>
      <c r="D1918" s="3">
        <v>2.0</v>
      </c>
    </row>
    <row r="1919" ht="15.75" customHeight="1">
      <c r="A1919" s="1">
        <v>2046.0</v>
      </c>
      <c r="B1919" s="3" t="s">
        <v>1887</v>
      </c>
      <c r="C1919" s="3" t="str">
        <f>IFERROR(__xludf.DUMMYFUNCTION("GOOGLETRANSLATE(B1919,""id"",""en"")"),"['Price', 'according to', 'Quality', 'expensive', 'Doang', 'TPI', 'Nge', 'lag']")</f>
        <v>['Price', 'according to', 'Quality', 'expensive', 'Doang', 'TPI', 'Nge', 'lag']</v>
      </c>
      <c r="D1919" s="3">
        <v>1.0</v>
      </c>
    </row>
    <row r="1920" ht="15.75" customHeight="1">
      <c r="A1920" s="1">
        <v>2047.0</v>
      </c>
      <c r="B1920" s="3" t="s">
        <v>1888</v>
      </c>
      <c r="C1920" s="3" t="str">
        <f>IFERROR(__xludf.DUMMYFUNCTION("GOOGLETRANSLATE(B1920,""id"",""en"")"),"['Okay']")</f>
        <v>['Okay']</v>
      </c>
      <c r="D1920" s="3">
        <v>4.0</v>
      </c>
    </row>
    <row r="1921" ht="15.75" customHeight="1">
      <c r="A1921" s="1">
        <v>2048.0</v>
      </c>
      <c r="B1921" s="3" t="s">
        <v>1889</v>
      </c>
      <c r="C1921" s="3" t="str">
        <f>IFERROR(__xludf.DUMMYFUNCTION("GOOGLETRANSLATE(B1921,""id"",""en"")"),"['Telkomsel', 'Demboriciousee', 'Different', 'Indosat', 'Fill', 'Credit', 'type', 'writing', 'RB', 'GB', 'once', 'Out', ' Fee ',' Direct ',' Lost ',' ']")</f>
        <v>['Telkomsel', 'Demboriciousee', 'Different', 'Indosat', 'Fill', 'Credit', 'type', 'writing', 'RB', 'GB', 'once', 'Out', ' Fee ',' Direct ',' Lost ',' ']</v>
      </c>
      <c r="D1921" s="3">
        <v>1.0</v>
      </c>
    </row>
    <row r="1922" ht="15.75" customHeight="1">
      <c r="A1922" s="1">
        <v>2049.0</v>
      </c>
      <c r="B1922" s="3" t="s">
        <v>1890</v>
      </c>
      <c r="C1922" s="3" t="str">
        <f>IFERROR(__xludf.DUMMYFUNCTION("GOOGLETRANSLATE(B1922,""id"",""en"")"),"['Telkom', 'cell', 'Membr', 'kmahn', 'bonus', 'internet', 'bonus', 'local']")</f>
        <v>['Telkom', 'cell', 'Membr', 'kmahn', 'bonus', 'internet', 'bonus', 'local']</v>
      </c>
      <c r="D1922" s="3">
        <v>5.0</v>
      </c>
    </row>
    <row r="1923" ht="15.75" customHeight="1">
      <c r="A1923" s="1">
        <v>2050.0</v>
      </c>
      <c r="B1923" s="3" t="s">
        <v>1891</v>
      </c>
      <c r="C1923" s="3" t="str">
        <f>IFERROR(__xludf.DUMMYFUNCTION("GOOGLETRANSLATE(B1923,""id"",""en"")"),"['Sorry', 'Min', 'Fill', 'Credit', 'Rb', 'Scorched', 'Instant', 'PDHL', 'Turn Off', 'Data', 'Like', 'Cut', ' SNDRI ',' Disappointed ',' Service ',' Telkomsel ']")</f>
        <v>['Sorry', 'Min', 'Fill', 'Credit', 'Rb', 'Scorched', 'Instant', 'PDHL', 'Turn Off', 'Data', 'Like', 'Cut', ' SNDRI ',' Disappointed ',' Service ',' Telkomsel ']</v>
      </c>
      <c r="D1923" s="3">
        <v>1.0</v>
      </c>
    </row>
    <row r="1924" ht="15.75" customHeight="1">
      <c r="A1924" s="1">
        <v>2051.0</v>
      </c>
      <c r="B1924" s="3" t="s">
        <v>1892</v>
      </c>
      <c r="C1924" s="3" t="str">
        <f>IFERROR(__xludf.DUMMYFUNCTION("GOOGLETRANSLATE(B1924,""id"",""en"")"),"['easy', 'see']")</f>
        <v>['easy', 'see']</v>
      </c>
      <c r="D1924" s="3">
        <v>5.0</v>
      </c>
    </row>
    <row r="1925" ht="15.75" customHeight="1">
      <c r="A1925" s="1">
        <v>2052.0</v>
      </c>
      <c r="B1925" s="3" t="s">
        <v>1893</v>
      </c>
      <c r="C1925" s="3" t="str">
        <f>IFERROR(__xludf.DUMMYFUNCTION("GOOGLETRANSLATE(B1925,""id"",""en"")"),"['Update', 'Open']")</f>
        <v>['Update', 'Open']</v>
      </c>
      <c r="D1925" s="3">
        <v>3.0</v>
      </c>
    </row>
    <row r="1926" ht="15.75" customHeight="1">
      <c r="A1926" s="1">
        <v>2053.0</v>
      </c>
      <c r="B1926" s="3" t="s">
        <v>1894</v>
      </c>
      <c r="C1926" s="3" t="str">
        <f>IFERROR(__xludf.DUMMYFUNCTION("GOOGLETRANSLATE(B1926,""id"",""en"")"),"['Use', 'Package', 'Combo', 'Sakti', 'Rb', 'Internet', 'Hold', 'a month', 'Migration', 'Postpaid', 'Rb', 'Internet', ' Hold ',' changed ',' price ',' RB ',' quota ',' internet ',' telephone ',' MNT ',' SMS ',' Please ',' answer ',' thank ',' love ' , 'Sya"&amp;"hrul', 'Chaniiago']")</f>
        <v>['Use', 'Package', 'Combo', 'Sakti', 'Rb', 'Internet', 'Hold', 'a month', 'Migration', 'Postpaid', 'Rb', 'Internet', ' Hold ',' changed ',' price ',' RB ',' quota ',' internet ',' telephone ',' MNT ',' SMS ',' Please ',' answer ',' thank ',' love ' , 'Syahrul', 'Chaniiago']</v>
      </c>
      <c r="D1926" s="3">
        <v>3.0</v>
      </c>
    </row>
    <row r="1927" ht="15.75" customHeight="1">
      <c r="A1927" s="1">
        <v>2054.0</v>
      </c>
      <c r="B1927" s="3" t="s">
        <v>1895</v>
      </c>
      <c r="C1927" s="3" t="str">
        <f>IFERROR(__xludf.DUMMYFUNCTION("GOOGLETRANSLATE(B1927,""id"",""en"")"),"['Sya', 'enter', 'his writing', 'Loading', 'page', 'knp', 'please']")</f>
        <v>['Sya', 'enter', 'his writing', 'Loading', 'page', 'knp', 'please']</v>
      </c>
      <c r="D1927" s="3">
        <v>1.0</v>
      </c>
    </row>
    <row r="1928" ht="15.75" customHeight="1">
      <c r="A1928" s="1">
        <v>2055.0</v>
      </c>
      <c r="B1928" s="3" t="s">
        <v>1896</v>
      </c>
      <c r="C1928" s="3" t="str">
        <f>IFERROR(__xludf.DUMMYFUNCTION("GOOGLETRANSLATE(B1928,""id"",""en"")"),"['buy', 'package', 'gamemax', 'quota', 'run out', 'quota', 'game', 'maen', 'game', 'login', 'already', 'Telkomsel', ' ']")</f>
        <v>['buy', 'package', 'gamemax', 'quota', 'run out', 'quota', 'game', 'maen', 'game', 'login', 'already', 'Telkomsel', ' ']</v>
      </c>
      <c r="D1928" s="3">
        <v>1.0</v>
      </c>
    </row>
    <row r="1929" ht="15.75" customHeight="1">
      <c r="A1929" s="1">
        <v>2056.0</v>
      </c>
      <c r="B1929" s="3" t="s">
        <v>1897</v>
      </c>
      <c r="C1929" s="3" t="str">
        <f>IFERROR(__xludf.DUMMYFUNCTION("GOOGLETRANSLATE(B1929,""id"",""en"")"),"['System', 'Error', 'right', 'buy', 'Package', 'Disturbed', 'Wait', 'Minutes', 'TPI', 'PAS', 'Try']")</f>
        <v>['System', 'Error', 'right', 'buy', 'Package', 'Disturbed', 'Wait', 'Minutes', 'TPI', 'PAS', 'Try']</v>
      </c>
      <c r="D1929" s="3">
        <v>1.0</v>
      </c>
    </row>
    <row r="1930" ht="15.75" customHeight="1">
      <c r="A1930" s="1">
        <v>2057.0</v>
      </c>
      <c r="B1930" s="3" t="s">
        <v>1898</v>
      </c>
      <c r="C1930" s="3" t="str">
        <f>IFERROR(__xludf.DUMMYFUNCTION("GOOGLETRANSLATE(B1930,""id"",""en"")"),"['Application', 'Good', 'Login', 'Direct', 'Free', 'Kouta', 'Kouta', 'GB', 'Use', 'Card', 'Telkomsel', 'Wear', ' Application ',' Thanks', 'MyTelkomsel', '']")</f>
        <v>['Application', 'Good', 'Login', 'Direct', 'Free', 'Kouta', 'Kouta', 'GB', 'Use', 'Card', 'Telkomsel', 'Wear', ' Application ',' Thanks', 'MyTelkomsel', '']</v>
      </c>
      <c r="D1930" s="3">
        <v>5.0</v>
      </c>
    </row>
    <row r="1931" ht="15.75" customHeight="1">
      <c r="A1931" s="1">
        <v>2058.0</v>
      </c>
      <c r="B1931" s="3" t="s">
        <v>1899</v>
      </c>
      <c r="C1931" s="3" t="str">
        <f>IFERROR(__xludf.DUMMYFUNCTION("GOOGLETRANSLATE(B1931,""id"",""en"")"),"['already', 'delete', 'trs',' download ',' until ',' tetep ',' open ',' knp ',' kmrn ',' skrg ',' sudden ',' open ',' Please ',' Help ',' already ',' times', 'Restrat', 'Delete', 'Data', 'Settings',' Application ',' ']")</f>
        <v>['already', 'delete', 'trs',' download ',' until ',' tetep ',' open ',' knp ',' kmrn ',' skrg ',' sudden ',' open ',' Please ',' Help ',' already ',' times', 'Restrat', 'Delete', 'Data', 'Settings',' Application ',' ']</v>
      </c>
      <c r="D1931" s="3">
        <v>3.0</v>
      </c>
    </row>
    <row r="1932" ht="15.75" customHeight="1">
      <c r="A1932" s="1">
        <v>2059.0</v>
      </c>
      <c r="B1932" s="3" t="s">
        <v>1900</v>
      </c>
      <c r="C1932" s="3" t="str">
        <f>IFERROR(__xludf.DUMMYFUNCTION("GOOGLETRANSLATE(B1932,""id"",""en"")"),"['Network', 'NTT', 'Troubled', 'Please', 'Notice']")</f>
        <v>['Network', 'NTT', 'Troubled', 'Please', 'Notice']</v>
      </c>
      <c r="D1932" s="3">
        <v>1.0</v>
      </c>
    </row>
    <row r="1933" ht="15.75" customHeight="1">
      <c r="A1933" s="1">
        <v>2060.0</v>
      </c>
      <c r="B1933" s="3" t="s">
        <v>1901</v>
      </c>
      <c r="C1933" s="3" t="str">
        <f>IFERROR(__xludf.DUMMYFUNCTION("GOOGLETRANSLATE(B1933,""id"",""en"")"),"['Help', 'Promo', 'Sis']")</f>
        <v>['Help', 'Promo', 'Sis']</v>
      </c>
      <c r="D1933" s="3">
        <v>5.0</v>
      </c>
    </row>
    <row r="1934" ht="15.75" customHeight="1">
      <c r="A1934" s="1">
        <v>2063.0</v>
      </c>
      <c r="B1934" s="3" t="s">
        <v>1902</v>
      </c>
      <c r="C1934" s="3" t="str">
        <f>IFERROR(__xludf.DUMMYFUNCTION("GOOGLETRANSLATE(B1934,""id"",""en"")"),"['package', 'quota', 'cheap', 'donk', 'contents', 'quota', 'kampu', 'people']")</f>
        <v>['package', 'quota', 'cheap', 'donk', 'contents', 'quota', 'kampu', 'people']</v>
      </c>
      <c r="D1934" s="3">
        <v>5.0</v>
      </c>
    </row>
    <row r="1935" ht="15.75" customHeight="1">
      <c r="A1935" s="1">
        <v>2064.0</v>
      </c>
      <c r="B1935" s="3" t="s">
        <v>1903</v>
      </c>
      <c r="C1935" s="3" t="str">
        <f>IFERROR(__xludf.DUMMYFUNCTION("GOOGLETRANSLATE(B1935,""id"",""en"")"),"['MyTelkomsel', 'Trusted']")</f>
        <v>['MyTelkomsel', 'Trusted']</v>
      </c>
      <c r="D1935" s="3">
        <v>5.0</v>
      </c>
    </row>
    <row r="1936" ht="15.75" customHeight="1">
      <c r="A1936" s="1">
        <v>2065.0</v>
      </c>
      <c r="B1936" s="3" t="s">
        <v>1904</v>
      </c>
      <c r="C1936" s="3" t="str">
        <f>IFERROR(__xludf.DUMMYFUNCTION("GOOGLETRANSLATE(B1936,""id"",""en"")"),"['Use', 'quota', 'run out']")</f>
        <v>['Use', 'quota', 'run out']</v>
      </c>
      <c r="D1936" s="3">
        <v>1.0</v>
      </c>
    </row>
    <row r="1937" ht="15.75" customHeight="1">
      <c r="A1937" s="1">
        <v>2066.0</v>
      </c>
      <c r="B1937" s="3" t="s">
        <v>1905</v>
      </c>
      <c r="C1937" s="3" t="str">
        <f>IFERROR(__xludf.DUMMYFUNCTION("GOOGLETRANSLATE(B1937,""id"",""en"")"),"['Good', 'network']")</f>
        <v>['Good', 'network']</v>
      </c>
      <c r="D1937" s="3">
        <v>4.0</v>
      </c>
    </row>
    <row r="1938" ht="15.75" customHeight="1">
      <c r="A1938" s="1">
        <v>2067.0</v>
      </c>
      <c r="B1938" s="3" t="s">
        <v>1906</v>
      </c>
      <c r="C1938" s="3" t="str">
        <f>IFERROR(__xludf.DUMMYFUNCTION("GOOGLETRANSLATE(B1938,""id"",""en"")"),"['Signal', 'Telkomsel', 'Severe', 'City', 'Surabaya', 'Main', 'Mobile', 'Legend', 'Lag', 'Severe']")</f>
        <v>['Signal', 'Telkomsel', 'Severe', 'City', 'Surabaya', 'Main', 'Mobile', 'Legend', 'Lag', 'Severe']</v>
      </c>
      <c r="D1938" s="3">
        <v>2.0</v>
      </c>
    </row>
    <row r="1939" ht="15.75" customHeight="1">
      <c r="A1939" s="1">
        <v>2068.0</v>
      </c>
      <c r="B1939" s="3" t="s">
        <v>1907</v>
      </c>
      <c r="C1939" s="3" t="str">
        <f>IFERROR(__xludf.DUMMYFUNCTION("GOOGLETRANSLATE(B1939,""id"",""en"")"),"['Aga', 'slow']")</f>
        <v>['Aga', 'slow']</v>
      </c>
      <c r="D1939" s="3">
        <v>3.0</v>
      </c>
    </row>
    <row r="1940" ht="15.75" customHeight="1">
      <c r="A1940" s="1">
        <v>2069.0</v>
      </c>
      <c r="B1940" s="3" t="s">
        <v>1908</v>
      </c>
      <c r="C1940" s="3" t="str">
        <f>IFERROR(__xludf.DUMMYFUNCTION("GOOGLETRANSLATE(B1940,""id"",""en"")"),"['', 'Telkomsel', 'opened', 'blank', 'white', 'Please', 'repaired', ""]")</f>
        <v>['', 'Telkomsel', 'opened', 'blank', 'white', 'Please', 'repaired', "]</v>
      </c>
      <c r="D1940" s="3">
        <v>5.0</v>
      </c>
    </row>
    <row r="1941" ht="15.75" customHeight="1">
      <c r="A1941" s="1">
        <v>2070.0</v>
      </c>
      <c r="B1941" s="3" t="s">
        <v>1909</v>
      </c>
      <c r="C1941" s="3" t="str">
        <f>IFERROR(__xludf.DUMMYFUNCTION("GOOGLETRANSLATE(B1941,""id"",""en"")"),"['screen', 'white', 'Install', 'version', 'Login', ""]")</f>
        <v>['screen', 'white', 'Install', 'version', 'Login', "]</v>
      </c>
      <c r="D1941" s="3">
        <v>1.0</v>
      </c>
    </row>
    <row r="1942" ht="15.75" customHeight="1">
      <c r="A1942" s="1">
        <v>2071.0</v>
      </c>
      <c r="B1942" s="3" t="s">
        <v>1910</v>
      </c>
      <c r="C1942" s="3" t="str">
        <f>IFERROR(__xludf.DUMMYFUNCTION("GOOGLETRANSLATE(B1942,""id"",""en"")"),"['Network', 'smooth', 'safe', 'Lots', 'discount', 'package']")</f>
        <v>['Network', 'smooth', 'safe', 'Lots', 'discount', 'package']</v>
      </c>
      <c r="D1942" s="3">
        <v>5.0</v>
      </c>
    </row>
    <row r="1943" ht="15.75" customHeight="1">
      <c r="A1943" s="1">
        <v>2072.0</v>
      </c>
      <c r="B1943" s="3" t="s">
        <v>1911</v>
      </c>
      <c r="C1943" s="3" t="str">
        <f>IFERROR(__xludf.DUMMYFUNCTION("GOOGLETRANSLATE(B1943,""id"",""en"")"),"['might', 'here', 'threat', 'network', 'network', 'doang', 'full', 'internet', 'slow', 'kayak', 'keong', 'skrg', ' Mending ',' Tsel ',' Ampass']")</f>
        <v>['might', 'here', 'threat', 'network', 'network', 'doang', 'full', 'internet', 'slow', 'kayak', 'keong', 'skrg', ' Mending ',' Tsel ',' Ampass']</v>
      </c>
      <c r="D1943" s="3">
        <v>1.0</v>
      </c>
    </row>
    <row r="1944" ht="15.75" customHeight="1">
      <c r="A1944" s="1">
        <v>2073.0</v>
      </c>
      <c r="B1944" s="3" t="s">
        <v>1912</v>
      </c>
      <c r="C1944" s="3" t="str">
        <f>IFERROR(__xludf.DUMMYFUNCTION("GOOGLETRANSLATE(B1944,""id"",""en"")"),"['Please', 'improvement', 'network', 'access', 'internet', 'because' slow ',' watch ',' yotube ',' muter ',' access ',' internet ',' thank you']")</f>
        <v>['Please', 'improvement', 'network', 'access', 'internet', 'because' slow ',' watch ',' yotube ',' muter ',' access ',' internet ',' thank you']</v>
      </c>
      <c r="D1944" s="3">
        <v>3.0</v>
      </c>
    </row>
    <row r="1945" ht="15.75" customHeight="1">
      <c r="A1945" s="1">
        <v>2074.0</v>
      </c>
      <c r="B1945" s="3" t="s">
        <v>1913</v>
      </c>
      <c r="C1945" s="3" t="str">
        <f>IFERROR(__xludf.DUMMYFUNCTION("GOOGLETRANSLATE(B1945,""id"",""en"")"),"['look', 'white']")</f>
        <v>['look', 'white']</v>
      </c>
      <c r="D1945" s="3">
        <v>1.0</v>
      </c>
    </row>
    <row r="1946" ht="15.75" customHeight="1">
      <c r="A1946" s="1">
        <v>2075.0</v>
      </c>
      <c r="B1946" s="3" t="s">
        <v>1914</v>
      </c>
      <c r="C1946" s="3" t="str">
        <f>IFERROR(__xludf.DUMMYFUNCTION("GOOGLETRANSLATE(B1946,""id"",""en"")"),"['buy', 'quota', 'combo', 'Sakti', 'unlimited', 'thousand', 'Where', 'Telkomsel', 'disappointing', '']")</f>
        <v>['buy', 'quota', 'combo', 'Sakti', 'unlimited', 'thousand', 'Where', 'Telkomsel', 'disappointing', '']</v>
      </c>
      <c r="D1946" s="3">
        <v>1.0</v>
      </c>
    </row>
    <row r="1947" ht="15.75" customHeight="1">
      <c r="A1947" s="1">
        <v>2076.0</v>
      </c>
      <c r="B1947" s="3" t="s">
        <v>312</v>
      </c>
      <c r="C1947" s="3" t="str">
        <f>IFERROR(__xludf.DUMMYFUNCTION("GOOGLETRANSLATE(B1947,""id"",""en"")"),"['best']")</f>
        <v>['best']</v>
      </c>
      <c r="D1947" s="3">
        <v>5.0</v>
      </c>
    </row>
    <row r="1948" ht="15.75" customHeight="1">
      <c r="A1948" s="1">
        <v>2077.0</v>
      </c>
      <c r="B1948" s="3" t="s">
        <v>1915</v>
      </c>
      <c r="C1948" s="3" t="str">
        <f>IFERROR(__xludf.DUMMYFUNCTION("GOOGLETRANSLATE(B1948,""id"",""en"")"),"['Uda', 'Try', 'Send', 'Email', 'It's like', 'stacked', 'Please', 'Very', 'repaired', 'screen', 'white', 'Mulu', ' Appearance ',' PDHL ',' Uda ',' Try ',' Unin ',' APK ',' Telkomsel ',' Try ',' Install ',' TTP ',' Gabisa ',' Please ',' Emergency ' ]")</f>
        <v>['Uda', 'Try', 'Send', 'Email', 'It's like', 'stacked', 'Please', 'Very', 'repaired', 'screen', 'white', 'Mulu', ' Appearance ',' PDHL ',' Uda ',' Try ',' Unin ',' APK ',' Telkomsel ',' Try ',' Install ',' TTP ',' Gabisa ',' Please ',' Emergency ' ]</v>
      </c>
      <c r="D1948" s="3">
        <v>1.0</v>
      </c>
    </row>
    <row r="1949" ht="15.75" customHeight="1">
      <c r="A1949" s="1">
        <v>2078.0</v>
      </c>
      <c r="B1949" s="3" t="s">
        <v>1352</v>
      </c>
      <c r="C1949" s="3" t="str">
        <f>IFERROR(__xludf.DUMMYFUNCTION("GOOGLETRANSLATE(B1949,""id"",""en"")"),"['It's easy', '']")</f>
        <v>['It's easy', '']</v>
      </c>
      <c r="D1949" s="3">
        <v>5.0</v>
      </c>
    </row>
    <row r="1950" ht="15.75" customHeight="1">
      <c r="A1950" s="1">
        <v>2079.0</v>
      </c>
      <c r="B1950" s="3" t="s">
        <v>1916</v>
      </c>
      <c r="C1950" s="3" t="str">
        <f>IFERROR(__xludf.DUMMYFUNCTION("GOOGLETRANSLATE(B1950,""id"",""en"")"),"['update', 'application', 'open', 'blank', 'white']")</f>
        <v>['update', 'application', 'open', 'blank', 'white']</v>
      </c>
      <c r="D1950" s="3">
        <v>1.0</v>
      </c>
    </row>
    <row r="1951" ht="15.75" customHeight="1">
      <c r="A1951" s="1">
        <v>2080.0</v>
      </c>
      <c r="B1951" s="3" t="s">
        <v>1917</v>
      </c>
      <c r="C1951" s="3" t="str">
        <f>IFERROR(__xludf.DUMMYFUNCTION("GOOGLETRANSLATE(B1951,""id"",""en"")"),"['Price', 'Quota', 'Nambah', 'Cheap', 'Monthly', 'Expensive', 'Different']")</f>
        <v>['Price', 'Quota', 'Nambah', 'Cheap', 'Monthly', 'Expensive', 'Different']</v>
      </c>
      <c r="D1951" s="3">
        <v>1.0</v>
      </c>
    </row>
    <row r="1952" ht="15.75" customHeight="1">
      <c r="A1952" s="1">
        <v>2081.0</v>
      </c>
      <c r="B1952" s="3" t="s">
        <v>1918</v>
      </c>
      <c r="C1952" s="3" t="str">
        <f>IFERROR(__xludf.DUMMYFUNCTION("GOOGLETRANSLATE(B1952,""id"",""en"")"),"['here', 'signal', 'Telkomsel', 'bad', 'package', 'expensive', 'fix', 'signal', 'play', 'game', 'lag', 'replace', ' network']")</f>
        <v>['here', 'signal', 'Telkomsel', 'bad', 'package', 'expensive', 'fix', 'signal', 'play', 'game', 'lag', 'replace', ' network']</v>
      </c>
      <c r="D1952" s="3">
        <v>1.0</v>
      </c>
    </row>
    <row r="1953" ht="15.75" customHeight="1">
      <c r="A1953" s="1">
        <v>2082.0</v>
      </c>
      <c r="B1953" s="3" t="s">
        <v>1919</v>
      </c>
      <c r="C1953" s="3" t="str">
        <f>IFERROR(__xludf.DUMMYFUNCTION("GOOGLETRANSLATE(B1953,""id"",""en"")"),"['Disappointed', 'Package', 'Combo', 'Unlimited', 'Price']")</f>
        <v>['Disappointed', 'Package', 'Combo', 'Unlimited', 'Price']</v>
      </c>
      <c r="D1953" s="3">
        <v>5.0</v>
      </c>
    </row>
    <row r="1954" ht="15.75" customHeight="1">
      <c r="A1954" s="1">
        <v>2083.0</v>
      </c>
      <c r="B1954" s="3" t="s">
        <v>1920</v>
      </c>
      <c r="C1954" s="3" t="str">
        <f>IFERROR(__xludf.DUMMYFUNCTION("GOOGLETRANSLATE(B1954,""id"",""en"")"),"['Blank', 'White', 'Open', 'Application']")</f>
        <v>['Blank', 'White', 'Open', 'Application']</v>
      </c>
      <c r="D1954" s="3">
        <v>1.0</v>
      </c>
    </row>
    <row r="1955" ht="15.75" customHeight="1">
      <c r="A1955" s="1">
        <v>2084.0</v>
      </c>
      <c r="B1955" s="3" t="s">
        <v>1921</v>
      </c>
      <c r="C1955" s="3" t="str">
        <f>IFERROR(__xludf.DUMMYFUNCTION("GOOGLETRANSLATE(B1955,""id"",""en"")"),"['User', 'hope', 'Telkomsel', 'Featured', 'exceed']")</f>
        <v>['User', 'hope', 'Telkomsel', 'Featured', 'exceed']</v>
      </c>
      <c r="D1955" s="3">
        <v>5.0</v>
      </c>
    </row>
    <row r="1956" ht="15.75" customHeight="1">
      <c r="A1956" s="1">
        <v>2085.0</v>
      </c>
      <c r="B1956" s="3" t="s">
        <v>1922</v>
      </c>
      <c r="C1956" s="3" t="str">
        <f>IFERROR(__xludf.DUMMYFUNCTION("GOOGLETRANSLATE(B1956,""id"",""en"")"),"['', 'use', 'Telkomsel']")</f>
        <v>['', 'use', 'Telkomsel']</v>
      </c>
      <c r="D1956" s="3">
        <v>5.0</v>
      </c>
    </row>
    <row r="1957" ht="15.75" customHeight="1">
      <c r="A1957" s="1">
        <v>2086.0</v>
      </c>
      <c r="B1957" s="3" t="s">
        <v>1923</v>
      </c>
      <c r="C1957" s="3" t="str">
        <f>IFERROR(__xludf.DUMMYFUNCTION("GOOGLETRANSLATE(B1957,""id"",""en"")"),"['Price', 'please', 'permani']")</f>
        <v>['Price', 'please', 'permani']</v>
      </c>
      <c r="D1957" s="3">
        <v>4.0</v>
      </c>
    </row>
    <row r="1958" ht="15.75" customHeight="1">
      <c r="A1958" s="1">
        <v>2087.0</v>
      </c>
      <c r="B1958" s="3" t="s">
        <v>1924</v>
      </c>
      <c r="C1958" s="3" t="str">
        <f>IFERROR(__xludf.DUMMYFUNCTION("GOOGLETRANSLATE(B1958,""id"",""en"")"),"['MyTelkomsel', 'mantaaaaap', 'help', ""]")</f>
        <v>['MyTelkomsel', 'mantaaaaap', 'help', "]</v>
      </c>
      <c r="D1958" s="3">
        <v>5.0</v>
      </c>
    </row>
    <row r="1959" ht="15.75" customHeight="1">
      <c r="A1959" s="1">
        <v>2088.0</v>
      </c>
      <c r="B1959" s="3" t="s">
        <v>1925</v>
      </c>
      <c r="C1959" s="3" t="str">
        <f>IFERROR(__xludf.DUMMYFUNCTION("GOOGLETRANSLATE(B1959,""id"",""en"")"),"['Please', 'Sorry', 'Min', 'Application', 'Open', '']")</f>
        <v>['Please', 'Sorry', 'Min', 'Application', 'Open', '']</v>
      </c>
      <c r="D1959" s="3">
        <v>2.0</v>
      </c>
    </row>
    <row r="1960" ht="15.75" customHeight="1">
      <c r="A1960" s="1">
        <v>2089.0</v>
      </c>
      <c r="B1960" s="3" t="s">
        <v>1926</v>
      </c>
      <c r="C1960" s="3" t="str">
        <f>IFERROR(__xludf.DUMMYFUNCTION("GOOGLETRANSLATE(B1960,""id"",""en"")"),"['gada', 'cheap', 'love', 'bree']")</f>
        <v>['gada', 'cheap', 'love', 'bree']</v>
      </c>
      <c r="D1960" s="3">
        <v>3.0</v>
      </c>
    </row>
    <row r="1961" ht="15.75" customHeight="1">
      <c r="A1961" s="1">
        <v>2090.0</v>
      </c>
      <c r="B1961" s="3" t="s">
        <v>1927</v>
      </c>
      <c r="C1961" s="3" t="str">
        <f>IFERROR(__xludf.DUMMYFUNCTION("GOOGLETRANSLATE(B1961,""id"",""en"")"),"['Sorry', 'Update', 'APK', 'Telkomsel', 'Login', 'Blank', 'White', 'I mean', 'How', 'already', 'Install', 'reset', ' right ',' open ',' apk ',' card ',' beg ',' solution ',' thank ',' love ']")</f>
        <v>['Sorry', 'Update', 'APK', 'Telkomsel', 'Login', 'Blank', 'White', 'I mean', 'How', 'already', 'Install', 'reset', ' right ',' open ',' apk ',' card ',' beg ',' solution ',' thank ',' love ']</v>
      </c>
      <c r="D1961" s="3">
        <v>1.0</v>
      </c>
    </row>
    <row r="1962" ht="15.75" customHeight="1">
      <c r="A1962" s="1">
        <v>2091.0</v>
      </c>
      <c r="B1962" s="3" t="s">
        <v>1928</v>
      </c>
      <c r="C1962" s="3" t="str">
        <f>IFERROR(__xludf.DUMMYFUNCTION("GOOGLETRANSLATE(B1962,""id"",""en"")"),"['package', 'internet', 'expensive', 'signal', 'ugly', 'my area']")</f>
        <v>['package', 'internet', 'expensive', 'signal', 'ugly', 'my area']</v>
      </c>
      <c r="D1962" s="3">
        <v>3.0</v>
      </c>
    </row>
    <row r="1963" ht="15.75" customHeight="1">
      <c r="A1963" s="1">
        <v>2092.0</v>
      </c>
      <c r="B1963" s="3" t="s">
        <v>1929</v>
      </c>
      <c r="C1963" s="3" t="str">
        <f>IFERROR(__xludf.DUMMYFUNCTION("GOOGLETRANSLATE(B1963,""id"",""en"")"),"['quality', 'improved', 'Telkomsel', 'trusted', 'The', 'Best', ""]")</f>
        <v>['quality', 'improved', 'Telkomsel', 'trusted', 'The', 'Best', "]</v>
      </c>
      <c r="D1963" s="3">
        <v>5.0</v>
      </c>
    </row>
    <row r="1964" ht="15.75" customHeight="1">
      <c r="A1964" s="1">
        <v>2093.0</v>
      </c>
      <c r="B1964" s="3" t="s">
        <v>1930</v>
      </c>
      <c r="C1964" s="3" t="str">
        <f>IFERROR(__xludf.DUMMYFUNCTION("GOOGLETRANSLATE(B1964,""id"",""en"")"),"['expensive', 'doang', 'quality', 'kagak', 'problematic', 'payment', 'right', 'top', '']")</f>
        <v>['expensive', 'doang', 'quality', 'kagak', 'problematic', 'payment', 'right', 'top', '']</v>
      </c>
      <c r="D1964" s="3">
        <v>1.0</v>
      </c>
    </row>
    <row r="1965" ht="15.75" customHeight="1">
      <c r="A1965" s="1">
        <v>2094.0</v>
      </c>
      <c r="B1965" s="3" t="s">
        <v>1931</v>
      </c>
      <c r="C1965" s="3" t="str">
        <f>IFERROR(__xludf.DUMMYFUNCTION("GOOGLETRANSLATE(B1965,""id"",""en"")"),"['Gunta', 'change', 'Mulu', 'package']")</f>
        <v>['Gunta', 'change', 'Mulu', 'package']</v>
      </c>
      <c r="D1965" s="3">
        <v>1.0</v>
      </c>
    </row>
    <row r="1966" ht="15.75" customHeight="1">
      <c r="A1966" s="1">
        <v>2095.0</v>
      </c>
      <c r="B1966" s="3" t="s">
        <v>1932</v>
      </c>
      <c r="C1966" s="3" t="str">
        <f>IFERROR(__xludf.DUMMYFUNCTION("GOOGLETRANSLATE(B1966,""id"",""en"")"),"['Not bad', 'good', 'keep', 'Increase', '']")</f>
        <v>['Not bad', 'good', 'keep', 'Increase', '']</v>
      </c>
      <c r="D1966" s="3">
        <v>4.0</v>
      </c>
    </row>
    <row r="1967" ht="15.75" customHeight="1">
      <c r="A1967" s="1">
        <v>2096.0</v>
      </c>
      <c r="B1967" s="3" t="s">
        <v>1933</v>
      </c>
      <c r="C1967" s="3" t="str">
        <f>IFERROR(__xludf.DUMMYFUNCTION("GOOGLETRANSLATE(B1967,""id"",""en"")"),"['easy', 'really', '']")</f>
        <v>['easy', 'really', '']</v>
      </c>
      <c r="D1967" s="3">
        <v>5.0</v>
      </c>
    </row>
    <row r="1968" ht="15.75" customHeight="1">
      <c r="A1968" s="1">
        <v>2097.0</v>
      </c>
      <c r="B1968" s="3" t="s">
        <v>1934</v>
      </c>
      <c r="C1968" s="3" t="str">
        <f>IFERROR(__xludf.DUMMYFUNCTION("GOOGLETRANSLATE(B1968,""id"",""en"")"),"['Application', 'Telkomsel', 'Open']")</f>
        <v>['Application', 'Telkomsel', 'Open']</v>
      </c>
      <c r="D1968" s="3">
        <v>3.0</v>
      </c>
    </row>
    <row r="1969" ht="15.75" customHeight="1">
      <c r="A1969" s="1">
        <v>2098.0</v>
      </c>
      <c r="B1969" s="3" t="s">
        <v>1935</v>
      </c>
      <c r="C1969" s="3" t="str">
        <f>IFERROR(__xludf.DUMMYFUNCTION("GOOGLETRANSLATE(B1969,""id"",""en"")"),"['come here', 'signal', 'gajelas', 'buy', 'unlimited', 'bsa', 'browsing', 'poor', ""]")</f>
        <v>['come here', 'signal', 'gajelas', 'buy', 'unlimited', 'bsa', 'browsing', 'poor', "]</v>
      </c>
      <c r="D1969" s="3">
        <v>1.0</v>
      </c>
    </row>
    <row r="1970" ht="15.75" customHeight="1">
      <c r="A1970" s="1">
        <v>2099.0</v>
      </c>
      <c r="B1970" s="3" t="s">
        <v>1936</v>
      </c>
      <c r="C1970" s="3" t="str">
        <f>IFERROR(__xludf.DUMMYFUNCTION("GOOGLETRANSLATE(B1970,""id"",""en"")"),"['quota', 'price', 'expensive']")</f>
        <v>['quota', 'price', 'expensive']</v>
      </c>
      <c r="D1970" s="3">
        <v>1.0</v>
      </c>
    </row>
    <row r="1971" ht="15.75" customHeight="1">
      <c r="A1971" s="1">
        <v>2100.0</v>
      </c>
      <c r="B1971" s="3" t="s">
        <v>1367</v>
      </c>
      <c r="C1971" s="3" t="str">
        <f>IFERROR(__xludf.DUMMYFUNCTION("GOOGLETRANSLATE(B1971,""id"",""en"")"),"['good']")</f>
        <v>['good']</v>
      </c>
      <c r="D1971" s="3">
        <v>5.0</v>
      </c>
    </row>
    <row r="1972" ht="15.75" customHeight="1">
      <c r="A1972" s="1">
        <v>2101.0</v>
      </c>
      <c r="B1972" s="3" t="s">
        <v>1937</v>
      </c>
      <c r="C1972" s="3" t="str">
        <f>IFERROR(__xludf.DUMMYFUNCTION("GOOGLETRANSLATE(B1972,""id"",""en"")"),"['skrng', 'login', 'pdhal', 'mid', 'kmarin', 'smooth', 'ajah', 'klau', 'entry', '']")</f>
        <v>['skrng', 'login', 'pdhal', 'mid', 'kmarin', 'smooth', 'ajah', 'klau', 'entry', '']</v>
      </c>
      <c r="D1972" s="3">
        <v>1.0</v>
      </c>
    </row>
    <row r="1973" ht="15.75" customHeight="1">
      <c r="A1973" s="1">
        <v>2102.0</v>
      </c>
      <c r="B1973" s="3" t="s">
        <v>1938</v>
      </c>
      <c r="C1973" s="3" t="str">
        <f>IFERROR(__xludf.DUMMYFUNCTION("GOOGLETRANSLATE(B1973,""id"",""en"")"),"['use', 'modem', 'card', 'orbit', 'innate', 'product', 'signal', 'down', 'city', 'please', 'solution', 'Telkomsel', ' Buy ',' expensive ']")</f>
        <v>['use', 'modem', 'card', 'orbit', 'innate', 'product', 'signal', 'down', 'city', 'please', 'solution', 'Telkomsel', ' Buy ',' expensive ']</v>
      </c>
      <c r="D1973" s="3">
        <v>1.0</v>
      </c>
    </row>
    <row r="1974" ht="15.75" customHeight="1">
      <c r="A1974" s="1">
        <v>2103.0</v>
      </c>
      <c r="B1974" s="3" t="s">
        <v>1939</v>
      </c>
      <c r="C1974" s="3" t="str">
        <f>IFERROR(__xludf.DUMMYFUNCTION("GOOGLETRANSLATE(B1974,""id"",""en"")"),"['Brenti', 'tlkomsel', 'already', 'expensive', 'package', 'network', 'suits', 'price', 'slow']")</f>
        <v>['Brenti', 'tlkomsel', 'already', 'expensive', 'package', 'network', 'suits', 'price', 'slow']</v>
      </c>
      <c r="D1974" s="3">
        <v>1.0</v>
      </c>
    </row>
    <row r="1975" ht="15.75" customHeight="1">
      <c r="A1975" s="1">
        <v>2104.0</v>
      </c>
      <c r="B1975" s="3" t="s">
        <v>1940</v>
      </c>
      <c r="C1975" s="3" t="str">
        <f>IFERROR(__xludf.DUMMYFUNCTION("GOOGLETRANSLATE(B1975,""id"",""en"")"),"['promo', 'appeared', 'offered', 'notification', 'according to', 'price', 'offered', 'application', 'price', 'package', 'expensive', 'offer', ' Notifications', 'Price', 'Package', 'Application', 'Notification', 'Worth', '']")</f>
        <v>['promo', 'appeared', 'offered', 'notification', 'according to', 'price', 'offered', 'application', 'price', 'package', 'expensive', 'offer', ' Notifications', 'Price', 'Package', 'Application', 'Notification', 'Worth', '']</v>
      </c>
      <c r="D1975" s="3">
        <v>2.0</v>
      </c>
    </row>
    <row r="1976" ht="15.75" customHeight="1">
      <c r="A1976" s="1">
        <v>2105.0</v>
      </c>
      <c r="B1976" s="3" t="s">
        <v>1941</v>
      </c>
      <c r="C1976" s="3" t="str">
        <f>IFERROR(__xludf.DUMMYFUNCTION("GOOGLETRANSLATE(B1976,""id"",""en"")"),"['signal', 'lag', 'poll', 'buy', 'expensive', 'signal', 'down']")</f>
        <v>['signal', 'lag', 'poll', 'buy', 'expensive', 'signal', 'down']</v>
      </c>
      <c r="D1976" s="3">
        <v>1.0</v>
      </c>
    </row>
    <row r="1977" ht="15.75" customHeight="1">
      <c r="A1977" s="1">
        <v>2106.0</v>
      </c>
      <c r="B1977" s="3" t="s">
        <v>1942</v>
      </c>
      <c r="C1977" s="3" t="str">
        <f>IFERROR(__xludf.DUMMYFUNCTION("GOOGLETRANSLATE(B1977,""id"",""en"")"),"['buy', 'package', 'internet', 'promoted', 'work', 'Qatar', 'Paketan', 'Roamax', 'Diaspora', 'Qatar', 'Registration', 'Reject', ' Chat ',' application ',' Telkomsel ',' solution ',' subscribe ',' Telkomsel ',' yrs', ""]")</f>
        <v>['buy', 'package', 'internet', 'promoted', 'work', 'Qatar', 'Paketan', 'Roamax', 'Diaspora', 'Qatar', 'Registration', 'Reject', ' Chat ',' application ',' Telkomsel ',' solution ',' subscribe ',' Telkomsel ',' yrs', "]</v>
      </c>
      <c r="D1977" s="3">
        <v>1.0</v>
      </c>
    </row>
    <row r="1978" ht="15.75" customHeight="1">
      <c r="A1978" s="1">
        <v>2107.0</v>
      </c>
      <c r="B1978" s="3" t="s">
        <v>1943</v>
      </c>
      <c r="C1978" s="3" t="str">
        <f>IFERROR(__xludf.DUMMYFUNCTION("GOOGLETRANSLATE(B1978,""id"",""en"")"),"['Notification', 'quota', 'run out', 'eat', 'pulse', 'disappointed', 'already', 'price', 'expensive', '']")</f>
        <v>['Notification', 'quota', 'run out', 'eat', 'pulse', 'disappointed', 'already', 'price', 'expensive', '']</v>
      </c>
      <c r="D1978" s="3">
        <v>1.0</v>
      </c>
    </row>
    <row r="1979" ht="15.75" customHeight="1">
      <c r="A1979" s="1">
        <v>2108.0</v>
      </c>
      <c r="B1979" s="3" t="s">
        <v>1944</v>
      </c>
      <c r="C1979" s="3" t="str">
        <f>IFERROR(__xludf.DUMMYFUNCTION("GOOGLETRANSLATE(B1979,""id"",""en"")"),"['slow', 'process']")</f>
        <v>['slow', 'process']</v>
      </c>
      <c r="D1979" s="3">
        <v>4.0</v>
      </c>
    </row>
    <row r="1980" ht="15.75" customHeight="1">
      <c r="A1980" s="1">
        <v>2109.0</v>
      </c>
      <c r="B1980" s="3" t="s">
        <v>1945</v>
      </c>
      <c r="C1980" s="3" t="str">
        <f>IFERROR(__xludf.DUMMYFUNCTION("GOOGLETRANSLATE(B1980,""id"",""en"")"),"['Update', 'open', 'blank', 'screen', 'white', 'doang', 'wait', 'tetep', 'screen', 'white', 'system', 'update', ' Android ',' Current ',' Application ',' Ngebug ']")</f>
        <v>['Update', 'open', 'blank', 'screen', 'white', 'doang', 'wait', 'tetep', 'screen', 'white', 'system', 'update', ' Android ',' Current ',' Application ',' Ngebug ']</v>
      </c>
      <c r="D1980" s="3">
        <v>1.0</v>
      </c>
    </row>
    <row r="1981" ht="15.75" customHeight="1">
      <c r="A1981" s="1">
        <v>2110.0</v>
      </c>
      <c r="B1981" s="3" t="s">
        <v>1946</v>
      </c>
      <c r="C1981" s="3" t="str">
        <f>IFERROR(__xludf.DUMMYFUNCTION("GOOGLETRANSLATE(B1981,""id"",""en"")"),"['already', 'check', 'then', 'get', 'gift', 'prize', 'claim', 'what', 'nihh', 'min', '']")</f>
        <v>['already', 'check', 'then', 'get', 'gift', 'prize', 'claim', 'what', 'nihh', 'min', '']</v>
      </c>
      <c r="D1981" s="3">
        <v>1.0</v>
      </c>
    </row>
    <row r="1982" ht="15.75" customHeight="1">
      <c r="A1982" s="1">
        <v>2111.0</v>
      </c>
      <c r="B1982" s="3" t="s">
        <v>1947</v>
      </c>
      <c r="C1982" s="3" t="str">
        <f>IFERROR(__xludf.DUMMYFUNCTION("GOOGLETRANSLATE(B1982,""id"",""en"")"),"['Good', 'staying up', 'GB', 'Rp']")</f>
        <v>['Good', 'staying up', 'GB', 'Rp']</v>
      </c>
      <c r="D1982" s="3">
        <v>5.0</v>
      </c>
    </row>
    <row r="1983" ht="15.75" customHeight="1">
      <c r="A1983" s="1">
        <v>2112.0</v>
      </c>
      <c r="B1983" s="3" t="s">
        <v>1948</v>
      </c>
      <c r="C1983" s="3" t="str">
        <f>IFERROR(__xludf.DUMMYFUNCTION("GOOGLETRANSLATE(B1983,""id"",""en"")"),"['Network', 'ugly', 'centered', 'city', 'price', 'kwota', 'internet', 'expensive', 'kwota', 'internet', 'wasteful', 'open', ' Medsos', 'Out', 'Gigabyte', 'A Day', 'Naturally', 'Apaguna', 'Company', 'Plat', 'Red', 'Telkomsel', 'Disappointing', '']")</f>
        <v>['Network', 'ugly', 'centered', 'city', 'price', 'kwota', 'internet', 'expensive', 'kwota', 'internet', 'wasteful', 'open', ' Medsos', 'Out', 'Gigabyte', 'A Day', 'Naturally', 'Apaguna', 'Company', 'Plat', 'Red', 'Telkomsel', 'Disappointing', '']</v>
      </c>
      <c r="D1983" s="3">
        <v>1.0</v>
      </c>
    </row>
    <row r="1984" ht="15.75" customHeight="1">
      <c r="A1984" s="1">
        <v>2113.0</v>
      </c>
      <c r="B1984" s="3" t="s">
        <v>1949</v>
      </c>
      <c r="C1984" s="3" t="str">
        <f>IFERROR(__xludf.DUMMYFUNCTION("GOOGLETRANSLATE(B1984,""id"",""en"")"),"['Please', 'Most', 'Error', 'Push', 'Gara', 'Telkomsel', 'Disruption']")</f>
        <v>['Please', 'Most', 'Error', 'Push', 'Gara', 'Telkomsel', 'Disruption']</v>
      </c>
      <c r="D1984" s="3">
        <v>1.0</v>
      </c>
    </row>
    <row r="1985" ht="15.75" customHeight="1">
      <c r="A1985" s="1">
        <v>2114.0</v>
      </c>
      <c r="B1985" s="3" t="s">
        <v>1950</v>
      </c>
      <c r="C1985" s="3" t="str">
        <f>IFERROR(__xludf.DUMMYFUNCTION("GOOGLETRANSLATE(B1985,""id"",""en"")"),"['combo', 'saktinya']")</f>
        <v>['combo', 'saktinya']</v>
      </c>
      <c r="D1985" s="3">
        <v>5.0</v>
      </c>
    </row>
    <row r="1986" ht="15.75" customHeight="1">
      <c r="A1986" s="1">
        <v>2115.0</v>
      </c>
      <c r="B1986" s="3" t="s">
        <v>1951</v>
      </c>
      <c r="C1986" s="3" t="str">
        <f>IFERROR(__xludf.DUMMYFUNCTION("GOOGLETRANSLATE(B1986,""id"",""en"")"),"['Star', 'talk']")</f>
        <v>['Star', 'talk']</v>
      </c>
      <c r="D1986" s="3">
        <v>5.0</v>
      </c>
    </row>
    <row r="1987" ht="15.75" customHeight="1">
      <c r="A1987" s="1">
        <v>2116.0</v>
      </c>
      <c r="B1987" s="3" t="s">
        <v>1952</v>
      </c>
      <c r="C1987" s="3" t="str">
        <f>IFERROR(__xludf.DUMMYFUNCTION("GOOGLETRANSLATE(B1987,""id"",""en"")"),"['points', 'no', 'exchanged', 'package', 'expensive', 'usage', 'wasteful']")</f>
        <v>['points', 'no', 'exchanged', 'package', 'expensive', 'usage', 'wasteful']</v>
      </c>
      <c r="D1987" s="3">
        <v>1.0</v>
      </c>
    </row>
    <row r="1988" ht="15.75" customHeight="1">
      <c r="A1988" s="1">
        <v>2117.0</v>
      </c>
      <c r="B1988" s="3" t="s">
        <v>1953</v>
      </c>
      <c r="C1988" s="3" t="str">
        <f>IFERROR(__xludf.DUMMYFUNCTION("GOOGLETRANSLATE(B1988,""id"",""en"")"),"['difficult', 'network']")</f>
        <v>['difficult', 'network']</v>
      </c>
      <c r="D1988" s="3">
        <v>3.0</v>
      </c>
    </row>
    <row r="1989" ht="15.75" customHeight="1">
      <c r="A1989" s="1">
        <v>2118.0</v>
      </c>
      <c r="B1989" s="3" t="s">
        <v>1954</v>
      </c>
      <c r="C1989" s="3" t="str">
        <f>IFERROR(__xludf.DUMMYFUNCTION("GOOGLETRANSLATE(B1989,""id"",""en"")"),"['', 'open', 'really', 'entry']")</f>
        <v>['', 'open', 'really', 'entry']</v>
      </c>
      <c r="D1989" s="3">
        <v>2.0</v>
      </c>
    </row>
    <row r="1990" ht="15.75" customHeight="1">
      <c r="A1990" s="1">
        <v>2119.0</v>
      </c>
      <c r="B1990" s="3" t="s">
        <v>1955</v>
      </c>
      <c r="C1990" s="3" t="str">
        <f>IFERROR(__xludf.DUMMYFUNCTION("GOOGLETRANSLATE(B1990,""id"",""en"")"),"['Network', 'Unlimetit', 'Sangt', 'Bad', 'Sya', 'Sangt', 'Disappointed', 'Dengn', 'Jaringn', 'Telkomsel', ""]")</f>
        <v>['Network', 'Unlimetit', 'Sangt', 'Bad', 'Sya', 'Sangt', 'Disappointed', 'Dengn', 'Jaringn', 'Telkomsel', "]</v>
      </c>
      <c r="D1990" s="3">
        <v>1.0</v>
      </c>
    </row>
    <row r="1991" ht="15.75" customHeight="1">
      <c r="A1991" s="1">
        <v>2120.0</v>
      </c>
      <c r="B1991" s="3" t="s">
        <v>1956</v>
      </c>
      <c r="C1991" s="3" t="str">
        <f>IFERROR(__xludf.DUMMYFUNCTION("GOOGLETRANSLATE(B1991,""id"",""en"")"),"['Telkomsel', 'Sangan', 'good', 'friend', 'friend', 'donow', 'Telkomsel', 'friend', 'friend', 'rui']")</f>
        <v>['Telkomsel', 'Sangan', 'good', 'friend', 'friend', 'donow', 'Telkomsel', 'friend', 'friend', 'rui']</v>
      </c>
      <c r="D1991" s="3">
        <v>5.0</v>
      </c>
    </row>
    <row r="1992" ht="15.75" customHeight="1">
      <c r="A1992" s="1">
        <v>2122.0</v>
      </c>
      <c r="B1992" s="3" t="s">
        <v>1957</v>
      </c>
      <c r="C1992" s="3" t="str">
        <f>IFERROR(__xludf.DUMMYFUNCTION("GOOGLETRANSLATE(B1992,""id"",""en"")"),"['Package', 'Multimedia', 'GB', 'Package', 'Internet', 'Out', 'Basic', 'Telkomsel', 'Marketing', 'Getting']")</f>
        <v>['Package', 'Multimedia', 'GB', 'Package', 'Internet', 'Out', 'Basic', 'Telkomsel', 'Marketing', 'Getting']</v>
      </c>
      <c r="D1992" s="3">
        <v>1.0</v>
      </c>
    </row>
    <row r="1993" ht="15.75" customHeight="1">
      <c r="A1993" s="1">
        <v>2123.0</v>
      </c>
      <c r="B1993" s="3" t="s">
        <v>1958</v>
      </c>
      <c r="C1993" s="3" t="str">
        <f>IFERROR(__xludf.DUMMYFUNCTION("GOOGLETRANSLATE(B1993,""id"",""en"")"),"['quota', 'combo', 'unlimited', 'price', '']")</f>
        <v>['quota', 'combo', 'unlimited', 'price', '']</v>
      </c>
      <c r="D1993" s="3">
        <v>1.0</v>
      </c>
    </row>
    <row r="1994" ht="15.75" customHeight="1">
      <c r="A1994" s="1">
        <v>2124.0</v>
      </c>
      <c r="B1994" s="3" t="s">
        <v>1959</v>
      </c>
      <c r="C1994" s="3" t="str">
        <f>IFERROR(__xludf.DUMMYFUNCTION("GOOGLETRANSLATE(B1994,""id"",""en"")"),"['customer', 'loyal', 'Telkomsel', 'honest', 'disappointed', 'network', 'lag', 'lag', 'play', 'game', 'stable', 'network', ' Telkomsel ',' ']")</f>
        <v>['customer', 'loyal', 'Telkomsel', 'honest', 'disappointed', 'network', 'lag', 'lag', 'play', 'game', 'stable', 'network', ' Telkomsel ',' ']</v>
      </c>
      <c r="D1994" s="3">
        <v>1.0</v>
      </c>
    </row>
    <row r="1995" ht="15.75" customHeight="1">
      <c r="A1995" s="1">
        <v>2125.0</v>
      </c>
      <c r="B1995" s="3" t="s">
        <v>1960</v>
      </c>
      <c r="C1995" s="3" t="str">
        <f>IFERROR(__xludf.DUMMYFUNCTION("GOOGLETRANSLATE(B1995,""id"",""en"")"),"['card', 'worth', 'buy', 'quota', 'work', 'task', 'see', 'network', 'muter', 'intention', 'repair', 'perman', ' Serasa ',' Harm ']")</f>
        <v>['card', 'worth', 'buy', 'quota', 'work', 'task', 'see', 'network', 'muter', 'intention', 'repair', 'perman', ' Serasa ',' Harm ']</v>
      </c>
      <c r="D1995" s="3">
        <v>1.0</v>
      </c>
    </row>
    <row r="1996" ht="15.75" customHeight="1">
      <c r="A1996" s="1">
        <v>2126.0</v>
      </c>
      <c r="B1996" s="3" t="s">
        <v>1961</v>
      </c>
      <c r="C1996" s="3" t="str">
        <f>IFERROR(__xludf.DUMMYFUNCTION("GOOGLETRANSLATE(B1996,""id"",""en"")"),"['Network', 'area']")</f>
        <v>['Network', 'area']</v>
      </c>
      <c r="D1996" s="3">
        <v>5.0</v>
      </c>
    </row>
    <row r="1997" ht="15.75" customHeight="1">
      <c r="A1997" s="1">
        <v>2127.0</v>
      </c>
      <c r="B1997" s="3" t="s">
        <v>520</v>
      </c>
      <c r="C1997" s="3" t="str">
        <f>IFERROR(__xludf.DUMMYFUNCTION("GOOGLETRANSLATE(B1997,""id"",""en"")"),"['Satisfied', 'Telkomsel']")</f>
        <v>['Satisfied', 'Telkomsel']</v>
      </c>
      <c r="D1997" s="3">
        <v>5.0</v>
      </c>
    </row>
    <row r="1998" ht="15.75" customHeight="1">
      <c r="A1998" s="1">
        <v>2128.0</v>
      </c>
      <c r="B1998" s="3" t="s">
        <v>1962</v>
      </c>
      <c r="C1998" s="3" t="str">
        <f>IFERROR(__xludf.DUMMYFUNCTION("GOOGLETRANSLATE(B1998,""id"",""en"")"),"['Good', 'times', 'application']")</f>
        <v>['Good', 'times', 'application']</v>
      </c>
      <c r="D1998" s="3">
        <v>5.0</v>
      </c>
    </row>
    <row r="1999" ht="15.75" customHeight="1">
      <c r="A1999" s="1">
        <v>2131.0</v>
      </c>
      <c r="B1999" s="3" t="s">
        <v>1044</v>
      </c>
      <c r="C1999" s="3" t="str">
        <f>IFERROR(__xludf.DUMMYFUNCTION("GOOGLETRANSLATE(B1999,""id"",""en"")"),"['good', '']")</f>
        <v>['good', '']</v>
      </c>
      <c r="D1999" s="3">
        <v>5.0</v>
      </c>
    </row>
    <row r="2000" ht="15.75" customHeight="1">
      <c r="A2000" s="1">
        <v>2132.0</v>
      </c>
      <c r="B2000" s="3" t="s">
        <v>1963</v>
      </c>
      <c r="C2000" s="3" t="str">
        <f>IFERROR(__xludf.DUMMYFUNCTION("GOOGLETRANSLATE(B2000,""id"",""en"")"),"['Application', 'Telkomsel', 'Open', '']")</f>
        <v>['Application', 'Telkomsel', 'Open', '']</v>
      </c>
      <c r="D2000" s="3">
        <v>5.0</v>
      </c>
    </row>
    <row r="2001" ht="15.75" customHeight="1">
      <c r="A2001" s="1">
        <v>2133.0</v>
      </c>
      <c r="B2001" s="3" t="s">
        <v>1964</v>
      </c>
      <c r="C2001" s="3" t="str">
        <f>IFERROR(__xludf.DUMMYFUNCTION("GOOGLETRANSLATE(B2001,""id"",""en"")"),"['startling']")</f>
        <v>['startling']</v>
      </c>
      <c r="D2001" s="3">
        <v>5.0</v>
      </c>
    </row>
    <row r="2002" ht="15.75" customHeight="1">
      <c r="A2002" s="1">
        <v>2135.0</v>
      </c>
      <c r="B2002" s="3" t="s">
        <v>1965</v>
      </c>
      <c r="C2002" s="3" t="str">
        <f>IFERROR(__xludf.DUMMYFUNCTION("GOOGLETRANSLATE(B2002,""id"",""en"")"),"['Price', 'package', 'expensive', 'Worth', '']")</f>
        <v>['Price', 'package', 'expensive', 'Worth', '']</v>
      </c>
      <c r="D2002" s="3">
        <v>1.0</v>
      </c>
    </row>
    <row r="2003" ht="15.75" customHeight="1">
      <c r="A2003" s="1">
        <v>2136.0</v>
      </c>
      <c r="B2003" s="3" t="s">
        <v>1966</v>
      </c>
      <c r="C2003" s="3" t="str">
        <f>IFERROR(__xludf.DUMMYFUNCTION("GOOGLETRANSLATE(B2003,""id"",""en"")"),"['bad', 'network', 'bad', 'have', 'balance', 'pulse', 'taken', 'Rp', 'use it', 'quota', 'network', 'bad', ' Filting ',' complain ',' replied ',' waaah ',' bad ',' service ',' Telkomsel ']")</f>
        <v>['bad', 'network', 'bad', 'have', 'balance', 'pulse', 'taken', 'Rp', 'use it', 'quota', 'network', 'bad', ' Filting ',' complain ',' replied ',' waaah ',' bad ',' service ',' Telkomsel ']</v>
      </c>
      <c r="D2003" s="3">
        <v>1.0</v>
      </c>
    </row>
    <row r="2004" ht="15.75" customHeight="1">
      <c r="A2004" s="1">
        <v>2137.0</v>
      </c>
      <c r="B2004" s="3" t="s">
        <v>1967</v>
      </c>
      <c r="C2004" s="3" t="str">
        <f>IFERROR(__xludf.DUMMYFUNCTION("GOOGLETRANSLATE(B2004,""id"",""en"")"),"['Yesterday', 'write', 'Telkomsel', 'Gabisa', 'opened', 'Nge', 'blank', 'color', 'white', 'on the screen', 'help', 'admin', ' ']")</f>
        <v>['Yesterday', 'write', 'Telkomsel', 'Gabisa', 'opened', 'Nge', 'blank', 'color', 'white', 'on the screen', 'help', 'admin', ' ']</v>
      </c>
      <c r="D2004" s="3">
        <v>5.0</v>
      </c>
    </row>
    <row r="2005" ht="15.75" customHeight="1">
      <c r="A2005" s="1">
        <v>2138.0</v>
      </c>
      <c r="B2005" s="3" t="s">
        <v>1968</v>
      </c>
      <c r="C2005" s="3" t="str">
        <f>IFERROR(__xludf.DUMMYFUNCTION("GOOGLETRANSLATE(B2005,""id"",""en"")"),"['forget']")</f>
        <v>['forget']</v>
      </c>
      <c r="D2005" s="3">
        <v>5.0</v>
      </c>
    </row>
    <row r="2006" ht="15.75" customHeight="1">
      <c r="A2006" s="1">
        <v>2139.0</v>
      </c>
      <c r="B2006" s="3" t="s">
        <v>1969</v>
      </c>
      <c r="C2006" s="3" t="str">
        <f>IFERROR(__xludf.DUMMYFUNCTION("GOOGLETRANSLATE(B2006,""id"",""en"")"),"['Over', 'Telkomsel', 'Stress', '']")</f>
        <v>['Over', 'Telkomsel', 'Stress', '']</v>
      </c>
      <c r="D2006" s="3">
        <v>3.0</v>
      </c>
    </row>
    <row r="2007" ht="15.75" customHeight="1">
      <c r="A2007" s="1">
        <v>2140.0</v>
      </c>
      <c r="B2007" s="3" t="s">
        <v>1970</v>
      </c>
      <c r="C2007" s="3" t="str">
        <f>IFERROR(__xludf.DUMMYFUNCTION("GOOGLETRANSLATE(B2007,""id"",""en"")"),"['Price', 'expensive', 'quality', 'threat', 'signal', 'like', 'slow', 'severe', 'replace', 'provider', 'bye', ""]")</f>
        <v>['Price', 'expensive', 'quality', 'threat', 'signal', 'like', 'slow', 'severe', 'replace', 'provider', 'bye', "]</v>
      </c>
      <c r="D2007" s="3">
        <v>1.0</v>
      </c>
    </row>
    <row r="2008" ht="15.75" customHeight="1">
      <c r="A2008" s="1">
        <v>2141.0</v>
      </c>
      <c r="B2008" s="3" t="s">
        <v>1971</v>
      </c>
      <c r="C2008" s="3" t="str">
        <f>IFERROR(__xludf.DUMMYFUNCTION("GOOGLETRANSLATE(B2008,""id"",""en"")"),"['Prachris', 'fast']")</f>
        <v>['Prachris', 'fast']</v>
      </c>
      <c r="D2008" s="3">
        <v>5.0</v>
      </c>
    </row>
    <row r="2009" ht="15.75" customHeight="1">
      <c r="A2009" s="1">
        <v>2142.0</v>
      </c>
      <c r="B2009" s="3" t="s">
        <v>1972</v>
      </c>
      <c r="C2009" s="3" t="str">
        <f>IFERROR(__xludf.DUMMYFUNCTION("GOOGLETRANSLATE(B2009,""id"",""en"")"),"['Application', 'how', 'Many', 'Download', 'Dbuka', 'just', 'screen', 'white', 'Doank', 'error', 'every time', 'times',' open', '']")</f>
        <v>['Application', 'how', 'Many', 'Download', 'Dbuka', 'just', 'screen', 'white', 'Doank', 'error', 'every time', 'times',' open', '']</v>
      </c>
      <c r="D2009" s="3">
        <v>1.0</v>
      </c>
    </row>
    <row r="2010" ht="15.75" customHeight="1">
      <c r="A2010" s="1">
        <v>2143.0</v>
      </c>
      <c r="B2010" s="3" t="s">
        <v>1973</v>
      </c>
      <c r="C2010" s="3" t="str">
        <f>IFERROR(__xludf.DUMMYFUNCTION("GOOGLETRANSLATE(B2010,""id"",""en"")"),"['Open', 'Download', 'already', 'update', 'disappointed']")</f>
        <v>['Open', 'Download', 'already', 'update', 'disappointed']</v>
      </c>
      <c r="D2010" s="3">
        <v>2.0</v>
      </c>
    </row>
    <row r="2011" ht="15.75" customHeight="1">
      <c r="A2011" s="1">
        <v>2144.0</v>
      </c>
      <c r="B2011" s="3" t="s">
        <v>1974</v>
      </c>
      <c r="C2011" s="3" t="str">
        <f>IFERROR(__xludf.DUMMYFUNCTION("GOOGLETRANSLATE(B2011,""id"",""en"")"),"['Lalot', 'network', 'quota', 'data', 'unlimited']")</f>
        <v>['Lalot', 'network', 'quota', 'data', 'unlimited']</v>
      </c>
      <c r="D2011" s="3">
        <v>5.0</v>
      </c>
    </row>
    <row r="2012" ht="15.75" customHeight="1">
      <c r="A2012" s="1">
        <v>2145.0</v>
      </c>
      <c r="B2012" s="3" t="s">
        <v>1975</v>
      </c>
      <c r="C2012" s="3" t="str">
        <f>IFERROR(__xludf.DUMMYFUNCTION("GOOGLETRANSLATE(B2012,""id"",""en"")"),"['Speaker', 'forget', 'check', 'quota', 'concentration', 'writing', 'quota', 'sufficient', 'horrified', 'directly', 'plus',' quota ',' Safe ',' Telkomsel ',' ']")</f>
        <v>['Speaker', 'forget', 'check', 'quota', 'concentration', 'writing', 'quota', 'sufficient', 'horrified', 'directly', 'plus',' quota ',' Safe ',' Telkomsel ',' ']</v>
      </c>
      <c r="D2012" s="3">
        <v>5.0</v>
      </c>
    </row>
    <row r="2013" ht="15.75" customHeight="1">
      <c r="A2013" s="1">
        <v>2146.0</v>
      </c>
      <c r="B2013" s="3" t="s">
        <v>1976</v>
      </c>
      <c r="C2013" s="3" t="str">
        <f>IFERROR(__xludf.DUMMYFUNCTION("GOOGLETRANSLATE(B2013,""id"",""en"")"),"['signal', 'rotten', 'nhak', 'Mutuu']")</f>
        <v>['signal', 'rotten', 'nhak', 'Mutuu']</v>
      </c>
      <c r="D2013" s="3">
        <v>1.0</v>
      </c>
    </row>
    <row r="2014" ht="15.75" customHeight="1">
      <c r="A2014" s="1">
        <v>2147.0</v>
      </c>
      <c r="B2014" s="3" t="s">
        <v>1977</v>
      </c>
      <c r="C2014" s="3" t="str">
        <f>IFERROR(__xludf.DUMMYFUNCTION("GOOGLETRANSLATE(B2014,""id"",""en"")"),"['', 'Features', 'Lock', 'Credit', 'Package', 'Out']")</f>
        <v>['', 'Features', 'Lock', 'Credit', 'Package', 'Out']</v>
      </c>
      <c r="D2014" s="3">
        <v>1.0</v>
      </c>
    </row>
    <row r="2015" ht="15.75" customHeight="1">
      <c r="A2015" s="1">
        <v>2148.0</v>
      </c>
      <c r="B2015" s="3" t="s">
        <v>1978</v>
      </c>
      <c r="C2015" s="3" t="str">
        <f>IFERROR(__xludf.DUMMYFUNCTION("GOOGLETRANSLATE(B2015,""id"",""en"")"),"['Please', 'Sorry', 'Telkomsel', 'Credit', 'Emergency', 'Paying', 'Fill', 'Re-contents',' Contents', 'Reset', 'Paying', 'appears',' SMS ',' pay off ',' credit ',' emergency ',' contents', 'reset', 'pulse', 'directly', 'run out', 'use', 'pulses',' appears'"&amp;", 'sms' , 'told', 'payment', 'credit', 'emergency', 'that's',' loss', 'fill in', 'pulse', 'TPI', 'pulses',' finished ',' Mulu ',' Please ',' response ',' Telkomsel ']")</f>
        <v>['Please', 'Sorry', 'Telkomsel', 'Credit', 'Emergency', 'Paying', 'Fill', 'Re-contents',' Contents', 'Reset', 'Paying', 'appears',' SMS ',' pay off ',' credit ',' emergency ',' contents', 'reset', 'pulse', 'directly', 'run out', 'use', 'pulses',' appears', 'sms' , 'told', 'payment', 'credit', 'emergency', 'that's',' loss', 'fill in', 'pulse', 'TPI', 'pulses',' finished ',' Mulu ',' Please ',' response ',' Telkomsel ']</v>
      </c>
      <c r="D2015" s="3">
        <v>1.0</v>
      </c>
    </row>
    <row r="2016" ht="15.75" customHeight="1">
      <c r="A2016" s="1">
        <v>2149.0</v>
      </c>
      <c r="B2016" s="3" t="s">
        <v>1979</v>
      </c>
      <c r="C2016" s="3" t="str">
        <f>IFERROR(__xludf.DUMMYFUNCTION("GOOGLETRANSLATE(B2016,""id"",""en"")"),"['Region', 'Cikarang', 'South', 'Village', 'Sukaresmi', 'Network', 'Telkomsel', 'DLU', 'Satisfied', 'KMI', 'users',' Telkomsel ',' repair']")</f>
        <v>['Region', 'Cikarang', 'South', 'Village', 'Sukaresmi', 'Network', 'Telkomsel', 'DLU', 'Satisfied', 'KMI', 'users',' Telkomsel ',' repair']</v>
      </c>
      <c r="D2016" s="3">
        <v>1.0</v>
      </c>
    </row>
    <row r="2017" ht="15.75" customHeight="1">
      <c r="A2017" s="1">
        <v>2150.0</v>
      </c>
      <c r="B2017" s="3" t="s">
        <v>1980</v>
      </c>
      <c r="C2017" s="3" t="str">
        <f>IFERROR(__xludf.DUMMYFUNCTION("GOOGLETRANSLATE(B2017,""id"",""en"")"),"['Telkomsel', 'Dihati', ""]")</f>
        <v>['Telkomsel', 'Dihati', "]</v>
      </c>
      <c r="D2017" s="3">
        <v>5.0</v>
      </c>
    </row>
    <row r="2018" ht="15.75" customHeight="1">
      <c r="A2018" s="1">
        <v>2151.0</v>
      </c>
      <c r="B2018" s="3" t="s">
        <v>1981</v>
      </c>
      <c r="C2018" s="3" t="str">
        <f>IFERROR(__xludf.DUMMYFUNCTION("GOOGLETRANSLATE(B2018,""id"",""en"")"),"['Knp', 'Open', 'then', 'Install', 'UALNG', 'Tetep', 'GBS']")</f>
        <v>['Knp', 'Open', 'then', 'Install', 'UALNG', 'Tetep', 'GBS']</v>
      </c>
      <c r="D2018" s="3">
        <v>2.0</v>
      </c>
    </row>
    <row r="2019" ht="15.75" customHeight="1">
      <c r="A2019" s="1">
        <v>2152.0</v>
      </c>
      <c r="B2019" s="3" t="s">
        <v>1982</v>
      </c>
      <c r="C2019" s="3" t="str">
        <f>IFERROR(__xludf.DUMMYFUNCTION("GOOGLETRANSLATE(B2019,""id"",""en"")"),"['eleh', 'signal', 'dipping', 'useful', 'defective', 'glanced', 'just', 'get', 'money', 'pansos',' mending ',' closed ',' sympathy ',' mah ',' expensive ',' doang ',' asw ']")</f>
        <v>['eleh', 'signal', 'dipping', 'useful', 'defective', 'glanced', 'just', 'get', 'money', 'pansos',' mending ',' closed ',' sympathy ',' mah ',' expensive ',' doang ',' asw ']</v>
      </c>
      <c r="D2019" s="3">
        <v>1.0</v>
      </c>
    </row>
    <row r="2020" ht="15.75" customHeight="1">
      <c r="A2020" s="1">
        <v>2153.0</v>
      </c>
      <c r="B2020" s="3" t="s">
        <v>1983</v>
      </c>
      <c r="C2020" s="3" t="str">
        <f>IFERROR(__xludf.DUMMYFUNCTION("GOOGLETRANSLATE(B2020,""id"",""en"")"),"['Credit', 'Cut', 'Makai', 'Credit', 'Buy', 'Package', 'Very', 'Process',' Sometimes', 'Sousal', 'ugly', 'Telkomsel', ' times', 'annoyed', '']")</f>
        <v>['Credit', 'Cut', 'Makai', 'Credit', 'Buy', 'Package', 'Very', 'Process',' Sometimes', 'Sousal', 'ugly', 'Telkomsel', ' times', 'annoyed', '']</v>
      </c>
      <c r="D2020" s="3">
        <v>1.0</v>
      </c>
    </row>
    <row r="2021" ht="15.75" customHeight="1">
      <c r="A2021" s="1">
        <v>2154.0</v>
      </c>
      <c r="B2021" s="3" t="s">
        <v>1984</v>
      </c>
      <c r="C2021" s="3" t="str">
        <f>IFERROR(__xludf.DUMMYFUNCTION("GOOGLETRANSLATE(B2021,""id"",""en"")"),"['easy', 'check', 'type', 'package', 'promo']")</f>
        <v>['easy', 'check', 'type', 'package', 'promo']</v>
      </c>
      <c r="D2021" s="3">
        <v>5.0</v>
      </c>
    </row>
    <row r="2022" ht="15.75" customHeight="1">
      <c r="A2022" s="1">
        <v>2155.0</v>
      </c>
      <c r="B2022" s="3" t="s">
        <v>1985</v>
      </c>
      <c r="C2022" s="3" t="str">
        <f>IFERROR(__xludf.DUMMYFUNCTION("GOOGLETRANSLATE(B2022,""id"",""en"")"),"['Telkom', 'slow', 'really', 'dlu', 'smooth', 'please', 'repaired', 'gini', 'move', 'card', 'udh', 'expensive', ' Leet ']")</f>
        <v>['Telkom', 'slow', 'really', 'dlu', 'smooth', 'please', 'repaired', 'gini', 'move', 'card', 'udh', 'expensive', ' Leet ']</v>
      </c>
      <c r="D2022" s="3">
        <v>1.0</v>
      </c>
    </row>
    <row r="2023" ht="15.75" customHeight="1">
      <c r="A2023" s="1">
        <v>2156.0</v>
      </c>
      <c r="B2023" s="3" t="s">
        <v>1986</v>
      </c>
      <c r="C2023" s="3" t="str">
        <f>IFERROR(__xludf.DUMMYFUNCTION("GOOGLETRANSLATE(B2023,""id"",""en"")"),"['Update', 'Samsung', 'White', 'Blank', 'Login', 'Application', 'Please', 'Fix']")</f>
        <v>['Update', 'Samsung', 'White', 'Blank', 'Login', 'Application', 'Please', 'Fix']</v>
      </c>
      <c r="D2023" s="3">
        <v>1.0</v>
      </c>
    </row>
    <row r="2024" ht="15.75" customHeight="1">
      <c r="A2024" s="1">
        <v>2157.0</v>
      </c>
      <c r="B2024" s="3" t="s">
        <v>1987</v>
      </c>
      <c r="C2024" s="3" t="str">
        <f>IFERROR(__xludf.DUMMYFUNCTION("GOOGLETRANSLATE(B2024,""id"",""en"")"),"['Connect', 'Account', 'Fund', 'Available', 'Settings', 'Menu']")</f>
        <v>['Connect', 'Account', 'Fund', 'Available', 'Settings', 'Menu']</v>
      </c>
      <c r="D2024" s="3">
        <v>2.0</v>
      </c>
    </row>
    <row r="2025" ht="15.75" customHeight="1">
      <c r="A2025" s="1">
        <v>2158.0</v>
      </c>
      <c r="B2025" s="3" t="s">
        <v>1988</v>
      </c>
      <c r="C2025" s="3" t="str">
        <f>IFERROR(__xludf.DUMMYFUNCTION("GOOGLETRANSLATE(B2025,""id"",""en"")"),"['', 'expensive', 'ngelg', 'ajng', 'ilang', 'network', 'ngntd', 'emg']")</f>
        <v>['', 'expensive', 'ngelg', 'ajng', 'ilang', 'network', 'ngntd', 'emg']</v>
      </c>
      <c r="D2025" s="3">
        <v>1.0</v>
      </c>
    </row>
    <row r="2026" ht="15.75" customHeight="1">
      <c r="A2026" s="1">
        <v>2160.0</v>
      </c>
      <c r="B2026" s="3" t="s">
        <v>1989</v>
      </c>
      <c r="C2026" s="3" t="str">
        <f>IFERROR(__xludf.DUMMYFUNCTION("GOOGLETRANSLATE(B2026,""id"",""en"")"),"['Network', 'Ngelag', 'Severe', 'SERES']")</f>
        <v>['Network', 'Ngelag', 'Severe', 'SERES']</v>
      </c>
      <c r="D2026" s="3">
        <v>1.0</v>
      </c>
    </row>
    <row r="2027" ht="15.75" customHeight="1">
      <c r="A2027" s="1">
        <v>2161.0</v>
      </c>
      <c r="B2027" s="3" t="s">
        <v>1990</v>
      </c>
      <c r="C2027" s="3" t="str">
        <f>IFERROR(__xludf.DUMMYFUNCTION("GOOGLETRANSLATE(B2027,""id"",""en"")"),"['Okeyy', 'hopefully', 'motorcycle', '']")</f>
        <v>['Okeyy', 'hopefully', 'motorcycle', '']</v>
      </c>
      <c r="D2027" s="3">
        <v>5.0</v>
      </c>
    </row>
    <row r="2028" ht="15.75" customHeight="1">
      <c r="A2028" s="1">
        <v>2162.0</v>
      </c>
      <c r="B2028" s="3" t="s">
        <v>1991</v>
      </c>
      <c r="C2028" s="3" t="str">
        <f>IFERROR(__xludf.DUMMYFUNCTION("GOOGLETRANSLATE(B2028,""id"",""en"")"),"['Log', 'out', 'log', 'out', 'log', 'difficult', 'text', 'link', 'sent', 'person', 'extend', 'package', ' difficult ',' number ',' password ',' donk ',' access', 'difficult', 'apk', 'bapuk']")</f>
        <v>['Log', 'out', 'log', 'out', 'log', 'difficult', 'text', 'link', 'sent', 'person', 'extend', 'package', ' difficult ',' number ',' password ',' donk ',' access', 'difficult', 'apk', 'bapuk']</v>
      </c>
      <c r="D2028" s="3">
        <v>1.0</v>
      </c>
    </row>
    <row r="2029" ht="15.75" customHeight="1">
      <c r="A2029" s="1">
        <v>2164.0</v>
      </c>
      <c r="B2029" s="3" t="s">
        <v>1992</v>
      </c>
      <c r="C2029" s="3" t="str">
        <f>IFERROR(__xludf.DUMMYFUNCTION("GOOGLETRANSLATE(B2029,""id"",""en"")"),"['gabisa', 'access',' screen ',' white ',' doang ',' already ',' dislodial ',' trs', 'install', 'ttp', 'gabisa', 'why', ' ']")</f>
        <v>['gabisa', 'access',' screen ',' white ',' doang ',' already ',' dislodial ',' trs', 'install', 'ttp', 'gabisa', 'why', ' ']</v>
      </c>
      <c r="D2029" s="3">
        <v>1.0</v>
      </c>
    </row>
    <row r="2030" ht="15.75" customHeight="1">
      <c r="A2030" s="1">
        <v>2165.0</v>
      </c>
      <c r="B2030" s="3" t="s">
        <v>1993</v>
      </c>
      <c r="C2030" s="3" t="str">
        <f>IFERROR(__xludf.DUMMYFUNCTION("GOOGLETRANSLATE(B2030,""id"",""en"")"),"['Satisfied', 'Program', 'Telkomsel']")</f>
        <v>['Satisfied', 'Program', 'Telkomsel']</v>
      </c>
      <c r="D2030" s="3">
        <v>5.0</v>
      </c>
    </row>
    <row r="2031" ht="15.75" customHeight="1">
      <c r="A2031" s="1">
        <v>2166.0</v>
      </c>
      <c r="B2031" s="3" t="s">
        <v>1044</v>
      </c>
      <c r="C2031" s="3" t="str">
        <f>IFERROR(__xludf.DUMMYFUNCTION("GOOGLETRANSLATE(B2031,""id"",""en"")"),"['good', '']")</f>
        <v>['good', '']</v>
      </c>
      <c r="D2031" s="3">
        <v>5.0</v>
      </c>
    </row>
    <row r="2032" ht="15.75" customHeight="1">
      <c r="A2032" s="1">
        <v>2167.0</v>
      </c>
      <c r="B2032" s="3" t="s">
        <v>1994</v>
      </c>
      <c r="C2032" s="3" t="str">
        <f>IFERROR(__xludf.DUMMYFUNCTION("GOOGLETRANSLATE(B2032,""id"",""en"")"),"['Knp', 'Package', 'TLPN', 'Price']")</f>
        <v>['Knp', 'Package', 'TLPN', 'Price']</v>
      </c>
      <c r="D2032" s="3">
        <v>5.0</v>
      </c>
    </row>
    <row r="2033" ht="15.75" customHeight="1">
      <c r="A2033" s="1">
        <v>2168.0</v>
      </c>
      <c r="B2033" s="3" t="s">
        <v>1995</v>
      </c>
      <c r="C2033" s="3" t="str">
        <f>IFERROR(__xludf.DUMMYFUNCTION("GOOGLETRANSLATE(B2033,""id"",""en"")"),"['bnyak', 'buy', 'package', 'network', 'threat', 'Telkomsel', 'pepayhhhh', '']")</f>
        <v>['bnyak', 'buy', 'package', 'network', 'threat', 'Telkomsel', 'pepayhhhh', '']</v>
      </c>
      <c r="D2033" s="3">
        <v>1.0</v>
      </c>
    </row>
    <row r="2034" ht="15.75" customHeight="1">
      <c r="A2034" s="1">
        <v>2169.0</v>
      </c>
      <c r="B2034" s="3" t="s">
        <v>1996</v>
      </c>
      <c r="C2034" s="3" t="str">
        <f>IFERROR(__xludf.DUMMYFUNCTION("GOOGLETRANSLATE(B2034,""id"",""en"")"),"['Telkomsel', 'emng', 'championaaaaa']")</f>
        <v>['Telkomsel', 'emng', 'championaaaaa']</v>
      </c>
      <c r="D2034" s="3">
        <v>5.0</v>
      </c>
    </row>
    <row r="2035" ht="15.75" customHeight="1">
      <c r="A2035" s="1">
        <v>2171.0</v>
      </c>
      <c r="B2035" s="3" t="s">
        <v>1997</v>
      </c>
      <c r="C2035" s="3" t="str">
        <f>IFERROR(__xludf.DUMMYFUNCTION("GOOGLETRANSLATE(B2035,""id"",""en"")"),"['Out', 'buy', 'package', 'data', 'ngegem', 'use', 'ngegem']")</f>
        <v>['Out', 'buy', 'package', 'data', 'ngegem', 'use', 'ngegem']</v>
      </c>
      <c r="D2035" s="3">
        <v>1.0</v>
      </c>
    </row>
    <row r="2036" ht="15.75" customHeight="1">
      <c r="A2036" s="1">
        <v>2172.0</v>
      </c>
      <c r="B2036" s="3" t="s">
        <v>1998</v>
      </c>
      <c r="C2036" s="3" t="str">
        <f>IFERROR(__xludf.DUMMYFUNCTION("GOOGLETRANSLATE(B2036,""id"",""en"")"),"['I hope']")</f>
        <v>['I hope']</v>
      </c>
      <c r="D2036" s="3">
        <v>5.0</v>
      </c>
    </row>
    <row r="2037" ht="15.75" customHeight="1">
      <c r="A2037" s="1">
        <v>2173.0</v>
      </c>
      <c r="B2037" s="3" t="s">
        <v>1999</v>
      </c>
      <c r="C2037" s="3" t="str">
        <f>IFERROR(__xludf.DUMMYFUNCTION("GOOGLETRANSLATE(B2037,""id"",""en"")"),"['hi', 'Telkomsel', 'package', 'please', 'customer', 'loyal', 'Telkomsel', 'lightening', 'loyal', 'wear', 'Telkomsel', 'sometimes' Whatever ',' network ',' lost ',' debt ',' anything ',' pulse ',' cut ',' disappointing ']")</f>
        <v>['hi', 'Telkomsel', 'package', 'please', 'customer', 'loyal', 'Telkomsel', 'lightening', 'loyal', 'wear', 'Telkomsel', 'sometimes' Whatever ',' network ',' lost ',' debt ',' anything ',' pulse ',' cut ',' disappointing ']</v>
      </c>
      <c r="D2037" s="3">
        <v>1.0</v>
      </c>
    </row>
    <row r="2038" ht="15.75" customHeight="1">
      <c r="A2038" s="1">
        <v>2174.0</v>
      </c>
      <c r="B2038" s="3" t="s">
        <v>2000</v>
      </c>
      <c r="C2038" s="3" t="str">
        <f>IFERROR(__xludf.DUMMYFUNCTION("GOOGLETRANSLATE(B2038,""id"",""en"")"),"['', 'ugly', 'jelekkk', 'Telkomsel', 'screen', 'white']")</f>
        <v>['', 'ugly', 'jelekkk', 'Telkomsel', 'screen', 'white']</v>
      </c>
      <c r="D2038" s="3">
        <v>1.0</v>
      </c>
    </row>
    <row r="2039" ht="15.75" customHeight="1">
      <c r="A2039" s="1">
        <v>2175.0</v>
      </c>
      <c r="B2039" s="3" t="s">
        <v>2001</v>
      </c>
      <c r="C2039" s="3" t="str">
        <f>IFERROR(__xludf.DUMMYFUNCTION("GOOGLETRANSLATE(B2039,""id"",""en"")"),"['Application', 'Open', 'Lemoooooot', '']")</f>
        <v>['Application', 'Open', 'Lemoooooot', '']</v>
      </c>
      <c r="D2039" s="3">
        <v>2.0</v>
      </c>
    </row>
    <row r="2040" ht="15.75" customHeight="1">
      <c r="A2040" s="1">
        <v>2176.0</v>
      </c>
      <c r="B2040" s="3" t="s">
        <v>2002</v>
      </c>
      <c r="C2040" s="3" t="str">
        <f>IFERROR(__xludf.DUMMYFUNCTION("GOOGLETRANSLATE(B2040,""id"",""en"")"),"['Severe', 'owe', 'package', 'owe']")</f>
        <v>['Severe', 'owe', 'package', 'owe']</v>
      </c>
      <c r="D2040" s="3">
        <v>1.0</v>
      </c>
    </row>
    <row r="2041" ht="15.75" customHeight="1">
      <c r="A2041" s="1">
        <v>2177.0</v>
      </c>
      <c r="B2041" s="3" t="s">
        <v>2003</v>
      </c>
      <c r="C2041" s="3" t="str">
        <f>IFERROR(__xludf.DUMMYFUNCTION("GOOGLETRANSLATE(B2041,""id"",""en"")"),"['update', 'darling', 'quota']")</f>
        <v>['update', 'darling', 'quota']</v>
      </c>
      <c r="D2041" s="3">
        <v>3.0</v>
      </c>
    </row>
    <row r="2042" ht="15.75" customHeight="1">
      <c r="A2042" s="1">
        <v>2178.0</v>
      </c>
      <c r="B2042" s="3" t="s">
        <v>2004</v>
      </c>
      <c r="C2042" s="3" t="str">
        <f>IFERROR(__xludf.DUMMYFUNCTION("GOOGLETRANSLATE(B2042,""id"",""en"")"),"['login']")</f>
        <v>['login']</v>
      </c>
      <c r="D2042" s="3">
        <v>4.0</v>
      </c>
    </row>
    <row r="2043" ht="15.75" customHeight="1">
      <c r="A2043" s="1">
        <v>2179.0</v>
      </c>
      <c r="B2043" s="3" t="s">
        <v>2005</v>
      </c>
      <c r="C2043" s="3" t="str">
        <f>IFERROR(__xludf.DUMMYFUNCTION("GOOGLETRANSLATE(B2043,""id"",""en"")"),"['here', 'Telkomsel', 'slow', 'really', 'aspect', 'signal', 'aolatiknya', 'like', 'error', 'mending', 'operator', 'smooth', ' cheap ',' terahah ',' spend ',' quota ',' nggk ',' lazy ',' really ', ""]")</f>
        <v>['here', 'Telkomsel', 'slow', 'really', 'aspect', 'signal', 'aolatiknya', 'like', 'error', 'mending', 'operator', 'smooth', ' cheap ',' terahah ',' spend ',' quota ',' nggk ',' lazy ',' really ', "]</v>
      </c>
      <c r="D2043" s="3">
        <v>1.0</v>
      </c>
    </row>
    <row r="2044" ht="15.75" customHeight="1">
      <c r="A2044" s="1">
        <v>2180.0</v>
      </c>
      <c r="B2044" s="3" t="s">
        <v>2006</v>
      </c>
      <c r="C2044" s="3" t="str">
        <f>IFERROR(__xludf.DUMMYFUNCTION("GOOGLETRANSLATE(B2044,""id"",""en"")"),"['APK', 'abal', 'open', 'ngeblank', 'screen', 'white', 'loading', 'visits',' finished ',' wake up ',' most ',' tidoooor ',' Ayoooo ',' work ']")</f>
        <v>['APK', 'abal', 'open', 'ngeblank', 'screen', 'white', 'loading', 'visits',' finished ',' wake up ',' most ',' tidoooor ',' Ayoooo ',' work ']</v>
      </c>
      <c r="D2044" s="3">
        <v>1.0</v>
      </c>
    </row>
    <row r="2045" ht="15.75" customHeight="1">
      <c r="A2045" s="1">
        <v>2182.0</v>
      </c>
      <c r="B2045" s="3" t="s">
        <v>2007</v>
      </c>
      <c r="C2045" s="3" t="str">
        <f>IFERROR(__xludf.DUMMYFUNCTION("GOOGLETRANSLATE(B2045,""id"",""en"")"),"['package', 'expensive', 'Sue', 'slow', 'mah', 'gpp', 'already', 'expensive', 'slow']")</f>
        <v>['package', 'expensive', 'Sue', 'slow', 'mah', 'gpp', 'already', 'expensive', 'slow']</v>
      </c>
      <c r="D2045" s="3">
        <v>1.0</v>
      </c>
    </row>
    <row r="2046" ht="15.75" customHeight="1">
      <c r="A2046" s="1">
        <v>2183.0</v>
      </c>
      <c r="B2046" s="3" t="s">
        <v>2008</v>
      </c>
      <c r="C2046" s="3" t="str">
        <f>IFERROR(__xludf.DUMMYFUNCTION("GOOGLETRANSLATE(B2046,""id"",""en"")"),"['Thank God', 'App', 'Tekomsel', 'Open', 'Accept', 'Love', 'Telkomsel']")</f>
        <v>['Thank God', 'App', 'Tekomsel', 'Open', 'Accept', 'Love', 'Telkomsel']</v>
      </c>
      <c r="D2046" s="3">
        <v>5.0</v>
      </c>
    </row>
    <row r="2047" ht="15.75" customHeight="1">
      <c r="A2047" s="1">
        <v>2184.0</v>
      </c>
      <c r="B2047" s="3" t="s">
        <v>2009</v>
      </c>
      <c r="C2047" s="3" t="str">
        <f>IFERROR(__xludf.DUMMYFUNCTION("GOOGLETRANSLATE(B2047,""id"",""en"")"),"['Telkomsel', 'enter', 'application', 'always', 'white', 'picture', 'page', 'ganngu', 'really', 'oath']")</f>
        <v>['Telkomsel', 'enter', 'application', 'always', 'white', 'picture', 'page', 'ganngu', 'really', 'oath']</v>
      </c>
      <c r="D2047" s="3">
        <v>1.0</v>
      </c>
    </row>
    <row r="2048" ht="15.75" customHeight="1">
      <c r="A2048" s="1">
        <v>2185.0</v>
      </c>
      <c r="B2048" s="3" t="s">
        <v>2010</v>
      </c>
      <c r="C2048" s="3" t="str">
        <f>IFERROR(__xludf.DUMMYFUNCTION("GOOGLETRANSLATE(B2048,""id"",""en"")"),"['network', 'kek', 'taiik', 'package', 'expensive', 'Telkomsel', 'network', 'worst', '']")</f>
        <v>['network', 'kek', 'taiik', 'package', 'expensive', 'Telkomsel', 'network', 'worst', '']</v>
      </c>
      <c r="D2048" s="3">
        <v>1.0</v>
      </c>
    </row>
    <row r="2049" ht="15.75" customHeight="1">
      <c r="A2049" s="1">
        <v>2186.0</v>
      </c>
      <c r="B2049" s="3" t="s">
        <v>777</v>
      </c>
      <c r="C2049" s="3" t="str">
        <f>IFERROR(__xludf.DUMMYFUNCTION("GOOGLETRANSLATE(B2049,""id"",""en"")"),"['Application', 'Good', '']")</f>
        <v>['Application', 'Good', '']</v>
      </c>
      <c r="D2049" s="3">
        <v>5.0</v>
      </c>
    </row>
    <row r="2050" ht="15.75" customHeight="1">
      <c r="A2050" s="1">
        <v>2188.0</v>
      </c>
      <c r="B2050" s="3" t="s">
        <v>2011</v>
      </c>
      <c r="C2050" s="3" t="str">
        <f>IFERROR(__xludf.DUMMYFUNCTION("GOOGLETRANSLATE(B2050,""id"",""en"")"),"['Telkomsel', 'Best', 'Reach', 'Thank', 'You']")</f>
        <v>['Telkomsel', 'Best', 'Reach', 'Thank', 'You']</v>
      </c>
      <c r="D2050" s="3">
        <v>5.0</v>
      </c>
    </row>
    <row r="2051" ht="15.75" customHeight="1">
      <c r="A2051" s="1">
        <v>2189.0</v>
      </c>
      <c r="B2051" s="3" t="s">
        <v>2012</v>
      </c>
      <c r="C2051" s="3" t="str">
        <f>IFERROR(__xludf.DUMMYFUNCTION("GOOGLETRANSLATE(B2051,""id"",""en"")"),"['network', 'destroyed', 'quota', 'expensive', 'network', 'destroyed', 'replace', 'card', 'use', 'Telkomsel']")</f>
        <v>['network', 'destroyed', 'quota', 'expensive', 'network', 'destroyed', 'replace', 'card', 'use', 'Telkomsel']</v>
      </c>
      <c r="D2051" s="3">
        <v>1.0</v>
      </c>
    </row>
    <row r="2052" ht="15.75" customHeight="1">
      <c r="A2052" s="1">
        <v>2190.0</v>
      </c>
      <c r="B2052" s="3" t="s">
        <v>2013</v>
      </c>
      <c r="C2052" s="3" t="str">
        <f>IFERROR(__xludf.DUMMYFUNCTION("GOOGLETRANSLATE(B2052,""id"",""en"")"),"['Bismillah', 'Install', 'Hopefully', 'Can', 'Ipon', 'wkwkk']")</f>
        <v>['Bismillah', 'Install', 'Hopefully', 'Can', 'Ipon', 'wkwkk']</v>
      </c>
      <c r="D2052" s="3">
        <v>5.0</v>
      </c>
    </row>
    <row r="2053" ht="15.75" customHeight="1">
      <c r="A2053" s="1">
        <v>2191.0</v>
      </c>
      <c r="B2053" s="3" t="s">
        <v>2014</v>
      </c>
      <c r="C2053" s="3" t="str">
        <f>IFERROR(__xludf.DUMMYFUNCTION("GOOGLETRANSLATE(B2053,""id"",""en"")"),"['Please', 'Cutting', 'Credit', 'Use', 'Internet', 'Package', 'Ojol']")</f>
        <v>['Please', 'Cutting', 'Credit', 'Use', 'Internet', 'Package', 'Ojol']</v>
      </c>
      <c r="D2053" s="3">
        <v>5.0</v>
      </c>
    </row>
    <row r="2054" ht="15.75" customHeight="1">
      <c r="A2054" s="1">
        <v>2192.0</v>
      </c>
      <c r="B2054" s="3" t="s">
        <v>2015</v>
      </c>
      <c r="C2054" s="3" t="str">
        <f>IFERROR(__xludf.DUMMYFUNCTION("GOOGLETRANSLATE(B2054,""id"",""en"")"),"['Lemottttttttttttttttttttttt', 'SMS', 'Telkomsel', 'annoying']")</f>
        <v>['Lemottttttttttttttttttttttt', 'SMS', 'Telkomsel', 'annoying']</v>
      </c>
      <c r="D2054" s="3">
        <v>1.0</v>
      </c>
    </row>
    <row r="2055" ht="15.75" customHeight="1">
      <c r="A2055" s="1">
        <v>2193.0</v>
      </c>
      <c r="B2055" s="3" t="s">
        <v>2016</v>
      </c>
      <c r="C2055" s="3" t="str">
        <f>IFERROR(__xludf.DUMMYFUNCTION("GOOGLETRANSLATE(B2055,""id"",""en"")"),"['In the area', 'signal', 'good']")</f>
        <v>['In the area', 'signal', 'good']</v>
      </c>
      <c r="D2055" s="3">
        <v>3.0</v>
      </c>
    </row>
    <row r="2056" ht="15.75" customHeight="1">
      <c r="A2056" s="1">
        <v>2194.0</v>
      </c>
      <c r="B2056" s="3" t="s">
        <v>2017</v>
      </c>
      <c r="C2056" s="3" t="str">
        <f>IFERROR(__xludf.DUMMYFUNCTION("GOOGLETRANSLATE(B2056,""id"",""en"")"),"['signal', '']")</f>
        <v>['signal', '']</v>
      </c>
      <c r="D2056" s="3">
        <v>1.0</v>
      </c>
    </row>
    <row r="2057" ht="15.75" customHeight="1">
      <c r="A2057" s="1">
        <v>2195.0</v>
      </c>
      <c r="B2057" s="3" t="s">
        <v>2018</v>
      </c>
      <c r="C2057" s="3" t="str">
        <f>IFERROR(__xludf.DUMMYFUNCTION("GOOGLETRANSLATE(B2057,""id"",""en"")"),"['Open', 'Severe', 'Unistall', 'Ahh', '']")</f>
        <v>['Open', 'Severe', 'Unistall', 'Ahh', '']</v>
      </c>
      <c r="D2057" s="3">
        <v>1.0</v>
      </c>
    </row>
    <row r="2058" ht="15.75" customHeight="1">
      <c r="A2058" s="1">
        <v>2196.0</v>
      </c>
      <c r="B2058" s="3" t="s">
        <v>2019</v>
      </c>
      <c r="C2058" s="3" t="str">
        <f>IFERROR(__xludf.DUMMYFUNCTION("GOOGLETRANSLATE(B2058,""id"",""en"")"),"['Telkomsel', 'good', 'network', 'remote', 'area']")</f>
        <v>['Telkomsel', 'good', 'network', 'remote', 'area']</v>
      </c>
      <c r="D2058" s="3">
        <v>5.0</v>
      </c>
    </row>
    <row r="2059" ht="15.75" customHeight="1">
      <c r="A2059" s="1">
        <v>2197.0</v>
      </c>
      <c r="B2059" s="3" t="s">
        <v>2020</v>
      </c>
      <c r="C2059" s="3" t="str">
        <f>IFERROR(__xludf.DUMMYFUNCTION("GOOGLETRANSLATE(B2059,""id"",""en"")"),"['Times',' Members', 'Family', 'Friends',' Packages', 'Internet', 'Promos',' Successful ',' Enabled ',' Worn ',' Rates', 'Non', ' package ',' super ',' expensive ',' surprisingly ',' class', 'Telkomsel', 'access',' internet ',' in the middle ',' amid ',' "&amp;"city ',' Jakarta ',' reached ' , 'Operator', 'abandoned', 'customer', 'loyal']")</f>
        <v>['Times',' Members', 'Family', 'Friends',' Packages', 'Internet', 'Promos',' Successful ',' Enabled ',' Worn ',' Rates', 'Non', ' package ',' super ',' expensive ',' surprisingly ',' class', 'Telkomsel', 'access',' internet ',' in the middle ',' amid ',' city ',' Jakarta ',' reached ' , 'Operator', 'abandoned', 'customer', 'loyal']</v>
      </c>
      <c r="D2059" s="3">
        <v>1.0</v>
      </c>
    </row>
    <row r="2060" ht="15.75" customHeight="1">
      <c r="A2060" s="1">
        <v>2198.0</v>
      </c>
      <c r="B2060" s="3" t="s">
        <v>2021</v>
      </c>
      <c r="C2060" s="3" t="str">
        <f>IFERROR(__xludf.DUMMYFUNCTION("GOOGLETRANSLATE(B2060,""id"",""en"")"),"['Download', 'APK', 'Quality', 'Cave', 'Telkomsel', '']")</f>
        <v>['Download', 'APK', 'Quality', 'Cave', 'Telkomsel', '']</v>
      </c>
      <c r="D2060" s="3">
        <v>1.0</v>
      </c>
    </row>
    <row r="2061" ht="15.75" customHeight="1">
      <c r="A2061" s="1">
        <v>2199.0</v>
      </c>
      <c r="B2061" s="3" t="s">
        <v>2022</v>
      </c>
      <c r="C2061" s="3" t="str">
        <f>IFERROR(__xludf.DUMMYFUNCTION("GOOGLETRANSLATE(B2061,""id"",""en"")"),"['Update', 'Login', 'Worse', 'App', 'appears', 'screen']")</f>
        <v>['Update', 'Login', 'Worse', 'App', 'appears', 'screen']</v>
      </c>
      <c r="D2061" s="3">
        <v>1.0</v>
      </c>
    </row>
    <row r="2062" ht="15.75" customHeight="1">
      <c r="A2062" s="1">
        <v>2200.0</v>
      </c>
      <c r="B2062" s="3" t="s">
        <v>2023</v>
      </c>
      <c r="C2062" s="3" t="str">
        <f>IFERROR(__xludf.DUMMYFUNCTION("GOOGLETRANSLATE(B2062,""id"",""en"")"),"['Open', 'The application', '']")</f>
        <v>['Open', 'The application', '']</v>
      </c>
      <c r="D2062" s="3">
        <v>2.0</v>
      </c>
    </row>
    <row r="2063" ht="15.75" customHeight="1">
      <c r="A2063" s="1">
        <v>2201.0</v>
      </c>
      <c r="B2063" s="3" t="s">
        <v>2024</v>
      </c>
      <c r="C2063" s="3" t="str">
        <f>IFERROR(__xludf.DUMMYFUNCTION("GOOGLETRANSLATE(B2063,""id"",""en"")"),"['Help', 'mnatap']")</f>
        <v>['Help', 'mnatap']</v>
      </c>
      <c r="D2063" s="3">
        <v>5.0</v>
      </c>
    </row>
    <row r="2064" ht="15.75" customHeight="1">
      <c r="A2064" s="1">
        <v>2202.0</v>
      </c>
      <c r="B2064" s="3" t="s">
        <v>2025</v>
      </c>
      <c r="C2064" s="3" t="str">
        <f>IFERROR(__xludf.DUMMYFUNCTION("GOOGLETRANSLATE(B2064,""id"",""en"")"),"['star', 'Social "",' ']")</f>
        <v>['star', 'Social ",' ']</v>
      </c>
      <c r="D2064" s="3">
        <v>3.0</v>
      </c>
    </row>
    <row r="2065" ht="15.75" customHeight="1">
      <c r="A2065" s="1">
        <v>2203.0</v>
      </c>
      <c r="B2065" s="3" t="s">
        <v>2026</v>
      </c>
      <c r="C2065" s="3" t="str">
        <f>IFERROR(__xludf.DUMMYFUNCTION("GOOGLETRANSLATE(B2065,""id"",""en"")"),"['Help', 'fluency', 'transaction']")</f>
        <v>['Help', 'fluency', 'transaction']</v>
      </c>
      <c r="D2065" s="3">
        <v>5.0</v>
      </c>
    </row>
    <row r="2066" ht="15.75" customHeight="1">
      <c r="A2066" s="1">
        <v>2205.0</v>
      </c>
      <c r="B2066" s="3" t="s">
        <v>2027</v>
      </c>
      <c r="C2066" s="3" t="str">
        <f>IFERROR(__xludf.DUMMYFUNCTION("GOOGLETRANSLATE(B2066,""id"",""en"")"),"['hope', 'bonus', 'network', 'slow', '']")</f>
        <v>['hope', 'bonus', 'network', 'slow', '']</v>
      </c>
      <c r="D2066" s="3">
        <v>5.0</v>
      </c>
    </row>
    <row r="2067" ht="15.75" customHeight="1">
      <c r="A2067" s="1">
        <v>2206.0</v>
      </c>
      <c r="B2067" s="3" t="s">
        <v>2028</v>
      </c>
      <c r="C2067" s="3" t="str">
        <f>IFERROR(__xludf.DUMMYFUNCTION("GOOGLETRANSLATE(B2067,""id"",""en"")"),"['The application', 'good', 'signal', 'weak', 'breaking']")</f>
        <v>['The application', 'good', 'signal', 'weak', 'breaking']</v>
      </c>
      <c r="D2067" s="3">
        <v>5.0</v>
      </c>
    </row>
    <row r="2068" ht="15.75" customHeight="1">
      <c r="A2068" s="1">
        <v>2207.0</v>
      </c>
      <c r="B2068" s="3" t="s">
        <v>2029</v>
      </c>
      <c r="C2068" s="3" t="str">
        <f>IFERROR(__xludf.DUMMYFUNCTION("GOOGLETRANSLATE(B2068,""id"",""en"")"),"['', 'opened', 'right', 'opened', 'screen', 'color', 'white', 'keeps',' already ',' install ',' many ',' high school ',' tetep ',' color ',' white ',' smpe ',' change ',' card ',' TPI ',' tetep ',' ajaa ']")</f>
        <v>['', 'opened', 'right', 'opened', 'screen', 'color', 'white', 'keeps',' already ',' install ',' many ',' high school ',' tetep ',' color ',' white ',' smpe ',' change ',' card ',' TPI ',' tetep ',' ajaa ']</v>
      </c>
      <c r="D2068" s="3">
        <v>2.0</v>
      </c>
    </row>
    <row r="2069" ht="15.75" customHeight="1">
      <c r="A2069" s="1">
        <v>2208.0</v>
      </c>
      <c r="B2069" s="3" t="s">
        <v>2030</v>
      </c>
      <c r="C2069" s="3" t="str">
        <f>IFERROR(__xludf.DUMMYFUNCTION("GOOGLETRANSLATE(B2069,""id"",""en"")"),"['easy understand']")</f>
        <v>['easy understand']</v>
      </c>
      <c r="D2069" s="3">
        <v>5.0</v>
      </c>
    </row>
    <row r="2070" ht="15.75" customHeight="1">
      <c r="A2070" s="1">
        <v>2210.0</v>
      </c>
      <c r="B2070" s="3" t="s">
        <v>2031</v>
      </c>
      <c r="C2070" s="3" t="str">
        <f>IFERROR(__xludf.DUMMYFUNCTION("GOOGLETRANSLATE(B2070,""id"",""en"")"),"['hope', 'obstacle', 'lgi']")</f>
        <v>['hope', 'obstacle', 'lgi']</v>
      </c>
      <c r="D2070" s="3">
        <v>5.0</v>
      </c>
    </row>
    <row r="2071" ht="15.75" customHeight="1">
      <c r="A2071" s="1">
        <v>2212.0</v>
      </c>
      <c r="B2071" s="3" t="s">
        <v>2032</v>
      </c>
      <c r="C2071" s="3" t="str">
        <f>IFERROR(__xludf.DUMMYFUNCTION("GOOGLETRANSLATE(B2071,""id"",""en"")"),"['Telkomsel', 'Success', 'Abadi']")</f>
        <v>['Telkomsel', 'Success', 'Abadi']</v>
      </c>
      <c r="D2071" s="3">
        <v>5.0</v>
      </c>
    </row>
    <row r="2072" ht="15.75" customHeight="1">
      <c r="A2072" s="1">
        <v>2213.0</v>
      </c>
      <c r="B2072" s="3" t="s">
        <v>2033</v>
      </c>
      <c r="C2072" s="3" t="str">
        <f>IFERROR(__xludf.DUMMYFUNCTION("GOOGLETRANSLATE(B2072,""id"",""en"")"),"['price', 'package', 'quota', 'buy', 'lost', 'diverted', 'price', 'expensive', 'Please', 'package', 'buy', 'returned', ' Price ',' Paketan ',' Helping ',' Learning ',' Online ',' Activity ',' Other ',' Thank you ',' Min ']")</f>
        <v>['price', 'package', 'quota', 'buy', 'lost', 'diverted', 'price', 'expensive', 'Please', 'package', 'buy', 'returned', ' Price ',' Paketan ',' Helping ',' Learning ',' Online ',' Activity ',' Other ',' Thank you ',' Min ']</v>
      </c>
      <c r="D2072" s="3">
        <v>1.0</v>
      </c>
    </row>
    <row r="2073" ht="15.75" customHeight="1">
      <c r="A2073" s="1">
        <v>2214.0</v>
      </c>
      <c r="B2073" s="3" t="s">
        <v>2034</v>
      </c>
      <c r="C2073" s="3" t="str">
        <f>IFERROR(__xludf.DUMMYFUNCTION("GOOGLETRANSLATE(B2073,""id"",""en"")"),"['application', 'good', 'very', 'good', 'help', 'pandemic', 'good', 'job']")</f>
        <v>['application', 'good', 'very', 'good', 'help', 'pandemic', 'good', 'job']</v>
      </c>
      <c r="D2073" s="3">
        <v>5.0</v>
      </c>
    </row>
    <row r="2074" ht="15.75" customHeight="1">
      <c r="A2074" s="1">
        <v>2215.0</v>
      </c>
      <c r="B2074" s="3" t="s">
        <v>2035</v>
      </c>
      <c r="C2074" s="3" t="str">
        <f>IFERROR(__xludf.DUMMYFUNCTION("GOOGLETRANSLATE(B2074,""id"",""en"")"),"['already', 'smooth', 'kayak']")</f>
        <v>['already', 'smooth', 'kayak']</v>
      </c>
      <c r="D2074" s="3">
        <v>4.0</v>
      </c>
    </row>
    <row r="2075" ht="15.75" customHeight="1">
      <c r="A2075" s="1">
        <v>2216.0</v>
      </c>
      <c r="B2075" s="3" t="s">
        <v>2036</v>
      </c>
      <c r="C2075" s="3" t="str">
        <f>IFERROR(__xludf.DUMMYFUNCTION("GOOGLETRANSLATE(B2075,""id"",""en"")"),"['Ngelag', 'play', 'game', 'ngelag', 'please', 'repaired', 'bang', ""]")</f>
        <v>['Ngelag', 'play', 'game', 'ngelag', 'please', 'repaired', 'bang', "]</v>
      </c>
      <c r="D2075" s="3">
        <v>1.0</v>
      </c>
    </row>
    <row r="2076" ht="15.75" customHeight="1">
      <c r="A2076" s="1">
        <v>2217.0</v>
      </c>
      <c r="B2076" s="3" t="s">
        <v>2037</v>
      </c>
      <c r="C2076" s="3" t="str">
        <f>IFERROR(__xludf.DUMMYFUNCTION("GOOGLETRANSLATE(B2076,""id"",""en"")"),"['Disappointed', 'really', 'Udh', 'really', 'use', 'app', 'stlah', 'update', 'mlh', 'isa', 'open', 'already', ' Sunday ',' ISA ',' use ',' delete ',' then ',' download ',' ber ',' times', 'result', 'tetep', 'isa', 'open', ""]")</f>
        <v>['Disappointed', 'really', 'Udh', 'really', 'use', 'app', 'stlah', 'update', 'mlh', 'isa', 'open', 'already', ' Sunday ',' ISA ',' use ',' delete ',' then ',' download ',' ber ',' times', 'result', 'tetep', 'isa', 'open', "]</v>
      </c>
      <c r="D2076" s="3">
        <v>1.0</v>
      </c>
    </row>
    <row r="2077" ht="15.75" customHeight="1">
      <c r="A2077" s="1">
        <v>2218.0</v>
      </c>
      <c r="B2077" s="3" t="s">
        <v>2038</v>
      </c>
      <c r="C2077" s="3" t="str">
        <f>IFERROR(__xludf.DUMMYFUNCTION("GOOGLETRANSLATE(B2077,""id"",""en"")"),"['satisfying', 'Leave', 'Bintang', 'talk']")</f>
        <v>['satisfying', 'Leave', 'Bintang', 'talk']</v>
      </c>
      <c r="D2077" s="3">
        <v>5.0</v>
      </c>
    </row>
    <row r="2078" ht="15.75" customHeight="1">
      <c r="A2078" s="1">
        <v>2219.0</v>
      </c>
      <c r="B2078" s="3" t="s">
        <v>2039</v>
      </c>
      <c r="C2078" s="3" t="str">
        <f>IFERROR(__xludf.DUMMYFUNCTION("GOOGLETRANSLATE(B2078,""id"",""en"")"),"['Package', 'dick', 'already', 'expensive', 'ngelek', 'pepek', 'anjeng']")</f>
        <v>['Package', 'dick', 'already', 'expensive', 'ngelek', 'pepek', 'anjeng']</v>
      </c>
      <c r="D2078" s="3">
        <v>1.0</v>
      </c>
    </row>
    <row r="2079" ht="15.75" customHeight="1">
      <c r="A2079" s="1">
        <v>2220.0</v>
      </c>
      <c r="B2079" s="3" t="s">
        <v>2040</v>
      </c>
      <c r="C2079" s="3" t="str">
        <f>IFERROR(__xludf.DUMMYFUNCTION("GOOGLETRANSLATE(B2079,""id"",""en"")"),"['lbh', 'easy', 'lbh']")</f>
        <v>['lbh', 'easy', 'lbh']</v>
      </c>
      <c r="D2079" s="3">
        <v>3.0</v>
      </c>
    </row>
    <row r="2080" ht="15.75" customHeight="1">
      <c r="A2080" s="1">
        <v>2221.0</v>
      </c>
      <c r="B2080" s="3" t="s">
        <v>2041</v>
      </c>
      <c r="C2080" s="3" t="str">
        <f>IFERROR(__xludf.DUMMYFUNCTION("GOOGLETRANSLATE(B2080,""id"",""en"")"),"['Application', 'Rich', 'Download', 'Really', 'Application', 'MyTelkomsel', 'Application', 'sophisticated', 'MyTelkomsel', 'Download', ""]")</f>
        <v>['Application', 'Rich', 'Download', 'Really', 'Application', 'MyTelkomsel', 'Application', 'sophisticated', 'MyTelkomsel', 'Download', "]</v>
      </c>
      <c r="D2080" s="3">
        <v>1.0</v>
      </c>
    </row>
    <row r="2081" ht="15.75" customHeight="1">
      <c r="A2081" s="1">
        <v>2222.0</v>
      </c>
      <c r="B2081" s="3" t="s">
        <v>2042</v>
      </c>
      <c r="C2081" s="3" t="str">
        <f>IFERROR(__xludf.DUMMYFUNCTION("GOOGLETRANSLATE(B2081,""id"",""en"")"),"['Alhamdulillah', 'access', '']")</f>
        <v>['Alhamdulillah', 'access', '']</v>
      </c>
      <c r="D2081" s="3">
        <v>5.0</v>
      </c>
    </row>
    <row r="2082" ht="15.75" customHeight="1">
      <c r="A2082" s="1">
        <v>2223.0</v>
      </c>
      <c r="B2082" s="3" t="s">
        <v>2043</v>
      </c>
      <c r="C2082" s="3" t="str">
        <f>IFERROR(__xludf.DUMMYFUNCTION("GOOGLETRANSLATE(B2082,""id"",""en"")"),"['signal', 'juelek', 'Muluu', '']")</f>
        <v>['signal', 'juelek', 'Muluu', '']</v>
      </c>
      <c r="D2082" s="3">
        <v>2.0</v>
      </c>
    </row>
    <row r="2083" ht="15.75" customHeight="1">
      <c r="A2083" s="1">
        <v>2224.0</v>
      </c>
      <c r="B2083" s="3" t="s">
        <v>362</v>
      </c>
      <c r="C2083" s="3" t="str">
        <f>IFERROR(__xludf.DUMMYFUNCTION("GOOGLETRANSLATE(B2083,""id"",""en"")"),"['Telkomsel', 'best']")</f>
        <v>['Telkomsel', 'best']</v>
      </c>
      <c r="D2083" s="3">
        <v>4.0</v>
      </c>
    </row>
    <row r="2084" ht="15.75" customHeight="1">
      <c r="A2084" s="1">
        <v>2225.0</v>
      </c>
      <c r="B2084" s="3" t="s">
        <v>2044</v>
      </c>
      <c r="C2084" s="3" t="str">
        <f>IFERROR(__xludf.DUMMYFUNCTION("GOOGLETRANSLATE(B2084,""id"",""en"")"),"['Like', 'Telkomsel', 'steady']")</f>
        <v>['Like', 'Telkomsel', 'steady']</v>
      </c>
      <c r="D2084" s="3">
        <v>5.0</v>
      </c>
    </row>
    <row r="2085" ht="15.75" customHeight="1">
      <c r="A2085" s="1">
        <v>2226.0</v>
      </c>
      <c r="B2085" s="3" t="s">
        <v>2045</v>
      </c>
      <c r="C2085" s="3" t="str">
        <f>IFERROR(__xludf.DUMMYFUNCTION("GOOGLETRANSLATE(B2085,""id"",""en"")"),"['Telkomsel', 'use', 'internet', 'wash', 'key', 'difficult', 'open', 'YouTube', '']")</f>
        <v>['Telkomsel', 'use', 'internet', 'wash', 'key', 'difficult', 'open', 'YouTube', '']</v>
      </c>
      <c r="D2085" s="3">
        <v>4.0</v>
      </c>
    </row>
    <row r="2086" ht="15.75" customHeight="1">
      <c r="A2086" s="1">
        <v>2227.0</v>
      </c>
      <c r="B2086" s="3" t="s">
        <v>2046</v>
      </c>
      <c r="C2086" s="3" t="str">
        <f>IFERROR(__xludf.DUMMYFUNCTION("GOOGLETRANSLATE(B2086,""id"",""en"")"),"['Hopefully', 'Network', 'Telkomsel', 'Healthy', 'Stable']")</f>
        <v>['Hopefully', 'Network', 'Telkomsel', 'Healthy', 'Stable']</v>
      </c>
      <c r="D2086" s="3">
        <v>5.0</v>
      </c>
    </row>
    <row r="2087" ht="15.75" customHeight="1">
      <c r="A2087" s="1">
        <v>2228.0</v>
      </c>
      <c r="B2087" s="3" t="s">
        <v>2047</v>
      </c>
      <c r="C2087" s="3" t="str">
        <f>IFERROR(__xludf.DUMMYFUNCTION("GOOGLETRANSLATE(B2087,""id"",""en"")"),"['Application', 'Telkomsel', 'Open', '']")</f>
        <v>['Application', 'Telkomsel', 'Open', '']</v>
      </c>
      <c r="D2087" s="3">
        <v>1.0</v>
      </c>
    </row>
    <row r="2088" ht="15.75" customHeight="1">
      <c r="A2088" s="1">
        <v>2229.0</v>
      </c>
      <c r="B2088" s="3" t="s">
        <v>2048</v>
      </c>
      <c r="C2088" s="3" t="str">
        <f>IFERROR(__xludf.DUMMYFUNCTION("GOOGLETRANSLATE(B2088,""id"",""en"")"),"['Help', 'leftover', 'package', 'data', 'buy', 'package', 'data']")</f>
        <v>['Help', 'leftover', 'package', 'data', 'buy', 'package', 'data']</v>
      </c>
      <c r="D2088" s="3">
        <v>5.0</v>
      </c>
    </row>
    <row r="2089" ht="15.75" customHeight="1">
      <c r="A2089" s="1">
        <v>2230.0</v>
      </c>
      <c r="B2089" s="3" t="s">
        <v>2049</v>
      </c>
      <c r="C2089" s="3" t="str">
        <f>IFERROR(__xludf.DUMMYFUNCTION("GOOGLETRANSLATE(B2089,""id"",""en"")"),"['It's easy', 'buy', 'quota']")</f>
        <v>['It's easy', 'buy', 'quota']</v>
      </c>
      <c r="D2089" s="3">
        <v>5.0</v>
      </c>
    </row>
    <row r="2090" ht="15.75" customHeight="1">
      <c r="A2090" s="1">
        <v>2231.0</v>
      </c>
      <c r="B2090" s="3" t="s">
        <v>2050</v>
      </c>
      <c r="C2090" s="3" t="str">
        <f>IFERROR(__xludf.DUMMYFUNCTION("GOOGLETRANSLATE(B2090,""id"",""en"")"),"['play', 'game', 'leftover', 'quota', 'poor', 'try', 'imagine', 'leftover', 'MB', 'laughter', 'see', 'network', ' sympathy ',' wkwkkw ',' that's', 'syaa']")</f>
        <v>['play', 'game', 'leftover', 'quota', 'poor', 'try', 'imagine', 'leftover', 'MB', 'laughter', 'see', 'network', ' sympathy ',' wkwkkw ',' that's', 'syaa']</v>
      </c>
      <c r="D2090" s="3">
        <v>1.0</v>
      </c>
    </row>
    <row r="2091" ht="15.75" customHeight="1">
      <c r="A2091" s="1">
        <v>2232.0</v>
      </c>
      <c r="B2091" s="3" t="s">
        <v>2051</v>
      </c>
      <c r="C2091" s="3" t="str">
        <f>IFERROR(__xludf.DUMMYFUNCTION("GOOGLETRANSLATE(B2091,""id"",""en"")"),"['Reendem', 'Point', 'Error', 'Network', 'Error', 'Telkomsel']")</f>
        <v>['Reendem', 'Point', 'Error', 'Network', 'Error', 'Telkomsel']</v>
      </c>
      <c r="D2091" s="3">
        <v>5.0</v>
      </c>
    </row>
    <row r="2092" ht="15.75" customHeight="1">
      <c r="A2092" s="1">
        <v>2234.0</v>
      </c>
      <c r="B2092" s="3" t="s">
        <v>2052</v>
      </c>
      <c r="C2092" s="3" t="str">
        <f>IFERROR(__xludf.DUMMYFUNCTION("GOOGLETRANSLATE(B2092,""id"",""en"")"),"['Paketan', 'Doang', 'expensive', 'signal', 'kek', 'taaiai']")</f>
        <v>['Paketan', 'Doang', 'expensive', 'signal', 'kek', 'taaiai']</v>
      </c>
      <c r="D2092" s="3">
        <v>1.0</v>
      </c>
    </row>
    <row r="2093" ht="15.75" customHeight="1">
      <c r="A2093" s="1">
        <v>2235.0</v>
      </c>
      <c r="B2093" s="3" t="s">
        <v>2053</v>
      </c>
      <c r="C2093" s="3" t="str">
        <f>IFERROR(__xludf.DUMMYFUNCTION("GOOGLETRANSLATE(B2093,""id"",""en"")"),"['APK', 'Not bad', 'please', 'ing', 'a little', 'Telkomsel', 'price', 'pulse', 'package', 'less',' expends', 'money', ' I ',' Pliss', 'strange', 'I', 'Download', 'Telkomsel', 'card', 'data', 'me', 'epic', 'me']")</f>
        <v>['APK', 'Not bad', 'please', 'ing', 'a little', 'Telkomsel', 'price', 'pulse', 'package', 'less',' expends', 'money', ' I ',' Pliss', 'strange', 'I', 'Download', 'Telkomsel', 'card', 'data', 'me', 'epic', 'me']</v>
      </c>
      <c r="D2093" s="3">
        <v>4.0</v>
      </c>
    </row>
    <row r="2094" ht="15.75" customHeight="1">
      <c r="A2094" s="1">
        <v>2237.0</v>
      </c>
      <c r="B2094" s="3" t="s">
        <v>2054</v>
      </c>
      <c r="C2094" s="3" t="str">
        <f>IFERROR(__xludf.DUMMYFUNCTION("GOOGLETRANSLATE(B2094,""id"",""en"")"),"['Price', 'Package', 'Strange', 'Signal', 'Tetep', 'Down', '']")</f>
        <v>['Price', 'Package', 'Strange', 'Signal', 'Tetep', 'Down', '']</v>
      </c>
      <c r="D2094" s="3">
        <v>1.0</v>
      </c>
    </row>
    <row r="2095" ht="15.75" customHeight="1">
      <c r="A2095" s="1">
        <v>2238.0</v>
      </c>
      <c r="B2095" s="3" t="s">
        <v>2055</v>
      </c>
      <c r="C2095" s="3" t="str">
        <f>IFERROR(__xludf.DUMMYFUNCTION("GOOGLETRANSLATE(B2095,""id"",""en"")"),"['', 'Open', 'the application', 'upgrade', 'please', 'min']")</f>
        <v>['', 'Open', 'the application', 'upgrade', 'please', 'min']</v>
      </c>
      <c r="D2095" s="3">
        <v>4.0</v>
      </c>
    </row>
    <row r="2096" ht="15.75" customHeight="1">
      <c r="A2096" s="1">
        <v>2239.0</v>
      </c>
      <c r="B2096" s="3" t="s">
        <v>2056</v>
      </c>
      <c r="C2096" s="3" t="str">
        <f>IFERROR(__xludf.DUMMYFUNCTION("GOOGLETRANSLATE(B2096,""id"",""en"")"),"['Assalamualaikum', 'Telkomsel', 'submit', 'request', 'exchange', 'coin', 'exchange', 'coin', 'Diamonnd', 'game', 'online', 'frie', ' Free ',' Mobile ',' Legends', 'Over', 'Thank you', '']")</f>
        <v>['Assalamualaikum', 'Telkomsel', 'submit', 'request', 'exchange', 'coin', 'exchange', 'coin', 'Diamonnd', 'game', 'online', 'frie', ' Free ',' Mobile ',' Legends', 'Over', 'Thank you', '']</v>
      </c>
      <c r="D2096" s="3">
        <v>1.0</v>
      </c>
    </row>
    <row r="2097" ht="15.75" customHeight="1">
      <c r="A2097" s="1">
        <v>2240.0</v>
      </c>
      <c r="B2097" s="3" t="s">
        <v>2057</v>
      </c>
      <c r="C2097" s="3" t="str">
        <f>IFERROR(__xludf.DUMMYFUNCTION("GOOGLETRANSLATE(B2097,""id"",""en"")"),"['Telkomsel', 'slow', 'severe', 'threat', 'already', 'package', 'price', 'expensive', 'forgiveness',' network ',' slow ',' signal ',' ilang ',' mabar ',' AFK ',' Mending ',' smartfren ',' gini ', ""]")</f>
        <v>['Telkomsel', 'slow', 'severe', 'threat', 'already', 'package', 'price', 'expensive', 'forgiveness',' network ',' slow ',' signal ',' ilang ',' mabar ',' AFK ',' Mending ',' smartfren ',' gini ', "]</v>
      </c>
      <c r="D2097" s="3">
        <v>1.0</v>
      </c>
    </row>
    <row r="2098" ht="15.75" customHeight="1">
      <c r="A2098" s="1">
        <v>2242.0</v>
      </c>
      <c r="B2098" s="3" t="s">
        <v>2058</v>
      </c>
      <c r="C2098" s="3" t="str">
        <f>IFERROR(__xludf.DUMMYFUNCTION("GOOGLETRANSLATE(B2098,""id"",""en"")"),"['The network', 'already', 'stable', 'data', 'already', 'access',' internet ',' buy ',' quota ',' expensive ',' expensive ',' network ',' ']")</f>
        <v>['The network', 'already', 'stable', 'data', 'already', 'access',' internet ',' buy ',' quota ',' expensive ',' expensive ',' network ',' ']</v>
      </c>
      <c r="D2098" s="3">
        <v>2.0</v>
      </c>
    </row>
    <row r="2099" ht="15.75" customHeight="1">
      <c r="A2099" s="1">
        <v>2243.0</v>
      </c>
      <c r="B2099" s="3" t="s">
        <v>2059</v>
      </c>
      <c r="C2099" s="3" t="str">
        <f>IFERROR(__xludf.DUMMYFUNCTION("GOOGLETRANSLATE(B2099,""id"",""en"")"),"['Steady', 'klu', 'cheap', '']")</f>
        <v>['Steady', 'klu', 'cheap', '']</v>
      </c>
      <c r="D2099" s="3">
        <v>5.0</v>
      </c>
    </row>
    <row r="2100" ht="15.75" customHeight="1">
      <c r="A2100" s="1">
        <v>2244.0</v>
      </c>
      <c r="B2100" s="3" t="s">
        <v>2060</v>
      </c>
      <c r="C2100" s="3" t="str">
        <f>IFERROR(__xludf.DUMMYFUNCTION("GOOGLETRANSLATE(B2100,""id"",""en"")"),"['Please', 'Fix', 'Consistency', 'Signal']")</f>
        <v>['Please', 'Fix', 'Consistency', 'Signal']</v>
      </c>
      <c r="D2100" s="3">
        <v>4.0</v>
      </c>
    </row>
    <row r="2101" ht="15.75" customHeight="1">
      <c r="A2101" s="1">
        <v>2245.0</v>
      </c>
      <c r="B2101" s="3" t="s">
        <v>2061</v>
      </c>
      <c r="C2101" s="3" t="str">
        <f>IFERROR(__xludf.DUMMYFUNCTION("GOOGLETRANSLATE(B2101,""id"",""en"")"),"['Which', 'infesting']")</f>
        <v>['Which', 'infesting']</v>
      </c>
      <c r="D2101" s="3">
        <v>1.0</v>
      </c>
    </row>
    <row r="2102" ht="15.75" customHeight="1">
      <c r="A2102" s="1">
        <v>2246.0</v>
      </c>
      <c r="B2102" s="3" t="s">
        <v>2062</v>
      </c>
      <c r="C2102" s="3" t="str">
        <f>IFERROR(__xludf.DUMMYFUNCTION("GOOGLETRANSLATE(B2102,""id"",""en"")"),"['Good', 'interesting', 'promo']")</f>
        <v>['Good', 'interesting', 'promo']</v>
      </c>
      <c r="D2102" s="3">
        <v>5.0</v>
      </c>
    </row>
    <row r="2103" ht="15.75" customHeight="1">
      <c r="A2103" s="1">
        <v>2247.0</v>
      </c>
      <c r="B2103" s="3" t="s">
        <v>2063</v>
      </c>
      <c r="C2103" s="3" t="str">
        <f>IFERROR(__xludf.DUMMYFUNCTION("GOOGLETRANSLATE(B2103,""id"",""en"")"),"['Good', 'Recommendation', 'Network', 'Telkomsel', 'Good', 'Address']")</f>
        <v>['Good', 'Recommendation', 'Network', 'Telkomsel', 'Good', 'Address']</v>
      </c>
      <c r="D2103" s="3">
        <v>5.0</v>
      </c>
    </row>
    <row r="2104" ht="15.75" customHeight="1">
      <c r="A2104" s="1">
        <v>2248.0</v>
      </c>
      <c r="B2104" s="3" t="s">
        <v>2064</v>
      </c>
      <c r="C2104" s="3" t="str">
        <f>IFERROR(__xludf.DUMMYFUNCTION("GOOGLETRANSLATE(B2104,""id"",""en"")"),"['Network', 'ugly', 'severe', 'understand', 'cave', 'mah', 'rich', 'dlu', 'skrng', 'signal', 'udh', 'rich', ' signal ',' card ',' slow ',' card ',' network ',' dlu ',' good ',' signal ',' skrng ']")</f>
        <v>['Network', 'ugly', 'severe', 'understand', 'cave', 'mah', 'rich', 'dlu', 'skrng', 'signal', 'udh', 'rich', ' signal ',' card ',' slow ',' card ',' network ',' dlu ',' good ',' signal ',' skrng ']</v>
      </c>
      <c r="D2104" s="3">
        <v>1.0</v>
      </c>
    </row>
    <row r="2105" ht="15.75" customHeight="1">
      <c r="A2105" s="1">
        <v>2249.0</v>
      </c>
      <c r="B2105" s="3" t="s">
        <v>2065</v>
      </c>
      <c r="C2105" s="3" t="str">
        <f>IFERROR(__xludf.DUMMYFUNCTION("GOOGLETRANSLATE(B2105,""id"",""en"")"),"['Language', 'ads',' ads', 'signal', 'strong', 'Where', 'nyatanys',' reach ',' remote ',' home ',' difficulty ',' looked ',' signal ',' Telkomsel ',' Sometimes', 'quota', 'exhausted', 'coakes',' find ',' signal ',' city ',' get ',' signal ',' stable ']")</f>
        <v>['Language', 'ads',' ads', 'signal', 'strong', 'Where', 'nyatanys',' reach ',' remote ',' home ',' difficulty ',' looked ',' signal ',' Telkomsel ',' Sometimes', 'quota', 'exhausted', 'coakes',' find ',' signal ',' city ',' get ',' signal ',' stable ']</v>
      </c>
      <c r="D2105" s="3">
        <v>1.0</v>
      </c>
    </row>
    <row r="2106" ht="15.75" customHeight="1">
      <c r="A2106" s="1">
        <v>2250.0</v>
      </c>
      <c r="B2106" s="3" t="s">
        <v>2066</v>
      </c>
      <c r="C2106" s="3" t="str">
        <f>IFERROR(__xludf.DUMMYFUNCTION("GOOGLETRANSLATE(B2106,""id"",""en"")"),"['Kren', 'Sekala', 'application', '']")</f>
        <v>['Kren', 'Sekala', 'application', '']</v>
      </c>
      <c r="D2106" s="3">
        <v>5.0</v>
      </c>
    </row>
    <row r="2107" ht="15.75" customHeight="1">
      <c r="A2107" s="1">
        <v>2251.0</v>
      </c>
      <c r="B2107" s="3" t="s">
        <v>2067</v>
      </c>
      <c r="C2107" s="3" t="str">
        <f>IFERROR(__xludf.DUMMYFUNCTION("GOOGLETRANSLATE(B2107,""id"",""en"")"),"['application', 'Telkomsel', 'disorder', 'already', 'open', 'Telkomsel', 'buy', 'quota', 'difficult']")</f>
        <v>['application', 'Telkomsel', 'disorder', 'already', 'open', 'Telkomsel', 'buy', 'quota', 'difficult']</v>
      </c>
      <c r="D2107" s="3">
        <v>5.0</v>
      </c>
    </row>
    <row r="2108" ht="15.75" customHeight="1">
      <c r="A2108" s="1">
        <v>2252.0</v>
      </c>
      <c r="B2108" s="3" t="s">
        <v>2068</v>
      </c>
      <c r="C2108" s="3" t="str">
        <f>IFERROR(__xludf.DUMMYFUNCTION("GOOGLETRANSLATE(B2108,""id"",""en"")"),"['Lower', 'Star', 'signal', 'missing', 'stealing', 'credit', 'credit', 'NGK', 'Taken', 'silent', 'fill', 'buy', ' quota ',' application ',' axis', 'lock', 'pulse', 'pulse', 'safe', '']")</f>
        <v>['Lower', 'Star', 'signal', 'missing', 'stealing', 'credit', 'credit', 'NGK', 'Taken', 'silent', 'fill', 'buy', ' quota ',' application ',' axis', 'lock', 'pulse', 'pulse', 'safe', '']</v>
      </c>
      <c r="D2108" s="3">
        <v>2.0</v>
      </c>
    </row>
    <row r="2109" ht="15.75" customHeight="1">
      <c r="A2109" s="1">
        <v>2253.0</v>
      </c>
      <c r="B2109" s="3" t="s">
        <v>2069</v>
      </c>
      <c r="C2109" s="3" t="str">
        <f>IFERROR(__xludf.DUMMYFUNCTION("GOOGLETRANSLATE(B2109,""id"",""en"")"),"['Application', 'MyTelkomsel', 'Version', 'Products',' Calact ',' Please ',' Updated ',' Version ',' Updated ',' Version ',' Complaints', 'Customer', ' Application ',' opened ',' screen ',' white ',' pulse ',' reduced ',' package ',' off ',' lbh ',' blm '"&amp;",' repaikn ']")</f>
        <v>['Application', 'MyTelkomsel', 'Version', 'Products',' Calact ',' Please ',' Updated ',' Version ',' Updated ',' Version ',' Complaints', 'Customer', ' Application ',' opened ',' screen ',' white ',' pulse ',' reduced ',' package ',' off ',' lbh ',' blm ',' repaikn ']</v>
      </c>
      <c r="D2109" s="3">
        <v>1.0</v>
      </c>
    </row>
    <row r="2110" ht="15.75" customHeight="1">
      <c r="A2110" s="1">
        <v>2254.0</v>
      </c>
      <c r="B2110" s="3" t="s">
        <v>2070</v>
      </c>
      <c r="C2110" s="3" t="str">
        <f>IFERROR(__xludf.DUMMYFUNCTION("GOOGLETRANSLATE(B2110,""id"",""en"")"),"['Number', 'UDH', 'Paketan', 'Tetep', 'Excellent', 'in the city', 'Jakarta', 'Signal', 'Severe', 'Movers', 'Please', 'His attention']")</f>
        <v>['Number', 'UDH', 'Paketan', 'Tetep', 'Excellent', 'in the city', 'Jakarta', 'Signal', 'Severe', 'Movers', 'Please', 'His attention']</v>
      </c>
      <c r="D2110" s="3">
        <v>1.0</v>
      </c>
    </row>
    <row r="2111" ht="15.75" customHeight="1">
      <c r="A2111" s="1">
        <v>2255.0</v>
      </c>
      <c r="B2111" s="3" t="s">
        <v>2071</v>
      </c>
      <c r="C2111" s="3" t="str">
        <f>IFERROR(__xludf.DUMMYFUNCTION("GOOGLETRANSLATE(B2111,""id"",""en"")"),"['signal', 'Telkomsel', 'ugly', 'lose', 'provider']")</f>
        <v>['signal', 'Telkomsel', 'ugly', 'lose', 'provider']</v>
      </c>
      <c r="D2111" s="3">
        <v>3.0</v>
      </c>
    </row>
    <row r="2112" ht="15.75" customHeight="1">
      <c r="A2112" s="1">
        <v>2256.0</v>
      </c>
      <c r="B2112" s="3" t="s">
        <v>2072</v>
      </c>
      <c r="C2112" s="3" t="str">
        <f>IFERROR(__xludf.DUMMYFUNCTION("GOOGLETRANSLATE(B2112,""id"",""en"")"),"['Lma', 'Mnjdi', 'Pngguna', 'KRTU', 'Telkomsel', 'Sya', 'Prnh', 'Interested', 'Mnggunkn', 'Application', 'JLAS', 'Sya', ' Appasi ',' Telkomsel ',' TPI ',' KNPA ',' PAS ',' Opened ',' Screen ',' Ngblank ',' White ',' CBA ',' Berli ',' TTP ',' bgtu ' , 'bin"&amp;"gkung', 'SYA', 'SLLU', 'Control', 'Past', 'Quota', 'PMBlayaran', 'Bulnan', 'Dnnan', 'Don't "",' according to ',' Blm ',' LGI ',' NETW ',' SLLU ',' HILNG ',' Embossed ',' Please ',' Telkomsel ',' Fix ',' Jaringn ',' Sya ',' Gnti ',' Krtu ', ""]")</f>
        <v>['Lma', 'Mnjdi', 'Pngguna', 'KRTU', 'Telkomsel', 'Sya', 'Prnh', 'Interested', 'Mnggunkn', 'Application', 'JLAS', 'Sya', ' Appasi ',' Telkomsel ',' TPI ',' KNPA ',' PAS ',' Opened ',' Screen ',' Ngblank ',' White ',' CBA ',' Berli ',' TTP ',' bgtu ' , 'bingkung', 'SYA', 'SLLU', 'Control', 'Past', 'Quota', 'PMBlayaran', 'Bulnan', 'Dnnan', 'Don't ",' according to ',' Blm ',' LGI ',' NETW ',' SLLU ',' HILNG ',' Embossed ',' Please ',' Telkomsel ',' Fix ',' Jaringn ',' Sya ',' Gnti ',' Krtu ', "]</v>
      </c>
      <c r="D2112" s="3">
        <v>1.0</v>
      </c>
    </row>
    <row r="2113" ht="15.75" customHeight="1">
      <c r="A2113" s="1">
        <v>2257.0</v>
      </c>
      <c r="B2113" s="3" t="s">
        <v>2073</v>
      </c>
      <c r="C2113" s="3" t="str">
        <f>IFERROR(__xludf.DUMMYFUNCTION("GOOGLETRANSLATE(B2113,""id"",""en"")"),"['application', 'open', 'strange', 'gmn', 'buy', 'quota', 'ugly', 'really', 'application']")</f>
        <v>['application', 'open', 'strange', 'gmn', 'buy', 'quota', 'ugly', 'really', 'application']</v>
      </c>
      <c r="D2113" s="3">
        <v>1.0</v>
      </c>
    </row>
    <row r="2114" ht="15.75" customHeight="1">
      <c r="A2114" s="1">
        <v>2258.0</v>
      </c>
      <c r="B2114" s="3" t="s">
        <v>2074</v>
      </c>
      <c r="C2114" s="3" t="str">
        <f>IFERROR(__xludf.DUMMYFUNCTION("GOOGLETRANSLATE(B2114,""id"",""en"")"),"['Package', 'use']")</f>
        <v>['Package', 'use']</v>
      </c>
      <c r="D2114" s="3">
        <v>1.0</v>
      </c>
    </row>
    <row r="2115" ht="15.75" customHeight="1">
      <c r="A2115" s="1">
        <v>2259.0</v>
      </c>
      <c r="B2115" s="3" t="s">
        <v>2075</v>
      </c>
      <c r="C2115" s="3" t="str">
        <f>IFERROR(__xludf.DUMMYFUNCTION("GOOGLETRANSLATE(B2115,""id"",""en"")"),"['buy', 'quota', 'main', 'package', 'unlimited', 'youtube', 'fit', 'see', 'youtube', 'quota', 'main', 'suck', ' run out ',' leftover ',' pulse ',' base ',' akhak ',' quota ',' learn ',' rampok ',' run out ']")</f>
        <v>['buy', 'quota', 'main', 'package', 'unlimited', 'youtube', 'fit', 'see', 'youtube', 'quota', 'main', 'suck', ' run out ',' leftover ',' pulse ',' base ',' akhak ',' quota ',' learn ',' rampok ',' run out ']</v>
      </c>
      <c r="D2115" s="3">
        <v>1.0</v>
      </c>
    </row>
    <row r="2116" ht="15.75" customHeight="1">
      <c r="A2116" s="1">
        <v>2260.0</v>
      </c>
      <c r="B2116" s="3" t="s">
        <v>2076</v>
      </c>
      <c r="C2116" s="3" t="str">
        <f>IFERROR(__xludf.DUMMYFUNCTION("GOOGLETRANSLATE(B2116,""id"",""en"")"),"['December', 'application', 'white', 'entry', 'November', 'use', 'smooth', 'buy', 'pulse', 'what']")</f>
        <v>['December', 'application', 'white', 'entry', 'November', 'use', 'smooth', 'buy', 'pulse', 'what']</v>
      </c>
      <c r="D2116" s="3">
        <v>1.0</v>
      </c>
    </row>
    <row r="2117" ht="15.75" customHeight="1">
      <c r="A2117" s="1">
        <v>2261.0</v>
      </c>
      <c r="B2117" s="3" t="s">
        <v>2077</v>
      </c>
      <c r="C2117" s="3" t="str">
        <f>IFERROR(__xludf.DUMMYFUNCTION("GOOGLETRANSLATE(B2117,""id"",""en"")"),"['The application', 'opened', 'appears', 'screen', 'white', 'Samsung', ""]")</f>
        <v>['The application', 'opened', 'appears', 'screen', 'white', 'Samsung', "]</v>
      </c>
      <c r="D2117" s="3">
        <v>2.0</v>
      </c>
    </row>
    <row r="2118" ht="15.75" customHeight="1">
      <c r="A2118" s="1">
        <v>2262.0</v>
      </c>
      <c r="B2118" s="3" t="s">
        <v>2078</v>
      </c>
      <c r="C2118" s="3" t="str">
        <f>IFERROR(__xludf.DUMMYFUNCTION("GOOGLETRANSLATE(B2118,""id"",""en"")"),"['Mantabbb']")</f>
        <v>['Mantabbb']</v>
      </c>
      <c r="D2118" s="3">
        <v>5.0</v>
      </c>
    </row>
    <row r="2119" ht="15.75" customHeight="1">
      <c r="A2119" s="1">
        <v>2263.0</v>
      </c>
      <c r="B2119" s="3" t="s">
        <v>2079</v>
      </c>
      <c r="C2119" s="3" t="str">
        <f>IFERROR(__xludf.DUMMYFUNCTION("GOOGLETRANSLATE(B2119,""id"",""en"")"),"['Package', 'Multimedia', 'Package', 'Watch', 'Tidsk', 'Gunain', 'Package', 'Main', 'Out', 'Please', 'Fix', 'Try', ' Fox ',' System ',' Package ',' Multimedia ',' Package ',' Main ',' ']")</f>
        <v>['Package', 'Multimedia', 'Package', 'Watch', 'Tidsk', 'Gunain', 'Package', 'Main', 'Out', 'Please', 'Fix', 'Try', ' Fox ',' System ',' Package ',' Multimedia ',' Package ',' Main ',' ']</v>
      </c>
      <c r="D2119" s="3">
        <v>3.0</v>
      </c>
    </row>
    <row r="2120" ht="15.75" customHeight="1">
      <c r="A2120" s="1">
        <v>2264.0</v>
      </c>
      <c r="B2120" s="3" t="s">
        <v>2080</v>
      </c>
      <c r="C2120" s="3" t="str">
        <f>IFERROR(__xludf.DUMMYFUNCTION("GOOGLETRANSLATE(B2120,""id"",""en"")"),"['Satisfied', 'service', 'card']")</f>
        <v>['Satisfied', 'service', 'card']</v>
      </c>
      <c r="D2120" s="3">
        <v>5.0</v>
      </c>
    </row>
    <row r="2121" ht="15.75" customHeight="1">
      <c r="A2121" s="1">
        <v>2265.0</v>
      </c>
      <c r="B2121" s="3" t="s">
        <v>2081</v>
      </c>
      <c r="C2121" s="3" t="str">
        <f>IFERROR(__xludf.DUMMYFUNCTION("GOOGLETRANSLATE(B2121,""id"",""en"")"),"['cave', 'like', 'cave', 'delete', 'expensive', 'really', 'hayrga', 'abis',' payaaj ',' open ',' pulak ',' the application ',' complicated', '']")</f>
        <v>['cave', 'like', 'cave', 'delete', 'expensive', 'really', 'hayrga', 'abis',' payaaj ',' open ',' pulak ',' the application ',' complicated', '']</v>
      </c>
      <c r="D2121" s="3">
        <v>1.0</v>
      </c>
    </row>
    <row r="2122" ht="15.75" customHeight="1">
      <c r="A2122" s="1">
        <v>2266.0</v>
      </c>
      <c r="B2122" s="3" t="s">
        <v>2082</v>
      </c>
      <c r="C2122" s="3" t="str">
        <f>IFERROR(__xludf.DUMMYFUNCTION("GOOGLETRANSLATE(B2122,""id"",""en"")"),"['Application', 'opened', 'appears', 'look', 'white']")</f>
        <v>['Application', 'opened', 'appears', 'look', 'white']</v>
      </c>
      <c r="D2122" s="3">
        <v>1.0</v>
      </c>
    </row>
    <row r="2123" ht="15.75" customHeight="1">
      <c r="A2123" s="1">
        <v>2267.0</v>
      </c>
      <c r="B2123" s="3" t="s">
        <v>2083</v>
      </c>
      <c r="C2123" s="3" t="str">
        <f>IFERROR(__xludf.DUMMYFUNCTION("GOOGLETRANSLATE(B2123,""id"",""en"")"),"['Network', 'internet', 'bad', 'skali', 'good', 'got', 'star', 'good', 'okeh', ""]")</f>
        <v>['Network', 'internet', 'bad', 'skali', 'good', 'got', 'star', 'good', 'okeh', "]</v>
      </c>
      <c r="D2123" s="3">
        <v>1.0</v>
      </c>
    </row>
    <row r="2124" ht="15.75" customHeight="1">
      <c r="A2124" s="1">
        <v>2268.0</v>
      </c>
      <c r="B2124" s="3" t="s">
        <v>2084</v>
      </c>
      <c r="C2124" s="3" t="str">
        <f>IFERROR(__xludf.DUMMYFUNCTION("GOOGLETRANSLATE(B2124,""id"",""en"")"),"['Application', 'Telkomsel', 'makes it easier', '']")</f>
        <v>['Application', 'Telkomsel', 'makes it easier', '']</v>
      </c>
      <c r="D2124" s="3">
        <v>5.0</v>
      </c>
    </row>
    <row r="2125" ht="15.75" customHeight="1">
      <c r="A2125" s="1">
        <v>2269.0</v>
      </c>
      <c r="B2125" s="3" t="s">
        <v>2085</v>
      </c>
      <c r="C2125" s="3" t="str">
        <f>IFERROR(__xludf.DUMMYFUNCTION("GOOGLETRANSLATE(B2125,""id"",""en"")"),"['makes it easy', 'transaction', 'promo']")</f>
        <v>['makes it easy', 'transaction', 'promo']</v>
      </c>
      <c r="D2125" s="3">
        <v>5.0</v>
      </c>
    </row>
    <row r="2126" ht="15.75" customHeight="1">
      <c r="A2126" s="1">
        <v>2270.0</v>
      </c>
      <c r="B2126" s="3" t="s">
        <v>2086</v>
      </c>
      <c r="C2126" s="3" t="str">
        <f>IFERROR(__xludf.DUMMYFUNCTION("GOOGLETRANSLATE(B2126,""id"",""en"")"),"['Package', 'call', 'a month', 'rb', 'right', 'buy', 'price', 'menu', 'rb', '']")</f>
        <v>['Package', 'call', 'a month', 'rb', 'right', 'buy', 'price', 'menu', 'rb', '']</v>
      </c>
      <c r="D2126" s="3">
        <v>1.0</v>
      </c>
    </row>
    <row r="2127" ht="15.75" customHeight="1">
      <c r="A2127" s="1">
        <v>2271.0</v>
      </c>
      <c r="B2127" s="3" t="s">
        <v>2087</v>
      </c>
      <c r="C2127" s="3" t="str">
        <f>IFERROR(__xludf.DUMMYFUNCTION("GOOGLETRANSLATE(B2127,""id"",""en"")"),"['why', 'Sajar', 'Update', 'BSA', 'BKA', '']")</f>
        <v>['why', 'Sajar', 'Update', 'BSA', 'BKA', '']</v>
      </c>
      <c r="D2127" s="3">
        <v>1.0</v>
      </c>
    </row>
    <row r="2128" ht="15.75" customHeight="1">
      <c r="A2128" s="1">
        <v>2273.0</v>
      </c>
      <c r="B2128" s="3" t="s">
        <v>2088</v>
      </c>
      <c r="C2128" s="3" t="str">
        <f>IFERROR(__xludf.DUMMYFUNCTION("GOOGLETRANSLATE(B2128,""id"",""en"")"),"['expensive', 'a year', 'experience', 'improvement', 'price', 'combo', 'Sakti', 'Rupiah', 'GB', 'stingy', 'Telkom', 'Pingin', ' move']")</f>
        <v>['expensive', 'a year', 'experience', 'improvement', 'price', 'combo', 'Sakti', 'Rupiah', 'GB', 'stingy', 'Telkom', 'Pingin', ' move']</v>
      </c>
      <c r="D2128" s="3">
        <v>1.0</v>
      </c>
    </row>
    <row r="2129" ht="15.75" customHeight="1">
      <c r="A2129" s="1">
        <v>2274.0</v>
      </c>
      <c r="B2129" s="3" t="s">
        <v>2089</v>
      </c>
      <c r="C2129" s="3" t="str">
        <f>IFERROR(__xludf.DUMMYFUNCTION("GOOGLETRANSLATE(B2129,""id"",""en"")"),"['apps', 'heavy', 'network', 'slow', '']")</f>
        <v>['apps', 'heavy', 'network', 'slow', '']</v>
      </c>
      <c r="D2129" s="3">
        <v>1.0</v>
      </c>
    </row>
    <row r="2130" ht="15.75" customHeight="1">
      <c r="A2130" s="1">
        <v>2275.0</v>
      </c>
      <c r="B2130" s="3" t="s">
        <v>2090</v>
      </c>
      <c r="C2130" s="3" t="str">
        <f>IFERROR(__xludf.DUMMYFUNCTION("GOOGLETRANSLATE(B2130,""id"",""en"")"),"['use', 'voucher', 'discount', 'quota']")</f>
        <v>['use', 'voucher', 'discount', 'quota']</v>
      </c>
      <c r="D2130" s="3">
        <v>1.0</v>
      </c>
    </row>
    <row r="2131" ht="15.75" customHeight="1">
      <c r="A2131" s="1">
        <v>2276.0</v>
      </c>
      <c r="B2131" s="3" t="s">
        <v>2091</v>
      </c>
      <c r="C2131" s="3" t="str">
        <f>IFERROR(__xludf.DUMMYFUNCTION("GOOGLETRANSLATE(B2131,""id"",""en"")"),"['Open', 'Application', 'Open', 'Open', 'The Application']")</f>
        <v>['Open', 'Application', 'Open', 'Open', 'The Application']</v>
      </c>
      <c r="D2131" s="3">
        <v>1.0</v>
      </c>
    </row>
    <row r="2132" ht="15.75" customHeight="1">
      <c r="A2132" s="1">
        <v>2277.0</v>
      </c>
      <c r="B2132" s="3" t="s">
        <v>2092</v>
      </c>
      <c r="C2132" s="3" t="str">
        <f>IFERROR(__xludf.DUMMYFUNCTION("GOOGLETRANSLATE(B2132,""id"",""en"")"),"['signal', 'dead', 'anywhere', 'easy', 'buy', 'quota', 'san', 'pulse', ""]")</f>
        <v>['signal', 'dead', 'anywhere', 'easy', 'buy', 'quota', 'san', 'pulse', "]</v>
      </c>
      <c r="D2132" s="3">
        <v>5.0</v>
      </c>
    </row>
    <row r="2133" ht="15.75" customHeight="1">
      <c r="A2133" s="1">
        <v>2279.0</v>
      </c>
      <c r="B2133" s="3" t="s">
        <v>2093</v>
      </c>
      <c r="C2133" s="3" t="str">
        <f>IFERROR(__xludf.DUMMYFUNCTION("GOOGLETRANSLATE(B2133,""id"",""en"")"),"['buy', 'package', 'games',' voucher ',' diamond ',' fit ',' tuker ',' code ',' failed ',' beru ',' buy ',' package ',' last night ',' help ',' admin ']")</f>
        <v>['buy', 'package', 'games',' voucher ',' diamond ',' fit ',' tuker ',' code ',' failed ',' beru ',' buy ',' package ',' last night ',' help ',' admin ']</v>
      </c>
      <c r="D2133" s="3">
        <v>2.0</v>
      </c>
    </row>
    <row r="2134" ht="15.75" customHeight="1">
      <c r="A2134" s="1">
        <v>2280.0</v>
      </c>
      <c r="B2134" s="3" t="s">
        <v>2094</v>
      </c>
      <c r="C2134" s="3" t="str">
        <f>IFERROR(__xludf.DUMMYFUNCTION("GOOGLETRANSLATE(B2134,""id"",""en"")"),"['accept', 'cashback', 'purchase', 'gopay', 'love', 'star', '']")</f>
        <v>['accept', 'cashback', 'purchase', 'gopay', 'love', 'star', '']</v>
      </c>
      <c r="D2134" s="3">
        <v>1.0</v>
      </c>
    </row>
    <row r="2135" ht="15.75" customHeight="1">
      <c r="A2135" s="1">
        <v>2281.0</v>
      </c>
      <c r="B2135" s="3" t="s">
        <v>2095</v>
      </c>
      <c r="C2135" s="3" t="str">
        <f>IFERROR(__xludf.DUMMYFUNCTION("GOOGLETRANSLATE(B2135,""id"",""en"")"),"['Good', 'APK', 'KNP', 'Download', '']")</f>
        <v>['Good', 'APK', 'KNP', 'Download', '']</v>
      </c>
      <c r="D2135" s="3">
        <v>5.0</v>
      </c>
    </row>
    <row r="2136" ht="15.75" customHeight="1">
      <c r="A2136" s="1">
        <v>2282.0</v>
      </c>
      <c r="B2136" s="3" t="s">
        <v>2096</v>
      </c>
      <c r="C2136" s="3" t="str">
        <f>IFERROR(__xludf.DUMMYFUNCTION("GOOGLETRANSLATE(B2136,""id"",""en"")"),"['Please', 'Kasih', 'Package', 'Data', 'Ush', 'Written', 'Unlimited', 'Ktika', 'Package', 'Main', 'Debat', ' Open ',' Google ',' slow ',' unlimited ',' all ',' buy ',' package ',' sympathy ',' cheap ',' compared to ',' provider ', ""]")</f>
        <v>['Please', 'Kasih', 'Package', 'Data', 'Ush', 'Written', 'Unlimited', 'Ktika', 'Package', 'Main', 'Debat', ' Open ',' Google ',' slow ',' unlimited ',' all ',' buy ',' package ',' sympathy ',' cheap ',' compared to ',' provider ', "]</v>
      </c>
      <c r="D2136" s="3">
        <v>5.0</v>
      </c>
    </row>
    <row r="2137" ht="15.75" customHeight="1">
      <c r="A2137" s="1">
        <v>2283.0</v>
      </c>
      <c r="B2137" s="3" t="s">
        <v>2097</v>
      </c>
      <c r="C2137" s="3" t="str">
        <f>IFERROR(__xludf.DUMMYFUNCTION("GOOGLETRANSLATE(B2137,""id"",""en"")"),"['Open', 'application', 'Nge', 'blank', 'color', 'white', 'old', 'really', 'open', ""]")</f>
        <v>['Open', 'application', 'Nge', 'blank', 'color', 'white', 'old', 'really', 'open', "]</v>
      </c>
      <c r="D2137" s="3">
        <v>1.0</v>
      </c>
    </row>
    <row r="2138" ht="15.75" customHeight="1">
      <c r="A2138" s="1">
        <v>2284.0</v>
      </c>
      <c r="B2138" s="3" t="s">
        <v>2098</v>
      </c>
      <c r="C2138" s="3" t="str">
        <f>IFERROR(__xludf.DUMMYFUNCTION("GOOGLETRANSLATE(B2138,""id"",""en"")"),"['Price', 'Package', 'Normal']")</f>
        <v>['Price', 'Package', 'Normal']</v>
      </c>
      <c r="D2138" s="3">
        <v>2.0</v>
      </c>
    </row>
    <row r="2139" ht="15.75" customHeight="1">
      <c r="A2139" s="1">
        <v>2285.0</v>
      </c>
      <c r="B2139" s="3" t="s">
        <v>2099</v>
      </c>
      <c r="C2139" s="3" t="str">
        <f>IFERROR(__xludf.DUMMYFUNCTION("GOOGLETRANSLATE(B2139,""id"",""en"")"),"['signal', 'Tellkomsel', 'ugly', 'slow', 'lose', 'AXIS', 'Most', 'Makek', 'AXIS', 'Try', 'fix']")</f>
        <v>['signal', 'Tellkomsel', 'ugly', 'slow', 'lose', 'AXIS', 'Most', 'Makek', 'AXIS', 'Try', 'fix']</v>
      </c>
      <c r="D2139" s="3">
        <v>3.0</v>
      </c>
    </row>
    <row r="2140" ht="15.75" customHeight="1">
      <c r="A2140" s="1">
        <v>2286.0</v>
      </c>
      <c r="B2140" s="3" t="s">
        <v>2100</v>
      </c>
      <c r="C2140" s="3" t="str">
        <f>IFERROR(__xludf.DUMMYFUNCTION("GOOGLETRANSLATE(B2140,""id"",""en"")"),"['promo', 'contents',' pulse ',' promo ',' after ',' contents', 'pulse', 'directly', 'naek', 'promo', 'gay', 'naek', ' Until ',' Minutes', 'Promo', 'Liat', 'Isipulsa', 'Telkomsel', '']")</f>
        <v>['promo', 'contents',' pulse ',' promo ',' after ',' contents', 'pulse', 'directly', 'naek', 'promo', 'gay', 'naek', ' Until ',' Minutes', 'Promo', 'Liat', 'Isipulsa', 'Telkomsel', '']</v>
      </c>
      <c r="D2140" s="3">
        <v>1.0</v>
      </c>
    </row>
    <row r="2141" ht="15.75" customHeight="1">
      <c r="A2141" s="1">
        <v>2287.0</v>
      </c>
      <c r="B2141" s="3" t="s">
        <v>2101</v>
      </c>
      <c r="C2141" s="3" t="str">
        <f>IFERROR(__xludf.DUMMYFUNCTION("GOOGLETRANSLATE(B2141,""id"",""en"")"),"['quota', 'durable', 'run out', 'run out', 'play', 'mobile', 'legends', 'times', '']")</f>
        <v>['quota', 'durable', 'run out', 'run out', 'play', 'mobile', 'legends', 'times', '']</v>
      </c>
      <c r="D2141" s="3">
        <v>5.0</v>
      </c>
    </row>
    <row r="2142" ht="15.75" customHeight="1">
      <c r="A2142" s="1">
        <v>2288.0</v>
      </c>
      <c r="B2142" s="3" t="s">
        <v>2102</v>
      </c>
      <c r="C2142" s="3" t="str">
        <f>IFERROR(__xludf.DUMMYFUNCTION("GOOGLETRANSLATE(B2142,""id"",""en"")"),"['APK', 'broken', 'update', 'blank', 'white']")</f>
        <v>['APK', 'broken', 'update', 'blank', 'white']</v>
      </c>
      <c r="D2142" s="3">
        <v>1.0</v>
      </c>
    </row>
    <row r="2143" ht="15.75" customHeight="1">
      <c r="A2143" s="1">
        <v>2289.0</v>
      </c>
      <c r="B2143" s="3" t="s">
        <v>2103</v>
      </c>
      <c r="C2143" s="3" t="str">
        <f>IFERROR(__xludf.DUMMYFUNCTION("GOOGLETRANSLATE(B2143,""id"",""en"")"),"['Telkomsel', 'Dear', 'Sya', 'run out', 'update', 'mala', 'ngk', 'open', 'cma', 'stak', 'screen', 'sutuh', ' SJA ',' MHN ',' Help ']")</f>
        <v>['Telkomsel', 'Dear', 'Sya', 'run out', 'update', 'mala', 'ngk', 'open', 'cma', 'stak', 'screen', 'sutuh', ' SJA ',' MHN ',' Help ']</v>
      </c>
      <c r="D2143" s="3">
        <v>5.0</v>
      </c>
    </row>
    <row r="2144" ht="15.75" customHeight="1">
      <c r="A2144" s="1">
        <v>2291.0</v>
      </c>
      <c r="B2144" s="3" t="s">
        <v>2104</v>
      </c>
      <c r="C2144" s="3" t="str">
        <f>IFERROR(__xludf.DUMMYFUNCTION("GOOGLETRANSLATE(B2144,""id"",""en"")"),"['Service', 'Good', 'Good', 'Service', 'Stop', 'Service', 'Card', 'Hello', ""]")</f>
        <v>['Service', 'Good', 'Good', 'Service', 'Stop', 'Service', 'Card', 'Hello', "]</v>
      </c>
      <c r="D2144" s="3">
        <v>4.0</v>
      </c>
    </row>
    <row r="2145" ht="15.75" customHeight="1">
      <c r="A2145" s="1">
        <v>2292.0</v>
      </c>
      <c r="B2145" s="3" t="s">
        <v>2105</v>
      </c>
      <c r="C2145" s="3" t="str">
        <f>IFERROR(__xludf.DUMMYFUNCTION("GOOGLETRANSLATE(B2145,""id"",""en"")"),"['Line', 'Terunggot']")</f>
        <v>['Line', 'Terunggot']</v>
      </c>
      <c r="D2145" s="3">
        <v>5.0</v>
      </c>
    </row>
    <row r="2146" ht="15.75" customHeight="1">
      <c r="A2146" s="1">
        <v>2293.0</v>
      </c>
      <c r="B2146" s="3" t="s">
        <v>2106</v>
      </c>
      <c r="C2146" s="3" t="str">
        <f>IFERROR(__xludf.DUMMYFUNCTION("GOOGLETRANSLATE(B2146,""id"",""en"")"),"['', 'Telkomsel', 'opened', 'Severe', 'Telkom', 'Network', 'slow', 'laq', 'ugly', 'price', 'quota', 'expensive', "" ]")</f>
        <v>['', 'Telkomsel', 'opened', 'Severe', 'Telkom', 'Network', 'slow', 'laq', 'ugly', 'price', 'quota', 'expensive', " ]</v>
      </c>
      <c r="D2146" s="3">
        <v>5.0</v>
      </c>
    </row>
    <row r="2147" ht="15.75" customHeight="1">
      <c r="A2147" s="1">
        <v>2294.0</v>
      </c>
      <c r="B2147" s="3" t="s">
        <v>2107</v>
      </c>
      <c r="C2147" s="3" t="str">
        <f>IFERROR(__xludf.DUMMYFUNCTION("GOOGLETRANSLATE(B2147,""id"",""en"")"),"['The application', 'gabisa', 'open', 'samassali']")</f>
        <v>['The application', 'gabisa', 'open', 'samassali']</v>
      </c>
      <c r="D2147" s="3">
        <v>5.0</v>
      </c>
    </row>
    <row r="2148" ht="15.75" customHeight="1">
      <c r="A2148" s="1">
        <v>2295.0</v>
      </c>
      <c r="B2148" s="3" t="s">
        <v>2108</v>
      </c>
      <c r="C2148" s="3" t="str">
        <f>IFERROR(__xludf.DUMMYFUNCTION("GOOGLETRANSLATE(B2148,""id"",""en"")"),"['Network', 'strong']")</f>
        <v>['Network', 'strong']</v>
      </c>
      <c r="D2148" s="3">
        <v>5.0</v>
      </c>
    </row>
    <row r="2149" ht="15.75" customHeight="1">
      <c r="A2149" s="1">
        <v>2296.0</v>
      </c>
      <c r="B2149" s="3" t="s">
        <v>2109</v>
      </c>
      <c r="C2149" s="3" t="str">
        <f>IFERROR(__xludf.DUMMYFUNCTION("GOOGLETRANSLATE(B2149,""id"",""en"")"),"['Help', 'thank you']")</f>
        <v>['Help', 'thank you']</v>
      </c>
      <c r="D2149" s="3">
        <v>5.0</v>
      </c>
    </row>
    <row r="2150" ht="15.75" customHeight="1">
      <c r="A2150" s="1">
        <v>2297.0</v>
      </c>
      <c r="B2150" s="3" t="s">
        <v>2110</v>
      </c>
      <c r="C2150" s="3" t="str">
        <f>IFERROR(__xludf.DUMMYFUNCTION("GOOGLETRANSLATE(B2150,""id"",""en"")"),"['Telkomsel', '']")</f>
        <v>['Telkomsel', '']</v>
      </c>
      <c r="D2150" s="3">
        <v>4.0</v>
      </c>
    </row>
    <row r="2151" ht="15.75" customHeight="1">
      <c r="A2151" s="1">
        <v>2298.0</v>
      </c>
      <c r="B2151" s="3" t="s">
        <v>2111</v>
      </c>
      <c r="C2151" s="3" t="str">
        <f>IFERROR(__xludf.DUMMYFUNCTION("GOOGLETRANSLATE(B2151,""id"",""en"")"),"['Knp', 'yaa', 'abis', 'update', 'opened', 'gtu', 'ush', 'update']")</f>
        <v>['Knp', 'yaa', 'abis', 'update', 'opened', 'gtu', 'ush', 'update']</v>
      </c>
      <c r="D2151" s="3">
        <v>2.0</v>
      </c>
    </row>
    <row r="2152" ht="15.75" customHeight="1">
      <c r="A2152" s="1">
        <v>2299.0</v>
      </c>
      <c r="B2152" s="3" t="s">
        <v>2112</v>
      </c>
      <c r="C2152" s="3" t="str">
        <f>IFERROR(__xludf.DUMMYFUNCTION("GOOGLETRANSLATE(B2152,""id"",""en"")"),"['Telkomsel', 'Best', ""]")</f>
        <v>['Telkomsel', 'Best', "]</v>
      </c>
      <c r="D2152" s="3">
        <v>5.0</v>
      </c>
    </row>
    <row r="2153" ht="15.75" customHeight="1">
      <c r="A2153" s="1">
        <v>2300.0</v>
      </c>
      <c r="B2153" s="3" t="s">
        <v>2113</v>
      </c>
      <c r="C2153" s="3" t="str">
        <f>IFERROR(__xludf.DUMMYFUNCTION("GOOGLETRANSLATE(B2153,""id"",""en"")"),"['Disappointed', 'Application', 'Price', 'Package', 'Call', 'Disappointed', 'Application']")</f>
        <v>['Disappointed', 'Application', 'Price', 'Package', 'Call', 'Disappointed', 'Application']</v>
      </c>
      <c r="D2153" s="3">
        <v>1.0</v>
      </c>
    </row>
    <row r="2154" ht="15.75" customHeight="1">
      <c r="A2154" s="1">
        <v>2301.0</v>
      </c>
      <c r="B2154" s="3" t="s">
        <v>2114</v>
      </c>
      <c r="C2154" s="3" t="str">
        <f>IFERROR(__xludf.DUMMYFUNCTION("GOOGLETRANSLATE(B2154,""id"",""en"")"),"['easy', 'buy', 'package', 'internet', '']")</f>
        <v>['easy', 'buy', 'package', 'internet', '']</v>
      </c>
      <c r="D2154" s="3">
        <v>5.0</v>
      </c>
    </row>
    <row r="2155" ht="15.75" customHeight="1">
      <c r="A2155" s="1">
        <v>2302.0</v>
      </c>
      <c r="B2155" s="3" t="s">
        <v>2115</v>
      </c>
      <c r="C2155" s="3" t="str">
        <f>IFERROR(__xludf.DUMMYFUNCTION("GOOGLETRANSLATE(B2155,""id"",""en"")"),"['user', 'disappointed', 'access',' internet ',' provider ',' pulse ',' run out ',' Telkomsel ',' week ',' pulse ',' reduced ',' week ',' Fill ',' pulse ',' use ',' leftover ',' pulse ',' just ',' where ',' pulse ',' lost ',' subscribe ',' anything ',' wh"&amp;"ere ',' pulses' ]")</f>
        <v>['user', 'disappointed', 'access',' internet ',' provider ',' pulse ',' run out ',' Telkomsel ',' week ',' pulse ',' reduced ',' week ',' Fill ',' pulse ',' use ',' leftover ',' pulse ',' just ',' where ',' pulse ',' lost ',' subscribe ',' anything ',' where ',' pulses' ]</v>
      </c>
      <c r="D2155" s="3">
        <v>1.0</v>
      </c>
    </row>
    <row r="2156" ht="15.75" customHeight="1">
      <c r="A2156" s="1">
        <v>2303.0</v>
      </c>
      <c r="B2156" s="3" t="s">
        <v>2116</v>
      </c>
      <c r="C2156" s="3" t="str">
        <f>IFERROR(__xludf.DUMMYFUNCTION("GOOGLETRANSLATE(B2156,""id"",""en"")"),"['Use', 'easy']")</f>
        <v>['Use', 'easy']</v>
      </c>
      <c r="D2156" s="3">
        <v>4.0</v>
      </c>
    </row>
    <row r="2157" ht="15.75" customHeight="1">
      <c r="A2157" s="1">
        <v>2304.0</v>
      </c>
      <c r="B2157" s="3" t="s">
        <v>2117</v>
      </c>
      <c r="C2157" s="3" t="str">
        <f>IFERROR(__xludf.DUMMYFUNCTION("GOOGLETRANSLATE(B2157,""id"",""en"")"),"['Help', 'Anyway']")</f>
        <v>['Help', 'Anyway']</v>
      </c>
      <c r="D2157" s="3">
        <v>5.0</v>
      </c>
    </row>
    <row r="2158" ht="15.75" customHeight="1">
      <c r="A2158" s="1">
        <v>2305.0</v>
      </c>
      <c r="B2158" s="3" t="s">
        <v>2118</v>
      </c>
      <c r="C2158" s="3" t="str">
        <f>IFERROR(__xludf.DUMMYFUNCTION("GOOGLETRANSLATE(B2158,""id"",""en"")"),"['update', 'open', 'application', 'good', 'service', 'connection', 'please', 'fix', 'as fast', 'disappointed', 'user', 'Telkomsel', ' rating ',' threat ',' gini ',' mood ',' mood ',' ugly ',' already ',' told ',' users', 'telkom', 'moved']")</f>
        <v>['update', 'open', 'application', 'good', 'service', 'connection', 'please', 'fix', 'as fast', 'disappointed', 'user', 'Telkomsel', ' rating ',' threat ',' gini ',' mood ',' mood ',' ugly ',' already ',' told ',' users', 'telkom', 'moved']</v>
      </c>
      <c r="D2158" s="3">
        <v>2.0</v>
      </c>
    </row>
    <row r="2159" ht="15.75" customHeight="1">
      <c r="A2159" s="1">
        <v>2306.0</v>
      </c>
      <c r="B2159" s="3" t="s">
        <v>2119</v>
      </c>
      <c r="C2159" s="3" t="str">
        <f>IFERROR(__xludf.DUMMYFUNCTION("GOOGLETRANSLATE(B2159,""id"",""en"")"),"['', 'opened']")</f>
        <v>['', 'opened']</v>
      </c>
      <c r="D2159" s="3">
        <v>1.0</v>
      </c>
    </row>
    <row r="2160" ht="15.75" customHeight="1">
      <c r="A2160" s="1">
        <v>2307.0</v>
      </c>
      <c r="B2160" s="3" t="s">
        <v>2120</v>
      </c>
      <c r="C2160" s="3" t="str">
        <f>IFERROR(__xludf.DUMMYFUNCTION("GOOGLETRANSLATE(B2160,""id"",""en"")"),"['buy', 'package', 'said', 'pulse', 'pulse', 'already', 'exceed', 'price', 'package', 'please', 'repair', ""]")</f>
        <v>['buy', 'package', 'said', 'pulse', 'pulse', 'already', 'exceed', 'price', 'package', 'please', 'repair', "]</v>
      </c>
      <c r="D2160" s="3">
        <v>1.0</v>
      </c>
    </row>
    <row r="2161" ht="15.75" customHeight="1">
      <c r="A2161" s="1">
        <v>2308.0</v>
      </c>
      <c r="B2161" s="3" t="s">
        <v>2121</v>
      </c>
      <c r="C2161" s="3" t="str">
        <f>IFERROR(__xludf.DUMMYFUNCTION("GOOGLETRANSLATE(B2161,""id"",""en"")"),"['Open', 'Please', 'Help']")</f>
        <v>['Open', 'Please', 'Help']</v>
      </c>
      <c r="D2161" s="3">
        <v>1.0</v>
      </c>
    </row>
    <row r="2162" ht="15.75" customHeight="1">
      <c r="A2162" s="1">
        <v>2309.0</v>
      </c>
      <c r="B2162" s="3" t="s">
        <v>2110</v>
      </c>
      <c r="C2162" s="3" t="str">
        <f>IFERROR(__xludf.DUMMYFUNCTION("GOOGLETRANSLATE(B2162,""id"",""en"")"),"['Telkomsel', '']")</f>
        <v>['Telkomsel', '']</v>
      </c>
      <c r="D2162" s="3">
        <v>5.0</v>
      </c>
    </row>
    <row r="2163" ht="15.75" customHeight="1">
      <c r="A2163" s="1">
        <v>2310.0</v>
      </c>
      <c r="B2163" s="3" t="s">
        <v>2122</v>
      </c>
      <c r="C2163" s="3" t="str">
        <f>IFERROR(__xludf.DUMMYFUNCTION("GOOGLETRANSLATE(B2163,""id"",""en"")"),"['disruption', 'second', 'right', 'open', 'application', 'blank', 'screen', 'white', 'please', 'explanation', ""]")</f>
        <v>['disruption', 'second', 'right', 'open', 'application', 'blank', 'screen', 'white', 'please', 'explanation', "]</v>
      </c>
      <c r="D2163" s="3">
        <v>1.0</v>
      </c>
    </row>
    <row r="2164" ht="15.75" customHeight="1">
      <c r="A2164" s="1">
        <v>2311.0</v>
      </c>
      <c r="B2164" s="3" t="s">
        <v>2123</v>
      </c>
      <c r="C2164" s="3" t="str">
        <f>IFERROR(__xludf.DUMMYFUNCTION("GOOGLETRANSLATE(B2164,""id"",""en"")"),"['', 'version', 'open', 'screen', 'white', 'Please', 'fix']")</f>
        <v>['', 'version', 'open', 'screen', 'white', 'Please', 'fix']</v>
      </c>
      <c r="D2164" s="3">
        <v>5.0</v>
      </c>
    </row>
    <row r="2165" ht="15.75" customHeight="1">
      <c r="A2165" s="1">
        <v>2312.0</v>
      </c>
      <c r="B2165" s="3" t="s">
        <v>2124</v>
      </c>
      <c r="C2165" s="3" t="str">
        <f>IFERROR(__xludf.DUMMYFUNCTION("GOOGLETRANSLATE(B2165,""id"",""en"")"),"['Telkomsel', 'Network', 'slow', 'according to', 'price']")</f>
        <v>['Telkomsel', 'Network', 'slow', 'according to', 'price']</v>
      </c>
      <c r="D2165" s="3">
        <v>3.0</v>
      </c>
    </row>
    <row r="2166" ht="15.75" customHeight="1">
      <c r="A2166" s="1">
        <v>2313.0</v>
      </c>
      <c r="B2166" s="3" t="s">
        <v>2125</v>
      </c>
      <c r="C2166" s="3" t="str">
        <f>IFERROR(__xludf.DUMMYFUNCTION("GOOGLETRANSLATE(B2166,""id"",""en"")"),"['Help', 'special']")</f>
        <v>['Help', 'special']</v>
      </c>
      <c r="D2166" s="3">
        <v>5.0</v>
      </c>
    </row>
    <row r="2167" ht="15.75" customHeight="1">
      <c r="A2167" s="1">
        <v>2314.0</v>
      </c>
      <c r="B2167" s="3" t="s">
        <v>2126</v>
      </c>
      <c r="C2167" s="3" t="str">
        <f>IFERROR(__xludf.DUMMYFUNCTION("GOOGLETRANSLATE(B2167,""id"",""en"")"),"['Application', 'complete']")</f>
        <v>['Application', 'complete']</v>
      </c>
      <c r="D2167" s="3">
        <v>5.0</v>
      </c>
    </row>
    <row r="2168" ht="15.75" customHeight="1">
      <c r="A2168" s="1">
        <v>2316.0</v>
      </c>
      <c r="B2168" s="3" t="s">
        <v>2127</v>
      </c>
      <c r="C2168" s="3" t="str">
        <f>IFERROR(__xludf.DUMMYFUNCTION("GOOGLETRANSLATE(B2168,""id"",""en"")"),"['easy']")</f>
        <v>['easy']</v>
      </c>
      <c r="D2168" s="3">
        <v>4.0</v>
      </c>
    </row>
    <row r="2169" ht="15.75" customHeight="1">
      <c r="A2169" s="1">
        <v>2317.0</v>
      </c>
      <c r="B2169" s="3" t="s">
        <v>2128</v>
      </c>
      <c r="C2169" s="3" t="str">
        <f>IFERROR(__xludf.DUMMYFUNCTION("GOOGLETRANSLATE(B2169,""id"",""en"")"),"['Uninstall', 'APK', 'clicked', 'blank', '']")</f>
        <v>['Uninstall', 'APK', 'clicked', 'blank', '']</v>
      </c>
      <c r="D2169" s="3">
        <v>1.0</v>
      </c>
    </row>
    <row r="2170" ht="15.75" customHeight="1">
      <c r="A2170" s="1">
        <v>2318.0</v>
      </c>
      <c r="B2170" s="3" t="s">
        <v>2129</v>
      </c>
      <c r="C2170" s="3" t="str">
        <f>IFERROR(__xludf.DUMMYFUNCTION("GOOGLETRANSLATE(B2170,""id"",""en"")"),"['Contents', 'quota', 'for a while', 'open', 'already', 'run out', 'GB', 'Telkomsel']")</f>
        <v>['Contents', 'quota', 'for a while', 'open', 'already', 'run out', 'GB', 'Telkomsel']</v>
      </c>
      <c r="D2170" s="3">
        <v>1.0</v>
      </c>
    </row>
    <row r="2171" ht="15.75" customHeight="1">
      <c r="A2171" s="1">
        <v>2319.0</v>
      </c>
      <c r="B2171" s="3" t="s">
        <v>2130</v>
      </c>
      <c r="C2171" s="3" t="str">
        <f>IFERROR(__xludf.DUMMYFUNCTION("GOOGLETRANSLATE(B2171,""id"",""en"")"),"['Min', 'complement', 'purchase', 'package', 'internet', 'apk', 'according to', 'package', 'bought', 'date', 'ehh', 'active', ' smpe ',' date ',' date ',' Different ',' time ',' keep ',' shift ',' drunk ',' land ',' how ',' package ',' zone ',' country ' "&amp;", 'Please', 'repaired', 'Min', 'please', '']")</f>
        <v>['Min', 'complement', 'purchase', 'package', 'internet', 'apk', 'according to', 'package', 'bought', 'date', 'ehh', 'active', ' smpe ',' date ',' date ',' Different ',' time ',' keep ',' shift ',' drunk ',' land ',' how ',' package ',' zone ',' country ' , 'Please', 'repaired', 'Min', 'please', '']</v>
      </c>
      <c r="D2171" s="3">
        <v>1.0</v>
      </c>
    </row>
    <row r="2172" ht="15.75" customHeight="1">
      <c r="A2172" s="1">
        <v>2320.0</v>
      </c>
      <c r="B2172" s="3" t="s">
        <v>2131</v>
      </c>
      <c r="C2172" s="3" t="str">
        <f>IFERROR(__xludf.DUMMYFUNCTION("GOOGLETRANSLATE(B2172,""id"",""en"")"),"['Easy', 'join', 'MyTelkomsel']")</f>
        <v>['Easy', 'join', 'MyTelkomsel']</v>
      </c>
      <c r="D2172" s="3">
        <v>5.0</v>
      </c>
    </row>
    <row r="2173" ht="15.75" customHeight="1">
      <c r="A2173" s="1">
        <v>2321.0</v>
      </c>
      <c r="B2173" s="3" t="s">
        <v>2132</v>
      </c>
      <c r="C2173" s="3" t="str">
        <f>IFERROR(__xludf.DUMMYFUNCTION("GOOGLETRANSLATE(B2173,""id"",""en"")"),"['method', 'payment', 'promo', 'cashback', 'December', 'please', 'updated', ""]")</f>
        <v>['method', 'payment', 'promo', 'cashback', 'December', 'please', 'updated', "]</v>
      </c>
      <c r="D2173" s="3">
        <v>1.0</v>
      </c>
    </row>
    <row r="2174" ht="15.75" customHeight="1">
      <c r="A2174" s="1">
        <v>2322.0</v>
      </c>
      <c r="B2174" s="3" t="s">
        <v>2133</v>
      </c>
      <c r="C2174" s="3" t="str">
        <f>IFERROR(__xludf.DUMMYFUNCTION("GOOGLETRANSLATE(B2174,""id"",""en"")"),"['Hallo', 'Telkomsel', 'Claims', 'Prizes', 'Line', 'ituk', 'Right', 'Consumer', 'Severe', 'Sinyal']")</f>
        <v>['Hallo', 'Telkomsel', 'Claims', 'Prizes', 'Line', 'ituk', 'Right', 'Consumer', 'Severe', 'Sinyal']</v>
      </c>
      <c r="D2174" s="3">
        <v>4.0</v>
      </c>
    </row>
    <row r="2175" ht="15.75" customHeight="1">
      <c r="A2175" s="1">
        <v>2323.0</v>
      </c>
      <c r="B2175" s="3" t="s">
        <v>2134</v>
      </c>
      <c r="C2175" s="3" t="str">
        <f>IFERROR(__xludf.DUMMYFUNCTION("GOOGLETRANSLATE(B2175,""id"",""en"")"),"['signal', 'msh', 'ngeleg', 'electricity', 'dead', 'gmn', 'play', 'smooth', 'msh', 'ugly', 'gosha', 'signal', ' pig']")</f>
        <v>['signal', 'msh', 'ngeleg', 'electricity', 'dead', 'gmn', 'play', 'smooth', 'msh', 'ugly', 'gosha', 'signal', ' pig']</v>
      </c>
      <c r="D2175" s="3">
        <v>1.0</v>
      </c>
    </row>
    <row r="2176" ht="15.75" customHeight="1">
      <c r="A2176" s="1">
        <v>2324.0</v>
      </c>
      <c r="B2176" s="3" t="s">
        <v>2135</v>
      </c>
      <c r="C2176" s="3" t="str">
        <f>IFERROR(__xludf.DUMMYFUNCTION("GOOGLETRANSLATE(B2176,""id"",""en"")"),"['Come on', 'Download', 'Application', 'Telkomsel']")</f>
        <v>['Come on', 'Download', 'Application', 'Telkomsel']</v>
      </c>
      <c r="D2176" s="3">
        <v>5.0</v>
      </c>
    </row>
    <row r="2177" ht="15.75" customHeight="1">
      <c r="A2177" s="1">
        <v>2326.0</v>
      </c>
      <c r="B2177" s="3" t="s">
        <v>2136</v>
      </c>
      <c r="C2177" s="3" t="str">
        <f>IFERROR(__xludf.DUMMYFUNCTION("GOOGLETRANSLATE(B2177,""id"",""en"")"),"['application', 'help', 'in', 'implementation', 'set', 'choose', 'quota']")</f>
        <v>['application', 'help', 'in', 'implementation', 'set', 'choose', 'quota']</v>
      </c>
      <c r="D2177" s="3">
        <v>4.0</v>
      </c>
    </row>
    <row r="2178" ht="15.75" customHeight="1">
      <c r="A2178" s="1">
        <v>2327.0</v>
      </c>
      <c r="B2178" s="3" t="s">
        <v>2137</v>
      </c>
      <c r="C2178" s="3" t="str">
        <f>IFERROR(__xludf.DUMMYFUNCTION("GOOGLETRANSLATE(B2178,""id"",""en"")"),"['Safe', 'trusted']")</f>
        <v>['Safe', 'trusted']</v>
      </c>
      <c r="D2178" s="3">
        <v>5.0</v>
      </c>
    </row>
    <row r="2179" ht="15.75" customHeight="1">
      <c r="A2179" s="1">
        <v>2328.0</v>
      </c>
      <c r="B2179" s="3" t="s">
        <v>2138</v>
      </c>
      <c r="C2179" s="3" t="str">
        <f>IFERROR(__xludf.DUMMYFUNCTION("GOOGLETRANSLATE(B2179,""id"",""en"")"),"['BKA', 'lngsung', 'top', 'deh', 'hopefully', 'lapr', 'trs', 'success']")</f>
        <v>['BKA', 'lngsung', 'top', 'deh', 'hopefully', 'lapr', 'trs', 'success']</v>
      </c>
      <c r="D2179" s="3">
        <v>5.0</v>
      </c>
    </row>
    <row r="2180" ht="15.75" customHeight="1">
      <c r="A2180" s="1">
        <v>2329.0</v>
      </c>
      <c r="B2180" s="3" t="s">
        <v>2139</v>
      </c>
      <c r="C2180" s="3" t="str">
        <f>IFERROR(__xludf.DUMMYFUNCTION("GOOGLETRANSLATE(B2180,""id"",""en"")"),"['selected', 'Telkomsel', 'already', 'expensive', 'signal', 'lag']")</f>
        <v>['selected', 'Telkomsel', 'already', 'expensive', 'signal', 'lag']</v>
      </c>
      <c r="D2180" s="3">
        <v>1.0</v>
      </c>
    </row>
    <row r="2181" ht="15.75" customHeight="1">
      <c r="A2181" s="1">
        <v>2330.0</v>
      </c>
      <c r="B2181" s="3" t="s">
        <v>2140</v>
      </c>
      <c r="C2181" s="3" t="str">
        <f>IFERROR(__xludf.DUMMYFUNCTION("GOOGLETRANSLATE(B2181,""id"",""en"")"),"['Men', 'Cangak', 'Jak', 'Haga', 'Benoq']")</f>
        <v>['Men', 'Cangak', 'Jak', 'Haga', 'Benoq']</v>
      </c>
      <c r="D2181" s="3">
        <v>5.0</v>
      </c>
    </row>
    <row r="2182" ht="15.75" customHeight="1">
      <c r="A2182" s="1">
        <v>2331.0</v>
      </c>
      <c r="B2182" s="3" t="s">
        <v>2141</v>
      </c>
      <c r="C2182" s="3" t="str">
        <f>IFERROR(__xludf.DUMMYFUNCTION("GOOGLETRANSLATE(B2182,""id"",""en"")"),"['Enhanced']")</f>
        <v>['Enhanced']</v>
      </c>
      <c r="D2182" s="3">
        <v>4.0</v>
      </c>
    </row>
    <row r="2183" ht="15.75" customHeight="1">
      <c r="A2183" s="1">
        <v>2332.0</v>
      </c>
      <c r="B2183" s="3" t="s">
        <v>2142</v>
      </c>
      <c r="C2183" s="3" t="str">
        <f>IFERROR(__xludf.DUMMYFUNCTION("GOOGLETRANSLATE(B2183,""id"",""en"")"),"['Approaching', 'complete']")</f>
        <v>['Approaching', 'complete']</v>
      </c>
      <c r="D2183" s="3">
        <v>5.0</v>
      </c>
    </row>
    <row r="2184" ht="15.75" customHeight="1">
      <c r="A2184" s="1">
        <v>2333.0</v>
      </c>
      <c r="B2184" s="3" t="s">
        <v>2143</v>
      </c>
      <c r="C2184" s="3" t="str">
        <f>IFERROR(__xludf.DUMMYFUNCTION("GOOGLETRANSLATE(B2184,""id"",""en"")"),"['complicated']")</f>
        <v>['complicated']</v>
      </c>
      <c r="D2184" s="3">
        <v>5.0</v>
      </c>
    </row>
    <row r="2185" ht="15.75" customHeight="1">
      <c r="A2185" s="1">
        <v>2334.0</v>
      </c>
      <c r="B2185" s="3" t="s">
        <v>2144</v>
      </c>
      <c r="C2185" s="3" t="str">
        <f>IFERROR(__xludf.DUMMYFUNCTION("GOOGLETRANSLATE(B2185,""id"",""en"")"),"['Gabisa', 'enter', 'APK']")</f>
        <v>['Gabisa', 'enter', 'APK']</v>
      </c>
      <c r="D2185" s="3">
        <v>1.0</v>
      </c>
    </row>
    <row r="2186" ht="15.75" customHeight="1">
      <c r="A2186" s="1">
        <v>2335.0</v>
      </c>
      <c r="B2186" s="3" t="s">
        <v>2145</v>
      </c>
      <c r="C2186" s="3" t="str">
        <f>IFERROR(__xludf.DUMMYFUNCTION("GOOGLETRANSLATE(B2186,""id"",""en"")"),"['', 'free', 'quota', 'pulse', '']")</f>
        <v>['', 'free', 'quota', 'pulse', '']</v>
      </c>
      <c r="D2186" s="3">
        <v>2.0</v>
      </c>
    </row>
    <row r="2187" ht="15.75" customHeight="1">
      <c r="A2187" s="1">
        <v>2336.0</v>
      </c>
      <c r="B2187" s="3" t="s">
        <v>2146</v>
      </c>
      <c r="C2187" s="3" t="str">
        <f>IFERROR(__xludf.DUMMYFUNCTION("GOOGLETRANSLATE(B2187,""id"",""en"")"),"['oath', 'app', 'slow', 'buy', 'internet', 'gabisa', 'mulu', 'say it', 'process',' process', 'beuh', 'really', ' Internet ',' good ',' area ',' strange ',' app ',' please ',' repaired ',' yaaaaaaaaa ']")</f>
        <v>['oath', 'app', 'slow', 'buy', 'internet', 'gabisa', 'mulu', 'say it', 'process',' process', 'beuh', 'really', ' Internet ',' good ',' area ',' strange ',' app ',' please ',' repaired ',' yaaaaaaaaa ']</v>
      </c>
      <c r="D2187" s="3">
        <v>1.0</v>
      </c>
    </row>
    <row r="2188" ht="15.75" customHeight="1">
      <c r="A2188" s="1">
        <v>2338.0</v>
      </c>
      <c r="B2188" s="3" t="s">
        <v>2147</v>
      </c>
      <c r="C2188" s="3" t="str">
        <f>IFERROR(__xludf.DUMMYFUNCTION("GOOGLETRANSLATE(B2188,""id"",""en"")"),"['Good', 'big one']")</f>
        <v>['Good', 'big one']</v>
      </c>
      <c r="D2188" s="3">
        <v>5.0</v>
      </c>
    </row>
    <row r="2189" ht="15.75" customHeight="1">
      <c r="A2189" s="1">
        <v>2339.0</v>
      </c>
      <c r="B2189" s="3" t="s">
        <v>2148</v>
      </c>
      <c r="C2189" s="3" t="str">
        <f>IFERROR(__xludf.DUMMYFUNCTION("GOOGLETRANSLATE(B2189,""id"",""en"")"),"['Open', 'application', 'Telkomsel', 'appears', 'screen', 'white', 'Telkomsel', 'bad', 'quality', '']")</f>
        <v>['Open', 'application', 'Telkomsel', 'appears', 'screen', 'white', 'Telkomsel', 'bad', 'quality', '']</v>
      </c>
      <c r="D2189" s="3">
        <v>1.0</v>
      </c>
    </row>
    <row r="2190" ht="15.75" customHeight="1">
      <c r="A2190" s="1">
        <v>2340.0</v>
      </c>
      <c r="B2190" s="3" t="s">
        <v>2149</v>
      </c>
      <c r="C2190" s="3" t="str">
        <f>IFERROR(__xludf.DUMMYFUNCTION("GOOGLETRANSLATE(B2190,""id"",""en"")"),"['Promo', 'ilang', 'kmren', 'tasty', 'promo', 'good', 'good', 'sekrang', 'expensive', 'expensive']")</f>
        <v>['Promo', 'ilang', 'kmren', 'tasty', 'promo', 'good', 'good', 'sekrang', 'expensive', 'expensive']</v>
      </c>
      <c r="D2190" s="3">
        <v>1.0</v>
      </c>
    </row>
    <row r="2191" ht="15.75" customHeight="1">
      <c r="A2191" s="1">
        <v>2341.0</v>
      </c>
      <c r="B2191" s="3" t="s">
        <v>2150</v>
      </c>
      <c r="C2191" s="3" t="str">
        <f>IFERROR(__xludf.DUMMYFUNCTION("GOOGLETRANSLATE(B2191,""id"",""en"")"),"['Jangat', 'sigyal', 'good', 'price', 'quota', 'dumped', 'users', 'Telkomsel', 'greetings', 'healthy', 'tulungagung', ""]")</f>
        <v>['Jangat', 'sigyal', 'good', 'price', 'quota', 'dumped', 'users', 'Telkomsel', 'greetings', 'healthy', 'tulungagung', "]</v>
      </c>
      <c r="D2191" s="3">
        <v>5.0</v>
      </c>
    </row>
    <row r="2192" ht="15.75" customHeight="1">
      <c r="A2192" s="1">
        <v>2342.0</v>
      </c>
      <c r="B2192" s="3" t="s">
        <v>2151</v>
      </c>
      <c r="C2192" s="3" t="str">
        <f>IFERROR(__xludf.DUMMYFUNCTION("GOOGLETRANSLATE(B2192,""id"",""en"")"),"['Application', 'opened', 'Install', 'reset']")</f>
        <v>['Application', 'opened', 'Install', 'reset']</v>
      </c>
      <c r="D2192" s="3">
        <v>1.0</v>
      </c>
    </row>
    <row r="2193" ht="15.75" customHeight="1">
      <c r="A2193" s="1">
        <v>2343.0</v>
      </c>
      <c r="B2193" s="3" t="s">
        <v>2152</v>
      </c>
      <c r="C2193" s="3" t="str">
        <f>IFERROR(__xludf.DUMMYFUNCTION("GOOGLETRANSLATE(B2193,""id"",""en"")"),"['The network', 'paraeaah', 'bangeeeeeeet', 'lemooot', 'price', 'package', 'quota', 'stable', 'down', 'down', 'suggestion', 'fix', ' Quality ',' Consumer ',' Run ',' Provider ',' Lost ',' Competitory ',' Provider ',' Thank you ',' Completed ',' Easy ',' H"&amp;"opefully ',' Critic ',' Build ' ]")</f>
        <v>['The network', 'paraeaah', 'bangeeeeeeet', 'lemooot', 'price', 'package', 'quota', 'stable', 'down', 'down', 'suggestion', 'fix', ' Quality ',' Consumer ',' Run ',' Provider ',' Lost ',' Competitory ',' Provider ',' Thank you ',' Completed ',' Easy ',' Hopefully ',' Critic ',' Build ' ]</v>
      </c>
      <c r="D2193" s="3">
        <v>1.0</v>
      </c>
    </row>
    <row r="2194" ht="15.75" customHeight="1">
      <c r="A2194" s="1">
        <v>2344.0</v>
      </c>
      <c r="B2194" s="3" t="s">
        <v>2153</v>
      </c>
      <c r="C2194" s="3" t="str">
        <f>IFERROR(__xludf.DUMMYFUNCTION("GOOGLETRANSLATE(B2194,""id"",""en"")"),"['Good', 'Add', 'Package', 'Watch', 'HBO', 'LIKE', '']")</f>
        <v>['Good', 'Add', 'Package', 'Watch', 'HBO', 'LIKE', '']</v>
      </c>
      <c r="D2194" s="3">
        <v>5.0</v>
      </c>
    </row>
    <row r="2195" ht="15.75" customHeight="1">
      <c r="A2195" s="1">
        <v>2345.0</v>
      </c>
      <c r="B2195" s="3" t="s">
        <v>2154</v>
      </c>
      <c r="C2195" s="3" t="str">
        <f>IFERROR(__xludf.DUMMYFUNCTION("GOOGLETRANSLATE(B2195,""id"",""en"")"),"['expensive', 'skali', 'package', 'data', 'bro', 'kartuku', 'card', 'loss',' shopping ',' apk ',' telkomsel ',' hny ',' concerned ',' good ',' buy ',' card ',' data ',' counter ',' gb ',' just ',' apk ',' telkomsel ',' thousand ',' kasian ',' haji ' , 'Ri"&amp;"ch', 'Taiiiii', '']")</f>
        <v>['expensive', 'skali', 'package', 'data', 'bro', 'kartuku', 'card', 'loss',' shopping ',' apk ',' telkomsel ',' hny ',' concerned ',' good ',' buy ',' card ',' data ',' counter ',' gb ',' just ',' apk ',' telkomsel ',' thousand ',' kasian ',' haji ' , 'Rich', 'Taiiiii', '']</v>
      </c>
      <c r="D2195" s="3">
        <v>3.0</v>
      </c>
    </row>
    <row r="2196" ht="15.75" customHeight="1">
      <c r="A2196" s="1">
        <v>2346.0</v>
      </c>
      <c r="B2196" s="3" t="s">
        <v>2155</v>
      </c>
      <c r="C2196" s="3" t="str">
        <f>IFERROR(__xludf.DUMMYFUNCTION("GOOGLETRANSLATE(B2196,""id"",""en"")"),"['opened', 'screen', 'white', 'tok']")</f>
        <v>['opened', 'screen', 'white', 'tok']</v>
      </c>
      <c r="D2196" s="3">
        <v>2.0</v>
      </c>
    </row>
    <row r="2197" ht="15.75" customHeight="1">
      <c r="A2197" s="1">
        <v>2347.0</v>
      </c>
      <c r="B2197" s="3" t="s">
        <v>2156</v>
      </c>
      <c r="C2197" s="3" t="str">
        <f>IFERROR(__xludf.DUMMYFUNCTION("GOOGLETRANSLATE(B2197,""id"",""en"")"),"['expensive', 'ajaa', 'sympathy', 'jdi', 'males', 'make', 'nya']")</f>
        <v>['expensive', 'ajaa', 'sympathy', 'jdi', 'males', 'make', 'nya']</v>
      </c>
      <c r="D2197" s="3">
        <v>3.0</v>
      </c>
    </row>
    <row r="2198" ht="15.75" customHeight="1">
      <c r="A2198" s="1">
        <v>2348.0</v>
      </c>
      <c r="B2198" s="3" t="s">
        <v>2157</v>
      </c>
      <c r="C2198" s="3" t="str">
        <f>IFERROR(__xludf.DUMMYFUNCTION("GOOGLETRANSLATE(B2198,""id"",""en"")"),"['Dri', 'Changed', 'Like', 'Nyolong', 'Credit', 'Package', 'Data', 'SSAYA', 'HRI', 'SUPED', 'Credit', 'Thieves']")</f>
        <v>['Dri', 'Changed', 'Like', 'Nyolong', 'Credit', 'Package', 'Data', 'SSAYA', 'HRI', 'SUPED', 'Credit', 'Thieves']</v>
      </c>
      <c r="D2198" s="3">
        <v>1.0</v>
      </c>
    </row>
    <row r="2199" ht="15.75" customHeight="1">
      <c r="A2199" s="1">
        <v>2349.0</v>
      </c>
      <c r="B2199" s="3" t="s">
        <v>2158</v>
      </c>
      <c r="C2199" s="3" t="str">
        <f>IFERROR(__xludf.DUMMYFUNCTION("GOOGLETRANSLATE(B2199,""id"",""en"")"),"['Hopefully', 'can', 'gift', 'Telkomsel', 'pay', 'debt', 'person', 'old', 'bank', 'aamiin', 'robbal', 'alamin']")</f>
        <v>['Hopefully', 'can', 'gift', 'Telkomsel', 'pay', 'debt', 'person', 'old', 'bank', 'aamiin', 'robbal', 'alamin']</v>
      </c>
      <c r="D2199" s="3">
        <v>5.0</v>
      </c>
    </row>
    <row r="2200" ht="15.75" customHeight="1">
      <c r="A2200" s="1">
        <v>2350.0</v>
      </c>
      <c r="B2200" s="3" t="s">
        <v>2159</v>
      </c>
      <c r="C2200" s="3" t="str">
        <f>IFERROR(__xludf.DUMMYFUNCTION("GOOGLETRANSLATE(B2200,""id"",""en"")"),"['Opened', 'Realme', '']")</f>
        <v>['Opened', 'Realme', '']</v>
      </c>
      <c r="D2200" s="3">
        <v>1.0</v>
      </c>
    </row>
    <row r="2201" ht="15.75" customHeight="1">
      <c r="A2201" s="1">
        <v>2351.0</v>
      </c>
      <c r="B2201" s="3" t="s">
        <v>2160</v>
      </c>
      <c r="C2201" s="3" t="str">
        <f>IFERROR(__xludf.DUMMYFUNCTION("GOOGLETRANSLATE(B2201,""id"",""en"")"),"['Application', 'Telkomsel', 'Good']")</f>
        <v>['Application', 'Telkomsel', 'Good']</v>
      </c>
      <c r="D2201" s="3">
        <v>5.0</v>
      </c>
    </row>
    <row r="2202" ht="15.75" customHeight="1">
      <c r="A2202" s="1">
        <v>2352.0</v>
      </c>
      <c r="B2202" s="3" t="s">
        <v>2161</v>
      </c>
      <c r="C2202" s="3" t="str">
        <f>IFERROR(__xludf.DUMMYFUNCTION("GOOGLETRANSLATE(B2202,""id"",""en"")"),"['Update', 'open', 'Display', 'whitehhh', 'boro', 'see', 'promo', 'leftover', 'quota', 'leftover', 'pulse', 'nampil', ' please ',' fix ',' thx ']")</f>
        <v>['Update', 'open', 'Display', 'whitehhh', 'boro', 'see', 'promo', 'leftover', 'quota', 'leftover', 'pulse', 'nampil', ' please ',' fix ',' thx ']</v>
      </c>
      <c r="D2202" s="3">
        <v>1.0</v>
      </c>
    </row>
    <row r="2203" ht="15.75" customHeight="1">
      <c r="A2203" s="1">
        <v>2353.0</v>
      </c>
      <c r="B2203" s="3" t="s">
        <v>2162</v>
      </c>
      <c r="C2203" s="3" t="str">
        <f>IFERROR(__xludf.DUMMYFUNCTION("GOOGLETRANSLATE(B2203,""id"",""en"")"),"['Network', 'good', 'min', 'price', 'above', 'oprator', 'then', 'network', 'shy', ""]")</f>
        <v>['Network', 'good', 'min', 'price', 'above', 'oprator', 'then', 'network', 'shy', "]</v>
      </c>
      <c r="D2203" s="3">
        <v>1.0</v>
      </c>
    </row>
    <row r="2204" ht="15.75" customHeight="1">
      <c r="A2204" s="1">
        <v>2354.0</v>
      </c>
      <c r="B2204" s="3" t="s">
        <v>2163</v>
      </c>
      <c r="C2204" s="3" t="str">
        <f>IFERROR(__xludf.DUMMYFUNCTION("GOOGLETRANSLATE(B2204,""id"",""en"")"),"['Current', 'Sekqli']")</f>
        <v>['Current', 'Sekqli']</v>
      </c>
      <c r="D2204" s="3">
        <v>5.0</v>
      </c>
    </row>
    <row r="2205" ht="15.75" customHeight="1">
      <c r="A2205" s="1">
        <v>2355.0</v>
      </c>
      <c r="B2205" s="3" t="s">
        <v>2164</v>
      </c>
      <c r="C2205" s="3" t="str">
        <f>IFERROR(__xludf.DUMMYFUNCTION("GOOGLETRANSLATE(B2205,""id"",""en"")"),"['Application', 'satisfying', '']")</f>
        <v>['Application', 'satisfying', '']</v>
      </c>
      <c r="D2205" s="3">
        <v>5.0</v>
      </c>
    </row>
    <row r="2206" ht="15.75" customHeight="1">
      <c r="A2206" s="1">
        <v>2356.0</v>
      </c>
      <c r="B2206" s="3" t="s">
        <v>2165</v>
      </c>
      <c r="C2206" s="3" t="str">
        <f>IFERROR(__xludf.DUMMYFUNCTION("GOOGLETRANSLATE(B2206,""id"",""en"")"),"['Credit', 'Telkomsel', 'number', 'P.', 'wife', 'as',' user ',' loyal ',' Telkomsel ',' dummers', 'now', 'pulses',' Reduced ',' smpai ',' zero ',' redemption ',' point ',' exchange ',' point ',' number ',' tsb ',' apk ',' stlh ',' bbrp ',' times' , 'Try',"&amp;" 'sent', 'link', 'expiration', 'login', 'pdhl', 'naruk', 'point', 'lottery', 'reward', 'wkwkw', 'here' koq ',' feels', 'got', 'prank', 'exchange', 'point', 'Naturally', 'blm', 'tntu', 'win']")</f>
        <v>['Credit', 'Telkomsel', 'number', 'P.', 'wife', 'as',' user ',' loyal ',' Telkomsel ',' dummers', 'now', 'pulses',' Reduced ',' smpai ',' zero ',' redemption ',' point ',' exchange ',' point ',' number ',' tsb ',' apk ',' stlh ',' bbrp ',' times' , 'Try', 'sent', 'link', 'expiration', 'login', 'pdhl', 'naruk', 'point', 'lottery', 'reward', 'wkwkw', 'here' koq ',' feels', 'got', 'prank', 'exchange', 'point', 'Naturally', 'blm', 'tntu', 'win']</v>
      </c>
      <c r="D2206" s="3">
        <v>1.0</v>
      </c>
    </row>
    <row r="2207" ht="15.75" customHeight="1">
      <c r="A2207" s="1">
        <v>2357.0</v>
      </c>
      <c r="B2207" s="3" t="s">
        <v>2166</v>
      </c>
      <c r="C2207" s="3" t="str">
        <f>IFERROR(__xludf.DUMMYFUNCTION("GOOGLETRANSLATE(B2207,""id"",""en"")"),"['bad', 'bad', 'bad', 'actually', 'use', 'unlimited', 'description', 'product', 'right', 'kepakai', 'open', 'twitter' Spotify ',' slow ',' nauzubillah ',' Tiktok ',' kbps', 'emg', 'selemot', 'emg', 'ukel', 'unlimited', 'marketing', 'doang', 'times' , 'wkw"&amp;"kwkwkk', 'village', 'equitable', 'network', 'provider', 'bad', 'Ogah', 'tsel', 'my area', 'the network', 'like', 'ilang', ' No ',' Mending ']")</f>
        <v>['bad', 'bad', 'bad', 'actually', 'use', 'unlimited', 'description', 'product', 'right', 'kepakai', 'open', 'twitter' Spotify ',' slow ',' nauzubillah ',' Tiktok ',' kbps', 'emg', 'selemot', 'emg', 'ukel', 'unlimited', 'marketing', 'doang', 'times' , 'wkwkwkwkk', 'village', 'equitable', 'network', 'provider', 'bad', 'Ogah', 'tsel', 'my area', 'the network', 'like', 'ilang', ' No ',' Mending ']</v>
      </c>
      <c r="D2207" s="3">
        <v>1.0</v>
      </c>
    </row>
    <row r="2208" ht="15.75" customHeight="1">
      <c r="A2208" s="1">
        <v>2358.0</v>
      </c>
      <c r="B2208" s="3" t="s">
        <v>2167</v>
      </c>
      <c r="C2208" s="3" t="str">
        <f>IFERROR(__xludf.DUMMYFUNCTION("GOOGLETRANSLATE(B2208,""id"",""en"")"),"['hope', 'hope', 'price', 'kouta', 'cheap', '']")</f>
        <v>['hope', 'hope', 'price', 'kouta', 'cheap', '']</v>
      </c>
      <c r="D2208" s="3">
        <v>1.0</v>
      </c>
    </row>
    <row r="2209" ht="15.75" customHeight="1">
      <c r="A2209" s="1">
        <v>2359.0</v>
      </c>
      <c r="B2209" s="3" t="s">
        <v>2168</v>
      </c>
      <c r="C2209" s="3" t="str">
        <f>IFERROR(__xludf.DUMMYFUNCTION("GOOGLETRANSLATE(B2209,""id"",""en"")"),"['network', 'internet', 'down', 'sometimes', 'already', 'improved', 'means', 'telecommunications', '']")</f>
        <v>['network', 'internet', 'down', 'sometimes', 'already', 'improved', 'means', 'telecommunications', '']</v>
      </c>
      <c r="D2209" s="3">
        <v>4.0</v>
      </c>
    </row>
    <row r="2210" ht="15.75" customHeight="1">
      <c r="A2210" s="1">
        <v>2360.0</v>
      </c>
      <c r="B2210" s="3" t="s">
        <v>2169</v>
      </c>
      <c r="C2210" s="3" t="str">
        <f>IFERROR(__xludf.DUMMYFUNCTION("GOOGLETRANSLATE(B2210,""id"",""en"")"),"['difficult', 'complaints', 'response', 'solutif']")</f>
        <v>['difficult', 'complaints', 'response', 'solutif']</v>
      </c>
      <c r="D2210" s="3">
        <v>1.0</v>
      </c>
    </row>
    <row r="2211" ht="15.75" customHeight="1">
      <c r="A2211" s="1">
        <v>2361.0</v>
      </c>
      <c r="B2211" s="3" t="s">
        <v>2170</v>
      </c>
      <c r="C2211" s="3" t="str">
        <f>IFERROR(__xludf.DUMMYFUNCTION("GOOGLETRANSLATE(B2211,""id"",""en"")"),"['signal', 'slow']")</f>
        <v>['signal', 'slow']</v>
      </c>
      <c r="D2211" s="3">
        <v>1.0</v>
      </c>
    </row>
    <row r="2212" ht="15.75" customHeight="1">
      <c r="A2212" s="1">
        <v>2362.0</v>
      </c>
      <c r="B2212" s="3" t="s">
        <v>2171</v>
      </c>
      <c r="C2212" s="3" t="str">
        <f>IFERROR(__xludf.DUMMYFUNCTION("GOOGLETRANSLATE(B2212,""id"",""en"")"),"['Prizes']")</f>
        <v>['Prizes']</v>
      </c>
      <c r="D2212" s="3">
        <v>5.0</v>
      </c>
    </row>
    <row r="2213" ht="15.75" customHeight="1">
      <c r="A2213" s="1">
        <v>2363.0</v>
      </c>
      <c r="B2213" s="3" t="s">
        <v>2172</v>
      </c>
      <c r="C2213" s="3" t="str">
        <f>IFERROR(__xludf.DUMMYFUNCTION("GOOGLETRANSLATE(B2213,""id"",""en"")"),"['Package', 'Event', 'Help', 'Needs', 'Communication']")</f>
        <v>['Package', 'Event', 'Help', 'Needs', 'Communication']</v>
      </c>
      <c r="D2213" s="3">
        <v>4.0</v>
      </c>
    </row>
    <row r="2214" ht="15.75" customHeight="1">
      <c r="A2214" s="1">
        <v>2365.0</v>
      </c>
      <c r="B2214" s="3" t="s">
        <v>2173</v>
      </c>
      <c r="C2214" s="3" t="str">
        <f>IFERROR(__xludf.DUMMYFUNCTION("GOOGLETRANSLATE(B2214,""id"",""en"")"),"['Sorry', 'Sis',' Buy ',' Package ',' Unlimited ',' Max ',' GB ',' Cuman ',' Play ',' Game ',' Watch ',' Tik ',' tok ',' please ',' love ',' explanation ']")</f>
        <v>['Sorry', 'Sis',' Buy ',' Package ',' Unlimited ',' Max ',' GB ',' Cuman ',' Play ',' Game ',' Watch ',' Tik ',' tok ',' please ',' love ',' explanation ']</v>
      </c>
      <c r="D2214" s="3">
        <v>1.0</v>
      </c>
    </row>
    <row r="2215" ht="15.75" customHeight="1">
      <c r="A2215" s="1">
        <v>2366.0</v>
      </c>
      <c r="B2215" s="3" t="s">
        <v>2174</v>
      </c>
      <c r="C2215" s="3" t="str">
        <f>IFERROR(__xludf.DUMMYFUNCTION("GOOGLETRANSLATE(B2215,""id"",""en"")"),"['Help', 'Thank you', 'Telkomsel']")</f>
        <v>['Help', 'Thank you', 'Telkomsel']</v>
      </c>
      <c r="D2215" s="3">
        <v>4.0</v>
      </c>
    </row>
    <row r="2216" ht="15.75" customHeight="1">
      <c r="A2216" s="1">
        <v>2367.0</v>
      </c>
      <c r="B2216" s="3" t="s">
        <v>2175</v>
      </c>
      <c r="C2216" s="3" t="str">
        <f>IFERROR(__xludf.DUMMYFUNCTION("GOOGLETRANSLATE(B2216,""id"",""en"")"),"['Internet', 'Telkomsel', 'ugly']")</f>
        <v>['Internet', 'Telkomsel', 'ugly']</v>
      </c>
      <c r="D2216" s="3">
        <v>1.0</v>
      </c>
    </row>
    <row r="2217" ht="15.75" customHeight="1">
      <c r="A2217" s="1">
        <v>2368.0</v>
      </c>
      <c r="B2217" s="3" t="s">
        <v>2176</v>
      </c>
      <c r="C2217" s="3" t="str">
        <f>IFERROR(__xludf.DUMMYFUNCTION("GOOGLETRANSLATE(B2217,""id"",""en"")"),"['Telkomsel', 'reach', 'network', 'Indonesia', 'village', 'remote']")</f>
        <v>['Telkomsel', 'reach', 'network', 'Indonesia', 'village', 'remote']</v>
      </c>
      <c r="D2217" s="3">
        <v>5.0</v>
      </c>
    </row>
    <row r="2218" ht="15.75" customHeight="1">
      <c r="A2218" s="1">
        <v>2369.0</v>
      </c>
      <c r="B2218" s="3" t="s">
        <v>2177</v>
      </c>
      <c r="C2218" s="3" t="str">
        <f>IFERROR(__xludf.DUMMYFUNCTION("GOOGLETRANSLATE(B2218,""id"",""en"")"),"['user', 'application', 'good', 'fast']")</f>
        <v>['user', 'application', 'good', 'fast']</v>
      </c>
      <c r="D2218" s="3">
        <v>3.0</v>
      </c>
    </row>
    <row r="2219" ht="15.75" customHeight="1">
      <c r="A2219" s="1">
        <v>2370.0</v>
      </c>
      <c r="B2219" s="3" t="s">
        <v>2178</v>
      </c>
      <c r="C2219" s="3" t="str">
        <f>IFERROR(__xludf.DUMMYFUNCTION("GOOGLETRANSLATE(B2219,""id"",""en"")"),"['opened', 'gas', 'use', 'Telkomsel']")</f>
        <v>['opened', 'gas', 'use', 'Telkomsel']</v>
      </c>
      <c r="D2219" s="3">
        <v>1.0</v>
      </c>
    </row>
    <row r="2220" ht="15.75" customHeight="1">
      <c r="A2220" s="1">
        <v>2371.0</v>
      </c>
      <c r="B2220" s="3" t="s">
        <v>2179</v>
      </c>
      <c r="C2220" s="3" t="str">
        <f>IFERROR(__xludf.DUMMYFUNCTION("GOOGLETRANSLATE(B2220,""id"",""en"")"),"['customers',' Telkomsel ',' SIM ',' Card ',' operator ',' defend ',' sympathy ',' anywhere ',' signal ',' sometimes', 'as smooth', 'road', ' Toll ',' loyal ',' sympathy ', ""]")</f>
        <v>['customers',' Telkomsel ',' SIM ',' Card ',' operator ',' defend ',' sympathy ',' anywhere ',' signal ',' sometimes', 'as smooth', 'road', ' Toll ',' loyal ',' sympathy ', "]</v>
      </c>
      <c r="D2220" s="3">
        <v>5.0</v>
      </c>
    </row>
    <row r="2221" ht="15.75" customHeight="1">
      <c r="A2221" s="1">
        <v>2372.0</v>
      </c>
      <c r="B2221" s="3" t="s">
        <v>2180</v>
      </c>
      <c r="C2221" s="3" t="str">
        <f>IFERROR(__xludf.DUMMYFUNCTION("GOOGLETRANSLATE(B2221,""id"",""en"")"),"['buy', 'package', 'price', 'price', 'mahaaall', 'paketan', 'unlimited', 'lake', 'signal', 'appears',' ilang ',' that's', ' Buy ',' Package ',' keuang ',' Sia ',' Sia ',' Lossiiii ',' ']")</f>
        <v>['buy', 'package', 'price', 'price', 'mahaaall', 'paketan', 'unlimited', 'lake', 'signal', 'appears',' ilang ',' that's', ' Buy ',' Package ',' keuang ',' Sia ',' Sia ',' Lossiiii ',' ']</v>
      </c>
      <c r="D2221" s="3">
        <v>1.0</v>
      </c>
    </row>
    <row r="2222" ht="15.75" customHeight="1">
      <c r="A2222" s="1">
        <v>2373.0</v>
      </c>
      <c r="B2222" s="3" t="s">
        <v>2181</v>
      </c>
      <c r="C2222" s="3" t="str">
        <f>IFERROR(__xludf.DUMMYFUNCTION("GOOGLETRANSLATE(B2222,""id"",""en"")"),"['application', 'blank', 'rerror', 'unistal', 'menuh', 'memory', 'Telkomsel']")</f>
        <v>['application', 'blank', 'rerror', 'unistal', 'menuh', 'memory', 'Telkomsel']</v>
      </c>
      <c r="D2222" s="3">
        <v>1.0</v>
      </c>
    </row>
    <row r="2223" ht="15.75" customHeight="1">
      <c r="A2223" s="1">
        <v>2374.0</v>
      </c>
      <c r="B2223" s="3" t="s">
        <v>2182</v>
      </c>
      <c r="C2223" s="3" t="str">
        <f>IFERROR(__xludf.DUMMYFUNCTION("GOOGLETRANSLATE(B2223,""id"",""en"")"),"['application', 'mbantu']")</f>
        <v>['application', 'mbantu']</v>
      </c>
      <c r="D2223" s="3">
        <v>5.0</v>
      </c>
    </row>
    <row r="2224" ht="15.75" customHeight="1">
      <c r="A2224" s="1">
        <v>2375.0</v>
      </c>
      <c r="B2224" s="3" t="s">
        <v>2183</v>
      </c>
      <c r="C2224" s="3" t="str">
        <f>IFERROR(__xludf.DUMMYFUNCTION("GOOGLETRANSLATE(B2224,""id"",""en"")"),"['', 'Telkomsel', 'price', 'package', 'quota', 'internet', 'expensive', 'collapsed', 'price', 'populat', 'network', 'tetep', 'thanks ']")</f>
        <v>['', 'Telkomsel', 'price', 'package', 'quota', 'internet', 'expensive', 'collapsed', 'price', 'populat', 'network', 'tetep', 'thanks ']</v>
      </c>
      <c r="D2224" s="3">
        <v>5.0</v>
      </c>
    </row>
    <row r="2225" ht="15.75" customHeight="1">
      <c r="A2225" s="1">
        <v>2376.0</v>
      </c>
      <c r="B2225" s="3" t="s">
        <v>2184</v>
      </c>
      <c r="C2225" s="3" t="str">
        <f>IFERROR(__xludf.DUMMYFUNCTION("GOOGLETRANSLATE(B2225,""id"",""en"")"),"['Bigss', 'really', 'just']")</f>
        <v>['Bigss', 'really', 'just']</v>
      </c>
      <c r="D2225" s="3">
        <v>5.0</v>
      </c>
    </row>
    <row r="2226" ht="15.75" customHeight="1">
      <c r="A2226" s="1">
        <v>2378.0</v>
      </c>
      <c r="B2226" s="3" t="s">
        <v>2185</v>
      </c>
      <c r="C2226" s="3" t="str">
        <f>IFERROR(__xludf.DUMMYFUNCTION("GOOGLETRANSLATE(B2226,""id"",""en"")"),"['Gabisa', 'ADD', 'SIM', 'Card', 'Defeats', 'Bat', 'already', 'expensive', 'service', 'ugly', 'EWH']")</f>
        <v>['Gabisa', 'ADD', 'SIM', 'Card', 'Defeats', 'Bat', 'already', 'expensive', 'service', 'ugly', 'EWH']</v>
      </c>
      <c r="D2226" s="3">
        <v>1.0</v>
      </c>
    </row>
    <row r="2227" ht="15.75" customHeight="1">
      <c r="A2227" s="1">
        <v>2379.0</v>
      </c>
      <c r="B2227" s="3" t="s">
        <v>2186</v>
      </c>
      <c r="C2227" s="3" t="str">
        <f>IFERROR(__xludf.DUMMYFUNCTION("GOOGLETRANSLATE(B2227,""id"",""en"")"),"['expensive', 'package']")</f>
        <v>['expensive', 'package']</v>
      </c>
      <c r="D2227" s="3">
        <v>1.0</v>
      </c>
    </row>
    <row r="2228" ht="15.75" customHeight="1">
      <c r="A2228" s="1">
        <v>2380.0</v>
      </c>
      <c r="B2228" s="3" t="s">
        <v>2187</v>
      </c>
      <c r="C2228" s="3" t="str">
        <f>IFERROR(__xludf.DUMMYFUNCTION("GOOGLETRANSLATE(B2228,""id"",""en"")"),"['Tekomsel', 'Best']")</f>
        <v>['Tekomsel', 'Best']</v>
      </c>
      <c r="D2228" s="3">
        <v>5.0</v>
      </c>
    </row>
    <row r="2229" ht="15.75" customHeight="1">
      <c r="A2229" s="1">
        <v>2381.0</v>
      </c>
      <c r="B2229" s="3" t="s">
        <v>2188</v>
      </c>
      <c r="C2229" s="3" t="str">
        <f>IFERROR(__xludf.DUMMYFUNCTION("GOOGLETRANSLATE(B2229,""id"",""en"")"),"['Price', 'quota', 'down']")</f>
        <v>['Price', 'quota', 'down']</v>
      </c>
      <c r="D2229" s="3">
        <v>4.0</v>
      </c>
    </row>
    <row r="2230" ht="15.75" customHeight="1">
      <c r="A2230" s="1">
        <v>2382.0</v>
      </c>
      <c r="B2230" s="3" t="s">
        <v>2189</v>
      </c>
      <c r="C2230" s="3" t="str">
        <f>IFERROR(__xludf.DUMMYFUNCTION("GOOGLETRANSLATE(B2230,""id"",""en"")"),"['Bitang', 'Easy', 'Good', '']")</f>
        <v>['Bitang', 'Easy', 'Good', '']</v>
      </c>
      <c r="D2230" s="3">
        <v>5.0</v>
      </c>
    </row>
    <row r="2231" ht="15.75" customHeight="1">
      <c r="A2231" s="1">
        <v>2383.0</v>
      </c>
      <c r="B2231" s="3" t="s">
        <v>2190</v>
      </c>
      <c r="C2231" s="3" t="str">
        <f>IFERROR(__xludf.DUMMYFUNCTION("GOOGLETRANSLATE(B2231,""id"",""en"")"),"['Satisfied', 'Service', 'MyTelkomsel']")</f>
        <v>['Satisfied', 'Service', 'MyTelkomsel']</v>
      </c>
      <c r="D2231" s="3">
        <v>4.0</v>
      </c>
    </row>
    <row r="2232" ht="15.75" customHeight="1">
      <c r="A2232" s="1">
        <v>2384.0</v>
      </c>
      <c r="B2232" s="3" t="s">
        <v>859</v>
      </c>
      <c r="C2232" s="3" t="str">
        <f>IFERROR(__xludf.DUMMYFUNCTION("GOOGLETRANSLATE(B2232,""id"",""en"")"),"['help', '']")</f>
        <v>['help', '']</v>
      </c>
      <c r="D2232" s="3">
        <v>5.0</v>
      </c>
    </row>
    <row r="2233" ht="15.75" customHeight="1">
      <c r="A2233" s="1">
        <v>2385.0</v>
      </c>
      <c r="B2233" s="3" t="s">
        <v>2191</v>
      </c>
      <c r="C2233" s="3" t="str">
        <f>IFERROR(__xludf.DUMMYFUNCTION("GOOGLETRANSLATE(B2233,""id"",""en"")"),"['', 'use', 'number', 'card', 'replace', 'Telkomsel', 'expensive', 'quality', 'network', 'good', 'fast', 'download', 'minutes ',' finished ',' sometimes', 'fast', 'ngalain', 'wifi', 'commitment', 'number', 'bonus',' buy ',' package ',' just ',' thousand '"&amp;", 'as cheap as', 'forward', 'Telkomsel']")</f>
        <v>['', 'use', 'number', 'card', 'replace', 'Telkomsel', 'expensive', 'quality', 'network', 'good', 'fast', 'download', 'minutes ',' finished ',' sometimes', 'fast', 'ngalain', 'wifi', 'commitment', 'number', 'bonus',' buy ',' package ',' just ',' thousand ', 'as cheap as', 'forward', 'Telkomsel']</v>
      </c>
      <c r="D2233" s="3">
        <v>5.0</v>
      </c>
    </row>
    <row r="2234" ht="15.75" customHeight="1">
      <c r="A2234" s="1">
        <v>2388.0</v>
      </c>
      <c r="B2234" s="3" t="s">
        <v>2192</v>
      </c>
      <c r="C2234" s="3" t="str">
        <f>IFERROR(__xludf.DUMMYFUNCTION("GOOGLETRANSLATE(B2234,""id"",""en"")"),"['Good', 'The network', 'ugly', 'Kab', 'Tanggamus', 'Lampung', ""]")</f>
        <v>['Good', 'The network', 'ugly', 'Kab', 'Tanggamus', 'Lampung', "]</v>
      </c>
      <c r="D2234" s="3">
        <v>5.0</v>
      </c>
    </row>
    <row r="2235" ht="15.75" customHeight="1">
      <c r="A2235" s="1">
        <v>2389.0</v>
      </c>
      <c r="B2235" s="3" t="s">
        <v>2193</v>
      </c>
      <c r="C2235" s="3" t="str">
        <f>IFERROR(__xludf.DUMMYFUNCTION("GOOGLETRANSLATE(B2235,""id"",""en"")"),"['people', 'kamil', 'worship', 'person', 'parents', '']")</f>
        <v>['people', 'kamil', 'worship', 'person', 'parents', '']</v>
      </c>
      <c r="D2235" s="3">
        <v>3.0</v>
      </c>
    </row>
    <row r="2236" ht="15.75" customHeight="1">
      <c r="A2236" s="1">
        <v>2390.0</v>
      </c>
      <c r="B2236" s="3" t="s">
        <v>2194</v>
      </c>
      <c r="C2236" s="3" t="str">
        <f>IFERROR(__xludf.DUMMYFUNCTION("GOOGLETRANSLATE(B2236,""id"",""en"")"),"['Doi', 'open', 'sekaleee', 'weeeee', 'gyma', 'ituuu', 'already', 'repeated', 'download', 'delete', 'Gituuu', 'Kesell', ' Dahh ']")</f>
        <v>['Doi', 'open', 'sekaleee', 'weeeee', 'gyma', 'ituuu', 'already', 'repeated', 'download', 'delete', 'Gituuu', 'Kesell', ' Dahh ']</v>
      </c>
      <c r="D2236" s="3">
        <v>1.0</v>
      </c>
    </row>
    <row r="2237" ht="15.75" customHeight="1">
      <c r="A2237" s="1">
        <v>2391.0</v>
      </c>
      <c r="B2237" s="3" t="s">
        <v>2195</v>
      </c>
      <c r="C2237" s="3" t="str">
        <f>IFERROR(__xludf.DUMMYFUNCTION("GOOGLETRANSLATE(B2237,""id"",""en"")"),"['apk', 'sangaat', 'help']")</f>
        <v>['apk', 'sangaat', 'help']</v>
      </c>
      <c r="D2237" s="3">
        <v>2.0</v>
      </c>
    </row>
    <row r="2238" ht="15.75" customHeight="1">
      <c r="A2238" s="1">
        <v>2392.0</v>
      </c>
      <c r="B2238" s="3" t="s">
        <v>2196</v>
      </c>
      <c r="C2238" s="3" t="str">
        <f>IFERROR(__xludf.DUMMYFUNCTION("GOOGLETRANSLATE(B2238,""id"",""en"")"),"['Useful', 'help']")</f>
        <v>['Useful', 'help']</v>
      </c>
      <c r="D2238" s="3">
        <v>5.0</v>
      </c>
    </row>
    <row r="2239" ht="15.75" customHeight="1">
      <c r="A2239" s="1">
        <v>2393.0</v>
      </c>
      <c r="B2239" s="3" t="s">
        <v>2197</v>
      </c>
      <c r="C2239" s="3" t="str">
        <f>IFERROR(__xludf.DUMMYFUNCTION("GOOGLETRANSLATE(B2239,""id"",""en"")"),"['Application', 'NGK', 'LUBO', 'BORO', 'LIAT', 'LIST', 'PACKAGE', 'Screen', 'White', 'Doang', ""]")</f>
        <v>['Application', 'NGK', 'LUBO', 'BORO', 'LIAT', 'LIST', 'PACKAGE', 'Screen', 'White', 'Doang', "]</v>
      </c>
      <c r="D2239" s="3">
        <v>1.0</v>
      </c>
    </row>
    <row r="2240" ht="15.75" customHeight="1">
      <c r="A2240" s="1">
        <v>2394.0</v>
      </c>
      <c r="B2240" s="3" t="s">
        <v>478</v>
      </c>
      <c r="C2240" s="3" t="str">
        <f>IFERROR(__xludf.DUMMYFUNCTION("GOOGLETRANSLATE(B2240,""id"",""en"")"),"Of course")</f>
        <v>Of course</v>
      </c>
      <c r="D2240" s="3">
        <v>5.0</v>
      </c>
    </row>
    <row r="2241" ht="15.75" customHeight="1">
      <c r="A2241" s="1">
        <v>2395.0</v>
      </c>
      <c r="B2241" s="3" t="s">
        <v>2198</v>
      </c>
      <c r="C2241" s="3" t="str">
        <f>IFERROR(__xludf.DUMMYFUNCTION("GOOGLETRANSLATE(B2241,""id"",""en"")"),"['easy', 'use']")</f>
        <v>['easy', 'use']</v>
      </c>
      <c r="D2241" s="3">
        <v>4.0</v>
      </c>
    </row>
    <row r="2242" ht="15.75" customHeight="1">
      <c r="A2242" s="1">
        <v>2396.0</v>
      </c>
      <c r="B2242" s="3" t="s">
        <v>2199</v>
      </c>
      <c r="C2242" s="3" t="str">
        <f>IFERROR(__xludf.DUMMYFUNCTION("GOOGLETRANSLATE(B2242,""id"",""en"")"),"['Disappointed', 'Telkomsel', 'Network', 'Delicious',' Bad ',' then ',' Game ',' Leg ',' Severe ',' Sudh ',' Improved ',' Bad ',' Please ',' Sis', 'Benerin', 'Location', 'Gubeng', 'Bangkalan', 'Madura']")</f>
        <v>['Disappointed', 'Telkomsel', 'Network', 'Delicious',' Bad ',' then ',' Game ',' Leg ',' Severe ',' Sudh ',' Improved ',' Bad ',' Please ',' Sis', 'Benerin', 'Location', 'Gubeng', 'Bangkalan', 'Madura']</v>
      </c>
      <c r="D2242" s="3">
        <v>2.0</v>
      </c>
    </row>
    <row r="2243" ht="15.75" customHeight="1">
      <c r="A2243" s="1">
        <v>2397.0</v>
      </c>
      <c r="B2243" s="3" t="s">
        <v>2200</v>
      </c>
      <c r="C2243" s="3" t="str">
        <f>IFERROR(__xludf.DUMMYFUNCTION("GOOGLETRANSLATE(B2243,""id"",""en"")"),"['Telkomsel', 'quota', 'cheap', 'can', 'buy', 'package', 'internet', 'Telkomsel', 'because', 'expensive']")</f>
        <v>['Telkomsel', 'quota', 'cheap', 'can', 'buy', 'package', 'internet', 'Telkomsel', 'because', 'expensive']</v>
      </c>
      <c r="D2243" s="3">
        <v>1.0</v>
      </c>
    </row>
    <row r="2244" ht="15.75" customHeight="1">
      <c r="A2244" s="1">
        <v>2398.0</v>
      </c>
      <c r="B2244" s="3" t="s">
        <v>2201</v>
      </c>
      <c r="C2244" s="3" t="str">
        <f>IFERROR(__xludf.DUMMYFUNCTION("GOOGLETRANSLATE(B2244,""id"",""en"")"),"['Application', 'opened', 'cellphone', 'Samsung', '']")</f>
        <v>['Application', 'opened', 'cellphone', 'Samsung', '']</v>
      </c>
      <c r="D2244" s="3">
        <v>1.0</v>
      </c>
    </row>
    <row r="2245" ht="15.75" customHeight="1">
      <c r="A2245" s="1">
        <v>2399.0</v>
      </c>
      <c r="B2245" s="3" t="s">
        <v>2202</v>
      </c>
      <c r="C2245" s="3" t="str">
        <f>IFERROR(__xludf.DUMMYFUNCTION("GOOGLETRANSLATE(B2245,""id"",""en"")"),"['', 'Open', 'APK', 'Uninstall', 'Install', 'ULG', 'DSR', 'PEAH', 'Network', 'rotten', ""]")</f>
        <v>['', 'Open', 'APK', 'Uninstall', 'Install', 'ULG', 'DSR', 'PEAH', 'Network', 'rotten', "]</v>
      </c>
      <c r="D2245" s="3">
        <v>1.0</v>
      </c>
    </row>
    <row r="2246" ht="15.75" customHeight="1">
      <c r="A2246" s="1">
        <v>2400.0</v>
      </c>
      <c r="B2246" s="3" t="s">
        <v>2203</v>
      </c>
      <c r="C2246" s="3" t="str">
        <f>IFERROR(__xludf.DUMMYFUNCTION("GOOGLETRANSLATE(B2246,""id"",""en"")"),"['update', 'blank', 'white', 'APK', 'please', 'repaired', ""]")</f>
        <v>['update', 'blank', 'white', 'APK', 'please', 'repaired', "]</v>
      </c>
      <c r="D2246" s="3">
        <v>1.0</v>
      </c>
    </row>
    <row r="2247" ht="15.75" customHeight="1">
      <c r="A2247" s="1">
        <v>2401.0</v>
      </c>
      <c r="B2247" s="3" t="s">
        <v>2204</v>
      </c>
      <c r="C2247" s="3" t="str">
        <f>IFERROR(__xludf.DUMMYFUNCTION("GOOGLETRANSLATE(B2247,""id"",""en"")"),"['Dihp', 'application', 'opened', 'display', 'white', 'screen', 'already', 'contact', 'cs',' response ',' edit ',' assisted ',' His advice is', 'Wear', 'Version', 'Update', 'Gaes',' Thank you ',' Sis', 'Micha', ""]")</f>
        <v>['Dihp', 'application', 'opened', 'display', 'white', 'screen', 'already', 'contact', 'cs',' response ',' edit ',' assisted ',' His advice is', 'Wear', 'Version', 'Update', 'Gaes',' Thank you ',' Sis', 'Micha', "]</v>
      </c>
      <c r="D2247" s="3">
        <v>5.0</v>
      </c>
    </row>
    <row r="2248" ht="15.75" customHeight="1">
      <c r="A2248" s="1">
        <v>2402.0</v>
      </c>
      <c r="B2248" s="3" t="s">
        <v>2205</v>
      </c>
      <c r="C2248" s="3" t="str">
        <f>IFERROR(__xludf.DUMMYFUNCTION("GOOGLETRANSLATE(B2248,""id"",""en"")"),"['Increase', 'Network', 'Papua', 'Security']")</f>
        <v>['Increase', 'Network', 'Papua', 'Security']</v>
      </c>
      <c r="D2248" s="3">
        <v>5.0</v>
      </c>
    </row>
    <row r="2249" ht="15.75" customHeight="1">
      <c r="A2249" s="1">
        <v>2403.0</v>
      </c>
      <c r="B2249" s="3" t="s">
        <v>2206</v>
      </c>
      <c r="C2249" s="3" t="str">
        <f>IFERROR(__xludf.DUMMYFUNCTION("GOOGLETRANSLATE(B2249,""id"",""en"")"),"['Koq', 'Open', 'Tlong', 'Fix', 'System']")</f>
        <v>['Koq', 'Open', 'Tlong', 'Fix', 'System']</v>
      </c>
      <c r="D2249" s="3">
        <v>4.0</v>
      </c>
    </row>
    <row r="2250" ht="15.75" customHeight="1">
      <c r="A2250" s="1">
        <v>2404.0</v>
      </c>
      <c r="B2250" s="3" t="s">
        <v>2207</v>
      </c>
      <c r="C2250" s="3" t="str">
        <f>IFERROR(__xludf.DUMMYFUNCTION("GOOGLETRANSLATE(B2250,""id"",""en"")"),"['', 'choice', 'package', 'good', 'already', 'expensive', 'divided']")</f>
        <v>['', 'choice', 'package', 'good', 'already', 'expensive', 'divided']</v>
      </c>
      <c r="D2250" s="3">
        <v>1.0</v>
      </c>
    </row>
    <row r="2251" ht="15.75" customHeight="1">
      <c r="A2251" s="1">
        <v>2405.0</v>
      </c>
      <c r="B2251" s="3" t="s">
        <v>2208</v>
      </c>
      <c r="C2251" s="3" t="str">
        <f>IFERROR(__xludf.DUMMYFUNCTION("GOOGLETRANSLATE(B2251,""id"",""en"")"),"['open', 'app', 'ngeblang', 'white', 'doang', 'fix', 'jngan', 'bother', 'customer', '']")</f>
        <v>['open', 'app', 'ngeblang', 'white', 'doang', 'fix', 'jngan', 'bother', 'customer', '']</v>
      </c>
      <c r="D2251" s="3">
        <v>1.0</v>
      </c>
    </row>
    <row r="2252" ht="15.75" customHeight="1">
      <c r="A2252" s="1">
        <v>2406.0</v>
      </c>
      <c r="B2252" s="3" t="s">
        <v>2209</v>
      </c>
      <c r="C2252" s="3" t="str">
        <f>IFERROR(__xludf.DUMMYFUNCTION("GOOGLETRANSLATE(B2252,""id"",""en"")"),"['Mantul', 'steady']")</f>
        <v>['Mantul', 'steady']</v>
      </c>
      <c r="D2252" s="3">
        <v>5.0</v>
      </c>
    </row>
    <row r="2253" ht="15.75" customHeight="1">
      <c r="A2253" s="1">
        <v>2407.0</v>
      </c>
      <c r="B2253" s="3" t="s">
        <v>2210</v>
      </c>
      <c r="C2253" s="3" t="str">
        <f>IFERROR(__xludf.DUMMYFUNCTION("GOOGLETRANSLATE(B2253,""id"",""en"")"),"['Telkomse', 'work', 'easy']")</f>
        <v>['Telkomse', 'work', 'easy']</v>
      </c>
      <c r="D2253" s="3">
        <v>5.0</v>
      </c>
    </row>
    <row r="2254" ht="15.75" customHeight="1">
      <c r="A2254" s="1">
        <v>2408.0</v>
      </c>
      <c r="B2254" s="3" t="s">
        <v>2211</v>
      </c>
      <c r="C2254" s="3" t="str">
        <f>IFERROR(__xludf.DUMMYFUNCTION("GOOGLETRANSLATE(B2254,""id"",""en"")"),"['Steady', 'Putie']")</f>
        <v>['Steady', 'Putie']</v>
      </c>
      <c r="D2254" s="3">
        <v>5.0</v>
      </c>
    </row>
    <row r="2255" ht="15.75" customHeight="1">
      <c r="A2255" s="1">
        <v>2409.0</v>
      </c>
      <c r="B2255" s="3" t="s">
        <v>1601</v>
      </c>
      <c r="C2255" s="3" t="str">
        <f>IFERROR(__xludf.DUMMYFUNCTION("GOOGLETRANSLATE(B2255,""id"",""en"")"),"['open']")</f>
        <v>['open']</v>
      </c>
      <c r="D2255" s="3">
        <v>1.0</v>
      </c>
    </row>
    <row r="2256" ht="15.75" customHeight="1">
      <c r="A2256" s="1">
        <v>2410.0</v>
      </c>
      <c r="B2256" s="3" t="s">
        <v>2212</v>
      </c>
      <c r="C2256" s="3" t="str">
        <f>IFERROR(__xludf.DUMMYFUNCTION("GOOGLETRANSLATE(B2256,""id"",""en"")"),"['easy', 'save']")</f>
        <v>['easy', 'save']</v>
      </c>
      <c r="D2256" s="3">
        <v>5.0</v>
      </c>
    </row>
    <row r="2257" ht="15.75" customHeight="1">
      <c r="A2257" s="1">
        <v>2411.0</v>
      </c>
      <c r="B2257" s="3" t="s">
        <v>2213</v>
      </c>
      <c r="C2257" s="3" t="str">
        <f>IFERROR(__xludf.DUMMYFUNCTION("GOOGLETRANSLATE(B2257,""id"",""en"")"),"['Okay', 'package', 'level', 'promo', 'bossque']")</f>
        <v>['Okay', 'package', 'level', 'promo', 'bossque']</v>
      </c>
      <c r="D2257" s="3">
        <v>4.0</v>
      </c>
    </row>
    <row r="2258" ht="15.75" customHeight="1">
      <c r="A2258" s="1">
        <v>2412.0</v>
      </c>
      <c r="B2258" s="3" t="s">
        <v>478</v>
      </c>
      <c r="C2258" s="3" t="str">
        <f>IFERROR(__xludf.DUMMYFUNCTION("GOOGLETRANSLATE(B2258,""id"",""en"")"),"Of course")</f>
        <v>Of course</v>
      </c>
      <c r="D2258" s="3">
        <v>5.0</v>
      </c>
    </row>
    <row r="2259" ht="15.75" customHeight="1">
      <c r="A2259" s="1">
        <v>2413.0</v>
      </c>
      <c r="B2259" s="3" t="s">
        <v>2214</v>
      </c>
      <c r="C2259" s="3" t="str">
        <f>IFERROR(__xludf.DUMMYFUNCTION("GOOGLETRANSLATE(B2259,""id"",""en"")"),"['name', 'sympathy', 'buried', 'lose', 'compete', 'dngn', 'especially', 'internet', '']")</f>
        <v>['name', 'sympathy', 'buried', 'lose', 'compete', 'dngn', 'especially', 'internet', '']</v>
      </c>
      <c r="D2259" s="3">
        <v>1.0</v>
      </c>
    </row>
    <row r="2260" ht="15.75" customHeight="1">
      <c r="A2260" s="1">
        <v>2414.0</v>
      </c>
      <c r="B2260" s="3" t="s">
        <v>2215</v>
      </c>
      <c r="C2260" s="3" t="str">
        <f>IFERROR(__xludf.DUMMYFUNCTION("GOOGLETRANSLATE(B2260,""id"",""en"")"),"['recommend', 'application', 'Telkomsel', 'has', 'feature', 'Display', 'Dark', 'mode', 'comfortable', 'night']")</f>
        <v>['recommend', 'application', 'Telkomsel', 'has', 'feature', 'Display', 'Dark', 'mode', 'comfortable', 'night']</v>
      </c>
      <c r="D2260" s="3">
        <v>4.0</v>
      </c>
    </row>
    <row r="2261" ht="15.75" customHeight="1">
      <c r="A2261" s="1">
        <v>2415.0</v>
      </c>
      <c r="B2261" s="3" t="s">
        <v>2216</v>
      </c>
      <c r="C2261" s="3" t="str">
        <f>IFERROR(__xludf.DUMMYFUNCTION("GOOGLETRANSLATE(B2261,""id"",""en"")"),"['signal', 'battered', 'lose', 'smartfreen']")</f>
        <v>['signal', 'battered', 'lose', 'smartfreen']</v>
      </c>
      <c r="D2261" s="3">
        <v>5.0</v>
      </c>
    </row>
    <row r="2262" ht="15.75" customHeight="1">
      <c r="A2262" s="1">
        <v>2416.0</v>
      </c>
      <c r="B2262" s="3" t="s">
        <v>2217</v>
      </c>
      <c r="C2262" s="3" t="str">
        <f>IFERROR(__xludf.DUMMYFUNCTION("GOOGLETRANSLATE(B2262,""id"",""en"")"),"['Safety', 'smooth', 'expensive', 'price', 'quota']")</f>
        <v>['Safety', 'smooth', 'expensive', 'price', 'quota']</v>
      </c>
      <c r="D2262" s="3">
        <v>5.0</v>
      </c>
    </row>
    <row r="2263" ht="15.75" customHeight="1">
      <c r="A2263" s="1">
        <v>2417.0</v>
      </c>
      <c r="B2263" s="3" t="s">
        <v>2218</v>
      </c>
      <c r="C2263" s="3" t="str">
        <f>IFERROR(__xludf.DUMMYFUNCTION("GOOGLETRANSLATE(B2263,""id"",""en"")"),"['Telkomsel', 'UDH', 'On', 'opened', 'screen', 'white', 'Try', 'repaired', 'dunk']")</f>
        <v>['Telkomsel', 'UDH', 'On', 'opened', 'screen', 'white', 'Try', 'repaired', 'dunk']</v>
      </c>
      <c r="D2263" s="3">
        <v>5.0</v>
      </c>
    </row>
    <row r="2264" ht="15.75" customHeight="1">
      <c r="A2264" s="1">
        <v>2418.0</v>
      </c>
      <c r="B2264" s="3" t="s">
        <v>14</v>
      </c>
      <c r="C2264" s="3" t="str">
        <f>IFERROR(__xludf.DUMMYFUNCTION("GOOGLETRANSLATE(B2264,""id"",""en"")"),"['disturbance']")</f>
        <v>['disturbance']</v>
      </c>
      <c r="D2264" s="3">
        <v>1.0</v>
      </c>
    </row>
    <row r="2265" ht="15.75" customHeight="1">
      <c r="A2265" s="1">
        <v>2420.0</v>
      </c>
      <c r="B2265" s="3" t="s">
        <v>2219</v>
      </c>
      <c r="C2265" s="3" t="str">
        <f>IFERROR(__xludf.DUMMYFUNCTION("GOOGLETRANSLATE(B2265,""id"",""en"")"),"['Not bad', 'Darling', 'signal', 'slow', 'Area', 'Port', 'Pomako', 'Timika', 'Papua', 'Jdi', 'Package', 'Data', ' Loss', 'HBIS', 'Active', 'just', 'kepakai', 'little', ""]")</f>
        <v>['Not bad', 'Darling', 'signal', 'slow', 'Area', 'Port', 'Pomako', 'Timika', 'Papua', 'Jdi', 'Package', 'Data', ' Loss', 'HBIS', 'Active', 'just', 'kepakai', 'little', "]</v>
      </c>
      <c r="D2265" s="3">
        <v>2.0</v>
      </c>
    </row>
    <row r="2266" ht="15.75" customHeight="1">
      <c r="A2266" s="1">
        <v>2421.0</v>
      </c>
      <c r="B2266" s="3" t="s">
        <v>2220</v>
      </c>
      <c r="C2266" s="3" t="str">
        <f>IFERROR(__xludf.DUMMYFUNCTION("GOOGLETRANSLATE(B2266,""id"",""en"")"),"['Increase', 'promo', 'package']")</f>
        <v>['Increase', 'promo', 'package']</v>
      </c>
      <c r="D2266" s="3">
        <v>5.0</v>
      </c>
    </row>
    <row r="2267" ht="15.75" customHeight="1">
      <c r="A2267" s="1">
        <v>2422.0</v>
      </c>
      <c r="B2267" s="3" t="s">
        <v>2221</v>
      </c>
      <c r="C2267" s="3" t="str">
        <f>IFERROR(__xludf.DUMMYFUNCTION("GOOGLETRANSLATE(B2267,""id"",""en"")"),"['use', 'sympathy', 'scattered', 'where', 'use', 'keep', 'application', 'use', 'notification', 'buy', 'use', 'package', ' Internet ',' expensive ',' forgiveness', 'Provider', 'National', 'Serasa', 'International', '']")</f>
        <v>['use', 'sympathy', 'scattered', 'where', 'use', 'keep', 'application', 'use', 'notification', 'buy', 'use', 'package', ' Internet ',' expensive ',' forgiveness', 'Provider', 'National', 'Serasa', 'International', '']</v>
      </c>
      <c r="D2267" s="3">
        <v>1.0</v>
      </c>
    </row>
    <row r="2268" ht="15.75" customHeight="1">
      <c r="A2268" s="1">
        <v>2423.0</v>
      </c>
      <c r="B2268" s="3" t="s">
        <v>2222</v>
      </c>
      <c r="C2268" s="3" t="str">
        <f>IFERROR(__xludf.DUMMYFUNCTION("GOOGLETRANSLATE(B2268,""id"",""en"")"),"['easy', 'accessed', 'information', 'complete']")</f>
        <v>['easy', 'accessed', 'information', 'complete']</v>
      </c>
      <c r="D2268" s="3">
        <v>5.0</v>
      </c>
    </row>
    <row r="2269" ht="15.75" customHeight="1">
      <c r="A2269" s="1">
        <v>2424.0</v>
      </c>
      <c r="B2269" s="3" t="s">
        <v>2223</v>
      </c>
      <c r="C2269" s="3" t="str">
        <f>IFERROR(__xludf.DUMMYFUNCTION("GOOGLETRANSLATE(B2269,""id"",""en"")"),"['Alhamdulillah', 'Telkomsel', 'open', 'email', 'complaints',' response ',' good ',' reply ',' thank you ',' response ',' repair ',' Please ',' Enhanced ',' Strengthen ',' Strengthen ',' Network ',' Getting Out ',' Package ',' Cheap ',' Customer ',' Satis"&amp;"fied ',' Telkomsel ',' Comment ',' Disappointed ',' Thank "" , 'Love', 'response', 'Help', '']")</f>
        <v>['Alhamdulillah', 'Telkomsel', 'open', 'email', 'complaints',' response ',' good ',' reply ',' thank you ',' response ',' repair ',' Please ',' Enhanced ',' Strengthen ',' Strengthen ',' Network ',' Getting Out ',' Package ',' Cheap ',' Customer ',' Satisfied ',' Telkomsel ',' Comment ',' Disappointed ',' Thank " , 'Love', 'response', 'Help', '']</v>
      </c>
      <c r="D2269" s="3">
        <v>5.0</v>
      </c>
    </row>
    <row r="2270" ht="15.75" customHeight="1">
      <c r="A2270" s="1">
        <v>2425.0</v>
      </c>
      <c r="B2270" s="3" t="s">
        <v>2224</v>
      </c>
      <c r="C2270" s="3" t="str">
        <f>IFERROR(__xludf.DUMMYFUNCTION("GOOGLETRANSLATE(B2270,""id"",""en"")"),"['Love', 'quota', 'GB', 'Free', 'Wait', 'Quotes', 'TerbiMakasiih', '']")</f>
        <v>['Love', 'quota', 'GB', 'Free', 'Wait', 'Quotes', 'TerbiMakasiih', '']</v>
      </c>
      <c r="D2270" s="3">
        <v>5.0</v>
      </c>
    </row>
    <row r="2271" ht="15.75" customHeight="1">
      <c r="A2271" s="1">
        <v>2426.0</v>
      </c>
      <c r="B2271" s="3" t="s">
        <v>2225</v>
      </c>
      <c r="C2271" s="3" t="str">
        <f>IFERROR(__xludf.DUMMYFUNCTION("GOOGLETRANSLATE(B2271,""id"",""en"")"),"['use', 'Telkomsel', 'ok', 'easy', 'obstacles', 'anything', 'aamiin']")</f>
        <v>['use', 'Telkomsel', 'ok', 'easy', 'obstacles', 'anything', 'aamiin']</v>
      </c>
      <c r="D2271" s="3">
        <v>5.0</v>
      </c>
    </row>
    <row r="2272" ht="15.75" customHeight="1">
      <c r="A2272" s="1">
        <v>2427.0</v>
      </c>
      <c r="B2272" s="3" t="s">
        <v>2226</v>
      </c>
      <c r="C2272" s="3" t="str">
        <f>IFERROR(__xludf.DUMMYFUNCTION("GOOGLETRANSLATE(B2272,""id"",""en"")"),"['Fix', 'Sinyal', 'Error', 'Immediately', 'Rain', 'Drizzle', 'Weak', 'Immediately', 'Rain', 'Healy', 'Lamban', 'Download', ' Downloadlod ',' File ',' Image ',' Film ',' Bravo ',' Telkomsel ', ""]")</f>
        <v>['Fix', 'Sinyal', 'Error', 'Immediately', 'Rain', 'Drizzle', 'Weak', 'Immediately', 'Rain', 'Healy', 'Lamban', 'Download', ' Downloadlod ',' File ',' Image ',' Film ',' Bravo ',' Telkomsel ', "]</v>
      </c>
      <c r="D2272" s="3">
        <v>4.0</v>
      </c>
    </row>
    <row r="2273" ht="15.75" customHeight="1">
      <c r="A2273" s="1">
        <v>2428.0</v>
      </c>
      <c r="B2273" s="3" t="s">
        <v>2227</v>
      </c>
      <c r="C2273" s="3" t="str">
        <f>IFERROR(__xludf.DUMMYFUNCTION("GOOGLETRANSLATE(B2273,""id"",""en"")"),"['application', 'Telkomsel', 'open', 'pulse', 'package', 'lho', 'please', 'price', 'package', 'version', 'card', 'light', ' Expensive ',' ']")</f>
        <v>['application', 'Telkomsel', 'open', 'pulse', 'package', 'lho', 'please', 'price', 'package', 'version', 'card', 'light', ' Expensive ',' ']</v>
      </c>
      <c r="D2273" s="3">
        <v>2.0</v>
      </c>
    </row>
    <row r="2274" ht="15.75" customHeight="1">
      <c r="A2274" s="1">
        <v>2429.0</v>
      </c>
      <c r="B2274" s="3" t="s">
        <v>2228</v>
      </c>
      <c r="C2274" s="3" t="str">
        <f>IFERROR(__xludf.DUMMYFUNCTION("GOOGLETRANSLATE(B2274,""id"",""en"")"),"['Application', 'good', 'really', 'help', 'thanks', 'Telkomsel', ""]")</f>
        <v>['Application', 'good', 'really', 'help', 'thanks', 'Telkomsel', "]</v>
      </c>
      <c r="D2274" s="3">
        <v>5.0</v>
      </c>
    </row>
    <row r="2275" ht="15.75" customHeight="1">
      <c r="A2275" s="1">
        <v>2431.0</v>
      </c>
      <c r="B2275" s="3" t="s">
        <v>2229</v>
      </c>
      <c r="C2275" s="3" t="str">
        <f>IFERROR(__xludf.DUMMYFUNCTION("GOOGLETRANSLATE(B2275,""id"",""en"")"),"['The application', 'GSK', 'opened', '']")</f>
        <v>['The application', 'GSK', 'opened', '']</v>
      </c>
      <c r="D2275" s="3">
        <v>1.0</v>
      </c>
    </row>
    <row r="2276" ht="15.75" customHeight="1">
      <c r="A2276" s="1">
        <v>2432.0</v>
      </c>
      <c r="B2276" s="3" t="s">
        <v>2230</v>
      </c>
      <c r="C2276" s="3" t="str">
        <f>IFERROR(__xludf.DUMMYFUNCTION("GOOGLETRANSLATE(B2276,""id"",""en"")"),"['Good', 'Telkomsel', 'buy', 'pulse', 'on', 'internet', 'direct', 'chick', 'signal', 'ugly']")</f>
        <v>['Good', 'Telkomsel', 'buy', 'pulse', 'on', 'internet', 'direct', 'chick', 'signal', 'ugly']</v>
      </c>
      <c r="D2276" s="3">
        <v>1.0</v>
      </c>
    </row>
    <row r="2277" ht="15.75" customHeight="1">
      <c r="A2277" s="1">
        <v>2433.0</v>
      </c>
      <c r="B2277" s="3" t="s">
        <v>2231</v>
      </c>
      <c r="C2277" s="3" t="str">
        <f>IFERROR(__xludf.DUMMYFUNCTION("GOOGLETRANSLATE(B2277,""id"",""en"")"),"['signal', 'difficult', 'Sreng', 'missing', 'pdhl', 'tower']")</f>
        <v>['signal', 'difficult', 'Sreng', 'missing', 'pdhl', 'tower']</v>
      </c>
      <c r="D2277" s="3">
        <v>4.0</v>
      </c>
    </row>
    <row r="2278" ht="15.75" customHeight="1">
      <c r="A2278" s="1">
        <v>2434.0</v>
      </c>
      <c r="B2278" s="3" t="s">
        <v>2232</v>
      </c>
      <c r="C2278" s="3" t="str">
        <f>IFERROR(__xludf.DUMMYFUNCTION("GOOGLETRANSLATE(B2278,""id"",""en"")"),"['really', 'enter', 'the application', 'update', 'contents']")</f>
        <v>['really', 'enter', 'the application', 'update', 'contents']</v>
      </c>
      <c r="D2278" s="3">
        <v>1.0</v>
      </c>
    </row>
    <row r="2279" ht="15.75" customHeight="1">
      <c r="A2279" s="1">
        <v>2435.0</v>
      </c>
      <c r="B2279" s="3" t="s">
        <v>2233</v>
      </c>
      <c r="C2279" s="3" t="str">
        <f>IFERROR(__xludf.DUMMYFUNCTION("GOOGLETRANSLATE(B2279,""id"",""en"")"),"['open', 'upgrade', 'screen', 'white', 'doang', '']")</f>
        <v>['open', 'upgrade', 'screen', 'white', 'doang', '']</v>
      </c>
      <c r="D2279" s="3">
        <v>3.0</v>
      </c>
    </row>
    <row r="2280" ht="15.75" customHeight="1">
      <c r="A2280" s="1">
        <v>2436.0</v>
      </c>
      <c r="B2280" s="3" t="s">
        <v>2234</v>
      </c>
      <c r="C2280" s="3" t="str">
        <f>IFERROR(__xludf.DUMMYFUNCTION("GOOGLETRANSLATE(B2280,""id"",""en"")"),"['Disappointed', 'Telkomsel', 'ganguan', 'package', 'already', 'expensive', 'quality', 'network', 'edge', 'ganguan', 'then', 'sicken', ' Quata ',' strong ',' Adan ',' Decide ',' Family ',' Wear ',' Telkomsel ']")</f>
        <v>['Disappointed', 'Telkomsel', 'ganguan', 'package', 'already', 'expensive', 'quality', 'network', 'edge', 'ganguan', 'then', 'sicken', ' Quata ',' strong ',' Adan ',' Decide ',' Family ',' Wear ',' Telkomsel ']</v>
      </c>
      <c r="D2280" s="3">
        <v>1.0</v>
      </c>
    </row>
    <row r="2281" ht="15.75" customHeight="1">
      <c r="A2281" s="1">
        <v>2437.0</v>
      </c>
      <c r="B2281" s="3" t="s">
        <v>2235</v>
      </c>
      <c r="C2281" s="3" t="str">
        <f>IFERROR(__xludf.DUMMYFUNCTION("GOOGLETRANSLATE(B2281,""id"",""en"")"),"['entry', 'application', 'appears',' screen ',' white ',' delete ',' data ',' reset ',' application ',' mytelkomsel ',' screen ',' white ',' Plis', 'how', 'buy', 'Package', 'Application', 'Error', 'Please', 'Expert']")</f>
        <v>['entry', 'application', 'appears',' screen ',' white ',' delete ',' data ',' reset ',' application ',' mytelkomsel ',' screen ',' white ',' Plis', 'how', 'buy', 'Package', 'Application', 'Error', 'Please', 'Expert']</v>
      </c>
      <c r="D2281" s="3">
        <v>1.0</v>
      </c>
    </row>
    <row r="2282" ht="15.75" customHeight="1">
      <c r="A2282" s="1">
        <v>2439.0</v>
      </c>
      <c r="B2282" s="3" t="s">
        <v>2236</v>
      </c>
      <c r="C2282" s="3" t="str">
        <f>IFERROR(__xludf.DUMMYFUNCTION("GOOGLETRANSLATE(B2282,""id"",""en"")"),"['The application', 'Bgus', 'pulse', 'Sya', 'missing', 'Target', 'Where']")</f>
        <v>['The application', 'Bgus', 'pulse', 'Sya', 'missing', 'Target', 'Where']</v>
      </c>
      <c r="D2282" s="3">
        <v>1.0</v>
      </c>
    </row>
    <row r="2283" ht="15.75" customHeight="1">
      <c r="A2283" s="1">
        <v>2440.0</v>
      </c>
      <c r="B2283" s="3" t="s">
        <v>2237</v>
      </c>
      <c r="C2283" s="3" t="str">
        <f>IFERROR(__xludf.DUMMYFUNCTION("GOOGLETRANSLATE(B2283,""id"",""en"")"),"['Performance', 'Telkomsel', 'Bad', 'Similar "",' Weather ',' Network ',' Normal ',""]")</f>
        <v>['Performance', 'Telkomsel', 'Bad', 'Similar ",' Weather ',' Network ',' Normal ',"]</v>
      </c>
      <c r="D2283" s="3">
        <v>1.0</v>
      </c>
    </row>
    <row r="2284" ht="15.75" customHeight="1">
      <c r="A2284" s="1">
        <v>2441.0</v>
      </c>
      <c r="B2284" s="3" t="s">
        <v>2238</v>
      </c>
      <c r="C2284" s="3" t="str">
        <f>IFERROR(__xludf.DUMMYFUNCTION("GOOGLETRANSLATE(B2284,""id"",""en"")"),"['Good', 'Thank you', 'MyTelkomsel']")</f>
        <v>['Good', 'Thank you', 'MyTelkomsel']</v>
      </c>
      <c r="D2284" s="3">
        <v>5.0</v>
      </c>
    </row>
    <row r="2285" ht="15.75" customHeight="1">
      <c r="A2285" s="1">
        <v>2443.0</v>
      </c>
      <c r="B2285" s="3" t="s">
        <v>2239</v>
      </c>
      <c r="C2285" s="3" t="str">
        <f>IFERROR(__xludf.DUMMYFUNCTION("GOOGLETRANSLATE(B2285,""id"",""en"")"),"['Stable', 'The network']")</f>
        <v>['Stable', 'The network']</v>
      </c>
      <c r="D2285" s="3">
        <v>4.0</v>
      </c>
    </row>
    <row r="2286" ht="15.75" customHeight="1">
      <c r="A2286" s="1">
        <v>2444.0</v>
      </c>
      <c r="B2286" s="3" t="s">
        <v>2240</v>
      </c>
      <c r="C2286" s="3" t="str">
        <f>IFERROR(__xludf.DUMMYFUNCTION("GOOGLETRANSLATE(B2286,""id"",""en"")"),"['Lally', 'promo', 'quota', 'Bestie', 'card']")</f>
        <v>['Lally', 'promo', 'quota', 'Bestie', 'card']</v>
      </c>
      <c r="D2286" s="3">
        <v>4.0</v>
      </c>
    </row>
    <row r="2287" ht="15.75" customHeight="1">
      <c r="A2287" s="1">
        <v>2445.0</v>
      </c>
      <c r="B2287" s="3" t="s">
        <v>2241</v>
      </c>
      <c r="C2287" s="3" t="str">
        <f>IFERROR(__xludf.DUMMYFUNCTION("GOOGLETRANSLATE(B2287,""id"",""en"")"),"['Gini', 'pro', 'noeb', 'strengthen', 'statement', 'comment', 'link', 'post', 'finished', 'maintenance', 'server', 'strengthen', ' statement']")</f>
        <v>['Gini', 'pro', 'noeb', 'strengthen', 'statement', 'comment', 'link', 'post', 'finished', 'maintenance', 'server', 'strengthen', ' statement']</v>
      </c>
      <c r="D2287" s="3">
        <v>5.0</v>
      </c>
    </row>
    <row r="2288" ht="15.75" customHeight="1">
      <c r="A2288" s="1">
        <v>2446.0</v>
      </c>
      <c r="B2288" s="3" t="s">
        <v>2242</v>
      </c>
      <c r="C2288" s="3" t="str">
        <f>IFERROR(__xludf.DUMMYFUNCTION("GOOGLETRANSLATE(B2288,""id"",""en"")"),"['no']")</f>
        <v>['no']</v>
      </c>
      <c r="D2288" s="3">
        <v>1.0</v>
      </c>
    </row>
    <row r="2289" ht="15.75" customHeight="1">
      <c r="A2289" s="1">
        <v>2447.0</v>
      </c>
      <c r="B2289" s="3" t="s">
        <v>2243</v>
      </c>
      <c r="C2289" s="3" t="str">
        <f>IFERROR(__xludf.DUMMYFUNCTION("GOOGLETRANSLATE(B2289,""id"",""en"")"),"['Glooms', 'Package', 'Combo', 'Sakti', 'Expensive', '']")</f>
        <v>['Glooms', 'Package', 'Combo', 'Sakti', 'Expensive', '']</v>
      </c>
      <c r="D2289" s="3">
        <v>5.0</v>
      </c>
    </row>
    <row r="2290" ht="15.75" customHeight="1">
      <c r="A2290" s="1">
        <v>2448.0</v>
      </c>
      <c r="B2290" s="3" t="s">
        <v>2244</v>
      </c>
      <c r="C2290" s="3" t="str">
        <f>IFERROR(__xludf.DUMMYFUNCTION("GOOGLETRANSLATE(B2290,""id"",""en"")"),"['pulse', 'lost', 'warassss']")</f>
        <v>['pulse', 'lost', 'warassss']</v>
      </c>
      <c r="D2290" s="3">
        <v>1.0</v>
      </c>
    </row>
    <row r="2291" ht="15.75" customHeight="1">
      <c r="A2291" s="1">
        <v>2449.0</v>
      </c>
      <c r="B2291" s="3" t="s">
        <v>2245</v>
      </c>
      <c r="C2291" s="3" t="str">
        <f>IFERROR(__xludf.DUMMYFUNCTION("GOOGLETRANSLATE(B2291,""id"",""en"")"),"['Good', 'function', 'bnget']")</f>
        <v>['Good', 'function', 'bnget']</v>
      </c>
      <c r="D2291" s="3">
        <v>5.0</v>
      </c>
    </row>
    <row r="2292" ht="15.75" customHeight="1">
      <c r="A2292" s="1">
        <v>2450.0</v>
      </c>
      <c r="B2292" s="3" t="s">
        <v>2246</v>
      </c>
      <c r="C2292" s="3" t="str">
        <f>IFERROR(__xludf.DUMMYFUNCTION("GOOGLETRANSLATE(B2292,""id"",""en"")"),"['Telkomsel', 'good', 'keep', '']")</f>
        <v>['Telkomsel', 'good', 'keep', '']</v>
      </c>
      <c r="D2292" s="3">
        <v>5.0</v>
      </c>
    </row>
    <row r="2293" ht="15.75" customHeight="1">
      <c r="A2293" s="1">
        <v>2451.0</v>
      </c>
      <c r="B2293" s="3" t="s">
        <v>2247</v>
      </c>
      <c r="C2293" s="3" t="str">
        <f>IFERROR(__xludf.DUMMYFUNCTION("GOOGLETRANSLATE(B2293,""id"",""en"")"),"['signal', 'ugly', 'price', 'quota', 'expensive', 'severe']")</f>
        <v>['signal', 'ugly', 'price', 'quota', 'expensive', 'severe']</v>
      </c>
      <c r="D2293" s="3">
        <v>1.0</v>
      </c>
    </row>
    <row r="2294" ht="15.75" customHeight="1">
      <c r="A2294" s="1">
        <v>2452.0</v>
      </c>
      <c r="B2294" s="3" t="s">
        <v>2248</v>
      </c>
      <c r="C2294" s="3" t="str">
        <f>IFERROR(__xludf.DUMMYFUNCTION("GOOGLETRANSLATE(B2294,""id"",""en"")"),"['oii', 'cave', 'buy', 'package', 'tranquility', 'youtube', 'a week', 'quota', 'main', 'chick', 'tasty', 'watch', ' YouTube ',' Tub ',' Duren ',' Duren ',' Tree ',' Dapet ',' SMS ',' Quota ',' Stay ',' Quota ',' GB ',' Nywords', 'Nyampe' , 'Ubun', 'crown'"&amp;", 'I', 'spot', 'heart', 'please', 'Benerin', 'oiii', 'laugh', 'read', 'serious',' cave ',' OII ',' ']")</f>
        <v>['oii', 'cave', 'buy', 'package', 'tranquility', 'youtube', 'a week', 'quota', 'main', 'chick', 'tasty', 'watch', ' YouTube ',' Tub ',' Duren ',' Duren ',' Tree ',' Dapet ',' SMS ',' Quota ',' Stay ',' Quota ',' GB ',' Nywords', 'Nyampe' , 'Ubun', 'crown', 'I', 'spot', 'heart', 'please', 'Benerin', 'oiii', 'laugh', 'read', 'serious',' cave ',' OII ',' ']</v>
      </c>
      <c r="D2294" s="3">
        <v>1.0</v>
      </c>
    </row>
    <row r="2295" ht="15.75" customHeight="1">
      <c r="A2295" s="1">
        <v>2454.0</v>
      </c>
      <c r="B2295" s="3" t="s">
        <v>2249</v>
      </c>
      <c r="C2295" s="3" t="str">
        <f>IFERROR(__xludf.DUMMYFUNCTION("GOOGLETRANSLATE(B2295,""id"",""en"")"),"['Application', 'Telkomsel', 'already', 'Nggk', 'opened', 'yesterday', 'Nggk', 'repaired', 'Where', 'sich', 'what' do ',' sich ',' alternating ',' open ',' application ',' blank ',' white ',' doank ',' ']")</f>
        <v>['Application', 'Telkomsel', 'already', 'Nggk', 'opened', 'yesterday', 'Nggk', 'repaired', 'Where', 'sich', 'what' do ',' sich ',' alternating ',' open ',' application ',' blank ',' white ',' doank ',' ']</v>
      </c>
      <c r="D2295" s="3">
        <v>3.0</v>
      </c>
    </row>
    <row r="2296" ht="15.75" customHeight="1">
      <c r="A2296" s="1">
        <v>2455.0</v>
      </c>
      <c r="B2296" s="3" t="s">
        <v>2250</v>
      </c>
      <c r="C2296" s="3" t="str">
        <f>IFERROR(__xludf.DUMMYFUNCTION("GOOGLETRANSLATE(B2296,""id"",""en"")"),"['here', 'sinynyal', 'price', 'package', 'expensive', 'signal', 'trs',' sometimes', 'watch', 'youtube', 'muter', 'change', ' card', '']")</f>
        <v>['here', 'sinynyal', 'price', 'package', 'expensive', 'signal', 'trs',' sometimes', 'watch', 'youtube', 'muter', 'change', ' card', '']</v>
      </c>
      <c r="D2296" s="3">
        <v>1.0</v>
      </c>
    </row>
    <row r="2297" ht="15.75" customHeight="1">
      <c r="A2297" s="1">
        <v>2456.0</v>
      </c>
      <c r="B2297" s="3" t="s">
        <v>2251</v>
      </c>
      <c r="C2297" s="3" t="str">
        <f>IFERROR(__xludf.DUMMYFUNCTION("GOOGLETRANSLATE(B2297,""id"",""en"")"),"['open', 'application', 'white', 'screen', 'intention', 'application', 'weak', '']")</f>
        <v>['open', 'application', 'white', 'screen', 'intention', 'application', 'weak', '']</v>
      </c>
      <c r="D2297" s="3">
        <v>1.0</v>
      </c>
    </row>
    <row r="2298" ht="15.75" customHeight="1">
      <c r="A2298" s="1">
        <v>2457.0</v>
      </c>
      <c r="B2298" s="3" t="s">
        <v>2252</v>
      </c>
      <c r="C2298" s="3" t="str">
        <f>IFERROR(__xludf.DUMMYFUNCTION("GOOGLETRANSLATE(B2298,""id"",""en"")"),"['makes it easier', 'customers', 'Tetep', 'spirit', 'Telkomsel']")</f>
        <v>['makes it easier', 'customers', 'Tetep', 'spirit', 'Telkomsel']</v>
      </c>
      <c r="D2298" s="3">
        <v>5.0</v>
      </c>
    </row>
    <row r="2299" ht="15.75" customHeight="1">
      <c r="A2299" s="1">
        <v>2458.0</v>
      </c>
      <c r="B2299" s="3" t="s">
        <v>2253</v>
      </c>
      <c r="C2299" s="3" t="str">
        <f>IFERROR(__xludf.DUMMYFUNCTION("GOOGLETRANSLATE(B2299,""id"",""en"")"),"['Safety', 'Gan', 'Rely on']")</f>
        <v>['Safety', 'Gan', 'Rely on']</v>
      </c>
      <c r="D2299" s="3">
        <v>5.0</v>
      </c>
    </row>
    <row r="2300" ht="15.75" customHeight="1">
      <c r="A2300" s="1">
        <v>2459.0</v>
      </c>
      <c r="B2300" s="3" t="s">
        <v>2254</v>
      </c>
      <c r="C2300" s="3" t="str">
        <f>IFERROR(__xludf.DUMMYFUNCTION("GOOGLETRANSLATE(B2300,""id"",""en"")"),"['APK', 'useful', 'opened', 'ajj', 'veronica', 'email', 'response', 'answer', 'satisfying', 'signal', 'ugly', 'bngt', ' Jak ',' cell ',' ajj ',' signal ',' line ',' remote ',' convenience ',' nyesel ',' nie ',' proveider ',' axis', 'cheap']")</f>
        <v>['APK', 'useful', 'opened', 'ajj', 'veronica', 'email', 'response', 'answer', 'satisfying', 'signal', 'ugly', 'bngt', ' Jak ',' cell ',' ajj ',' signal ',' line ',' remote ',' convenience ',' nyesel ',' nie ',' proveider ',' axis', 'cheap']</v>
      </c>
      <c r="D2300" s="3">
        <v>1.0</v>
      </c>
    </row>
    <row r="2301" ht="15.75" customHeight="1">
      <c r="A2301" s="1">
        <v>2460.0</v>
      </c>
      <c r="B2301" s="3" t="s">
        <v>2255</v>
      </c>
      <c r="C2301" s="3" t="str">
        <f>IFERROR(__xludf.DUMMYFUNCTION("GOOGLETRANSLATE(B2301,""id"",""en"")"),"['Kapok', 'Kapok', 'Kapokkk']")</f>
        <v>['Kapok', 'Kapok', 'Kapokkk']</v>
      </c>
      <c r="D2301" s="3">
        <v>1.0</v>
      </c>
    </row>
    <row r="2302" ht="15.75" customHeight="1">
      <c r="A2302" s="1">
        <v>2461.0</v>
      </c>
      <c r="B2302" s="3" t="s">
        <v>2256</v>
      </c>
      <c r="C2302" s="3" t="str">
        <f>IFERROR(__xludf.DUMMYFUNCTION("GOOGLETRANSLATE(B2302,""id"",""en"")"),"['application', 'slow', 'really', 'opral', 'abis',' list ',' package ',' pulse ',' pull out ',' then ',' package ',' check ',' active']")</f>
        <v>['application', 'slow', 'really', 'opral', 'abis',' list ',' package ',' pulse ',' pull out ',' then ',' package ',' check ',' active']</v>
      </c>
      <c r="D2302" s="3">
        <v>1.0</v>
      </c>
    </row>
    <row r="2303" ht="15.75" customHeight="1">
      <c r="A2303" s="1">
        <v>2462.0</v>
      </c>
      <c r="B2303" s="3" t="s">
        <v>2257</v>
      </c>
      <c r="C2303" s="3" t="str">
        <f>IFERROR(__xludf.DUMMYFUNCTION("GOOGLETRANSLATE(B2303,""id"",""en"")"),"['satisfying', 'bnyak', 'promo', 'signal', 'strong']")</f>
        <v>['satisfying', 'bnyak', 'promo', 'signal', 'strong']</v>
      </c>
      <c r="D2303" s="3">
        <v>5.0</v>
      </c>
    </row>
    <row r="2304" ht="15.75" customHeight="1">
      <c r="A2304" s="1">
        <v>2463.0</v>
      </c>
      <c r="B2304" s="3" t="s">
        <v>2258</v>
      </c>
      <c r="C2304" s="3" t="str">
        <f>IFERROR(__xludf.DUMMYFUNCTION("GOOGLETRANSLATE(B2304,""id"",""en"")"),"['The network', 'bad']")</f>
        <v>['The network', 'bad']</v>
      </c>
      <c r="D2304" s="3">
        <v>1.0</v>
      </c>
    </row>
    <row r="2305" ht="15.75" customHeight="1">
      <c r="A2305" s="1">
        <v>2464.0</v>
      </c>
      <c r="B2305" s="3" t="s">
        <v>2259</v>
      </c>
      <c r="C2305" s="3" t="str">
        <f>IFERROR(__xludf.DUMMYFUNCTION("GOOGLETRANSLATE(B2305,""id"",""en"")"),"['app', 'open', 'blank', 'white', 'change', 'download', '']")</f>
        <v>['app', 'open', 'blank', 'white', 'change', 'download', '']</v>
      </c>
      <c r="D2305" s="3">
        <v>1.0</v>
      </c>
    </row>
    <row r="2306" ht="15.75" customHeight="1">
      <c r="A2306" s="1">
        <v>2465.0</v>
      </c>
      <c r="B2306" s="3" t="s">
        <v>2260</v>
      </c>
      <c r="C2306" s="3" t="str">
        <f>IFERROR(__xludf.DUMMYFUNCTION("GOOGLETRANSLATE(B2306,""id"",""en"")"),"['Baguuss', 'Lemoot', 'yaa', ""]")</f>
        <v>['Baguuss', 'Lemoot', 'yaa', "]</v>
      </c>
      <c r="D2306" s="3">
        <v>4.0</v>
      </c>
    </row>
    <row r="2307" ht="15.75" customHeight="1">
      <c r="A2307" s="1">
        <v>2466.0</v>
      </c>
      <c r="B2307" s="3" t="s">
        <v>2261</v>
      </c>
      <c r="C2307" s="3" t="str">
        <f>IFERROR(__xludf.DUMMYFUNCTION("GOOGLETRANSLATE(B2307,""id"",""en"")"),"['munda', 'buy', 'package', 'data']")</f>
        <v>['munda', 'buy', 'package', 'data']</v>
      </c>
      <c r="D2307" s="3">
        <v>5.0</v>
      </c>
    </row>
    <row r="2308" ht="15.75" customHeight="1">
      <c r="A2308" s="1">
        <v>2467.0</v>
      </c>
      <c r="B2308" s="3" t="s">
        <v>2262</v>
      </c>
      <c r="C2308" s="3" t="str">
        <f>IFERROR(__xludf.DUMMYFUNCTION("GOOGLETRANSLATE(B2308,""id"",""en"")"),"['update', 'difficult', 'open', '']")</f>
        <v>['update', 'difficult', 'open', '']</v>
      </c>
      <c r="D2308" s="3">
        <v>1.0</v>
      </c>
    </row>
    <row r="2309" ht="15.75" customHeight="1">
      <c r="A2309" s="1">
        <v>2468.0</v>
      </c>
      <c r="B2309" s="3" t="s">
        <v>2263</v>
      </c>
      <c r="C2309" s="3" t="str">
        <f>IFERROR(__xludf.DUMMYFUNCTION("GOOGLETRANSLATE(B2309,""id"",""en"")"),"['COK', 'knpaa', 'pulse', 'gabisa', 'buy', 'package', 'night']")</f>
        <v>['COK', 'knpaa', 'pulse', 'gabisa', 'buy', 'package', 'night']</v>
      </c>
      <c r="D2309" s="3">
        <v>1.0</v>
      </c>
    </row>
    <row r="2310" ht="15.75" customHeight="1">
      <c r="A2310" s="1">
        <v>2469.0</v>
      </c>
      <c r="B2310" s="3" t="s">
        <v>2264</v>
      </c>
      <c r="C2310" s="3" t="str">
        <f>IFERROR(__xludf.DUMMYFUNCTION("GOOGLETRANSLATE(B2310,""id"",""en"")"),"['city']")</f>
        <v>['city']</v>
      </c>
      <c r="D2310" s="3">
        <v>4.0</v>
      </c>
    </row>
    <row r="2311" ht="15.75" customHeight="1">
      <c r="A2311" s="1">
        <v>2470.0</v>
      </c>
      <c r="B2311" s="3" t="s">
        <v>2265</v>
      </c>
      <c r="C2311" s="3" t="str">
        <f>IFERROR(__xludf.DUMMYFUNCTION("GOOGLETRANSLATE(B2311,""id"",""en"")"),"['The application', 'Open', 'Oppo', 'Please', 'Fix', '']")</f>
        <v>['The application', 'Open', 'Oppo', 'Please', 'Fix', '']</v>
      </c>
      <c r="D2311" s="3">
        <v>2.0</v>
      </c>
    </row>
    <row r="2312" ht="15.75" customHeight="1">
      <c r="A2312" s="1">
        <v>2471.0</v>
      </c>
      <c r="B2312" s="3" t="s">
        <v>2266</v>
      </c>
      <c r="C2312" s="3" t="str">
        <f>IFERROR(__xludf.DUMMYFUNCTION("GOOGLETRANSLATE(B2312,""id"",""en"")"),"['slow', 'signal']")</f>
        <v>['slow', 'signal']</v>
      </c>
      <c r="D2312" s="3">
        <v>2.0</v>
      </c>
    </row>
    <row r="2313" ht="15.75" customHeight="1">
      <c r="A2313" s="1">
        <v>2472.0</v>
      </c>
      <c r="B2313" s="3" t="s">
        <v>2267</v>
      </c>
      <c r="C2313" s="3" t="str">
        <f>IFERROR(__xludf.DUMMYFUNCTION("GOOGLETRANSLATE(B2313,""id"",""en"")"),"['Satisfied', 'Application', 'Telkomsel', '']")</f>
        <v>['Satisfied', 'Application', 'Telkomsel', '']</v>
      </c>
      <c r="D2313" s="3">
        <v>5.0</v>
      </c>
    </row>
    <row r="2314" ht="15.75" customHeight="1">
      <c r="A2314" s="1">
        <v>2473.0</v>
      </c>
      <c r="B2314" s="3" t="s">
        <v>2268</v>
      </c>
      <c r="C2314" s="3" t="str">
        <f>IFERROR(__xludf.DUMMYFUNCTION("GOOGLETRANSLATE(B2314,""id"",""en"")"),"['easy', 'fast', 'basically', 'top', 'Telkomsel']")</f>
        <v>['easy', 'fast', 'basically', 'top', 'Telkomsel']</v>
      </c>
      <c r="D2314" s="3">
        <v>5.0</v>
      </c>
    </row>
    <row r="2315" ht="15.75" customHeight="1">
      <c r="A2315" s="1">
        <v>2475.0</v>
      </c>
      <c r="B2315" s="3" t="s">
        <v>2269</v>
      </c>
      <c r="C2315" s="3" t="str">
        <f>IFERROR(__xludf.DUMMYFUNCTION("GOOGLETRANSLATE(B2315,""id"",""en"")"),"['app', 'skrang', 'bsa', 'open', 'high school', 'skli', 'wlau', 'udh', 'dwnload', 'many', 'jga', 'mhahhan', ' Ngeblank ',' CMA ',' GMBAR ',' Whiteh ',' Doang ',' APK ',' Telkomsell ',' ']")</f>
        <v>['app', 'skrang', 'bsa', 'open', 'high school', 'skli', 'wlau', 'udh', 'dwnload', 'many', 'jga', 'mhahhan', ' Ngeblank ',' CMA ',' GMBAR ',' Whiteh ',' Doang ',' APK ',' Telkomsell ',' ']</v>
      </c>
      <c r="D2315" s="3">
        <v>1.0</v>
      </c>
    </row>
    <row r="2316" ht="15.75" customHeight="1">
      <c r="A2316" s="1">
        <v>2476.0</v>
      </c>
      <c r="B2316" s="3" t="s">
        <v>2270</v>
      </c>
      <c r="C2316" s="3" t="str">
        <f>IFERROR(__xludf.DUMMYFUNCTION("GOOGLETRANSLATE(B2316,""id"",""en"")"),"['The application', 'update', 'TPI', 'opened', ""]")</f>
        <v>['The application', 'update', 'TPI', 'opened', "]</v>
      </c>
      <c r="D2316" s="3">
        <v>1.0</v>
      </c>
    </row>
    <row r="2317" ht="15.75" customHeight="1">
      <c r="A2317" s="1">
        <v>2477.0</v>
      </c>
      <c r="B2317" s="3" t="s">
        <v>2271</v>
      </c>
      <c r="C2317" s="3" t="str">
        <f>IFERROR(__xludf.DUMMYFUNCTION("GOOGLETRANSLATE(B2317,""id"",""en"")"),"['Sorry', 'download', 'Telkomsel', 'right', 'open', 'screen', 'white', 'picture', 'anything', 'appears', 'please', 'explained']")</f>
        <v>['Sorry', 'download', 'Telkomsel', 'right', 'open', 'screen', 'white', 'picture', 'anything', 'appears', 'please', 'explained']</v>
      </c>
      <c r="D2317" s="3">
        <v>1.0</v>
      </c>
    </row>
    <row r="2318" ht="15.75" customHeight="1">
      <c r="A2318" s="1">
        <v>2478.0</v>
      </c>
      <c r="B2318" s="3" t="s">
        <v>2272</v>
      </c>
      <c r="C2318" s="3" t="str">
        <f>IFERROR(__xludf.DUMMYFUNCTION("GOOGLETRANSLATE(B2318,""id"",""en"")"),"['Knp', 'network', 'Telkomsel', 'card', 'sympathy', 'often', 'error', 'in the area', 'Tembalang', 'Telkomsel', 'famous',' network ',' signal ',' strong ',' often ',' error ',' problematic ',' ']")</f>
        <v>['Knp', 'network', 'Telkomsel', 'card', 'sympathy', 'often', 'error', 'in the area', 'Tembalang', 'Telkomsel', 'famous',' network ',' signal ',' strong ',' often ',' error ',' problematic ',' ']</v>
      </c>
      <c r="D2318" s="3">
        <v>5.0</v>
      </c>
    </row>
    <row r="2319" ht="15.75" customHeight="1">
      <c r="A2319" s="1">
        <v>2479.0</v>
      </c>
      <c r="B2319" s="3" t="s">
        <v>2273</v>
      </c>
      <c r="C2319" s="3" t="str">
        <f>IFERROR(__xludf.DUMMYFUNCTION("GOOGLETRANSLATE(B2319,""id"",""en"")"),"['Price', 'GB', 'Jangn', 'Dinaikin']")</f>
        <v>['Price', 'GB', 'Jangn', 'Dinaikin']</v>
      </c>
      <c r="D2319" s="3">
        <v>5.0</v>
      </c>
    </row>
    <row r="2320" ht="15.75" customHeight="1">
      <c r="A2320" s="1">
        <v>2480.0</v>
      </c>
      <c r="B2320" s="3" t="s">
        <v>2274</v>
      </c>
      <c r="C2320" s="3" t="str">
        <f>IFERROR(__xludf.DUMMYFUNCTION("GOOGLETRANSLATE(B2320,""id"",""en"")"),"['APK', 'good', 'bangettt']")</f>
        <v>['APK', 'good', 'bangettt']</v>
      </c>
      <c r="D2320" s="3">
        <v>3.0</v>
      </c>
    </row>
    <row r="2321" ht="15.75" customHeight="1">
      <c r="A2321" s="1">
        <v>2481.0</v>
      </c>
      <c r="B2321" s="3" t="s">
        <v>2275</v>
      </c>
      <c r="C2321" s="3" t="str">
        <f>IFERROR(__xludf.DUMMYFUNCTION("GOOGLETRANSLATE(B2321,""id"",""en"")"),"['Ngeblank', 'APK', 'opened', 'setela', 'update', 'error', 'juka', 'via', 'web', 'skarang']")</f>
        <v>['Ngeblank', 'APK', 'opened', 'setela', 'update', 'error', 'juka', 'via', 'web', 'skarang']</v>
      </c>
      <c r="D2321" s="3">
        <v>1.0</v>
      </c>
    </row>
    <row r="2322" ht="15.75" customHeight="1">
      <c r="A2322" s="1">
        <v>2483.0</v>
      </c>
      <c r="B2322" s="3" t="s">
        <v>2276</v>
      </c>
      <c r="C2322" s="3" t="str">
        <f>IFERROR(__xludf.DUMMYFUNCTION("GOOGLETRANSLATE(B2322,""id"",""en"")"),"['Easy', 'helped', 'MyTelkomsel']")</f>
        <v>['Easy', 'helped', 'MyTelkomsel']</v>
      </c>
      <c r="D2322" s="3">
        <v>5.0</v>
      </c>
    </row>
    <row r="2323" ht="15.75" customHeight="1">
      <c r="A2323" s="1">
        <v>2484.0</v>
      </c>
      <c r="B2323" s="3" t="s">
        <v>2277</v>
      </c>
      <c r="C2323" s="3" t="str">
        <f>IFERROR(__xludf.DUMMYFUNCTION("GOOGLETRANSLATE(B2323,""id"",""en"")"),"['Please', 'Telkomsel', 'Network', 'here', 'Severe', 'Customer', 'Please', 'Fix', 'The Network', 'Thank you', 'Nnti', 'Love', ' star']")</f>
        <v>['Please', 'Telkomsel', 'Network', 'here', 'Severe', 'Customer', 'Please', 'Fix', 'The Network', 'Thank you', 'Nnti', 'Love', ' star']</v>
      </c>
      <c r="D2323" s="3">
        <v>2.0</v>
      </c>
    </row>
    <row r="2324" ht="15.75" customHeight="1">
      <c r="A2324" s="1">
        <v>2485.0</v>
      </c>
      <c r="B2324" s="3" t="s">
        <v>2278</v>
      </c>
      <c r="C2324" s="3" t="str">
        <f>IFERROR(__xludf.DUMMYFUNCTION("GOOGLETRANSLATE(B2324,""id"",""en"")"),"['knp', 'Telkomsel', 'my cellphone', 'no', 'opened', 'already', 'Sunday', ""]")</f>
        <v>['knp', 'Telkomsel', 'my cellphone', 'no', 'opened', 'already', 'Sunday', "]</v>
      </c>
      <c r="D2324" s="3">
        <v>1.0</v>
      </c>
    </row>
    <row r="2325" ht="15.75" customHeight="1">
      <c r="A2325" s="1">
        <v>2486.0</v>
      </c>
      <c r="B2325" s="3" t="s">
        <v>2279</v>
      </c>
      <c r="C2325" s="3" t="str">
        <f>IFERROR(__xludf.DUMMYFUNCTION("GOOGLETRANSLATE(B2325,""id"",""en"")"),"['disappointing', 'KeWawawaaaaaaaaaaaaaa', 'Please', 'Fix', 'Network', 'Koto', 'Kampar', 'Hulu', 'Kampar', 'Telkomsel', 'Bankrupt', 'fix', ' network', '']")</f>
        <v>['disappointing', 'KeWawawaaaaaaaaaaaaaa', 'Please', 'Fix', 'Network', 'Koto', 'Kampar', 'Hulu', 'Kampar', 'Telkomsel', 'Bankrupt', 'fix', ' network', '']</v>
      </c>
      <c r="D2325" s="3">
        <v>1.0</v>
      </c>
    </row>
    <row r="2326" ht="15.75" customHeight="1">
      <c r="A2326" s="1">
        <v>2487.0</v>
      </c>
      <c r="B2326" s="3" t="s">
        <v>2280</v>
      </c>
      <c r="C2326" s="3" t="str">
        <f>IFERROR(__xludf.DUMMYFUNCTION("GOOGLETRANSLATE(B2326,""id"",""en"")"),"['Update', 'Application', 'Open', 'Application', 'Network', 'Good', 'Internet', 'Bad', 'Application', 'Banned', 'Review', 'Please', ' Real ',' user ',' ']")</f>
        <v>['Update', 'Application', 'Open', 'Application', 'Network', 'Good', 'Internet', 'Bad', 'Application', 'Banned', 'Review', 'Please', ' Real ',' user ',' ']</v>
      </c>
      <c r="D2326" s="3">
        <v>1.0</v>
      </c>
    </row>
    <row r="2327" ht="15.75" customHeight="1">
      <c r="A2327" s="1">
        <v>2488.0</v>
      </c>
      <c r="B2327" s="3" t="s">
        <v>2281</v>
      </c>
      <c r="C2327" s="3" t="str">
        <f>IFERROR(__xludf.DUMMYFUNCTION("GOOGLETRANSLATE(B2327,""id"",""en"")"),"['here', 'network', 'ugly', 'plus',' open ',' application ',' blank ',' WRNA ',' white ',' opened ',' Kirain ',' cellphone ',' damaged ',' application ',' broken ',' please ',' Telkomsel ',' fix ',' keep ',' trust ',' satisfaction ',' customer ']")</f>
        <v>['here', 'network', 'ugly', 'plus',' open ',' application ',' blank ',' WRNA ',' white ',' opened ',' Kirain ',' cellphone ',' damaged ',' application ',' broken ',' please ',' Telkomsel ',' fix ',' keep ',' trust ',' satisfaction ',' customer ']</v>
      </c>
      <c r="D2327" s="3">
        <v>2.0</v>
      </c>
    </row>
    <row r="2328" ht="15.75" customHeight="1">
      <c r="A2328" s="1">
        <v>2489.0</v>
      </c>
      <c r="B2328" s="3" t="s">
        <v>1754</v>
      </c>
      <c r="C2328" s="3" t="str">
        <f>IFERROR(__xludf.DUMMYFUNCTION("GOOGLETRANSLATE(B2328,""id"",""en"")"),"['', 'open']")</f>
        <v>['', 'open']</v>
      </c>
      <c r="D2328" s="3">
        <v>1.0</v>
      </c>
    </row>
    <row r="2329" ht="15.75" customHeight="1">
      <c r="A2329" s="1">
        <v>2490.0</v>
      </c>
      <c r="B2329" s="3" t="s">
        <v>2282</v>
      </c>
      <c r="C2329" s="3" t="str">
        <f>IFERROR(__xludf.DUMMYFUNCTION("GOOGLETRANSLATE(B2329,""id"",""en"")"),"['opened', 'Install', 'Uninstall', 'opened', 'Many', 'Install', 'Delete']")</f>
        <v>['opened', 'Install', 'Uninstall', 'opened', 'Many', 'Install', 'Delete']</v>
      </c>
      <c r="D2329" s="3">
        <v>1.0</v>
      </c>
    </row>
    <row r="2330" ht="15.75" customHeight="1">
      <c r="A2330" s="1">
        <v>2492.0</v>
      </c>
      <c r="B2330" s="3" t="s">
        <v>2283</v>
      </c>
      <c r="C2330" s="3" t="str">
        <f>IFERROR(__xludf.DUMMYFUNCTION("GOOGLETRANSLATE(B2330,""id"",""en"")"),"['contents', 'package', 'data', 'easy']")</f>
        <v>['contents', 'package', 'data', 'easy']</v>
      </c>
      <c r="D2330" s="3">
        <v>5.0</v>
      </c>
    </row>
    <row r="2331" ht="15.75" customHeight="1">
      <c r="A2331" s="1">
        <v>2493.0</v>
      </c>
      <c r="B2331" s="3" t="s">
        <v>2284</v>
      </c>
      <c r="C2331" s="3" t="str">
        <f>IFERROR(__xludf.DUMMYFUNCTION("GOOGLETRANSLATE(B2331,""id"",""en"")"),"['Network', 'Kek', 'Gini', ""]")</f>
        <v>['Network', 'Kek', 'Gini', "]</v>
      </c>
      <c r="D2331" s="3">
        <v>1.0</v>
      </c>
    </row>
    <row r="2332" ht="15.75" customHeight="1">
      <c r="A2332" s="1">
        <v>2494.0</v>
      </c>
      <c r="B2332" s="3" t="s">
        <v>2285</v>
      </c>
      <c r="C2332" s="3" t="str">
        <f>IFERROR(__xludf.DUMMYFUNCTION("GOOGLETRANSLATE(B2332,""id"",""en"")"),"['Gag', 'opened', 'his application', 'Yesterday', 'Gag', 'Open', 'Please', 'The solution']")</f>
        <v>['Gag', 'opened', 'his application', 'Yesterday', 'Gag', 'Open', 'Please', 'The solution']</v>
      </c>
      <c r="D2332" s="3">
        <v>1.0</v>
      </c>
    </row>
    <row r="2333" ht="15.75" customHeight="1">
      <c r="A2333" s="1">
        <v>2495.0</v>
      </c>
      <c r="B2333" s="3" t="s">
        <v>2286</v>
      </c>
      <c r="C2333" s="3" t="str">
        <f>IFERROR(__xludf.DUMMYFUNCTION("GOOGLETRANSLATE(B2333,""id"",""en"")"),"['Exchange', 'eyes']")</f>
        <v>['Exchange', 'eyes']</v>
      </c>
      <c r="D2333" s="3">
        <v>5.0</v>
      </c>
    </row>
    <row r="2334" ht="15.75" customHeight="1">
      <c r="A2334" s="1">
        <v>2496.0</v>
      </c>
      <c r="B2334" s="3" t="s">
        <v>2287</v>
      </c>
      <c r="C2334" s="3" t="str">
        <f>IFERROR(__xludf.DUMMYFUNCTION("GOOGLETRANSLATE(B2334,""id"",""en"")"),"['Easy', 'transact', 'MyTelkomsel', '']")</f>
        <v>['Easy', 'transact', 'MyTelkomsel', '']</v>
      </c>
      <c r="D2334" s="3">
        <v>5.0</v>
      </c>
    </row>
    <row r="2335" ht="15.75" customHeight="1">
      <c r="A2335" s="1">
        <v>2497.0</v>
      </c>
      <c r="B2335" s="3" t="s">
        <v>1555</v>
      </c>
      <c r="C2335" s="3" t="str">
        <f>IFERROR(__xludf.DUMMYFUNCTION("GOOGLETRANSLATE(B2335,""id"",""en"")"),"['application', 'open', '']")</f>
        <v>['application', 'open', '']</v>
      </c>
      <c r="D2335" s="3">
        <v>1.0</v>
      </c>
    </row>
    <row r="2336" ht="15.75" customHeight="1">
      <c r="A2336" s="1">
        <v>2498.0</v>
      </c>
      <c r="B2336" s="3" t="s">
        <v>2288</v>
      </c>
      <c r="C2336" s="3" t="str">
        <f>IFERROR(__xludf.DUMMYFUNCTION("GOOGLETRANSLATE(B2336,""id"",""en"")"),"['Lemot', 'difficult', 'signal', 'Imternet']")</f>
        <v>['Lemot', 'difficult', 'signal', 'Imternet']</v>
      </c>
      <c r="D2336" s="3">
        <v>4.0</v>
      </c>
    </row>
    <row r="2337" ht="15.75" customHeight="1">
      <c r="A2337" s="1">
        <v>2499.0</v>
      </c>
      <c r="B2337" s="3" t="s">
        <v>2289</v>
      </c>
      <c r="C2337" s="3" t="str">
        <f>IFERROR(__xludf.DUMMYFUNCTION("GOOGLETRANSLATE(B2337,""id"",""en"")"),"['Switch', 'Operator', 'Severe', 'Bet', 'Nggame', 'Signal', 'Stabill', 'Parahhhh']")</f>
        <v>['Switch', 'Operator', 'Severe', 'Bet', 'Nggame', 'Signal', 'Stabill', 'Parahhhh']</v>
      </c>
      <c r="D2337" s="3">
        <v>2.0</v>
      </c>
    </row>
    <row r="2338" ht="15.75" customHeight="1">
      <c r="A2338" s="1">
        <v>2500.0</v>
      </c>
      <c r="B2338" s="3" t="s">
        <v>2290</v>
      </c>
      <c r="C2338" s="3" t="str">
        <f>IFERROR(__xludf.DUMMYFUNCTION("GOOGLETRANSLATE(B2338,""id"",""en"")"),"['price', 'Different', 'Different', 'friend', 'package', 'cheap', 'right', 'download', 'package', 'expensive', 'already', 'that's',' slow connection']")</f>
        <v>['price', 'Different', 'Different', 'friend', 'package', 'cheap', 'right', 'download', 'package', 'expensive', 'already', 'that's',' slow connection']</v>
      </c>
      <c r="D2338" s="3">
        <v>3.0</v>
      </c>
    </row>
    <row r="2339" ht="15.75" customHeight="1">
      <c r="A2339" s="1">
        <v>2501.0</v>
      </c>
      <c r="B2339" s="3" t="s">
        <v>2291</v>
      </c>
      <c r="C2339" s="3" t="str">
        <f>IFERROR(__xludf.DUMMYFUNCTION("GOOGLETRANSLATE(B2339,""id"",""en"")"),"['Severe', 'Severe', 'Severe', 'Class',' Telkomsel ',' Data ',' Personal ',' People ',' Broken ',' People ',' Status', 'Outsourcing', ' Severe ',' EMG ',' person ',' in it ',' Most ',' Wahabi ',' HTI ', ""]")</f>
        <v>['Severe', 'Severe', 'Severe', 'Class',' Telkomsel ',' Data ',' Personal ',' People ',' Broken ',' People ',' Status', 'Outsourcing', ' Severe ',' EMG ',' person ',' in it ',' Most ',' Wahabi ',' HTI ', "]</v>
      </c>
      <c r="D2339" s="3">
        <v>4.0</v>
      </c>
    </row>
    <row r="2340" ht="15.75" customHeight="1">
      <c r="A2340" s="1">
        <v>2502.0</v>
      </c>
      <c r="B2340" s="3" t="s">
        <v>2292</v>
      </c>
      <c r="C2340" s="3" t="str">
        <f>IFERROR(__xludf.DUMMYFUNCTION("GOOGLETRANSLATE(B2340,""id"",""en"")"),"['Update', 'open', 'ngebleng', 'please', 'help', 'wait', 'solution', '']")</f>
        <v>['Update', 'open', 'ngebleng', 'please', 'help', 'wait', 'solution', '']</v>
      </c>
      <c r="D2340" s="3">
        <v>1.0</v>
      </c>
    </row>
    <row r="2341" ht="15.75" customHeight="1">
      <c r="A2341" s="1">
        <v>2503.0</v>
      </c>
      <c r="B2341" s="3" t="s">
        <v>2293</v>
      </c>
      <c r="C2341" s="3" t="str">
        <f>IFERROR(__xludf.DUMMYFUNCTION("GOOGLETRANSLATE(B2341,""id"",""en"")"),"['Cheap', 'network', 'use', 'Telkomsel', '']")</f>
        <v>['Cheap', 'network', 'use', 'Telkomsel', '']</v>
      </c>
      <c r="D2341" s="3">
        <v>5.0</v>
      </c>
    </row>
    <row r="2342" ht="15.75" customHeight="1">
      <c r="A2342" s="1">
        <v>2504.0</v>
      </c>
      <c r="B2342" s="3" t="s">
        <v>2294</v>
      </c>
      <c r="C2342" s="3" t="str">
        <f>IFERROR(__xludf.DUMMYFUNCTION("GOOGLETRANSLATE(B2342,""id"",""en"")"),"['Telkomsel', 'owned', 'error', 'please', 'admin', 'fix', 'as soon as possible]")</f>
        <v>['Telkomsel', 'owned', 'error', 'please', 'admin', 'fix', 'as soon as possible]</v>
      </c>
      <c r="D2342" s="3">
        <v>3.0</v>
      </c>
    </row>
    <row r="2343" ht="15.75" customHeight="1">
      <c r="A2343" s="1">
        <v>2505.0</v>
      </c>
      <c r="B2343" s="3" t="s">
        <v>2295</v>
      </c>
      <c r="C2343" s="3" t="str">
        <f>IFERROR(__xludf.DUMMYFUNCTION("GOOGLETRANSLATE(B2343,""id"",""en"")"),"['Application', 'Useful', 'really']")</f>
        <v>['Application', 'Useful', 'really']</v>
      </c>
      <c r="D2343" s="3">
        <v>5.0</v>
      </c>
    </row>
    <row r="2344" ht="15.75" customHeight="1">
      <c r="A2344" s="1">
        <v>2506.0</v>
      </c>
      <c r="B2344" s="3" t="s">
        <v>2296</v>
      </c>
      <c r="C2344" s="3" t="str">
        <f>IFERROR(__xludf.DUMMYFUNCTION("GOOGLETRANSLATE(B2344,""id"",""en"")"),"['bang', 'buy', 'pulse', 'thousand', 'pulse', 'tekena', 'suck', 'pulse', 'thousand', 'pulse', 'use', 'wifi']")</f>
        <v>['bang', 'buy', 'pulse', 'thousand', 'pulse', 'tekena', 'suck', 'pulse', 'thousand', 'pulse', 'use', 'wifi']</v>
      </c>
      <c r="D2344" s="3">
        <v>1.0</v>
      </c>
    </row>
    <row r="2345" ht="15.75" customHeight="1">
      <c r="A2345" s="1">
        <v>2507.0</v>
      </c>
      <c r="B2345" s="3" t="s">
        <v>2297</v>
      </c>
      <c r="C2345" s="3" t="str">
        <f>IFERROR(__xludf.DUMMYFUNCTION("GOOGLETRANSLATE(B2345,""id"",""en"")"),"['application', 'opened', 'screen', 'white', 'all day', 'explanation', 'diem', 'bicest', 'Conan', ""]")</f>
        <v>['application', 'opened', 'screen', 'white', 'all day', 'explanation', 'diem', 'bicest', 'Conan', "]</v>
      </c>
      <c r="D2345" s="3">
        <v>1.0</v>
      </c>
    </row>
    <row r="2346" ht="15.75" customHeight="1">
      <c r="A2346" s="1">
        <v>2508.0</v>
      </c>
      <c r="B2346" s="3" t="s">
        <v>2298</v>
      </c>
      <c r="C2346" s="3" t="str">
        <f>IFERROR(__xludf.DUMMYFUNCTION("GOOGLETRANSLATE(B2346,""id"",""en"")"),"['enter', 'difficult', 'really', 'rich', 'operator', 'next door', 'simple', 'practical', 'udh', 'update', 'msh', 'difficult', ' Fix ',' consumer ',' Satisfied ',' ']")</f>
        <v>['enter', 'difficult', 'really', 'rich', 'operator', 'next door', 'simple', 'practical', 'udh', 'update', 'msh', 'difficult', ' Fix ',' consumer ',' Satisfied ',' ']</v>
      </c>
      <c r="D2346" s="3">
        <v>1.0</v>
      </c>
    </row>
    <row r="2347" ht="15.75" customHeight="1">
      <c r="A2347" s="1">
        <v>2509.0</v>
      </c>
      <c r="B2347" s="3" t="s">
        <v>2299</v>
      </c>
      <c r="C2347" s="3" t="str">
        <f>IFERROR(__xludf.DUMMYFUNCTION("GOOGLETRANSLATE(B2347,""id"",""en"")"),"['Hopefully', 'Telkomsel', 'Jaya']")</f>
        <v>['Hopefully', 'Telkomsel', 'Jaya']</v>
      </c>
      <c r="D2347" s="3">
        <v>5.0</v>
      </c>
    </row>
    <row r="2348" ht="15.75" customHeight="1">
      <c r="A2348" s="1">
        <v>2510.0</v>
      </c>
      <c r="B2348" s="3" t="s">
        <v>2300</v>
      </c>
      <c r="C2348" s="3" t="str">
        <f>IFERROR(__xludf.DUMMYFUNCTION("GOOGLETRANSLATE(B2348,""id"",""en"")"),"['APK', 'Matap', 'Sekasa', 'My Boss', '']")</f>
        <v>['APK', 'Matap', 'Sekasa', 'My Boss', '']</v>
      </c>
      <c r="D2348" s="3">
        <v>5.0</v>
      </c>
    </row>
    <row r="2349" ht="15.75" customHeight="1">
      <c r="A2349" s="1">
        <v>2511.0</v>
      </c>
      <c r="B2349" s="3" t="s">
        <v>2301</v>
      </c>
      <c r="C2349" s="3" t="str">
        <f>IFERROR(__xludf.DUMMYFUNCTION("GOOGLETRANSLATE(B2349,""id"",""en"")"),"['Price', 'expensive', 'network', 'super', 'slow', '']")</f>
        <v>['Price', 'expensive', 'network', 'super', 'slow', '']</v>
      </c>
      <c r="D2349" s="3">
        <v>1.0</v>
      </c>
    </row>
    <row r="2350" ht="15.75" customHeight="1">
      <c r="A2350" s="1">
        <v>2512.0</v>
      </c>
      <c r="B2350" s="3" t="s">
        <v>2302</v>
      </c>
      <c r="C2350" s="3" t="str">
        <f>IFERROR(__xludf.DUMMYFUNCTION("GOOGLETRANSLATE(B2350,""id"",""en"")"),"['Change', 'Package', 'Call', 'HR', 'Sepatnnya', 'Tsel', 'buy', 'click', 'appear', 'sorry', 'package', 'buy', ' Please '""Fix', 'Change', '']")</f>
        <v>['Change', 'Package', 'Call', 'HR', 'Sepatnnya', 'Tsel', 'buy', 'click', 'appear', 'sorry', 'package', 'buy', ' Please '"Fix', 'Change', '']</v>
      </c>
      <c r="D2350" s="3">
        <v>1.0</v>
      </c>
    </row>
    <row r="2351" ht="15.75" customHeight="1">
      <c r="A2351" s="1">
        <v>2513.0</v>
      </c>
      <c r="B2351" s="3" t="s">
        <v>2303</v>
      </c>
      <c r="C2351" s="3" t="str">
        <f>IFERROR(__xludf.DUMMYFUNCTION("GOOGLETRANSLATE(B2351,""id"",""en"")"),"['Honest', 'Disappointed', 'High School', 'Tsel', ""]")</f>
        <v>['Honest', 'Disappointed', 'High School', 'Tsel', "]</v>
      </c>
      <c r="D2351" s="3">
        <v>1.0</v>
      </c>
    </row>
    <row r="2352" ht="15.75" customHeight="1">
      <c r="A2352" s="1">
        <v>2514.0</v>
      </c>
      <c r="B2352" s="3" t="s">
        <v>2304</v>
      </c>
      <c r="C2352" s="3" t="str">
        <f>IFERROR(__xludf.DUMMYFUNCTION("GOOGLETRANSLATE(B2352,""id"",""en"")"),"['Enter', 'Telkomsel', 'Please', 'Banti']")</f>
        <v>['Enter', 'Telkomsel', 'Please', 'Banti']</v>
      </c>
      <c r="D2352" s="3">
        <v>4.0</v>
      </c>
    </row>
    <row r="2353" ht="15.75" customHeight="1">
      <c r="A2353" s="1">
        <v>2515.0</v>
      </c>
      <c r="B2353" s="3" t="s">
        <v>2305</v>
      </c>
      <c r="C2353" s="3" t="str">
        <f>IFERROR(__xludf.DUMMYFUNCTION("GOOGLETRANSLATE(B2353,""id"",""en"")"),"['use', 'Telkomsel', 'expensive', 'price', 'package', 'telephone', 'internet', 'card', 'already', 'use', 'mkn', 'card', ' Match it ',' cheap ', ""]")</f>
        <v>['use', 'Telkomsel', 'expensive', 'price', 'package', 'telephone', 'internet', 'card', 'already', 'use', 'mkn', 'card', ' Match it ',' cheap ', "]</v>
      </c>
      <c r="D2353" s="3">
        <v>2.0</v>
      </c>
    </row>
    <row r="2354" ht="15.75" customHeight="1">
      <c r="A2354" s="1">
        <v>2516.0</v>
      </c>
      <c r="B2354" s="3" t="s">
        <v>2306</v>
      </c>
      <c r="C2354" s="3" t="str">
        <f>IFERROR(__xludf.DUMMYFUNCTION("GOOGLETRANSLATE(B2354,""id"",""en"")"),"['level', 'obstacles', 'signal', 'etc.', '']")</f>
        <v>['level', 'obstacles', 'signal', 'etc.', '']</v>
      </c>
      <c r="D2354" s="3">
        <v>5.0</v>
      </c>
    </row>
    <row r="2355" ht="15.75" customHeight="1">
      <c r="A2355" s="1">
        <v>2517.0</v>
      </c>
      <c r="B2355" s="3" t="s">
        <v>2307</v>
      </c>
      <c r="C2355" s="3" t="str">
        <f>IFERROR(__xludf.DUMMYFUNCTION("GOOGLETRANSLATE(B2355,""id"",""en"")"),"['Convenience', 'Information']")</f>
        <v>['Convenience', 'Information']</v>
      </c>
      <c r="D2355" s="3">
        <v>5.0</v>
      </c>
    </row>
    <row r="2356" ht="15.75" customHeight="1">
      <c r="A2356" s="1">
        <v>2518.0</v>
      </c>
      <c r="B2356" s="3" t="s">
        <v>2308</v>
      </c>
      <c r="C2356" s="3" t="str">
        <f>IFERROR(__xludf.DUMMYFUNCTION("GOOGLETRANSLATE(B2356,""id"",""en"")"),"['version', 'the latest', 'opened', 'Samsung', 'please', 'the application', 'ngebug', 'screen', 'blank']")</f>
        <v>['version', 'the latest', 'opened', 'Samsung', 'please', 'the application', 'ngebug', 'screen', 'blank']</v>
      </c>
      <c r="D2356" s="3">
        <v>2.0</v>
      </c>
    </row>
    <row r="2357" ht="15.75" customHeight="1">
      <c r="A2357" s="1">
        <v>2519.0</v>
      </c>
      <c r="B2357" s="3" t="s">
        <v>2309</v>
      </c>
      <c r="C2357" s="3" t="str">
        <f>IFERROR(__xludf.DUMMYFUNCTION("GOOGLETRANSLATE(B2357,""id"",""en"")"),"['return', 'pulse', 'friend', 'you', 'Cut', 'Telkomsel', 'package', 'divided', 'package', 'data', 'price', 'expensive', ' network ',' slow ',' like ',' suck ',' pulse ',' careless', 'please', 'President', ""]")</f>
        <v>['return', 'pulse', 'friend', 'you', 'Cut', 'Telkomsel', 'package', 'divided', 'package', 'data', 'price', 'expensive', ' network ',' slow ',' like ',' suck ',' pulse ',' careless', 'please', 'President', "]</v>
      </c>
      <c r="D2357" s="3">
        <v>1.0</v>
      </c>
    </row>
    <row r="2358" ht="15.75" customHeight="1">
      <c r="A2358" s="1">
        <v>2520.0</v>
      </c>
      <c r="B2358" s="3" t="s">
        <v>2310</v>
      </c>
      <c r="C2358" s="3" t="str">
        <f>IFERROR(__xludf.DUMMYFUNCTION("GOOGLETRANSLATE(B2358,""id"",""en"")"),"['Response', 'Costumer', 'Service']")</f>
        <v>['Response', 'Costumer', 'Service']</v>
      </c>
      <c r="D2358" s="3">
        <v>1.0</v>
      </c>
    </row>
    <row r="2359" ht="15.75" customHeight="1">
      <c r="A2359" s="1">
        <v>2521.0</v>
      </c>
      <c r="B2359" s="3" t="s">
        <v>2311</v>
      </c>
      <c r="C2359" s="3" t="str">
        <f>IFERROR(__xludf.DUMMYFUNCTION("GOOGLETRANSLATE(B2359,""id"",""en"")"),"['Change', 'That's', 'Advertising', 'Field', 'Times', 'Papua', 'Papua', 'Already', 'City', 'ngelek', ""]")</f>
        <v>['Change', 'That's', 'Advertising', 'Field', 'Times', 'Papua', 'Papua', 'Already', 'City', 'ngelek', "]</v>
      </c>
      <c r="D2359" s="3">
        <v>1.0</v>
      </c>
    </row>
    <row r="2360" ht="15.75" customHeight="1">
      <c r="A2360" s="1">
        <v>2522.0</v>
      </c>
      <c r="B2360" s="3" t="s">
        <v>1543</v>
      </c>
      <c r="C2360" s="3" t="str">
        <f>IFERROR(__xludf.DUMMYFUNCTION("GOOGLETRANSLATE(B2360,""id"",""en"")"),"['Telkomsel', 'Open']")</f>
        <v>['Telkomsel', 'Open']</v>
      </c>
      <c r="D2360" s="3">
        <v>5.0</v>
      </c>
    </row>
    <row r="2361" ht="15.75" customHeight="1">
      <c r="A2361" s="1">
        <v>2523.0</v>
      </c>
      <c r="B2361" s="3" t="s">
        <v>2312</v>
      </c>
      <c r="C2361" s="3" t="str">
        <f>IFERROR(__xludf.DUMMYFUNCTION("GOOGLETRANSLATE(B2361,""id"",""en"")"),"['weekly', 'apk', 'Telkomsel', 'opened', 'delete', 'download', 'open', 'opened', 'look', 'white']")</f>
        <v>['weekly', 'apk', 'Telkomsel', 'opened', 'delete', 'download', 'open', 'opened', 'look', 'white']</v>
      </c>
      <c r="D2361" s="3">
        <v>3.0</v>
      </c>
    </row>
    <row r="2362" ht="15.75" customHeight="1">
      <c r="A2362" s="1">
        <v>2525.0</v>
      </c>
      <c r="B2362" s="3" t="s">
        <v>2313</v>
      </c>
      <c r="C2362" s="3" t="str">
        <f>IFERROR(__xludf.DUMMYFUNCTION("GOOGLETRANSLATE(B2362,""id"",""en"")"),"['', 'Install', 'Realme', 'narzo', 'ndk', 'open', 'app', 'bintngnya']")</f>
        <v>['', 'Install', 'Realme', 'narzo', 'ndk', 'open', 'app', 'bintngnya']</v>
      </c>
      <c r="D2362" s="3">
        <v>3.0</v>
      </c>
    </row>
    <row r="2363" ht="15.75" customHeight="1">
      <c r="A2363" s="1">
        <v>2526.0</v>
      </c>
      <c r="B2363" s="3" t="s">
        <v>2314</v>
      </c>
      <c r="C2363" s="3" t="str">
        <f>IFERROR(__xludf.DUMMYFUNCTION("GOOGLETRANSLATE(B2363,""id"",""en"")"),"['Steady', 'Jaya', 'Telkomsel']")</f>
        <v>['Steady', 'Jaya', 'Telkomsel']</v>
      </c>
      <c r="D2363" s="3">
        <v>5.0</v>
      </c>
    </row>
    <row r="2364" ht="15.75" customHeight="1">
      <c r="A2364" s="1">
        <v>2527.0</v>
      </c>
      <c r="B2364" s="3" t="s">
        <v>2315</v>
      </c>
      <c r="C2364" s="3" t="str">
        <f>IFERROR(__xludf.DUMMYFUNCTION("GOOGLETRANSLATE(B2364,""id"",""en"")"),"['Satisfied', 'Network', 'Love', 'Star', 'Udh', 'Good', 'Add']")</f>
        <v>['Satisfied', 'Network', 'Love', 'Star', 'Udh', 'Good', 'Add']</v>
      </c>
      <c r="D2364" s="3">
        <v>2.0</v>
      </c>
    </row>
    <row r="2365" ht="15.75" customHeight="1">
      <c r="A2365" s="1">
        <v>2528.0</v>
      </c>
      <c r="B2365" s="3" t="s">
        <v>2316</v>
      </c>
      <c r="C2365" s="3" t="str">
        <f>IFERROR(__xludf.DUMMYFUNCTION("GOOGLETRANSLATE(B2365,""id"",""en"")"),"['Wear', 'Telkomsel', 'Moving', 'Lazy', 'Increases', 'Service', 'Promo', 'Internet', 'Cheap', 'Di CARTU', 'Card', ""]")</f>
        <v>['Wear', 'Telkomsel', 'Moving', 'Lazy', 'Increases', 'Service', 'Promo', 'Internet', 'Cheap', 'Di CARTU', 'Card', "]</v>
      </c>
      <c r="D2365" s="3">
        <v>5.0</v>
      </c>
    </row>
    <row r="2366" ht="15.75" customHeight="1">
      <c r="A2366" s="1">
        <v>2529.0</v>
      </c>
      <c r="B2366" s="3" t="s">
        <v>2317</v>
      </c>
      <c r="C2366" s="3" t="str">
        <f>IFERROR(__xludf.DUMMYFUNCTION("GOOGLETRANSLATE(B2366,""id"",""en"")"),"['restart', 'mode', 'airplane', 'off', 'change', 'signal', 'access', 'quota', 'medsos', 'unlimitied', '']")</f>
        <v>['restart', 'mode', 'airplane', 'off', 'change', 'signal', 'access', 'quota', 'medsos', 'unlimitied', '']</v>
      </c>
      <c r="D2366" s="3">
        <v>4.0</v>
      </c>
    </row>
    <row r="2367" ht="15.75" customHeight="1">
      <c r="A2367" s="1">
        <v>2530.0</v>
      </c>
      <c r="B2367" s="3" t="s">
        <v>2318</v>
      </c>
      <c r="C2367" s="3" t="str">
        <f>IFERROR(__xludf.DUMMYFUNCTION("GOOGLETRANSLATE(B2367,""id"",""en"")"),"['Telkomsel', 'bonus', 'satisfying', '']")</f>
        <v>['Telkomsel', 'bonus', 'satisfying', '']</v>
      </c>
      <c r="D2367" s="3">
        <v>4.0</v>
      </c>
    </row>
    <row r="2368" ht="15.75" customHeight="1">
      <c r="A2368" s="1">
        <v>2531.0</v>
      </c>
      <c r="B2368" s="3" t="s">
        <v>2319</v>
      </c>
      <c r="C2368" s="3" t="str">
        <f>IFERROR(__xludf.DUMMYFUNCTION("GOOGLETRANSLATE(B2368,""id"",""en"")"),"['Use', 'Kasi', 'star', '']")</f>
        <v>['Use', 'Kasi', 'star', '']</v>
      </c>
      <c r="D2368" s="3">
        <v>3.0</v>
      </c>
    </row>
    <row r="2369" ht="15.75" customHeight="1">
      <c r="A2369" s="1">
        <v>2532.0</v>
      </c>
      <c r="B2369" s="3" t="s">
        <v>2320</v>
      </c>
      <c r="C2369" s="3" t="str">
        <f>IFERROR(__xludf.DUMMYFUNCTION("GOOGLETRANSLATE(B2369,""id"",""en"")"),"['Farah', 'because', 'signal', 'in the area', 'remote', 'village', 'madih', 'difficult', '']")</f>
        <v>['Farah', 'because', 'signal', 'in the area', 'remote', 'village', 'madih', 'difficult', '']</v>
      </c>
      <c r="D2369" s="3">
        <v>5.0</v>
      </c>
    </row>
    <row r="2370" ht="15.75" customHeight="1">
      <c r="A2370" s="1">
        <v>2533.0</v>
      </c>
      <c r="B2370" s="3" t="s">
        <v>2321</v>
      </c>
      <c r="C2370" s="3" t="str">
        <f>IFERROR(__xludf.DUMMYFUNCTION("GOOGLETRANSLATE(B2370,""id"",""en"")"),"['Good', 'service']")</f>
        <v>['Good', 'service']</v>
      </c>
      <c r="D2370" s="3">
        <v>5.0</v>
      </c>
    </row>
    <row r="2371" ht="15.75" customHeight="1">
      <c r="A2371" s="1">
        <v>2534.0</v>
      </c>
      <c r="B2371" s="3" t="s">
        <v>2322</v>
      </c>
      <c r="C2371" s="3" t="str">
        <f>IFERROR(__xludf.DUMMYFUNCTION("GOOGLETRANSLATE(B2371,""id"",""en"")"),"['Good', 'level', 'waiter', 'area', 'area']")</f>
        <v>['Good', 'level', 'waiter', 'area', 'area']</v>
      </c>
      <c r="D2371" s="3">
        <v>5.0</v>
      </c>
    </row>
    <row r="2372" ht="15.75" customHeight="1">
      <c r="A2372" s="1">
        <v>2535.0</v>
      </c>
      <c r="B2372" s="3" t="s">
        <v>2323</v>
      </c>
      <c r="C2372" s="3" t="str">
        <f>IFERROR(__xludf.DUMMYFUNCTION("GOOGLETRANSLATE(B2372,""id"",""en"")"),"['Service', 'Satisfied']")</f>
        <v>['Service', 'Satisfied']</v>
      </c>
      <c r="D2372" s="3">
        <v>5.0</v>
      </c>
    </row>
    <row r="2373" ht="15.75" customHeight="1">
      <c r="A2373" s="1">
        <v>2536.0</v>
      </c>
      <c r="B2373" s="3" t="s">
        <v>2324</v>
      </c>
      <c r="C2373" s="3" t="str">
        <f>IFERROR(__xludf.DUMMYFUNCTION("GOOGLETRANSLATE(B2373,""id"",""en"")"),"['Buy', 'Package', 'Data', 'Credit', 'Cut', 'Return', 'Credit', 'Telkomsel', ""]")</f>
        <v>['Buy', 'Package', 'Data', 'Credit', 'Cut', 'Return', 'Credit', 'Telkomsel', "]</v>
      </c>
      <c r="D2373" s="3">
        <v>1.0</v>
      </c>
    </row>
    <row r="2374" ht="15.75" customHeight="1">
      <c r="A2374" s="1">
        <v>2537.0</v>
      </c>
      <c r="B2374" s="3" t="s">
        <v>2325</v>
      </c>
      <c r="C2374" s="3" t="str">
        <f>IFERROR(__xludf.DUMMYFUNCTION("GOOGLETRANSLATE(B2374,""id"",""en"")"),"['Confused', 'Clay', 'Telkomsel', 'Package', 'Diverse', 'Type', 'Variety', 'Where', 'Function', 'Special', 'Signal', 'Full', ' Internet ',' LEG ',' Package ',' Full ',' Useful ',' Internet ',' Local ',' Location ',' Activation ',' Taik ',' Useful ',' Use "&amp;"',' Leet ' , 'Internet', 'combo', 'omg', 'gamemax', 'have', 'expensive', 'price', 'internet', 'Telkomsel', 'million', 'package', 'rich', ' ']")</f>
        <v>['Confused', 'Clay', 'Telkomsel', 'Package', 'Diverse', 'Type', 'Variety', 'Where', 'Function', 'Special', 'Signal', 'Full', ' Internet ',' LEG ',' Package ',' Full ',' Useful ',' Internet ',' Local ',' Location ',' Activation ',' Taik ',' Useful ',' Use ',' Leet ' , 'Internet', 'combo', 'omg', 'gamemax', 'have', 'expensive', 'price', 'internet', 'Telkomsel', 'million', 'package', 'rich', ' ']</v>
      </c>
      <c r="D2374" s="3">
        <v>1.0</v>
      </c>
    </row>
    <row r="2375" ht="15.75" customHeight="1">
      <c r="A2375" s="1">
        <v>2538.0</v>
      </c>
      <c r="B2375" s="3" t="s">
        <v>2326</v>
      </c>
      <c r="C2375" s="3" t="str">
        <f>IFERROR(__xludf.DUMMYFUNCTION("GOOGLETRANSLATE(B2375,""id"",""en"")"),"['Safety', 'Develop']")</f>
        <v>['Safety', 'Develop']</v>
      </c>
      <c r="D2375" s="3">
        <v>5.0</v>
      </c>
    </row>
    <row r="2376" ht="15.75" customHeight="1">
      <c r="A2376" s="1">
        <v>2539.0</v>
      </c>
      <c r="B2376" s="3" t="s">
        <v>2327</v>
      </c>
      <c r="C2376" s="3" t="str">
        <f>IFERROR(__xludf.DUMMYFUNCTION("GOOGLETRANSLATE(B2376,""id"",""en"")"),"['card', 'trash', 'feature', 'key', 'pulse', 'squeezed', 'cokkk', 'ngotakkk', 'sucked', 'pulse', 'cokkkk', 'ngotakkkk']")</f>
        <v>['card', 'trash', 'feature', 'key', 'pulse', 'squeezed', 'cokkk', 'ngotakkk', 'sucked', 'pulse', 'cokkkk', 'ngotakkkk']</v>
      </c>
      <c r="D2376" s="3">
        <v>1.0</v>
      </c>
    </row>
    <row r="2377" ht="15.75" customHeight="1">
      <c r="A2377" s="1">
        <v>2540.0</v>
      </c>
      <c r="B2377" s="3" t="s">
        <v>2328</v>
      </c>
      <c r="C2377" s="3" t="str">
        <f>IFERROR(__xludf.DUMMYFUNCTION("GOOGLETRANSLATE(B2377,""id"",""en"")"),"['like', 'ama', 'Telkomsel', 'cave', 'can', 'bonus',' until ',' lucky ',' can ',' friend ',' can ',' cave ',' Can be ',' please ',' bonus', 'Telkomsel', '']")</f>
        <v>['like', 'ama', 'Telkomsel', 'cave', 'can', 'bonus',' until ',' lucky ',' can ',' friend ',' can ',' cave ',' Can be ',' please ',' bonus', 'Telkomsel', '']</v>
      </c>
      <c r="D2377" s="3">
        <v>4.0</v>
      </c>
    </row>
    <row r="2378" ht="15.75" customHeight="1">
      <c r="A2378" s="1">
        <v>2541.0</v>
      </c>
      <c r="B2378" s="3" t="s">
        <v>2329</v>
      </c>
      <c r="C2378" s="3" t="str">
        <f>IFERROR(__xludf.DUMMYFUNCTION("GOOGLETRANSLATE(B2378,""id"",""en"")"),"['debt', 'pulse', 'application', 'mytelkomsel']")</f>
        <v>['debt', 'pulse', 'application', 'mytelkomsel']</v>
      </c>
      <c r="D2378" s="3">
        <v>5.0</v>
      </c>
    </row>
    <row r="2379" ht="15.75" customHeight="1">
      <c r="A2379" s="1">
        <v>2542.0</v>
      </c>
      <c r="B2379" s="3" t="s">
        <v>2330</v>
      </c>
      <c r="C2379" s="3" t="str">
        <f>IFERROR(__xludf.DUMMYFUNCTION("GOOGLETRANSLATE(B2379,""id"",""en"")"),"['expensive', 'doang', 'signal', 'rotten', '']")</f>
        <v>['expensive', 'doang', 'signal', 'rotten', '']</v>
      </c>
      <c r="D2379" s="3">
        <v>1.0</v>
      </c>
    </row>
    <row r="2380" ht="15.75" customHeight="1">
      <c r="A2380" s="1">
        <v>2543.0</v>
      </c>
      <c r="B2380" s="3" t="s">
        <v>2331</v>
      </c>
      <c r="C2380" s="3" t="str">
        <f>IFERROR(__xludf.DUMMYFUNCTION("GOOGLETRANSLATE(B2380,""id"",""en"")"),"['BB', 'Ngelag', 'Main', 'Game']")</f>
        <v>['BB', 'Ngelag', 'Main', 'Game']</v>
      </c>
      <c r="D2380" s="3">
        <v>1.0</v>
      </c>
    </row>
    <row r="2381" ht="15.75" customHeight="1">
      <c r="A2381" s="1">
        <v>2544.0</v>
      </c>
      <c r="B2381" s="3" t="s">
        <v>2332</v>
      </c>
      <c r="C2381" s="3" t="str">
        <f>IFERROR(__xludf.DUMMYFUNCTION("GOOGLETRANSLATE(B2381,""id"",""en"")"),"['Sis', 'network', 'slow', 'Sis', 'competition', 'school', 'practice', 'deh']")</f>
        <v>['Sis', 'network', 'slow', 'Sis', 'competition', 'school', 'practice', 'deh']</v>
      </c>
      <c r="D2381" s="3">
        <v>1.0</v>
      </c>
    </row>
    <row r="2382" ht="15.75" customHeight="1">
      <c r="A2382" s="1">
        <v>2545.0</v>
      </c>
      <c r="B2382" s="3" t="s">
        <v>2333</v>
      </c>
      <c r="C2382" s="3" t="str">
        <f>IFERROR(__xludf.DUMMYFUNCTION("GOOGLETRANSLATE(B2382,""id"",""en"")"),"['opened', 'application', '']")</f>
        <v>['opened', 'application', '']</v>
      </c>
      <c r="D2382" s="3">
        <v>3.0</v>
      </c>
    </row>
    <row r="2383" ht="15.75" customHeight="1">
      <c r="A2383" s="1">
        <v>2546.0</v>
      </c>
      <c r="B2383" s="3" t="s">
        <v>2334</v>
      </c>
      <c r="C2383" s="3" t="str">
        <f>IFERROR(__xludf.DUMMYFUNCTION("GOOGLETRANSLATE(B2383,""id"",""en"")"),"['Love', 'Application', 'Opened', 'Screen', 'Ngeblank', 'Friend', 'What', 'Telkomsel', ""]")</f>
        <v>['Love', 'Application', 'Opened', 'Screen', 'Ngeblank', 'Friend', 'What', 'Telkomsel', "]</v>
      </c>
      <c r="D2383" s="3">
        <v>3.0</v>
      </c>
    </row>
    <row r="2384" ht="15.75" customHeight="1">
      <c r="A2384" s="1">
        <v>2547.0</v>
      </c>
      <c r="B2384" s="3" t="s">
        <v>2335</v>
      </c>
      <c r="C2384" s="3" t="str">
        <f>IFERROR(__xludf.DUMMYFUNCTION("GOOGLETRANSLATE(B2384,""id"",""en"")"),"['Price', 'Package', 'Ngilake', 'Telkomsel', 'Rise', 'Kebangeretan', '']")</f>
        <v>['Price', 'Package', 'Ngilake', 'Telkomsel', 'Rise', 'Kebangeretan', '']</v>
      </c>
      <c r="D2384" s="3">
        <v>2.0</v>
      </c>
    </row>
    <row r="2385" ht="15.75" customHeight="1">
      <c r="A2385" s="1">
        <v>2548.0</v>
      </c>
      <c r="B2385" s="3" t="s">
        <v>2336</v>
      </c>
      <c r="C2385" s="3" t="str">
        <f>IFERROR(__xludf.DUMMYFUNCTION("GOOGLETRANSLATE(B2385,""id"",""en"")"),"['Help', 'covid', 'covid', 'okay']")</f>
        <v>['Help', 'covid', 'covid', 'okay']</v>
      </c>
      <c r="D2385" s="3">
        <v>5.0</v>
      </c>
    </row>
    <row r="2386" ht="15.75" customHeight="1">
      <c r="A2386" s="1">
        <v>2549.0</v>
      </c>
      <c r="B2386" s="3" t="s">
        <v>2337</v>
      </c>
      <c r="C2386" s="3" t="str">
        <f>IFERROR(__xludf.DUMMYFUNCTION("GOOGLETRANSLATE(B2386,""id"",""en"")"),"['YES', 'Update', 'Function', 'Thank you']")</f>
        <v>['YES', 'Update', 'Function', 'Thank you']</v>
      </c>
      <c r="D2386" s="3">
        <v>4.0</v>
      </c>
    </row>
    <row r="2387" ht="15.75" customHeight="1">
      <c r="A2387" s="1">
        <v>2550.0</v>
      </c>
      <c r="B2387" s="3" t="s">
        <v>2338</v>
      </c>
      <c r="C2387" s="3" t="str">
        <f>IFERROR(__xludf.DUMMYFUNCTION("GOOGLETRANSLATE(B2387,""id"",""en"")"),"['Please', 'repaired', 'sometimes', 'difficult', 'enter']")</f>
        <v>['Please', 'repaired', 'sometimes', 'difficult', 'enter']</v>
      </c>
      <c r="D2387" s="3">
        <v>4.0</v>
      </c>
    </row>
    <row r="2388" ht="15.75" customHeight="1">
      <c r="A2388" s="1">
        <v>2552.0</v>
      </c>
      <c r="B2388" s="3" t="s">
        <v>2339</v>
      </c>
      <c r="C2388" s="3" t="str">
        <f>IFERROR(__xludf.DUMMYFUNCTION("GOOGLETRANSLATE(B2388,""id"",""en"")"),"['Help', 'run out', 'package']")</f>
        <v>['Help', 'run out', 'package']</v>
      </c>
      <c r="D2388" s="3">
        <v>5.0</v>
      </c>
    </row>
    <row r="2389" ht="15.75" customHeight="1">
      <c r="A2389" s="1">
        <v>2553.0</v>
      </c>
      <c r="B2389" s="3" t="s">
        <v>2340</v>
      </c>
      <c r="C2389" s="3" t="str">
        <f>IFERROR(__xludf.DUMMYFUNCTION("GOOGLETRANSLATE(B2389,""id"",""en"")"),"['Good', 'easy', 'choose', 'choice', 'package', 'data']")</f>
        <v>['Good', 'easy', 'choose', 'choice', 'package', 'data']</v>
      </c>
      <c r="D2389" s="3">
        <v>5.0</v>
      </c>
    </row>
    <row r="2390" ht="15.75" customHeight="1">
      <c r="A2390" s="1">
        <v>2554.0</v>
      </c>
      <c r="B2390" s="3" t="s">
        <v>2341</v>
      </c>
      <c r="C2390" s="3" t="str">
        <f>IFERROR(__xludf.DUMMYFUNCTION("GOOGLETRANSLATE(B2390,""id"",""en"")"),"['update', 'open', 'blnk', 'white', 'ajah', 'response']")</f>
        <v>['update', 'open', 'blnk', 'white', 'ajah', 'response']</v>
      </c>
      <c r="D2390" s="3">
        <v>1.0</v>
      </c>
    </row>
    <row r="2391" ht="15.75" customHeight="1">
      <c r="A2391" s="1">
        <v>2555.0</v>
      </c>
      <c r="B2391" s="3" t="s">
        <v>2342</v>
      </c>
      <c r="C2391" s="3" t="str">
        <f>IFERROR(__xludf.DUMMYFUNCTION("GOOGLETRANSLATE(B2391,""id"",""en"")"),"['Telkomtol', 'Ngeleg', 'Goblog', 'Disturbs', 'People', 'Main', 'Dog', 'Telkom']")</f>
        <v>['Telkomtol', 'Ngeleg', 'Goblog', 'Disturbs', 'People', 'Main', 'Dog', 'Telkom']</v>
      </c>
      <c r="D2391" s="3">
        <v>1.0</v>
      </c>
    </row>
    <row r="2392" ht="15.75" customHeight="1">
      <c r="A2392" s="1">
        <v>2556.0</v>
      </c>
      <c r="B2392" s="3" t="s">
        <v>2343</v>
      </c>
      <c r="C2392" s="3" t="str">
        <f>IFERROR(__xludf.DUMMYFUNCTION("GOOGLETRANSLATE(B2392,""id"",""en"")"),"['JARNGAN', 'You', 'BIAT', 'DAK', 'Remote', 'Jaringn', 'Cam', 'Memeq', 'Udh', 'Oecah', ""]")</f>
        <v>['JARNGAN', 'You', 'BIAT', 'DAK', 'Remote', 'Jaringn', 'Cam', 'Memeq', 'Udh', 'Oecah', "]</v>
      </c>
      <c r="D2392" s="3">
        <v>5.0</v>
      </c>
    </row>
    <row r="2393" ht="15.75" customHeight="1">
      <c r="A2393" s="1">
        <v>2557.0</v>
      </c>
      <c r="B2393" s="3" t="s">
        <v>2344</v>
      </c>
      <c r="C2393" s="3" t="str">
        <f>IFERROR(__xludf.DUMMYFUNCTION("GOOGLETRANSLATE(B2393,""id"",""en"")"),"['signal', 'area', 'Seleman', 'Temptku', 'work', 'signal', 'bad', 'disappointing', 'cook', 'yes',' bring ',' wifi ',' Use ',' Card ',' Telkomsel ',' Money ',' Network ',' Disappointing ']")</f>
        <v>['signal', 'area', 'Seleman', 'Temptku', 'work', 'signal', 'bad', 'disappointing', 'cook', 'yes',' bring ',' wifi ',' Use ',' Card ',' Telkomsel ',' Money ',' Network ',' Disappointing ']</v>
      </c>
      <c r="D2393" s="3">
        <v>1.0</v>
      </c>
    </row>
    <row r="2394" ht="15.75" customHeight="1">
      <c r="A2394" s="1">
        <v>2558.0</v>
      </c>
      <c r="B2394" s="3" t="s">
        <v>2345</v>
      </c>
      <c r="C2394" s="3" t="str">
        <f>IFERROR(__xludf.DUMMYFUNCTION("GOOGLETRANSLATE(B2394,""id"",""en"")"),"['Network', 'slow', 'card', 'Hello']")</f>
        <v>['Network', 'slow', 'card', 'Hello']</v>
      </c>
      <c r="D2394" s="3">
        <v>1.0</v>
      </c>
    </row>
    <row r="2395" ht="15.75" customHeight="1">
      <c r="A2395" s="1">
        <v>2559.0</v>
      </c>
      <c r="B2395" s="3" t="s">
        <v>2346</v>
      </c>
      <c r="C2395" s="3" t="str">
        <f>IFERROR(__xludf.DUMMYFUNCTION("GOOGLETRANSLATE(B2395,""id"",""en"")"),"['Enter', 'Category', 'Telkomsel', 'Bye']")</f>
        <v>['Enter', 'Category', 'Telkomsel', 'Bye']</v>
      </c>
      <c r="D2395" s="3">
        <v>5.0</v>
      </c>
    </row>
    <row r="2396" ht="15.75" customHeight="1">
      <c r="A2396" s="1">
        <v>2560.0</v>
      </c>
      <c r="B2396" s="3" t="s">
        <v>2347</v>
      </c>
      <c r="C2396" s="3" t="str">
        <f>IFERROR(__xludf.DUMMYFUNCTION("GOOGLETRANSLATE(B2396,""id"",""en"")"),"['The network', 'slow', 'right', 'buy', 'quota', 'unlimited', 'GB', 'slow', 'severe', 'night', 'beg', 'repaired', ' ']")</f>
        <v>['The network', 'slow', 'right', 'buy', 'quota', 'unlimited', 'GB', 'slow', 'severe', 'night', 'beg', 'repaired', ' ']</v>
      </c>
      <c r="D2396" s="3">
        <v>1.0</v>
      </c>
    </row>
    <row r="2397" ht="15.75" customHeight="1">
      <c r="A2397" s="1">
        <v>2561.0</v>
      </c>
      <c r="B2397" s="3" t="s">
        <v>2348</v>
      </c>
      <c r="C2397" s="3" t="str">
        <f>IFERROR(__xludf.DUMMYFUNCTION("GOOGLETRANSLATE(B2397,""id"",""en"")"),"['Needed', 'Quality', 'Network', 'Good', 'Price', 'Package', 'Enhanced']")</f>
        <v>['Needed', 'Quality', 'Network', 'Good', 'Price', 'Package', 'Enhanced']</v>
      </c>
      <c r="D2397" s="3">
        <v>1.0</v>
      </c>
    </row>
    <row r="2398" ht="15.75" customHeight="1">
      <c r="A2398" s="1">
        <v>2562.0</v>
      </c>
      <c r="B2398" s="3" t="s">
        <v>2349</v>
      </c>
      <c r="C2398" s="3" t="str">
        <f>IFERROR(__xludf.DUMMYFUNCTION("GOOGLETRANSLATE(B2398,""id"",""en"")"),"['good', 'byee', 'Telkomsel', 'moved', 'operator', 'next door', 'subscribe', 'package', 'here', 'strangling', 'price', 'package', ' Forgiveness', 'pokonya']")</f>
        <v>['good', 'byee', 'Telkomsel', 'moved', 'operator', 'next door', 'subscribe', 'package', 'here', 'strangling', 'price', 'package', ' Forgiveness', 'pokonya']</v>
      </c>
      <c r="D2398" s="3">
        <v>2.0</v>
      </c>
    </row>
    <row r="2399" ht="15.75" customHeight="1">
      <c r="A2399" s="1">
        <v>2563.0</v>
      </c>
      <c r="B2399" s="3" t="s">
        <v>2350</v>
      </c>
      <c r="C2399" s="3" t="str">
        <f>IFERROR(__xludf.DUMMYFUNCTION("GOOGLETRANSLATE(B2399,""id"",""en"")"),"['Please', 'Network', 'Internet', 'Benerin']")</f>
        <v>['Please', 'Network', 'Internet', 'Benerin']</v>
      </c>
      <c r="D2399" s="3">
        <v>1.0</v>
      </c>
    </row>
    <row r="2400" ht="15.75" customHeight="1">
      <c r="A2400" s="1">
        <v>2564.0</v>
      </c>
      <c r="B2400" s="3" t="s">
        <v>2351</v>
      </c>
      <c r="C2400" s="3" t="str">
        <f>IFERROR(__xludf.DUMMYFUNCTION("GOOGLETRANSLATE(B2400,""id"",""en"")"),"['Come here', 'Jaringn', 'ugly', 'ajhh']")</f>
        <v>['Come here', 'Jaringn', 'ugly', 'ajhh']</v>
      </c>
      <c r="D2400" s="3">
        <v>2.0</v>
      </c>
    </row>
    <row r="2401" ht="15.75" customHeight="1">
      <c r="A2401" s="1">
        <v>2565.0</v>
      </c>
      <c r="B2401" s="3" t="s">
        <v>493</v>
      </c>
      <c r="C2401" s="3" t="str">
        <f>IFERROR(__xludf.DUMMYFUNCTION("GOOGLETRANSLATE(B2401,""id"",""en"")"),"['like', 'application', 'Telkomsel']")</f>
        <v>['like', 'application', 'Telkomsel']</v>
      </c>
      <c r="D2401" s="3">
        <v>5.0</v>
      </c>
    </row>
    <row r="2402" ht="15.75" customHeight="1">
      <c r="A2402" s="1">
        <v>2566.0</v>
      </c>
      <c r="B2402" s="3" t="s">
        <v>2352</v>
      </c>
      <c r="C2402" s="3" t="str">
        <f>IFERROR(__xludf.DUMMYFUNCTION("GOOGLETRANSLATE(B2402,""id"",""en"")"),"['Help', 'Useful', 'User', '']")</f>
        <v>['Help', 'Useful', 'User', '']</v>
      </c>
      <c r="D2402" s="3">
        <v>5.0</v>
      </c>
    </row>
    <row r="2403" ht="15.75" customHeight="1">
      <c r="A2403" s="1">
        <v>2567.0</v>
      </c>
      <c r="B2403" s="3" t="s">
        <v>2353</v>
      </c>
      <c r="C2403" s="3" t="str">
        <f>IFERROR(__xludf.DUMMYFUNCTION("GOOGLETRANSLATE(B2403,""id"",""en"")"),"['Severe', 'waste', 'opened', 'blank', 'white', 'kupuang', 'then', 'install', 'many', 'waduuh', 'dizzy', 'really', ' The application ',' Good ',' ugly ',' Severe ',' Severe ',' ']")</f>
        <v>['Severe', 'waste', 'opened', 'blank', 'white', 'kupuang', 'then', 'install', 'many', 'waduuh', 'dizzy', 'really', ' The application ',' Good ',' ugly ',' Severe ',' Severe ',' ']</v>
      </c>
      <c r="D2403" s="3">
        <v>1.0</v>
      </c>
    </row>
    <row r="2404" ht="15.75" customHeight="1">
      <c r="A2404" s="1">
        <v>2568.0</v>
      </c>
      <c r="B2404" s="3" t="s">
        <v>2354</v>
      </c>
      <c r="C2404" s="3" t="str">
        <f>IFERROR(__xludf.DUMMYFUNCTION("GOOGLETRANSLATE(B2404,""id"",""en"")"),"['Network', 'Good', 'Threat', 'Bagus',' AXIS ',' Card ',' Cheap ',' Expensive ',' Network ',' Ancur ',' Comparable ',' Price ',' Najis', 'bngt']")</f>
        <v>['Network', 'Good', 'Threat', 'Bagus',' AXIS ',' Card ',' Cheap ',' Expensive ',' Network ',' Ancur ',' Comparable ',' Price ',' Najis', 'bngt']</v>
      </c>
      <c r="D2404" s="3">
        <v>1.0</v>
      </c>
    </row>
    <row r="2405" ht="15.75" customHeight="1">
      <c r="A2405" s="1">
        <v>2570.0</v>
      </c>
      <c r="B2405" s="3" t="s">
        <v>2355</v>
      </c>
      <c r="C2405" s="3" t="str">
        <f>IFERROR(__xludf.DUMMYFUNCTION("GOOGLETRANSLATE(B2405,""id"",""en"")"),"['Buk', 'Points', 'Ngk', 'Exchange', 'Please', 'Fix', 'Buk']")</f>
        <v>['Buk', 'Points', 'Ngk', 'Exchange', 'Please', 'Fix', 'Buk']</v>
      </c>
      <c r="D2405" s="3">
        <v>1.0</v>
      </c>
    </row>
    <row r="2406" ht="15.75" customHeight="1">
      <c r="A2406" s="1">
        <v>2572.0</v>
      </c>
      <c r="B2406" s="3" t="s">
        <v>2356</v>
      </c>
      <c r="C2406" s="3" t="str">
        <f>IFERROR(__xludf.DUMMYFUNCTION("GOOGLETRANSLATE(B2406,""id"",""en"")"),"['Rating', 'Send', 'Review', 'Dust', 'Sangay', 'Rotten', 'Notice', 'Complaints',' Customer ',' Expensive ',' Bad ',' Sinyal ',' Change ',' Card ',' Males', 'Telkomsel', 'Please', 'Read', 'Please', 'Type', 'Review', 'Help']")</f>
        <v>['Rating', 'Send', 'Review', 'Dust', 'Sangay', 'Rotten', 'Notice', 'Complaints',' Customer ',' Expensive ',' Bad ',' Sinyal ',' Change ',' Card ',' Males', 'Telkomsel', 'Please', 'Read', 'Please', 'Type', 'Review', 'Help']</v>
      </c>
      <c r="D2406" s="3">
        <v>1.0</v>
      </c>
    </row>
    <row r="2407" ht="15.75" customHeight="1">
      <c r="A2407" s="1">
        <v>2573.0</v>
      </c>
      <c r="B2407" s="3" t="s">
        <v>2357</v>
      </c>
      <c r="C2407" s="3" t="str">
        <f>IFERROR(__xludf.DUMMYFUNCTION("GOOGLETRANSLATE(B2407,""id"",""en"")"),"['application', 'MyTelkomsel', 'no', 'opened', '']")</f>
        <v>['application', 'MyTelkomsel', 'no', 'opened', '']</v>
      </c>
      <c r="D2407" s="3">
        <v>2.0</v>
      </c>
    </row>
    <row r="2408" ht="15.75" customHeight="1">
      <c r="A2408" s="1">
        <v>2574.0</v>
      </c>
      <c r="B2408" s="3" t="s">
        <v>2358</v>
      </c>
      <c r="C2408" s="3" t="str">
        <f>IFERROR(__xludf.DUMMYFUNCTION("GOOGLETRANSLATE(B2408,""id"",""en"")"),"['Open', 'Application', 'Response', 'Fix', 'Work', '']")</f>
        <v>['Open', 'Application', 'Response', 'Fix', 'Work', '']</v>
      </c>
      <c r="D2408" s="3">
        <v>1.0</v>
      </c>
    </row>
    <row r="2409" ht="15.75" customHeight="1">
      <c r="A2409" s="1">
        <v>2575.0</v>
      </c>
      <c r="B2409" s="3" t="s">
        <v>2359</v>
      </c>
      <c r="C2409" s="3" t="str">
        <f>IFERROR(__xludf.DUMMYFUNCTION("GOOGLETRANSLATE(B2409,""id"",""en"")"),"['open', 'application', 'difficult', 'deh', 'application']")</f>
        <v>['open', 'application', 'difficult', 'deh', 'application']</v>
      </c>
      <c r="D2409" s="3">
        <v>1.0</v>
      </c>
    </row>
    <row r="2410" ht="15.75" customHeight="1">
      <c r="A2410" s="1">
        <v>2576.0</v>
      </c>
      <c r="B2410" s="3" t="s">
        <v>2360</v>
      </c>
      <c r="C2410" s="3" t="str">
        <f>IFERROR(__xludf.DUMMYFUNCTION("GOOGLETRANSLATE(B2410,""id"",""en"")"),"['Telkomsel', 'Hope', 'Best', 'Sabang', 'Merauke', ""]")</f>
        <v>['Telkomsel', 'Hope', 'Best', 'Sabang', 'Merauke', "]</v>
      </c>
      <c r="D2410" s="3">
        <v>5.0</v>
      </c>
    </row>
    <row r="2411" ht="15.75" customHeight="1">
      <c r="A2411" s="1">
        <v>2577.0</v>
      </c>
      <c r="B2411" s="3" t="s">
        <v>2361</v>
      </c>
      <c r="C2411" s="3" t="str">
        <f>IFERROR(__xludf.DUMMYFUNCTION("GOOGLETRANSLATE(B2411,""id"",""en"")"),"['', 'surprised', 'apk', 'promo', 'pket', 'cheap', 'gtu', 'buy', 'ganguan', 'jrgan', 'wait', 'lgi', 'minutes ',' Gilla ',' Telkomsel ',' repeated ',' Msih ',' Sueeeee ']")</f>
        <v>['', 'surprised', 'apk', 'promo', 'pket', 'cheap', 'gtu', 'buy', 'ganguan', 'jrgan', 'wait', 'lgi', 'minutes ',' Gilla ',' Telkomsel ',' repeated ',' Msih ',' Sueeeee ']</v>
      </c>
      <c r="D2411" s="3">
        <v>1.0</v>
      </c>
    </row>
    <row r="2412" ht="15.75" customHeight="1">
      <c r="A2412" s="1">
        <v>2578.0</v>
      </c>
      <c r="B2412" s="3" t="s">
        <v>2362</v>
      </c>
      <c r="C2412" s="3" t="str">
        <f>IFERROR(__xludf.DUMMYFUNCTION("GOOGLETRANSLATE(B2412,""id"",""en"")"),"['Severe', 'network', 'Telkomsel', 'star', 'love', 'star', 'already', 'buy', 'package', 'expensive', 'network', 'crazy', ' slow ',' fast ',' snail ',' village ',' fast ',' smartfren ',' love ',' star ',' pitam ',' network ',' original ',' open ',' package"&amp;" ' , 'wasted']")</f>
        <v>['Severe', 'network', 'Telkomsel', 'star', 'love', 'star', 'already', 'buy', 'package', 'expensive', 'network', 'crazy', ' slow ',' fast ',' snail ',' village ',' fast ',' smartfren ',' love ',' star ',' pitam ',' network ',' original ',' open ',' package ' , 'wasted']</v>
      </c>
      <c r="D2412" s="3">
        <v>1.0</v>
      </c>
    </row>
    <row r="2413" ht="15.75" customHeight="1">
      <c r="A2413" s="1">
        <v>2579.0</v>
      </c>
      <c r="B2413" s="3" t="s">
        <v>2363</v>
      </c>
      <c r="C2413" s="3" t="str">
        <f>IFERROR(__xludf.DUMMYFUNCTION("GOOGLETRANSLATE(B2413,""id"",""en"")"),"['already', 'cool', 'promo', 'donk', '']")</f>
        <v>['already', 'cool', 'promo', 'donk', '']</v>
      </c>
      <c r="D2413" s="3">
        <v>5.0</v>
      </c>
    </row>
    <row r="2414" ht="15.75" customHeight="1">
      <c r="A2414" s="1">
        <v>2580.0</v>
      </c>
      <c r="B2414" s="3" t="s">
        <v>2364</v>
      </c>
      <c r="C2414" s="3" t="str">
        <f>IFERROR(__xludf.DUMMYFUNCTION("GOOGLETRANSLATE(B2414,""id"",""en"")"),"['APK', 'check', 'quota', 'package', 'data', 'happy', 'signal', 'remote', 'area', 'preferred', 'Telkomsel', 'Different', ' Differentiate ',' card ',' made ',' uniform ',' card ',' Sakti ',' ']")</f>
        <v>['APK', 'check', 'quota', 'package', 'data', 'happy', 'signal', 'remote', 'area', 'preferred', 'Telkomsel', 'Different', ' Differentiate ',' card ',' made ',' uniform ',' card ',' Sakti ',' ']</v>
      </c>
      <c r="D2414" s="3">
        <v>4.0</v>
      </c>
    </row>
    <row r="2415" ht="15.75" customHeight="1">
      <c r="A2415" s="1">
        <v>2581.0</v>
      </c>
      <c r="B2415" s="3" t="s">
        <v>2365</v>
      </c>
      <c r="C2415" s="3" t="str">
        <f>IFERROR(__xludf.DUMMYFUNCTION("GOOGLETRANSLATE(B2415,""id"",""en"")"),"['Package', 'Sekrang', 'Unlimited', 'Limit', 'Mending', 'Use', 'Indosat', 'right', 'a month', ""]")</f>
        <v>['Package', 'Sekrang', 'Unlimited', 'Limit', 'Mending', 'Use', 'Indosat', 'right', 'a month', "]</v>
      </c>
      <c r="D2415" s="3">
        <v>1.0</v>
      </c>
    </row>
    <row r="2416" ht="15.75" customHeight="1">
      <c r="A2416" s="1">
        <v>2582.0</v>
      </c>
      <c r="B2416" s="3" t="s">
        <v>2366</v>
      </c>
      <c r="C2416" s="3" t="str">
        <f>IFERROR(__xludf.DUMMYFUNCTION("GOOGLETRANSLATE(B2416,""id"",""en"")"),"['Disappointed', 'Network', 'Telkomsel', 'Bad', '']")</f>
        <v>['Disappointed', 'Network', 'Telkomsel', 'Bad', '']</v>
      </c>
      <c r="D2416" s="3">
        <v>1.0</v>
      </c>
    </row>
    <row r="2417" ht="15.75" customHeight="1">
      <c r="A2417" s="1">
        <v>2583.0</v>
      </c>
      <c r="B2417" s="3" t="s">
        <v>2367</v>
      </c>
      <c r="C2417" s="3" t="str">
        <f>IFERROR(__xludf.DUMMYFUNCTION("GOOGLETRANSLATE(B2417,""id"",""en"")"),"['Tissue', 'Telkomsel', 'veryttt', 'Badkkkkkk', 'provider', 'smooth', 'smooth', 'promo', 'then', 'network', 'Somain', 'Leading', ' The slow ',' ']")</f>
        <v>['Tissue', 'Telkomsel', 'veryttt', 'Badkkkkkk', 'provider', 'smooth', 'smooth', 'promo', 'then', 'network', 'Somain', 'Leading', ' The slow ',' ']</v>
      </c>
      <c r="D2417" s="3">
        <v>1.0</v>
      </c>
    </row>
    <row r="2418" ht="15.75" customHeight="1">
      <c r="A2418" s="1">
        <v>2584.0</v>
      </c>
      <c r="B2418" s="3" t="s">
        <v>2368</v>
      </c>
      <c r="C2418" s="3" t="str">
        <f>IFERROR(__xludf.DUMMYFUNCTION("GOOGLETRANSLATE(B2418,""id"",""en"")"),"['Price', 'Naek', 'Turnin', 'Napa', 'Boss']")</f>
        <v>['Price', 'Naek', 'Turnin', 'Napa', 'Boss']</v>
      </c>
      <c r="D2418" s="3">
        <v>2.0</v>
      </c>
    </row>
    <row r="2419" ht="15.75" customHeight="1">
      <c r="A2419" s="1">
        <v>2585.0</v>
      </c>
      <c r="B2419" s="3" t="s">
        <v>2369</v>
      </c>
      <c r="C2419" s="3" t="str">
        <f>IFERROR(__xludf.DUMMYFUNCTION("GOOGLETRANSLATE(B2419,""id"",""en"")"),"['', 'Akett', 'expensive', 'network', 'missing', '']")</f>
        <v>['', 'Akett', 'expensive', 'network', 'missing', '']</v>
      </c>
      <c r="D2419" s="3">
        <v>1.0</v>
      </c>
    </row>
    <row r="2420" ht="15.75" customHeight="1">
      <c r="A2420" s="1">
        <v>2586.0</v>
      </c>
      <c r="B2420" s="3" t="s">
        <v>2370</v>
      </c>
      <c r="C2420" s="3" t="str">
        <f>IFERROR(__xludf.DUMMYFUNCTION("GOOGLETRANSLATE(B2420,""id"",""en"")"),"['Bgus', 'jargan', 'skrng', 'slow']")</f>
        <v>['Bgus', 'jargan', 'skrng', 'slow']</v>
      </c>
      <c r="D2420" s="3">
        <v>1.0</v>
      </c>
    </row>
    <row r="2421" ht="15.75" customHeight="1">
      <c r="A2421" s="1">
        <v>2587.0</v>
      </c>
      <c r="B2421" s="3" t="s">
        <v>2371</v>
      </c>
      <c r="C2421" s="3" t="str">
        <f>IFERROR(__xludf.DUMMYFUNCTION("GOOGLETRANSLATE(B2421,""id"",""en"")"),"['disappointed', 'network', 'Telkomsel', 'backward', 'Telkomsel', 'strong', 'signal', 'rural', 'here', 'severe', 'provider', 'change', ' Compared to ',' Reversed ',' Telkomsel ',' Change ',' Bad ',' Transition ',' Muter ',' YouTub ',' Buffering ',' Closed"&amp;" ',' Wear ',' Telkomsel ']")</f>
        <v>['disappointed', 'network', 'Telkomsel', 'backward', 'Telkomsel', 'strong', 'signal', 'rural', 'here', 'severe', 'provider', 'change', ' Compared to ',' Reversed ',' Telkomsel ',' Change ',' Bad ',' Transition ',' Muter ',' YouTub ',' Buffering ',' Closed ',' Wear ',' Telkomsel ']</v>
      </c>
      <c r="D2421" s="3">
        <v>1.0</v>
      </c>
    </row>
    <row r="2422" ht="15.75" customHeight="1">
      <c r="A2422" s="1">
        <v>2588.0</v>
      </c>
      <c r="B2422" s="3" t="s">
        <v>2372</v>
      </c>
      <c r="C2422" s="3" t="str">
        <f>IFERROR(__xludf.DUMMYFUNCTION("GOOGLETRANSLATE(B2422,""id"",""en"")"),"['', '']")</f>
        <v>['', '']</v>
      </c>
      <c r="D2422" s="3">
        <v>3.0</v>
      </c>
    </row>
    <row r="2423" ht="15.75" customHeight="1">
      <c r="A2423" s="1">
        <v>2589.0</v>
      </c>
      <c r="B2423" s="3" t="s">
        <v>2373</v>
      </c>
      <c r="C2423" s="3" t="str">
        <f>IFERROR(__xludf.DUMMYFUNCTION("GOOGLETRANSLATE(B2423,""id"",""en"")"),"['easy', 'easy']")</f>
        <v>['easy', 'easy']</v>
      </c>
      <c r="D2423" s="3">
        <v>5.0</v>
      </c>
    </row>
    <row r="2424" ht="15.75" customHeight="1">
      <c r="A2424" s="1">
        <v>2590.0</v>
      </c>
      <c r="B2424" s="3" t="s">
        <v>2374</v>
      </c>
      <c r="C2424" s="3" t="str">
        <f>IFERROR(__xludf.DUMMYFUNCTION("GOOGLETRANSLATE(B2424,""id"",""en"")"),"['levelttykannn', 'jaringaannnn', 'package', 'expensive', 'mahaalll', 'dongggg']")</f>
        <v>['levelttykannn', 'jaringaannnn', 'package', 'expensive', 'mahaalll', 'dongggg']</v>
      </c>
      <c r="D2424" s="3">
        <v>3.0</v>
      </c>
    </row>
    <row r="2425" ht="15.75" customHeight="1">
      <c r="A2425" s="1">
        <v>2591.0</v>
      </c>
      <c r="B2425" s="3" t="s">
        <v>2375</v>
      </c>
      <c r="C2425" s="3" t="str">
        <f>IFERROR(__xludf.DUMMYFUNCTION("GOOGLETRANSLATE(B2425,""id"",""en"")"),"['Package', 'data', 'price', 'expensive', 'network', 'ugly', 'buy']")</f>
        <v>['Package', 'data', 'price', 'expensive', 'network', 'ugly', 'buy']</v>
      </c>
      <c r="D2425" s="3">
        <v>1.0</v>
      </c>
    </row>
    <row r="2426" ht="15.75" customHeight="1">
      <c r="A2426" s="1">
        <v>2592.0</v>
      </c>
      <c r="B2426" s="3" t="s">
        <v>2376</v>
      </c>
      <c r="C2426" s="3" t="str">
        <f>IFERROR(__xludf.DUMMYFUNCTION("GOOGLETRANSLATE(B2426,""id"",""en"")"),"['Applyii', 'kmprettt', 'no', 'can', 'bukabaaa']")</f>
        <v>['Applyii', 'kmprettt', 'no', 'can', 'bukabaaa']</v>
      </c>
      <c r="D2426" s="3">
        <v>1.0</v>
      </c>
    </row>
    <row r="2427" ht="15.75" customHeight="1">
      <c r="A2427" s="1">
        <v>2593.0</v>
      </c>
      <c r="B2427" s="3" t="s">
        <v>2377</v>
      </c>
      <c r="C2427" s="3" t="str">
        <f>IFERROR(__xludf.DUMMYFUNCTION("GOOGLETRANSLATE(B2427,""id"",""en"")"),"['Lemot', 'LEG', 'Erorpr']")</f>
        <v>['Lemot', 'LEG', 'Erorpr']</v>
      </c>
      <c r="D2427" s="3">
        <v>1.0</v>
      </c>
    </row>
    <row r="2428" ht="15.75" customHeight="1">
      <c r="A2428" s="1">
        <v>2594.0</v>
      </c>
      <c r="B2428" s="3" t="s">
        <v>2378</v>
      </c>
      <c r="C2428" s="3" t="str">
        <f>IFERROR(__xludf.DUMMYFUNCTION("GOOGLETRANSLATE(B2428,""id"",""en"")"),"['Verivikasi', 'Mulu', 'already', 'update', 'open', 'get', 'sms', 'mulu', 'open']")</f>
        <v>['Verivikasi', 'Mulu', 'already', 'update', 'open', 'get', 'sms', 'mulu', 'open']</v>
      </c>
      <c r="D2428" s="3">
        <v>1.0</v>
      </c>
    </row>
    <row r="2429" ht="15.75" customHeight="1">
      <c r="A2429" s="1">
        <v>2595.0</v>
      </c>
      <c r="B2429" s="3" t="s">
        <v>2379</v>
      </c>
      <c r="C2429" s="3" t="str">
        <f>IFERROR(__xludf.DUMMYFUNCTION("GOOGLETRANSLATE(B2429,""id"",""en"")"),"['wonder', 'noon', 'network', 'good', 'broken', 'until', 'night', 'network', 'missing', 'arising', 'bar', 'full', ' price ',' quota ',' expensive ',' according to ',' network ',' broken ',' gmna ',' love ',' solution ',' speed ',' network ',' kyk ',' card"&amp;" ' , 'rivals', 'Telkom', 'price', 'quota', 'card', 'rival', 'telkom', 'good', 'draw', 'telkom', 'skrng']")</f>
        <v>['wonder', 'noon', 'network', 'good', 'broken', 'until', 'night', 'network', 'missing', 'arising', 'bar', 'full', ' price ',' quota ',' expensive ',' according to ',' network ',' broken ',' gmna ',' love ',' solution ',' speed ',' network ',' kyk ',' card ' , 'rivals', 'Telkom', 'price', 'quota', 'card', 'rival', 'telkom', 'good', 'draw', 'telkom', 'skrng']</v>
      </c>
      <c r="D2429" s="3">
        <v>1.0</v>
      </c>
    </row>
    <row r="2430" ht="15.75" customHeight="1">
      <c r="A2430" s="1">
        <v>2597.0</v>
      </c>
      <c r="B2430" s="3" t="s">
        <v>2380</v>
      </c>
      <c r="C2430" s="3" t="str">
        <f>IFERROR(__xludf.DUMMYFUNCTION("GOOGLETRANSLATE(B2430,""id"",""en"")"),"['Severe', 'signal', 'anjg']")</f>
        <v>['Severe', 'signal', 'anjg']</v>
      </c>
      <c r="D2430" s="3">
        <v>1.0</v>
      </c>
    </row>
    <row r="2431" ht="15.75" customHeight="1">
      <c r="A2431" s="1">
        <v>2598.0</v>
      </c>
      <c r="B2431" s="3" t="s">
        <v>2381</v>
      </c>
      <c r="C2431" s="3" t="str">
        <f>IFERROR(__xludf.DUMMYFUNCTION("GOOGLETRANSLATE(B2431,""id"",""en"")"),"['application', 'ugly']")</f>
        <v>['application', 'ugly']</v>
      </c>
      <c r="D2431" s="3">
        <v>1.0</v>
      </c>
    </row>
    <row r="2432" ht="15.75" customHeight="1">
      <c r="A2432" s="1">
        <v>2599.0</v>
      </c>
      <c r="B2432" s="3" t="s">
        <v>2382</v>
      </c>
      <c r="C2432" s="3" t="str">
        <f>IFERROR(__xludf.DUMMYFUNCTION("GOOGLETRANSLATE(B2432,""id"",""en"")"),"['Dear', 'Telkomsel', 'quota', 'buy', 'Network', 'Her Harunya', 'Consistent', 'Package', 'Expensive', 'Quality', 'Good', 'Please', ' Fix ',' thank ',' love ',' love ',' Read ',' Porih ',' concerned ',' less', 'signal', 'Mending', 'Indosat', 'thank', 'love"&amp;"' ]")</f>
        <v>['Dear', 'Telkomsel', 'quota', 'buy', 'Network', 'Her Harunya', 'Consistent', 'Package', 'Expensive', 'Quality', 'Good', 'Please', ' Fix ',' thank ',' love ',' love ',' Read ',' Porih ',' concerned ',' less', 'signal', 'Mending', 'Indosat', 'thank', 'love' ]</v>
      </c>
      <c r="D2432" s="3">
        <v>1.0</v>
      </c>
    </row>
    <row r="2433" ht="15.75" customHeight="1">
      <c r="A2433" s="1">
        <v>2600.0</v>
      </c>
      <c r="B2433" s="3" t="s">
        <v>2383</v>
      </c>
      <c r="C2433" s="3" t="str">
        <f>IFERROR(__xludf.DUMMYFUNCTION("GOOGLETRANSLATE(B2433,""id"",""en"")"),"['Come', 'Severe', 'Pokonya', 'Disappointed', 'Package', 'Data', 'Signal', 'Full', 'Network', 'Lemot', 'Maen', 'Game', ' Bete ',' signal ',' slow ',' ']")</f>
        <v>['Come', 'Severe', 'Pokonya', 'Disappointed', 'Package', 'Data', 'Signal', 'Full', 'Network', 'Lemot', 'Maen', 'Game', ' Bete ',' signal ',' slow ',' ']</v>
      </c>
      <c r="D2433" s="3">
        <v>2.0</v>
      </c>
    </row>
    <row r="2434" ht="15.75" customHeight="1">
      <c r="A2434" s="1">
        <v>2601.0</v>
      </c>
      <c r="B2434" s="3" t="s">
        <v>2384</v>
      </c>
      <c r="C2434" s="3" t="str">
        <f>IFERROR(__xludf.DUMMYFUNCTION("GOOGLETRANSLATE(B2434,""id"",""en"")"),"['', 'Telkomsel', 'satisfying', 'use', 'Kandala', 'Anyway', 'Satisfied', 'Mantap', ""]")</f>
        <v>['', 'Telkomsel', 'satisfying', 'use', 'Kandala', 'Anyway', 'Satisfied', 'Mantap', "]</v>
      </c>
      <c r="D2434" s="3">
        <v>5.0</v>
      </c>
    </row>
    <row r="2435" ht="15.75" customHeight="1">
      <c r="A2435" s="1">
        <v>2602.0</v>
      </c>
      <c r="B2435" s="3" t="s">
        <v>2385</v>
      </c>
      <c r="C2435" s="3" t="str">
        <f>IFERROR(__xludf.DUMMYFUNCTION("GOOGLETRANSLATE(B2435,""id"",""en"")"),"['SIM', 'Card', 'SIM', 'Card', 'Different', 'Quality', 'Connection', 'Activation', 'SIM', 'Card', 'Tends',' Laload ',' HARD ',' Catch ',' Network ',' SIM ',' Card ',' Connection ',' Internet ',' Please ',' Fix ',' Telkomsel ',' Dear ']")</f>
        <v>['SIM', 'Card', 'SIM', 'Card', 'Different', 'Quality', 'Connection', 'Activation', 'SIM', 'Card', 'Tends',' Laload ',' HARD ',' Catch ',' Network ',' SIM ',' Card ',' Connection ',' Internet ',' Please ',' Fix ',' Telkomsel ',' Dear ']</v>
      </c>
      <c r="D2435" s="3">
        <v>1.0</v>
      </c>
    </row>
    <row r="2436" ht="15.75" customHeight="1">
      <c r="A2436" s="1">
        <v>2603.0</v>
      </c>
      <c r="B2436" s="3" t="s">
        <v>2386</v>
      </c>
      <c r="C2436" s="3" t="str">
        <f>IFERROR(__xludf.DUMMYFUNCTION("GOOGLETRANSLATE(B2436,""id"",""en"")"),"['Application', 'supports']")</f>
        <v>['Application', 'supports']</v>
      </c>
      <c r="D2436" s="3">
        <v>4.0</v>
      </c>
    </row>
    <row r="2437" ht="15.75" customHeight="1">
      <c r="A2437" s="1">
        <v>2605.0</v>
      </c>
      <c r="B2437" s="3" t="s">
        <v>2387</v>
      </c>
      <c r="C2437" s="3" t="str">
        <f>IFERROR(__xludf.DUMMYFUNCTION("GOOGLETRANSLATE(B2437,""id"",""en"")"),"['The network', 'threat', 'mending', 'regret', 'make', 'card', 'already', 'expensive', 'network', '']")</f>
        <v>['The network', 'threat', 'mending', 'regret', 'make', 'card', 'already', 'expensive', 'network', '']</v>
      </c>
      <c r="D2437" s="3">
        <v>1.0</v>
      </c>
    </row>
    <row r="2438" ht="15.75" customHeight="1">
      <c r="A2438" s="1">
        <v>2606.0</v>
      </c>
      <c r="B2438" s="3" t="s">
        <v>2388</v>
      </c>
      <c r="C2438" s="3" t="str">
        <f>IFERROR(__xludf.DUMMYFUNCTION("GOOGLETRANSLATE(B2438,""id"",""en"")"),"['', 'equation', 'Telkomsel', 'no', 'emang', 'ngentoddddddd', 'dddddd', '']")</f>
        <v>['', 'equation', 'Telkomsel', 'no', 'emang', 'ngentoddddddd', 'dddddd', '']</v>
      </c>
      <c r="D2438" s="3">
        <v>1.0</v>
      </c>
    </row>
    <row r="2439" ht="15.75" customHeight="1">
      <c r="A2439" s="1">
        <v>2607.0</v>
      </c>
      <c r="B2439" s="3" t="s">
        <v>2389</v>
      </c>
      <c r="C2439" s="3" t="str">
        <f>IFERROR(__xludf.DUMMYFUNCTION("GOOGLETRANSLATE(B2439,""id"",""en"")"),"['Good', 'practical', 'application']")</f>
        <v>['Good', 'practical', 'application']</v>
      </c>
      <c r="D2439" s="3">
        <v>5.0</v>
      </c>
    </row>
    <row r="2440" ht="15.75" customHeight="1">
      <c r="A2440" s="1">
        <v>2608.0</v>
      </c>
      <c r="B2440" s="3" t="s">
        <v>2390</v>
      </c>
      <c r="C2440" s="3" t="str">
        <f>IFERROR(__xludf.DUMMYFUNCTION("GOOGLETRANSLATE(B2440,""id"",""en"")"),"['JeleeEekkkk', 'APK', 'opened', 'Loading', 'Mulu', 'Fix', '']")</f>
        <v>['JeleeEekkkk', 'APK', 'opened', 'Loading', 'Mulu', 'Fix', '']</v>
      </c>
      <c r="D2440" s="3">
        <v>1.0</v>
      </c>
    </row>
    <row r="2441" ht="15.75" customHeight="1">
      <c r="A2441" s="1">
        <v>2609.0</v>
      </c>
      <c r="B2441" s="3" t="s">
        <v>2391</v>
      </c>
      <c r="C2441" s="3" t="str">
        <f>IFERROR(__xludf.DUMMYFUNCTION("GOOGLETRANSLATE(B2441,""id"",""en"")"),"['', 'Event', 'Login', 'Free', 'Pay', 'PKE', 'Credit']")</f>
        <v>['', 'Event', 'Login', 'Free', 'Pay', 'PKE', 'Credit']</v>
      </c>
      <c r="D2441" s="3">
        <v>2.0</v>
      </c>
    </row>
    <row r="2442" ht="15.75" customHeight="1">
      <c r="A2442" s="1">
        <v>2610.0</v>
      </c>
      <c r="B2442" s="3" t="s">
        <v>2392</v>
      </c>
      <c r="C2442" s="3" t="str">
        <f>IFERROR(__xludf.DUMMYFUNCTION("GOOGLETRANSLATE(B2442,""id"",""en"")"),"['Aahhh', 'Anyway', 'Syuka', 'Application', 'BLAYAN', 'Accurate', ""]")</f>
        <v>['Aahhh', 'Anyway', 'Syuka', 'Application', 'BLAYAN', 'Accurate', "]</v>
      </c>
      <c r="D2442" s="3">
        <v>5.0</v>
      </c>
    </row>
    <row r="2443" ht="15.75" customHeight="1">
      <c r="A2443" s="1">
        <v>2611.0</v>
      </c>
      <c r="B2443" s="3" t="s">
        <v>2393</v>
      </c>
      <c r="C2443" s="3" t="str">
        <f>IFERROR(__xludf.DUMMYFUNCTION("GOOGLETRANSLATE(B2443,""id"",""en"")"),"['Hello', 'Sis',' Constraints', 'Slamama', 'Week', 'Go Back', 'APK', 'Opened', 'Try', 'Delete', 'Downlod', 'Opened', ' Gyma ',' solution ',' kakk ', ""]")</f>
        <v>['Hello', 'Sis',' Constraints', 'Slamama', 'Week', 'Go Back', 'APK', 'Opened', 'Try', 'Delete', 'Downlod', 'Opened', ' Gyma ',' solution ',' kakk ', "]</v>
      </c>
      <c r="D2443" s="3">
        <v>2.0</v>
      </c>
    </row>
    <row r="2444" ht="15.75" customHeight="1">
      <c r="A2444" s="1">
        <v>2612.0</v>
      </c>
      <c r="B2444" s="3" t="s">
        <v>2394</v>
      </c>
      <c r="C2444" s="3" t="str">
        <f>IFERROR(__xludf.DUMMYFUNCTION("GOOGLETRANSLATE(B2444,""id"",""en"")"),"['APK', 'opened', 'responds', 'update', 'routine', 'apk', 'ngebug', 'star', 'wait', 'response', 'settlement', ""]")</f>
        <v>['APK', 'opened', 'responds', 'update', 'routine', 'apk', 'ngebug', 'star', 'wait', 'response', 'settlement', "]</v>
      </c>
      <c r="D2444" s="3">
        <v>1.0</v>
      </c>
    </row>
    <row r="2445" ht="15.75" customHeight="1">
      <c r="A2445" s="1">
        <v>2613.0</v>
      </c>
      <c r="B2445" s="3" t="s">
        <v>2395</v>
      </c>
      <c r="C2445" s="3" t="str">
        <f>IFERROR(__xludf.DUMMYFUNCTION("GOOGLETRANSLATE(B2445,""id"",""en"")"),"['cuih', 'network', 'rotten', 'expensive', 'play', 'game', 'ping', 'stable', 'sudi', 'buy', 'telkomtol']")</f>
        <v>['cuih', 'network', 'rotten', 'expensive', 'play', 'game', 'ping', 'stable', 'sudi', 'buy', 'telkomtol']</v>
      </c>
      <c r="D2445" s="3">
        <v>1.0</v>
      </c>
    </row>
    <row r="2446" ht="15.75" customHeight="1">
      <c r="A2446" s="1">
        <v>2614.0</v>
      </c>
      <c r="B2446" s="3" t="s">
        <v>2396</v>
      </c>
      <c r="C2446" s="3" t="str">
        <f>IFERROR(__xludf.DUMMYFUNCTION("GOOGLETRANSLATE(B2446,""id"",""en"")"),"['week', 'Telkomsel', 'opened', 'Telkomsel', 'okay', 'users', 'Telkomsel', 'disappointed', ""]")</f>
        <v>['week', 'Telkomsel', 'opened', 'Telkomsel', 'okay', 'users', 'Telkomsel', 'disappointed', "]</v>
      </c>
      <c r="D2446" s="3">
        <v>1.0</v>
      </c>
    </row>
    <row r="2447" ht="15.75" customHeight="1">
      <c r="A2447" s="1">
        <v>2615.0</v>
      </c>
      <c r="B2447" s="3" t="s">
        <v>2397</v>
      </c>
      <c r="C2447" s="3" t="str">
        <f>IFERROR(__xludf.DUMMYFUNCTION("GOOGLETRANSLATE(B2447,""id"",""en"")"),"['quota', 'wrong', 'right', 'play', 'game', 'network', 'destroyed', 'Telkomsel', 'card', 'expensive', 'expensive', 'network', ' Semot ',' use ',' Telkomsel ',' Telkomsel ',' lag ', ""]")</f>
        <v>['quota', 'wrong', 'right', 'play', 'game', 'network', 'destroyed', 'Telkomsel', 'card', 'expensive', 'expensive', 'network', ' Semot ',' use ',' Telkomsel ',' Telkomsel ',' lag ', "]</v>
      </c>
      <c r="D2447" s="3">
        <v>1.0</v>
      </c>
    </row>
    <row r="2448" ht="15.75" customHeight="1">
      <c r="A2448" s="1">
        <v>2616.0</v>
      </c>
      <c r="B2448" s="3" t="s">
        <v>2398</v>
      </c>
      <c r="C2448" s="3" t="str">
        <f>IFERROR(__xludf.DUMMYFUNCTION("GOOGLETRANSLATE(B2448,""id"",""en"")"),"['apk', 'ugly', 'opened', '']")</f>
        <v>['apk', 'ugly', 'opened', '']</v>
      </c>
      <c r="D2448" s="3">
        <v>1.0</v>
      </c>
    </row>
    <row r="2449" ht="15.75" customHeight="1">
      <c r="A2449" s="1">
        <v>2619.0</v>
      </c>
      <c r="B2449" s="3" t="s">
        <v>2399</v>
      </c>
      <c r="C2449" s="3" t="str">
        <f>IFERROR(__xludf.DUMMYFUNCTION("GOOGLETRANSLATE(B2449,""id"",""en"")"),"['LEG', 'Network', 'hope', 'use', 'Telkomsel', 'network', 'strong', 'TPI', 'Reverse']")</f>
        <v>['LEG', 'Network', 'hope', 'use', 'Telkomsel', 'network', 'strong', 'TPI', 'Reverse']</v>
      </c>
      <c r="D2449" s="3">
        <v>1.0</v>
      </c>
    </row>
    <row r="2450" ht="15.75" customHeight="1">
      <c r="A2450" s="1">
        <v>2620.0</v>
      </c>
      <c r="B2450" s="3" t="s">
        <v>2400</v>
      </c>
      <c r="C2450" s="3" t="str">
        <f>IFERROR(__xludf.DUMMYFUNCTION("GOOGLETRANSLATE(B2450,""id"",""en"")"),"['Telkomsel', 'clean', 'people', 'radicalists',' danger ',' data ',' personal ',' customers', 'disseminated', 'people', 'company', 'stupid', ' Dangerous', 'disease', 'contagious',' quotation ',' comedian ',' late ',' edi ',' sud ',' package ',' data ',' b"&amp;"uy ',' signal ',' ugly ' , 'really', 'please', 'repaired', 'customers', 'Telkomsel', '']")</f>
        <v>['Telkomsel', 'clean', 'people', 'radicalists',' danger ',' data ',' personal ',' customers', 'disseminated', 'people', 'company', 'stupid', ' Dangerous', 'disease', 'contagious',' quotation ',' comedian ',' late ',' edi ',' sud ',' package ',' data ',' buy ',' signal ',' ugly ' , 'really', 'please', 'repaired', 'customers', 'Telkomsel', '']</v>
      </c>
      <c r="D2450" s="3">
        <v>2.0</v>
      </c>
    </row>
    <row r="2451" ht="15.75" customHeight="1">
      <c r="A2451" s="1">
        <v>2621.0</v>
      </c>
      <c r="B2451" s="3" t="s">
        <v>2401</v>
      </c>
      <c r="C2451" s="3" t="str">
        <f>IFERROR(__xludf.DUMMYFUNCTION("GOOGLETRANSLATE(B2451,""id"",""en"")"),"['Terimaksih', 'All', 'Team', 'Ahirny', 'APK', 'MyTelkomsel', 'Open', 'Upgrade', 'Version', 'Waiting', 'Waiting', 'Delete', ' APK ',' MyTelkomsel ',' truss', 'levelkn', 'obstacles',' motion ',' fast ',' ']")</f>
        <v>['Terimaksih', 'All', 'Team', 'Ahirny', 'APK', 'MyTelkomsel', 'Open', 'Upgrade', 'Version', 'Waiting', 'Waiting', 'Delete', ' APK ',' MyTelkomsel ',' truss', 'levelkn', 'obstacles',' motion ',' fast ',' ']</v>
      </c>
      <c r="D2451" s="3">
        <v>5.0</v>
      </c>
    </row>
    <row r="2452" ht="15.75" customHeight="1">
      <c r="A2452" s="1">
        <v>2622.0</v>
      </c>
      <c r="B2452" s="3" t="s">
        <v>2402</v>
      </c>
      <c r="C2452" s="3" t="str">
        <f>IFERROR(__xludf.DUMMYFUNCTION("GOOGLETRANSLATE(B2452,""id"",""en"")"),"['Thank you', 'Telkomsel', 'obstacles',' lag ',' your network ',' loyal ',' buy ',' Telkomsel ',' changed ',' connection ',' stable ',' bang ',' Lose ',' Streak ']")</f>
        <v>['Thank you', 'Telkomsel', 'obstacles',' lag ',' your network ',' loyal ',' buy ',' Telkomsel ',' changed ',' connection ',' stable ',' bang ',' Lose ',' Streak ']</v>
      </c>
      <c r="D2452" s="3">
        <v>1.0</v>
      </c>
    </row>
    <row r="2453" ht="15.75" customHeight="1">
      <c r="A2453" s="1">
        <v>2623.0</v>
      </c>
      <c r="B2453" s="3" t="s">
        <v>2403</v>
      </c>
      <c r="C2453" s="3" t="str">
        <f>IFERROR(__xludf.DUMMYFUNCTION("GOOGLETRANSLATE(B2453,""id"",""en"")"),"['Disappointed', 'Ama', 'Telkomsel', 'Region', 'Gading', 'Wonosari', 'Difficult', 'Ama', 'Siknal', 'Telkomsel', 'Sampa', 'Forced', ' Buy ',' Boster ',' GSM ',' Strengthen ',' Siknal ', ""]")</f>
        <v>['Disappointed', 'Ama', 'Telkomsel', 'Region', 'Gading', 'Wonosari', 'Difficult', 'Ama', 'Siknal', 'Telkomsel', 'Sampa', 'Forced', ' Buy ',' Boster ',' GSM ',' Strengthen ',' Siknal ', "]</v>
      </c>
      <c r="D2453" s="3">
        <v>1.0</v>
      </c>
    </row>
    <row r="2454" ht="15.75" customHeight="1">
      <c r="A2454" s="1">
        <v>2624.0</v>
      </c>
      <c r="B2454" s="3" t="s">
        <v>2404</v>
      </c>
      <c r="C2454" s="3" t="str">
        <f>IFERROR(__xludf.DUMMYFUNCTION("GOOGLETRANSLATE(B2454,""id"",""en"")"),"['Yeah', 'might', 'complicated', 'bngt', 'signal', 'slow', 'klu', 'you', 'open', 'site', 'complicated', 'slow', ' Forgiveness', 'turn', 'buy', 'quota', 'expensive']")</f>
        <v>['Yeah', 'might', 'complicated', 'bngt', 'signal', 'slow', 'klu', 'you', 'open', 'site', 'complicated', 'slow', ' Forgiveness', 'turn', 'buy', 'quota', 'expensive']</v>
      </c>
      <c r="D2454" s="3">
        <v>1.0</v>
      </c>
    </row>
    <row r="2455" ht="15.75" customHeight="1">
      <c r="A2455" s="1">
        <v>2625.0</v>
      </c>
      <c r="B2455" s="3" t="s">
        <v>2405</v>
      </c>
      <c r="C2455" s="3" t="str">
        <f>IFERROR(__xludf.DUMMYFUNCTION("GOOGLETRANSLATE(B2455,""id"",""en"")"),"['Abis', 'update', 'slow', 'signal', 'good', 'really']")</f>
        <v>['Abis', 'update', 'slow', 'signal', 'good', 'really']</v>
      </c>
      <c r="D2455" s="3">
        <v>1.0</v>
      </c>
    </row>
    <row r="2456" ht="15.75" customHeight="1">
      <c r="A2456" s="1">
        <v>2626.0</v>
      </c>
      <c r="B2456" s="3" t="s">
        <v>2406</v>
      </c>
      <c r="C2456" s="3" t="str">
        <f>IFERROR(__xludf.DUMMYFUNCTION("GOOGLETRANSLATE(B2456,""id"",""en"")"),"['network', 'tlkomsel', 'keretj', 'slow', 'disappointed', 'user', 'tlkomsel', 'dri', 'era', 'tasty', 'skrng']")</f>
        <v>['network', 'tlkomsel', 'keretj', 'slow', 'disappointed', 'user', 'tlkomsel', 'dri', 'era', 'tasty', 'skrng']</v>
      </c>
      <c r="D2456" s="3">
        <v>1.0</v>
      </c>
    </row>
    <row r="2457" ht="15.75" customHeight="1">
      <c r="A2457" s="1">
        <v>2627.0</v>
      </c>
      <c r="B2457" s="3" t="s">
        <v>2407</v>
      </c>
      <c r="C2457" s="3" t="str">
        <f>IFERROR(__xludf.DUMMYFUNCTION("GOOGLETRANSLATE(B2457,""id"",""en"")"),"['signal', 'rich', 'taiiiiiiiiiiiii', 'ugly', 'area', '']")</f>
        <v>['signal', 'rich', 'taiiiiiiiiiiiii', 'ugly', 'area', '']</v>
      </c>
      <c r="D2457" s="3">
        <v>1.0</v>
      </c>
    </row>
    <row r="2458" ht="15.75" customHeight="1">
      <c r="A2458" s="1">
        <v>2628.0</v>
      </c>
      <c r="B2458" s="3" t="s">
        <v>2408</v>
      </c>
      <c r="C2458" s="3" t="str">
        <f>IFERROR(__xludf.DUMMYFUNCTION("GOOGLETRANSLATE(B2458,""id"",""en"")"),"['', 'signal', 'good', 'slow', ""]")</f>
        <v>['', 'signal', 'good', 'slow', "]</v>
      </c>
      <c r="D2458" s="3">
        <v>1.0</v>
      </c>
    </row>
    <row r="2459" ht="15.75" customHeight="1">
      <c r="A2459" s="1">
        <v>2629.0</v>
      </c>
      <c r="B2459" s="3" t="s">
        <v>2409</v>
      </c>
      <c r="C2459" s="3" t="str">
        <f>IFERROR(__xludf.DUMMYFUNCTION("GOOGLETRANSLATE(B2459,""id"",""en"")"),"['petrified']")</f>
        <v>['petrified']</v>
      </c>
      <c r="D2459" s="3">
        <v>5.0</v>
      </c>
    </row>
    <row r="2460" ht="15.75" customHeight="1">
      <c r="A2460" s="1">
        <v>2631.0</v>
      </c>
      <c r="B2460" s="3" t="s">
        <v>2410</v>
      </c>
      <c r="C2460" s="3" t="str">
        <f>IFERROR(__xludf.DUMMYFUNCTION("GOOGLETRANSLATE(B2460,""id"",""en"")"),"['Signalnya', 'Kaga', 'Bener']")</f>
        <v>['Signalnya', 'Kaga', 'Bener']</v>
      </c>
      <c r="D2460" s="3">
        <v>1.0</v>
      </c>
    </row>
    <row r="2461" ht="15.75" customHeight="1">
      <c r="A2461" s="1">
        <v>2632.0</v>
      </c>
      <c r="B2461" s="3" t="s">
        <v>2411</v>
      </c>
      <c r="C2461" s="3" t="str">
        <f>IFERROR(__xludf.DUMMYFUNCTION("GOOGLETRANSLATE(B2461,""id"",""en"")"),"['Price', 'Paketan', 'Expensive', 'Signal', 'Wear', 'Money', 'Mulu', 'Thinking', 'Satisfaction', 'Customer']")</f>
        <v>['Price', 'Paketan', 'Expensive', 'Signal', 'Wear', 'Money', 'Mulu', 'Thinking', 'Satisfaction', 'Customer']</v>
      </c>
      <c r="D2461" s="3">
        <v>1.0</v>
      </c>
    </row>
    <row r="2462" ht="15.75" customHeight="1">
      <c r="A2462" s="1">
        <v>2633.0</v>
      </c>
      <c r="B2462" s="3" t="s">
        <v>2412</v>
      </c>
      <c r="C2462" s="3" t="str">
        <f>IFERROR(__xludf.DUMMYFUNCTION("GOOGLETRANSLATE(B2462,""id"",""en"")"),"['Awaited', 'promo']")</f>
        <v>['Awaited', 'promo']</v>
      </c>
      <c r="D2462" s="3">
        <v>5.0</v>
      </c>
    </row>
    <row r="2463" ht="15.75" customHeight="1">
      <c r="A2463" s="1">
        <v>2634.0</v>
      </c>
      <c r="B2463" s="3" t="s">
        <v>2413</v>
      </c>
      <c r="C2463" s="3" t="str">
        <f>IFERROR(__xludf.DUMMYFUNCTION("GOOGLETRANSLATE(B2463,""id"",""en"")"),"['application', 'open', 'screen', 'white', '']")</f>
        <v>['application', 'open', 'screen', 'white', '']</v>
      </c>
      <c r="D2463" s="3">
        <v>1.0</v>
      </c>
    </row>
    <row r="2464" ht="15.75" customHeight="1">
      <c r="A2464" s="1">
        <v>2635.0</v>
      </c>
      <c r="B2464" s="3" t="s">
        <v>2414</v>
      </c>
      <c r="C2464" s="3" t="str">
        <f>IFERROR(__xludf.DUMMYFUNCTION("GOOGLETRANSLATE(B2464,""id"",""en"")"),"['', 'Love', 'Bintang', 'Ajah']")</f>
        <v>['', 'Love', 'Bintang', 'Ajah']</v>
      </c>
      <c r="D2464" s="3">
        <v>4.0</v>
      </c>
    </row>
    <row r="2465" ht="15.75" customHeight="1">
      <c r="A2465" s="1">
        <v>2636.0</v>
      </c>
      <c r="B2465" s="3" t="s">
        <v>2415</v>
      </c>
      <c r="C2465" s="3" t="str">
        <f>IFERROR(__xludf.DUMMYFUNCTION("GOOGLETRANSLATE(B2465,""id"",""en"")"),"['Safe', 'easy']")</f>
        <v>['Safe', 'easy']</v>
      </c>
      <c r="D2465" s="3">
        <v>5.0</v>
      </c>
    </row>
    <row r="2466" ht="15.75" customHeight="1">
      <c r="A2466" s="1">
        <v>2637.0</v>
      </c>
      <c r="B2466" s="3" t="s">
        <v>2416</v>
      </c>
      <c r="C2466" s="3" t="str">
        <f>IFERROR(__xludf.DUMMYFUNCTION("GOOGLETRANSLATE(B2466,""id"",""en"")"),"['updated', 'application', 'open', 'please', 'conducted']")</f>
        <v>['updated', 'application', 'open', 'please', 'conducted']</v>
      </c>
      <c r="D2466" s="3">
        <v>1.0</v>
      </c>
    </row>
    <row r="2467" ht="15.75" customHeight="1">
      <c r="A2467" s="1">
        <v>2638.0</v>
      </c>
      <c r="B2467" s="3" t="s">
        <v>2417</v>
      </c>
      <c r="C2467" s="3" t="str">
        <f>IFERROR(__xludf.DUMMYFUNCTION("GOOGLETRANSLATE(B2467,""id"",""en"")"),"['expensive', 'doang', 'network', 'bad', 'regret', 'Telkomsel', '']")</f>
        <v>['expensive', 'doang', 'network', 'bad', 'regret', 'Telkomsel', '']</v>
      </c>
      <c r="D2467" s="3">
        <v>1.0</v>
      </c>
    </row>
    <row r="2468" ht="15.75" customHeight="1">
      <c r="A2468" s="1">
        <v>2639.0</v>
      </c>
      <c r="B2468" s="3" t="s">
        <v>2418</v>
      </c>
      <c r="C2468" s="3" t="str">
        <f>IFERROR(__xludf.DUMMYFUNCTION("GOOGLETRANSLATE(B2468,""id"",""en"")"),"['APK', 'steady', 'informed', 'leftover', 'kouta', 'buy', 'kouta', 'price', 'affordable', 'thx', 'dev']")</f>
        <v>['APK', 'steady', 'informed', 'leftover', 'kouta', 'buy', 'kouta', 'price', 'affordable', 'thx', 'dev']</v>
      </c>
      <c r="D2468" s="3">
        <v>5.0</v>
      </c>
    </row>
    <row r="2469" ht="15.75" customHeight="1">
      <c r="A2469" s="1">
        <v>2640.0</v>
      </c>
      <c r="B2469" s="3" t="s">
        <v>2419</v>
      </c>
      <c r="C2469" s="3" t="str">
        <f>IFERROR(__xludf.DUMMYFUNCTION("GOOGLETRANSLATE(B2469,""id"",""en"")"),"['Network', 'ugly', 'promo', 'nipu', 'promo', 'GB', 'buy', 'pulse', 'koo', 'pulse', 'sufficient', 'buy', ' Mari ',' move ',' card ',' IM ',' signal ',' promo ',' okay ', ""]")</f>
        <v>['Network', 'ugly', 'promo', 'nipu', 'promo', 'GB', 'buy', 'pulse', 'koo', 'pulse', 'sufficient', 'buy', ' Mari ',' move ',' card ',' IM ',' signal ',' promo ',' okay ', "]</v>
      </c>
      <c r="D2469" s="3">
        <v>1.0</v>
      </c>
    </row>
    <row r="2470" ht="15.75" customHeight="1">
      <c r="A2470" s="1">
        <v>2641.0</v>
      </c>
      <c r="B2470" s="3" t="s">
        <v>2420</v>
      </c>
      <c r="C2470" s="3" t="str">
        <f>IFERROR(__xludf.DUMMYFUNCTION("GOOGLETRANSLATE(B2470,""id"",""en"")"),"['Katru', 'scorched', 'pulse', 'missing', 'gima', 'responsibility', 'telkosel']")</f>
        <v>['Katru', 'scorched', 'pulse', 'missing', 'gima', 'responsibility', 'telkosel']</v>
      </c>
      <c r="D2470" s="3">
        <v>1.0</v>
      </c>
    </row>
    <row r="2471" ht="15.75" customHeight="1">
      <c r="A2471" s="1">
        <v>2642.0</v>
      </c>
      <c r="B2471" s="3" t="s">
        <v>2421</v>
      </c>
      <c r="C2471" s="3" t="str">
        <f>IFERROR(__xludf.DUMMYFUNCTION("GOOGLETRANSLATE(B2471,""id"",""en"")"),"['Severe', 'slow', 'network', 'LTE', 'Increase', 'Quality', 'Network']")</f>
        <v>['Severe', 'slow', 'network', 'LTE', 'Increase', 'Quality', 'Network']</v>
      </c>
      <c r="D2471" s="3">
        <v>1.0</v>
      </c>
    </row>
    <row r="2472" ht="15.75" customHeight="1">
      <c r="A2472" s="1">
        <v>2643.0</v>
      </c>
      <c r="B2472" s="3" t="s">
        <v>2422</v>
      </c>
      <c r="C2472" s="3" t="str">
        <f>IFERROR(__xludf.DUMMYFUNCTION("GOOGLETRANSLATE(B2472,""id"",""en"")"),"['signal', 'Benerin', 'pulp', 'really', 'maen', 'game', 'expensive', 'doang', 'signal', 'mah', 'cheap']")</f>
        <v>['signal', 'Benerin', 'pulp', 'really', 'maen', 'game', 'expensive', 'doang', 'signal', 'mah', 'cheap']</v>
      </c>
      <c r="D2472" s="3">
        <v>1.0</v>
      </c>
    </row>
    <row r="2473" ht="15.75" customHeight="1">
      <c r="A2473" s="1">
        <v>2644.0</v>
      </c>
      <c r="B2473" s="3" t="s">
        <v>2423</v>
      </c>
      <c r="C2473" s="3" t="str">
        <f>IFERROR(__xludf.DUMMYFUNCTION("GOOGLETRANSLATE(B2473,""id"",""en"")"),"['expensive', 'expensive', 'connection', 'slow', 'disappointed', 'severe', '']")</f>
        <v>['expensive', 'expensive', 'connection', 'slow', 'disappointed', 'severe', '']</v>
      </c>
      <c r="D2473" s="3">
        <v>1.0</v>
      </c>
    </row>
    <row r="2474" ht="15.75" customHeight="1">
      <c r="A2474" s="1">
        <v>2645.0</v>
      </c>
      <c r="B2474" s="3" t="s">
        <v>2424</v>
      </c>
      <c r="C2474" s="3" t="str">
        <f>IFERROR(__xludf.DUMMYFUNCTION("GOOGLETRANSLATE(B2474,""id"",""en"")"),"['Network', 'Severe', 'Very', 'Telkomsel', 'Jayapura', 'Region', 'Crowded', 'City', 'Diversion']")</f>
        <v>['Network', 'Severe', 'Very', 'Telkomsel', 'Jayapura', 'Region', 'Crowded', 'City', 'Diversion']</v>
      </c>
      <c r="D2474" s="3">
        <v>1.0</v>
      </c>
    </row>
    <row r="2475" ht="15.75" customHeight="1">
      <c r="A2475" s="1">
        <v>2646.0</v>
      </c>
      <c r="B2475" s="3" t="s">
        <v>2425</v>
      </c>
      <c r="C2475" s="3" t="str">
        <f>IFERROR(__xludf.DUMMYFUNCTION("GOOGLETRANSLATE(B2475,""id"",""en"")"),"['Opened', 'The application', 'Woyy', 'How', 'Buy', 'Package', 'Buy', 'LWT', 'Choice', 'chaotic']")</f>
        <v>['Opened', 'The application', 'Woyy', 'How', 'Buy', 'Package', 'Buy', 'LWT', 'Choice', 'chaotic']</v>
      </c>
      <c r="D2475" s="3">
        <v>1.0</v>
      </c>
    </row>
    <row r="2476" ht="15.75" customHeight="1">
      <c r="A2476" s="1">
        <v>2647.0</v>
      </c>
      <c r="B2476" s="3" t="s">
        <v>2426</v>
      </c>
      <c r="C2476" s="3" t="str">
        <f>IFERROR(__xludf.DUMMYFUNCTION("GOOGLETRANSLATE(B2476,""id"",""en"")"),"['KOQ', 'Blank', 'White', 'Bosque', 'Install', 'Android', '']")</f>
        <v>['KOQ', 'Blank', 'White', 'Bosque', 'Install', 'Android', '']</v>
      </c>
      <c r="D2476" s="3">
        <v>1.0</v>
      </c>
    </row>
    <row r="2477" ht="15.75" customHeight="1">
      <c r="A2477" s="1">
        <v>2648.0</v>
      </c>
      <c r="B2477" s="3" t="s">
        <v>2427</v>
      </c>
      <c r="C2477" s="3" t="str">
        <f>IFERROR(__xludf.DUMMYFUNCTION("GOOGLETRANSLATE(B2477,""id"",""en"")"),"['Steady', 'makes it easy']")</f>
        <v>['Steady', 'makes it easy']</v>
      </c>
      <c r="D2477" s="3">
        <v>3.0</v>
      </c>
    </row>
    <row r="2478" ht="15.75" customHeight="1">
      <c r="A2478" s="1">
        <v>2649.0</v>
      </c>
      <c r="B2478" s="3" t="s">
        <v>2428</v>
      </c>
      <c r="C2478" s="3" t="str">
        <f>IFERROR(__xludf.DUMMYFUNCTION("GOOGLETRANSLATE(B2478,""id"",""en"")"),"['Good', 'LNCAR', 'enter', 'here', 'mlh', 'sellu', 'entry', 'telkomsel', 'tlong', 'donk', 'pwrnudah', 'lgi', ' Access', 'Network', 'Serimaksih']")</f>
        <v>['Good', 'LNCAR', 'enter', 'here', 'mlh', 'sellu', 'entry', 'telkomsel', 'tlong', 'donk', 'pwrnudah', 'lgi', ' Access', 'Network', 'Serimaksih']</v>
      </c>
      <c r="D2478" s="3">
        <v>1.0</v>
      </c>
    </row>
    <row r="2479" ht="15.75" customHeight="1">
      <c r="A2479" s="1">
        <v>2650.0</v>
      </c>
      <c r="B2479" s="3" t="s">
        <v>2429</v>
      </c>
      <c r="C2479" s="3" t="str">
        <f>IFERROR(__xludf.DUMMYFUNCTION("GOOGLETRANSLATE(B2479,""id"",""en"")"),"['package', 'internet', 'expensive', 'network', 'rich', 'snail', 'down', 'ujan', 'network', 'ilang', 'funny']")</f>
        <v>['package', 'internet', 'expensive', 'network', 'rich', 'snail', 'down', 'ujan', 'network', 'ilang', 'funny']</v>
      </c>
      <c r="D2479" s="3">
        <v>1.0</v>
      </c>
    </row>
    <row r="2480" ht="15.75" customHeight="1">
      <c r="A2480" s="1">
        <v>2651.0</v>
      </c>
      <c r="B2480" s="3" t="s">
        <v>2430</v>
      </c>
      <c r="C2480" s="3" t="str">
        <f>IFERROR(__xludf.DUMMYFUNCTION("GOOGLETRANSLATE(B2480,""id"",""en"")"),"['Package', 'Doang', 'Price', 'Expensive', 'Signal', 'Down', 'Mulu', 'Funny']")</f>
        <v>['Package', 'Doang', 'Price', 'Expensive', 'Signal', 'Down', 'Mulu', 'Funny']</v>
      </c>
      <c r="D2480" s="3">
        <v>1.0</v>
      </c>
    </row>
    <row r="2481" ht="15.75" customHeight="1">
      <c r="A2481" s="1">
        <v>2652.0</v>
      </c>
      <c r="B2481" s="3" t="s">
        <v>2431</v>
      </c>
      <c r="C2481" s="3" t="str">
        <f>IFERROR(__xludf.DUMMYFUNCTION("GOOGLETRANSLATE(B2481,""id"",""en"")"),"['Network', 'Telkomsel', 'Good', 'Game', '']")</f>
        <v>['Network', 'Telkomsel', 'Good', 'Game', '']</v>
      </c>
      <c r="D2481" s="3">
        <v>1.0</v>
      </c>
    </row>
    <row r="2482" ht="15.75" customHeight="1">
      <c r="A2482" s="1">
        <v>2654.0</v>
      </c>
      <c r="B2482" s="3" t="s">
        <v>2432</v>
      </c>
      <c r="C2482" s="3" t="str">
        <f>IFERROR(__xludf.DUMMYFUNCTION("GOOGLETRANSLATE(B2482,""id"",""en"")"),"['Level', 'Signal', 'Strongest', 'Indonesia']")</f>
        <v>['Level', 'Signal', 'Strongest', 'Indonesia']</v>
      </c>
      <c r="D2482" s="3">
        <v>5.0</v>
      </c>
    </row>
    <row r="2483" ht="15.75" customHeight="1">
      <c r="A2483" s="1">
        <v>2655.0</v>
      </c>
      <c r="B2483" s="3" t="s">
        <v>2433</v>
      </c>
      <c r="C2483" s="3" t="str">
        <f>IFERROR(__xludf.DUMMYFUNCTION("GOOGLETRANSLATE(B2483,""id"",""en"")"),"['Love', 'free', 'boss', 'buy', 'expensive']")</f>
        <v>['Love', 'free', 'boss', 'buy', 'expensive']</v>
      </c>
      <c r="D2483" s="3">
        <v>5.0</v>
      </c>
    </row>
    <row r="2484" ht="15.75" customHeight="1">
      <c r="A2484" s="1">
        <v>2656.0</v>
      </c>
      <c r="B2484" s="3" t="s">
        <v>2434</v>
      </c>
      <c r="C2484" s="3" t="str">
        <f>IFERROR(__xludf.DUMMYFUNCTION("GOOGLETRANSLATE(B2484,""id"",""en"")"),"['already', 'slow', 'play', 'game', 'signal', 'missing', 'sorry', 'star', 'dumped', 'deliberate', 'comment', 'repaired', ' Telkomsel ',' Looo ',' ']")</f>
        <v>['already', 'slow', 'play', 'game', 'signal', 'missing', 'sorry', 'star', 'dumped', 'deliberate', 'comment', 'repaired', ' Telkomsel ',' Looo ',' ']</v>
      </c>
      <c r="D2484" s="3">
        <v>1.0</v>
      </c>
    </row>
    <row r="2485" ht="15.75" customHeight="1">
      <c r="A2485" s="1">
        <v>2657.0</v>
      </c>
      <c r="B2485" s="3" t="s">
        <v>2435</v>
      </c>
      <c r="C2485" s="3" t="str">
        <f>IFERROR(__xludf.DUMMYFUNCTION("GOOGLETRANSLATE(B2485,""id"",""en"")"),"['Open', 'APK', 'Color', 'White', 'then', 'Direct', ""]")</f>
        <v>['Open', 'APK', 'Color', 'White', 'then', 'Direct', "]</v>
      </c>
      <c r="D2485" s="3">
        <v>1.0</v>
      </c>
    </row>
    <row r="2486" ht="15.75" customHeight="1">
      <c r="A2486" s="1">
        <v>2658.0</v>
      </c>
      <c r="B2486" s="3" t="s">
        <v>2436</v>
      </c>
      <c r="C2486" s="3" t="str">
        <f>IFERROR(__xludf.DUMMYFUNCTION("GOOGLETRANSLATE(B2486,""id"",""en"")"),"['Addin', 'Features', 'Control', 'Credit', 'Block', 'SMS', 'Spam', 'Malak', 'Credit', 'Access', 'Out', 'Network']")</f>
        <v>['Addin', 'Features', 'Control', 'Credit', 'Block', 'SMS', 'Spam', 'Malak', 'Credit', 'Access', 'Out', 'Network']</v>
      </c>
      <c r="D2486" s="3">
        <v>3.0</v>
      </c>
    </row>
    <row r="2487" ht="15.75" customHeight="1">
      <c r="A2487" s="1">
        <v>2659.0</v>
      </c>
      <c r="B2487" s="3" t="s">
        <v>2437</v>
      </c>
      <c r="C2487" s="3" t="str">
        <f>IFERROR(__xludf.DUMMYFUNCTION("GOOGLETRANSLATE(B2487,""id"",""en"")"),"['Buy', 'Package', 'GameSmex', 'Vocher', 'Mobile', 'Legend', '']")</f>
        <v>['Buy', 'Package', 'GameSmex', 'Vocher', 'Mobile', 'Legend', '']</v>
      </c>
      <c r="D2487" s="3">
        <v>2.0</v>
      </c>
    </row>
    <row r="2488" ht="15.75" customHeight="1">
      <c r="A2488" s="1">
        <v>2660.0</v>
      </c>
      <c r="B2488" s="3" t="s">
        <v>2438</v>
      </c>
      <c r="C2488" s="3" t="str">
        <f>IFERROR(__xludf.DUMMYFUNCTION("GOOGLETRANSLATE(B2488,""id"",""en"")"),"['ugly', 'apk', 'ngeblank', '']")</f>
        <v>['ugly', 'apk', 'ngeblank', '']</v>
      </c>
      <c r="D2488" s="3">
        <v>2.0</v>
      </c>
    </row>
    <row r="2489" ht="15.75" customHeight="1">
      <c r="A2489" s="1">
        <v>2661.0</v>
      </c>
      <c r="B2489" s="3" t="s">
        <v>2439</v>
      </c>
      <c r="C2489" s="3" t="str">
        <f>IFERROR(__xludf.DUMMYFUNCTION("GOOGLETRANSLATE(B2489,""id"",""en"")"),"['Love', 'promo']")</f>
        <v>['Love', 'promo']</v>
      </c>
      <c r="D2489" s="3">
        <v>5.0</v>
      </c>
    </row>
    <row r="2490" ht="15.75" customHeight="1">
      <c r="A2490" s="1">
        <v>2663.0</v>
      </c>
      <c r="B2490" s="3" t="s">
        <v>2440</v>
      </c>
      <c r="C2490" s="3" t="str">
        <f>IFERROR(__xludf.DUMMYFUNCTION("GOOGLETRANSLATE(B2490,""id"",""en"")"),"['', 'Telkomsel', 'opened', 'Severe', '']")</f>
        <v>['', 'Telkomsel', 'opened', 'Severe', '']</v>
      </c>
      <c r="D2490" s="3">
        <v>1.0</v>
      </c>
    </row>
    <row r="2491" ht="15.75" customHeight="1">
      <c r="A2491" s="1">
        <v>2664.0</v>
      </c>
      <c r="B2491" s="3" t="s">
        <v>2441</v>
      </c>
      <c r="C2491" s="3" t="str">
        <f>IFERROR(__xludf.DUMMYFUNCTION("GOOGLETRANSLATE(B2491,""id"",""en"")"),"['Install', 'screen', 'white', 'TRS', 'Telkomsel', 'smooth', 'Different', 'slow', 'how', 'the application', 'open']")</f>
        <v>['Install', 'screen', 'white', 'TRS', 'Telkomsel', 'smooth', 'Different', 'slow', 'how', 'the application', 'open']</v>
      </c>
      <c r="D2491" s="3">
        <v>1.0</v>
      </c>
    </row>
    <row r="2492" ht="15.75" customHeight="1">
      <c r="A2492" s="1">
        <v>2665.0</v>
      </c>
      <c r="B2492" s="3" t="s">
        <v>2442</v>
      </c>
      <c r="C2492" s="3" t="str">
        <f>IFERROR(__xludf.DUMMYFUNCTION("GOOGLETRANSLATE(B2492,""id"",""en"")"),"['Telkomsel', 'The net', 'please', 'Dwakiri', 'play', 'game', 'bigger', 'severe', 'bet', 'kayak', 'gini', 'replace', ' card', '']")</f>
        <v>['Telkomsel', 'The net', 'please', 'Dwakiri', 'play', 'game', 'bigger', 'severe', 'bet', 'kayak', 'gini', 'replace', ' card', '']</v>
      </c>
      <c r="D2492" s="3">
        <v>1.0</v>
      </c>
    </row>
    <row r="2493" ht="15.75" customHeight="1">
      <c r="A2493" s="1">
        <v>2666.0</v>
      </c>
      <c r="B2493" s="3" t="s">
        <v>2443</v>
      </c>
      <c r="C2493" s="3" t="str">
        <f>IFERROR(__xludf.DUMMYFUNCTION("GOOGLETRANSLATE(B2493,""id"",""en"")"),"['woi', 'signal', 'gajelas',' ngentod ',' already ',' expensive ',' signal ',' gajelas', 'kek', 'head', 'you', 'ehh', ' Jing, 'Dibldin', 'Ngeetun', 'Gaa', 'signal', 'in the city', 'pork', 'unlimited', 'limit', 'you', 'it', 'unlimited', 'his name' , 'Jing'"&amp;"]")</f>
        <v>['woi', 'signal', 'gajelas',' ngentod ',' already ',' expensive ',' signal ',' gajelas', 'kek', 'head', 'you', 'ehh', ' Jing, 'Dibldin', 'Ngeetun', 'Gaa', 'signal', 'in the city', 'pork', 'unlimited', 'limit', 'you', 'it', 'unlimited', 'his name' , 'Jing']</v>
      </c>
      <c r="D2493" s="3">
        <v>1.0</v>
      </c>
    </row>
    <row r="2494" ht="15.75" customHeight="1">
      <c r="A2494" s="1">
        <v>2667.0</v>
      </c>
      <c r="B2494" s="3" t="s">
        <v>2444</v>
      </c>
      <c r="C2494" s="3" t="str">
        <f>IFERROR(__xludf.DUMMYFUNCTION("GOOGLETRANSLATE(B2494,""id"",""en"")"),"['Ngeblank', 'White', 'Gajelas']")</f>
        <v>['Ngeblank', 'White', 'Gajelas']</v>
      </c>
      <c r="D2494" s="3">
        <v>1.0</v>
      </c>
    </row>
    <row r="2495" ht="15.75" customHeight="1">
      <c r="A2495" s="1">
        <v>2668.0</v>
      </c>
      <c r="B2495" s="3" t="s">
        <v>2445</v>
      </c>
      <c r="C2495" s="3" t="str">
        <f>IFERROR(__xludf.DUMMYFUNCTION("GOOGLETRANSLATE(B2495,""id"",""en"")"),"['Telkomsel', 'signal', 'good', 'Telkomsel', 'son', 'Sultan', 'Telkomsel', 'expensive']")</f>
        <v>['Telkomsel', 'signal', 'good', 'Telkomsel', 'son', 'Sultan', 'Telkomsel', 'expensive']</v>
      </c>
      <c r="D2495" s="3">
        <v>5.0</v>
      </c>
    </row>
    <row r="2496" ht="15.75" customHeight="1">
      <c r="A2496" s="1">
        <v>2669.0</v>
      </c>
      <c r="B2496" s="3" t="s">
        <v>2446</v>
      </c>
      <c r="C2496" s="3" t="str">
        <f>IFERROR(__xludf.DUMMYFUNCTION("GOOGLETRANSLATE(B2496,""id"",""en"")"),"['Love', 'Star', 'Disappointed', 'Telkomsel', 'Cook', 'Package', 'Nelvon', 'Minutes',' Use ',' Points', 'Daily', 'Chek', ' Exchange ',' TPI ',' TDAK ',' Enter ',' Credit ',' Cutting ',' Please ',' Fix ',' Thank ',' Love ', ""]")</f>
        <v>['Love', 'Star', 'Disappointed', 'Telkomsel', 'Cook', 'Package', 'Nelvon', 'Minutes',' Use ',' Points', 'Daily', 'Chek', ' Exchange ',' TPI ',' TDAK ',' Enter ',' Credit ',' Cutting ',' Please ',' Fix ',' Thank ',' Love ', "]</v>
      </c>
      <c r="D2496" s="3">
        <v>1.0</v>
      </c>
    </row>
    <row r="2497" ht="15.75" customHeight="1">
      <c r="A2497" s="1">
        <v>2670.0</v>
      </c>
      <c r="B2497" s="3" t="s">
        <v>2447</v>
      </c>
      <c r="C2497" s="3" t="str">
        <f>IFERROR(__xludf.DUMMYFUNCTION("GOOGLETRANSLATE(B2497,""id"",""en"")"),"['MabaiMana', 'activate', 'card', '']")</f>
        <v>['MabaiMana', 'activate', 'card', '']</v>
      </c>
      <c r="D2497" s="3">
        <v>5.0</v>
      </c>
    </row>
    <row r="2498" ht="15.75" customHeight="1">
      <c r="A2498" s="1">
        <v>2671.0</v>
      </c>
      <c r="B2498" s="3" t="s">
        <v>2448</v>
      </c>
      <c r="C2498" s="3" t="str">
        <f>IFERROR(__xludf.DUMMYFUNCTION("GOOGLETRANSLATE(B2498,""id"",""en"")"),"['', 'discount', 'already', 'use', 'ovo', 'no', 'pay']")</f>
        <v>['', 'discount', 'already', 'use', 'ovo', 'no', 'pay']</v>
      </c>
      <c r="D2498" s="3">
        <v>3.0</v>
      </c>
    </row>
    <row r="2499" ht="15.75" customHeight="1">
      <c r="A2499" s="1">
        <v>2672.0</v>
      </c>
      <c r="B2499" s="3" t="s">
        <v>2449</v>
      </c>
      <c r="C2499" s="3" t="str">
        <f>IFERROR(__xludf.DUMMYFUNCTION("GOOGLETRANSLATE(B2499,""id"",""en"")"),"['pulse', 'internet', 'free', 'amen']")</f>
        <v>['pulse', 'internet', 'free', 'amen']</v>
      </c>
      <c r="D2499" s="3">
        <v>4.0</v>
      </c>
    </row>
    <row r="2500" ht="15.75" customHeight="1">
      <c r="A2500" s="1">
        <v>2673.0</v>
      </c>
      <c r="B2500" s="3" t="s">
        <v>2450</v>
      </c>
      <c r="C2500" s="3" t="str">
        <f>IFERROR(__xludf.DUMMYFUNCTION("GOOGLETRANSLATE(B2500,""id"",""en"")"),"['Try', 'Donk', 'Program', 'NLPN', 'Intrnt', 'Etc.', 'Price', 'Affordable', 'Mending', 'Network', 'Good', 'Sometimes',' SAFE ',' Signal ',' Network ',' Severe ',' ']")</f>
        <v>['Try', 'Donk', 'Program', 'NLPN', 'Intrnt', 'Etc.', 'Price', 'Affordable', 'Mending', 'Network', 'Good', 'Sometimes',' SAFE ',' Signal ',' Network ',' Severe ',' ']</v>
      </c>
      <c r="D2500" s="3">
        <v>1.0</v>
      </c>
    </row>
    <row r="2501" ht="15.75" customHeight="1">
      <c r="A2501" s="1">
        <v>2674.0</v>
      </c>
      <c r="B2501" s="3" t="s">
        <v>2451</v>
      </c>
      <c r="C2501" s="3" t="str">
        <f>IFERROR(__xludf.DUMMYFUNCTION("GOOGLETRANSLATE(B2501,""id"",""en"")"),"['lag', 'bangst', 'telko', 'benerin', 'signal', 'already', 'buy', 'expensive', 'nge', 'lag', 'base', 'banjalan']")</f>
        <v>['lag', 'bangst', 'telko', 'benerin', 'signal', 'already', 'buy', 'expensive', 'nge', 'lag', 'base', 'banjalan']</v>
      </c>
      <c r="D2501" s="3">
        <v>1.0</v>
      </c>
    </row>
    <row r="2502" ht="15.75" customHeight="1">
      <c r="A2502" s="1">
        <v>2675.0</v>
      </c>
      <c r="B2502" s="3" t="s">
        <v>2452</v>
      </c>
      <c r="C2502" s="3" t="str">
        <f>IFERROR(__xludf.DUMMYFUNCTION("GOOGLETRANSLATE(B2502,""id"",""en"")"),"['', 'Bangeeeeeet', 'easy', 'really']")</f>
        <v>['', 'Bangeeeeeet', 'easy', 'really']</v>
      </c>
      <c r="D2502" s="3">
        <v>5.0</v>
      </c>
    </row>
    <row r="2503" ht="15.75" customHeight="1">
      <c r="A2503" s="1">
        <v>2676.0</v>
      </c>
      <c r="B2503" s="3" t="s">
        <v>2453</v>
      </c>
      <c r="C2503" s="3" t="str">
        <f>IFERROR(__xludf.DUMMYFUNCTION("GOOGLETRANSLATE(B2503,""id"",""en"")"),"['like', 'proud']")</f>
        <v>['like', 'proud']</v>
      </c>
      <c r="D2503" s="3">
        <v>5.0</v>
      </c>
    </row>
    <row r="2504" ht="15.75" customHeight="1">
      <c r="A2504" s="1">
        <v>2677.0</v>
      </c>
      <c r="B2504" s="3" t="s">
        <v>2454</v>
      </c>
      <c r="C2504" s="3" t="str">
        <f>IFERROR(__xludf.DUMMYFUNCTION("GOOGLETRANSLATE(B2504,""id"",""en"")"),"['Delete', 'number', 'change', 'difficult', '']")</f>
        <v>['Delete', 'number', 'change', 'difficult', '']</v>
      </c>
      <c r="D2504" s="3">
        <v>3.0</v>
      </c>
    </row>
    <row r="2505" ht="15.75" customHeight="1">
      <c r="A2505" s="1">
        <v>2678.0</v>
      </c>
      <c r="B2505" s="3" t="s">
        <v>2455</v>
      </c>
      <c r="C2505" s="3" t="str">
        <f>IFERROR(__xludf.DUMMYFUNCTION("GOOGLETRANSLATE(B2505,""id"",""en"")"),"['Disappointed', 'Jaringgan', 'Telkomsel', 'Internet', 'Region', 'Signal', 'Weak', 'Leet', 'Telefon', 'Delicious',' Internet ',' Leet ',' really ',' already ',' paketan ',' expensive ',' signal ',' weak ',' kalou ',' gelatan ',' plumps', 'maklumi', 'area'"&amp;", 'center', 'crowd' , 'difficult']")</f>
        <v>['Disappointed', 'Jaringgan', 'Telkomsel', 'Internet', 'Region', 'Signal', 'Weak', 'Leet', 'Telefon', 'Delicious',' Internet ',' Leet ',' really ',' already ',' paketan ',' expensive ',' signal ',' weak ',' kalou ',' gelatan ',' plumps', 'maklumi', 'area', 'center', 'crowd' , 'difficult']</v>
      </c>
      <c r="D2505" s="3">
        <v>1.0</v>
      </c>
    </row>
    <row r="2506" ht="15.75" customHeight="1">
      <c r="A2506" s="1">
        <v>2679.0</v>
      </c>
      <c r="B2506" s="3" t="s">
        <v>2456</v>
      </c>
      <c r="C2506" s="3" t="str">
        <f>IFERROR(__xludf.DUMMYFUNCTION("GOOGLETRANSLATE(B2506,""id"",""en"")"),"['', 'bad']")</f>
        <v>['', 'bad']</v>
      </c>
      <c r="D2506" s="3">
        <v>1.0</v>
      </c>
    </row>
    <row r="2507" ht="15.75" customHeight="1">
      <c r="A2507" s="1">
        <v>2680.0</v>
      </c>
      <c r="B2507" s="3" t="s">
        <v>2457</v>
      </c>
      <c r="C2507" s="3" t="str">
        <f>IFERROR(__xludf.DUMMYFUNCTION("GOOGLETRANSLATE(B2507,""id"",""en"")"),"['Yes']")</f>
        <v>['Yes']</v>
      </c>
      <c r="D2507" s="3">
        <v>5.0</v>
      </c>
    </row>
    <row r="2508" ht="15.75" customHeight="1">
      <c r="A2508" s="1">
        <v>2681.0</v>
      </c>
      <c r="B2508" s="3" t="s">
        <v>1588</v>
      </c>
      <c r="C2508" s="3" t="str">
        <f>IFERROR(__xludf.DUMMYFUNCTION("GOOGLETRANSLATE(B2508,""id"",""en"")"),"['Price', 'package', 'expensive']")</f>
        <v>['Price', 'package', 'expensive']</v>
      </c>
      <c r="D2508" s="3">
        <v>2.0</v>
      </c>
    </row>
    <row r="2509" ht="15.75" customHeight="1">
      <c r="A2509" s="1">
        <v>2682.0</v>
      </c>
      <c r="B2509" s="3" t="s">
        <v>2458</v>
      </c>
      <c r="C2509" s="3" t="str">
        <f>IFERROR(__xludf.DUMMYFUNCTION("GOOGLETRANSLATE(B2509,""id"",""en"")"),"['Easy', 'MyTelkomsel']")</f>
        <v>['Easy', 'MyTelkomsel']</v>
      </c>
      <c r="D2509" s="3">
        <v>5.0</v>
      </c>
    </row>
    <row r="2510" ht="15.75" customHeight="1">
      <c r="A2510" s="1">
        <v>2683.0</v>
      </c>
      <c r="B2510" s="3" t="s">
        <v>2459</v>
      </c>
      <c r="C2510" s="3" t="str">
        <f>IFERROR(__xludf.DUMMYFUNCTION("GOOGLETRANSLATE(B2510,""id"",""en"")"),"['Telkomsel', 'hairy', 'NGLEG', 'taek']")</f>
        <v>['Telkomsel', 'hairy', 'NGLEG', 'taek']</v>
      </c>
      <c r="D2510" s="3">
        <v>1.0</v>
      </c>
    </row>
    <row r="2511" ht="15.75" customHeight="1">
      <c r="A2511" s="1">
        <v>2684.0</v>
      </c>
      <c r="B2511" s="3" t="s">
        <v>2460</v>
      </c>
      <c r="C2511" s="3" t="str">
        <f>IFERROR(__xludf.DUMMYFUNCTION("GOOGLETRANSLATE(B2511,""id"",""en"")"),"['Lenih', 'bad', '']")</f>
        <v>['Lenih', 'bad', '']</v>
      </c>
      <c r="D2511" s="3">
        <v>1.0</v>
      </c>
    </row>
    <row r="2512" ht="15.75" customHeight="1">
      <c r="A2512" s="1">
        <v>2685.0</v>
      </c>
      <c r="B2512" s="3" t="s">
        <v>2461</v>
      </c>
      <c r="C2512" s="3" t="str">
        <f>IFERROR(__xludf.DUMMYFUNCTION("GOOGLETRANSLATE(B2512,""id"",""en"")"),"['application', 'good', 'easy']")</f>
        <v>['application', 'good', 'easy']</v>
      </c>
      <c r="D2512" s="3">
        <v>5.0</v>
      </c>
    </row>
    <row r="2513" ht="15.75" customHeight="1">
      <c r="A2513" s="1">
        <v>2686.0</v>
      </c>
      <c r="B2513" s="3" t="s">
        <v>2462</v>
      </c>
      <c r="C2513" s="3" t="str">
        <f>IFERROR(__xludf.DUMMYFUNCTION("GOOGLETRANSLATE(B2513,""id"",""en"")"),"['open', 'application', 'Telkomsel', 'already', 'Delete', 'dondlwd', 'ttp', 'already', 'many', 'times',' hpus', 'donwld', ' TTP ',' Open ',' Manual ',' Atou ', ""]")</f>
        <v>['open', 'application', 'Telkomsel', 'already', 'Delete', 'dondlwd', 'ttp', 'already', 'many', 'times',' hpus', 'donwld', ' TTP ',' Open ',' Manual ',' Atou ', "]</v>
      </c>
      <c r="D2513" s="3">
        <v>5.0</v>
      </c>
    </row>
    <row r="2514" ht="15.75" customHeight="1">
      <c r="A2514" s="1">
        <v>2687.0</v>
      </c>
      <c r="B2514" s="3" t="s">
        <v>2463</v>
      </c>
      <c r="C2514" s="3" t="str">
        <f>IFERROR(__xludf.DUMMYFUNCTION("GOOGLETRANSLATE(B2514,""id"",""en"")"),"['easy', 'dang', 'cheap']")</f>
        <v>['easy', 'dang', 'cheap']</v>
      </c>
      <c r="D2514" s="3">
        <v>5.0</v>
      </c>
    </row>
    <row r="2515" ht="15.75" customHeight="1">
      <c r="A2515" s="1">
        <v>2688.0</v>
      </c>
      <c r="B2515" s="3" t="s">
        <v>2464</v>
      </c>
      <c r="C2515" s="3" t="str">
        <f>IFERROR(__xludf.DUMMYFUNCTION("GOOGLETRANSLATE(B2515,""id"",""en"")"),"['YouTube', 'etc.', 'smooth', 'watch', 'Disney', 'Hostar', 'buffering', 'really', 'slow', '']")</f>
        <v>['YouTube', 'etc.', 'smooth', 'watch', 'Disney', 'Hostar', 'buffering', 'really', 'slow', '']</v>
      </c>
      <c r="D2515" s="3">
        <v>1.0</v>
      </c>
    </row>
    <row r="2516" ht="15.75" customHeight="1">
      <c r="A2516" s="1">
        <v>2689.0</v>
      </c>
      <c r="B2516" s="3" t="s">
        <v>2465</v>
      </c>
      <c r="C2516" s="3" t="str">
        <f>IFERROR(__xludf.DUMMYFUNCTION("GOOGLETRANSLATE(B2516,""id"",""en"")"),"['Please', 'Help', 'Sis', 'Transaction', 'Package', 'Data', 'Connection', 'Network', 'WiFi', 'Yesterday', 'Cana', ""]")</f>
        <v>['Please', 'Help', 'Sis', 'Transaction', 'Package', 'Data', 'Connection', 'Network', 'WiFi', 'Yesterday', 'Cana', "]</v>
      </c>
      <c r="D2516" s="3">
        <v>5.0</v>
      </c>
    </row>
    <row r="2517" ht="15.75" customHeight="1">
      <c r="A2517" s="1">
        <v>2690.0</v>
      </c>
      <c r="B2517" s="3" t="s">
        <v>2466</v>
      </c>
      <c r="C2517" s="3" t="str">
        <f>IFERROR(__xludf.DUMMYFUNCTION("GOOGLETRANSLATE(B2517,""id"",""en"")"),"['', 'signal', 'woi', 'game', 'reloag', 'then', 'please', 'repair']")</f>
        <v>['', 'signal', 'woi', 'game', 'reloag', 'then', 'please', 'repair']</v>
      </c>
      <c r="D2517" s="3">
        <v>2.0</v>
      </c>
    </row>
    <row r="2518" ht="15.75" customHeight="1">
      <c r="A2518" s="1">
        <v>2691.0</v>
      </c>
      <c r="B2518" s="3" t="s">
        <v>2467</v>
      </c>
      <c r="C2518" s="3" t="str">
        <f>IFERROR(__xludf.DUMMYFUNCTION("GOOGLETRANSLATE(B2518,""id"",""en"")"),"['Hello', 'Telkomsel', 'Credit', 'Cut', 'Costs', 'Internet', 'Regular', 'Packages', 'Internet', 'On']")</f>
        <v>['Hello', 'Telkomsel', 'Credit', 'Cut', 'Costs', 'Internet', 'Regular', 'Packages', 'Internet', 'On']</v>
      </c>
      <c r="D2518" s="3">
        <v>1.0</v>
      </c>
    </row>
    <row r="2519" ht="15.75" customHeight="1">
      <c r="A2519" s="1">
        <v>2692.0</v>
      </c>
      <c r="B2519" s="3" t="s">
        <v>2468</v>
      </c>
      <c r="C2519" s="3" t="str">
        <f>IFERROR(__xludf.DUMMYFUNCTION("GOOGLETRANSLATE(B2519,""id"",""en"")"),"['why', 'sya', 'uda', 'open', 'apk', 'pdahal', 'mmbantu', 'please', 'help']")</f>
        <v>['why', 'sya', 'uda', 'open', 'apk', 'pdahal', 'mmbantu', 'please', 'help']</v>
      </c>
      <c r="D2519" s="3">
        <v>1.0</v>
      </c>
    </row>
    <row r="2520" ht="15.75" customHeight="1">
      <c r="A2520" s="1">
        <v>2693.0</v>
      </c>
      <c r="B2520" s="3" t="s">
        <v>2469</v>
      </c>
      <c r="C2520" s="3" t="str">
        <f>IFERROR(__xludf.DUMMYFUNCTION("GOOGLETRANSLATE(B2520,""id"",""en"")"),"['', 'DEC', 'Network', 'Application', 'Open', 'Edy', 'Karawang']")</f>
        <v>['', 'DEC', 'Network', 'Application', 'Open', 'Edy', 'Karawang']</v>
      </c>
      <c r="D2520" s="3">
        <v>5.0</v>
      </c>
    </row>
    <row r="2521" ht="15.75" customHeight="1">
      <c r="A2521" s="1">
        <v>2694.0</v>
      </c>
      <c r="B2521" s="3" t="s">
        <v>2470</v>
      </c>
      <c r="C2521" s="3" t="str">
        <f>IFERROR(__xludf.DUMMYFUNCTION("GOOGLETRANSLATE(B2521,""id"",""en"")"),"['Disappointed', 'Service', 'Customer', 'Telkomsel', 'Complaint', 'Network', 'Blum', 'Support', 'yes',' then ',' Mute ',' Telkomsel ',' Comments', 'Telkomsel', 'Telkomsel', 'Support', 'Main', 'Game', 'Prove', 'Card', 'Telkomsel', 'Speed', 'BSA', 'Operator"&amp;"', 'Game' , 'strong', 'may', 'Krna', 'operator', 'indo', 'famous', 'slow', 'SDAH', 'recognized']")</f>
        <v>['Disappointed', 'Service', 'Customer', 'Telkomsel', 'Complaint', 'Network', 'Blum', 'Support', 'yes',' then ',' Mute ',' Telkomsel ',' Comments', 'Telkomsel', 'Telkomsel', 'Support', 'Main', 'Game', 'Prove', 'Card', 'Telkomsel', 'Speed', 'BSA', 'Operator', 'Game' , 'strong', 'may', 'Krna', 'operator', 'indo', 'famous', 'slow', 'SDAH', 'recognized']</v>
      </c>
      <c r="D2521" s="3">
        <v>1.0</v>
      </c>
    </row>
    <row r="2522" ht="15.75" customHeight="1">
      <c r="A2522" s="1">
        <v>2695.0</v>
      </c>
      <c r="B2522" s="3" t="s">
        <v>2471</v>
      </c>
      <c r="C2522" s="3" t="str">
        <f>IFERROR(__xludf.DUMMYFUNCTION("GOOGLETRANSLATE(B2522,""id"",""en"")"),"['blank', 'Android']")</f>
        <v>['blank', 'Android']</v>
      </c>
      <c r="D2522" s="3">
        <v>1.0</v>
      </c>
    </row>
    <row r="2523" ht="15.75" customHeight="1">
      <c r="A2523" s="1">
        <v>2696.0</v>
      </c>
      <c r="B2523" s="3" t="s">
        <v>2472</v>
      </c>
      <c r="C2523" s="3" t="str">
        <f>IFERROR(__xludf.DUMMYFUNCTION("GOOGLETRANSLATE(B2523,""id"",""en"")"),"['Help', 'situation']")</f>
        <v>['Help', 'situation']</v>
      </c>
      <c r="D2523" s="3">
        <v>5.0</v>
      </c>
    </row>
    <row r="2524" ht="15.75" customHeight="1">
      <c r="A2524" s="1">
        <v>2697.0</v>
      </c>
      <c r="B2524" s="3" t="s">
        <v>2473</v>
      </c>
      <c r="C2524" s="3" t="str">
        <f>IFERROR(__xludf.DUMMYFUNCTION("GOOGLETRANSLATE(B2524,""id"",""en"")"),"['', 'bonus', 'quota', 'check', 'claims', 'network', 'busy', 'poor', '']")</f>
        <v>['', 'bonus', 'quota', 'check', 'claims', 'network', 'busy', 'poor', '']</v>
      </c>
      <c r="D2524" s="3">
        <v>2.0</v>
      </c>
    </row>
    <row r="2525" ht="15.75" customHeight="1">
      <c r="A2525" s="1">
        <v>2698.0</v>
      </c>
      <c r="B2525" s="3" t="s">
        <v>2474</v>
      </c>
      <c r="C2525" s="3" t="str">
        <f>IFERROR(__xludf.DUMMYFUNCTION("GOOGLETRANSLATE(B2525,""id"",""en"")"),"['Network', 'Kayak', 'Sundel', 'Change', 'Card', 'Use', 'Telkomsel', 'already', 'BBI']")</f>
        <v>['Network', 'Kayak', 'Sundel', 'Change', 'Card', 'Use', 'Telkomsel', 'already', 'BBI']</v>
      </c>
      <c r="D2525" s="3">
        <v>1.0</v>
      </c>
    </row>
    <row r="2526" ht="15.75" customHeight="1">
      <c r="A2526" s="1">
        <v>2699.0</v>
      </c>
      <c r="B2526" s="3" t="s">
        <v>2475</v>
      </c>
      <c r="C2526" s="3" t="str">
        <f>IFERROR(__xludf.DUMMYFUNCTION("GOOGLETRANSLATE(B2526,""id"",""en"")"),"['Steady', 'Telkomsel', 'Perdana']")</f>
        <v>['Steady', 'Telkomsel', 'Perdana']</v>
      </c>
      <c r="D2526" s="3">
        <v>4.0</v>
      </c>
    </row>
    <row r="2527" ht="15.75" customHeight="1">
      <c r="A2527" s="1">
        <v>2700.0</v>
      </c>
      <c r="B2527" s="3" t="s">
        <v>2476</v>
      </c>
      <c r="C2527" s="3" t="str">
        <f>IFERROR(__xludf.DUMMYFUNCTION("GOOGLETRANSLATE(B2527,""id"",""en"")"),"['UDH', 'DONLOD', 'Nge', 'Blang', 'White', 'Infinix', 'Smart', 'Yes', 'Support']")</f>
        <v>['UDH', 'DONLOD', 'Nge', 'Blang', 'White', 'Infinix', 'Smart', 'Yes', 'Support']</v>
      </c>
      <c r="D2527" s="3">
        <v>1.0</v>
      </c>
    </row>
    <row r="2528" ht="15.75" customHeight="1">
      <c r="A2528" s="1">
        <v>2701.0</v>
      </c>
      <c r="B2528" s="3" t="s">
        <v>2477</v>
      </c>
      <c r="C2528" s="3" t="str">
        <f>IFERROR(__xludf.DUMMYFUNCTION("GOOGLETRANSLATE(B2528,""id"",""en"")"),"['application', 'function', 'should', 'card', 'pulse', 'reduced', 'zero']")</f>
        <v>['application', 'function', 'should', 'card', 'pulse', 'reduced', 'zero']</v>
      </c>
      <c r="D2528" s="3">
        <v>4.0</v>
      </c>
    </row>
    <row r="2529" ht="15.75" customHeight="1">
      <c r="A2529" s="1">
        <v>2702.0</v>
      </c>
      <c r="B2529" s="3" t="s">
        <v>2478</v>
      </c>
      <c r="C2529" s="3" t="str">
        <f>IFERROR(__xludf.DUMMYFUNCTION("GOOGLETRANSLATE(B2529,""id"",""en"")"),"['Network', 'sometimes', 'slow', 'kdang', 'mlah', 'ilang', 'sonful']")</f>
        <v>['Network', 'sometimes', 'slow', 'kdang', 'mlah', 'ilang', 'sonful']</v>
      </c>
      <c r="D2529" s="3">
        <v>3.0</v>
      </c>
    </row>
    <row r="2530" ht="15.75" customHeight="1">
      <c r="A2530" s="1">
        <v>2703.0</v>
      </c>
      <c r="B2530" s="3" t="s">
        <v>2479</v>
      </c>
      <c r="C2530" s="3" t="str">
        <f>IFERROR(__xludf.DUMMYFUNCTION("GOOGLETRANSLATE(B2530,""id"",""en"")"),"['Bitang', 'talk']")</f>
        <v>['Bitang', 'talk']</v>
      </c>
      <c r="D2530" s="3">
        <v>5.0</v>
      </c>
    </row>
    <row r="2531" ht="15.75" customHeight="1">
      <c r="A2531" s="1">
        <v>2704.0</v>
      </c>
      <c r="B2531" s="3" t="s">
        <v>2480</v>
      </c>
      <c r="C2531" s="3" t="str">
        <f>IFERROR(__xludf.DUMMYFUNCTION("GOOGLETRANSLATE(B2531,""id"",""en"")"),"['Assalammualaikum', 'min', 'complaints',' signal ',' Telkomsel ',' ngeleg ',' bangett ',' please ',' fix ',' as soon as', 'min', 'kerugan', ' Telkomsel ',' comfortable ',' ']")</f>
        <v>['Assalammualaikum', 'min', 'complaints',' signal ',' Telkomsel ',' ngeleg ',' bangett ',' please ',' fix ',' as soon as', 'min', 'kerugan', ' Telkomsel ',' comfortable ',' ']</v>
      </c>
      <c r="D2531" s="3">
        <v>3.0</v>
      </c>
    </row>
    <row r="2532" ht="15.75" customHeight="1">
      <c r="A2532" s="1">
        <v>2705.0</v>
      </c>
      <c r="B2532" s="3" t="s">
        <v>2481</v>
      </c>
      <c r="C2532" s="3" t="str">
        <f>IFERROR(__xludf.DUMMYFUNCTION("GOOGLETRANSLATE(B2532,""id"",""en"")"),"['signal', 'errorr', 'price', 'package', 'shot', 'name', 'inflation', 'yesterday', 'rb', 'itupu', 'price', 'rb', ' Price ',' Ngungkong ',' pulses', 'topup', 'tip', 'sumps',' promo ',' promo ',' noon ',' talk ',' soreenya ',' repent ',' Telkomsel ' , 'Mill"&amp;"ions', 'community', 'Zolimi', 'in the city', 'Telkomsel', 'Gara', 'Nidak', 'Choice', 'Nokia', 'Tumbang', 'Gara', ""]")</f>
        <v>['signal', 'errorr', 'price', 'package', 'shot', 'name', 'inflation', 'yesterday', 'rb', 'itupu', 'price', 'rb', ' Price ',' Ngungkong ',' pulses', 'topup', 'tip', 'sumps',' promo ',' promo ',' noon ',' talk ',' soreenya ',' repent ',' Telkomsel ' , 'Millions', 'community', 'Zolimi', 'in the city', 'Telkomsel', 'Gara', 'Nidak', 'Choice', 'Nokia', 'Tumbang', 'Gara', "]</v>
      </c>
      <c r="D2532" s="3">
        <v>1.0</v>
      </c>
    </row>
    <row r="2533" ht="15.75" customHeight="1">
      <c r="A2533" s="1">
        <v>2706.0</v>
      </c>
      <c r="B2533" s="3" t="s">
        <v>2482</v>
      </c>
      <c r="C2533" s="3" t="str">
        <f>IFERROR(__xludf.DUMMYFUNCTION("GOOGLETRANSLATE(B2533,""id"",""en"")"),"['Network', 'Severe', 'Love', 'Rain', 'Ancurrrr', 'Price', 'Package', 'Quota', 'Continating', 'Relieve', 'Nambah', 'Burns',' ']")</f>
        <v>['Network', 'Severe', 'Love', 'Rain', 'Ancurrrr', 'Price', 'Package', 'Quota', 'Continating', 'Relieve', 'Nambah', 'Burns',' ']</v>
      </c>
      <c r="D2533" s="3">
        <v>1.0</v>
      </c>
    </row>
    <row r="2534" ht="15.75" customHeight="1">
      <c r="A2534" s="1">
        <v>2707.0</v>
      </c>
      <c r="B2534" s="3" t="s">
        <v>471</v>
      </c>
      <c r="C2534" s="3" t="str">
        <f>IFERROR(__xludf.DUMMYFUNCTION("GOOGLETRANSLATE(B2534,""id"",""en"")"),"['']")</f>
        <v>['']</v>
      </c>
      <c r="D2534" s="3">
        <v>5.0</v>
      </c>
    </row>
    <row r="2535" ht="15.75" customHeight="1">
      <c r="A2535" s="1">
        <v>2708.0</v>
      </c>
      <c r="B2535" s="3" t="s">
        <v>2483</v>
      </c>
      <c r="C2535" s="3" t="str">
        <f>IFERROR(__xludf.DUMMYFUNCTION("GOOGLETRANSLATE(B2535,""id"",""en"")"),"['Good', 'Application', 'Tipu', 'Tipu']")</f>
        <v>['Good', 'Application', 'Tipu', 'Tipu']</v>
      </c>
      <c r="D2535" s="3">
        <v>5.0</v>
      </c>
    </row>
    <row r="2536" ht="15.75" customHeight="1">
      <c r="A2536" s="1">
        <v>2709.0</v>
      </c>
      <c r="B2536" s="3" t="s">
        <v>2484</v>
      </c>
      <c r="C2536" s="3" t="str">
        <f>IFERROR(__xludf.DUMMYFUNCTION("GOOGLETRANSLATE(B2536,""id"",""en"")"),"['easy', 'promo', 'pretty', 'price', 'drain', 'bag', 'obstacle', 'Telkomsel', 'have', 'signal', 'stable', 'difficult', ' Reach ',' signal ']")</f>
        <v>['easy', 'promo', 'pretty', 'price', 'drain', 'bag', 'obstacle', 'Telkomsel', 'have', 'signal', 'stable', 'difficult', ' Reach ',' signal ']</v>
      </c>
      <c r="D2536" s="3">
        <v>5.0</v>
      </c>
    </row>
    <row r="2537" ht="15.75" customHeight="1">
      <c r="A2537" s="1">
        <v>2710.0</v>
      </c>
      <c r="B2537" s="3" t="s">
        <v>2485</v>
      </c>
      <c r="C2537" s="3" t="str">
        <f>IFERROR(__xludf.DUMMYFUNCTION("GOOGLETRANSLATE(B2537,""id"",""en"")"),"['owner', 'jarang', 'thinking', 'profit', 'personal', 'tisak', 'thinking', 'welfare', 'people', 'old', 'put forward', 'use', ' Data ',' settings', 'package', 'run out', 'apply', 'run out', 'pulses',' run out ',' remain ']")</f>
        <v>['owner', 'jarang', 'thinking', 'profit', 'personal', 'tisak', 'thinking', 'welfare', 'people', 'old', 'put forward', 'use', ' Data ',' settings', 'package', 'run out', 'apply', 'run out', 'pulses',' run out ',' remain ']</v>
      </c>
      <c r="D2537" s="3">
        <v>1.0</v>
      </c>
    </row>
    <row r="2538" ht="15.75" customHeight="1">
      <c r="A2538" s="1">
        <v>2711.0</v>
      </c>
      <c r="B2538" s="3" t="s">
        <v>2486</v>
      </c>
      <c r="C2538" s="3" t="str">
        <f>IFERROR(__xludf.DUMMYFUNCTION("GOOGLETRANSLATE(B2538,""id"",""en"")"),"['see', 'Package']")</f>
        <v>['see', 'Package']</v>
      </c>
      <c r="D2538" s="3">
        <v>5.0</v>
      </c>
    </row>
    <row r="2539" ht="15.75" customHeight="1">
      <c r="A2539" s="1">
        <v>2712.0</v>
      </c>
      <c r="B2539" s="3" t="s">
        <v>2487</v>
      </c>
      <c r="C2539" s="3" t="str">
        <f>IFERROR(__xludf.DUMMYFUNCTION("GOOGLETRANSLATE(B2539,""id"",""en"")"),"['Markotop', 'prize', 'hope', ""]")</f>
        <v>['Markotop', 'prize', 'hope', "]</v>
      </c>
      <c r="D2539" s="3">
        <v>3.0</v>
      </c>
    </row>
    <row r="2540" ht="15.75" customHeight="1">
      <c r="A2540" s="1">
        <v>2713.0</v>
      </c>
      <c r="B2540" s="3" t="s">
        <v>2488</v>
      </c>
      <c r="C2540" s="3" t="str">
        <f>IFERROR(__xludf.DUMMYFUNCTION("GOOGLETRANSLATE(B2540,""id"",""en"")"),"['Mantab', 'update', '']")</f>
        <v>['Mantab', 'update', '']</v>
      </c>
      <c r="D2540" s="3">
        <v>5.0</v>
      </c>
    </row>
    <row r="2541" ht="15.75" customHeight="1">
      <c r="A2541" s="1">
        <v>2714.0</v>
      </c>
      <c r="B2541" s="3" t="s">
        <v>2489</v>
      </c>
      <c r="C2541" s="3" t="str">
        <f>IFERROR(__xludf.DUMMYFUNCTION("GOOGLETRANSLATE(B2541,""id"",""en"")"),"['satisfying', 'pokonya', 'Telkomsel']")</f>
        <v>['satisfying', 'pokonya', 'Telkomsel']</v>
      </c>
      <c r="D2541" s="3">
        <v>5.0</v>
      </c>
    </row>
    <row r="2542" ht="15.75" customHeight="1">
      <c r="A2542" s="1">
        <v>2715.0</v>
      </c>
      <c r="B2542" s="3" t="s">
        <v>2490</v>
      </c>
      <c r="C2542" s="3" t="str">
        <f>IFERROR(__xludf.DUMMYFUNCTION("GOOGLETRANSLATE(B2542,""id"",""en"")"),"['Network', 'bad', 'hope', 'change', 'in the future']")</f>
        <v>['Network', 'bad', 'hope', 'change', 'in the future']</v>
      </c>
      <c r="D2542" s="3">
        <v>1.0</v>
      </c>
    </row>
    <row r="2543" ht="15.75" customHeight="1">
      <c r="A2543" s="1">
        <v>2716.0</v>
      </c>
      <c r="B2543" s="3" t="s">
        <v>2491</v>
      </c>
      <c r="C2543" s="3" t="str">
        <f>IFERROR(__xludf.DUMMYFUNCTION("GOOGLETRANSLATE(B2543,""id"",""en"")"),"['The application', 'opened', 'Ntar', 'opened', 'star']")</f>
        <v>['The application', 'opened', 'Ntar', 'opened', 'star']</v>
      </c>
      <c r="D2543" s="3">
        <v>1.0</v>
      </c>
    </row>
    <row r="2544" ht="15.75" customHeight="1">
      <c r="A2544" s="1">
        <v>2717.0</v>
      </c>
      <c r="B2544" s="3" t="s">
        <v>478</v>
      </c>
      <c r="C2544" s="3" t="str">
        <f>IFERROR(__xludf.DUMMYFUNCTION("GOOGLETRANSLATE(B2544,""id"",""en"")"),"Of course")</f>
        <v>Of course</v>
      </c>
      <c r="D2544" s="3">
        <v>5.0</v>
      </c>
    </row>
    <row r="2545" ht="15.75" customHeight="1">
      <c r="A2545" s="1">
        <v>2719.0</v>
      </c>
      <c r="B2545" s="3" t="s">
        <v>2492</v>
      </c>
      <c r="C2545" s="3" t="str">
        <f>IFERROR(__xludf.DUMMYFUNCTION("GOOGLETRANSLATE(B2545,""id"",""en"")"),"['Credit', 'Cutting', 'Turns',' Data ',' Use ',' WiFi ',' Deadly ',' Data ',' Content ',' Re-Call ',' Credit ',' Cut "" ',' buy ',' pulse ',' right ',' package ',' data ',' buy ',' subscription ',' package ',' fill ',' pulse ',' pulse ',' truncated ' , 'P"&amp;"lease', 'Telkomsel', 'Terbang', 'harmed', ""]")</f>
        <v>['Credit', 'Cutting', 'Turns',' Data ',' Use ',' WiFi ',' Deadly ',' Data ',' Content ',' Re-Call ',' Credit ',' Cut " ',' buy ',' pulse ',' right ',' package ',' data ',' buy ',' subscription ',' package ',' fill ',' pulse ',' pulse ',' truncated ' , 'Please', 'Telkomsel', 'Terbang', 'harmed', "]</v>
      </c>
      <c r="D2545" s="3">
        <v>1.0</v>
      </c>
    </row>
    <row r="2546" ht="15.75" customHeight="1">
      <c r="A2546" s="1">
        <v>2720.0</v>
      </c>
      <c r="B2546" s="3" t="s">
        <v>2493</v>
      </c>
      <c r="C2546" s="3" t="str">
        <f>IFERROR(__xludf.DUMMYFUNCTION("GOOGLETRANSLATE(B2546,""id"",""en"")"),"['network', 'open', 'Indihome', 'system', 'damaged', 'reasoned', 'network', 'internet', 'user', 'poor', 'package', 'impressed', ' Forcing ',' Package ',' Like ',' Package ',' Giga ',' Internet ',' Gigantic ',' The rest ',' Package ',' Quality ',' Entertai"&amp;"nment ',' Out ',' Date ' , 'December', 'opened', 'blank', 'white', 'black', 'open', 'install', 'installed', 'reset', ""]")</f>
        <v>['network', 'open', 'Indihome', 'system', 'damaged', 'reasoned', 'network', 'internet', 'user', 'poor', 'package', 'impressed', ' Forcing ',' Package ',' Like ',' Package ',' Giga ',' Internet ',' Gigantic ',' The rest ',' Package ',' Quality ',' Entertainment ',' Out ',' Date ' , 'December', 'opened', 'blank', 'white', 'black', 'open', 'install', 'installed', 'reset', "]</v>
      </c>
      <c r="D2546" s="3">
        <v>3.0</v>
      </c>
    </row>
    <row r="2547" ht="15.75" customHeight="1">
      <c r="A2547" s="1">
        <v>2721.0</v>
      </c>
      <c r="B2547" s="3" t="s">
        <v>2494</v>
      </c>
      <c r="C2547" s="3" t="str">
        <f>IFERROR(__xludf.DUMMYFUNCTION("GOOGLETRANSLATE(B2547,""id"",""en"")"),"['Bagussss', 'Baguss', 'Bagss', '']")</f>
        <v>['Bagussss', 'Baguss', 'Bagss', '']</v>
      </c>
      <c r="D2547" s="3">
        <v>4.0</v>
      </c>
    </row>
    <row r="2548" ht="15.75" customHeight="1">
      <c r="A2548" s="1">
        <v>2722.0</v>
      </c>
      <c r="B2548" s="3" t="s">
        <v>2495</v>
      </c>
      <c r="C2548" s="3" t="str">
        <f>IFERROR(__xludf.DUMMYFUNCTION("GOOGLETRANSLATE(B2548,""id"",""en"")"),"['price', 'package', 'expensive', 'gpp', 'deh', 'expensive', 'network', 'internet', 'smooth', 'already', 'expensive', 'the network', ' slow ',' oath ',' waste ',' prime ',' recommendets', 'really', 'dehh']")</f>
        <v>['price', 'package', 'expensive', 'gpp', 'deh', 'expensive', 'network', 'internet', 'smooth', 'already', 'expensive', 'the network', ' slow ',' oath ',' waste ',' prime ',' recommendets', 'really', 'dehh']</v>
      </c>
      <c r="D2548" s="3">
        <v>1.0</v>
      </c>
    </row>
    <row r="2549" ht="15.75" customHeight="1">
      <c r="A2549" s="1">
        <v>2723.0</v>
      </c>
      <c r="B2549" s="3" t="s">
        <v>2496</v>
      </c>
      <c r="C2549" s="3" t="str">
        <f>IFERROR(__xludf.DUMMYFUNCTION("GOOGLETRANSLATE(B2549,""id"",""en"")"),"['Network', 'Lemoot', 'Please', 'Fix', 'The Network', '']")</f>
        <v>['Network', 'Lemoot', 'Please', 'Fix', 'The Network', '']</v>
      </c>
      <c r="D2549" s="3">
        <v>1.0</v>
      </c>
    </row>
    <row r="2550" ht="15.75" customHeight="1">
      <c r="A2550" s="1">
        <v>2724.0</v>
      </c>
      <c r="B2550" s="3" t="s">
        <v>2497</v>
      </c>
      <c r="C2550" s="3" t="str">
        <f>IFERROR(__xludf.DUMMYFUNCTION("GOOGLETRANSLATE(B2550,""id"",""en"")"),"['Price', 'Nggk', 'Consistent', 'Signal', 'Nggk', 'Stable']")</f>
        <v>['Price', 'Nggk', 'Consistent', 'Signal', 'Nggk', 'Stable']</v>
      </c>
      <c r="D2550" s="3">
        <v>3.0</v>
      </c>
    </row>
    <row r="2551" ht="15.75" customHeight="1">
      <c r="A2551" s="1">
        <v>2725.0</v>
      </c>
      <c r="B2551" s="3" t="s">
        <v>2498</v>
      </c>
      <c r="C2551" s="3" t="str">
        <f>IFERROR(__xludf.DUMMYFUNCTION("GOOGLETRANSLATE(B2551,""id"",""en"")"),"['week', 'application', 'open', 'complaint', 'complaints',' repairs', 'contact', 'service', 'customer', 'help', 'bad', 'update', ' The application ',' opened ',' love ',' star ',' times', 'obstacle', 'massive', 'Masif', 'experienced', 'person', 'fix it', "&amp;"'please', 'solution' , 'help', '']")</f>
        <v>['week', 'application', 'open', 'complaint', 'complaints',' repairs', 'contact', 'service', 'customer', 'help', 'bad', 'update', ' The application ',' opened ',' love ',' star ',' times', 'obstacle', 'massive', 'Masif', 'experienced', 'person', 'fix it', 'please', 'solution' , 'help', '']</v>
      </c>
      <c r="D2551" s="3">
        <v>2.0</v>
      </c>
    </row>
    <row r="2552" ht="15.75" customHeight="1">
      <c r="A2552" s="1">
        <v>2726.0</v>
      </c>
      <c r="B2552" s="3" t="s">
        <v>2499</v>
      </c>
      <c r="C2552" s="3" t="str">
        <f>IFERROR(__xludf.DUMMYFUNCTION("GOOGLETRANSLATE(B2552,""id"",""en"")"),"['network', 'lag', 'lgi', 'play', 'game', 'ugly', 'giri', 'lgi', 'kak', 'exchange', 'point', 'good', ' System ',' Exchange ',' ugly ']")</f>
        <v>['network', 'lag', 'lgi', 'play', 'game', 'ugly', 'giri', 'lgi', 'kak', 'exchange', 'point', 'good', ' System ',' Exchange ',' ugly ']</v>
      </c>
      <c r="D2552" s="3">
        <v>1.0</v>
      </c>
    </row>
    <row r="2553" ht="15.75" customHeight="1">
      <c r="A2553" s="1">
        <v>2728.0</v>
      </c>
      <c r="B2553" s="3" t="s">
        <v>2500</v>
      </c>
      <c r="C2553" s="3" t="str">
        <f>IFERROR(__xludf.DUMMYFUNCTION("GOOGLETRANSLATE(B2553,""id"",""en"")"),"['Open', 'Application', 'Display', 'White', 'Current', 'Current', 'Try', 'Reinstall', 'Times',' Open ',' Application ',' Display ',' White', '']")</f>
        <v>['Open', 'Application', 'Display', 'White', 'Current', 'Current', 'Try', 'Reinstall', 'Times',' Open ',' Application ',' Display ',' White', '']</v>
      </c>
      <c r="D2553" s="3">
        <v>1.0</v>
      </c>
    </row>
    <row r="2554" ht="15.75" customHeight="1">
      <c r="A2554" s="1">
        <v>2729.0</v>
      </c>
      <c r="B2554" s="3" t="s">
        <v>2501</v>
      </c>
      <c r="C2554" s="3" t="str">
        <f>IFERROR(__xludf.DUMMYFUNCTION("GOOGLETRANSLATE(B2554,""id"",""en"")"),"['Telkomsel', 'Top', 'Markotop', 'Network', 'Spacious', 'Lemot']")</f>
        <v>['Telkomsel', 'Top', 'Markotop', 'Network', 'Spacious', 'Lemot']</v>
      </c>
      <c r="D2554" s="3">
        <v>5.0</v>
      </c>
    </row>
    <row r="2555" ht="15.75" customHeight="1">
      <c r="A2555" s="1">
        <v>2730.0</v>
      </c>
      <c r="B2555" s="3" t="s">
        <v>2502</v>
      </c>
      <c r="C2555" s="3" t="str">
        <f>IFERROR(__xludf.DUMMYFUNCTION("GOOGLETRANSLATE(B2555,""id"",""en"")"),"['Price', 'Package', 'Cheap', 'Kase', '']")</f>
        <v>['Price', 'Package', 'Cheap', 'Kase', '']</v>
      </c>
      <c r="D2555" s="3">
        <v>3.0</v>
      </c>
    </row>
    <row r="2556" ht="15.75" customHeight="1">
      <c r="A2556" s="1">
        <v>2731.0</v>
      </c>
      <c r="B2556" s="3" t="s">
        <v>2503</v>
      </c>
      <c r="C2556" s="3" t="str">
        <f>IFERROR(__xludf.DUMMYFUNCTION("GOOGLETRANSLATE(B2556,""id"",""en"")"),"['Telkomsel', 'Dear', 'Network', 'Internet', 'already', 'BURIK', 'How', 'Loyo', 'Fix', '']")</f>
        <v>['Telkomsel', 'Dear', 'Network', 'Internet', 'already', 'BURIK', 'How', 'Loyo', 'Fix', '']</v>
      </c>
      <c r="D2556" s="3">
        <v>1.0</v>
      </c>
    </row>
    <row r="2557" ht="15.75" customHeight="1">
      <c r="A2557" s="1">
        <v>2732.0</v>
      </c>
      <c r="B2557" s="3" t="s">
        <v>2504</v>
      </c>
      <c r="C2557" s="3" t="str">
        <f>IFERROR(__xludf.DUMMYFUNCTION("GOOGLETRANSLATE(B2557,""id"",""en"")"),"['Knpa', 'enter', 'MyTelkomsel']")</f>
        <v>['Knpa', 'enter', 'MyTelkomsel']</v>
      </c>
      <c r="D2557" s="3">
        <v>1.0</v>
      </c>
    </row>
    <row r="2558" ht="15.75" customHeight="1">
      <c r="A2558" s="1">
        <v>2733.0</v>
      </c>
      <c r="B2558" s="3" t="s">
        <v>2505</v>
      </c>
      <c r="C2558" s="3" t="str">
        <f>IFERROR(__xludf.DUMMYFUNCTION("GOOGLETRANSLATE(B2558,""id"",""en"")"),"['', 'Satisfied', 'subscribe', 'MyTelkomsel']")</f>
        <v>['', 'Satisfied', 'subscribe', 'MyTelkomsel']</v>
      </c>
      <c r="D2558" s="3">
        <v>5.0</v>
      </c>
    </row>
    <row r="2559" ht="15.75" customHeight="1">
      <c r="A2559" s="1">
        <v>2734.0</v>
      </c>
      <c r="B2559" s="3" t="s">
        <v>2506</v>
      </c>
      <c r="C2559" s="3" t="str">
        <f>IFERROR(__xludf.DUMMYFUNCTION("GOOGLETRANSLATE(B2559,""id"",""en"")"),"['Glad', 'APPK', '']")</f>
        <v>['Glad', 'APPK', '']</v>
      </c>
      <c r="D2559" s="3">
        <v>3.0</v>
      </c>
    </row>
    <row r="2560" ht="15.75" customHeight="1">
      <c r="A2560" s="1">
        <v>2735.0</v>
      </c>
      <c r="B2560" s="3" t="s">
        <v>2507</v>
      </c>
      <c r="C2560" s="3" t="str">
        <f>IFERROR(__xludf.DUMMYFUNCTION("GOOGLETRANSLATE(B2560,""id"",""en"")"),"['hope', 'repairs', 'region', 'signal', 'signal', 'weak', 'Telkomsel', 'mainstay', ""]")</f>
        <v>['hope', 'repairs', 'region', 'signal', 'signal', 'weak', 'Telkomsel', 'mainstay', "]</v>
      </c>
      <c r="D2560" s="3">
        <v>5.0</v>
      </c>
    </row>
    <row r="2561" ht="15.75" customHeight="1">
      <c r="A2561" s="1">
        <v>2736.0</v>
      </c>
      <c r="B2561" s="3" t="s">
        <v>2508</v>
      </c>
      <c r="C2561" s="3" t="str">
        <f>IFERROR(__xludf.DUMMYFUNCTION("GOOGLETRANSLATE(B2561,""id"",""en"")"),"['Come', 'ugly', 'card', 'APK', 'difficult', 'buy', 'Kouta', 'check it', 'report', 'Telkomsel', 'TPI', 'Gada', ' Response ',' Please ',' wise ',' Needs', 'Impact', '']")</f>
        <v>['Come', 'ugly', 'card', 'APK', 'difficult', 'buy', 'Kouta', 'check it', 'report', 'Telkomsel', 'TPI', 'Gada', ' Response ',' Please ',' wise ',' Needs', 'Impact', '']</v>
      </c>
      <c r="D2561" s="3">
        <v>1.0</v>
      </c>
    </row>
    <row r="2562" ht="15.75" customHeight="1">
      <c r="A2562" s="1">
        <v>2737.0</v>
      </c>
      <c r="B2562" s="3" t="s">
        <v>2509</v>
      </c>
      <c r="C2562" s="3" t="str">
        <f>IFERROR(__xludf.DUMMYFUNCTION("GOOGLETRANSLATE(B2562,""id"",""en"")"),"['Easy', 'reach']")</f>
        <v>['Easy', 'reach']</v>
      </c>
      <c r="D2562" s="3">
        <v>5.0</v>
      </c>
    </row>
    <row r="2563" ht="15.75" customHeight="1">
      <c r="A2563" s="1">
        <v>2738.0</v>
      </c>
      <c r="B2563" s="3" t="s">
        <v>2510</v>
      </c>
      <c r="C2563" s="3" t="str">
        <f>IFERROR(__xludf.DUMMYFUNCTION("GOOGLETRANSLATE(B2563,""id"",""en"")"),"['Ribet', 'Open', 'Log', 'Application', 'Forward', 'ReserveRR', '']")</f>
        <v>['Ribet', 'Open', 'Log', 'Application', 'Forward', 'ReserveRR', '']</v>
      </c>
      <c r="D2563" s="3">
        <v>1.0</v>
      </c>
    </row>
    <row r="2564" ht="15.75" customHeight="1">
      <c r="A2564" s="1">
        <v>2739.0</v>
      </c>
      <c r="B2564" s="3" t="s">
        <v>2511</v>
      </c>
      <c r="C2564" s="3" t="str">
        <f>IFERROR(__xludf.DUMMYFUNCTION("GOOGLETRANSLATE(B2564,""id"",""en"")"),"['Exchange', 'Points', 'How', '']")</f>
        <v>['Exchange', 'Points', 'How', '']</v>
      </c>
      <c r="D2564" s="3">
        <v>5.0</v>
      </c>
    </row>
    <row r="2565" ht="15.75" customHeight="1">
      <c r="A2565" s="1">
        <v>2740.0</v>
      </c>
      <c r="B2565" s="3" t="s">
        <v>2512</v>
      </c>
      <c r="C2565" s="3" t="str">
        <f>IFERROR(__xludf.DUMMYFUNCTION("GOOGLETRANSLATE(B2565,""id"",""en"")"),"['Check', 'Quota', 'font', 'letter', 'difficult', 'eyes',' age ',' pengah ',' age ',' up ',' hrs', 'glass',' Eyes', 'Please', 'enlarge', 'font', 'letters',' lbh ',' color ',' black ',' bkn ',' brown ',' difficult ',' read ',' mksh ' , '']")</f>
        <v>['Check', 'Quota', 'font', 'letter', 'difficult', 'eyes',' age ',' pengah ',' age ',' up ',' hrs', 'glass',' Eyes', 'Please', 'enlarge', 'font', 'letters',' lbh ',' color ',' black ',' bkn ',' brown ',' difficult ',' read ',' mksh ' , '']</v>
      </c>
      <c r="D2565" s="3">
        <v>4.0</v>
      </c>
    </row>
    <row r="2566" ht="15.75" customHeight="1">
      <c r="A2566" s="1">
        <v>2741.0</v>
      </c>
      <c r="B2566" s="3" t="s">
        <v>2513</v>
      </c>
      <c r="C2566" s="3" t="str">
        <f>IFERROR(__xludf.DUMMYFUNCTION("GOOGLETRANSLATE(B2566,""id"",""en"")"),"['Already', 'Log', 'Application', 'Telkomsel', 'Please', 'Repaired', 'Please', 'Explanation', 'Log', 'STP', 'Log', 'White', ' The screen ',' PDAH ',' Network ',' Fuull ',' ']")</f>
        <v>['Already', 'Log', 'Application', 'Telkomsel', 'Please', 'Repaired', 'Please', 'Explanation', 'Log', 'STP', 'Log', 'White', ' The screen ',' PDAH ',' Network ',' Fuull ',' ']</v>
      </c>
      <c r="D2566" s="3">
        <v>2.0</v>
      </c>
    </row>
    <row r="2567" ht="15.75" customHeight="1">
      <c r="A2567" s="1">
        <v>2742.0</v>
      </c>
      <c r="B2567" s="3" t="s">
        <v>2514</v>
      </c>
      <c r="C2567" s="3" t="str">
        <f>IFERROR(__xludf.DUMMYFUNCTION("GOOGLETRANSLATE(B2567,""id"",""en"")"),"['Good', 'update']")</f>
        <v>['Good', 'update']</v>
      </c>
      <c r="D2567" s="3">
        <v>5.0</v>
      </c>
    </row>
    <row r="2568" ht="15.75" customHeight="1">
      <c r="A2568" s="1">
        <v>2743.0</v>
      </c>
      <c r="B2568" s="3" t="s">
        <v>2515</v>
      </c>
      <c r="C2568" s="3" t="str">
        <f>IFERROR(__xludf.DUMMYFUNCTION("GOOGLETRANSLATE(B2568,""id"",""en"")"),"['dwonlot', 'Males', 'dwonlot', 'repeated', 'times', 'open']")</f>
        <v>['dwonlot', 'Males', 'dwonlot', 'repeated', 'times', 'open']</v>
      </c>
      <c r="D2568" s="3">
        <v>1.0</v>
      </c>
    </row>
    <row r="2569" ht="15.75" customHeight="1">
      <c r="A2569" s="1">
        <v>2744.0</v>
      </c>
      <c r="B2569" s="3" t="s">
        <v>2516</v>
      </c>
      <c r="C2569" s="3" t="str">
        <f>IFERROR(__xludf.DUMMYFUNCTION("GOOGLETRANSLATE(B2569,""id"",""en"")"),"['pulse', 'times', 'swallow', 'package', 'internet', 'run out', 'operator', 'like']")</f>
        <v>['pulse', 'times', 'swallow', 'package', 'internet', 'run out', 'operator', 'like']</v>
      </c>
      <c r="D2569" s="3">
        <v>1.0</v>
      </c>
    </row>
    <row r="2570" ht="15.75" customHeight="1">
      <c r="A2570" s="1">
        <v>2745.0</v>
      </c>
      <c r="B2570" s="3" t="s">
        <v>2517</v>
      </c>
      <c r="C2570" s="3" t="str">
        <f>IFERROR(__xludf.DUMMYFUNCTION("GOOGLETRANSLATE(B2570,""id"",""en"")"),"['suggestion', 'admin', 'MyTelkomsel', 'opened', 'screen', 'white', 'appears', 'gaka', 'change', 'road']")</f>
        <v>['suggestion', 'admin', 'MyTelkomsel', 'opened', 'screen', 'white', 'appears', 'gaka', 'change', 'road']</v>
      </c>
      <c r="D2570" s="3">
        <v>5.0</v>
      </c>
    </row>
    <row r="2571" ht="15.75" customHeight="1">
      <c r="A2571" s="1">
        <v>2746.0</v>
      </c>
      <c r="B2571" s="3" t="s">
        <v>1555</v>
      </c>
      <c r="C2571" s="3" t="str">
        <f>IFERROR(__xludf.DUMMYFUNCTION("GOOGLETRANSLATE(B2571,""id"",""en"")"),"['application', 'open', '']")</f>
        <v>['application', 'open', '']</v>
      </c>
      <c r="D2571" s="3">
        <v>1.0</v>
      </c>
    </row>
    <row r="2572" ht="15.75" customHeight="1">
      <c r="A2572" s="1">
        <v>2747.0</v>
      </c>
      <c r="B2572" s="3" t="s">
        <v>478</v>
      </c>
      <c r="C2572" s="3" t="str">
        <f>IFERROR(__xludf.DUMMYFUNCTION("GOOGLETRANSLATE(B2572,""id"",""en"")"),"Of course")</f>
        <v>Of course</v>
      </c>
      <c r="D2572" s="3">
        <v>2.0</v>
      </c>
    </row>
    <row r="2573" ht="15.75" customHeight="1">
      <c r="A2573" s="1">
        <v>2748.0</v>
      </c>
      <c r="B2573" s="3" t="s">
        <v>2518</v>
      </c>
      <c r="C2573" s="3" t="str">
        <f>IFERROR(__xludf.DUMMYFUNCTION("GOOGLETRANSLATE(B2573,""id"",""en"")"),"['Reting', 'star', 'Telkomsel', 'already', 'expensive', 'slow', 'card', 'moved', 'Telkomsel', 'because', 'forced', 'regret', ' Makai ',' Telkomsel ',' expensive ',' slow ']")</f>
        <v>['Reting', 'star', 'Telkomsel', 'already', 'expensive', 'slow', 'card', 'moved', 'Telkomsel', 'because', 'forced', 'regret', ' Makai ',' Telkomsel ',' expensive ',' slow ']</v>
      </c>
      <c r="D2573" s="3">
        <v>1.0</v>
      </c>
    </row>
    <row r="2574" ht="15.75" customHeight="1">
      <c r="A2574" s="1">
        <v>2749.0</v>
      </c>
      <c r="B2574" s="3" t="s">
        <v>2519</v>
      </c>
      <c r="C2574" s="3" t="str">
        <f>IFERROR(__xludf.DUMMYFUNCTION("GOOGLETRANSLATE(B2574,""id"",""en"")"),"['quota', 'application', 'price', 'expensive', 'counter', 'trs',' collect ',' coin ',' the free ',' little ',' lag ',' please ',' repair', '']")</f>
        <v>['quota', 'application', 'price', 'expensive', 'counter', 'trs',' collect ',' coin ',' the free ',' little ',' lag ',' please ',' repair', '']</v>
      </c>
      <c r="D2574" s="3">
        <v>1.0</v>
      </c>
    </row>
    <row r="2575" ht="15.75" customHeight="1">
      <c r="A2575" s="1">
        <v>2751.0</v>
      </c>
      <c r="B2575" s="3" t="s">
        <v>2520</v>
      </c>
      <c r="C2575" s="3" t="str">
        <f>IFERROR(__xludf.DUMMYFUNCTION("GOOGLETRANSLATE(B2575,""id"",""en"")"),"['Good', 'baget', 'cheap']")</f>
        <v>['Good', 'baget', 'cheap']</v>
      </c>
      <c r="D2575" s="3">
        <v>5.0</v>
      </c>
    </row>
    <row r="2576" ht="15.75" customHeight="1">
      <c r="A2576" s="1">
        <v>2752.0</v>
      </c>
      <c r="B2576" s="3" t="s">
        <v>2521</v>
      </c>
      <c r="C2576" s="3" t="str">
        <f>IFERROR(__xludf.DUMMYFUNCTION("GOOGLETRANSLATE(B2576,""id"",""en"")"),"['Good', 'mdh', 'mmbeli', 'quota', 'kdg', 'bonus', 'point', 'mndapat', '']")</f>
        <v>['Good', 'mdh', 'mmbeli', 'quota', 'kdg', 'bonus', 'point', 'mndapat', '']</v>
      </c>
      <c r="D2576" s="3">
        <v>4.0</v>
      </c>
    </row>
    <row r="2577" ht="15.75" customHeight="1">
      <c r="A2577" s="1">
        <v>2753.0</v>
      </c>
      <c r="B2577" s="3" t="s">
        <v>2522</v>
      </c>
      <c r="C2577" s="3" t="str">
        <f>IFERROR(__xludf.DUMMYFUNCTION("GOOGLETRANSLATE(B2577,""id"",""en"")"),"['Love', 'Star', 'JLS', 'Uda', 'Downloaded', 'Time', 'TTP', 'Opened', '']")</f>
        <v>['Love', 'Star', 'JLS', 'Uda', 'Downloaded', 'Time', 'TTP', 'Opened', '']</v>
      </c>
      <c r="D2577" s="3">
        <v>2.0</v>
      </c>
    </row>
    <row r="2578" ht="15.75" customHeight="1">
      <c r="A2578" s="1">
        <v>2754.0</v>
      </c>
      <c r="B2578" s="3" t="s">
        <v>2523</v>
      </c>
      <c r="C2578" s="3" t="str">
        <f>IFERROR(__xludf.DUMMYFUNCTION("GOOGLETRANSLATE(B2578,""id"",""en"")"),"['', 'Signal', 'Telkomsel', 'Good', 'Region', 'Garut', 'Region', 'Liat', 'Story', 'Doang', 'Muter', 'Recommendation', 'Package ',' good ',' sibynya ',' sya ',' GB ',' RB ',' essence ',' satisfied ',' sya ',' already ',' bngt ',' telkomsel ']")</f>
        <v>['', 'Signal', 'Telkomsel', 'Good', 'Region', 'Garut', 'Region', 'Liat', 'Story', 'Doang', 'Muter', 'Recommendation', 'Package ',' good ',' sibynya ',' sya ',' GB ',' RB ',' essence ',' satisfied ',' sya ',' already ',' bngt ',' telkomsel ']</v>
      </c>
      <c r="D2578" s="3">
        <v>2.0</v>
      </c>
    </row>
    <row r="2579" ht="15.75" customHeight="1">
      <c r="A2579" s="1">
        <v>2755.0</v>
      </c>
      <c r="B2579" s="3" t="s">
        <v>2524</v>
      </c>
      <c r="C2579" s="3" t="str">
        <f>IFERROR(__xludf.DUMMYFUNCTION("GOOGLETRANSLATE(B2579,""id"",""en"")"),"['Application', 'opened', 'screen', 'white', 'appears']")</f>
        <v>['Application', 'opened', 'screen', 'white', 'appears']</v>
      </c>
      <c r="D2579" s="3">
        <v>1.0</v>
      </c>
    </row>
    <row r="2580" ht="15.75" customHeight="1">
      <c r="A2580" s="1">
        <v>2756.0</v>
      </c>
      <c r="B2580" s="3" t="s">
        <v>2525</v>
      </c>
      <c r="C2580" s="3" t="str">
        <f>IFERROR(__xludf.DUMMYFUNCTION("GOOGLETRANSLATE(B2580,""id"",""en"")"),"['quota', 'expensive', 'boss']")</f>
        <v>['quota', 'expensive', 'boss']</v>
      </c>
      <c r="D2580" s="3">
        <v>1.0</v>
      </c>
    </row>
    <row r="2581" ht="15.75" customHeight="1">
      <c r="A2581" s="1">
        <v>2757.0</v>
      </c>
      <c r="B2581" s="3" t="s">
        <v>1352</v>
      </c>
      <c r="C2581" s="3" t="str">
        <f>IFERROR(__xludf.DUMMYFUNCTION("GOOGLETRANSLATE(B2581,""id"",""en"")"),"['It's easy', '']")</f>
        <v>['It's easy', '']</v>
      </c>
      <c r="D2581" s="3">
        <v>5.0</v>
      </c>
    </row>
    <row r="2582" ht="15.75" customHeight="1">
      <c r="A2582" s="1">
        <v>2759.0</v>
      </c>
      <c r="B2582" s="3" t="s">
        <v>2526</v>
      </c>
      <c r="C2582" s="3" t="str">
        <f>IFERROR(__xludf.DUMMYFUNCTION("GOOGLETRANSLATE(B2582,""id"",""en"")"),"['Network', 'Leet', 'Telkomsel', 'Main', 'Game', 'Disconnect', 'Gara', 'Gara', 'Network', 'Telkomsel', 'Good', 'Pakek', ' axis', 'Telkomsel', 'expensive', 'slow']")</f>
        <v>['Network', 'Leet', 'Telkomsel', 'Main', 'Game', 'Disconnect', 'Gara', 'Gara', 'Network', 'Telkomsel', 'Good', 'Pakek', ' axis', 'Telkomsel', 'expensive', 'slow']</v>
      </c>
      <c r="D2582" s="3">
        <v>1.0</v>
      </c>
    </row>
    <row r="2583" ht="15.75" customHeight="1">
      <c r="A2583" s="1">
        <v>2760.0</v>
      </c>
      <c r="B2583" s="3" t="s">
        <v>2527</v>
      </c>
      <c r="C2583" s="3" t="str">
        <f>IFERROR(__xludf.DUMMYFUNCTION("GOOGLETRANSLATE(B2583,""id"",""en"")"),"['Already', 'Install', 'Open', '']")</f>
        <v>['Already', 'Install', 'Open', '']</v>
      </c>
      <c r="D2583" s="3">
        <v>3.0</v>
      </c>
    </row>
    <row r="2584" ht="15.75" customHeight="1">
      <c r="A2584" s="1">
        <v>2761.0</v>
      </c>
      <c r="B2584" s="3" t="s">
        <v>2528</v>
      </c>
      <c r="C2584" s="3" t="str">
        <f>IFERROR(__xludf.DUMMYFUNCTION("GOOGLETRANSLATE(B2584,""id"",""en"")"),"['pulse', 'free']")</f>
        <v>['pulse', 'free']</v>
      </c>
      <c r="D2584" s="3">
        <v>5.0</v>
      </c>
    </row>
    <row r="2585" ht="15.75" customHeight="1">
      <c r="A2585" s="1">
        <v>2762.0</v>
      </c>
      <c r="B2585" s="3" t="s">
        <v>2127</v>
      </c>
      <c r="C2585" s="3" t="str">
        <f>IFERROR(__xludf.DUMMYFUNCTION("GOOGLETRANSLATE(B2585,""id"",""en"")"),"['easy']")</f>
        <v>['easy']</v>
      </c>
      <c r="D2585" s="3">
        <v>3.0</v>
      </c>
    </row>
    <row r="2586" ht="15.75" customHeight="1">
      <c r="A2586" s="1">
        <v>2763.0</v>
      </c>
      <c r="B2586" s="3" t="s">
        <v>2529</v>
      </c>
      <c r="C2586" s="3" t="str">
        <f>IFERROR(__xludf.DUMMYFUNCTION("GOOGLETRANSLATE(B2586,""id"",""en"")"),"['No "",' opened ',' Samsung ',""]")</f>
        <v>['No ",' opened ',' Samsung ',"]</v>
      </c>
      <c r="D2586" s="3">
        <v>1.0</v>
      </c>
    </row>
    <row r="2587" ht="15.75" customHeight="1">
      <c r="A2587" s="1">
        <v>2764.0</v>
      </c>
      <c r="B2587" s="3" t="s">
        <v>2530</v>
      </c>
      <c r="C2587" s="3" t="str">
        <f>IFERROR(__xludf.DUMMYFUNCTION("GOOGLETRANSLATE(B2587,""id"",""en"")"),"['Stub', 'merchandise', 'pingin', 'waste', 'number', 'price', 'kidir', 'expensive', 'sultan', 'puoolll', 'aba', 'aba', ' Price ',' package ',' minus', 'number', 'Different', 'Different', 'price', 'APK', 'Different', 'Price', 'User', 'Choose', 'Selected' ,"&amp;" 'Need', 'need', 'symbiosis',' mutualism ',' notification ',' kek ',' ad ',' sms', 'kek', 'run', 'customer', 'loyal', ' Gini ',' Begoo ']")</f>
        <v>['Stub', 'merchandise', 'pingin', 'waste', 'number', 'price', 'kidir', 'expensive', 'sultan', 'puoolll', 'aba', 'aba', ' Price ',' package ',' minus', 'number', 'Different', 'Different', 'price', 'APK', 'Different', 'Price', 'User', 'Choose', 'Selected' , 'Need', 'need', 'symbiosis',' mutualism ',' notification ',' kek ',' ad ',' sms', 'kek', 'run', 'customer', 'loyal', ' Gini ',' Begoo ']</v>
      </c>
      <c r="D2587" s="3">
        <v>1.0</v>
      </c>
    </row>
    <row r="2588" ht="15.75" customHeight="1">
      <c r="A2588" s="1">
        <v>2766.0</v>
      </c>
      <c r="B2588" s="3" t="s">
        <v>2531</v>
      </c>
      <c r="C2588" s="3" t="str">
        <f>IFERROR(__xludf.DUMMYFUNCTION("GOOGLETRANSLATE(B2588,""id"",""en"")"),"['Telkomselku', 'dead', ""]")</f>
        <v>['Telkomselku', 'dead', "]</v>
      </c>
      <c r="D2588" s="3">
        <v>5.0</v>
      </c>
    </row>
    <row r="2589" ht="15.75" customHeight="1">
      <c r="A2589" s="1">
        <v>2767.0</v>
      </c>
      <c r="B2589" s="3" t="s">
        <v>2532</v>
      </c>
      <c r="C2589" s="3" t="str">
        <f>IFERROR(__xludf.DUMMYFUNCTION("GOOGLETRANSLATE(B2589,""id"",""en"")"),"['Network', 'garbage', '']")</f>
        <v>['Network', 'garbage', '']</v>
      </c>
      <c r="D2589" s="3">
        <v>1.0</v>
      </c>
    </row>
    <row r="2590" ht="15.75" customHeight="1">
      <c r="A2590" s="1">
        <v>2768.0</v>
      </c>
      <c r="B2590" s="3" t="s">
        <v>2533</v>
      </c>
      <c r="C2590" s="3" t="str">
        <f>IFERROR(__xludf.DUMMYFUNCTION("GOOGLETRANSLATE(B2590,""id"",""en"")"),"['many years',' pke ',' sympathy ',' here ',' network ',' down ',' tower ',' home ',' network ',' how ',' comfortable ',' launched ',' bad connection']")</f>
        <v>['many years',' pke ',' sympathy ',' here ',' network ',' down ',' tower ',' home ',' network ',' how ',' comfortable ',' launched ',' bad connection']</v>
      </c>
      <c r="D2590" s="3">
        <v>1.0</v>
      </c>
    </row>
    <row r="2591" ht="15.75" customHeight="1">
      <c r="A2591" s="1">
        <v>2769.0</v>
      </c>
      <c r="B2591" s="3" t="s">
        <v>2534</v>
      </c>
      <c r="C2591" s="3" t="str">
        <f>IFERROR(__xludf.DUMMYFUNCTION("GOOGLETRANSLATE(B2591,""id"",""en"")"),"['yaa', 'min', 'update', 'opened', 'the application', 'buy', 'package', 'nii', ""]")</f>
        <v>['yaa', 'min', 'update', 'opened', 'the application', 'buy', 'package', 'nii', "]</v>
      </c>
      <c r="D2591" s="3">
        <v>3.0</v>
      </c>
    </row>
    <row r="2592" ht="15.75" customHeight="1">
      <c r="A2592" s="1">
        <v>2770.0</v>
      </c>
      <c r="B2592" s="3" t="s">
        <v>2535</v>
      </c>
      <c r="C2592" s="3" t="str">
        <f>IFERROR(__xludf.DUMMYFUNCTION("GOOGLETRANSLATE(B2592,""id"",""en"")"),"['Please', 'Package', 'YouTube', 'It's', 'Kayak', 'Snail', 'Ktax', 'Free', 'Lemot']")</f>
        <v>['Please', 'Package', 'YouTube', 'It's', 'Kayak', 'Snail', 'Ktax', 'Free', 'Lemot']</v>
      </c>
      <c r="D2592" s="3">
        <v>1.0</v>
      </c>
    </row>
    <row r="2593" ht="15.75" customHeight="1">
      <c r="A2593" s="1">
        <v>2771.0</v>
      </c>
      <c r="B2593" s="3" t="s">
        <v>2536</v>
      </c>
      <c r="C2593" s="3" t="str">
        <f>IFERROR(__xludf.DUMMYFUNCTION("GOOGLETRANSLATE(B2593,""id"",""en"")"),"['A month', 'Aflication', 'Telkomsel', 'opened', 'how', 'pliiiiiisss', ""]")</f>
        <v>['A month', 'Aflication', 'Telkomsel', 'opened', 'how', 'pliiiiiisss', "]</v>
      </c>
      <c r="D2593" s="3">
        <v>1.0</v>
      </c>
    </row>
    <row r="2594" ht="15.75" customHeight="1">
      <c r="A2594" s="1">
        <v>2772.0</v>
      </c>
      <c r="B2594" s="3" t="s">
        <v>2537</v>
      </c>
      <c r="C2594" s="3" t="str">
        <f>IFERROR(__xludf.DUMMYFUNCTION("GOOGLETRANSLATE(B2594,""id"",""en"")"),"['Signal', 'Telkomsel', 'Bagusn']")</f>
        <v>['Signal', 'Telkomsel', 'Bagusn']</v>
      </c>
      <c r="D2594" s="3">
        <v>5.0</v>
      </c>
    </row>
    <row r="2595" ht="15.75" customHeight="1">
      <c r="A2595" s="1">
        <v>2773.0</v>
      </c>
      <c r="B2595" s="3" t="s">
        <v>2538</v>
      </c>
      <c r="C2595" s="3" t="str">
        <f>IFERROR(__xludf.DUMMYFUNCTION("GOOGLETRANSLATE(B2595,""id"",""en"")"),"['signal', 'bad', 'wlau', 'city', 'village', 'sma', 'activate', 'data', 'cellular']")</f>
        <v>['signal', 'bad', 'wlau', 'city', 'village', 'sma', 'activate', 'data', 'cellular']</v>
      </c>
      <c r="D2595" s="3">
        <v>1.0</v>
      </c>
    </row>
    <row r="2596" ht="15.75" customHeight="1">
      <c r="A2596" s="1">
        <v>2774.0</v>
      </c>
      <c r="B2596" s="3" t="s">
        <v>2539</v>
      </c>
      <c r="C2596" s="3" t="str">
        <f>IFERROR(__xludf.DUMMYFUNCTION("GOOGLETRANSLATE(B2596,""id"",""en"")"),"['knp', 'Telkomsel', 'no', 'open', 'wait', 'no', 'open', 'Telkomsel']")</f>
        <v>['knp', 'Telkomsel', 'no', 'open', 'wait', 'no', 'open', 'Telkomsel']</v>
      </c>
      <c r="D2596" s="3">
        <v>1.0</v>
      </c>
    </row>
    <row r="2597" ht="15.75" customHeight="1">
      <c r="A2597" s="1">
        <v>2775.0</v>
      </c>
      <c r="B2597" s="3" t="s">
        <v>2540</v>
      </c>
      <c r="C2597" s="3" t="str">
        <f>IFERROR(__xludf.DUMMYFUNCTION("GOOGLETRANSLATE(B2597,""id"",""en"")"),"['signal', 'rotten', 'GBLK']")</f>
        <v>['signal', 'rotten', 'GBLK']</v>
      </c>
      <c r="D2597" s="3">
        <v>1.0</v>
      </c>
    </row>
    <row r="2598" ht="15.75" customHeight="1">
      <c r="A2598" s="1">
        <v>2776.0</v>
      </c>
      <c r="B2598" s="3" t="s">
        <v>2541</v>
      </c>
      <c r="C2598" s="3" t="str">
        <f>IFERROR(__xludf.DUMMYFUNCTION("GOOGLETRANSLATE(B2598,""id"",""en"")"),"['application', 'MyTelkomsel', 'can', 'buy', 'pulse', 'easy', 'harganya', 'affordable', 'bonus', '']")</f>
        <v>['application', 'MyTelkomsel', 'can', 'buy', 'pulse', 'easy', 'harganya', 'affordable', 'bonus', '']</v>
      </c>
      <c r="D2598" s="3">
        <v>5.0</v>
      </c>
    </row>
    <row r="2599" ht="15.75" customHeight="1">
      <c r="A2599" s="1">
        <v>2777.0</v>
      </c>
      <c r="B2599" s="3" t="s">
        <v>2542</v>
      </c>
      <c r="C2599" s="3" t="str">
        <f>IFERROR(__xludf.DUMMYFUNCTION("GOOGLETRANSLATE(B2599,""id"",""en"")"),"['network', 'slow', 'woy', 'buy', 'package', 'expensive', 'network', 'kek', 'gini', 'woy']")</f>
        <v>['network', 'slow', 'woy', 'buy', 'package', 'expensive', 'network', 'kek', 'gini', 'woy']</v>
      </c>
      <c r="D2599" s="3">
        <v>1.0</v>
      </c>
    </row>
    <row r="2600" ht="15.75" customHeight="1">
      <c r="A2600" s="1">
        <v>2778.0</v>
      </c>
      <c r="B2600" s="3" t="s">
        <v>2543</v>
      </c>
      <c r="C2600" s="3" t="str">
        <f>IFERROR(__xludf.DUMMYFUNCTION("GOOGLETRANSLATE(B2600,""id"",""en"")"),"['Out', 'Update', 'Open']")</f>
        <v>['Out', 'Update', 'Open']</v>
      </c>
      <c r="D2600" s="3">
        <v>5.0</v>
      </c>
    </row>
    <row r="2601" ht="15.75" customHeight="1">
      <c r="A2601" s="1">
        <v>2779.0</v>
      </c>
      <c r="B2601" s="3" t="s">
        <v>2544</v>
      </c>
      <c r="C2601" s="3" t="str">
        <f>IFERROR(__xludf.DUMMYFUNCTION("GOOGLETRANSLATE(B2601,""id"",""en"")"),"['network', 'slow', 'play', 'game', 'loading', 'please', 'repaired', 'network', 'Telkomsel', 'good', 'love', 'star', ' ']")</f>
        <v>['network', 'slow', 'play', 'game', 'loading', 'please', 'repaired', 'network', 'Telkomsel', 'good', 'love', 'star', ' ']</v>
      </c>
      <c r="D2601" s="3">
        <v>1.0</v>
      </c>
    </row>
    <row r="2602" ht="15.75" customHeight="1">
      <c r="A2602" s="1">
        <v>2780.0</v>
      </c>
      <c r="B2602" s="3" t="s">
        <v>2545</v>
      </c>
      <c r="C2602" s="3" t="str">
        <f>IFERROR(__xludf.DUMMYFUNCTION("GOOGLETRANSLATE(B2602,""id"",""en"")"),"['artisan', 'suck', 'pulse', 'pigii']")</f>
        <v>['artisan', 'suck', 'pulse', 'pigii']</v>
      </c>
      <c r="D2602" s="3">
        <v>1.0</v>
      </c>
    </row>
    <row r="2603" ht="15.75" customHeight="1">
      <c r="A2603" s="1">
        <v>2781.0</v>
      </c>
      <c r="B2603" s="3" t="s">
        <v>2546</v>
      </c>
      <c r="C2603" s="3" t="str">
        <f>IFERROR(__xludf.DUMMYFUNCTION("GOOGLETRANSLATE(B2603,""id"",""en"")"),"['Satisfied', 'service']")</f>
        <v>['Satisfied', 'service']</v>
      </c>
      <c r="D2603" s="3">
        <v>5.0</v>
      </c>
    </row>
    <row r="2604" ht="15.75" customHeight="1">
      <c r="A2604" s="1">
        <v>2782.0</v>
      </c>
      <c r="B2604" s="3" t="s">
        <v>2547</v>
      </c>
      <c r="C2604" s="3" t="str">
        <f>IFERROR(__xludf.DUMMYFUNCTION("GOOGLETRANSLATE(B2604,""id"",""en"")"),"['special', 'daera', 'Maluku', 'North', 'expensive', 'prodak', 'Telkomsel']")</f>
        <v>['special', 'daera', 'Maluku', 'North', 'expensive', 'prodak', 'Telkomsel']</v>
      </c>
      <c r="D2604" s="3">
        <v>1.0</v>
      </c>
    </row>
    <row r="2605" ht="15.75" customHeight="1">
      <c r="A2605" s="1">
        <v>2783.0</v>
      </c>
      <c r="B2605" s="3" t="s">
        <v>355</v>
      </c>
      <c r="C2605" s="3" t="str">
        <f>IFERROR(__xludf.DUMMYFUNCTION("GOOGLETRANSLATE(B2605,""id"",""en"")"),"['open', '']")</f>
        <v>['open', '']</v>
      </c>
      <c r="D2605" s="3">
        <v>5.0</v>
      </c>
    </row>
    <row r="2606" ht="15.75" customHeight="1">
      <c r="A2606" s="1">
        <v>2784.0</v>
      </c>
      <c r="B2606" s="3" t="s">
        <v>2548</v>
      </c>
      <c r="C2606" s="3" t="str">
        <f>IFERROR(__xludf.DUMMYFUNCTION("GOOGLETRANSLATE(B2606,""id"",""en"")"),"['function', 'makes it easy']")</f>
        <v>['function', 'makes it easy']</v>
      </c>
      <c r="D2606" s="3">
        <v>5.0</v>
      </c>
    </row>
    <row r="2607" ht="15.75" customHeight="1">
      <c r="A2607" s="1">
        <v>2785.0</v>
      </c>
      <c r="B2607" s="3" t="s">
        <v>2549</v>
      </c>
      <c r="C2607" s="3" t="str">
        <f>IFERROR(__xludf.DUMMYFUNCTION("GOOGLETRANSLATE(B2607,""id"",""en"")"),"['Bener', 'WOI', 'right', 'Try', 'BIAT', 'Enter', 'number', 'Mulu', 'Tulosan', 'session', 'Please', 'Login', ' That means', 'Try', 'Many', 'Many', 'Please', 'Fix', 'Telkomsel', 'Tired']")</f>
        <v>['Bener', 'WOI', 'right', 'Try', 'BIAT', 'Enter', 'number', 'Mulu', 'Tulosan', 'session', 'Please', 'Login', ' That means', 'Try', 'Many', 'Many', 'Please', 'Fix', 'Telkomsel', 'Tired']</v>
      </c>
      <c r="D2607" s="3">
        <v>1.0</v>
      </c>
    </row>
    <row r="2608" ht="15.75" customHeight="1">
      <c r="A2608" s="1">
        <v>2786.0</v>
      </c>
      <c r="B2608" s="3" t="s">
        <v>2550</v>
      </c>
      <c r="C2608" s="3" t="str">
        <f>IFERROR(__xludf.DUMMYFUNCTION("GOOGLETRANSLATE(B2608,""id"",""en"")"),"['Telkomsel', 'Severe', 'Abis', 'Region', 'Cilimus', 'Kab', 'Kuningan']")</f>
        <v>['Telkomsel', 'Severe', 'Abis', 'Region', 'Cilimus', 'Kab', 'Kuningan']</v>
      </c>
      <c r="D2608" s="3">
        <v>1.0</v>
      </c>
    </row>
    <row r="2609" ht="15.75" customHeight="1">
      <c r="A2609" s="1">
        <v>2787.0</v>
      </c>
      <c r="B2609" s="3" t="s">
        <v>2551</v>
      </c>
      <c r="C2609" s="3" t="str">
        <f>IFERROR(__xludf.DUMMYFUNCTION("GOOGLETRANSLATE(B2609,""id"",""en"")"),"['Love', 'Bintang', '']")</f>
        <v>['Love', 'Bintang', '']</v>
      </c>
      <c r="D2609" s="3">
        <v>5.0</v>
      </c>
    </row>
    <row r="2610" ht="15.75" customHeight="1">
      <c r="A2610" s="1">
        <v>2788.0</v>
      </c>
      <c r="B2610" s="3" t="s">
        <v>2552</v>
      </c>
      <c r="C2610" s="3" t="str">
        <f>IFERROR(__xludf.DUMMYFUNCTION("GOOGLETRANSLATE(B2610,""id"",""en"")"),"['application', 'help', 'network', 'disappointing', 'quota', 'expensive', 'network', 'difficult', 'really', 'missing', 'location', 'room', ' Walls', 'thick', 'direct', 'network', 'missing', 'disappointing', '']")</f>
        <v>['application', 'help', 'network', 'disappointing', 'quota', 'expensive', 'network', 'difficult', 'really', 'missing', 'location', 'room', ' Walls', 'thick', 'direct', 'network', 'missing', 'disappointing', '']</v>
      </c>
      <c r="D2610" s="3">
        <v>2.0</v>
      </c>
    </row>
    <row r="2611" ht="15.75" customHeight="1">
      <c r="A2611" s="1">
        <v>2789.0</v>
      </c>
      <c r="B2611" s="3" t="s">
        <v>2553</v>
      </c>
      <c r="C2611" s="3" t="str">
        <f>IFERROR(__xludf.DUMMYFUNCTION("GOOGLETRANSLATE(B2611,""id"",""en"")"),"['Price', 'expensive', 'guarantee', 'quality', 'good', ""]")</f>
        <v>['Price', 'expensive', 'guarantee', 'quality', 'good', "]</v>
      </c>
      <c r="D2611" s="3">
        <v>1.0</v>
      </c>
    </row>
    <row r="2612" ht="15.75" customHeight="1">
      <c r="A2612" s="1">
        <v>2790.0</v>
      </c>
      <c r="B2612" s="3" t="s">
        <v>2554</v>
      </c>
      <c r="C2612" s="3" t="str">
        <f>IFERROR(__xludf.DUMMYFUNCTION("GOOGLETRANSLATE(B2612,""id"",""en"")"),"['Parahh', 'ASIII', 'Screen', 'White', 'Application', 'Cana', 'Open']")</f>
        <v>['Parahh', 'ASIII', 'Screen', 'White', 'Application', 'Cana', 'Open']</v>
      </c>
      <c r="D2612" s="3">
        <v>1.0</v>
      </c>
    </row>
    <row r="2613" ht="15.75" customHeight="1">
      <c r="A2613" s="1">
        <v>2791.0</v>
      </c>
      <c r="B2613" s="3" t="s">
        <v>2555</v>
      </c>
      <c r="C2613" s="3" t="str">
        <f>IFERROR(__xludf.DUMMYFUNCTION("GOOGLETRANSLATE(B2613,""id"",""en"")"),"['Sexelous', 'severe', 'profitable', 'customer', 'detrimental', 'Damn', 'Telkomsel', 'SERBA', 'expensive', '']")</f>
        <v>['Sexelous', 'severe', 'profitable', 'customer', 'detrimental', 'Damn', 'Telkomsel', 'SERBA', 'expensive', '']</v>
      </c>
      <c r="D2613" s="3">
        <v>1.0</v>
      </c>
    </row>
    <row r="2614" ht="15.75" customHeight="1">
      <c r="A2614" s="1">
        <v>2792.0</v>
      </c>
      <c r="B2614" s="3" t="s">
        <v>2556</v>
      </c>
      <c r="C2614" s="3" t="str">
        <f>IFERROR(__xludf.DUMMYFUNCTION("GOOGLETRANSLATE(B2614,""id"",""en"")"),"['Thank you', 'service', 'easy', 'buy', 'package']")</f>
        <v>['Thank you', 'service', 'easy', 'buy', 'package']</v>
      </c>
      <c r="D2614" s="3">
        <v>5.0</v>
      </c>
    </row>
    <row r="2615" ht="15.75" customHeight="1">
      <c r="A2615" s="1">
        <v>2793.0</v>
      </c>
      <c r="B2615" s="3" t="s">
        <v>2557</v>
      </c>
      <c r="C2615" s="3" t="str">
        <f>IFERROR(__xludf.DUMMYFUNCTION("GOOGLETRANSLATE(B2615,""id"",""en"")"),"['My APK', 'Help', 'Easy', 'Light', 'Help', 'Pokonya', 'Top', 'Very']")</f>
        <v>['My APK', 'Help', 'Easy', 'Light', 'Help', 'Pokonya', 'Top', 'Very']</v>
      </c>
      <c r="D2615" s="3">
        <v>5.0</v>
      </c>
    </row>
    <row r="2616" ht="15.75" customHeight="1">
      <c r="A2616" s="1">
        <v>2794.0</v>
      </c>
      <c r="B2616" s="3" t="s">
        <v>2558</v>
      </c>
      <c r="C2616" s="3" t="str">
        <f>IFERROR(__xludf.DUMMYFUNCTION("GOOGLETRANSLATE(B2616,""id"",""en"")"),"['', 'matched', 'play', 'game', 'ugly', 'really', 'like', 'ping', 'run out', 'rain']")</f>
        <v>['', 'matched', 'play', 'game', 'ugly', 'really', 'like', 'ping', 'run out', 'rain']</v>
      </c>
      <c r="D2616" s="3">
        <v>2.0</v>
      </c>
    </row>
    <row r="2617" ht="15.75" customHeight="1">
      <c r="A2617" s="1">
        <v>2795.0</v>
      </c>
      <c r="B2617" s="3" t="s">
        <v>2559</v>
      </c>
      <c r="C2617" s="3" t="str">
        <f>IFERROR(__xludf.DUMMYFUNCTION("GOOGLETRANSLATE(B2617,""id"",""en"")"),"['Please', 'Sorry', 'Application', 'Opened', 'Experiencing', 'White', 'Screen', 'Continuous',' Cause ',' Solution ',' Thank ',' Love ',' It seems', 'emang', 'given', 'star', 'responded', '']")</f>
        <v>['Please', 'Sorry', 'Application', 'Opened', 'Experiencing', 'White', 'Screen', 'Continuous',' Cause ',' Solution ',' Thank ',' Love ',' It seems', 'emang', 'given', 'star', 'responded', '']</v>
      </c>
      <c r="D2617" s="3">
        <v>1.0</v>
      </c>
    </row>
    <row r="2618" ht="15.75" customHeight="1">
      <c r="A2618" s="1">
        <v>2796.0</v>
      </c>
      <c r="B2618" s="3" t="s">
        <v>2560</v>
      </c>
      <c r="C2618" s="3" t="str">
        <f>IFERROR(__xludf.DUMMYFUNCTION("GOOGLETRANSLATE(B2618,""id"",""en"")"),"['Event', 'contents', 'pulse', 'then', 'session', 'mulu', 'link', 'udh', 'accessed', 'session']")</f>
        <v>['Event', 'contents', 'pulse', 'then', 'session', 'mulu', 'link', 'udh', 'accessed', 'session']</v>
      </c>
      <c r="D2618" s="3">
        <v>4.0</v>
      </c>
    </row>
    <row r="2619" ht="15.75" customHeight="1">
      <c r="A2619" s="1">
        <v>2797.0</v>
      </c>
      <c r="B2619" s="3" t="s">
        <v>2561</v>
      </c>
      <c r="C2619" s="3" t="str">
        <f>IFERROR(__xludf.DUMMYFUNCTION("GOOGLETRANSLATE(B2619,""id"",""en"")"),"['Network', 'Telkomsel', 'Young', 'Han', 'in the future', 'Network', 'Telkosel', 'Region', 'Bima', 'Dompu', 'NTB', 'Good', ' ']")</f>
        <v>['Network', 'Telkomsel', 'Young', 'Han', 'in the future', 'Network', 'Telkosel', 'Region', 'Bima', 'Dompu', 'NTB', 'Good', ' ']</v>
      </c>
      <c r="D2619" s="3">
        <v>5.0</v>
      </c>
    </row>
    <row r="2620" ht="15.75" customHeight="1">
      <c r="A2620" s="1">
        <v>2798.0</v>
      </c>
      <c r="B2620" s="3" t="s">
        <v>2562</v>
      </c>
      <c r="C2620" s="3" t="str">
        <f>IFERROR(__xludf.DUMMYFUNCTION("GOOGLETRANSLATE(B2620,""id"",""en"")"),"['Update', 'version', 'Open', 'App', 'Blank', 'White', 'Screen', 'Response', 'Clear', 'Cache', 'Clear', 'Data', ' Reinstall ',' App ',' Tetep ',' Downgrade ',' Version ',' Safe ',' Update ', ""]")</f>
        <v>['Update', 'version', 'Open', 'App', 'Blank', 'White', 'Screen', 'Response', 'Clear', 'Cache', 'Clear', 'Data', ' Reinstall ',' App ',' Tetep ',' Downgrade ',' Version ',' Safe ',' Update ', "]</v>
      </c>
      <c r="D2620" s="3">
        <v>1.0</v>
      </c>
    </row>
    <row r="2621" ht="15.75" customHeight="1">
      <c r="A2621" s="1">
        <v>2799.0</v>
      </c>
      <c r="B2621" s="3" t="s">
        <v>2563</v>
      </c>
      <c r="C2621" s="3" t="str">
        <f>IFERROR(__xludf.DUMMYFUNCTION("GOOGLETRANSLATE(B2621,""id"",""en"")"),"['applikae', 'good']")</f>
        <v>['applikae', 'good']</v>
      </c>
      <c r="D2621" s="3">
        <v>5.0</v>
      </c>
    </row>
    <row r="2622" ht="15.75" customHeight="1">
      <c r="A2622" s="1">
        <v>2800.0</v>
      </c>
      <c r="B2622" s="3" t="s">
        <v>1367</v>
      </c>
      <c r="C2622" s="3" t="str">
        <f>IFERROR(__xludf.DUMMYFUNCTION("GOOGLETRANSLATE(B2622,""id"",""en"")"),"['good']")</f>
        <v>['good']</v>
      </c>
      <c r="D2622" s="3">
        <v>4.0</v>
      </c>
    </row>
    <row r="2623" ht="15.75" customHeight="1">
      <c r="A2623" s="1">
        <v>2801.0</v>
      </c>
      <c r="B2623" s="3" t="s">
        <v>2564</v>
      </c>
      <c r="C2623" s="3" t="str">
        <f>IFERROR(__xludf.DUMMYFUNCTION("GOOGLETRANSLATE(B2623,""id"",""en"")"),"['already', 'telkom', 'sekli', 'got', 'lottery', 'hehehehe']")</f>
        <v>['already', 'telkom', 'sekli', 'got', 'lottery', 'hehehehe']</v>
      </c>
      <c r="D2623" s="3">
        <v>5.0</v>
      </c>
    </row>
    <row r="2624" ht="15.75" customHeight="1">
      <c r="A2624" s="1">
        <v>2802.0</v>
      </c>
      <c r="B2624" s="3" t="s">
        <v>2565</v>
      </c>
      <c r="C2624" s="3" t="str">
        <f>IFERROR(__xludf.DUMMYFUNCTION("GOOGLETRANSLATE(B2624,""id"",""en"")"),"['Where', 'except', 'disconcerant']")</f>
        <v>['Where', 'except', 'disconcerant']</v>
      </c>
      <c r="D2624" s="3">
        <v>5.0</v>
      </c>
    </row>
    <row r="2625" ht="15.75" customHeight="1">
      <c r="A2625" s="1">
        <v>2803.0</v>
      </c>
      <c r="B2625" s="3" t="s">
        <v>2566</v>
      </c>
      <c r="C2625" s="3" t="str">
        <f>IFERROR(__xludf.DUMMYFUNCTION("GOOGLETRANSLATE(B2625,""id"",""en"")"),"['Oriaaa']")</f>
        <v>['Oriaaa']</v>
      </c>
      <c r="D2625" s="3">
        <v>5.0</v>
      </c>
    </row>
    <row r="2626" ht="15.75" customHeight="1">
      <c r="A2626" s="1">
        <v>2804.0</v>
      </c>
      <c r="B2626" s="3" t="s">
        <v>1555</v>
      </c>
      <c r="C2626" s="3" t="str">
        <f>IFERROR(__xludf.DUMMYFUNCTION("GOOGLETRANSLATE(B2626,""id"",""en"")"),"['application', 'open', '']")</f>
        <v>['application', 'open', '']</v>
      </c>
      <c r="D2626" s="3">
        <v>5.0</v>
      </c>
    </row>
    <row r="2627" ht="15.75" customHeight="1">
      <c r="A2627" s="1">
        <v>2805.0</v>
      </c>
      <c r="B2627" s="3" t="s">
        <v>2567</v>
      </c>
      <c r="C2627" s="3" t="str">
        <f>IFERROR(__xludf.DUMMYFUNCTION("GOOGLETRANSLATE(B2627,""id"",""en"")"),"['doing']")</f>
        <v>['doing']</v>
      </c>
      <c r="D2627" s="3">
        <v>1.0</v>
      </c>
    </row>
    <row r="2628" ht="15.75" customHeight="1">
      <c r="A2628" s="1">
        <v>2806.0</v>
      </c>
      <c r="B2628" s="3" t="s">
        <v>2568</v>
      </c>
      <c r="C2628" s="3" t="str">
        <f>IFERROR(__xludf.DUMMYFUNCTION("GOOGLETRANSLATE(B2628,""id"",""en"")"),"['Please', 'Fix', 'as fast', 'righteous',' city ',' banjar ',' sin ',' network ',' telkomsell ',' slow ',' lost ',' please ',' Fix ',' love ',' bntang ',' love ',' star ',' ']")</f>
        <v>['Please', 'Fix', 'as fast', 'righteous',' city ',' banjar ',' sin ',' network ',' telkomsell ',' slow ',' lost ',' please ',' Fix ',' love ',' bntang ',' love ',' star ',' ']</v>
      </c>
      <c r="D2628" s="3">
        <v>2.0</v>
      </c>
    </row>
    <row r="2629" ht="15.75" customHeight="1">
      <c r="A2629" s="1">
        <v>2807.0</v>
      </c>
      <c r="B2629" s="3" t="s">
        <v>2569</v>
      </c>
      <c r="C2629" s="3" t="str">
        <f>IFERROR(__xludf.DUMMYFUNCTION("GOOGLETRANSLATE(B2629,""id"",""en"")"),"['APK', 'verytt', 'bikesss', 'buy', 'package', 'cheap', 'bangettt', 'basics', 'bikes', 'really', 'dehh']")</f>
        <v>['APK', 'verytt', 'bikesss', 'buy', 'package', 'cheap', 'bangettt', 'basics', 'bikes', 'really', 'dehh']</v>
      </c>
      <c r="D2629" s="3">
        <v>5.0</v>
      </c>
    </row>
    <row r="2630" ht="15.75" customHeight="1">
      <c r="A2630" s="1">
        <v>2808.0</v>
      </c>
      <c r="B2630" s="3" t="s">
        <v>2570</v>
      </c>
      <c r="C2630" s="3" t="str">
        <f>IFERROR(__xludf.DUMMYFUNCTION("GOOGLETRANSLATE(B2630,""id"",""en"")"),"['Network', 'signal', 'DROOP', 'Harm', 'Very', 'Delicious',' Play ',' Game ',' Network ',' Down ',' Comfortable ',' Very ',' signal ',' stable ',' please ',' network ',' signal ',' fix ',' udh ',' expensive ',' buy ',' package ',' ehh ',' rich ',' that's'"&amp;" , 'Network', 'signal', 'annoyed', ""]")</f>
        <v>['Network', 'signal', 'DROOP', 'Harm', 'Very', 'Delicious',' Play ',' Game ',' Network ',' Down ',' Comfortable ',' Very ',' signal ',' stable ',' please ',' network ',' signal ',' fix ',' udh ',' expensive ',' buy ',' package ',' ehh ',' rich ',' that's' , 'Network', 'signal', 'annoyed', "]</v>
      </c>
      <c r="D2630" s="3">
        <v>1.0</v>
      </c>
    </row>
    <row r="2631" ht="15.75" customHeight="1">
      <c r="A2631" s="1">
        <v>2809.0</v>
      </c>
      <c r="B2631" s="3" t="s">
        <v>2571</v>
      </c>
      <c r="C2631" s="3" t="str">
        <f>IFERROR(__xludf.DUMMYFUNCTION("GOOGLETRANSLATE(B2631,""id"",""en"")"),"['cheap', 'buy', 'package', 'disinj']")</f>
        <v>['cheap', 'buy', 'package', 'disinj']</v>
      </c>
      <c r="D2631" s="3">
        <v>5.0</v>
      </c>
    </row>
    <row r="2632" ht="15.75" customHeight="1">
      <c r="A2632" s="1">
        <v>2810.0</v>
      </c>
      <c r="B2632" s="3" t="s">
        <v>2572</v>
      </c>
      <c r="C2632" s="3" t="str">
        <f>IFERROR(__xludf.DUMMYFUNCTION("GOOGLETRANSLATE(B2632,""id"",""en"")"),"['Upset', 'price', 'just', 'already', 'make', 'cheap', 'pakek', 'just', 'already', 'cheap', 'make', 'love', ' Stars', 'Segini', '']")</f>
        <v>['Upset', 'price', 'just', 'already', 'make', 'cheap', 'pakek', 'just', 'already', 'cheap', 'make', 'love', ' Stars', 'Segini', '']</v>
      </c>
      <c r="D2632" s="3">
        <v>2.0</v>
      </c>
    </row>
    <row r="2633" ht="15.75" customHeight="1">
      <c r="A2633" s="1">
        <v>2811.0</v>
      </c>
      <c r="B2633" s="3" t="s">
        <v>2573</v>
      </c>
      <c r="C2633" s="3" t="str">
        <f>IFERROR(__xludf.DUMMYFUNCTION("GOOGLETRANSLATE(B2633,""id"",""en"")"),"['Steady', 'Kasi', 'cheap', '']")</f>
        <v>['Steady', 'Kasi', 'cheap', '']</v>
      </c>
      <c r="D2633" s="3">
        <v>5.0</v>
      </c>
    </row>
    <row r="2634" ht="15.75" customHeight="1">
      <c r="A2634" s="1">
        <v>2812.0</v>
      </c>
      <c r="B2634" s="3" t="s">
        <v>2574</v>
      </c>
      <c r="C2634" s="3" t="str">
        <f>IFERROR(__xludf.DUMMYFUNCTION("GOOGLETRANSLATE(B2634,""id"",""en"")"),"['downgrade', 'Version', 'recovered', 'blank', 'white']")</f>
        <v>['downgrade', 'Version', 'recovered', 'blank', 'white']</v>
      </c>
      <c r="D2634" s="3">
        <v>5.0</v>
      </c>
    </row>
    <row r="2635" ht="15.75" customHeight="1">
      <c r="A2635" s="1">
        <v>2814.0</v>
      </c>
      <c r="B2635" s="3" t="s">
        <v>2575</v>
      </c>
      <c r="C2635" s="3" t="str">
        <f>IFERROR(__xludf.DUMMYFUNCTION("GOOGLETRANSLATE(B2635,""id"",""en"")"),"['Min', 'please', 'min', 'fill', 'voucher', 'system', 'busy', 'mulu', 'appears',' reading ',' waiting ',' hours', ' JDI ',' what ',' min ']")</f>
        <v>['Min', 'please', 'min', 'fill', 'voucher', 'system', 'busy', 'mulu', 'appears',' reading ',' waiting ',' hours', ' JDI ',' what ',' min ']</v>
      </c>
      <c r="D2635" s="3">
        <v>1.0</v>
      </c>
    </row>
    <row r="2636" ht="15.75" customHeight="1">
      <c r="A2636" s="1">
        <v>2815.0</v>
      </c>
      <c r="B2636" s="3" t="s">
        <v>2576</v>
      </c>
      <c r="C2636" s="3" t="str">
        <f>IFERROR(__xludf.DUMMYFUNCTION("GOOGLETRANSLATE(B2636,""id"",""en"")"),"['Easy', 'Helpful']")</f>
        <v>['Easy', 'Helpful']</v>
      </c>
      <c r="D2636" s="3">
        <v>5.0</v>
      </c>
    </row>
    <row r="2637" ht="15.75" customHeight="1">
      <c r="A2637" s="1">
        <v>2816.0</v>
      </c>
      <c r="B2637" s="3" t="s">
        <v>2577</v>
      </c>
      <c r="C2637" s="3" t="str">
        <f>IFERROR(__xludf.DUMMYFUNCTION("GOOGLETRANSLATE(B2637,""id"",""en"")"),"[ 'Good', 'sekaliiiiiiiiiiiiiiiiiiiiiiiiiiiiiiiiiiiiiiiiiiiiiiiiiiiiiiiiiiiiiiiiiiiiiiiiiiiiiiiiiiiiiiiiiiiiiiiiiiiiiiiiiiiiiiiiiiijiiiiiiiiiiiiiiiiiiiiiiiiiiiiiiiiiiiiiiiiiiiiiiiiiiiiiiiiiiiiiiiiiiiiiiiiiiiiiiiiiiiiiiiiiiiiiiii']")</f>
        <v>[ 'Good', 'sekaliiiiiiiiiiiiiiiiiiiiiiiiiiiiiiiiiiiiiiiiiiiiiiiiiiiiiiiiiiiiiiiiiiiiiiiiiiiiiiiiiiiiiiiiiiiiiiiiiiiiiiiiiiiiiiiiiiijiiiiiiiiiiiiiiiiiiiiiiiiiiiiiiiiiiiiiiiiiiiiiiiiiiiiiiiiiiiiiiiiiiiiiiiiiiiiiiiiiiiiiiiiiiiiiiii']</v>
      </c>
      <c r="D2637" s="3">
        <v>5.0</v>
      </c>
    </row>
    <row r="2638" ht="15.75" customHeight="1">
      <c r="A2638" s="1">
        <v>2819.0</v>
      </c>
      <c r="B2638" s="3" t="s">
        <v>2578</v>
      </c>
      <c r="C2638" s="3" t="str">
        <f>IFERROR(__xludf.DUMMYFUNCTION("GOOGLETRANSLATE(B2638,""id"",""en"")"),"['Disappointed', 'right', 'quota', 'abis',' buy ',' extra ',' quota ',' dump ',' pay ',' bill ',' blm ',' bill ',' Hello ',' Family ',' Bill ',' Di Consed ',' Main ',' Slalu ',' Pay ',' Bill ',' right ',' Try ',' Pay ',' Success', 'enter' , 'Tetep', 'BLI'"&amp;", 'EXTRA', 'quota', 'Tel', 'Duss', 'Wait', 'Clock', 'Severe', ""]")</f>
        <v>['Disappointed', 'right', 'quota', 'abis',' buy ',' extra ',' quota ',' dump ',' pay ',' bill ',' blm ',' bill ',' Hello ',' Family ',' Bill ',' Di Consed ',' Main ',' Slalu ',' Pay ',' Bill ',' right ',' Try ',' Pay ',' Success', 'enter' , 'Tetep', 'BLI', 'EXTRA', 'quota', 'Tel', 'Duss', 'Wait', 'Clock', 'Severe', "]</v>
      </c>
      <c r="D2638" s="3">
        <v>1.0</v>
      </c>
    </row>
    <row r="2639" ht="15.75" customHeight="1">
      <c r="A2639" s="1">
        <v>2821.0</v>
      </c>
      <c r="B2639" s="3" t="s">
        <v>2579</v>
      </c>
      <c r="C2639" s="3" t="str">
        <f>IFERROR(__xludf.DUMMYFUNCTION("GOOGLETRANSLATE(B2639,""id"",""en"")"),"['here', 'lemoooooooot', 'application', 'dipake', 'aka', 'heeeng', 'road', ""]")</f>
        <v>['here', 'lemoooooooot', 'application', 'dipake', 'aka', 'heeeng', 'road', "]</v>
      </c>
      <c r="D2639" s="3">
        <v>1.0</v>
      </c>
    </row>
    <row r="2640" ht="15.75" customHeight="1">
      <c r="A2640" s="1">
        <v>2822.0</v>
      </c>
      <c r="B2640" s="3" t="s">
        <v>2580</v>
      </c>
      <c r="C2640" s="3" t="str">
        <f>IFERROR(__xludf.DUMMYFUNCTION("GOOGLETRANSLATE(B2640,""id"",""en"")"),"['update', 'my apk', 'gabisa', 'opened', 'nge', 'blank', 'white', 'disappointed', 'really', 'features',' update ',' package ',' expensive ',' my APK ',' bother ',' please ',' cooperation ']")</f>
        <v>['update', 'my apk', 'gabisa', 'opened', 'nge', 'blank', 'white', 'disappointed', 'really', 'features',' update ',' package ',' expensive ',' my APK ',' bother ',' please ',' cooperation ']</v>
      </c>
      <c r="D2640" s="3">
        <v>1.0</v>
      </c>
    </row>
    <row r="2641" ht="15.75" customHeight="1">
      <c r="A2641" s="1">
        <v>2823.0</v>
      </c>
      <c r="B2641" s="3" t="s">
        <v>2581</v>
      </c>
      <c r="C2641" s="3" t="str">
        <f>IFERROR(__xludf.DUMMYFUNCTION("GOOGLETRANSLATE(B2641,""id"",""en"")"),"['signal', 'Telkomselbagus',' Sampe ',' Region ',' Rawakuda ',' Kec ',' kedungwaringin ',' Severe ',' according to ',' ads', 'great', ' ']")</f>
        <v>['signal', 'Telkomselbagus',' Sampe ',' Region ',' Rawakuda ',' Kec ',' kedungwaringin ',' Severe ',' according to ',' ads', 'great', ' ']</v>
      </c>
      <c r="D2641" s="3">
        <v>4.0</v>
      </c>
    </row>
    <row r="2642" ht="15.75" customHeight="1">
      <c r="A2642" s="1">
        <v>2824.0</v>
      </c>
      <c r="B2642" s="3" t="s">
        <v>2582</v>
      </c>
      <c r="C2642" s="3" t="str">
        <f>IFERROR(__xludf.DUMMYFUNCTION("GOOGLETRANSLATE(B2642,""id"",""en"")"),"['quota', 'multimedia', 'ngelag', 'open', 'sosmed']")</f>
        <v>['quota', 'multimedia', 'ngelag', 'open', 'sosmed']</v>
      </c>
      <c r="D2642" s="3">
        <v>1.0</v>
      </c>
    </row>
    <row r="2643" ht="15.75" customHeight="1">
      <c r="A2643" s="1">
        <v>2825.0</v>
      </c>
      <c r="B2643" s="3" t="s">
        <v>2583</v>
      </c>
      <c r="C2643" s="3" t="str">
        <f>IFERROR(__xludf.DUMMYFUNCTION("GOOGLETRANSLATE(B2643,""id"",""en"")"),"['Network', 'Good']")</f>
        <v>['Network', 'Good']</v>
      </c>
      <c r="D2643" s="3">
        <v>5.0</v>
      </c>
    </row>
    <row r="2644" ht="15.75" customHeight="1">
      <c r="A2644" s="1">
        <v>2826.0</v>
      </c>
      <c r="B2644" s="3" t="s">
        <v>2584</v>
      </c>
      <c r="C2644" s="3" t="str">
        <f>IFERROR(__xludf.DUMMYFUNCTION("GOOGLETRANSLATE(B2644,""id"",""en"")"),"['steady', 'bro', 'lottery']")</f>
        <v>['steady', 'bro', 'lottery']</v>
      </c>
      <c r="D2644" s="3">
        <v>5.0</v>
      </c>
    </row>
    <row r="2645" ht="15.75" customHeight="1">
      <c r="A2645" s="1">
        <v>2828.0</v>
      </c>
      <c r="B2645" s="3" t="s">
        <v>2585</v>
      </c>
      <c r="C2645" s="3" t="str">
        <f>IFERROR(__xludf.DUMMYFUNCTION("GOOGLETRANSLATE(B2645,""id"",""en"")"),"['Figure', 'The network', 'JDI', 'Enk']")</f>
        <v>['Figure', 'The network', 'JDI', 'Enk']</v>
      </c>
      <c r="D2645" s="3">
        <v>1.0</v>
      </c>
    </row>
    <row r="2646" ht="15.75" customHeight="1">
      <c r="A2646" s="1">
        <v>2829.0</v>
      </c>
      <c r="B2646" s="3" t="s">
        <v>2586</v>
      </c>
      <c r="C2646" s="3" t="str">
        <f>IFERROR(__xludf.DUMMYFUNCTION("GOOGLETRANSLATE(B2646,""id"",""en"")"),"['GJD', 'ugly']")</f>
        <v>['GJD', 'ugly']</v>
      </c>
      <c r="D2646" s="3">
        <v>5.0</v>
      </c>
    </row>
    <row r="2647" ht="15.75" customHeight="1">
      <c r="A2647" s="1">
        <v>2830.0</v>
      </c>
      <c r="B2647" s="3" t="s">
        <v>2587</v>
      </c>
      <c r="C2647" s="3" t="str">
        <f>IFERROR(__xludf.DUMMYFUNCTION("GOOGLETRANSLATE(B2647,""id"",""en"")"),"['Update']")</f>
        <v>['Update']</v>
      </c>
      <c r="D2647" s="3">
        <v>1.0</v>
      </c>
    </row>
    <row r="2648" ht="15.75" customHeight="1">
      <c r="A2648" s="1">
        <v>2832.0</v>
      </c>
      <c r="B2648" s="3" t="s">
        <v>2588</v>
      </c>
      <c r="C2648" s="3" t="str">
        <f>IFERROR(__xludf.DUMMYFUNCTION("GOOGLETRANSLATE(B2648,""id"",""en"")"),"['Singnal', 'ilang', 'package', 'expensive', 'service', 'already', '']")</f>
        <v>['Singnal', 'ilang', 'package', 'expensive', 'service', 'already', '']</v>
      </c>
      <c r="D2648" s="3">
        <v>1.0</v>
      </c>
    </row>
    <row r="2649" ht="15.75" customHeight="1">
      <c r="A2649" s="1">
        <v>2833.0</v>
      </c>
      <c r="B2649" s="3" t="s">
        <v>2589</v>
      </c>
      <c r="C2649" s="3" t="str">
        <f>IFERROR(__xludf.DUMMYFUNCTION("GOOGLETRANSLATE(B2649,""id"",""en"")"),"['Good', 'The application', 'already', 'open', '']")</f>
        <v>['Good', 'The application', 'already', 'open', '']</v>
      </c>
      <c r="D2649" s="3">
        <v>5.0</v>
      </c>
    </row>
    <row r="2650" ht="15.75" customHeight="1">
      <c r="A2650" s="1">
        <v>2834.0</v>
      </c>
      <c r="B2650" s="3" t="s">
        <v>2590</v>
      </c>
      <c r="C2650" s="3" t="str">
        <f>IFERROR(__xludf.DUMMYFUNCTION("GOOGLETRANSLATE(B2650,""id"",""en"")"),"['open', 'application', 'update', 'version', 'newest']")</f>
        <v>['open', 'application', 'update', 'version', 'newest']</v>
      </c>
      <c r="D2650" s="3">
        <v>5.0</v>
      </c>
    </row>
    <row r="2651" ht="15.75" customHeight="1">
      <c r="A2651" s="1">
        <v>2835.0</v>
      </c>
      <c r="B2651" s="3" t="s">
        <v>2591</v>
      </c>
      <c r="C2651" s="3" t="str">
        <f>IFERROR(__xludf.DUMMYFUNCTION("GOOGLETRANSLATE(B2651,""id"",""en"")"),"['Good', 'APK', '']")</f>
        <v>['Good', 'APK', '']</v>
      </c>
      <c r="D2651" s="3">
        <v>5.0</v>
      </c>
    </row>
    <row r="2652" ht="15.75" customHeight="1">
      <c r="A2652" s="1">
        <v>2836.0</v>
      </c>
      <c r="B2652" s="3" t="s">
        <v>2592</v>
      </c>
      <c r="C2652" s="3" t="str">
        <f>IFERROR(__xludf.DUMMYFUNCTION("GOOGLETRANSLATE(B2652,""id"",""en"")"),"['Come on', 'Telkomsel', 'lose', 'Next', 'quota', 'accumulated', 'active', 'extended', 'quota', 'network', 'minimal', 'network', ' stable', '']")</f>
        <v>['Come on', 'Telkomsel', 'lose', 'Next', 'quota', 'accumulated', 'active', 'extended', 'quota', 'network', 'minimal', 'network', ' stable', '']</v>
      </c>
      <c r="D2652" s="3">
        <v>5.0</v>
      </c>
    </row>
    <row r="2653" ht="15.75" customHeight="1">
      <c r="A2653" s="1">
        <v>2837.0</v>
      </c>
      <c r="B2653" s="3" t="s">
        <v>2593</v>
      </c>
      <c r="C2653" s="3" t="str">
        <f>IFERROR(__xludf.DUMMYFUNCTION("GOOGLETRANSLATE(B2653,""id"",""en"")"),"['Steady', 'lag']")</f>
        <v>['Steady', 'lag']</v>
      </c>
      <c r="D2653" s="3">
        <v>5.0</v>
      </c>
    </row>
    <row r="2654" ht="15.75" customHeight="1">
      <c r="A2654" s="1">
        <v>2839.0</v>
      </c>
      <c r="B2654" s="3" t="s">
        <v>2594</v>
      </c>
      <c r="C2654" s="3" t="str">
        <f>IFERROR(__xludf.DUMMYFUNCTION("GOOGLETRANSLATE(B2654,""id"",""en"")"),"['Good', 'Increases', 'Quality', 'Expensive', 'Price', '']")</f>
        <v>['Good', 'Increases', 'Quality', 'Expensive', 'Price', '']</v>
      </c>
      <c r="D2654" s="3">
        <v>4.0</v>
      </c>
    </row>
    <row r="2655" ht="15.75" customHeight="1">
      <c r="A2655" s="1">
        <v>2840.0</v>
      </c>
      <c r="B2655" s="3" t="s">
        <v>2595</v>
      </c>
      <c r="C2655" s="3" t="str">
        <f>IFERROR(__xludf.DUMMYFUNCTION("GOOGLETRANSLATE(B2655,""id"",""en"")"),"['disappointed', 'quota', 'game', 'no', 'play', 'games', 'dependent', 'kuto', 'regular', 'what']")</f>
        <v>['disappointed', 'quota', 'game', 'no', 'play', 'games', 'dependent', 'kuto', 'regular', 'what']</v>
      </c>
      <c r="D2655" s="3">
        <v>1.0</v>
      </c>
    </row>
    <row r="2656" ht="15.75" customHeight="1">
      <c r="A2656" s="1">
        <v>2841.0</v>
      </c>
      <c r="B2656" s="3" t="s">
        <v>2596</v>
      </c>
      <c r="C2656" s="3" t="str">
        <f>IFERROR(__xludf.DUMMYFUNCTION("GOOGLETRANSLATE(B2656,""id"",""en"")"),"['Difficult', 'Open']")</f>
        <v>['Difficult', 'Open']</v>
      </c>
      <c r="D2656" s="3">
        <v>3.0</v>
      </c>
    </row>
    <row r="2657" ht="15.75" customHeight="1">
      <c r="A2657" s="1">
        <v>2843.0</v>
      </c>
      <c r="B2657" s="3" t="s">
        <v>2597</v>
      </c>
      <c r="C2657" s="3" t="str">
        <f>IFERROR(__xludf.DUMMYFUNCTION("GOOGLETRANSLATE(B2657,""id"",""en"")"),"['', 'P.', 'BSA', 'White', 'screen']")</f>
        <v>['', 'P.', 'BSA', 'White', 'screen']</v>
      </c>
      <c r="D2657" s="3">
        <v>1.0</v>
      </c>
    </row>
    <row r="2658" ht="15.75" customHeight="1">
      <c r="A2658" s="1">
        <v>2844.0</v>
      </c>
      <c r="B2658" s="3" t="s">
        <v>2598</v>
      </c>
      <c r="C2658" s="3" t="str">
        <f>IFERROR(__xludf.DUMMYFUNCTION("GOOGLETRANSLATE(B2658,""id"",""en"")"),"['mdh', 'gift']")</f>
        <v>['mdh', 'gift']</v>
      </c>
      <c r="D2658" s="3">
        <v>5.0</v>
      </c>
    </row>
    <row r="2659" ht="15.75" customHeight="1">
      <c r="A2659" s="1">
        <v>2845.0</v>
      </c>
      <c r="B2659" s="3" t="s">
        <v>2599</v>
      </c>
      <c r="C2659" s="3" t="str">
        <f>IFERROR(__xludf.DUMMYFUNCTION("GOOGLETRANSLATE(B2659,""id"",""en"")"),"['Affordable' package ']")</f>
        <v>['Affordable' package ']</v>
      </c>
      <c r="D2659" s="3">
        <v>5.0</v>
      </c>
    </row>
    <row r="2660" ht="15.75" customHeight="1">
      <c r="A2660" s="1">
        <v>2846.0</v>
      </c>
      <c r="B2660" s="3" t="s">
        <v>2600</v>
      </c>
      <c r="C2660" s="3" t="str">
        <f>IFERROR(__xludf.DUMMYFUNCTION("GOOGLETRANSLATE(B2660,""id"",""en"")"),"['Easy', 'mantab']")</f>
        <v>['Easy', 'mantab']</v>
      </c>
      <c r="D2660" s="3">
        <v>5.0</v>
      </c>
    </row>
    <row r="2661" ht="15.75" customHeight="1">
      <c r="A2661" s="1">
        <v>2848.0</v>
      </c>
      <c r="B2661" s="3" t="s">
        <v>2601</v>
      </c>
      <c r="C2661" s="3" t="str">
        <f>IFERROR(__xludf.DUMMYFUNCTION("GOOGLETRANSLATE(B2661,""id"",""en"")"),"['he thought', 'version', 'entered', 'hanging out', '']")</f>
        <v>['he thought', 'version', 'entered', 'hanging out', '']</v>
      </c>
      <c r="D2661" s="3">
        <v>1.0</v>
      </c>
    </row>
    <row r="2662" ht="15.75" customHeight="1">
      <c r="A2662" s="1">
        <v>2849.0</v>
      </c>
      <c r="B2662" s="3" t="s">
        <v>2602</v>
      </c>
      <c r="C2662" s="3" t="str">
        <f>IFERROR(__xludf.DUMMYFUNCTION("GOOGLETRANSLATE(B2662,""id"",""en"")"),"['Love', 'discount', 'njenf']")</f>
        <v>['Love', 'discount', 'njenf']</v>
      </c>
      <c r="D2662" s="3">
        <v>5.0</v>
      </c>
    </row>
    <row r="2663" ht="15.75" customHeight="1">
      <c r="A2663" s="1">
        <v>2850.0</v>
      </c>
      <c r="B2663" s="3" t="s">
        <v>2603</v>
      </c>
      <c r="C2663" s="3" t="str">
        <f>IFERROR(__xludf.DUMMYFUNCTION("GOOGLETRANSLATE(B2663,""id"",""en"")"),"['Help', 'MyTelkomsel']")</f>
        <v>['Help', 'MyTelkomsel']</v>
      </c>
      <c r="D2663" s="3">
        <v>5.0</v>
      </c>
    </row>
    <row r="2664" ht="15.75" customHeight="1">
      <c r="A2664" s="1">
        <v>2851.0</v>
      </c>
      <c r="B2664" s="3" t="s">
        <v>2604</v>
      </c>
      <c r="C2664" s="3" t="str">
        <f>IFERROR(__xludf.DUMMYFUNCTION("GOOGLETRANSLATE(B2664,""id"",""en"")"),"['Provider', 'Trash', 'Provider', 'BUMN', 'Gini', 'Anjg', 'Already', 'Capitalist', 'Pelit', 'Promo', 'Application', 'Disabled']")</f>
        <v>['Provider', 'Trash', 'Provider', 'BUMN', 'Gini', 'Anjg', 'Already', 'Capitalist', 'Pelit', 'Promo', 'Application', 'Disabled']</v>
      </c>
      <c r="D2664" s="3">
        <v>1.0</v>
      </c>
    </row>
    <row r="2665" ht="15.75" customHeight="1">
      <c r="A2665" s="1">
        <v>2852.0</v>
      </c>
      <c r="B2665" s="3" t="s">
        <v>2605</v>
      </c>
      <c r="C2665" s="3" t="str">
        <f>IFERROR(__xludf.DUMMYFUNCTION("GOOGLETRANSLATE(B2665,""id"",""en"")"),"['Please', 'Sorry', 'Staff', 'Telkomsel', 'Wrong', 'User', 'Setia', 'Telkomsel', 'Kompine', 'Bln', 'Network', 'Internet', ' Telkomsel ',' Bagus', 'Setabil', 'Connection', 'Internet', 'User', 'Telkomsel', 'Disappointed', 'Drazy', 'Datash', 'Network', 'Inte"&amp;"rnet', 'Telkomsel' , 'price', 'package', 'data', 'internet', 'expensive', 'please', 'clarification', '']")</f>
        <v>['Please', 'Sorry', 'Staff', 'Telkomsel', 'Wrong', 'User', 'Setia', 'Telkomsel', 'Kompine', 'Bln', 'Network', 'Internet', ' Telkomsel ',' Bagus', 'Setabil', 'Connection', 'Internet', 'User', 'Telkomsel', 'Disappointed', 'Drazy', 'Datash', 'Network', 'Internet', 'Telkomsel' , 'price', 'package', 'data', 'internet', 'expensive', 'please', 'clarification', '']</v>
      </c>
      <c r="D2665" s="3">
        <v>1.0</v>
      </c>
    </row>
    <row r="2666" ht="15.75" customHeight="1">
      <c r="A2666" s="1">
        <v>2853.0</v>
      </c>
      <c r="B2666" s="3" t="s">
        <v>2606</v>
      </c>
      <c r="C2666" s="3" t="str">
        <f>IFERROR(__xludf.DUMMYFUNCTION("GOOGLETRANSLATE(B2666,""id"",""en"")"),"['Unfortunately', 'updute', 'cellphone', 'open', 'Telkomsel', 'user', 'loyal', 'Telkomsel', 'where', 'donk', 'the application', 'quota', ' Package ',' Call ',' remaining ',' Application ',' Open ',' Android ',' Input ',' ']")</f>
        <v>['Unfortunately', 'updute', 'cellphone', 'open', 'Telkomsel', 'user', 'loyal', 'Telkomsel', 'where', 'donk', 'the application', 'quota', ' Package ',' Call ',' remaining ',' Application ',' Open ',' Android ',' Input ',' ']</v>
      </c>
      <c r="D2666" s="3">
        <v>1.0</v>
      </c>
    </row>
    <row r="2667" ht="15.75" customHeight="1">
      <c r="A2667" s="1">
        <v>2854.0</v>
      </c>
      <c r="B2667" s="3" t="s">
        <v>2607</v>
      </c>
      <c r="C2667" s="3" t="str">
        <f>IFERROR(__xludf.DUMMYFUNCTION("GOOGLETRANSLATE(B2667,""id"",""en"")"),"['Application', 'sucked', 'data', 'claim', 'failed', 'reason', 'meet', 'requirements',' daily ',' check ',' waste ',' data ',' drain']")</f>
        <v>['Application', 'sucked', 'data', 'claim', 'failed', 'reason', 'meet', 'requirements',' daily ',' check ',' waste ',' data ',' drain']</v>
      </c>
      <c r="D2667" s="3">
        <v>1.0</v>
      </c>
    </row>
    <row r="2668" ht="15.75" customHeight="1">
      <c r="A2668" s="1">
        <v>2855.0</v>
      </c>
      <c r="B2668" s="3" t="s">
        <v>2608</v>
      </c>
      <c r="C2668" s="3" t="str">
        <f>IFERROR(__xludf.DUMMYFUNCTION("GOOGLETRANSLATE(B2668,""id"",""en"")"),"['Good', 'easy', 'buy', 'quota', 'manep', 'polll']")</f>
        <v>['Good', 'easy', 'buy', 'quota', 'manep', 'polll']</v>
      </c>
      <c r="D2668" s="3">
        <v>5.0</v>
      </c>
    </row>
    <row r="2669" ht="15.75" customHeight="1">
      <c r="A2669" s="1">
        <v>2856.0</v>
      </c>
      <c r="B2669" s="3" t="s">
        <v>2609</v>
      </c>
      <c r="C2669" s="3" t="str">
        <f>IFERROR(__xludf.DUMMYFUNCTION("GOOGLETRANSLATE(B2669,""id"",""en"")"),"['Rain', 'Plus', 'Dead', 'Lights', 'Kek', 'Age', 'Stone']")</f>
        <v>['Rain', 'Plus', 'Dead', 'Lights', 'Kek', 'Age', 'Stone']</v>
      </c>
      <c r="D2669" s="3">
        <v>1.0</v>
      </c>
    </row>
    <row r="2670" ht="15.75" customHeight="1">
      <c r="A2670" s="1">
        <v>2857.0</v>
      </c>
      <c r="B2670" s="3" t="s">
        <v>2610</v>
      </c>
      <c r="C2670" s="3" t="str">
        <f>IFERROR(__xludf.DUMMYFUNCTION("GOOGLETRANSLATE(B2670,""id"",""en"")"),"['update', 'no', 'go', 'severe']")</f>
        <v>['update', 'no', 'go', 'severe']</v>
      </c>
      <c r="D2670" s="3">
        <v>1.0</v>
      </c>
    </row>
    <row r="2671" ht="15.75" customHeight="1">
      <c r="A2671" s="1">
        <v>2858.0</v>
      </c>
      <c r="B2671" s="3" t="s">
        <v>2611</v>
      </c>
      <c r="C2671" s="3" t="str">
        <f>IFERROR(__xludf.DUMMYFUNCTION("GOOGLETRANSLATE(B2671,""id"",""en"")"),"['affordable prices']")</f>
        <v>['affordable prices']</v>
      </c>
      <c r="D2671" s="3">
        <v>5.0</v>
      </c>
    </row>
    <row r="2672" ht="15.75" customHeight="1">
      <c r="A2672" s="1">
        <v>2859.0</v>
      </c>
      <c r="B2672" s="3" t="s">
        <v>2612</v>
      </c>
      <c r="C2672" s="3" t="str">
        <f>IFERROR(__xludf.DUMMYFUNCTION("GOOGLETRANSLATE(B2672,""id"",""en"")"),"['signal', 'good', 'even', 'weather', 'cloud', 'stay', 'foot', 'mountain', 'salak']")</f>
        <v>['signal', 'good', 'even', 'weather', 'cloud', 'stay', 'foot', 'mountain', 'salak']</v>
      </c>
      <c r="D2672" s="3">
        <v>4.0</v>
      </c>
    </row>
    <row r="2673" ht="15.75" customHeight="1">
      <c r="A2673" s="1">
        <v>2860.0</v>
      </c>
      <c r="B2673" s="3" t="s">
        <v>2613</v>
      </c>
      <c r="C2673" s="3" t="str">
        <f>IFERROR(__xludf.DUMMYFUNCTION("GOOGLETRANSLATE(B2673,""id"",""en"")"),"['satisfying']")</f>
        <v>['satisfying']</v>
      </c>
      <c r="D2673" s="3">
        <v>4.0</v>
      </c>
    </row>
    <row r="2674" ht="15.75" customHeight="1">
      <c r="A2674" s="1">
        <v>2861.0</v>
      </c>
      <c r="B2674" s="3" t="s">
        <v>2614</v>
      </c>
      <c r="C2674" s="3" t="str">
        <f>IFERROR(__xludf.DUMMYFUNCTION("GOOGLETRANSLATE(B2674,""id"",""en"")"),"['Service', 'how', 'Bentar', 'porn']")</f>
        <v>['Service', 'how', 'Bentar', 'porn']</v>
      </c>
      <c r="D2674" s="3">
        <v>3.0</v>
      </c>
    </row>
    <row r="2675" ht="15.75" customHeight="1">
      <c r="A2675" s="1">
        <v>2862.0</v>
      </c>
      <c r="B2675" s="3" t="s">
        <v>2615</v>
      </c>
      <c r="C2675" s="3" t="str">
        <f>IFERROR(__xludf.DUMMYFUNCTION("GOOGLETRANSLATE(B2675,""id"",""en"")"),"['quota', 'GB', 'active', 'quota', 'cook', 'slow', 'really', 'game', 'kalok', 'quota', 'buy', 'delicious',' The network is', 'cook', 'yeah', 'buy']")</f>
        <v>['quota', 'GB', 'active', 'quota', 'cook', 'slow', 'really', 'game', 'kalok', 'quota', 'buy', 'delicious',' The network is', 'cook', 'yeah', 'buy']</v>
      </c>
      <c r="D2675" s="3">
        <v>1.0</v>
      </c>
    </row>
    <row r="2676" ht="15.75" customHeight="1">
      <c r="A2676" s="1">
        <v>2863.0</v>
      </c>
      <c r="B2676" s="3" t="s">
        <v>2616</v>
      </c>
      <c r="C2676" s="3" t="str">
        <f>IFERROR(__xludf.DUMMYFUNCTION("GOOGLETRANSLATE(B2676,""id"",""en"")"),"['ugly', 'really', 'buy', 'quota', 'choice', 'quota', 'available', 'strange', 'really']")</f>
        <v>['ugly', 'really', 'buy', 'quota', 'choice', 'quota', 'available', 'strange', 'really']</v>
      </c>
      <c r="D2676" s="3">
        <v>1.0</v>
      </c>
    </row>
    <row r="2677" ht="15.75" customHeight="1">
      <c r="A2677" s="1">
        <v>2864.0</v>
      </c>
      <c r="B2677" s="3" t="s">
        <v>2617</v>
      </c>
      <c r="C2677" s="3" t="str">
        <f>IFERROR(__xludf.DUMMYFUNCTION("GOOGLETRANSLATE(B2677,""id"",""en"")"),"['Sis', 'APK', 'Telkom', 'Package', 'Available', 'Please']")</f>
        <v>['Sis', 'APK', 'Telkom', 'Package', 'Available', 'Please']</v>
      </c>
      <c r="D2677" s="3">
        <v>3.0</v>
      </c>
    </row>
    <row r="2678" ht="15.75" customHeight="1">
      <c r="A2678" s="1">
        <v>2865.0</v>
      </c>
      <c r="B2678" s="3" t="s">
        <v>2618</v>
      </c>
      <c r="C2678" s="3" t="str">
        <f>IFERROR(__xludf.DUMMYFUNCTION("GOOGLETRANSLATE(B2678,""id"",""en"")"),"['Send', 'quota', '']")</f>
        <v>['Send', 'quota', '']</v>
      </c>
      <c r="D2678" s="3">
        <v>1.0</v>
      </c>
    </row>
    <row r="2679" ht="15.75" customHeight="1">
      <c r="A2679" s="1">
        <v>2866.0</v>
      </c>
      <c r="B2679" s="3" t="s">
        <v>2619</v>
      </c>
      <c r="C2679" s="3" t="str">
        <f>IFERROR(__xludf.DUMMYFUNCTION("GOOGLETRANSLATE(B2679,""id"",""en"")"),"['application', 'buy', 'package', 'package', 'available', '']")</f>
        <v>['application', 'buy', 'package', 'package', 'available', '']</v>
      </c>
      <c r="D2679" s="3">
        <v>2.0</v>
      </c>
    </row>
    <row r="2680" ht="15.75" customHeight="1">
      <c r="A2680" s="1">
        <v>2867.0</v>
      </c>
      <c r="B2680" s="3" t="s">
        <v>2620</v>
      </c>
      <c r="C2680" s="3" t="str">
        <f>IFERROR(__xludf.DUMMYFUNCTION("GOOGLETRANSLATE(B2680,""id"",""en"")"),"['TDI', 'LGI', 'Ngegame', 'TRS', 'Network', 'Jdi', 'Red', 'PDHL', 'Quota', 'Msih', 'Bnyk', 'Jdi', ' tlg ',' Sis', 'fix', 'nnti', 'difficult', 'school', 'ngelag', 'gmm', 'right', 'play', 'tmn', 'trims',' edit ' , 'Thanks',' min ',' skrg ',' udh ',' tired '"&amp;",' right ',' play ',' pub ',' error ',' jdi ',' hrs', 'sampe', ' Restart ',' bru ',' smooth ']")</f>
        <v>['TDI', 'LGI', 'Ngegame', 'TRS', 'Network', 'Jdi', 'Red', 'PDHL', 'Quota', 'Msih', 'Bnyk', 'Jdi', ' tlg ',' Sis', 'fix', 'nnti', 'difficult', 'school', 'ngelag', 'gmm', 'right', 'play', 'tmn', 'trims',' edit ' , 'Thanks',' min ',' skrg ',' udh ',' tired ',' right ',' play ',' pub ',' error ',' jdi ',' hrs', 'sampe', ' Restart ',' bru ',' smooth ']</v>
      </c>
      <c r="D2680" s="3">
        <v>5.0</v>
      </c>
    </row>
    <row r="2681" ht="15.75" customHeight="1">
      <c r="A2681" s="1">
        <v>2868.0</v>
      </c>
      <c r="B2681" s="3" t="s">
        <v>2621</v>
      </c>
      <c r="C2681" s="3" t="str">
        <f>IFERROR(__xludf.DUMMYFUNCTION("GOOGLETRANSLATE(B2681,""id"",""en"")"),"['Come', 'Severe', 'Open', 'right', 'Enter', 'Package', 'Available', 'Network', 'Open', 'Good', 'Good']")</f>
        <v>['Come', 'Severe', 'Open', 'right', 'Enter', 'Package', 'Available', 'Network', 'Open', 'Good', 'Good']</v>
      </c>
      <c r="D2681" s="3">
        <v>1.0</v>
      </c>
    </row>
    <row r="2682" ht="15.75" customHeight="1">
      <c r="A2682" s="1">
        <v>2869.0</v>
      </c>
      <c r="B2682" s="3" t="s">
        <v>2622</v>
      </c>
      <c r="C2682" s="3" t="str">
        <f>IFERROR(__xludf.DUMMYFUNCTION("GOOGLETRANSLATE(B2682,""id"",""en"")"),"['Update', 'blank', 'white', 'please', 'serve', 'repaired', 'Telkomsel']")</f>
        <v>['Update', 'blank', 'white', 'please', 'serve', 'repaired', 'Telkomsel']</v>
      </c>
      <c r="D2682" s="3">
        <v>4.0</v>
      </c>
    </row>
    <row r="2683" ht="15.75" customHeight="1">
      <c r="A2683" s="1">
        <v>2870.0</v>
      </c>
      <c r="B2683" s="3" t="s">
        <v>2623</v>
      </c>
      <c r="C2683" s="3" t="str">
        <f>IFERROR(__xludf.DUMMYFUNCTION("GOOGLETRANSLATE(B2683,""id"",""en"")"),"['buy', 'data', 'strange', 'writing', 'Package', 'how', 'Tuker', 'data', 'weekly', 'expensive']")</f>
        <v>['buy', 'data', 'strange', 'writing', 'Package', 'how', 'Tuker', 'data', 'weekly', 'expensive']</v>
      </c>
      <c r="D2683" s="3">
        <v>2.0</v>
      </c>
    </row>
    <row r="2684" ht="15.75" customHeight="1">
      <c r="A2684" s="1">
        <v>2871.0</v>
      </c>
      <c r="B2684" s="3" t="s">
        <v>2624</v>
      </c>
      <c r="C2684" s="3" t="str">
        <f>IFERROR(__xludf.DUMMYFUNCTION("GOOGLETRANSLATE(B2684,""id"",""en"")"),"['stingy', 'user', 'Dri', 'PKE', 'Telkomsel', 'quota', 'expensive', 'doang', 'divided']")</f>
        <v>['stingy', 'user', 'Dri', 'PKE', 'Telkomsel', 'quota', 'expensive', 'doang', 'divided']</v>
      </c>
      <c r="D2684" s="3">
        <v>2.0</v>
      </c>
    </row>
    <row r="2685" ht="15.75" customHeight="1">
      <c r="A2685" s="1">
        <v>2872.0</v>
      </c>
      <c r="B2685" s="3" t="s">
        <v>2625</v>
      </c>
      <c r="C2685" s="3" t="str">
        <f>IFERROR(__xludf.DUMMYFUNCTION("GOOGLETRANSLATE(B2685,""id"",""en"")"),"['naruk', 'Points', 'pulse']")</f>
        <v>['naruk', 'Points', 'pulse']</v>
      </c>
      <c r="D2685" s="3">
        <v>4.0</v>
      </c>
    </row>
    <row r="2686" ht="15.75" customHeight="1">
      <c r="A2686" s="1">
        <v>2873.0</v>
      </c>
      <c r="B2686" s="3" t="s">
        <v>2626</v>
      </c>
      <c r="C2686" s="3" t="str">
        <f>IFERROR(__xludf.DUMMYFUNCTION("GOOGLETRANSLATE(B2686,""id"",""en"")"),"['Download', 'Open', '']")</f>
        <v>['Download', 'Open', '']</v>
      </c>
      <c r="D2686" s="3">
        <v>1.0</v>
      </c>
    </row>
    <row r="2687" ht="15.75" customHeight="1">
      <c r="A2687" s="1">
        <v>2874.0</v>
      </c>
      <c r="B2687" s="3" t="s">
        <v>2627</v>
      </c>
      <c r="C2687" s="3" t="str">
        <f>IFERROR(__xludf.DUMMYFUNCTION("GOOGLETRANSLATE(B2687,""id"",""en"")"),"['Please', 'Update', 'Mulu', '']")</f>
        <v>['Please', 'Update', 'Mulu', '']</v>
      </c>
      <c r="D2687" s="3">
        <v>5.0</v>
      </c>
    </row>
    <row r="2688" ht="15.75" customHeight="1">
      <c r="A2688" s="1">
        <v>2875.0</v>
      </c>
      <c r="B2688" s="3" t="s">
        <v>2628</v>
      </c>
      <c r="C2688" s="3" t="str">
        <f>IFERROR(__xludf.DUMMYFUNCTION("GOOGLETRANSLATE(B2688,""id"",""en"")"),"['The network', 'super', 'super', 'slow']")</f>
        <v>['The network', 'super', 'super', 'slow']</v>
      </c>
      <c r="D2688" s="3">
        <v>1.0</v>
      </c>
    </row>
    <row r="2689" ht="15.75" customHeight="1">
      <c r="A2689" s="1">
        <v>2876.0</v>
      </c>
      <c r="B2689" s="3" t="s">
        <v>2629</v>
      </c>
      <c r="C2689" s="3" t="str">
        <f>IFERROR(__xludf.DUMMYFUNCTION("GOOGLETRANSLATE(B2689,""id"",""en"")"),"['Telkomsel', 'package', 'internet', 'offer', 'buy', 'quota', 'difficult', 'error']")</f>
        <v>['Telkomsel', 'package', 'internet', 'offer', 'buy', 'quota', 'difficult', 'error']</v>
      </c>
      <c r="D2689" s="3">
        <v>2.0</v>
      </c>
    </row>
    <row r="2690" ht="15.75" customHeight="1">
      <c r="A2690" s="1">
        <v>2877.0</v>
      </c>
      <c r="B2690" s="3" t="s">
        <v>2630</v>
      </c>
      <c r="C2690" s="3" t="str">
        <f>IFERROR(__xludf.DUMMYFUNCTION("GOOGLETRANSLATE(B2690,""id"",""en"")"),"['enter', 'APK', 'kal', '']")</f>
        <v>['enter', 'APK', 'kal', '']</v>
      </c>
      <c r="D2690" s="3">
        <v>2.0</v>
      </c>
    </row>
    <row r="2691" ht="15.75" customHeight="1">
      <c r="A2691" s="1">
        <v>2878.0</v>
      </c>
      <c r="B2691" s="3" t="s">
        <v>2631</v>
      </c>
      <c r="C2691" s="3" t="str">
        <f>IFERROR(__xludf.DUMMYFUNCTION("GOOGLETRANSLATE(B2691,""id"",""en"")"),"['The application', 'heavy', 'understood', '']")</f>
        <v>['The application', 'heavy', 'understood', '']</v>
      </c>
      <c r="D2691" s="3">
        <v>1.0</v>
      </c>
    </row>
    <row r="2692" ht="15.75" customHeight="1">
      <c r="A2692" s="1">
        <v>2879.0</v>
      </c>
      <c r="B2692" s="3" t="s">
        <v>2127</v>
      </c>
      <c r="C2692" s="3" t="str">
        <f>IFERROR(__xludf.DUMMYFUNCTION("GOOGLETRANSLATE(B2692,""id"",""en"")"),"['easy']")</f>
        <v>['easy']</v>
      </c>
      <c r="D2692" s="3">
        <v>5.0</v>
      </c>
    </row>
    <row r="2693" ht="15.75" customHeight="1">
      <c r="A2693" s="1">
        <v>2880.0</v>
      </c>
      <c r="B2693" s="3" t="s">
        <v>2632</v>
      </c>
      <c r="C2693" s="3" t="str">
        <f>IFERROR(__xludf.DUMMYFUNCTION("GOOGLETRANSLATE(B2693,""id"",""en"")"),"['List', 'package', 'data', 'sell', 'appears', 'already', 'selling', 'package', 'data', ""]")</f>
        <v>['List', 'package', 'data', 'sell', 'appears', 'already', 'selling', 'package', 'data', "]</v>
      </c>
      <c r="D2693" s="3">
        <v>1.0</v>
      </c>
    </row>
    <row r="2694" ht="15.75" customHeight="1">
      <c r="A2694" s="1">
        <v>2881.0</v>
      </c>
      <c r="B2694" s="3" t="s">
        <v>2633</v>
      </c>
      <c r="C2694" s="3" t="str">
        <f>IFERROR(__xludf.DUMMYFUNCTION("GOOGLETRANSLATE(B2694,""id"",""en"")"),"['Package', 'missing', 'price', 'just', 'thousand']")</f>
        <v>['Package', 'missing', 'price', 'just', 'thousand']</v>
      </c>
      <c r="D2694" s="3">
        <v>3.0</v>
      </c>
    </row>
    <row r="2695" ht="15.75" customHeight="1">
      <c r="A2695" s="1">
        <v>2882.0</v>
      </c>
      <c r="B2695" s="3" t="s">
        <v>2634</v>
      </c>
      <c r="C2695" s="3" t="str">
        <f>IFERROR(__xludf.DUMMYFUNCTION("GOOGLETRANSLATE(B2695,""id"",""en"")"),"['Tlng', 'Sip "",' LGI ',' Application ',' Telkomsel ',' Love ',' neighbor ',' Next""]")</f>
        <v>['Tlng', 'Sip ",' LGI ',' Application ',' Telkomsel ',' Love ',' neighbor ',' Next"]</v>
      </c>
      <c r="D2695" s="3">
        <v>4.0</v>
      </c>
    </row>
    <row r="2696" ht="15.75" customHeight="1">
      <c r="A2696" s="1">
        <v>2883.0</v>
      </c>
      <c r="B2696" s="3" t="s">
        <v>2635</v>
      </c>
      <c r="C2696" s="3" t="str">
        <f>IFERROR(__xludf.DUMMYFUNCTION("GOOGLETRANSLATE(B2696,""id"",""en"")"),"['Help', 'Thanks', 'Telkomsel']")</f>
        <v>['Help', 'Thanks', 'Telkomsel']</v>
      </c>
      <c r="D2696" s="3">
        <v>5.0</v>
      </c>
    </row>
    <row r="2697" ht="15.75" customHeight="1">
      <c r="A2697" s="1">
        <v>2884.0</v>
      </c>
      <c r="B2697" s="3" t="s">
        <v>2636</v>
      </c>
      <c r="C2697" s="3" t="str">
        <f>IFERROR(__xludf.DUMMYFUNCTION("GOOGLETRANSLATE(B2697,""id"",""en"")"),"['Package', 'Available']")</f>
        <v>['Package', 'Available']</v>
      </c>
      <c r="D2697" s="3">
        <v>1.0</v>
      </c>
    </row>
    <row r="2698" ht="15.75" customHeight="1">
      <c r="A2698" s="1">
        <v>2885.0</v>
      </c>
      <c r="B2698" s="3" t="s">
        <v>2637</v>
      </c>
      <c r="C2698" s="3" t="str">
        <f>IFERROR(__xludf.DUMMYFUNCTION("GOOGLETRANSLATE(B2698,""id"",""en"")"),"['Good', 'Download', 'Tel', 'Ribet', 'Nyari', 'check', 'pulse', 'etc.', '']")</f>
        <v>['Good', 'Download', 'Tel', 'Ribet', 'Nyari', 'check', 'pulse', 'etc.', '']</v>
      </c>
      <c r="D2698" s="3">
        <v>5.0</v>
      </c>
    </row>
    <row r="2699" ht="15.75" customHeight="1">
      <c r="A2699" s="1">
        <v>2886.0</v>
      </c>
      <c r="B2699" s="3" t="s">
        <v>2638</v>
      </c>
      <c r="C2699" s="3" t="str">
        <f>IFERROR(__xludf.DUMMYFUNCTION("GOOGLETRANSLATE(B2699,""id"",""en"")"),"['Telkomsel', 'great', 'success']")</f>
        <v>['Telkomsel', 'great', 'success']</v>
      </c>
      <c r="D2699" s="3">
        <v>5.0</v>
      </c>
    </row>
    <row r="2700" ht="15.75" customHeight="1">
      <c r="A2700" s="1">
        <v>2887.0</v>
      </c>
      <c r="B2700" s="3" t="s">
        <v>1167</v>
      </c>
      <c r="C2700" s="3" t="str">
        <f>IFERROR(__xludf.DUMMYFUNCTION("GOOGLETRANSLATE(B2700,""id"",""en"")"),"['help']")</f>
        <v>['help']</v>
      </c>
      <c r="D2700" s="3">
        <v>5.0</v>
      </c>
    </row>
    <row r="2701" ht="15.75" customHeight="1">
      <c r="A2701" s="1">
        <v>2888.0</v>
      </c>
      <c r="B2701" s="3" t="s">
        <v>2639</v>
      </c>
      <c r="C2701" s="3" t="str">
        <f>IFERROR(__xludf.DUMMYFUNCTION("GOOGLETRANSLATE(B2701,""id"",""en"")"),"['Steady', 'Jaya', 'Application', 'Cool', 'Very', 'Choice', 'Creative', ""]")</f>
        <v>['Steady', 'Jaya', 'Application', 'Cool', 'Very', 'Choice', 'Creative', "]</v>
      </c>
      <c r="D2701" s="3">
        <v>5.0</v>
      </c>
    </row>
    <row r="2702" ht="15.75" customHeight="1">
      <c r="A2702" s="1">
        <v>2889.0</v>
      </c>
      <c r="B2702" s="3" t="s">
        <v>2640</v>
      </c>
      <c r="C2702" s="3" t="str">
        <f>IFERROR(__xludf.DUMMYFUNCTION("GOOGLETRANSLATE(B2702,""id"",""en"")"),"['Disruption', 'pulse', 'right', 'buy', 'package', 'pulse', 'sufficient', 'confused', 'replace', 'card']")</f>
        <v>['Disruption', 'pulse', 'right', 'buy', 'package', 'pulse', 'sufficient', 'confused', 'replace', 'card']</v>
      </c>
      <c r="D2702" s="3">
        <v>1.0</v>
      </c>
    </row>
    <row r="2703" ht="15.75" customHeight="1">
      <c r="A2703" s="1">
        <v>2890.0</v>
      </c>
      <c r="B2703" s="3" t="s">
        <v>2641</v>
      </c>
      <c r="C2703" s="3" t="str">
        <f>IFERROR(__xludf.DUMMYFUNCTION("GOOGLETRANSLATE(B2703,""id"",""en"")"),"['Slow', 'expensive']")</f>
        <v>['Slow', 'expensive']</v>
      </c>
      <c r="D2703" s="3">
        <v>2.0</v>
      </c>
    </row>
    <row r="2704" ht="15.75" customHeight="1">
      <c r="A2704" s="1">
        <v>2892.0</v>
      </c>
      <c r="B2704" s="3" t="s">
        <v>2642</v>
      </c>
      <c r="C2704" s="3" t="str">
        <f>IFERROR(__xludf.DUMMYFUNCTION("GOOGLETRANSLATE(B2704,""id"",""en"")"),"['APL', 'Tipu']")</f>
        <v>['APL', 'Tipu']</v>
      </c>
      <c r="D2704" s="3">
        <v>1.0</v>
      </c>
    </row>
    <row r="2705" ht="15.75" customHeight="1">
      <c r="A2705" s="1">
        <v>2894.0</v>
      </c>
      <c r="B2705" s="3" t="s">
        <v>2643</v>
      </c>
      <c r="C2705" s="3" t="str">
        <f>IFERROR(__xludf.DUMMYFUNCTION("GOOGLETRANSLATE(B2705,""id"",""en"")"),"['Good', 'Open', 'Application']")</f>
        <v>['Good', 'Open', 'Application']</v>
      </c>
      <c r="D2705" s="3">
        <v>3.0</v>
      </c>
    </row>
    <row r="2706" ht="15.75" customHeight="1">
      <c r="A2706" s="1">
        <v>2895.0</v>
      </c>
      <c r="B2706" s="3" t="s">
        <v>2644</v>
      </c>
      <c r="C2706" s="3" t="str">
        <f>IFERROR(__xludf.DUMMYFUNCTION("GOOGLETRANSLATE(B2706,""id"",""en"")"),"['', 'Telkomsel', 'Helping', 'MUCH', 'PROMO', 'Unlimited', ""]")</f>
        <v>['', 'Telkomsel', 'Helping', 'MUCH', 'PROMO', 'Unlimited', "]</v>
      </c>
      <c r="D2706" s="3">
        <v>5.0</v>
      </c>
    </row>
    <row r="2707" ht="15.75" customHeight="1">
      <c r="A2707" s="1">
        <v>2896.0</v>
      </c>
      <c r="B2707" s="3" t="s">
        <v>2645</v>
      </c>
      <c r="C2707" s="3" t="str">
        <f>IFERROR(__xludf.DUMMYFUNCTION("GOOGLETRANSLATE(B2707,""id"",""en"")"),"['send', 'credit', 'credit', 'persulit', 'grace', 'What's',' grace ',' love ',' love ',' complicated ',' service ',' Persulit ',' intention ',' provider ']")</f>
        <v>['send', 'credit', 'credit', 'persulit', 'grace', 'What's',' grace ',' love ',' love ',' complicated ',' service ',' Persulit ',' intention ',' provider ']</v>
      </c>
      <c r="D2707" s="3">
        <v>1.0</v>
      </c>
    </row>
    <row r="2708" ht="15.75" customHeight="1">
      <c r="A2708" s="1">
        <v>2897.0</v>
      </c>
      <c r="B2708" s="3" t="s">
        <v>2646</v>
      </c>
      <c r="C2708" s="3" t="str">
        <f>IFERROR(__xludf.DUMMYFUNCTION("GOOGLETRANSLATE(B2708,""id"",""en"")"),"['Help', 'Good']")</f>
        <v>['Help', 'Good']</v>
      </c>
      <c r="D2708" s="3">
        <v>5.0</v>
      </c>
    </row>
    <row r="2709" ht="15.75" customHeight="1">
      <c r="A2709" s="1">
        <v>2898.0</v>
      </c>
      <c r="B2709" s="3" t="s">
        <v>2647</v>
      </c>
      <c r="C2709" s="3" t="str">
        <f>IFERROR(__xludf.DUMMYFUNCTION("GOOGLETRANSLATE(B2709,""id"",""en"")"),"['Nge', 'lag', 'cloudy', 'thick']")</f>
        <v>['Nge', 'lag', 'cloudy', 'thick']</v>
      </c>
      <c r="D2709" s="3">
        <v>3.0</v>
      </c>
    </row>
    <row r="2710" ht="15.75" customHeight="1">
      <c r="A2710" s="1">
        <v>2899.0</v>
      </c>
      <c r="B2710" s="3" t="s">
        <v>2648</v>
      </c>
      <c r="C2710" s="3" t="str">
        <f>IFERROR(__xludf.DUMMYFUNCTION("GOOGLETRANSLATE(B2710,""id"",""en"")"),"['Application', 'Telkomsel', 'Open', 'Current', 'Change', 'Open', 'Ribet', 'Telkomsel', 'Check', 'Credit', 'Kouta', 'Buy', ' Package ',' enter ',' Google ',' Direct ',' Application ',' Telkomsel ']")</f>
        <v>['Application', 'Telkomsel', 'Open', 'Current', 'Change', 'Open', 'Ribet', 'Telkomsel', 'Check', 'Credit', 'Kouta', 'Buy', ' Package ',' enter ',' Google ',' Direct ',' Application ',' Telkomsel ']</v>
      </c>
      <c r="D2710" s="3">
        <v>1.0</v>
      </c>
    </row>
    <row r="2711" ht="15.75" customHeight="1">
      <c r="A2711" s="1">
        <v>2900.0</v>
      </c>
      <c r="B2711" s="3" t="s">
        <v>2649</v>
      </c>
      <c r="C2711" s="3" t="str">
        <f>IFERROR(__xludf.DUMMYFUNCTION("GOOGLETRANSLATE(B2711,""id"",""en"")"),"['Mantul', 'given', 'star', '']")</f>
        <v>['Mantul', 'given', 'star', '']</v>
      </c>
      <c r="D2711" s="3">
        <v>4.0</v>
      </c>
    </row>
    <row r="2712" ht="15.75" customHeight="1">
      <c r="A2712" s="1">
        <v>2901.0</v>
      </c>
      <c r="B2712" s="3" t="s">
        <v>2650</v>
      </c>
      <c r="C2712" s="3" t="str">
        <f>IFERROR(__xludf.DUMMYFUNCTION("GOOGLETRANSLATE(B2712,""id"",""en"")"),"['Karna', 'Condition', 'Network', 'ugly', 'Region', '']")</f>
        <v>['Karna', 'Condition', 'Network', 'ugly', 'Region', '']</v>
      </c>
      <c r="D2712" s="3">
        <v>2.0</v>
      </c>
    </row>
    <row r="2713" ht="15.75" customHeight="1">
      <c r="A2713" s="1">
        <v>2902.0</v>
      </c>
      <c r="B2713" s="3" t="s">
        <v>2651</v>
      </c>
      <c r="C2713" s="3" t="str">
        <f>IFERROR(__xludf.DUMMYFUNCTION("GOOGLETRANSLATE(B2713,""id"",""en"")"),"['APK', 'open', 'Android', 'please', 'repair']")</f>
        <v>['APK', 'open', 'Android', 'please', 'repair']</v>
      </c>
      <c r="D2713" s="3">
        <v>1.0</v>
      </c>
    </row>
    <row r="2714" ht="15.75" customHeight="1">
      <c r="A2714" s="1">
        <v>2903.0</v>
      </c>
      <c r="B2714" s="3" t="s">
        <v>2652</v>
      </c>
      <c r="C2714" s="3" t="str">
        <f>IFERROR(__xludf.DUMMYFUNCTION("GOOGLETRANSLATE(B2714,""id"",""en"")"),"['Hopefully', 'DPT', 'Lottery', 'Success', 'Telkomsel', 'Please', 'Permarket', 'Paketannya', '']")</f>
        <v>['Hopefully', 'DPT', 'Lottery', 'Success', 'Telkomsel', 'Please', 'Permarket', 'Paketannya', '']</v>
      </c>
      <c r="D2714" s="3">
        <v>5.0</v>
      </c>
    </row>
    <row r="2715" ht="15.75" customHeight="1">
      <c r="A2715" s="1">
        <v>2904.0</v>
      </c>
      <c r="B2715" s="3" t="s">
        <v>2653</v>
      </c>
      <c r="C2715" s="3" t="str">
        <f>IFERROR(__xludf.DUMMYFUNCTION("GOOGLETRANSLATE(B2715,""id"",""en"")"),"['Application', 'Open', 'Paraah', '']")</f>
        <v>['Application', 'Open', 'Paraah', '']</v>
      </c>
      <c r="D2715" s="3">
        <v>1.0</v>
      </c>
    </row>
    <row r="2716" ht="15.75" customHeight="1">
      <c r="A2716" s="1">
        <v>2905.0</v>
      </c>
      <c r="B2716" s="3" t="s">
        <v>2654</v>
      </c>
      <c r="C2716" s="3" t="str">
        <f>IFERROR(__xludf.DUMMYFUNCTION("GOOGLETRANSLATE(B2716,""id"",""en"")"),"['Please', 'Sorry', 'Telkomsel', 'Semenah', 'Disah', 'Mentang', 'Mentang', 'Region', 'Telkomsel', 'Speed', 'Network', 'Fix', ' Stable ',' really ',' honest ',' provider ',' area ',' moved ',' base ',' already ',' paid ',' expensive ',' quality ',' really "&amp;"',' worth ' , 'Commander']")</f>
        <v>['Please', 'Sorry', 'Telkomsel', 'Semenah', 'Disah', 'Mentang', 'Mentang', 'Region', 'Telkomsel', 'Speed', 'Network', 'Fix', ' Stable ',' really ',' honest ',' provider ',' area ',' moved ',' base ',' already ',' paid ',' expensive ',' quality ',' really ',' worth ' , 'Commander']</v>
      </c>
      <c r="D2716" s="3">
        <v>1.0</v>
      </c>
    </row>
    <row r="2717" ht="15.75" customHeight="1">
      <c r="A2717" s="1">
        <v>2906.0</v>
      </c>
      <c r="B2717" s="3" t="s">
        <v>2655</v>
      </c>
      <c r="C2717" s="3" t="str">
        <f>IFERROR(__xludf.DUMMYFUNCTION("GOOGLETRANSLATE(B2717,""id"",""en"")"),"['disappointed', 'already', 'application', 'Telkomsel', 'open', 'already', 'contact', 'custumer', 'service', 'continued', '']")</f>
        <v>['disappointed', 'already', 'application', 'Telkomsel', 'open', 'already', 'contact', 'custumer', 'service', 'continued', '']</v>
      </c>
      <c r="D2717" s="3">
        <v>1.0</v>
      </c>
    </row>
    <row r="2718" ht="15.75" customHeight="1">
      <c r="A2718" s="1">
        <v>2907.0</v>
      </c>
      <c r="B2718" s="3" t="s">
        <v>2656</v>
      </c>
      <c r="C2718" s="3" t="str">
        <f>IFERROR(__xludf.DUMMYFUNCTION("GOOGLETRANSLATE(B2718,""id"",""en"")"),"['Telkomsel', 'network', 'ugly', 'bagain', 'sulawesi', 'south', 'card', 'doang', 'expensive']")</f>
        <v>['Telkomsel', 'network', 'ugly', 'bagain', 'sulawesi', 'south', 'card', 'doang', 'expensive']</v>
      </c>
      <c r="D2718" s="3">
        <v>1.0</v>
      </c>
    </row>
    <row r="2719" ht="15.75" customHeight="1">
      <c r="A2719" s="1">
        <v>2908.0</v>
      </c>
      <c r="B2719" s="3" t="s">
        <v>2657</v>
      </c>
      <c r="C2719" s="3" t="str">
        <f>IFERROR(__xludf.DUMMYFUNCTION("GOOGLETRANSLATE(B2719,""id"",""en"")"),"['signal', 'like', 'ugly']")</f>
        <v>['signal', 'like', 'ugly']</v>
      </c>
      <c r="D2719" s="3">
        <v>1.0</v>
      </c>
    </row>
    <row r="2720" ht="15.75" customHeight="1">
      <c r="A2720" s="1">
        <v>2909.0</v>
      </c>
      <c r="B2720" s="3" t="s">
        <v>2658</v>
      </c>
      <c r="C2720" s="3" t="str">
        <f>IFERROR(__xludf.DUMMYFUNCTION("GOOGLETRANSLATE(B2720,""id"",""en"")"),"['Update', 'Open', 'Try', 'Install', 'Install', 'Open', '']")</f>
        <v>['Update', 'Open', 'Try', 'Install', 'Install', 'Open', '']</v>
      </c>
      <c r="D2720" s="3">
        <v>4.0</v>
      </c>
    </row>
    <row r="2721" ht="15.75" customHeight="1">
      <c r="A2721" s="1">
        <v>2911.0</v>
      </c>
      <c r="B2721" s="3" t="s">
        <v>2659</v>
      </c>
      <c r="C2721" s="3" t="str">
        <f>IFERROR(__xludf.DUMMYFUNCTION("GOOGLETRANSLATE(B2721,""id"",""en"")"),"['Telkomsel', 'Please', 'Fix', 'Network', 'Region', 'Sumatra', 'North', 'Nias',' Nias', 'Bad', 'buy', 'card', ' Package ',' Network ',' Bad ',' Please ',' Respond ',' ']")</f>
        <v>['Telkomsel', 'Please', 'Fix', 'Network', 'Region', 'Sumatra', 'North', 'Nias',' Nias', 'Bad', 'buy', 'card', ' Package ',' Network ',' Bad ',' Please ',' Respond ',' ']</v>
      </c>
      <c r="D2721" s="3">
        <v>2.0</v>
      </c>
    </row>
    <row r="2722" ht="15.75" customHeight="1">
      <c r="A2722" s="1">
        <v>2912.0</v>
      </c>
      <c r="B2722" s="3" t="s">
        <v>2660</v>
      </c>
      <c r="C2722" s="3" t="str">
        <f>IFERROR(__xludf.DUMMYFUNCTION("GOOGLETRANSLATE(B2722,""id"",""en"")"),"['Latnnpakuragu', 'It's', 'Safe']")</f>
        <v>['Latnnpakuragu', 'It's', 'Safe']</v>
      </c>
      <c r="D2722" s="3">
        <v>5.0</v>
      </c>
    </row>
    <row r="2723" ht="15.75" customHeight="1">
      <c r="A2723" s="1">
        <v>2913.0</v>
      </c>
      <c r="B2723" s="3" t="s">
        <v>2661</v>
      </c>
      <c r="C2723" s="3" t="str">
        <f>IFERROR(__xludf.DUMMYFUNCTION("GOOGLETRANSLATE(B2723,""id"",""en"")"),"['MyTelkomsel', 'opened', 'blank', 'TLFN', 'told', 'Wait', 'TTP', 'opened', 'Telkomsel']")</f>
        <v>['MyTelkomsel', 'opened', 'blank', 'TLFN', 'told', 'Wait', 'TTP', 'opened', 'Telkomsel']</v>
      </c>
      <c r="D2723" s="3">
        <v>1.0</v>
      </c>
    </row>
    <row r="2724" ht="15.75" customHeight="1">
      <c r="A2724" s="1">
        <v>2914.0</v>
      </c>
      <c r="B2724" s="3" t="s">
        <v>2662</v>
      </c>
      <c r="C2724" s="3" t="str">
        <f>IFERROR(__xludf.DUMMYFUNCTION("GOOGLETRANSLATE(B2724,""id"",""en"")"),"['', 'Open', 'application']")</f>
        <v>['', 'Open', 'application']</v>
      </c>
      <c r="D2724" s="3">
        <v>1.0</v>
      </c>
    </row>
    <row r="2725" ht="15.75" customHeight="1">
      <c r="A2725" s="1">
        <v>2915.0</v>
      </c>
      <c r="B2725" s="3" t="s">
        <v>2663</v>
      </c>
      <c r="C2725" s="3" t="str">
        <f>IFERROR(__xludf.DUMMYFUNCTION("GOOGLETRANSLATE(B2725,""id"",""en"")"),"['Beheading', 'buy', 'package', 'quota', 'already', 'dipake', 'call', 'chat', 'limited', 'call', 'name', 'package', ' Tranquility ',' Fix ',' cheat ']")</f>
        <v>['Beheading', 'buy', 'package', 'quota', 'already', 'dipake', 'call', 'chat', 'limited', 'call', 'name', 'package', ' Tranquility ',' Fix ',' cheat ']</v>
      </c>
      <c r="D2725" s="3">
        <v>1.0</v>
      </c>
    </row>
    <row r="2726" ht="15.75" customHeight="1">
      <c r="A2726" s="1">
        <v>2916.0</v>
      </c>
      <c r="B2726" s="3" t="s">
        <v>2664</v>
      </c>
      <c r="C2726" s="3" t="str">
        <f>IFERROR(__xludf.DUMMYFUNCTION("GOOGLETRANSLATE(B2726,""id"",""en"")"),"['GIMNA', 'NGK', 'Open', 'Huuu', 'Damaged', 'APK']")</f>
        <v>['GIMNA', 'NGK', 'Open', 'Huuu', 'Damaged', 'APK']</v>
      </c>
      <c r="D2726" s="3">
        <v>1.0</v>
      </c>
    </row>
    <row r="2727" ht="15.75" customHeight="1">
      <c r="A2727" s="1">
        <v>2917.0</v>
      </c>
      <c r="B2727" s="3" t="s">
        <v>2665</v>
      </c>
      <c r="C2727" s="3" t="str">
        <f>IFERROR(__xludf.DUMMYFUNCTION("GOOGLETRANSLATE(B2727,""id"",""en"")"),"['Network', 'home', 'stable', 'kasi', 'star']")</f>
        <v>['Network', 'home', 'stable', 'kasi', 'star']</v>
      </c>
      <c r="D2727" s="3">
        <v>4.0</v>
      </c>
    </row>
    <row r="2728" ht="15.75" customHeight="1">
      <c r="A2728" s="1">
        <v>2918.0</v>
      </c>
      <c r="B2728" s="3" t="s">
        <v>2666</v>
      </c>
      <c r="C2728" s="3" t="str">
        <f>IFERROR(__xludf.DUMMYFUNCTION("GOOGLETRANSLATE(B2728,""id"",""en"")"),"['Fix', 'signal', 'city', 'Semarang', 'area', 'city', 'signal', 'ugly', 'like', 'play', 'game', 'AFK', ' Gara ',' signal ',' ugly ',' Mulu ',' Betah ',' Telkomsel ',' Good ',' ugly ']")</f>
        <v>['Fix', 'signal', 'city', 'Semarang', 'area', 'city', 'signal', 'ugly', 'like', 'play', 'game', 'AFK', ' Gara ',' signal ',' ugly ',' Mulu ',' Betah ',' Telkomsel ',' Good ',' ugly ']</v>
      </c>
      <c r="D2728" s="3">
        <v>1.0</v>
      </c>
    </row>
    <row r="2729" ht="15.75" customHeight="1">
      <c r="A2729" s="1">
        <v>2919.0</v>
      </c>
      <c r="B2729" s="3" t="s">
        <v>2667</v>
      </c>
      <c r="C2729" s="3" t="str">
        <f>IFERROR(__xludf.DUMMYFUNCTION("GOOGLETRANSLATE(B2729,""id"",""en"")"),"['Send', 'credit', 'BKN', 'Telkomsel', 'please', 'fix']")</f>
        <v>['Send', 'credit', 'BKN', 'Telkomsel', 'please', 'fix']</v>
      </c>
      <c r="D2729" s="3">
        <v>1.0</v>
      </c>
    </row>
    <row r="2730" ht="15.75" customHeight="1">
      <c r="A2730" s="1">
        <v>2920.0</v>
      </c>
      <c r="B2730" s="3" t="s">
        <v>2668</v>
      </c>
      <c r="C2730" s="3" t="str">
        <f>IFERROR(__xludf.DUMMYFUNCTION("GOOGLETRANSLATE(B2730,""id"",""en"")"),"['quota', 'expensive', 'really', '']")</f>
        <v>['quota', 'expensive', 'really', '']</v>
      </c>
      <c r="D2730" s="3">
        <v>1.0</v>
      </c>
    </row>
    <row r="2731" ht="15.75" customHeight="1">
      <c r="A2731" s="1">
        <v>2921.0</v>
      </c>
      <c r="B2731" s="3" t="s">
        <v>2669</v>
      </c>
      <c r="C2731" s="3" t="str">
        <f>IFERROR(__xludf.DUMMYFUNCTION("GOOGLETRANSLATE(B2731,""id"",""en"")"),"['network', 'Telkomsel', 'disappointing', 'price', 'network', 'slow', 'kebangeretan']")</f>
        <v>['network', 'Telkomsel', 'disappointing', 'price', 'network', 'slow', 'kebangeretan']</v>
      </c>
      <c r="D2731" s="3">
        <v>1.0</v>
      </c>
    </row>
    <row r="2732" ht="15.75" customHeight="1">
      <c r="A2732" s="1">
        <v>2922.0</v>
      </c>
      <c r="B2732" s="3" t="s">
        <v>2670</v>
      </c>
      <c r="C2732" s="3" t="str">
        <f>IFERROR(__xludf.DUMMYFUNCTION("GOOGLETRANSLATE(B2732,""id"",""en"")"),"['Pulse', 'Porortin', 'Rerus',' Basic ',' Taik ',' Already ',' Use ',' Card ',' Thun ',' Tetep ',' Change ',' Fill ',' pulse ',' right ',' check ',' activated ',' data ',' contents', 'data', 'told', 'activated', 'credit', 'take', 'sampe', 'application' , "&amp;"'stupid', 'poor', 'njing']")</f>
        <v>['Pulse', 'Porortin', 'Rerus',' Basic ',' Taik ',' Already ',' Use ',' Card ',' Thun ',' Tetep ',' Change ',' Fill ',' pulse ',' right ',' check ',' activated ',' data ',' contents', 'data', 'told', 'activated', 'credit', 'take', 'sampe', 'application' , 'stupid', 'poor', 'njing']</v>
      </c>
      <c r="D2732" s="3">
        <v>1.0</v>
      </c>
    </row>
    <row r="2733" ht="15.75" customHeight="1">
      <c r="A2733" s="1">
        <v>2923.0</v>
      </c>
      <c r="B2733" s="3" t="s">
        <v>2671</v>
      </c>
      <c r="C2733" s="3" t="str">
        <f>IFERROR(__xludf.DUMMYFUNCTION("GOOGLETRANSLATE(B2733,""id"",""en"")"),"['Network', 'smooth', 'Tetiba', 'Destroyed', 'Lebur', 'Slide', 'Dead', 'The Application', 'Blank', 'White', 'Sngt', 'Disappointed']")</f>
        <v>['Network', 'smooth', 'Tetiba', 'Destroyed', 'Lebur', 'Slide', 'Dead', 'The Application', 'Blank', 'White', 'Sngt', 'Disappointed']</v>
      </c>
      <c r="D2733" s="3">
        <v>1.0</v>
      </c>
    </row>
    <row r="2734" ht="15.75" customHeight="1">
      <c r="A2734" s="1">
        <v>2924.0</v>
      </c>
      <c r="B2734" s="3" t="s">
        <v>2672</v>
      </c>
      <c r="C2734" s="3" t="str">
        <f>IFERROR(__xludf.DUMMYFUNCTION("GOOGLETRANSLATE(B2734,""id"",""en"")"),"['Practical', 'easy', 'ber', 'transaction', 'mksh', 'telkomsel']")</f>
        <v>['Practical', 'easy', 'ber', 'transaction', 'mksh', 'telkomsel']</v>
      </c>
      <c r="D2734" s="3">
        <v>4.0</v>
      </c>
    </row>
    <row r="2735" ht="15.75" customHeight="1">
      <c r="A2735" s="1">
        <v>2925.0</v>
      </c>
      <c r="B2735" s="3" t="s">
        <v>2673</v>
      </c>
      <c r="C2735" s="3" t="str">
        <f>IFERROR(__xludf.DUMMYFUNCTION("GOOGLETRANSLATE(B2735,""id"",""en"")"),"['application', 'good', 'informative']")</f>
        <v>['application', 'good', 'informative']</v>
      </c>
      <c r="D2735" s="3">
        <v>5.0</v>
      </c>
    </row>
    <row r="2736" ht="15.75" customHeight="1">
      <c r="A2736" s="1">
        <v>2926.0</v>
      </c>
      <c r="B2736" s="3" t="s">
        <v>2674</v>
      </c>
      <c r="C2736" s="3" t="str">
        <f>IFERROR(__xludf.DUMMYFUNCTION("GOOGLETRANSLATE(B2736,""id"",""en"")"),"['min', 'plis',' min ',' plis', 'knp', 'network', 'telkomsel', 'right', 'play', 'game', 'ngelag', 'right', ' Watch ',' YouTube ',' Ngelag ',' Plis', 'Min', 'Kezel', 'Already', 'Main', 'Team', 'Epic', 'Bocil', 'Locil', 'Laknat' , 'Network', 'Ngelag', 'Min'"&amp;", '']")</f>
        <v>['min', 'plis',' min ',' plis', 'knp', 'network', 'telkomsel', 'right', 'play', 'game', 'ngelag', 'right', ' Watch ',' YouTube ',' Ngelag ',' Plis', 'Min', 'Kezel', 'Already', 'Main', 'Team', 'Epic', 'Bocil', 'Locil', 'Laknat' , 'Network', 'Ngelag', 'Min', '']</v>
      </c>
      <c r="D2736" s="3">
        <v>1.0</v>
      </c>
    </row>
    <row r="2737" ht="15.75" customHeight="1">
      <c r="A2737" s="1">
        <v>2927.0</v>
      </c>
      <c r="B2737" s="3" t="s">
        <v>2675</v>
      </c>
      <c r="C2737" s="3" t="str">
        <f>IFERROR(__xludf.DUMMYFUNCTION("GOOGLETRANSLATE(B2737,""id"",""en"")"),"['Quality', 'signal', 'doubt', 'hope', 'stable']")</f>
        <v>['Quality', 'signal', 'doubt', 'hope', 'stable']</v>
      </c>
      <c r="D2737" s="3">
        <v>5.0</v>
      </c>
    </row>
    <row r="2738" ht="15.75" customHeight="1">
      <c r="A2738" s="1">
        <v>2928.0</v>
      </c>
      <c r="B2738" s="3" t="s">
        <v>2676</v>
      </c>
      <c r="C2738" s="3" t="str">
        <f>IFERROR(__xludf.DUMMYFUNCTION("GOOGLETRANSLATE(B2738,""id"",""en"")"),"['Telkomsel', 'Package', 'expensive', 'Application', 'Telkomsel', 'Nidak', 'opened', 'Anyway', 'sucks',' fix ',' comment ',' Telkomsel ',' Repair ',' System ',' ']")</f>
        <v>['Telkomsel', 'Package', 'expensive', 'Application', 'Telkomsel', 'Nidak', 'opened', 'Anyway', 'sucks',' fix ',' comment ',' Telkomsel ',' Repair ',' System ',' ']</v>
      </c>
      <c r="D2738" s="3">
        <v>1.0</v>
      </c>
    </row>
    <row r="2739" ht="15.75" customHeight="1">
      <c r="A2739" s="1">
        <v>2929.0</v>
      </c>
      <c r="B2739" s="3" t="s">
        <v>2677</v>
      </c>
      <c r="C2739" s="3" t="str">
        <f>IFERROR(__xludf.DUMMYFUNCTION("GOOGLETRANSLATE(B2739,""id"",""en"")"),"['Beginner', 'dlu', 'deh', 'bner', 'comfortable', 'ksih', 'star', '']")</f>
        <v>['Beginner', 'dlu', 'deh', 'bner', 'comfortable', 'ksih', 'star', '']</v>
      </c>
      <c r="D2739" s="3">
        <v>2.0</v>
      </c>
    </row>
    <row r="2740" ht="15.75" customHeight="1">
      <c r="A2740" s="1">
        <v>2930.0</v>
      </c>
      <c r="B2740" s="3" t="s">
        <v>1304</v>
      </c>
      <c r="C2740" s="3" t="str">
        <f>IFERROR(__xludf.DUMMYFUNCTION("GOOGLETRANSLATE(B2740,""id"",""en"")"),"['beneficial']")</f>
        <v>['beneficial']</v>
      </c>
      <c r="D2740" s="3">
        <v>5.0</v>
      </c>
    </row>
    <row r="2741" ht="15.75" customHeight="1">
      <c r="A2741" s="1">
        <v>2931.0</v>
      </c>
      <c r="B2741" s="3" t="s">
        <v>2678</v>
      </c>
      <c r="C2741" s="3" t="str">
        <f>IFERROR(__xludf.DUMMYFUNCTION("GOOGLETRANSLATE(B2741,""id"",""en"")"),"['confused', 'skrang', 'buy', 'package', 'network', 'reward', 'network', 'bagu', 'package', 'blom', 'finished', 'please', ' solution', '']")</f>
        <v>['confused', 'skrang', 'buy', 'package', 'network', 'reward', 'network', 'bagu', 'package', 'blom', 'finished', 'please', ' solution', '']</v>
      </c>
      <c r="D2741" s="3">
        <v>1.0</v>
      </c>
    </row>
    <row r="2742" ht="15.75" customHeight="1">
      <c r="A2742" s="1">
        <v>2932.0</v>
      </c>
      <c r="B2742" s="3" t="s">
        <v>2679</v>
      </c>
      <c r="C2742" s="3" t="str">
        <f>IFERROR(__xludf.DUMMYFUNCTION("GOOGLETRANSLATE(B2742,""id"",""en"")"),"['Knpa', 'Kokk', 'Telkomsel', 'Open', '']")</f>
        <v>['Knpa', 'Kokk', 'Telkomsel', 'Open', '']</v>
      </c>
      <c r="D2742" s="3">
        <v>1.0</v>
      </c>
    </row>
    <row r="2743" ht="15.75" customHeight="1">
      <c r="A2743" s="1">
        <v>2933.0</v>
      </c>
      <c r="B2743" s="3" t="s">
        <v>2680</v>
      </c>
      <c r="C2743" s="3" t="str">
        <f>IFERROR(__xludf.DUMMYFUNCTION("GOOGLETRANSLATE(B2743,""id"",""en"")"),"['buy', 'package', 'data', 'easy', 'cheap', '']")</f>
        <v>['buy', 'package', 'data', 'easy', 'cheap', '']</v>
      </c>
      <c r="D2743" s="3">
        <v>5.0</v>
      </c>
    </row>
    <row r="2744" ht="15.75" customHeight="1">
      <c r="A2744" s="1">
        <v>2934.0</v>
      </c>
      <c r="B2744" s="3" t="s">
        <v>2681</v>
      </c>
      <c r="C2744" s="3" t="str">
        <f>IFERROR(__xludf.DUMMYFUNCTION("GOOGLETRANSLATE(B2744,""id"",""en"")"),"['Addin', 'promo', 'cheap', 'cheap']")</f>
        <v>['Addin', 'promo', 'cheap', 'cheap']</v>
      </c>
      <c r="D2744" s="3">
        <v>5.0</v>
      </c>
    </row>
    <row r="2745" ht="15.75" customHeight="1">
      <c r="A2745" s="1">
        <v>2935.0</v>
      </c>
      <c r="B2745" s="3" t="s">
        <v>2682</v>
      </c>
      <c r="C2745" s="3" t="str">
        <f>IFERROR(__xludf.DUMMYFUNCTION("GOOGLETRANSLATE(B2745,""id"",""en"")"),"['test']")</f>
        <v>['test']</v>
      </c>
      <c r="D2745" s="3">
        <v>4.0</v>
      </c>
    </row>
    <row r="2746" ht="15.75" customHeight="1">
      <c r="A2746" s="1">
        <v>2936.0</v>
      </c>
      <c r="B2746" s="3" t="s">
        <v>2683</v>
      </c>
      <c r="C2746" s="3" t="str">
        <f>IFERROR(__xludf.DUMMYFUNCTION("GOOGLETRANSLATE(B2746,""id"",""en"")"),"['Purchase', 'Package', 'LBH', 'Cheap', 'Compared', 'Counter']")</f>
        <v>['Purchase', 'Package', 'LBH', 'Cheap', 'Compared', 'Counter']</v>
      </c>
      <c r="D2746" s="3">
        <v>5.0</v>
      </c>
    </row>
    <row r="2747" ht="15.75" customHeight="1">
      <c r="A2747" s="1">
        <v>2937.0</v>
      </c>
      <c r="B2747" s="3" t="s">
        <v>2684</v>
      </c>
      <c r="C2747" s="3" t="str">
        <f>IFERROR(__xludf.DUMMYFUNCTION("GOOGLETRANSLATE(B2747,""id"",""en"")"),"['repeat', 'downlod', 'applicationx', 'blom', 'openaa', 'AAA', '']")</f>
        <v>['repeat', 'downlod', 'applicationx', 'blom', 'openaa', 'AAA', '']</v>
      </c>
      <c r="D2747" s="3">
        <v>1.0</v>
      </c>
    </row>
    <row r="2748" ht="15.75" customHeight="1">
      <c r="A2748" s="1">
        <v>2938.0</v>
      </c>
      <c r="B2748" s="3" t="s">
        <v>2685</v>
      </c>
      <c r="C2748" s="3" t="str">
        <f>IFERROR(__xludf.DUMMYFUNCTION("GOOGLETRANSLATE(B2748,""id"",""en"")"),"['', 'BYR', 'bills',' BBR ',' Points', 'Msuk', 'WKTU', 'Exchange', 'Points',' Dumps', 'BYR', 'Tagihn', 'hedeeeh ',' mcm ',' mna ',' tsel ',' tmbahkn ',' donk ',' fswlts', 'mlmpirkn', 'photo', 'video', 'testimonial', 'apk', 'all', 'See', 'SPT', 'MSLH', 'NA"&amp;"TURAL', 'PLNGGAN', 'TRLLU', 'BYK', 'Program', 'Priority', 'Quality', 'Service', 'Duh', ' ',' ']")</f>
        <v>['', 'BYR', 'bills',' BBR ',' Points', 'Msuk', 'WKTU', 'Exchange', 'Points',' Dumps', 'BYR', 'Tagihn', 'hedeeeh ',' mcm ',' mna ',' tsel ',' tmbahkn ',' donk ',' fswlts', 'mlmpirkn', 'photo', 'video', 'testimonial', 'apk', 'all', 'See', 'SPT', 'MSLH', 'NATURAL', 'PLNGGAN', 'TRLLU', 'BYK', 'Program', 'Priority', 'Quality', 'Service', 'Duh', ' ',' ']</v>
      </c>
      <c r="D2748" s="3">
        <v>1.0</v>
      </c>
    </row>
    <row r="2749" ht="15.75" customHeight="1">
      <c r="A2749" s="1">
        <v>2939.0</v>
      </c>
      <c r="B2749" s="3" t="s">
        <v>2686</v>
      </c>
      <c r="C2749" s="3" t="str">
        <f>IFERROR(__xludf.DUMMYFUNCTION("GOOGLETRANSLATE(B2749,""id"",""en"")"),"['Application', 'revenge', 'abis', 'exchange', 'point', 'application', 'open', 'forced', 'close', 'then', 'fix', 'paoookkk']")</f>
        <v>['Application', 'revenge', 'abis', 'exchange', 'point', 'application', 'open', 'forced', 'close', 'then', 'fix', 'paoookkk']</v>
      </c>
      <c r="D2749" s="3">
        <v>1.0</v>
      </c>
    </row>
    <row r="2750" ht="15.75" customHeight="1">
      <c r="A2750" s="1">
        <v>2940.0</v>
      </c>
      <c r="B2750" s="3" t="s">
        <v>2687</v>
      </c>
      <c r="C2750" s="3" t="str">
        <f>IFERROR(__xludf.DUMMYFUNCTION("GOOGLETRANSLATE(B2750,""id"",""en"")"),"['Helpful', 'easy']")</f>
        <v>['Helpful', 'easy']</v>
      </c>
      <c r="D2750" s="3">
        <v>5.0</v>
      </c>
    </row>
    <row r="2751" ht="15.75" customHeight="1">
      <c r="A2751" s="1">
        <v>2941.0</v>
      </c>
      <c r="B2751" s="3" t="s">
        <v>2688</v>
      </c>
      <c r="C2751" s="3" t="str">
        <f>IFERROR(__xludf.DUMMYFUNCTION("GOOGLETRANSLATE(B2751,""id"",""en"")"),"['Login', 'difficult', 'really', 'signal', 'jakarta', 'south', 'stop', 'immigration', 'ugly', 'really', 'signal', 'bad', ' price ',' skyrocket ',' signal ',' rich ',' planet ',' BURIK ',' ']")</f>
        <v>['Login', 'difficult', 'really', 'signal', 'jakarta', 'south', 'stop', 'immigration', 'ugly', 'really', 'signal', 'bad', ' price ',' skyrocket ',' signal ',' rich ',' planet ',' BURIK ',' ']</v>
      </c>
      <c r="D2751" s="3">
        <v>1.0</v>
      </c>
    </row>
    <row r="2752" ht="15.75" customHeight="1">
      <c r="A2752" s="1">
        <v>2942.0</v>
      </c>
      <c r="B2752" s="3" t="s">
        <v>2689</v>
      </c>
      <c r="C2752" s="3" t="str">
        <f>IFERROR(__xludf.DUMMYFUNCTION("GOOGLETRANSLATE(B2752,""id"",""en"")"),"['Yesterday', 'Date', 'Date', 'Open', 'APL', 'Chat', 'Veronika', 'Help', 'already', 'GraPARI', 'Telkomsel', 'closest', ' help', '']")</f>
        <v>['Yesterday', 'Date', 'Date', 'Open', 'APL', 'Chat', 'Veronika', 'Help', 'already', 'GraPARI', 'Telkomsel', 'closest', ' help', '']</v>
      </c>
      <c r="D2752" s="3">
        <v>1.0</v>
      </c>
    </row>
    <row r="2753" ht="15.75" customHeight="1">
      <c r="A2753" s="1">
        <v>2943.0</v>
      </c>
      <c r="B2753" s="3" t="s">
        <v>1167</v>
      </c>
      <c r="C2753" s="3" t="str">
        <f>IFERROR(__xludf.DUMMYFUNCTION("GOOGLETRANSLATE(B2753,""id"",""en"")"),"['help']")</f>
        <v>['help']</v>
      </c>
      <c r="D2753" s="3">
        <v>5.0</v>
      </c>
    </row>
    <row r="2754" ht="15.75" customHeight="1">
      <c r="A2754" s="1">
        <v>2944.0</v>
      </c>
      <c r="B2754" s="3" t="s">
        <v>2690</v>
      </c>
      <c r="C2754" s="3" t="str">
        <f>IFERROR(__xludf.DUMMYFUNCTION("GOOGLETRANSLATE(B2754,""id"",""en"")"),"['Cool', 'bngt', 'promo', 'interesting', 'gift', 'gift', 'lose', 'interesting', 'forgeta', 'download', 'teklomsel', 'okey', ' ']")</f>
        <v>['Cool', 'bngt', 'promo', 'interesting', 'gift', 'gift', 'lose', 'interesting', 'forgeta', 'download', 'teklomsel', 'okey', ' ']</v>
      </c>
      <c r="D2754" s="3">
        <v>5.0</v>
      </c>
    </row>
    <row r="2755" ht="15.75" customHeight="1">
      <c r="A2755" s="1">
        <v>2945.0</v>
      </c>
      <c r="B2755" s="3" t="s">
        <v>2691</v>
      </c>
      <c r="C2755" s="3" t="str">
        <f>IFERROR(__xludf.DUMMYFUNCTION("GOOGLETRANSLATE(B2755,""id"",""en"")"),"['Please', 'in the same', 'Flatkan', 'Package', 'Telkomsel', 'Jagan', 'Differential', 'Differentiary', 'Thank you', ""]")</f>
        <v>['Please', 'in the same', 'Flatkan', 'Package', 'Telkomsel', 'Jagan', 'Differential', 'Differentiary', 'Thank you', "]</v>
      </c>
      <c r="D2755" s="3">
        <v>1.0</v>
      </c>
    </row>
    <row r="2756" ht="15.75" customHeight="1">
      <c r="A2756" s="1">
        <v>2946.0</v>
      </c>
      <c r="B2756" s="3" t="s">
        <v>2692</v>
      </c>
      <c r="C2756" s="3" t="str">
        <f>IFERROR(__xludf.DUMMYFUNCTION("GOOGLETRANSLATE(B2756,""id"",""en"")"),"['Out', 'update', 'chaotic', 'open', 'update', 'bug', 'update', 'application', '']")</f>
        <v>['Out', 'update', 'chaotic', 'open', 'update', 'bug', 'update', 'application', '']</v>
      </c>
      <c r="D2756" s="3">
        <v>1.0</v>
      </c>
    </row>
    <row r="2757" ht="15.75" customHeight="1">
      <c r="A2757" s="1">
        <v>2947.0</v>
      </c>
      <c r="B2757" s="3" t="s">
        <v>2693</v>
      </c>
      <c r="C2757" s="3" t="str">
        <f>IFERROR(__xludf.DUMMYFUNCTION("GOOGLETRANSLATE(B2757,""id"",""en"")"),"['application', 'good', 'really']")</f>
        <v>['application', 'good', 'really']</v>
      </c>
      <c r="D2757" s="3">
        <v>5.0</v>
      </c>
    </row>
    <row r="2758" ht="15.75" customHeight="1">
      <c r="A2758" s="1">
        <v>2948.0</v>
      </c>
      <c r="B2758" s="3" t="s">
        <v>2694</v>
      </c>
      <c r="C2758" s="3" t="str">
        <f>IFERROR(__xludf.DUMMYFUNCTION("GOOGLETRANSLATE(B2758,""id"",""en"")"),"['Points', 'Tudak', 'Exchange', 'Gift', 'DIINIIN']")</f>
        <v>['Points', 'Tudak', 'Exchange', 'Gift', 'DIINIIN']</v>
      </c>
      <c r="D2758" s="3">
        <v>1.0</v>
      </c>
    </row>
    <row r="2759" ht="15.75" customHeight="1">
      <c r="A2759" s="1">
        <v>2949.0</v>
      </c>
      <c r="B2759" s="3" t="s">
        <v>2695</v>
      </c>
      <c r="C2759" s="3" t="str">
        <f>IFERROR(__xludf.DUMMYFUNCTION("GOOGLETRANSLATE(B2759,""id"",""en"")"),"['Jaringa', 'Ter', 'quota', 'expensive', '']")</f>
        <v>['Jaringa', 'Ter', 'quota', 'expensive', '']</v>
      </c>
      <c r="D2759" s="3">
        <v>1.0</v>
      </c>
    </row>
    <row r="2760" ht="15.75" customHeight="1">
      <c r="A2760" s="1">
        <v>2950.0</v>
      </c>
      <c r="B2760" s="3" t="s">
        <v>2696</v>
      </c>
      <c r="C2760" s="3" t="str">
        <f>IFERROR(__xludf.DUMMYFUNCTION("GOOGLETRANSLATE(B2760,""id"",""en"")"),"['Disappointed', 'Telkomsel', 'Application', 'Open', 'Enter', 'Please', 'Fix', 'Error', 'Signal', 'Internet', 'Good', 'Please', ' Respond to ',' Telkomsel ',' Love ',' Kapa ', ""]")</f>
        <v>['Disappointed', 'Telkomsel', 'Application', 'Open', 'Enter', 'Please', 'Fix', 'Error', 'Signal', 'Internet', 'Good', 'Please', ' Respond to ',' Telkomsel ',' Love ',' Kapa ', "]</v>
      </c>
      <c r="D2760" s="3">
        <v>1.0</v>
      </c>
    </row>
    <row r="2761" ht="15.75" customHeight="1">
      <c r="A2761" s="1">
        <v>2951.0</v>
      </c>
      <c r="B2761" s="3" t="s">
        <v>2697</v>
      </c>
      <c r="C2761" s="3" t="str">
        <f>IFERROR(__xludf.DUMMYFUNCTION("GOOGLETRANSLATE(B2761,""id"",""en"")"),"['Application', 'help', 'need', 'choose', 'package', 'internet', 'promo', 'other', 'comment', ""]")</f>
        <v>['Application', 'help', 'need', 'choose', 'package', 'internet', 'promo', 'other', 'comment', "]</v>
      </c>
      <c r="D2761" s="3">
        <v>5.0</v>
      </c>
    </row>
    <row r="2762" ht="15.75" customHeight="1">
      <c r="A2762" s="1">
        <v>2952.0</v>
      </c>
      <c r="B2762" s="3" t="s">
        <v>1601</v>
      </c>
      <c r="C2762" s="3" t="str">
        <f>IFERROR(__xludf.DUMMYFUNCTION("GOOGLETRANSLATE(B2762,""id"",""en"")"),"['open']")</f>
        <v>['open']</v>
      </c>
      <c r="D2762" s="3">
        <v>1.0</v>
      </c>
    </row>
    <row r="2763" ht="15.75" customHeight="1">
      <c r="A2763" s="1">
        <v>2953.0</v>
      </c>
      <c r="B2763" s="3" t="s">
        <v>2698</v>
      </c>
      <c r="C2763" s="3" t="str">
        <f>IFERROR(__xludf.DUMMYFUNCTION("GOOGLETRANSLATE(B2763,""id"",""en"")"),"['price', 'package', 'entry', 'sense', 'expensive', 'go bankrupt', 'how', 'package', 'expensive', 'really']")</f>
        <v>['price', 'package', 'entry', 'sense', 'expensive', 'go bankrupt', 'how', 'package', 'expensive', 'really']</v>
      </c>
      <c r="D2763" s="3">
        <v>1.0</v>
      </c>
    </row>
    <row r="2764" ht="15.75" customHeight="1">
      <c r="A2764" s="1">
        <v>2954.0</v>
      </c>
      <c r="B2764" s="3" t="s">
        <v>2699</v>
      </c>
      <c r="C2764" s="3" t="str">
        <f>IFERROR(__xludf.DUMMYFUNCTION("GOOGLETRANSLATE(B2764,""id"",""en"")"),"['Mhon', 'Sorry', 'Telkomsel', 'proud', 'Telkomsel', 'The network', 'decreases',' stable ',' plus', 'price', 'package', 'Lost', ' competing ',' provider ',' Telkomsel ',' expensive ',' expensive ',' network ',' okay ',' consumption ',' worth ',' skarang '"&amp;",' decline ',' rain ',' a little ' , 'recurrence', 'slow', 'disruption', 'Telkomsel', 'forward', 'ahead', 'loyal', 'card', 'Telkomsel', 'hopefully', 'lbih']")</f>
        <v>['Mhon', 'Sorry', 'Telkomsel', 'proud', 'Telkomsel', 'The network', 'decreases',' stable ',' plus', 'price', 'package', 'Lost', ' competing ',' provider ',' Telkomsel ',' expensive ',' expensive ',' network ',' okay ',' consumption ',' worth ',' skarang ',' decline ',' rain ',' a little ' , 'recurrence', 'slow', 'disruption', 'Telkomsel', 'forward', 'ahead', 'loyal', 'card', 'Telkomsel', 'hopefully', 'lbih']</v>
      </c>
      <c r="D2764" s="3">
        <v>2.0</v>
      </c>
    </row>
    <row r="2765" ht="15.75" customHeight="1">
      <c r="A2765" s="1">
        <v>2955.0</v>
      </c>
      <c r="B2765" s="3" t="s">
        <v>2700</v>
      </c>
      <c r="C2765" s="3" t="str">
        <f>IFERROR(__xludf.DUMMYFUNCTION("GOOGLETRANSLATE(B2765,""id"",""en"")"),"['The application', 'error', 'page', 'appears', ""]")</f>
        <v>['The application', 'error', 'page', 'appears', "]</v>
      </c>
      <c r="D2765" s="3">
        <v>3.0</v>
      </c>
    </row>
    <row r="2766" ht="15.75" customHeight="1">
      <c r="A2766" s="1">
        <v>2956.0</v>
      </c>
      <c r="B2766" s="3" t="s">
        <v>2701</v>
      </c>
      <c r="C2766" s="3" t="str">
        <f>IFERROR(__xludf.DUMMYFUNCTION("GOOGLETRANSLATE(B2766,""id"",""en"")"),"['application', 'help', 'easy', '']")</f>
        <v>['application', 'help', 'easy', '']</v>
      </c>
      <c r="D2766" s="3">
        <v>5.0</v>
      </c>
    </row>
    <row r="2767" ht="15.75" customHeight="1">
      <c r="A2767" s="1">
        <v>2957.0</v>
      </c>
      <c r="B2767" s="3" t="s">
        <v>2702</v>
      </c>
      <c r="C2767" s="3" t="str">
        <f>IFERROR(__xludf.DUMMYFUNCTION("GOOGLETRANSLATE(B2767,""id"",""en"")"),"['Many', 'Dowload', 'Delete', 'Gara', 'Like', 'Error', 'Opened', 'Come on', 'Telkom', ""]")</f>
        <v>['Many', 'Dowload', 'Delete', 'Gara', 'Like', 'Error', 'Opened', 'Come on', 'Telkom', "]</v>
      </c>
      <c r="D2767" s="3">
        <v>5.0</v>
      </c>
    </row>
    <row r="2768" ht="15.75" customHeight="1">
      <c r="A2768" s="1">
        <v>2958.0</v>
      </c>
      <c r="B2768" s="3" t="s">
        <v>2703</v>
      </c>
      <c r="C2768" s="3" t="str">
        <f>IFERROR(__xludf.DUMMYFUNCTION("GOOGLETRANSLATE(B2768,""id"",""en"")"),"['wau', 'help']")</f>
        <v>['wau', 'help']</v>
      </c>
      <c r="D2768" s="3">
        <v>5.0</v>
      </c>
    </row>
    <row r="2769" ht="15.75" customHeight="1">
      <c r="A2769" s="1">
        <v>2959.0</v>
      </c>
      <c r="B2769" s="3" t="s">
        <v>2704</v>
      </c>
      <c r="C2769" s="3" t="str">
        <f>IFERROR(__xludf.DUMMYFUNCTION("GOOGLETRANSLATE(B2769,""id"",""en"")"),"['Package', 'expensive']")</f>
        <v>['Package', 'expensive']</v>
      </c>
      <c r="D2769" s="3">
        <v>5.0</v>
      </c>
    </row>
    <row r="2770" ht="15.75" customHeight="1">
      <c r="A2770" s="1">
        <v>2960.0</v>
      </c>
      <c r="B2770" s="3" t="s">
        <v>2705</v>
      </c>
      <c r="C2770" s="3" t="str">
        <f>IFERROR(__xludf.DUMMYFUNCTION("GOOGLETRANSLATE(B2770,""id"",""en"")"),"['Good', 'beget', 'network', 'slow', 'kouta', 'cheap', 'happy', 'really', '']")</f>
        <v>['Good', 'beget', 'network', 'slow', 'kouta', 'cheap', 'happy', 'really', '']</v>
      </c>
      <c r="D2770" s="3">
        <v>5.0</v>
      </c>
    </row>
    <row r="2771" ht="15.75" customHeight="1">
      <c r="A2771" s="1">
        <v>2962.0</v>
      </c>
      <c r="B2771" s="3" t="s">
        <v>2706</v>
      </c>
      <c r="C2771" s="3" t="str">
        <f>IFERROR(__xludf.DUMMYFUNCTION("GOOGLETRANSLATE(B2771,""id"",""en"")"),"['Telkomsel', 'Champion', 'Champion', '']")</f>
        <v>['Telkomsel', 'Champion', 'Champion', '']</v>
      </c>
      <c r="D2771" s="3">
        <v>5.0</v>
      </c>
    </row>
    <row r="2772" ht="15.75" customHeight="1">
      <c r="A2772" s="1">
        <v>2963.0</v>
      </c>
      <c r="B2772" s="3" t="s">
        <v>2707</v>
      </c>
      <c r="C2772" s="3" t="str">
        <f>IFERROR(__xludf.DUMMYFUNCTION("GOOGLETRANSLATE(B2772,""id"",""en"")"),"['bang', 'package', 'geme', 'buy', 'please', ""]")</f>
        <v>['bang', 'package', 'geme', 'buy', 'please', "]</v>
      </c>
      <c r="D2772" s="3">
        <v>1.0</v>
      </c>
    </row>
    <row r="2773" ht="15.75" customHeight="1">
      <c r="A2773" s="1">
        <v>2964.0</v>
      </c>
      <c r="B2773" s="3" t="s">
        <v>2708</v>
      </c>
      <c r="C2773" s="3" t="str">
        <f>IFERROR(__xludf.DUMMYFUNCTION("GOOGLETRANSLATE(B2773,""id"",""en"")"),"['Increase', 'bonus', 'quota', 'free', '']")</f>
        <v>['Increase', 'bonus', 'quota', 'free', '']</v>
      </c>
      <c r="D2773" s="3">
        <v>4.0</v>
      </c>
    </row>
    <row r="2774" ht="15.75" customHeight="1">
      <c r="A2774" s="1">
        <v>2965.0</v>
      </c>
      <c r="B2774" s="3" t="s">
        <v>159</v>
      </c>
      <c r="C2774" s="3" t="str">
        <f>IFERROR(__xludf.DUMMYFUNCTION("GOOGLETRANSLATE(B2774,""id"",""en"")"),"['Telkomsel', 'good']")</f>
        <v>['Telkomsel', 'good']</v>
      </c>
      <c r="D2774" s="3">
        <v>3.0</v>
      </c>
    </row>
    <row r="2775" ht="15.75" customHeight="1">
      <c r="A2775" s="1">
        <v>2966.0</v>
      </c>
      <c r="B2775" s="3" t="s">
        <v>2709</v>
      </c>
      <c r="C2775" s="3" t="str">
        <f>IFERROR(__xludf.DUMMYFUNCTION("GOOGLETRANSLATE(B2775,""id"",""en"")"),"['Updated', 'Open', 'White', 'Doang', 'Screen', 'HP']")</f>
        <v>['Updated', 'Open', 'White', 'Doang', 'Screen', 'HP']</v>
      </c>
      <c r="D2775" s="3">
        <v>4.0</v>
      </c>
    </row>
    <row r="2776" ht="15.75" customHeight="1">
      <c r="A2776" s="1">
        <v>2967.0</v>
      </c>
      <c r="B2776" s="3" t="s">
        <v>2710</v>
      </c>
      <c r="C2776" s="3" t="str">
        <f>IFERROR(__xludf.DUMMYFUNCTION("GOOGLETRANSLATE(B2776,""id"",""en"")"),"['Help', 'comfortable']")</f>
        <v>['Help', 'comfortable']</v>
      </c>
      <c r="D2776" s="3">
        <v>5.0</v>
      </c>
    </row>
    <row r="2777" ht="15.75" customHeight="1">
      <c r="A2777" s="1">
        <v>2968.0</v>
      </c>
      <c r="B2777" s="3" t="s">
        <v>2711</v>
      </c>
      <c r="C2777" s="3" t="str">
        <f>IFERROR(__xludf.DUMMYFUNCTION("GOOGLETRANSLATE(B2777,""id"",""en"")"),"['easy', 'search', 'pulse']")</f>
        <v>['easy', 'search', 'pulse']</v>
      </c>
      <c r="D2777" s="3">
        <v>5.0</v>
      </c>
    </row>
    <row r="2778" ht="15.75" customHeight="1">
      <c r="A2778" s="1">
        <v>2969.0</v>
      </c>
      <c r="B2778" s="3" t="s">
        <v>2712</v>
      </c>
      <c r="C2778" s="3" t="str">
        <f>IFERROR(__xludf.DUMMYFUNCTION("GOOGLETRANSLATE(B2778,""id"",""en"")"),"['Darling', 'network', 'internet', 'experience', 'setback']")</f>
        <v>['Darling', 'network', 'internet', 'experience', 'setback']</v>
      </c>
      <c r="D2778" s="3">
        <v>5.0</v>
      </c>
    </row>
    <row r="2779" ht="15.75" customHeight="1">
      <c r="A2779" s="1">
        <v>2970.0</v>
      </c>
      <c r="B2779" s="3" t="s">
        <v>2713</v>
      </c>
      <c r="C2779" s="3" t="str">
        <f>IFERROR(__xludf.DUMMYFUNCTION("GOOGLETRANSLATE(B2779,""id"",""en"")"),"['make it difficult']")</f>
        <v>['make it difficult']</v>
      </c>
      <c r="D2779" s="3">
        <v>5.0</v>
      </c>
    </row>
    <row r="2780" ht="15.75" customHeight="1">
      <c r="A2780" s="1">
        <v>2971.0</v>
      </c>
      <c r="B2780" s="3" t="s">
        <v>2714</v>
      </c>
      <c r="C2780" s="3" t="str">
        <f>IFERROR(__xludf.DUMMYFUNCTION("GOOGLETRANSLATE(B2780,""id"",""en"")"),"['Update', 'Easy', 'Easy', 'Practical', 'Needs', 'Update', 'Kbuka', 'Wrong', 'Version']")</f>
        <v>['Update', 'Easy', 'Easy', 'Practical', 'Needs', 'Update', 'Kbuka', 'Wrong', 'Version']</v>
      </c>
      <c r="D2780" s="3">
        <v>1.0</v>
      </c>
    </row>
    <row r="2781" ht="15.75" customHeight="1">
      <c r="A2781" s="1">
        <v>2972.0</v>
      </c>
      <c r="B2781" s="3" t="s">
        <v>2715</v>
      </c>
      <c r="C2781" s="3" t="str">
        <f>IFERROR(__xludf.DUMMYFUNCTION("GOOGLETRANSLATE(B2781,""id"",""en"")"),"['SMS', 'Verification', 'Enter', 'App', 'Bobok']")</f>
        <v>['SMS', 'Verification', 'Enter', 'App', 'Bobok']</v>
      </c>
      <c r="D2781" s="3">
        <v>1.0</v>
      </c>
    </row>
    <row r="2782" ht="15.75" customHeight="1">
      <c r="A2782" s="1">
        <v>2973.0</v>
      </c>
      <c r="B2782" s="3" t="s">
        <v>2716</v>
      </c>
      <c r="C2782" s="3" t="str">
        <f>IFERROR(__xludf.DUMMYFUNCTION("GOOGLETRANSLATE(B2782,""id"",""en"")"),"['The network', 'please', 'repaired', 'enter', 'era', 'digitalization', 'network', 'ugly']")</f>
        <v>['The network', 'please', 'repaired', 'enter', 'era', 'digitalization', 'network', 'ugly']</v>
      </c>
      <c r="D2782" s="3">
        <v>1.0</v>
      </c>
    </row>
    <row r="2783" ht="15.75" customHeight="1">
      <c r="A2783" s="1">
        <v>2974.0</v>
      </c>
      <c r="B2783" s="3" t="s">
        <v>2717</v>
      </c>
      <c r="C2783" s="3" t="str">
        <f>IFERROR(__xludf.DUMMYFUNCTION("GOOGLETRANSLATE(B2783,""id"",""en"")"),"['Signal', 'Bukittinggi', 'Kecamatan', 'Baso', 'ugly', 'Telkomsel', 'ugly', 'please', 'fix', 'specific', 'signal', 'ugly', ' search', '']")</f>
        <v>['Signal', 'Bukittinggi', 'Kecamatan', 'Baso', 'ugly', 'Telkomsel', 'ugly', 'please', 'fix', 'specific', 'signal', 'ugly', ' search', '']</v>
      </c>
      <c r="D2783" s="3">
        <v>1.0</v>
      </c>
    </row>
    <row r="2784" ht="15.75" customHeight="1">
      <c r="A2784" s="1">
        <v>2975.0</v>
      </c>
      <c r="B2784" s="3" t="s">
        <v>2718</v>
      </c>
      <c r="C2784" s="3" t="str">
        <f>IFERROR(__xludf.DUMMYFUNCTION("GOOGLETRANSLATE(B2784,""id"",""en"")"),"['Bagus', 'steady', 'easy']")</f>
        <v>['Bagus', 'steady', 'easy']</v>
      </c>
      <c r="D2784" s="3">
        <v>5.0</v>
      </c>
    </row>
    <row r="2785" ht="15.75" customHeight="1">
      <c r="A2785" s="1">
        <v>2976.0</v>
      </c>
      <c r="B2785" s="3" t="s">
        <v>2693</v>
      </c>
      <c r="C2785" s="3" t="str">
        <f>IFERROR(__xludf.DUMMYFUNCTION("GOOGLETRANSLATE(B2785,""id"",""en"")"),"['application', 'good', 'really']")</f>
        <v>['application', 'good', 'really']</v>
      </c>
      <c r="D2785" s="3">
        <v>1.0</v>
      </c>
    </row>
    <row r="2786" ht="15.75" customHeight="1">
      <c r="A2786" s="1">
        <v>2977.0</v>
      </c>
      <c r="B2786" s="3" t="s">
        <v>2719</v>
      </c>
      <c r="C2786" s="3" t="str">
        <f>IFERROR(__xludf.DUMMYFUNCTION("GOOGLETRANSLATE(B2786,""id"",""en"")"),"['best', 'makes it easy']")</f>
        <v>['best', 'makes it easy']</v>
      </c>
      <c r="D2786" s="3">
        <v>5.0</v>
      </c>
    </row>
    <row r="2787" ht="15.75" customHeight="1">
      <c r="A2787" s="1">
        <v>2978.0</v>
      </c>
      <c r="B2787" s="3" t="s">
        <v>2720</v>
      </c>
      <c r="C2787" s="3" t="str">
        <f>IFERROR(__xludf.DUMMYFUNCTION("GOOGLETRANSLATE(B2787,""id"",""en"")"),"['Telkomsel', 'skrg', 'slow', 'jir', 'kek', 'uler', 'keket', 'mna', 'package', 'data', 'trs',' gda ',' improvements', 'PDA', 'moved', 'next door', 'network', 'good', 'data', 'cheap', 'hadeh', 'poor', 'Telkomsel', ""]")</f>
        <v>['Telkomsel', 'skrg', 'slow', 'jir', 'kek', 'uler', 'keket', 'mna', 'package', 'data', 'trs',' gda ',' improvements', 'PDA', 'moved', 'next door', 'network', 'good', 'data', 'cheap', 'hadeh', 'poor', 'Telkomsel', "]</v>
      </c>
      <c r="D2787" s="3">
        <v>2.0</v>
      </c>
    </row>
    <row r="2788" ht="15.75" customHeight="1">
      <c r="A2788" s="1">
        <v>2979.0</v>
      </c>
      <c r="B2788" s="3" t="s">
        <v>2721</v>
      </c>
      <c r="C2788" s="3" t="str">
        <f>IFERROR(__xludf.DUMMYFUNCTION("GOOGLETRANSLATE(B2788,""id"",""en"")"),"['Times', 'Nidak', 'JLS', 'Lamban', 'Application', 'Open', 'Aduuuhh']")</f>
        <v>['Times', 'Nidak', 'JLS', 'Lamban', 'Application', 'Open', 'Aduuuhh']</v>
      </c>
      <c r="D2788" s="3">
        <v>1.0</v>
      </c>
    </row>
    <row r="2789" ht="15.75" customHeight="1">
      <c r="A2789" s="1">
        <v>2980.0</v>
      </c>
      <c r="B2789" s="3" t="s">
        <v>2722</v>
      </c>
      <c r="C2789" s="3" t="str">
        <f>IFERROR(__xludf.DUMMYFUNCTION("GOOGLETRANSLATE(B2789,""id"",""en"")"),"['Muara', 'Jaya', 'Caringin', 'Bogor', 'Gnya', 'Leet']")</f>
        <v>['Muara', 'Jaya', 'Caringin', 'Bogor', 'Gnya', 'Leet']</v>
      </c>
      <c r="D2789" s="3">
        <v>4.0</v>
      </c>
    </row>
    <row r="2790" ht="15.75" customHeight="1">
      <c r="A2790" s="1">
        <v>2981.0</v>
      </c>
      <c r="B2790" s="3" t="s">
        <v>2723</v>
      </c>
      <c r="C2790" s="3" t="str">
        <f>IFERROR(__xludf.DUMMYFUNCTION("GOOGLETRANSLATE(B2790,""id"",""en"")"),"['Signal', 'Good']")</f>
        <v>['Signal', 'Good']</v>
      </c>
      <c r="D2790" s="3">
        <v>5.0</v>
      </c>
    </row>
    <row r="2791" ht="15.75" customHeight="1">
      <c r="A2791" s="1">
        <v>2982.0</v>
      </c>
      <c r="B2791" s="3" t="s">
        <v>2724</v>
      </c>
      <c r="C2791" s="3" t="str">
        <f>IFERROR(__xludf.DUMMYFUNCTION("GOOGLETRANSLATE(B2791,""id"",""en"")"),"['consumer', 'forced', 'buy', 'package', 'expensive', 'cheap', 'deliberate', 'appeared', 'menu', 'buy', 'cheap', 'buy', ' package ',' emergency ',' detrimental ',' consumer ']")</f>
        <v>['consumer', 'forced', 'buy', 'package', 'expensive', 'cheap', 'deliberate', 'appeared', 'menu', 'buy', 'cheap', 'buy', ' package ',' emergency ',' detrimental ',' consumer ']</v>
      </c>
      <c r="D2791" s="3">
        <v>1.0</v>
      </c>
    </row>
    <row r="2792" ht="15.75" customHeight="1">
      <c r="A2792" s="1">
        <v>2983.0</v>
      </c>
      <c r="B2792" s="3" t="s">
        <v>2725</v>
      </c>
      <c r="C2792" s="3" t="str">
        <f>IFERROR(__xludf.DUMMYFUNCTION("GOOGLETRANSLATE(B2792,""id"",""en"")"),"['already', 'buy', 'card', 'Sakti', 'right', 'Package', 'Sakti', 'ilang']")</f>
        <v>['already', 'buy', 'card', 'Sakti', 'right', 'Package', 'Sakti', 'ilang']</v>
      </c>
      <c r="D2792" s="3">
        <v>1.0</v>
      </c>
    </row>
    <row r="2793" ht="15.75" customHeight="1">
      <c r="A2793" s="1">
        <v>2984.0</v>
      </c>
      <c r="B2793" s="3" t="s">
        <v>2726</v>
      </c>
      <c r="C2793" s="3" t="str">
        <f>IFERROR(__xludf.DUMMYFUNCTION("GOOGLETRANSLATE(B2793,""id"",""en"")"),"['application', 'difficult', 'opened', 'signal', 'good', 'open', 'hope', 'repaired', 'version', 'latest', ""]")</f>
        <v>['application', 'difficult', 'opened', 'signal', 'good', 'open', 'hope', 'repaired', 'version', 'latest', "]</v>
      </c>
      <c r="D2793" s="3">
        <v>4.0</v>
      </c>
    </row>
    <row r="2794" ht="15.75" customHeight="1">
      <c r="A2794" s="1">
        <v>2985.0</v>
      </c>
      <c r="B2794" s="3" t="s">
        <v>2727</v>
      </c>
      <c r="C2794" s="3" t="str">
        <f>IFERROR(__xludf.DUMMYFUNCTION("GOOGLETRANSLATE(B2794,""id"",""en"")"),"['Opened', '']")</f>
        <v>['Opened', '']</v>
      </c>
      <c r="D2794" s="3">
        <v>1.0</v>
      </c>
    </row>
    <row r="2795" ht="15.75" customHeight="1">
      <c r="A2795" s="1">
        <v>2987.0</v>
      </c>
      <c r="B2795" s="3" t="s">
        <v>2728</v>
      </c>
      <c r="C2795" s="3" t="str">
        <f>IFERROR(__xludf.DUMMYFUNCTION("GOOGLETRANSLATE(B2795,""id"",""en"")"),"['Kasii', 'star', 'because', 'confused', 'telkom', 'buy', 'quota', 'point', 'network', 'busy', 'please', 'try', ' whyaaa ',' yaa ',' network ',' good ',' please ',' minn ',' help ','a']")</f>
        <v>['Kasii', 'star', 'because', 'confused', 'telkom', 'buy', 'quota', 'point', 'network', 'busy', 'please', 'try', ' whyaaa ',' yaa ',' network ',' good ',' please ',' minn ',' help ','a']</v>
      </c>
      <c r="D2795" s="3">
        <v>3.0</v>
      </c>
    </row>
    <row r="2796" ht="15.75" customHeight="1">
      <c r="A2796" s="1">
        <v>2988.0</v>
      </c>
      <c r="B2796" s="3" t="s">
        <v>2729</v>
      </c>
      <c r="C2796" s="3" t="str">
        <f>IFERROR(__xludf.DUMMYFUNCTION("GOOGLETRANSLATE(B2796,""id"",""en"")"),"['buy', 'data', 'giga', 'rare', 'use', 'krna', 'home', 'wifi', 'right', 'cook', 'a day', ' Giga ',' YouTube ',' wifi ',' home ',' wifi ',' home ',' wifi ',' home ',' cmn ',' wktu ',' dluar ',' cmn ',' hbs' , 'Giga', 'Kyk', 'HRS', 'Switch', 'Provider', '']")</f>
        <v>['buy', 'data', 'giga', 'rare', 'use', 'krna', 'home', 'wifi', 'right', 'cook', 'a day', ' Giga ',' YouTube ',' wifi ',' home ',' wifi ',' home ',' wifi ',' home ',' cmn ',' wktu ',' dluar ',' cmn ',' hbs' , 'Giga', 'Kyk', 'HRS', 'Switch', 'Provider', '']</v>
      </c>
      <c r="D2796" s="3">
        <v>1.0</v>
      </c>
    </row>
    <row r="2797" ht="15.75" customHeight="1">
      <c r="A2797" s="1">
        <v>2989.0</v>
      </c>
      <c r="B2797" s="3" t="s">
        <v>2730</v>
      </c>
      <c r="C2797" s="3" t="str">
        <f>IFERROR(__xludf.DUMMYFUNCTION("GOOGLETRANSLATE(B2797,""id"",""en"")"),"['Promo', 'interesting']")</f>
        <v>['Promo', 'interesting']</v>
      </c>
      <c r="D2797" s="3">
        <v>4.0</v>
      </c>
    </row>
    <row r="2798" ht="15.75" customHeight="1">
      <c r="A2798" s="1">
        <v>2990.0</v>
      </c>
      <c r="B2798" s="3" t="s">
        <v>2731</v>
      </c>
      <c r="C2798" s="3" t="str">
        <f>IFERROR(__xludf.DUMMYFUNCTION("GOOGLETRANSLATE(B2798,""id"",""en"")"),"['easy', 'comfortable']")</f>
        <v>['easy', 'comfortable']</v>
      </c>
      <c r="D2798" s="3">
        <v>5.0</v>
      </c>
    </row>
    <row r="2799" ht="15.75" customHeight="1">
      <c r="A2799" s="1">
        <v>2991.0</v>
      </c>
      <c r="B2799" s="3" t="s">
        <v>2732</v>
      </c>
      <c r="C2799" s="3" t="str">
        <f>IFERROR(__xludf.DUMMYFUNCTION("GOOGLETRANSLATE(B2799,""id"",""en"")"),"['Disappointed', 'Telkomsel', 'The story', 'Gini', 'Credit', 'Transfer', 'Tman', 'Sya', 'After', 'TanSfer', 'Credit', 'Check', ' pulse ',' TPI ',' leftover ',' pulse ',' ask ',' Kostumer ',' Telkomsel ',' work ']")</f>
        <v>['Disappointed', 'Telkomsel', 'The story', 'Gini', 'Credit', 'Transfer', 'Tman', 'Sya', 'After', 'TanSfer', 'Credit', 'Check', ' pulse ',' TPI ',' leftover ',' pulse ',' ask ',' Kostumer ',' Telkomsel ',' work ']</v>
      </c>
      <c r="D2799" s="3">
        <v>1.0</v>
      </c>
    </row>
    <row r="2800" ht="15.75" customHeight="1">
      <c r="A2800" s="1">
        <v>2992.0</v>
      </c>
      <c r="B2800" s="3" t="s">
        <v>2733</v>
      </c>
      <c r="C2800" s="3" t="str">
        <f>IFERROR(__xludf.DUMMYFUNCTION("GOOGLETRANSLATE(B2800,""id"",""en"")"),"['buy', 'quota', 'open', 'strange', 'really', 'application']")</f>
        <v>['buy', 'quota', 'open', 'strange', 'really', 'application']</v>
      </c>
      <c r="D2800" s="3">
        <v>1.0</v>
      </c>
    </row>
    <row r="2801" ht="15.75" customHeight="1">
      <c r="A2801" s="1">
        <v>2993.0</v>
      </c>
      <c r="B2801" s="3" t="s">
        <v>2734</v>
      </c>
      <c r="C2801" s="3" t="str">
        <f>IFERROR(__xludf.DUMMYFUNCTION("GOOGLETRANSLATE(B2801,""id"",""en"")"),"['Telkomsel', 'pig', 'card', 'Dajal', 'ngeleg', 'Severe', 'buy', 'kouta', 'ngeleg', 'severe', 'trauma', 'me', ' Buy ',' Card ',' Telkomsel ',' Dajal ']")</f>
        <v>['Telkomsel', 'pig', 'card', 'Dajal', 'ngeleg', 'Severe', 'buy', 'kouta', 'ngeleg', 'severe', 'trauma', 'me', ' Buy ',' Card ',' Telkomsel ',' Dajal ']</v>
      </c>
      <c r="D2801" s="3">
        <v>1.0</v>
      </c>
    </row>
    <row r="2802" ht="15.75" customHeight="1">
      <c r="A2802" s="1">
        <v>2994.0</v>
      </c>
      <c r="B2802" s="3" t="s">
        <v>2735</v>
      </c>
      <c r="C2802" s="3" t="str">
        <f>IFERROR(__xludf.DUMMYFUNCTION("GOOGLETRANSLATE(B2802,""id"",""en"")"),"['Basic', 'Telkomsel', 'Useful', 'Package', 'Expensive', 'Signal', 'Kayak', 'ugly', ""]")</f>
        <v>['Basic', 'Telkomsel', 'Useful', 'Package', 'Expensive', 'Signal', 'Kayak', 'ugly', "]</v>
      </c>
      <c r="D2802" s="3">
        <v>1.0</v>
      </c>
    </row>
    <row r="2803" ht="15.75" customHeight="1">
      <c r="A2803" s="1">
        <v>2995.0</v>
      </c>
      <c r="B2803" s="3" t="s">
        <v>2736</v>
      </c>
      <c r="C2803" s="3" t="str">
        <f>IFERROR(__xludf.DUMMYFUNCTION("GOOGLETRANSLATE(B2803,""id"",""en"")"),"['like', 'quota', 'run out', 'take', 'credit', 'make', 'quota', 'detrimental', 'turn on', 'data', 'rb', 'suck', ' strange']")</f>
        <v>['like', 'quota', 'run out', 'take', 'credit', 'make', 'quota', 'detrimental', 'turn on', 'data', 'rb', 'suck', ' strange']</v>
      </c>
      <c r="D2803" s="3">
        <v>2.0</v>
      </c>
    </row>
    <row r="2804" ht="15.75" customHeight="1">
      <c r="A2804" s="1">
        <v>2996.0</v>
      </c>
      <c r="B2804" s="3" t="s">
        <v>2737</v>
      </c>
      <c r="C2804" s="3" t="str">
        <f>IFERROR(__xludf.DUMMYFUNCTION("GOOGLETRANSLATE(B2804,""id"",""en"")"),"['Take', 'unlimited', 'youtube', 'brgerak', 'nyh', 'rich', 'leg']")</f>
        <v>['Take', 'unlimited', 'youtube', 'brgerak', 'nyh', 'rich', 'leg']</v>
      </c>
      <c r="D2804" s="3">
        <v>1.0</v>
      </c>
    </row>
    <row r="2805" ht="15.75" customHeight="1">
      <c r="A2805" s="1">
        <v>2997.0</v>
      </c>
      <c r="B2805" s="3" t="s">
        <v>2738</v>
      </c>
      <c r="C2805" s="3" t="str">
        <f>IFERROR(__xludf.DUMMYFUNCTION("GOOGLETRANSLATE(B2805,""id"",""en"")"),"['The application', 'difficult', 'open', '']")</f>
        <v>['The application', 'difficult', 'open', '']</v>
      </c>
      <c r="D2805" s="3">
        <v>1.0</v>
      </c>
    </row>
    <row r="2806" ht="15.75" customHeight="1">
      <c r="A2806" s="1">
        <v>2998.0</v>
      </c>
      <c r="B2806" s="3" t="s">
        <v>2739</v>
      </c>
      <c r="C2806" s="3" t="str">
        <f>IFERROR(__xludf.DUMMYFUNCTION("GOOGLETRANSLATE(B2806,""id"",""en"")"),"['Telkomsel', 'trusted', 'groups', 'community', 'business']")</f>
        <v>['Telkomsel', 'trusted', 'groups', 'community', 'business']</v>
      </c>
      <c r="D2806" s="3">
        <v>4.0</v>
      </c>
    </row>
    <row r="2807" ht="15.75" customHeight="1">
      <c r="A2807" s="1">
        <v>2999.0</v>
      </c>
      <c r="B2807" s="3" t="s">
        <v>2160</v>
      </c>
      <c r="C2807" s="3" t="str">
        <f>IFERROR(__xludf.DUMMYFUNCTION("GOOGLETRANSLATE(B2807,""id"",""en"")"),"['Application', 'Telkomsel', 'Good']")</f>
        <v>['Application', 'Telkomsel', 'Good']</v>
      </c>
      <c r="D2807" s="3">
        <v>5.0</v>
      </c>
    </row>
    <row r="2808" ht="15.75" customHeight="1">
      <c r="A2808" s="1">
        <v>3000.0</v>
      </c>
      <c r="B2808" s="3" t="s">
        <v>2740</v>
      </c>
      <c r="C2808" s="3" t="str">
        <f>IFERROR(__xludf.DUMMYFUNCTION("GOOGLETRANSLATE(B2808,""id"",""en"")"),"['', 'application', 'package', 'internet', 'expensive', 'application', 'person', 'Telkomsel', 'cheap', 'beg', 'follow', 'continued', "" ]")</f>
        <v>['', 'application', 'package', 'internet', 'expensive', 'application', 'person', 'Telkomsel', 'cheap', 'beg', 'follow', 'continued', " ]</v>
      </c>
      <c r="D2808" s="3">
        <v>5.0</v>
      </c>
    </row>
    <row r="2809" ht="15.75" customHeight="1">
      <c r="A2809" s="1">
        <v>3001.0</v>
      </c>
      <c r="B2809" s="3" t="s">
        <v>2741</v>
      </c>
      <c r="C2809" s="3" t="str">
        <f>IFERROR(__xludf.DUMMYFUNCTION("GOOGLETRANSLATE(B2809,""id"",""en"")"),"['package', 'before', 'cheap', 'khok', 'expensive', '']")</f>
        <v>['package', 'before', 'cheap', 'khok', 'expensive', '']</v>
      </c>
      <c r="D2809" s="3">
        <v>5.0</v>
      </c>
    </row>
    <row r="2810" ht="15.75" customHeight="1">
      <c r="A2810" s="1">
        <v>3002.0</v>
      </c>
      <c r="B2810" s="3" t="s">
        <v>2742</v>
      </c>
      <c r="C2810" s="3" t="str">
        <f>IFERROR(__xludf.DUMMYFUNCTION("GOOGLETRANSLATE(B2810,""id"",""en"")"),"['good', 'dech', 'bnyk', 'benefits', 'can', 'dri', 'application', 'easy', 'krna', 'description', 'bgd', ""]")</f>
        <v>['good', 'dech', 'bnyk', 'benefits', 'can', 'dri', 'application', 'easy', 'krna', 'description', 'bgd', "]</v>
      </c>
      <c r="D2810" s="3">
        <v>5.0</v>
      </c>
    </row>
    <row r="2811" ht="15.75" customHeight="1">
      <c r="A2811" s="1">
        <v>3003.0</v>
      </c>
      <c r="B2811" s="3" t="s">
        <v>2743</v>
      </c>
      <c r="C2811" s="3" t="str">
        <f>IFERROR(__xludf.DUMMYFUNCTION("GOOGLETRANSLATE(B2811,""id"",""en"")"),"['The network', 'Where']")</f>
        <v>['The network', 'Where']</v>
      </c>
      <c r="D2811" s="3">
        <v>4.0</v>
      </c>
    </row>
    <row r="2812" ht="15.75" customHeight="1">
      <c r="A2812" s="1">
        <v>3004.0</v>
      </c>
      <c r="B2812" s="3" t="s">
        <v>2744</v>
      </c>
      <c r="C2812" s="3" t="str">
        <f>IFERROR(__xludf.DUMMYFUNCTION("GOOGLETRANSLATE(B2812,""id"",""en"")"),"['Not', 'Gud', 'Sinyal', 'Severe', 'Rain']")</f>
        <v>['Not', 'Gud', 'Sinyal', 'Severe', 'Rain']</v>
      </c>
      <c r="D2812" s="3">
        <v>2.0</v>
      </c>
    </row>
    <row r="2813" ht="15.75" customHeight="1">
      <c r="A2813" s="1">
        <v>3005.0</v>
      </c>
      <c r="B2813" s="3" t="s">
        <v>2745</v>
      </c>
      <c r="C2813" s="3" t="str">
        <f>IFERROR(__xludf.DUMMYFUNCTION("GOOGLETRANSLATE(B2813,""id"",""en"")"),"['php', 'pulse', 'rb']")</f>
        <v>['php', 'pulse', 'rb']</v>
      </c>
      <c r="D2813" s="3">
        <v>1.0</v>
      </c>
    </row>
    <row r="2814" ht="15.75" customHeight="1">
      <c r="A2814" s="1">
        <v>3006.0</v>
      </c>
      <c r="B2814" s="3" t="s">
        <v>2746</v>
      </c>
      <c r="C2814" s="3" t="str">
        <f>IFERROR(__xludf.DUMMYFUNCTION("GOOGLETRANSLATE(B2814,""id"",""en"")"),"['APK', 'open', 'smooth']")</f>
        <v>['APK', 'open', 'smooth']</v>
      </c>
      <c r="D2814" s="3">
        <v>1.0</v>
      </c>
    </row>
    <row r="2815" ht="15.75" customHeight="1">
      <c r="A2815" s="1">
        <v>3007.0</v>
      </c>
      <c r="B2815" s="3" t="s">
        <v>2747</v>
      </c>
      <c r="C2815" s="3" t="str">
        <f>IFERROR(__xludf.DUMMYFUNCTION("GOOGLETRANSLATE(B2815,""id"",""en"")"),"['Telkomsel', 'stable', 'on', 'network', 'plus',' package ',' my computer ',' expensive ',' expensive ',' smp ',' use ',' Telkomsel ',' Please ',' Fix ',' Reduce ',' Price ',' Kouta ',' internet ',' ']")</f>
        <v>['Telkomsel', 'stable', 'on', 'network', 'plus',' package ',' my computer ',' expensive ',' expensive ',' smp ',' use ',' Telkomsel ',' Please ',' Fix ',' Reduce ',' Price ',' Kouta ',' internet ',' ']</v>
      </c>
      <c r="D2815" s="3">
        <v>3.0</v>
      </c>
    </row>
    <row r="2816" ht="15.75" customHeight="1">
      <c r="A2816" s="1">
        <v>3008.0</v>
      </c>
      <c r="B2816" s="3" t="s">
        <v>2748</v>
      </c>
      <c r="C2816" s="3" t="str">
        <f>IFERROR(__xludf.DUMMYFUNCTION("GOOGLETRANSLATE(B2816,""id"",""en"")"),"['Try', 'Update', 'MyTelkomsel', 'Login', 'Screen', 'Direct', 'Full', 'White', 'Direct', 'Error', 'Change', 'Application', ' Please 'repair']")</f>
        <v>['Try', 'Update', 'MyTelkomsel', 'Login', 'Screen', 'Direct', 'Full', 'White', 'Direct', 'Error', 'Change', 'Application', ' Please 'repair']</v>
      </c>
      <c r="D2816" s="3">
        <v>1.0</v>
      </c>
    </row>
    <row r="2817" ht="15.75" customHeight="1">
      <c r="A2817" s="1">
        <v>3009.0</v>
      </c>
      <c r="B2817" s="3" t="s">
        <v>2749</v>
      </c>
      <c r="C2817" s="3" t="str">
        <f>IFERROR(__xludf.DUMMYFUNCTION("GOOGLETRANSLATE(B2817,""id"",""en"")"),"['Region', 'City', 'advanced', 'BNYK', 'residents',' quality ',' network ',' internetny ',' bad ',' Ntah ',' because ',' Ngerni ',' network']")</f>
        <v>['Region', 'City', 'advanced', 'BNYK', 'residents',' quality ',' network ',' internetny ',' bad ',' Ntah ',' because ',' Ngerni ',' network']</v>
      </c>
      <c r="D2817" s="3">
        <v>1.0</v>
      </c>
    </row>
    <row r="2818" ht="15.75" customHeight="1">
      <c r="A2818" s="1">
        <v>3010.0</v>
      </c>
      <c r="B2818" s="3" t="s">
        <v>2750</v>
      </c>
      <c r="C2818" s="3" t="str">
        <f>IFERROR(__xludf.DUMMYFUNCTION("GOOGLETRANSLATE(B2818,""id"",""en"")"),"['Good', 'help', ""]")</f>
        <v>['Good', 'help', "]</v>
      </c>
      <c r="D2818" s="3">
        <v>5.0</v>
      </c>
    </row>
    <row r="2819" ht="15.75" customHeight="1">
      <c r="A2819" s="1">
        <v>3011.0</v>
      </c>
      <c r="B2819" s="3" t="s">
        <v>2751</v>
      </c>
      <c r="C2819" s="3" t="str">
        <f>IFERROR(__xludf.DUMMYFUNCTION("GOOGLETRANSLATE(B2819,""id"",""en"")"),"['Knpa', 'after', 'update', 'opened', 'Wooy']")</f>
        <v>['Knpa', 'after', 'update', 'opened', 'Wooy']</v>
      </c>
      <c r="D2819" s="3">
        <v>1.0</v>
      </c>
    </row>
    <row r="2820" ht="15.75" customHeight="1">
      <c r="A2820" s="1">
        <v>3012.0</v>
      </c>
      <c r="B2820" s="3" t="s">
        <v>2752</v>
      </c>
      <c r="C2820" s="3" t="str">
        <f>IFERROR(__xludf.DUMMYFUNCTION("GOOGLETRANSLATE(B2820,""id"",""en"")"),"['', 'version', 'good', 'fast', 'access', 'update', 'open', 'the application']")</f>
        <v>['', 'version', 'good', 'fast', 'access', 'update', 'open', 'the application']</v>
      </c>
      <c r="D2820" s="3">
        <v>1.0</v>
      </c>
    </row>
    <row r="2821" ht="15.75" customHeight="1">
      <c r="A2821" s="1">
        <v>3013.0</v>
      </c>
      <c r="B2821" s="3" t="s">
        <v>2753</v>
      </c>
      <c r="C2821" s="3" t="str">
        <f>IFERROR(__xludf.DUMMYFUNCTION("GOOGLETRANSLATE(B2821,""id"",""en"")"),"['Help', 'makes it easy', 'mantappp']")</f>
        <v>['Help', 'makes it easy', 'mantappp']</v>
      </c>
      <c r="D2821" s="3">
        <v>5.0</v>
      </c>
    </row>
    <row r="2822" ht="15.75" customHeight="1">
      <c r="A2822" s="1">
        <v>3014.0</v>
      </c>
      <c r="B2822" s="3" t="s">
        <v>2754</v>
      </c>
      <c r="C2822" s="3" t="str">
        <f>IFERROR(__xludf.DUMMYFUNCTION("GOOGLETRANSLATE(B2822,""id"",""en"")"),"['', 'Sis',' ask ',' Knp ',' Sis', 'Telkomsel', 'Open', 'account', 'Login', 'Please', 'Sis',' Telkomsel ',' repair ',' Sis']")</f>
        <v>['', 'Sis',' ask ',' Knp ',' Sis', 'Telkomsel', 'Open', 'account', 'Login', 'Please', 'Sis',' Telkomsel ',' repair ',' Sis']</v>
      </c>
      <c r="D2822" s="3">
        <v>1.0</v>
      </c>
    </row>
    <row r="2823" ht="15.75" customHeight="1">
      <c r="A2823" s="1">
        <v>3015.0</v>
      </c>
      <c r="B2823" s="3" t="s">
        <v>2755</v>
      </c>
      <c r="C2823" s="3" t="str">
        <f>IFERROR(__xludf.DUMMYFUNCTION("GOOGLETRANSLATE(B2823,""id"",""en"")"),"['The application', 'open', 'dontooooool']")</f>
        <v>['The application', 'open', 'dontooooool']</v>
      </c>
      <c r="D2823" s="3">
        <v>1.0</v>
      </c>
    </row>
    <row r="2824" ht="15.75" customHeight="1">
      <c r="A2824" s="1">
        <v>3016.0</v>
      </c>
      <c r="B2824" s="3" t="s">
        <v>2756</v>
      </c>
      <c r="C2824" s="3" t="str">
        <f>IFERROR(__xludf.DUMMYFUNCTION("GOOGLETRANSLATE(B2824,""id"",""en"")"),"['HRUS', 'lbih', 'hrpn', 'sya', 'jringn']")</f>
        <v>['HRUS', 'lbih', 'hrpn', 'sya', 'jringn']</v>
      </c>
      <c r="D2824" s="3">
        <v>5.0</v>
      </c>
    </row>
    <row r="2825" ht="15.75" customHeight="1">
      <c r="A2825" s="1">
        <v>3017.0</v>
      </c>
      <c r="B2825" s="3" t="s">
        <v>2757</v>
      </c>
      <c r="C2825" s="3" t="str">
        <f>IFERROR(__xludf.DUMMYFUNCTION("GOOGLETRANSLATE(B2825,""id"",""en"")"),"['Out', 'updated', 'opened', 'The application', '']")</f>
        <v>['Out', 'updated', 'opened', 'The application', '']</v>
      </c>
      <c r="D2825" s="3">
        <v>1.0</v>
      </c>
    </row>
    <row r="2826" ht="15.75" customHeight="1">
      <c r="A2826" s="1">
        <v>3018.0</v>
      </c>
      <c r="B2826" s="3" t="s">
        <v>2758</v>
      </c>
      <c r="C2826" s="3" t="str">
        <f>IFERROR(__xludf.DUMMYFUNCTION("GOOGLETRANSLATE(B2826,""id"",""en"")"),"['signal', 'idiot', 'price', 'expensive', 'pulse', 'chick', 'service', '']")</f>
        <v>['signal', 'idiot', 'price', 'expensive', 'pulse', 'chick', 'service', '']</v>
      </c>
      <c r="D2826" s="3">
        <v>1.0</v>
      </c>
    </row>
    <row r="2827" ht="15.75" customHeight="1">
      <c r="A2827" s="1">
        <v>3019.0</v>
      </c>
      <c r="B2827" s="3" t="s">
        <v>2759</v>
      </c>
      <c r="C2827" s="3" t="str">
        <f>IFERROR(__xludf.DUMMYFUNCTION("GOOGLETRANSLATE(B2827,""id"",""en"")"),"['Telkomsel', 'good', 'APL', 'smooth', 'internet', 'smooth', '']")</f>
        <v>['Telkomsel', 'good', 'APL', 'smooth', 'internet', 'smooth', '']</v>
      </c>
      <c r="D2827" s="3">
        <v>5.0</v>
      </c>
    </row>
    <row r="2828" ht="15.75" customHeight="1">
      <c r="A2828" s="1">
        <v>3020.0</v>
      </c>
      <c r="B2828" s="3" t="s">
        <v>2760</v>
      </c>
      <c r="C2828" s="3" t="str">
        <f>IFERROR(__xludf.DUMMYFUNCTION("GOOGLETRANSLATE(B2828,""id"",""en"")"),"['Signal', 'Telkomsel']")</f>
        <v>['Signal', 'Telkomsel']</v>
      </c>
      <c r="D2828" s="3">
        <v>1.0</v>
      </c>
    </row>
    <row r="2829" ht="15.75" customHeight="1">
      <c r="A2829" s="1">
        <v>3021.0</v>
      </c>
      <c r="B2829" s="3" t="s">
        <v>2761</v>
      </c>
      <c r="C2829" s="3" t="str">
        <f>IFERROR(__xludf.DUMMYFUNCTION("GOOGLETRANSLATE(B2829,""id"",""en"")"),"['Disappointed', 'Application', 'Sudden', 'Opened', 'Diaplud', 'Opened']")</f>
        <v>['Disappointed', 'Application', 'Sudden', 'Opened', 'Diaplud', 'Opened']</v>
      </c>
      <c r="D2829" s="3">
        <v>1.0</v>
      </c>
    </row>
    <row r="2830" ht="15.75" customHeight="1">
      <c r="A2830" s="1">
        <v>3022.0</v>
      </c>
      <c r="B2830" s="3" t="s">
        <v>2762</v>
      </c>
      <c r="C2830" s="3" t="str">
        <f>IFERROR(__xludf.DUMMYFUNCTION("GOOGLETRANSLATE(B2830,""id"",""en"")"),"['', 'Knp', 'Open']")</f>
        <v>['', 'Knp', 'Open']</v>
      </c>
      <c r="D2830" s="3">
        <v>1.0</v>
      </c>
    </row>
    <row r="2831" ht="15.75" customHeight="1">
      <c r="A2831" s="1">
        <v>3023.0</v>
      </c>
      <c r="B2831" s="3" t="s">
        <v>2763</v>
      </c>
      <c r="C2831" s="3" t="str">
        <f>IFERROR(__xludf.DUMMYFUNCTION("GOOGLETRANSLATE(B2831,""id"",""en"")"),"['version', 'app', 'slow', 'open', 'srangan', 'kouta']")</f>
        <v>['version', 'app', 'slow', 'open', 'srangan', 'kouta']</v>
      </c>
      <c r="D2831" s="3">
        <v>1.0</v>
      </c>
    </row>
    <row r="2832" ht="15.75" customHeight="1">
      <c r="A2832" s="1">
        <v>3024.0</v>
      </c>
      <c r="B2832" s="3" t="s">
        <v>2764</v>
      </c>
      <c r="C2832" s="3" t="str">
        <f>IFERROR(__xludf.DUMMYFUNCTION("GOOGLETRANSLATE(B2832,""id"",""en"")"),"['permission', 'help', 'colleague', 'users',' Telkomsel ',' disorder ',' screen ',' blank ',' white ',' open ',' application ',' suggestion ',' Contact ',' Telkomsel ',' via ',' email ',' complaints', 'reply', 'email', 'do', 'installation', 'application',"&amp;" 'Telkomsel', 'see', 'blsn' , 'Email', 'TSBT', 'Do', 'Success',' In the future ',' Update ',' Application ',' Telkomsel ',' Play ',' Store ',' Hopefully ',' Help ',' colleague ',' thank you ']")</f>
        <v>['permission', 'help', 'colleague', 'users',' Telkomsel ',' disorder ',' screen ',' blank ',' white ',' open ',' application ',' suggestion ',' Contact ',' Telkomsel ',' via ',' email ',' complaints', 'reply', 'email', 'do', 'installation', 'application', 'Telkomsel', 'see', 'blsn' , 'Email', 'TSBT', 'Do', 'Success',' In the future ',' Update ',' Application ',' Telkomsel ',' Play ',' Store ',' Hopefully ',' Help ',' colleague ',' thank you ']</v>
      </c>
      <c r="D2832" s="3">
        <v>5.0</v>
      </c>
    </row>
    <row r="2833" ht="15.75" customHeight="1">
      <c r="A2833" s="1">
        <v>3025.0</v>
      </c>
      <c r="B2833" s="3" t="s">
        <v>2765</v>
      </c>
      <c r="C2833" s="3" t="str">
        <f>IFERROR(__xludf.DUMMYFUNCTION("GOOGLETRANSLATE(B2833,""id"",""en"")"),"['dlu', '']")</f>
        <v>['dlu', '']</v>
      </c>
      <c r="D2833" s="3">
        <v>3.0</v>
      </c>
    </row>
    <row r="2834" ht="15.75" customHeight="1">
      <c r="A2834" s="1">
        <v>3026.0</v>
      </c>
      <c r="B2834" s="3" t="s">
        <v>2766</v>
      </c>
      <c r="C2834" s="3" t="str">
        <f>IFERROR(__xludf.DUMMYFUNCTION("GOOGLETRANSLATE(B2834,""id"",""en"")"),"['My Points', 'Lost', 'Price', 'Expensive', 'Quality', 'AXIS']")</f>
        <v>['My Points', 'Lost', 'Price', 'Expensive', 'Quality', 'AXIS']</v>
      </c>
      <c r="D2834" s="3">
        <v>1.0</v>
      </c>
    </row>
    <row r="2835" ht="15.75" customHeight="1">
      <c r="A2835" s="1">
        <v>3028.0</v>
      </c>
      <c r="B2835" s="3" t="s">
        <v>2767</v>
      </c>
      <c r="C2835" s="3" t="str">
        <f>IFERROR(__xludf.DUMMYFUNCTION("GOOGLETRANSLATE(B2835,""id"",""en"")"),"['application', 'open', 'screen', 'colored', 'white', 'mulu']")</f>
        <v>['application', 'open', 'screen', 'colored', 'white', 'mulu']</v>
      </c>
      <c r="D2835" s="3">
        <v>1.0</v>
      </c>
    </row>
    <row r="2836" ht="15.75" customHeight="1">
      <c r="A2836" s="1">
        <v>3029.0</v>
      </c>
      <c r="B2836" s="3" t="s">
        <v>2768</v>
      </c>
      <c r="C2836" s="3" t="str">
        <f>IFERROR(__xludf.DUMMYFUNCTION("GOOGLETRANSLATE(B2836,""id"",""en"")"),"['crazy', 'application', 'times',' buy ',' package ',' data ',' ovo ',' sumps', 'package', 'data', 'enter', 'application', ' Rich ',' Maling ']")</f>
        <v>['crazy', 'application', 'times',' buy ',' package ',' data ',' ovo ',' sumps', 'package', 'data', 'enter', 'application', ' Rich ',' Maling ']</v>
      </c>
      <c r="D2836" s="3">
        <v>1.0</v>
      </c>
    </row>
    <row r="2837" ht="15.75" customHeight="1">
      <c r="A2837" s="1">
        <v>3030.0</v>
      </c>
      <c r="B2837" s="3" t="s">
        <v>2769</v>
      </c>
      <c r="C2837" s="3" t="str">
        <f>IFERROR(__xludf.DUMMYFUNCTION("GOOGLETRANSLATE(B2837,""id"",""en"")"),"['Please', 'lbih', 'level', 'quality', 'dead', 'lights']")</f>
        <v>['Please', 'lbih', 'level', 'quality', 'dead', 'lights']</v>
      </c>
      <c r="D2837" s="3">
        <v>3.0</v>
      </c>
    </row>
    <row r="2838" ht="15.75" customHeight="1">
      <c r="A2838" s="1">
        <v>3031.0</v>
      </c>
      <c r="B2838" s="3" t="s">
        <v>2770</v>
      </c>
      <c r="C2838" s="3" t="str">
        <f>IFERROR(__xludf.DUMMYFUNCTION("GOOGLETRANSLATE(B2838,""id"",""en"")"),"['Simple', 'help', ""]")</f>
        <v>['Simple', 'help', "]</v>
      </c>
      <c r="D2838" s="3">
        <v>5.0</v>
      </c>
    </row>
    <row r="2839" ht="15.75" customHeight="1">
      <c r="A2839" s="1">
        <v>3032.0</v>
      </c>
      <c r="B2839" s="3" t="s">
        <v>2771</v>
      </c>
      <c r="C2839" s="3" t="str">
        <f>IFERROR(__xludf.DUMMYFUNCTION("GOOGLETRANSLATE(B2839,""id"",""en"")"),"['application', 'useful', 'help', 'mantaaap', '']")</f>
        <v>['application', 'useful', 'help', 'mantaaap', '']</v>
      </c>
      <c r="D2839" s="3">
        <v>5.0</v>
      </c>
    </row>
    <row r="2840" ht="15.75" customHeight="1">
      <c r="A2840" s="1">
        <v>3033.0</v>
      </c>
      <c r="B2840" s="3" t="s">
        <v>2772</v>
      </c>
      <c r="C2840" s="3" t="str">
        <f>IFERROR(__xludf.DUMMYFUNCTION("GOOGLETRANSLATE(B2840,""id"",""en"")"),"['signal', 'skrng', 'ugly', 'really', 'already', 'mah', 'package', 'expensive']")</f>
        <v>['signal', 'skrng', 'ugly', 'really', 'already', 'mah', 'package', 'expensive']</v>
      </c>
      <c r="D2840" s="3">
        <v>1.0</v>
      </c>
    </row>
    <row r="2841" ht="15.75" customHeight="1">
      <c r="A2841" s="1">
        <v>3034.0</v>
      </c>
      <c r="B2841" s="3" t="s">
        <v>2773</v>
      </c>
      <c r="C2841" s="3" t="str">
        <f>IFERROR(__xludf.DUMMYFUNCTION("GOOGLETRANSLATE(B2841,""id"",""en"")"),"['', 'good', 'open', 'parahhh', 'lbh', 'mlh']")</f>
        <v>['', 'good', 'open', 'parahhh', 'lbh', 'mlh']</v>
      </c>
      <c r="D2841" s="3">
        <v>1.0</v>
      </c>
    </row>
    <row r="2842" ht="15.75" customHeight="1">
      <c r="A2842" s="1">
        <v>3035.0</v>
      </c>
      <c r="B2842" s="3" t="s">
        <v>2774</v>
      </c>
      <c r="C2842" s="3" t="str">
        <f>IFERROR(__xludf.DUMMYFUNCTION("GOOGLETRANSLATE(B2842,""id"",""en"")"),"['package', 'internet', 'expensive', 'quality', 'network', 'kayak', 'provider', 'alay', 'the reason', 'bitten', 'shark', 'bitten', ' pliosaurs', 'bngt', 'disorder', 'repeat', 'dislodial', 'division', 'related', 'replace', 'lbh', '']")</f>
        <v>['package', 'internet', 'expensive', 'quality', 'network', 'kayak', 'provider', 'alay', 'the reason', 'bitten', 'shark', 'bitten', ' pliosaurs', 'bngt', 'disorder', 'repeat', 'dislodial', 'division', 'related', 'replace', 'lbh', '']</v>
      </c>
      <c r="D2842" s="3">
        <v>1.0</v>
      </c>
    </row>
    <row r="2843" ht="15.75" customHeight="1">
      <c r="A2843" s="1">
        <v>3037.0</v>
      </c>
      <c r="B2843" s="3" t="s">
        <v>2775</v>
      </c>
      <c r="C2843" s="3" t="str">
        <f>IFERROR(__xludf.DUMMYFUNCTION("GOOGLETRANSLATE(B2843,""id"",""en"")"),"['', 'DPT', 'SMS', 'Promo', 'Telkomsel', 'SMS', 'Credit', 'Telkomsel', 'thousand', 'Download', 'Login', 'Application', 'Tsel ',' Tsel ',' Mel ',' Download ',' get ',' pulses', 'promo', 'des',' download ',' pulses', 'can', 'pulse', 'pulses', 'Update', 'Tel"&amp;"komsel', 'Kota', 'Kite', 'Salok', 'Severe', ""]")</f>
        <v>['', 'DPT', 'SMS', 'Promo', 'Telkomsel', 'SMS', 'Credit', 'Telkomsel', 'thousand', 'Download', 'Login', 'Application', 'Tsel ',' Tsel ',' Mel ',' Download ',' get ',' pulses', 'promo', 'des',' download ',' pulses', 'can', 'pulse', 'pulses', 'Update', 'Telkomsel', 'Kota', 'Kite', 'Salok', 'Severe', "]</v>
      </c>
      <c r="D2843" s="3">
        <v>1.0</v>
      </c>
    </row>
    <row r="2844" ht="15.75" customHeight="1">
      <c r="A2844" s="1">
        <v>3038.0</v>
      </c>
      <c r="B2844" s="3" t="s">
        <v>2776</v>
      </c>
      <c r="C2844" s="3" t="str">
        <f>IFERROR(__xludf.DUMMYFUNCTION("GOOGLETRANSLATE(B2844,""id"",""en"")"),"['Woyyyyy', 'cave', 'unlimited', 'quota', 'drained', 'quota', 'main', 'cave', 'telkomsel', 'system', 'bey', 'really', ' Loss', 'how', 'emg', 'gamau', 'loss',' gausah ',' adin ',' package ',' unlimited ']")</f>
        <v>['Woyyyyy', 'cave', 'unlimited', 'quota', 'drained', 'quota', 'main', 'cave', 'telkomsel', 'system', 'bey', 'really', ' Loss', 'how', 'emg', 'gamau', 'loss',' gausah ',' adin ',' package ',' unlimited ']</v>
      </c>
      <c r="D2844" s="3">
        <v>1.0</v>
      </c>
    </row>
    <row r="2845" ht="15.75" customHeight="1">
      <c r="A2845" s="1">
        <v>3039.0</v>
      </c>
      <c r="B2845" s="3" t="s">
        <v>2777</v>
      </c>
      <c r="C2845" s="3" t="str">
        <f>IFERROR(__xludf.DUMMYFUNCTION("GOOGLETRANSLATE(B2845,""id"",""en"")"),"['operator', 'Telkomsel', 'service', 'bad', 'price', 'package', 'expensive', 'then', 'feature', 'key', 'pulse', 'run out', ' quota ',' internet ',' pulse ',' regular ',' cut out ',' run out ',' please ',' present ',' feature ',' operator ',' diberah ',' n"&amp;"etwork ',' use ' , 'Telkomsel', 'Thank you', ""]")</f>
        <v>['operator', 'Telkomsel', 'service', 'bad', 'price', 'package', 'expensive', 'then', 'feature', 'key', 'pulse', 'run out', ' quota ',' internet ',' pulse ',' regular ',' cut out ',' run out ',' please ',' present ',' feature ',' operator ',' diberah ',' network ',' use ' , 'Telkomsel', 'Thank you', "]</v>
      </c>
      <c r="D2845" s="3">
        <v>1.0</v>
      </c>
    </row>
    <row r="2846" ht="15.75" customHeight="1">
      <c r="A2846" s="1">
        <v>3040.0</v>
      </c>
      <c r="B2846" s="3" t="s">
        <v>2778</v>
      </c>
      <c r="C2846" s="3" t="str">
        <f>IFERROR(__xludf.DUMMYFUNCTION("GOOGLETRANSLATE(B2846,""id"",""en"")"),"['Application', 'Telkomsel', 'opened', 'Install', 'reset', ""]")</f>
        <v>['Application', 'Telkomsel', 'opened', 'Install', 'reset', "]</v>
      </c>
      <c r="D2846" s="3">
        <v>1.0</v>
      </c>
    </row>
    <row r="2847" ht="15.75" customHeight="1">
      <c r="A2847" s="1">
        <v>3041.0</v>
      </c>
      <c r="B2847" s="3" t="s">
        <v>2779</v>
      </c>
      <c r="C2847" s="3" t="str">
        <f>IFERROR(__xludf.DUMMYFUNCTION("GOOGLETRANSLATE(B2847,""id"",""en"")"),"['Come on', 'get', 'pulses', 'JT', 'already', 'Exchange', 'Points', 'TTEP', 'Get', '']")</f>
        <v>['Come on', 'get', 'pulses', 'JT', 'already', 'Exchange', 'Points', 'TTEP', 'Get', '']</v>
      </c>
      <c r="D2847" s="3">
        <v>3.0</v>
      </c>
    </row>
    <row r="2848" ht="15.75" customHeight="1">
      <c r="A2848" s="1">
        <v>3042.0</v>
      </c>
      <c r="B2848" s="3" t="s">
        <v>2780</v>
      </c>
      <c r="C2848" s="3" t="str">
        <f>IFERROR(__xludf.DUMMYFUNCTION("GOOGLETRANSLATE(B2848,""id"",""en"")"),"['YTH', 'Telkomsel', 'complain', 'Telkomsel', 'Your Network', 'Fast', 'Wear', 'Telkomsel', 'Network', 'Bad', 'Out', 'Think', ' price ',' package ',' led ',' late ',' little ',' fill in ',' package ',' pulse ',' run out ',' sumps', 'wrong', 'company', 'nex"&amp;"t door' , 'emang', 'fix', '']")</f>
        <v>['YTH', 'Telkomsel', 'complain', 'Telkomsel', 'Your Network', 'Fast', 'Wear', 'Telkomsel', 'Network', 'Bad', 'Out', 'Think', ' price ',' package ',' led ',' late ',' little ',' fill in ',' package ',' pulse ',' run out ',' sumps', 'wrong', 'company', 'next door' , 'emang', 'fix', '']</v>
      </c>
      <c r="D2848" s="3">
        <v>1.0</v>
      </c>
    </row>
    <row r="2849" ht="15.75" customHeight="1">
      <c r="A2849" s="1">
        <v>3043.0</v>
      </c>
      <c r="B2849" s="3" t="s">
        <v>2781</v>
      </c>
      <c r="C2849" s="3" t="str">
        <f>IFERROR(__xludf.DUMMYFUNCTION("GOOGLETRANSLATE(B2849,""id"",""en"")"),"['I', 'MAH', 'confused', 'Telkomsel', 'application', 'slow', 'signal', 'slow', 'expensive', 'survive', 'contact']")</f>
        <v>['I', 'MAH', 'confused', 'Telkomsel', 'application', 'slow', 'signal', 'slow', 'expensive', 'survive', 'contact']</v>
      </c>
      <c r="D2849" s="3">
        <v>1.0</v>
      </c>
    </row>
    <row r="2850" ht="15.75" customHeight="1">
      <c r="A2850" s="1">
        <v>3044.0</v>
      </c>
      <c r="B2850" s="3" t="s">
        <v>2782</v>
      </c>
      <c r="C2850" s="3" t="str">
        <f>IFERROR(__xludf.DUMMYFUNCTION("GOOGLETRANSLATE(B2850,""id"",""en"")"),"['Disappointed', 'APK', 'Good', 'Lady', 'updet', 'mlh', 'no', 'open', 'knp', 'please', 'upstruing']")</f>
        <v>['Disappointed', 'APK', 'Good', 'Lady', 'updet', 'mlh', 'no', 'open', 'knp', 'please', 'upstruing']</v>
      </c>
      <c r="D2850" s="3">
        <v>1.0</v>
      </c>
    </row>
    <row r="2851" ht="15.75" customHeight="1">
      <c r="A2851" s="1">
        <v>3045.0</v>
      </c>
      <c r="B2851" s="3" t="s">
        <v>2783</v>
      </c>
      <c r="C2851" s="3" t="str">
        <f>IFERROR(__xludf.DUMMYFUNCTION("GOOGLETRANSLATE(B2851,""id"",""en"")"),"['bad', 'severe', 'package', 'expensive', 'signal', 'bad', 'loss']")</f>
        <v>['bad', 'severe', 'package', 'expensive', 'signal', 'bad', 'loss']</v>
      </c>
      <c r="D2851" s="3">
        <v>1.0</v>
      </c>
    </row>
    <row r="2852" ht="15.75" customHeight="1">
      <c r="A2852" s="1">
        <v>3046.0</v>
      </c>
      <c r="B2852" s="3" t="s">
        <v>1167</v>
      </c>
      <c r="C2852" s="3" t="str">
        <f>IFERROR(__xludf.DUMMYFUNCTION("GOOGLETRANSLATE(B2852,""id"",""en"")"),"['help']")</f>
        <v>['help']</v>
      </c>
      <c r="D2852" s="3">
        <v>4.0</v>
      </c>
    </row>
    <row r="2853" ht="15.75" customHeight="1">
      <c r="A2853" s="1">
        <v>3047.0</v>
      </c>
      <c r="B2853" s="3" t="s">
        <v>2784</v>
      </c>
      <c r="C2853" s="3" t="str">
        <f>IFERROR(__xludf.DUMMYFUNCTION("GOOGLETRANSLATE(B2853,""id"",""en"")"),"['Glad', 'Purchase', 'Credit', 'Slalu', 'Points', 'Lansung', 'exchanged', '']")</f>
        <v>['Glad', 'Purchase', 'Credit', 'Slalu', 'Points', 'Lansung', 'exchanged', '']</v>
      </c>
      <c r="D2853" s="3">
        <v>5.0</v>
      </c>
    </row>
    <row r="2854" ht="15.75" customHeight="1">
      <c r="A2854" s="1">
        <v>3048.0</v>
      </c>
      <c r="B2854" s="3" t="s">
        <v>2785</v>
      </c>
      <c r="C2854" s="3" t="str">
        <f>IFERROR(__xludf.DUMMYFUNCTION("GOOGLETRANSLATE(B2854,""id"",""en"")"),"['Mendelek', 'Buy', 'Package']")</f>
        <v>['Mendelek', 'Buy', 'Package']</v>
      </c>
      <c r="D2854" s="3">
        <v>5.0</v>
      </c>
    </row>
    <row r="2855" ht="15.75" customHeight="1">
      <c r="A2855" s="1">
        <v>3049.0</v>
      </c>
      <c r="B2855" s="3" t="s">
        <v>2786</v>
      </c>
      <c r="C2855" s="3" t="str">
        <f>IFERROR(__xludf.DUMMYFUNCTION("GOOGLETRANSLATE(B2855,""id"",""en"")"),"['Signal', 'good', 'just', 'price', 'package', '']")</f>
        <v>['Signal', 'good', 'just', 'price', 'package', '']</v>
      </c>
      <c r="D2855" s="3">
        <v>4.0</v>
      </c>
    </row>
    <row r="2856" ht="15.75" customHeight="1">
      <c r="A2856" s="1">
        <v>3050.0</v>
      </c>
      <c r="B2856" s="3" t="s">
        <v>2787</v>
      </c>
      <c r="C2856" s="3" t="str">
        <f>IFERROR(__xludf.DUMMYFUNCTION("GOOGLETRANSLATE(B2856,""id"",""en"")"),"['Please', 'The network', 'Fix', 'Buy', 'Package', 'Credit', 'Network', 'Good']")</f>
        <v>['Please', 'The network', 'Fix', 'Buy', 'Package', 'Credit', 'Network', 'Good']</v>
      </c>
      <c r="D2856" s="3">
        <v>1.0</v>
      </c>
    </row>
    <row r="2857" ht="15.75" customHeight="1">
      <c r="A2857" s="1">
        <v>3051.0</v>
      </c>
      <c r="B2857" s="3" t="s">
        <v>2788</v>
      </c>
      <c r="C2857" s="3" t="str">
        <f>IFERROR(__xludf.DUMMYFUNCTION("GOOGLETRANSLATE(B2857,""id"",""en"")"),"['The application', 'good', 'TPI', 'update', 'opened', 'Scren', 'White', 'Please', 'help']")</f>
        <v>['The application', 'good', 'TPI', 'update', 'opened', 'Scren', 'White', 'Please', 'help']</v>
      </c>
      <c r="D2857" s="3">
        <v>1.0</v>
      </c>
    </row>
    <row r="2858" ht="15.75" customHeight="1">
      <c r="A2858" s="1">
        <v>3052.0</v>
      </c>
      <c r="B2858" s="3" t="s">
        <v>2789</v>
      </c>
      <c r="C2858" s="3" t="str">
        <f>IFERROR(__xludf.DUMMYFUNCTION("GOOGLETRANSLATE(B2858,""id"",""en"")"),"['Superior', 'signal']")</f>
        <v>['Superior', 'signal']</v>
      </c>
      <c r="D2858" s="3">
        <v>5.0</v>
      </c>
    </row>
    <row r="2859" ht="15.75" customHeight="1">
      <c r="A2859" s="1">
        <v>3053.0</v>
      </c>
      <c r="B2859" s="3" t="s">
        <v>706</v>
      </c>
      <c r="C2859" s="3" t="str">
        <f>IFERROR(__xludf.DUMMYFUNCTION("GOOGLETRANSLATE(B2859,""id"",""en"")"),"['Good', 'like']")</f>
        <v>['Good', 'like']</v>
      </c>
      <c r="D2859" s="3">
        <v>5.0</v>
      </c>
    </row>
    <row r="2860" ht="15.75" customHeight="1">
      <c r="A2860" s="1">
        <v>3054.0</v>
      </c>
      <c r="B2860" s="3" t="s">
        <v>2790</v>
      </c>
      <c r="C2860" s="3" t="str">
        <f>IFERROR(__xludf.DUMMYFUNCTION("GOOGLETRANSLATE(B2860,""id"",""en"")"),"['Effective', 'fast', 'thank you']")</f>
        <v>['Effective', 'fast', 'thank you']</v>
      </c>
      <c r="D2860" s="3">
        <v>5.0</v>
      </c>
    </row>
    <row r="2861" ht="15.75" customHeight="1">
      <c r="A2861" s="1">
        <v>3055.0</v>
      </c>
      <c r="B2861" s="3" t="s">
        <v>2791</v>
      </c>
      <c r="C2861" s="3" t="str">
        <f>IFERROR(__xludf.DUMMYFUNCTION("GOOGLETRANSLATE(B2861,""id"",""en"")"),"['Sorry', 'love', 'star', 'right', 'enter', 'the application', 'Try', 'download', 'reset', 'bkl', 'love', 'star', ' ']")</f>
        <v>['Sorry', 'love', 'star', 'right', 'enter', 'the application', 'Try', 'download', 'reset', 'bkl', 'love', 'star', ' ']</v>
      </c>
      <c r="D2861" s="3">
        <v>1.0</v>
      </c>
    </row>
    <row r="2862" ht="15.75" customHeight="1">
      <c r="A2862" s="1">
        <v>3056.0</v>
      </c>
      <c r="B2862" s="3" t="s">
        <v>2792</v>
      </c>
      <c r="C2862" s="3" t="str">
        <f>IFERROR(__xludf.DUMMYFUNCTION("GOOGLETRANSLATE(B2862,""id"",""en"")"),"['transaction', 'easy', 'cheap', 'application', 'Telkomsel', '']")</f>
        <v>['transaction', 'easy', 'cheap', 'application', 'Telkomsel', '']</v>
      </c>
      <c r="D2862" s="3">
        <v>5.0</v>
      </c>
    </row>
    <row r="2863" ht="15.75" customHeight="1">
      <c r="A2863" s="1">
        <v>3057.0</v>
      </c>
      <c r="B2863" s="3" t="s">
        <v>2793</v>
      </c>
      <c r="C2863" s="3" t="str">
        <f>IFERROR(__xludf.DUMMYFUNCTION("GOOGLETRANSLATE(B2863,""id"",""en"")"),"['Package', 'Snuntunin', 'Customer', 'Cheap', 'On', 'Short', 'Cheap', 'Teramis', 'Disappointed', '']")</f>
        <v>['Package', 'Snuntunin', 'Customer', 'Cheap', 'On', 'Short', 'Cheap', 'Teramis', 'Disappointed', '']</v>
      </c>
      <c r="D2863" s="3">
        <v>1.0</v>
      </c>
    </row>
    <row r="2864" ht="15.75" customHeight="1">
      <c r="A2864" s="1">
        <v>3058.0</v>
      </c>
      <c r="B2864" s="3" t="s">
        <v>2794</v>
      </c>
      <c r="C2864" s="3" t="str">
        <f>IFERROR(__xludf.DUMMYFUNCTION("GOOGLETRANSLATE(B2864,""id"",""en"")"),"['apk', 'ugly', 'exchange', 'point', 'slalu', 'reason', 'disorder', 'disappointed']")</f>
        <v>['apk', 'ugly', 'exchange', 'point', 'slalu', 'reason', 'disorder', 'disappointed']</v>
      </c>
      <c r="D2864" s="3">
        <v>1.0</v>
      </c>
    </row>
    <row r="2865" ht="15.75" customHeight="1">
      <c r="A2865" s="1">
        <v>3059.0</v>
      </c>
      <c r="B2865" s="3" t="s">
        <v>2795</v>
      </c>
      <c r="C2865" s="3" t="str">
        <f>IFERROR(__xludf.DUMMYFUNCTION("GOOGLETRANSLATE(B2865,""id"",""en"")"),"['Use', 'Telkomsel']")</f>
        <v>['Use', 'Telkomsel']</v>
      </c>
      <c r="D2865" s="3">
        <v>5.0</v>
      </c>
    </row>
    <row r="2866" ht="15.75" customHeight="1">
      <c r="A2866" s="1">
        <v>3060.0</v>
      </c>
      <c r="B2866" s="3" t="s">
        <v>2796</v>
      </c>
      <c r="C2866" s="3" t="str">
        <f>IFERROR(__xludf.DUMMYFUNCTION("GOOGLETRANSLATE(B2866,""id"",""en"")"),"['Simple', 'height']")</f>
        <v>['Simple', 'height']</v>
      </c>
      <c r="D2866" s="3">
        <v>5.0</v>
      </c>
    </row>
    <row r="2867" ht="15.75" customHeight="1">
      <c r="A2867" s="1">
        <v>3061.0</v>
      </c>
      <c r="B2867" s="3" t="s">
        <v>2797</v>
      </c>
      <c r="C2867" s="3" t="str">
        <f>IFERROR(__xludf.DUMMYFUNCTION("GOOGLETRANSLATE(B2867,""id"",""en"")"),"['Congratulations',' noon ',' operator ',' Telkomsel ',' APK ',' Telkomsel ',' Useful ',' Login ',' Disruption ',' Page ',' Purchase ',' Page ',' Login ',' already ',' Try ',' Many ',' times', 'Buy', 'Package', 'Data', 'APK', 'Need', 'Package', 'Disney', "&amp;"'Hotstar' ]")</f>
        <v>['Congratulations',' noon ',' operator ',' Telkomsel ',' APK ',' Telkomsel ',' Useful ',' Login ',' Disruption ',' Page ',' Purchase ',' Page ',' Login ',' already ',' Try ',' Many ',' times', 'Buy', 'Package', 'Data', 'APK', 'Need', 'Package', 'Disney', 'Hotstar' ]</v>
      </c>
      <c r="D2867" s="3">
        <v>3.0</v>
      </c>
    </row>
    <row r="2868" ht="15.75" customHeight="1">
      <c r="A2868" s="1">
        <v>3062.0</v>
      </c>
      <c r="B2868" s="3" t="s">
        <v>2798</v>
      </c>
      <c r="C2868" s="3" t="str">
        <f>IFERROR(__xludf.DUMMYFUNCTION("GOOGLETRANSLATE(B2868,""id"",""en"")"),"['Hopefully', 'Jaya', 'Angkasa']")</f>
        <v>['Hopefully', 'Jaya', 'Angkasa']</v>
      </c>
      <c r="D2868" s="3">
        <v>5.0</v>
      </c>
    </row>
    <row r="2869" ht="15.75" customHeight="1">
      <c r="A2869" s="1">
        <v>3063.0</v>
      </c>
      <c r="B2869" s="3" t="s">
        <v>2799</v>
      </c>
      <c r="C2869" s="3" t="str">
        <f>IFERROR(__xludf.DUMMYFUNCTION("GOOGLETRANSLATE(B2869,""id"",""en"")"),"['Telkomsel', 'BNYK', 'trapped', 'Customer']")</f>
        <v>['Telkomsel', 'BNYK', 'trapped', 'Customer']</v>
      </c>
      <c r="D2869" s="3">
        <v>1.0</v>
      </c>
    </row>
    <row r="2870" ht="15.75" customHeight="1">
      <c r="A2870" s="1">
        <v>3065.0</v>
      </c>
      <c r="B2870" s="3" t="s">
        <v>2800</v>
      </c>
      <c r="C2870" s="3" t="str">
        <f>IFERROR(__xludf.DUMMYFUNCTION("GOOGLETRANSLATE(B2870,""id"",""en"")"),"['transfer', 'quota', 'gimna', ""]")</f>
        <v>['transfer', 'quota', 'gimna', "]</v>
      </c>
      <c r="D2870" s="3">
        <v>4.0</v>
      </c>
    </row>
    <row r="2871" ht="15.75" customHeight="1">
      <c r="A2871" s="1">
        <v>3066.0</v>
      </c>
      <c r="B2871" s="3" t="s">
        <v>2801</v>
      </c>
      <c r="C2871" s="3" t="str">
        <f>IFERROR(__xludf.DUMMYFUNCTION("GOOGLETRANSLATE(B2871,""id"",""en"")"),"['Cool', 'Cpt', 'cheap', 'makach']")</f>
        <v>['Cool', 'Cpt', 'cheap', 'makach']</v>
      </c>
      <c r="D2871" s="3">
        <v>4.0</v>
      </c>
    </row>
    <row r="2872" ht="15.75" customHeight="1">
      <c r="A2872" s="1">
        <v>3067.0</v>
      </c>
      <c r="B2872" s="3" t="s">
        <v>520</v>
      </c>
      <c r="C2872" s="3" t="str">
        <f>IFERROR(__xludf.DUMMYFUNCTION("GOOGLETRANSLATE(B2872,""id"",""en"")"),"['Satisfied', 'Telkomsel']")</f>
        <v>['Satisfied', 'Telkomsel']</v>
      </c>
      <c r="D2872" s="3">
        <v>5.0</v>
      </c>
    </row>
    <row r="2873" ht="15.75" customHeight="1">
      <c r="A2873" s="1">
        <v>3068.0</v>
      </c>
      <c r="B2873" s="3" t="s">
        <v>2802</v>
      </c>
      <c r="C2873" s="3" t="str">
        <f>IFERROR(__xludf.DUMMYFUNCTION("GOOGLETRANSLATE(B2873,""id"",""en"")"),"['The application', 'good', 'reconnect', 'please', 'signal', 'Murah', 'Season', 'Bat', 'City', 'Leet', 'Lots',' Promo ',' expensive ',' package ',' boss', 'capitalist']")</f>
        <v>['The application', 'good', 'reconnect', 'please', 'signal', 'Murah', 'Season', 'Bat', 'City', 'Leet', 'Lots',' Promo ',' expensive ',' package ',' boss', 'capitalist']</v>
      </c>
      <c r="D2873" s="3">
        <v>3.0</v>
      </c>
    </row>
    <row r="2874" ht="15.75" customHeight="1">
      <c r="A2874" s="1">
        <v>3069.0</v>
      </c>
      <c r="B2874" s="3" t="s">
        <v>2803</v>
      </c>
      <c r="C2874" s="3" t="str">
        <f>IFERROR(__xludf.DUMMYFUNCTION("GOOGLETRANSLATE(B2874,""id"",""en"")"),"['TTAP', 'Service']")</f>
        <v>['TTAP', 'Service']</v>
      </c>
      <c r="D2874" s="3">
        <v>5.0</v>
      </c>
    </row>
    <row r="2875" ht="15.75" customHeight="1">
      <c r="A2875" s="1">
        <v>3070.0</v>
      </c>
      <c r="B2875" s="3" t="s">
        <v>2804</v>
      </c>
      <c r="C2875" s="3" t="str">
        <f>IFERROR(__xludf.DUMMYFUNCTION("GOOGLETRANSLATE(B2875,""id"",""en"")"),"['complent', 'Telkomsel', 'network', 'network', 'data', 'blinking', 'blinking', 'lights',' warning ',' network ',' data ',' try ',' Emotions', 'already', 'packages',' expensive ',' TPI ',' Satisfied ',' Come ',' Active ',' Reduced ',' Location ',' Hutagod"&amp;"ang ',' Sumatra ',' North ' , 'Kecamatan', 'ulouput', 'kab', 'mandailing', 'christmas', 'try', 'control', 'donk', 'trimakasih']")</f>
        <v>['complent', 'Telkomsel', 'network', 'network', 'data', 'blinking', 'blinking', 'lights',' warning ',' network ',' data ',' try ',' Emotions', 'already', 'packages',' expensive ',' TPI ',' Satisfied ',' Come ',' Active ',' Reduced ',' Location ',' Hutagodang ',' Sumatra ',' North ' , 'Kecamatan', 'ulouput', 'kab', 'mandailing', 'christmas', 'try', 'control', 'donk', 'trimakasih']</v>
      </c>
      <c r="D2875" s="3">
        <v>2.0</v>
      </c>
    </row>
    <row r="2876" ht="15.75" customHeight="1">
      <c r="A2876" s="1">
        <v>3071.0</v>
      </c>
      <c r="B2876" s="3" t="s">
        <v>2805</v>
      </c>
      <c r="C2876" s="3" t="str">
        <f>IFERROR(__xludf.DUMMYFUNCTION("GOOGLETRANSLATE(B2876,""id"",""en"")"),"['Sometimes', 'Sometimes', 'Signal', 'ugly', 'Papa']")</f>
        <v>['Sometimes', 'Sometimes', 'Signal', 'ugly', 'Papa']</v>
      </c>
      <c r="D2876" s="3">
        <v>5.0</v>
      </c>
    </row>
    <row r="2877" ht="15.75" customHeight="1">
      <c r="A2877" s="1">
        <v>3072.0</v>
      </c>
      <c r="B2877" s="3" t="s">
        <v>2806</v>
      </c>
      <c r="C2877" s="3" t="str">
        <f>IFERROR(__xludf.DUMMYFUNCTION("GOOGLETRANSLATE(B2877,""id"",""en"")"),"['lie', 'price', 'package']")</f>
        <v>['lie', 'price', 'package']</v>
      </c>
      <c r="D2877" s="3">
        <v>3.0</v>
      </c>
    </row>
    <row r="2878" ht="15.75" customHeight="1">
      <c r="A2878" s="1">
        <v>3073.0</v>
      </c>
      <c r="B2878" s="3" t="s">
        <v>2807</v>
      </c>
      <c r="C2878" s="3" t="str">
        <f>IFERROR(__xludf.DUMMYFUNCTION("GOOGLETRANSLATE(B2878,""id"",""en"")"),"['Help', 'pisan']")</f>
        <v>['Help', 'pisan']</v>
      </c>
      <c r="D2878" s="3">
        <v>5.0</v>
      </c>
    </row>
    <row r="2879" ht="15.75" customHeight="1">
      <c r="A2879" s="1">
        <v>3074.0</v>
      </c>
      <c r="B2879" s="3" t="s">
        <v>2808</v>
      </c>
      <c r="C2879" s="3" t="str">
        <f>IFERROR(__xludf.DUMMYFUNCTION("GOOGLETRANSLATE(B2879,""id"",""en"")"),"['Star', 'signal', 'Telkomsel', 'area', 'Lampung', 'ugly', 'ugly', 'please', 'Expand', 'area', 'reach', 'signal']")</f>
        <v>['Star', 'signal', 'Telkomsel', 'area', 'Lampung', 'ugly', 'ugly', 'please', 'Expand', 'area', 'reach', 'signal']</v>
      </c>
      <c r="D2879" s="3">
        <v>1.0</v>
      </c>
    </row>
    <row r="2880" ht="15.75" customHeight="1">
      <c r="A2880" s="1">
        <v>3075.0</v>
      </c>
      <c r="B2880" s="3" t="s">
        <v>2809</v>
      </c>
      <c r="C2880" s="3" t="str">
        <f>IFERROR(__xludf.DUMMYFUNCTION("GOOGLETRANSLATE(B2880,""id"",""en"")"),"['Help', 'dlm', 'deadlle', 'sasi', 'a day', ""]")</f>
        <v>['Help', 'dlm', 'deadlle', 'sasi', 'a day', "]</v>
      </c>
      <c r="D2880" s="3">
        <v>4.0</v>
      </c>
    </row>
    <row r="2881" ht="15.75" customHeight="1">
      <c r="A2881" s="1">
        <v>3076.0</v>
      </c>
      <c r="B2881" s="3" t="s">
        <v>2810</v>
      </c>
      <c r="C2881" s="3" t="str">
        <f>IFERROR(__xludf.DUMMYFUNCTION("GOOGLETRANSLATE(B2881,""id"",""en"")"),"['expensive', 'signal', 'internet', 'no', 'stable', '']")</f>
        <v>['expensive', 'signal', 'internet', 'no', 'stable', '']</v>
      </c>
      <c r="D2881" s="3">
        <v>1.0</v>
      </c>
    </row>
    <row r="2882" ht="15.75" customHeight="1">
      <c r="A2882" s="1">
        <v>3078.0</v>
      </c>
      <c r="B2882" s="3" t="s">
        <v>2811</v>
      </c>
      <c r="C2882" s="3" t="str">
        <f>IFERROR(__xludf.DUMMYFUNCTION("GOOGLETRANSLATE(B2882,""id"",""en"")"),"['Please', 'Sis', 'APK', 'MyTelkomsel', 'Upload', 'Open', 'Please', 'Fix']")</f>
        <v>['Please', 'Sis', 'APK', 'MyTelkomsel', 'Upload', 'Open', 'Please', 'Fix']</v>
      </c>
      <c r="D2882" s="3">
        <v>1.0</v>
      </c>
    </row>
    <row r="2883" ht="15.75" customHeight="1">
      <c r="A2883" s="1">
        <v>3079.0</v>
      </c>
      <c r="B2883" s="3" t="s">
        <v>2812</v>
      </c>
      <c r="C2883" s="3" t="str">
        <f>IFERROR(__xludf.DUMMYFUNCTION("GOOGLETRANSLATE(B2883,""id"",""en"")"),"['ajg', 'pig', 'ngtit', 'cave', 'play', 'ajg', 'ngeleg', 'ajg']")</f>
        <v>['ajg', 'pig', 'ngtit', 'cave', 'play', 'ajg', 'ngeleg', 'ajg']</v>
      </c>
      <c r="D2883" s="3">
        <v>1.0</v>
      </c>
    </row>
    <row r="2884" ht="15.75" customHeight="1">
      <c r="A2884" s="1">
        <v>3080.0</v>
      </c>
      <c r="B2884" s="3" t="s">
        <v>2813</v>
      </c>
      <c r="C2884" s="3" t="str">
        <f>IFERROR(__xludf.DUMMYFUNCTION("GOOGLETRANSLATE(B2884,""id"",""en"")"),"['quota', 'Mhal', 'TPI', 'Network', 'Lelate', 'Mnta', 'Forgiveness']")</f>
        <v>['quota', 'Mhal', 'TPI', 'Network', 'Lelate', 'Mnta', 'Forgiveness']</v>
      </c>
      <c r="D2884" s="3">
        <v>1.0</v>
      </c>
    </row>
    <row r="2885" ht="15.75" customHeight="1">
      <c r="A2885" s="1">
        <v>3081.0</v>
      </c>
      <c r="B2885" s="3" t="s">
        <v>2814</v>
      </c>
      <c r="C2885" s="3" t="str">
        <f>IFERROR(__xludf.DUMMYFUNCTION("GOOGLETRANSLATE(B2885,""id"",""en"")"),"['use', 'Telkomsel', 'network', 'name', 'company', 'take', 'luck', 'how', 'gajih', 'kariawan', 'loss']")</f>
        <v>['use', 'Telkomsel', 'network', 'name', 'company', 'take', 'luck', 'how', 'gajih', 'kariawan', 'loss']</v>
      </c>
      <c r="D2885" s="3">
        <v>5.0</v>
      </c>
    </row>
    <row r="2886" ht="15.75" customHeight="1">
      <c r="A2886" s="1">
        <v>3083.0</v>
      </c>
      <c r="B2886" s="3" t="s">
        <v>2815</v>
      </c>
      <c r="C2886" s="3" t="str">
        <f>IFERROR(__xludf.DUMMYFUNCTION("GOOGLETRANSLATE(B2886,""id"",""en"")"),"['Service', 'steady']")</f>
        <v>['Service', 'steady']</v>
      </c>
      <c r="D2886" s="3">
        <v>5.0</v>
      </c>
    </row>
    <row r="2887" ht="15.75" customHeight="1">
      <c r="A2887" s="1">
        <v>3084.0</v>
      </c>
      <c r="B2887" s="3" t="s">
        <v>2816</v>
      </c>
      <c r="C2887" s="3" t="str">
        <f>IFERROR(__xludf.DUMMYFUNCTION("GOOGLETRANSLATE(B2887,""id"",""en"")"),"['Steady', 'Kasi', 'promo', 'interesting']")</f>
        <v>['Steady', 'Kasi', 'promo', 'interesting']</v>
      </c>
      <c r="D2887" s="3">
        <v>5.0</v>
      </c>
    </row>
    <row r="2888" ht="15.75" customHeight="1">
      <c r="A2888" s="1">
        <v>3085.0</v>
      </c>
      <c r="B2888" s="3" t="s">
        <v>2817</v>
      </c>
      <c r="C2888" s="3" t="str">
        <f>IFERROR(__xludf.DUMMYFUNCTION("GOOGLETRANSLATE(B2888,""id"",""en"")"),"['package', 'Thanks', '']")</f>
        <v>['package', 'Thanks', '']</v>
      </c>
      <c r="D2888" s="3">
        <v>1.0</v>
      </c>
    </row>
    <row r="2889" ht="15.75" customHeight="1">
      <c r="A2889" s="1">
        <v>3086.0</v>
      </c>
      <c r="B2889" s="3" t="s">
        <v>2818</v>
      </c>
      <c r="C2889" s="3" t="str">
        <f>IFERROR(__xludf.DUMMYFUNCTION("GOOGLETRANSLATE(B2889,""id"",""en"")"),"['mantapppp', 'best']")</f>
        <v>['mantapppp', 'best']</v>
      </c>
      <c r="D2889" s="3">
        <v>5.0</v>
      </c>
    </row>
    <row r="2890" ht="15.75" customHeight="1">
      <c r="A2890" s="1">
        <v>3087.0</v>
      </c>
      <c r="B2890" s="3" t="s">
        <v>2819</v>
      </c>
      <c r="C2890" s="3" t="str">
        <f>IFERROR(__xludf.DUMMYFUNCTION("GOOGLETRANSLATE(B2890,""id"",""en"")"),"['Reach', 'user']")</f>
        <v>['Reach', 'user']</v>
      </c>
      <c r="D2890" s="3">
        <v>5.0</v>
      </c>
    </row>
    <row r="2891" ht="15.75" customHeight="1">
      <c r="A2891" s="1">
        <v>3088.0</v>
      </c>
      <c r="B2891" s="3" t="s">
        <v>2820</v>
      </c>
      <c r="C2891" s="3" t="str">
        <f>IFERROR(__xludf.DUMMYFUNCTION("GOOGLETRANSLATE(B2891,""id"",""en"")"),"['', 'Herrate', 'love', 'service', 'Telkomsel', 'special', 'network', 'signal', 'satisfying', 'dozens',' family ',' Telkomsel ',' problematic ',' The network ',' anything ',' served ',' GraPARI ',' Recommend ',' KPD ',' brother ',' friend ',' relatives', "&amp;"'complaints',' MRK ',' Provider ', 'Products',' Telkomsel ',' Thank "", 'Love', 'Telkomsel', '']")</f>
        <v>['', 'Herrate', 'love', 'service', 'Telkomsel', 'special', 'network', 'signal', 'satisfying', 'dozens',' family ',' Telkomsel ',' problematic ',' The network ',' anything ',' served ',' GraPARI ',' Recommend ',' KPD ',' brother ',' friend ',' relatives', 'complaints',' MRK ',' Provider ', 'Products',' Telkomsel ',' Thank ", 'Love', 'Telkomsel', '']</v>
      </c>
      <c r="D2891" s="3">
        <v>5.0</v>
      </c>
    </row>
    <row r="2892" ht="15.75" customHeight="1">
      <c r="A2892" s="1">
        <v>3089.0</v>
      </c>
      <c r="B2892" s="3" t="s">
        <v>2821</v>
      </c>
      <c r="C2892" s="3" t="str">
        <f>IFERROR(__xludf.DUMMYFUNCTION("GOOGLETRANSLATE(B2892,""id"",""en"")"),"['The application', 'difficult', 'entered', 'enter', 'disappointed', 'MyTelkomsel', '']")</f>
        <v>['The application', 'difficult', 'entered', 'enter', 'disappointed', 'MyTelkomsel', '']</v>
      </c>
      <c r="D2892" s="3">
        <v>1.0</v>
      </c>
    </row>
    <row r="2893" ht="15.75" customHeight="1">
      <c r="A2893" s="1">
        <v>3090.0</v>
      </c>
      <c r="B2893" s="3" t="s">
        <v>2822</v>
      </c>
      <c r="C2893" s="3" t="str">
        <f>IFERROR(__xludf.DUMMYFUNCTION("GOOGLETRANSLATE(B2893,""id"",""en"")"),"['huka', 'application', 'galxy', 'core', 'search', 'lite', 'solution', 'kak', 'udh', 'reinstall', 'times',' restart ',' cellphone ',' UDH ',' Clear ',' Chace ',' UDH ',' Application ',' Stuck ',' Whitescreen ', ""]")</f>
        <v>['huka', 'application', 'galxy', 'core', 'search', 'lite', 'solution', 'kak', 'udh', 'reinstall', 'times',' restart ',' cellphone ',' UDH ',' Clear ',' Chace ',' UDH ',' Application ',' Stuck ',' Whitescreen ', "]</v>
      </c>
      <c r="D2893" s="3">
        <v>2.0</v>
      </c>
    </row>
    <row r="2894" ht="15.75" customHeight="1">
      <c r="A2894" s="1">
        <v>3091.0</v>
      </c>
      <c r="B2894" s="3" t="s">
        <v>2823</v>
      </c>
      <c r="C2894" s="3" t="str">
        <f>IFERROR(__xludf.DUMMYFUNCTION("GOOGLETRANSLATE(B2894,""id"",""en"")"),"['Telkom', 'knp', 'ngeleg', 'moved', 'card', 'ngeleg', 'mulu']")</f>
        <v>['Telkom', 'knp', 'ngeleg', 'moved', 'card', 'ngeleg', 'mulu']</v>
      </c>
      <c r="D2894" s="3">
        <v>1.0</v>
      </c>
    </row>
    <row r="2895" ht="15.75" customHeight="1">
      <c r="A2895" s="1">
        <v>3092.0</v>
      </c>
      <c r="B2895" s="3" t="s">
        <v>2824</v>
      </c>
      <c r="C2895" s="3" t="str">
        <f>IFERROR(__xludf.DUMMYFUNCTION("GOOGLETRANSLATE(B2895,""id"",""en"")"),"['Open', 'poor']")</f>
        <v>['Open', 'poor']</v>
      </c>
      <c r="D2895" s="3">
        <v>1.0</v>
      </c>
    </row>
    <row r="2896" ht="15.75" customHeight="1">
      <c r="A2896" s="1">
        <v>3093.0</v>
      </c>
      <c r="B2896" s="3" t="s">
        <v>2825</v>
      </c>
      <c r="C2896" s="3" t="str">
        <f>IFERROR(__xludf.DUMMYFUNCTION("GOOGLETRANSLATE(B2896,""id"",""en"")"),"['fall', 'Tempo', 'date', 'contents',' quota ',' or ',' anything ',' date ',' bah ',' mank ',' budget ',' tlg ',' Siscouts', 'believe', 'love', 'limit', 'professional', 'thank', 'love', ""]")</f>
        <v>['fall', 'Tempo', 'date', 'contents',' quota ',' or ',' anything ',' date ',' bah ',' mank ',' budget ',' tlg ',' Siscouts', 'believe', 'love', 'limit', 'professional', 'thank', 'love', "]</v>
      </c>
      <c r="D2896" s="3">
        <v>1.0</v>
      </c>
    </row>
    <row r="2897" ht="15.75" customHeight="1">
      <c r="A2897" s="1">
        <v>3094.0</v>
      </c>
      <c r="B2897" s="3" t="s">
        <v>2826</v>
      </c>
      <c r="C2897" s="3" t="str">
        <f>IFERROR(__xludf.DUMMYFUNCTION("GOOGLETRANSLATE(B2897,""id"",""en"")"),"['application', 'disappointing', 'good', 'bad', '']")</f>
        <v>['application', 'disappointing', 'good', 'bad', '']</v>
      </c>
      <c r="D2897" s="3">
        <v>1.0</v>
      </c>
    </row>
    <row r="2898" ht="15.75" customHeight="1">
      <c r="A2898" s="1">
        <v>3095.0</v>
      </c>
      <c r="B2898" s="3" t="s">
        <v>2827</v>
      </c>
      <c r="C2898" s="3" t="str">
        <f>IFERROR(__xludf.DUMMYFUNCTION("GOOGLETRANSLATE(B2898,""id"",""en"")"),"['Good', 'APLI', 'Useful', 'Check', 'Package', 'Data', 'Credit', 'Easy', 'Check', 'Package', 'Data', 'Hang out', ' For ',' typing ',' button ',' number ',' Thank you ',' MyTelkomsel ',' ']")</f>
        <v>['Good', 'APLI', 'Useful', 'Check', 'Package', 'Data', 'Credit', 'Easy', 'Check', 'Package', 'Data', 'Hang out', ' For ',' typing ',' button ',' number ',' Thank you ',' MyTelkomsel ',' ']</v>
      </c>
      <c r="D2898" s="3">
        <v>5.0</v>
      </c>
    </row>
    <row r="2899" ht="15.75" customHeight="1">
      <c r="A2899" s="1">
        <v>3096.0</v>
      </c>
      <c r="B2899" s="3" t="s">
        <v>2828</v>
      </c>
      <c r="C2899" s="3" t="str">
        <f>IFERROR(__xludf.DUMMYFUNCTION("GOOGLETRANSLATE(B2899,""id"",""en"")"),"['Package', 'cheap', 'omitted']")</f>
        <v>['Package', 'cheap', 'omitted']</v>
      </c>
      <c r="D2899" s="3">
        <v>1.0</v>
      </c>
    </row>
    <row r="2900" ht="15.75" customHeight="1">
      <c r="A2900" s="1">
        <v>3097.0</v>
      </c>
      <c r="B2900" s="3" t="s">
        <v>2829</v>
      </c>
      <c r="C2900" s="3" t="str">
        <f>IFERROR(__xludf.DUMMYFUNCTION("GOOGLETRANSLATE(B2900,""id"",""en"")"),"['Network', 'good', 'smooth', 'bxk', 'promo', '']")</f>
        <v>['Network', 'good', 'smooth', 'bxk', 'promo', '']</v>
      </c>
      <c r="D2900" s="3">
        <v>5.0</v>
      </c>
    </row>
    <row r="2901" ht="15.75" customHeight="1">
      <c r="A2901" s="1">
        <v>3099.0</v>
      </c>
      <c r="B2901" s="3" t="s">
        <v>2830</v>
      </c>
      <c r="C2901" s="3" t="str">
        <f>IFERROR(__xludf.DUMMYFUNCTION("GOOGLETRANSLATE(B2901,""id"",""en"")"),"['JOSSS', 'Boong', 'Out', 'Upgrade', 'Telkomsel', 'Opened', 'Nidak', 'Enter', 'Sense', 'Order', 'Upgrade', 'Error']")</f>
        <v>['JOSSS', 'Boong', 'Out', 'Upgrade', 'Telkomsel', 'Opened', 'Nidak', 'Enter', 'Sense', 'Order', 'Upgrade', 'Error']</v>
      </c>
      <c r="D2901" s="3">
        <v>1.0</v>
      </c>
    </row>
    <row r="2902" ht="15.75" customHeight="1">
      <c r="A2902" s="1">
        <v>3100.0</v>
      </c>
      <c r="B2902" s="3" t="s">
        <v>2831</v>
      </c>
      <c r="C2902" s="3" t="str">
        <f>IFERROR(__xludf.DUMMYFUNCTION("GOOGLETRANSLATE(B2902,""id"",""en"")"),"['Please', 'repaired', 'Telkomsel']")</f>
        <v>['Please', 'repaired', 'Telkomsel']</v>
      </c>
      <c r="D2902" s="3">
        <v>3.0</v>
      </c>
    </row>
    <row r="2903" ht="15.75" customHeight="1">
      <c r="A2903" s="1">
        <v>3101.0</v>
      </c>
      <c r="B2903" s="3" t="s">
        <v>2832</v>
      </c>
      <c r="C2903" s="3" t="str">
        <f>IFERROR(__xludf.DUMMYFUNCTION("GOOGLETRANSLATE(B2903,""id"",""en"")"),"['Knp', 'Telkomsel', 'error']")</f>
        <v>['Knp', 'Telkomsel', 'error']</v>
      </c>
      <c r="D2903" s="3">
        <v>1.0</v>
      </c>
    </row>
    <row r="2904" ht="15.75" customHeight="1">
      <c r="A2904" s="1">
        <v>3102.0</v>
      </c>
      <c r="B2904" s="3" t="s">
        <v>2833</v>
      </c>
      <c r="C2904" s="3" t="str">
        <f>IFERROR(__xludf.DUMMYFUNCTION("GOOGLETRANSLATE(B2904,""id"",""en"")"),"['Bagus', 'bangetttt', 'promoaa', '']")</f>
        <v>['Bagus', 'bangetttt', 'promoaa', '']</v>
      </c>
      <c r="D2904" s="3">
        <v>5.0</v>
      </c>
    </row>
    <row r="2905" ht="15.75" customHeight="1">
      <c r="A2905" s="1">
        <v>3103.0</v>
      </c>
      <c r="B2905" s="3" t="s">
        <v>2834</v>
      </c>
      <c r="C2905" s="3" t="str">
        <f>IFERROR(__xludf.DUMMYFUNCTION("GOOGLETRANSLATE(B2905,""id"",""en"")"),"['knp', 'after', 'update', 'mal', 'open', 'app', '']")</f>
        <v>['knp', 'after', 'update', 'mal', 'open', 'app', '']</v>
      </c>
      <c r="D2905" s="3">
        <v>5.0</v>
      </c>
    </row>
    <row r="2906" ht="15.75" customHeight="1">
      <c r="A2906" s="1">
        <v>3104.0</v>
      </c>
      <c r="B2906" s="3" t="s">
        <v>2835</v>
      </c>
      <c r="C2906" s="3" t="str">
        <f>IFERROR(__xludf.DUMMYFUNCTION("GOOGLETRANSLATE(B2906,""id"",""en"")"),"['Hello', 'admin', 'Telkomsel', 'quota', 'multimedia', 'application', 'buy', 'quota', 'regular', 'multimedia', 'youtube', 'quota', ' Regular ',' truncated ',' sekrang ',' quota ',' regular ',' multimedia ',' intact ',' use ',' use ',' limited ',' kbps', '"&amp;"rampinin', 'screen' , 'Shot', 'quota', 'whole', 'multimedia', 'skali', 'used', 'play', 'game', 'youtube']")</f>
        <v>['Hello', 'admin', 'Telkomsel', 'quota', 'multimedia', 'application', 'buy', 'quota', 'regular', 'multimedia', 'youtube', 'quota', ' Regular ',' truncated ',' sekrang ',' quota ',' regular ',' multimedia ',' intact ',' use ',' use ',' limited ',' kbps', 'rampinin', 'screen' , 'Shot', 'quota', 'whole', 'multimedia', 'skali', 'used', 'play', 'game', 'youtube']</v>
      </c>
      <c r="D2906" s="3">
        <v>1.0</v>
      </c>
    </row>
    <row r="2907" ht="15.75" customHeight="1">
      <c r="A2907" s="1">
        <v>3105.0</v>
      </c>
      <c r="B2907" s="3" t="s">
        <v>2836</v>
      </c>
      <c r="C2907" s="3" t="str">
        <f>IFERROR(__xludf.DUMMYFUNCTION("GOOGLETRANSLATE(B2907,""id"",""en"")"),"['Errr', 'yes',' buy ',' morning ',' truss', 'no', 'warning', 'telkomsel', 'bordering', 'quota', 'finished', 'truss',' make ',' little ',' already ',' really ',' run out ',' the network ',' broken ',' severe ',' anjj ']")</f>
        <v>['Errr', 'yes',' buy ',' morning ',' truss', 'no', 'warning', 'telkomsel', 'bordering', 'quota', 'finished', 'truss',' make ',' little ',' already ',' really ',' run out ',' the network ',' broken ',' severe ',' anjj ']</v>
      </c>
      <c r="D2907" s="3">
        <v>1.0</v>
      </c>
    </row>
    <row r="2908" ht="15.75" customHeight="1">
      <c r="A2908" s="1">
        <v>3106.0</v>
      </c>
      <c r="B2908" s="3" t="s">
        <v>2837</v>
      </c>
      <c r="C2908" s="3" t="str">
        <f>IFERROR(__xludf.DUMMYFUNCTION("GOOGLETRANSLATE(B2908,""id"",""en"")"),"['Telkomsel', 'Hopefully', 'work', 'Telkomsel', 'Canda']")</f>
        <v>['Telkomsel', 'Hopefully', 'work', 'Telkomsel', 'Canda']</v>
      </c>
      <c r="D2908" s="3">
        <v>4.0</v>
      </c>
    </row>
    <row r="2909" ht="15.75" customHeight="1">
      <c r="A2909" s="1">
        <v>3107.0</v>
      </c>
      <c r="B2909" s="3" t="s">
        <v>2838</v>
      </c>
      <c r="C2909" s="3" t="str">
        <f>IFERROR(__xludf.DUMMYFUNCTION("GOOGLETRANSLATE(B2909,""id"",""en"")"),"['Network', 'kxa', 'ttaaii', 'ssss', 'uuuu', 'nyesel', 'buy', 'card', 'kxa', 'ka you', 'bbeeggo']")</f>
        <v>['Network', 'kxa', 'ttaaii', 'ssss', 'uuuu', 'nyesel', 'buy', 'card', 'kxa', 'ka you', 'bbeeggo']</v>
      </c>
      <c r="D2909" s="3">
        <v>1.0</v>
      </c>
    </row>
    <row r="2910" ht="15.75" customHeight="1">
      <c r="A2910" s="1">
        <v>3108.0</v>
      </c>
      <c r="B2910" s="3" t="s">
        <v>2839</v>
      </c>
      <c r="C2910" s="3" t="str">
        <f>IFERROR(__xludf.DUMMYFUNCTION("GOOGLETRANSLATE(B2910,""id"",""en"")"),"['oath', 'network', 'bad', 'really', 'deh', 'makai', 'tsel', 'disturbing', 'activity']")</f>
        <v>['oath', 'network', 'bad', 'really', 'deh', 'makai', 'tsel', 'disturbing', 'activity']</v>
      </c>
      <c r="D2910" s="3">
        <v>1.0</v>
      </c>
    </row>
    <row r="2911" ht="15.75" customHeight="1">
      <c r="A2911" s="1">
        <v>3109.0</v>
      </c>
      <c r="B2911" s="3" t="s">
        <v>2840</v>
      </c>
      <c r="C2911" s="3" t="str">
        <f>IFERROR(__xludf.DUMMYFUNCTION("GOOGLETRANSLATE(B2911,""id"",""en"")"),"['Ribet', 'the application', 'entered', 'difficult', 'subscription', '']")</f>
        <v>['Ribet', 'the application', 'entered', 'difficult', 'subscription', '']</v>
      </c>
      <c r="D2911" s="3">
        <v>2.0</v>
      </c>
    </row>
    <row r="2912" ht="15.75" customHeight="1">
      <c r="A2912" s="1">
        <v>3110.0</v>
      </c>
      <c r="B2912" s="3" t="s">
        <v>2841</v>
      </c>
      <c r="C2912" s="3" t="str">
        <f>IFERROR(__xludf.DUMMYFUNCTION("GOOGLETRANSLATE(B2912,""id"",""en"")"),"['purchase', 'pulse', 'package', 'data', 'easy']")</f>
        <v>['purchase', 'pulse', 'package', 'data', 'easy']</v>
      </c>
      <c r="D2912" s="3">
        <v>5.0</v>
      </c>
    </row>
    <row r="2913" ht="15.75" customHeight="1">
      <c r="A2913" s="1">
        <v>3111.0</v>
      </c>
      <c r="B2913" s="3" t="s">
        <v>2842</v>
      </c>
      <c r="C2913" s="3" t="str">
        <f>IFERROR(__xludf.DUMMYFUNCTION("GOOGLETRANSLATE(B2913,""id"",""en"")"),"['Sagat', 'help', 'considered', 'bonus', 'promo', 'users', 'success']")</f>
        <v>['Sagat', 'help', 'considered', 'bonus', 'promo', 'users', 'success']</v>
      </c>
      <c r="D2913" s="3">
        <v>5.0</v>
      </c>
    </row>
    <row r="2914" ht="15.75" customHeight="1">
      <c r="A2914" s="1">
        <v>3112.0</v>
      </c>
      <c r="B2914" s="3" t="s">
        <v>2843</v>
      </c>
      <c r="C2914" s="3" t="str">
        <f>IFERROR(__xludf.DUMMYFUNCTION("GOOGLETRANSLATE(B2914,""id"",""en"")"),"['Application', 'MyTelkomsel', 'opened', '']")</f>
        <v>['Application', 'MyTelkomsel', 'opened', '']</v>
      </c>
      <c r="D2914" s="3">
        <v>1.0</v>
      </c>
    </row>
    <row r="2915" ht="15.75" customHeight="1">
      <c r="A2915" s="1">
        <v>3113.0</v>
      </c>
      <c r="B2915" s="3" t="s">
        <v>2844</v>
      </c>
      <c r="C2915" s="3" t="str">
        <f>IFERROR(__xludf.DUMMYFUNCTION("GOOGLETRANSLATE(B2915,""id"",""en"")"),"['month', 'update', 'application', 'open', 'blank', 'white']")</f>
        <v>['month', 'update', 'application', 'open', 'blank', 'white']</v>
      </c>
      <c r="D2915" s="3">
        <v>1.0</v>
      </c>
    </row>
    <row r="2916" ht="15.75" customHeight="1">
      <c r="A2916" s="1">
        <v>3114.0</v>
      </c>
      <c r="B2916" s="3" t="s">
        <v>2845</v>
      </c>
      <c r="C2916" s="3" t="str">
        <f>IFERROR(__xludf.DUMMYFUNCTION("GOOGLETRANSLATE(B2916,""id"",""en"")"),"['buy', 'package', 'entry', 'really', '']")</f>
        <v>['buy', 'package', 'entry', 'really', '']</v>
      </c>
      <c r="D2916" s="3">
        <v>2.0</v>
      </c>
    </row>
    <row r="2917" ht="15.75" customHeight="1">
      <c r="A2917" s="1">
        <v>3115.0</v>
      </c>
      <c r="B2917" s="3" t="s">
        <v>2846</v>
      </c>
      <c r="C2917" s="3" t="str">
        <f>IFERROR(__xludf.DUMMYFUNCTION("GOOGLETRANSLATE(B2917,""id"",""en"")"),"['TLKMSEL', 'buy', 'quota', 'expensive', 'network', 'kek', 'BI', 'then', 'sometimes',' like ',' Kek ',' open ',' PDHL ',' quota ',' bnyak ',' since ',' adanih ',' jringn ',' jdi ',' lag ',' bnget ',' emng ']")</f>
        <v>['TLKMSEL', 'buy', 'quota', 'expensive', 'network', 'kek', 'BI', 'then', 'sometimes',' like ',' Kek ',' open ',' PDHL ',' quota ',' bnyak ',' since ',' adanih ',' jringn ',' jdi ',' lag ',' bnget ',' emng ']</v>
      </c>
      <c r="D2917" s="3">
        <v>1.0</v>
      </c>
    </row>
    <row r="2918" ht="15.75" customHeight="1">
      <c r="A2918" s="1">
        <v>3116.0</v>
      </c>
      <c r="B2918" s="3" t="s">
        <v>2847</v>
      </c>
      <c r="C2918" s="3" t="str">
        <f>IFERROR(__xludf.DUMMYFUNCTION("GOOGLETRANSLATE(B2918,""id"",""en"")"),"['CMN', 'Move', 'Telkomsel', 'MSI', 'pls', 'fix', 'trimksh', ""]")</f>
        <v>['CMN', 'Move', 'Telkomsel', 'MSI', 'pls', 'fix', 'trimksh', "]</v>
      </c>
      <c r="D2918" s="3">
        <v>3.0</v>
      </c>
    </row>
    <row r="2919" ht="15.75" customHeight="1">
      <c r="A2919" s="1">
        <v>3117.0</v>
      </c>
      <c r="B2919" s="3" t="s">
        <v>2848</v>
      </c>
      <c r="C2919" s="3" t="str">
        <f>IFERROR(__xludf.DUMMYFUNCTION("GOOGLETRANSLATE(B2919,""id"",""en"")"),"['Sousiny', 'ugly', 'moved', 'card', 'package', 'cheap', 'signal', 'ugly', 'really', 'please', 'repaired', 'signal']")</f>
        <v>['Sousiny', 'ugly', 'moved', 'card', 'package', 'cheap', 'signal', 'ugly', 'really', 'please', 'repaired', 'signal']</v>
      </c>
      <c r="D2919" s="3">
        <v>1.0</v>
      </c>
    </row>
    <row r="2920" ht="15.75" customHeight="1">
      <c r="A2920" s="1">
        <v>3118.0</v>
      </c>
      <c r="B2920" s="3" t="s">
        <v>2849</v>
      </c>
      <c r="C2920" s="3" t="str">
        <f>IFERROR(__xludf.DUMMYFUNCTION("GOOGLETRANSLATE(B2920,""id"",""en"")"),"['Increases', 'Quality', 'Network', 'Increases', 'Promo', 'Morah', 'Jaya', 'Telkomsel']")</f>
        <v>['Increases', 'Quality', 'Network', 'Increases', 'Promo', 'Morah', 'Jaya', 'Telkomsel']</v>
      </c>
      <c r="D2920" s="3">
        <v>5.0</v>
      </c>
    </row>
    <row r="2921" ht="15.75" customHeight="1">
      <c r="A2921" s="1">
        <v>3119.0</v>
      </c>
      <c r="B2921" s="3" t="s">
        <v>859</v>
      </c>
      <c r="C2921" s="3" t="str">
        <f>IFERROR(__xludf.DUMMYFUNCTION("GOOGLETRANSLATE(B2921,""id"",""en"")"),"['help', '']")</f>
        <v>['help', '']</v>
      </c>
      <c r="D2921" s="3">
        <v>5.0</v>
      </c>
    </row>
    <row r="2922" ht="15.75" customHeight="1">
      <c r="A2922" s="1">
        <v>3120.0</v>
      </c>
      <c r="B2922" s="3" t="s">
        <v>2850</v>
      </c>
      <c r="C2922" s="3" t="str">
        <f>IFERROR(__xludf.DUMMYFUNCTION("GOOGLETRANSLATE(B2922,""id"",""en"")"),"['features', 'SNGAT', 'Complete', 'get', 'Lottery', 'DPT']")</f>
        <v>['features', 'SNGAT', 'Complete', 'get', 'Lottery', 'DPT']</v>
      </c>
      <c r="D2922" s="3">
        <v>5.0</v>
      </c>
    </row>
    <row r="2923" ht="15.75" customHeight="1">
      <c r="A2923" s="1">
        <v>3121.0</v>
      </c>
      <c r="B2923" s="3" t="s">
        <v>2851</v>
      </c>
      <c r="C2923" s="3" t="str">
        <f>IFERROR(__xludf.DUMMYFUNCTION("GOOGLETRANSLATE(B2923,""id"",""en"")"),"['network', 'times',' lost ',' difficult ',' work ',' really ',' please ',' Telkomsel ',' check ',' consider ',' trivial ',' destroy ',' Citra ',' Telkomsel ',' Famous', 'Network', 'Nusantara', '']")</f>
        <v>['network', 'times',' lost ',' difficult ',' work ',' really ',' please ',' Telkomsel ',' check ',' consider ',' trivial ',' destroy ',' Citra ',' Telkomsel ',' Famous', 'Network', 'Nusantara', '']</v>
      </c>
      <c r="D2923" s="3">
        <v>4.0</v>
      </c>
    </row>
    <row r="2924" ht="15.75" customHeight="1">
      <c r="A2924" s="1">
        <v>3122.0</v>
      </c>
      <c r="B2924" s="3" t="s">
        <v>2852</v>
      </c>
      <c r="C2924" s="3" t="str">
        <f>IFERROR(__xludf.DUMMYFUNCTION("GOOGLETRANSLATE(B2924,""id"",""en"")"),"['Application', 'Not bad', 'signal', 'ugly', 'loss', 'already', 'buy', 'expensive', 'expensive', 'lag', 'severe']")</f>
        <v>['Application', 'Not bad', 'signal', 'ugly', 'loss', 'already', 'buy', 'expensive', 'expensive', 'lag', 'severe']</v>
      </c>
      <c r="D2924" s="3">
        <v>1.0</v>
      </c>
    </row>
    <row r="2925" ht="15.75" customHeight="1">
      <c r="A2925" s="1">
        <v>3123.0</v>
      </c>
      <c r="B2925" s="3" t="s">
        <v>2853</v>
      </c>
      <c r="C2925" s="3" t="str">
        <f>IFERROR(__xludf.DUMMYFUNCTION("GOOGLETRANSLATE(B2925,""id"",""en"")"),"['application', 'open', 'blank', 'screen', 'white']")</f>
        <v>['application', 'open', 'blank', 'screen', 'white']</v>
      </c>
      <c r="D2925" s="3">
        <v>3.0</v>
      </c>
    </row>
    <row r="2926" ht="15.75" customHeight="1">
      <c r="A2926" s="1">
        <v>3124.0</v>
      </c>
      <c r="B2926" s="3" t="s">
        <v>2854</v>
      </c>
      <c r="C2926" s="3" t="str">
        <f>IFERROR(__xludf.DUMMYFUNCTION("GOOGLETRANSLATE(B2926,""id"",""en"")"),"['Option', 'Pay', 'Choice']")</f>
        <v>['Option', 'Pay', 'Choice']</v>
      </c>
      <c r="D2926" s="3">
        <v>4.0</v>
      </c>
    </row>
    <row r="2927" ht="15.75" customHeight="1">
      <c r="A2927" s="1">
        <v>3125.0</v>
      </c>
      <c r="B2927" s="3" t="s">
        <v>2855</v>
      </c>
      <c r="C2927" s="3" t="str">
        <f>IFERROR(__xludf.DUMMYFUNCTION("GOOGLETRANSLATE(B2927,""id"",""en"")"),"['price', 'Naek', 'Mulu', 'buy', 'package', 'quota', 'package', 'call', 'then', 'package', 'combo', 'Sakti', ' quota ',' internet ',' first ',' abis', 'quota', 'medsos',' out ',' quota ',' internet ',' already ',' stopped ',' internet ',' quota ' , '']")</f>
        <v>['price', 'Naek', 'Mulu', 'buy', 'package', 'quota', 'package', 'call', 'then', 'package', 'combo', 'Sakti', ' quota ',' internet ',' first ',' abis', 'quota', 'medsos',' out ',' quota ',' internet ',' already ',' stopped ',' internet ',' quota ' , '']</v>
      </c>
      <c r="D2927" s="3">
        <v>3.0</v>
      </c>
    </row>
    <row r="2928" ht="15.75" customHeight="1">
      <c r="A2928" s="1">
        <v>3126.0</v>
      </c>
      <c r="B2928" s="3" t="s">
        <v>2856</v>
      </c>
      <c r="C2928" s="3" t="str">
        <f>IFERROR(__xludf.DUMMYFUNCTION("GOOGLETRANSLATE(B2928,""id"",""en"")"),"['APK', 'APANIH', 'buy', 'package', 'quota', 'process', 'process']")</f>
        <v>['APK', 'APANIH', 'buy', 'package', 'quota', 'process', 'process']</v>
      </c>
      <c r="D2928" s="3">
        <v>1.0</v>
      </c>
    </row>
    <row r="2929" ht="15.75" customHeight="1">
      <c r="A2929" s="1">
        <v>3127.0</v>
      </c>
      <c r="B2929" s="3" t="s">
        <v>2857</v>
      </c>
      <c r="C2929" s="3" t="str">
        <f>IFERROR(__xludf.DUMMYFUNCTION("GOOGLETRANSLATE(B2929,""id"",""en"")"),"['Forgot', 'Happy', '']")</f>
        <v>['Forgot', 'Happy', '']</v>
      </c>
      <c r="D2929" s="3">
        <v>5.0</v>
      </c>
    </row>
    <row r="2930" ht="15.75" customHeight="1">
      <c r="A2930" s="1">
        <v>3128.0</v>
      </c>
      <c r="B2930" s="3" t="s">
        <v>2858</v>
      </c>
      <c r="C2930" s="3" t="str">
        <f>IFERROR(__xludf.DUMMYFUNCTION("GOOGLETRANSLATE(B2930,""id"",""en"")"),"['Cheap', 'Package', 'Internet', 'Call']")</f>
        <v>['Cheap', 'Package', 'Internet', 'Call']</v>
      </c>
      <c r="D2930" s="3">
        <v>5.0</v>
      </c>
    </row>
    <row r="2931" ht="15.75" customHeight="1">
      <c r="A2931" s="1">
        <v>3129.0</v>
      </c>
      <c r="B2931" s="3" t="s">
        <v>2859</v>
      </c>
      <c r="C2931" s="3" t="str">
        <f>IFERROR(__xludf.DUMMYFUNCTION("GOOGLETRANSLATE(B2931,""id"",""en"")"),"['Good', 'skrng', 'skrng', 'opened', 'the application', 'disappointed', 'really']")</f>
        <v>['Good', 'skrng', 'skrng', 'opened', 'the application', 'disappointed', 'really']</v>
      </c>
      <c r="D2931" s="3">
        <v>5.0</v>
      </c>
    </row>
    <row r="2932" ht="15.75" customHeight="1">
      <c r="A2932" s="1">
        <v>3131.0</v>
      </c>
      <c r="B2932" s="3" t="s">
        <v>2860</v>
      </c>
      <c r="C2932" s="3" t="str">
        <f>IFERROR(__xludf.DUMMYFUNCTION("GOOGLETRANSLATE(B2932,""id"",""en"")"),"['Open', 'APK', 'WEW']")</f>
        <v>['Open', 'APK', 'WEW']</v>
      </c>
      <c r="D2932" s="3">
        <v>1.0</v>
      </c>
    </row>
    <row r="2933" ht="15.75" customHeight="1">
      <c r="A2933" s="1">
        <v>3132.0</v>
      </c>
      <c r="B2933" s="3" t="s">
        <v>2861</v>
      </c>
      <c r="C2933" s="3" t="str">
        <f>IFERROR(__xludf.DUMMYFUNCTION("GOOGLETRANSLATE(B2933,""id"",""en"")"),"['Pay', 'transaction', 'Google', 'Play', 'Store', 'balance', 'mlulu', 'pdhl', 'balance', 'greedy', 'really', 'Telkomsel', ' Want ',' balance ',' BNYK ',' ']")</f>
        <v>['Pay', 'transaction', 'Google', 'Play', 'Store', 'balance', 'mlulu', 'pdhl', 'balance', 'greedy', 'really', 'Telkomsel', ' Want ',' balance ',' BNYK ',' ']</v>
      </c>
      <c r="D2933" s="3">
        <v>1.0</v>
      </c>
    </row>
    <row r="2934" ht="15.75" customHeight="1">
      <c r="A2934" s="1">
        <v>3133.0</v>
      </c>
      <c r="B2934" s="3" t="s">
        <v>2862</v>
      </c>
      <c r="C2934" s="3" t="str">
        <f>IFERROR(__xludf.DUMMYFUNCTION("GOOGLETRANSLATE(B2934,""id"",""en"")"),"['number', 'package', 'expensive', 'application', 'telkom', 'application', 'telkom', 'husband', 'promo', 'cheap', 'gb', 'just', ' RB ',' Application ',' Telkom ',' GB ',' RB ',' Number ',' Telkomsel ',' DRPD ',' Husband ', ""]")</f>
        <v>['number', 'package', 'expensive', 'application', 'telkom', 'application', 'telkom', 'husband', 'promo', 'cheap', 'gb', 'just', ' RB ',' Application ',' Telkom ',' GB ',' RB ',' Number ',' Telkomsel ',' DRPD ',' Husband ', "]</v>
      </c>
      <c r="D2934" s="3">
        <v>4.0</v>
      </c>
    </row>
    <row r="2935" ht="15.75" customHeight="1">
      <c r="A2935" s="1">
        <v>3134.0</v>
      </c>
      <c r="B2935" s="3" t="s">
        <v>2863</v>
      </c>
      <c r="C2935" s="3" t="str">
        <f>IFERROR(__xludf.DUMMYFUNCTION("GOOGLETRANSLATE(B2935,""id"",""en"")"),"['apk', 'Telkomsel', 'opened', '']")</f>
        <v>['apk', 'Telkomsel', 'opened', '']</v>
      </c>
      <c r="D2935" s="3">
        <v>1.0</v>
      </c>
    </row>
    <row r="2936" ht="15.75" customHeight="1">
      <c r="A2936" s="1">
        <v>3135.0</v>
      </c>
      <c r="B2936" s="3" t="s">
        <v>2864</v>
      </c>
      <c r="C2936" s="3" t="str">
        <f>IFERROR(__xludf.DUMMYFUNCTION("GOOGLETRANSLATE(B2936,""id"",""en"")"),"['UDH', 'updated', 'repeated', 'mala', 'opened', 'run out', 'use', '']")</f>
        <v>['UDH', 'updated', 'repeated', 'mala', 'opened', 'run out', 'use', '']</v>
      </c>
      <c r="D2936" s="3">
        <v>1.0</v>
      </c>
    </row>
    <row r="2937" ht="15.75" customHeight="1">
      <c r="A2937" s="1">
        <v>3136.0</v>
      </c>
      <c r="B2937" s="3" t="s">
        <v>1310</v>
      </c>
      <c r="C2937" s="3" t="str">
        <f>IFERROR(__xludf.DUMMYFUNCTION("GOOGLETRANSLATE(B2937,""id"",""en"")"),"['Open', 'the application']")</f>
        <v>['Open', 'the application']</v>
      </c>
      <c r="D2937" s="3">
        <v>3.0</v>
      </c>
    </row>
    <row r="2938" ht="15.75" customHeight="1">
      <c r="A2938" s="1">
        <v>3137.0</v>
      </c>
      <c r="B2938" s="3" t="s">
        <v>2865</v>
      </c>
      <c r="C2938" s="3" t="str">
        <f>IFERROR(__xludf.DUMMYFUNCTION("GOOGLETRANSLATE(B2938,""id"",""en"")"),"['happy', 'promo', 'telkomsel']")</f>
        <v>['happy', 'promo', 'telkomsel']</v>
      </c>
      <c r="D2938" s="3">
        <v>5.0</v>
      </c>
    </row>
    <row r="2939" ht="15.75" customHeight="1">
      <c r="A2939" s="1">
        <v>3138.0</v>
      </c>
      <c r="B2939" s="3" t="s">
        <v>2866</v>
      </c>
      <c r="C2939" s="3" t="str">
        <f>IFERROR(__xludf.DUMMYFUNCTION("GOOGLETRANSLATE(B2939,""id"",""en"")"),"['Please', 'Sorry', 'Price', 'His time', 'Jdi', 'HRI', 'Terms',' Broo ',' Napa ',' Price ',' Naggung ',' Yes', ' origin ',' his time ',' strange ',' ajaa ',' update ']")</f>
        <v>['Please', 'Sorry', 'Price', 'His time', 'Jdi', 'HRI', 'Terms',' Broo ',' Napa ',' Price ',' Naggung ',' Yes', ' origin ',' his time ',' strange ',' ajaa ',' update ']</v>
      </c>
      <c r="D2939" s="3">
        <v>1.0</v>
      </c>
    </row>
    <row r="2940" ht="15.75" customHeight="1">
      <c r="A2940" s="1">
        <v>3139.0</v>
      </c>
      <c r="B2940" s="3" t="s">
        <v>2867</v>
      </c>
      <c r="C2940" s="3" t="str">
        <f>IFERROR(__xludf.DUMMYFUNCTION("GOOGLETRANSLATE(B2940,""id"",""en"")"),"['updated', 'opened', '']")</f>
        <v>['updated', 'opened', '']</v>
      </c>
      <c r="D2940" s="3">
        <v>3.0</v>
      </c>
    </row>
    <row r="2941" ht="15.75" customHeight="1">
      <c r="A2941" s="1">
        <v>3140.0</v>
      </c>
      <c r="B2941" s="3" t="s">
        <v>2868</v>
      </c>
      <c r="C2941" s="3" t="str">
        <f>IFERROR(__xludf.DUMMYFUNCTION("GOOGLETRANSLATE(B2941,""id"",""en"")"),"['Satisfied', 'Vantu']")</f>
        <v>['Satisfied', 'Vantu']</v>
      </c>
      <c r="D2941" s="3">
        <v>5.0</v>
      </c>
    </row>
    <row r="2942" ht="15.75" customHeight="1">
      <c r="A2942" s="1">
        <v>3141.0</v>
      </c>
      <c r="B2942" s="3" t="s">
        <v>2869</v>
      </c>
      <c r="C2942" s="3" t="str">
        <f>IFERROR(__xludf.DUMMYFUNCTION("GOOGLETRANSLATE(B2942,""id"",""en"")"),"['APK', 'Open']")</f>
        <v>['APK', 'Open']</v>
      </c>
      <c r="D2942" s="3">
        <v>3.0</v>
      </c>
    </row>
    <row r="2943" ht="15.75" customHeight="1">
      <c r="A2943" s="1">
        <v>3142.0</v>
      </c>
      <c r="B2943" s="3" t="s">
        <v>2870</v>
      </c>
      <c r="C2943" s="3" t="str">
        <f>IFERROR(__xludf.DUMMYFUNCTION("GOOGLETRANSLATE(B2943,""id"",""en"")"),"['a year', 'network', 'good', 'disappointing', 'losing', 'smartfren', 'emotion', 'want', 'switch']")</f>
        <v>['a year', 'network', 'good', 'disappointing', 'losing', 'smartfren', 'emotion', 'want', 'switch']</v>
      </c>
      <c r="D2943" s="3">
        <v>5.0</v>
      </c>
    </row>
    <row r="2944" ht="15.75" customHeight="1">
      <c r="A2944" s="1">
        <v>3143.0</v>
      </c>
      <c r="B2944" s="3" t="s">
        <v>2871</v>
      </c>
      <c r="C2944" s="3" t="str">
        <f>IFERROR(__xludf.DUMMYFUNCTION("GOOGLETRANSLATE(B2944,""id"",""en"")"),"['', 'application', 'useful']")</f>
        <v>['', 'application', 'useful']</v>
      </c>
      <c r="D2944" s="3">
        <v>5.0</v>
      </c>
    </row>
    <row r="2945" ht="15.75" customHeight="1">
      <c r="A2945" s="1">
        <v>3144.0</v>
      </c>
      <c r="B2945" s="3" t="s">
        <v>2872</v>
      </c>
      <c r="C2945" s="3" t="str">
        <f>IFERROR(__xludf.DUMMYFUNCTION("GOOGLETRANSLATE(B2945,""id"",""en"")"),"['already', 'good', 'just', 'signal', 'network', 'Telkomsel', 'missing']")</f>
        <v>['already', 'good', 'just', 'signal', 'network', 'Telkomsel', 'missing']</v>
      </c>
      <c r="D2945" s="3">
        <v>3.0</v>
      </c>
    </row>
    <row r="2946" ht="15.75" customHeight="1">
      <c r="A2946" s="1">
        <v>3145.0</v>
      </c>
      <c r="B2946" s="3" t="s">
        <v>2873</v>
      </c>
      <c r="C2946" s="3" t="str">
        <f>IFERROR(__xludf.DUMMYFUNCTION("GOOGLETRANSLATE(B2946,""id"",""en"")"),"['user', 'Telkomsel', '']")</f>
        <v>['user', 'Telkomsel', '']</v>
      </c>
      <c r="D2946" s="3">
        <v>5.0</v>
      </c>
    </row>
    <row r="2947" ht="15.75" customHeight="1">
      <c r="A2947" s="1">
        <v>3146.0</v>
      </c>
      <c r="B2947" s="3" t="s">
        <v>2874</v>
      </c>
      <c r="C2947" s="3" t="str">
        <f>IFERROR(__xludf.DUMMYFUNCTION("GOOGLETRANSLATE(B2947,""id"",""en"")"),"['Quota', 'Need', 'Monthly', 'Cheap', '']")</f>
        <v>['Quota', 'Need', 'Monthly', 'Cheap', '']</v>
      </c>
      <c r="D2947" s="3">
        <v>1.0</v>
      </c>
    </row>
    <row r="2948" ht="15.75" customHeight="1">
      <c r="A2948" s="1">
        <v>3147.0</v>
      </c>
      <c r="B2948" s="3" t="s">
        <v>2875</v>
      </c>
      <c r="C2948" s="3" t="str">
        <f>IFERROR(__xludf.DUMMYFUNCTION("GOOGLETRANSLATE(B2948,""id"",""en"")"),"['Please', 'Depelover', 'Telkomsel', 'Play', 'Game', 'Network', 'Complete', 'Play', 'Game', 'What', 'in the area', 'Pandeglang', ' Banten ',' Honest ',' Satisfied ',' Network ',' Telkomsel ',' Please ',' Repaired ',' Personal ',' Sedkit ',' Disappointed '"&amp;"]")</f>
        <v>['Please', 'Depelover', 'Telkomsel', 'Play', 'Game', 'Network', 'Complete', 'Play', 'Game', 'What', 'in the area', 'Pandeglang', ' Banten ',' Honest ',' Satisfied ',' Network ',' Telkomsel ',' Please ',' Repaired ',' Personal ',' Sedkit ',' Disappointed ']</v>
      </c>
      <c r="D2948" s="3">
        <v>2.0</v>
      </c>
    </row>
    <row r="2949" ht="15.75" customHeight="1">
      <c r="A2949" s="1">
        <v>3148.0</v>
      </c>
      <c r="B2949" s="3" t="s">
        <v>2876</v>
      </c>
      <c r="C2949" s="3" t="str">
        <f>IFERROR(__xludf.DUMMYFUNCTION("GOOGLETRANSLATE(B2949,""id"",""en"")"),"['rotten', 'open', 'application', 'package', 'expensive', 'application', 'rotten', 'skali', 'open', 'slow', 'forgiveness',' signal ',' Full ',' poor ',' ']")</f>
        <v>['rotten', 'open', 'application', 'package', 'expensive', 'application', 'rotten', 'skali', 'open', 'slow', 'forgiveness',' signal ',' Full ',' poor ',' ']</v>
      </c>
      <c r="D2949" s="3">
        <v>1.0</v>
      </c>
    </row>
    <row r="2950" ht="15.75" customHeight="1">
      <c r="A2950" s="1">
        <v>3149.0</v>
      </c>
      <c r="B2950" s="3" t="s">
        <v>2877</v>
      </c>
      <c r="C2950" s="3" t="str">
        <f>IFERROR(__xludf.DUMMYFUNCTION("GOOGLETRANSLATE(B2950,""id"",""en"")"),"['Please', 'Signal', 'Telkomsel', 'Region', 'City', 'Serang', 'Banten', 'Exact', 'Dilink', 'Curugmanis',' Kel ',' Curug ',' Kec ',' Curug ',' repaired ',' his attention ',' thank ',' love ']")</f>
        <v>['Please', 'Signal', 'Telkomsel', 'Region', 'City', 'Serang', 'Banten', 'Exact', 'Dilink', 'Curugmanis',' Kel ',' Curug ',' Kec ',' Curug ',' repaired ',' his attention ',' thank ',' love ']</v>
      </c>
      <c r="D2950" s="3">
        <v>4.0</v>
      </c>
    </row>
    <row r="2951" ht="15.75" customHeight="1">
      <c r="A2951" s="1">
        <v>3150.0</v>
      </c>
      <c r="B2951" s="3" t="s">
        <v>2878</v>
      </c>
      <c r="C2951" s="3" t="str">
        <f>IFERROR(__xludf.DUMMYFUNCTION("GOOGLETRANSLATE(B2951,""id"",""en"")"),"['Star', 'application', 'loading', 'enter', 'menu', 'main', 'hope', 'updated', 'heavy', 'open']")</f>
        <v>['Star', 'application', 'loading', 'enter', 'menu', 'main', 'hope', 'updated', 'heavy', 'open']</v>
      </c>
      <c r="D2951" s="3">
        <v>2.0</v>
      </c>
    </row>
    <row r="2952" ht="15.75" customHeight="1">
      <c r="A2952" s="1">
        <v>3151.0</v>
      </c>
      <c r="B2952" s="3" t="s">
        <v>2879</v>
      </c>
      <c r="C2952" s="3" t="str">
        <f>IFERROR(__xludf.DUMMYFUNCTION("GOOGLETRANSLATE(B2952,""id"",""en"")"),"['Updated', 'opened', 'APKIKASINY']")</f>
        <v>['Updated', 'opened', 'APKIKASINY']</v>
      </c>
      <c r="D2952" s="3">
        <v>2.0</v>
      </c>
    </row>
    <row r="2953" ht="15.75" customHeight="1">
      <c r="A2953" s="1">
        <v>3152.0</v>
      </c>
      <c r="B2953" s="3" t="s">
        <v>2880</v>
      </c>
      <c r="C2953" s="3" t="str">
        <f>IFERROR(__xludf.DUMMYFUNCTION("GOOGLETRANSLATE(B2953,""id"",""en"")"),"['Cheap', 'buy', 'quota', '']")</f>
        <v>['Cheap', 'buy', 'quota', '']</v>
      </c>
      <c r="D2953" s="3">
        <v>5.0</v>
      </c>
    </row>
    <row r="2954" ht="15.75" customHeight="1">
      <c r="A2954" s="1">
        <v>3153.0</v>
      </c>
      <c r="B2954" s="3" t="s">
        <v>2881</v>
      </c>
      <c r="C2954" s="3" t="str">
        <f>IFERROR(__xludf.DUMMYFUNCTION("GOOGLETRANSLATE(B2954,""id"",""en"")"),"['Nubbbb', 'APK']")</f>
        <v>['Nubbbb', 'APK']</v>
      </c>
      <c r="D2954" s="3">
        <v>1.0</v>
      </c>
    </row>
    <row r="2955" ht="15.75" customHeight="1">
      <c r="A2955" s="1">
        <v>3154.0</v>
      </c>
      <c r="B2955" s="3" t="s">
        <v>2882</v>
      </c>
      <c r="C2955" s="3" t="str">
        <f>IFERROR(__xludf.DUMMYFUNCTION("GOOGLETRANSLATE(B2955,""id"",""en"")"),"['Gabisa', 'opened', 'application', 'hey', 'fill', 'reset', 'package', 'gabisa']")</f>
        <v>['Gabisa', 'opened', 'application', 'hey', 'fill', 'reset', 'package', 'gabisa']</v>
      </c>
      <c r="D2955" s="3">
        <v>2.0</v>
      </c>
    </row>
    <row r="2956" ht="15.75" customHeight="1">
      <c r="A2956" s="1">
        <v>3155.0</v>
      </c>
      <c r="B2956" s="3" t="s">
        <v>2883</v>
      </c>
      <c r="C2956" s="3" t="str">
        <f>IFERROR(__xludf.DUMMYFUNCTION("GOOGLETRANSLATE(B2956,""id"",""en"")"),"['network', 'slow', 'sometimes', 'disappears', 'strange']")</f>
        <v>['network', 'slow', 'sometimes', 'disappears', 'strange']</v>
      </c>
      <c r="D2956" s="3">
        <v>3.0</v>
      </c>
    </row>
    <row r="2957" ht="15.75" customHeight="1">
      <c r="A2957" s="1">
        <v>3156.0</v>
      </c>
      <c r="B2957" s="3" t="s">
        <v>2884</v>
      </c>
      <c r="C2957" s="3" t="str">
        <f>IFERROR(__xludf.DUMMYFUNCTION("GOOGLETRANSLATE(B2957,""id"",""en"")"),"['Telkomsel', 'weekly', 'week', 'access', 'Telkomsel', 'screen', 'white', 'alarming', 'disappointed', 'disappointed', ""]")</f>
        <v>['Telkomsel', 'weekly', 'week', 'access', 'Telkomsel', 'screen', 'white', 'alarming', 'disappointed', 'disappointed', "]</v>
      </c>
      <c r="D2957" s="3">
        <v>1.0</v>
      </c>
    </row>
    <row r="2958" ht="15.75" customHeight="1">
      <c r="A2958" s="1">
        <v>3157.0</v>
      </c>
      <c r="B2958" s="3" t="s">
        <v>2885</v>
      </c>
      <c r="C2958" s="3" t="str">
        <f>IFERROR(__xludf.DUMMYFUNCTION("GOOGLETRANSLATE(B2958,""id"",""en"")"),"['NDK', 'Open', 'Application', 'Application', 'MyTelkomsel', 'Update', 'Mah', 'Good', 'NDK', 'Opened']")</f>
        <v>['NDK', 'Open', 'Application', 'Application', 'MyTelkomsel', 'Update', 'Mah', 'Good', 'NDK', 'Opened']</v>
      </c>
      <c r="D2958" s="3">
        <v>1.0</v>
      </c>
    </row>
    <row r="2959" ht="15.75" customHeight="1">
      <c r="A2959" s="1">
        <v>3158.0</v>
      </c>
      <c r="B2959" s="3" t="s">
        <v>2886</v>
      </c>
      <c r="C2959" s="3" t="str">
        <f>IFERROR(__xludf.DUMMYFUNCTION("GOOGLETRANSLATE(B2959,""id"",""en"")"),"['Add', 'mode', 'payment', 'via', 'bank', 'Add', 'star', '']")</f>
        <v>['Add', 'mode', 'payment', 'via', 'bank', 'Add', 'star', '']</v>
      </c>
      <c r="D2959" s="3">
        <v>3.0</v>
      </c>
    </row>
    <row r="2960" ht="15.75" customHeight="1">
      <c r="A2960" s="1">
        <v>3159.0</v>
      </c>
      <c r="B2960" s="3" t="s">
        <v>2887</v>
      </c>
      <c r="C2960" s="3" t="str">
        <f>IFERROR(__xludf.DUMMYFUNCTION("GOOGLETRANSLATE(B2960,""id"",""en"")"),"['Application', 'hope', 'enter', 'menu', 'login', 'please', 'MyTelkomsel', 'rich', 'back', 'recommended', 'Bangatt', ""]")</f>
        <v>['Application', 'hope', 'enter', 'menu', 'login', 'please', 'MyTelkomsel', 'rich', 'back', 'recommended', 'Bangatt', "]</v>
      </c>
      <c r="D2960" s="3">
        <v>1.0</v>
      </c>
    </row>
    <row r="2961" ht="15.75" customHeight="1">
      <c r="A2961" s="1">
        <v>3160.0</v>
      </c>
      <c r="B2961" s="3" t="s">
        <v>2888</v>
      </c>
      <c r="C2961" s="3" t="str">
        <f>IFERROR(__xludf.DUMMYFUNCTION("GOOGLETRANSLATE(B2961,""id"",""en"")"),"['Lovers', 'Tsel', 'signal', 'smooth', 'Where', 'ugly', 'game', 'connection', 'broke', 'please', 'repair', 'network']")</f>
        <v>['Lovers', 'Tsel', 'signal', 'smooth', 'Where', 'ugly', 'game', 'connection', 'broke', 'please', 'repair', 'network']</v>
      </c>
      <c r="D2961" s="3">
        <v>1.0</v>
      </c>
    </row>
    <row r="2962" ht="15.75" customHeight="1">
      <c r="A2962" s="1">
        <v>3161.0</v>
      </c>
      <c r="B2962" s="3" t="s">
        <v>2889</v>
      </c>
      <c r="C2962" s="3" t="str">
        <f>IFERROR(__xludf.DUMMYFUNCTION("GOOGLETRANSLATE(B2962,""id"",""en"")"),"['Severe', 'Nggk', 'Open', '']")</f>
        <v>['Severe', 'Nggk', 'Open', '']</v>
      </c>
      <c r="D2962" s="3">
        <v>1.0</v>
      </c>
    </row>
    <row r="2963" ht="15.75" customHeight="1">
      <c r="A2963" s="1">
        <v>3162.0</v>
      </c>
      <c r="B2963" s="3" t="s">
        <v>2890</v>
      </c>
      <c r="C2963" s="3" t="str">
        <f>IFERROR(__xludf.DUMMYFUNCTION("GOOGLETRANSLATE(B2963,""id"",""en"")"),"['bukuaaaaaaaaaaaa']")</f>
        <v>['bukuaaaaaaaaaaaa']</v>
      </c>
      <c r="D2963" s="3">
        <v>1.0</v>
      </c>
    </row>
    <row r="2964" ht="15.75" customHeight="1">
      <c r="A2964" s="1">
        <v>3163.0</v>
      </c>
      <c r="B2964" s="3" t="s">
        <v>2109</v>
      </c>
      <c r="C2964" s="3" t="str">
        <f>IFERROR(__xludf.DUMMYFUNCTION("GOOGLETRANSLATE(B2964,""id"",""en"")"),"['Help', 'thank you']")</f>
        <v>['Help', 'thank you']</v>
      </c>
      <c r="D2964" s="3">
        <v>5.0</v>
      </c>
    </row>
    <row r="2965" ht="15.75" customHeight="1">
      <c r="A2965" s="1">
        <v>3164.0</v>
      </c>
      <c r="B2965" s="3" t="s">
        <v>2891</v>
      </c>
      <c r="C2965" s="3" t="str">
        <f>IFERROR(__xludf.DUMMYFUNCTION("GOOGLETRANSLATE(B2965,""id"",""en"")"),"['satisfying', 'in the future', 'hope', 'improve', 'quality', 'connection', 'signal', 'area', 'remote']")</f>
        <v>['satisfying', 'in the future', 'hope', 'improve', 'quality', 'connection', 'signal', 'area', 'remote']</v>
      </c>
      <c r="D2965" s="3">
        <v>5.0</v>
      </c>
    </row>
    <row r="2966" ht="15.75" customHeight="1">
      <c r="A2966" s="1">
        <v>3165.0</v>
      </c>
      <c r="B2966" s="3" t="s">
        <v>2892</v>
      </c>
      <c r="C2966" s="3" t="str">
        <f>IFERROR(__xludf.DUMMYFUNCTION("GOOGLETRANSLATE(B2966,""id"",""en"")"),"['Application', 'difficult', 'open']")</f>
        <v>['Application', 'difficult', 'open']</v>
      </c>
      <c r="D2966" s="3">
        <v>5.0</v>
      </c>
    </row>
    <row r="2967" ht="15.75" customHeight="1">
      <c r="A2967" s="1">
        <v>3166.0</v>
      </c>
      <c r="B2967" s="3" t="s">
        <v>2893</v>
      </c>
      <c r="C2967" s="3" t="str">
        <f>IFERROR(__xludf.DUMMYFUNCTION("GOOGLETRANSLATE(B2967,""id"",""en"")"),"['Application', 'Open', '']")</f>
        <v>['Application', 'Open', '']</v>
      </c>
      <c r="D2967" s="3">
        <v>3.0</v>
      </c>
    </row>
    <row r="2968" ht="15.75" customHeight="1">
      <c r="A2968" s="1">
        <v>3167.0</v>
      </c>
      <c r="B2968" s="3" t="s">
        <v>2894</v>
      </c>
      <c r="C2968" s="3" t="str">
        <f>IFERROR(__xludf.DUMMYFUNCTION("GOOGLETRANSLATE(B2968,""id"",""en"")"),"['expensive', 'package']")</f>
        <v>['expensive', 'package']</v>
      </c>
      <c r="D2968" s="3">
        <v>1.0</v>
      </c>
    </row>
    <row r="2969" ht="15.75" customHeight="1">
      <c r="A2969" s="1">
        <v>3168.0</v>
      </c>
      <c r="B2969" s="3" t="s">
        <v>2591</v>
      </c>
      <c r="C2969" s="3" t="str">
        <f>IFERROR(__xludf.DUMMYFUNCTION("GOOGLETRANSLATE(B2969,""id"",""en"")"),"['Good', 'APK', '']")</f>
        <v>['Good', 'APK', '']</v>
      </c>
      <c r="D2969" s="3">
        <v>5.0</v>
      </c>
    </row>
    <row r="2970" ht="15.75" customHeight="1">
      <c r="A2970" s="1">
        <v>3169.0</v>
      </c>
      <c r="B2970" s="3" t="s">
        <v>2895</v>
      </c>
      <c r="C2970" s="3" t="str">
        <f>IFERROR(__xludf.DUMMYFUNCTION("GOOGLETRANSLATE(B2970,""id"",""en"")"),"['sting', 'petrified']")</f>
        <v>['sting', 'petrified']</v>
      </c>
      <c r="D2970" s="3">
        <v>5.0</v>
      </c>
    </row>
    <row r="2971" ht="15.75" customHeight="1">
      <c r="A2971" s="1">
        <v>3170.0</v>
      </c>
      <c r="B2971" s="3" t="s">
        <v>2896</v>
      </c>
      <c r="C2971" s="3" t="str">
        <f>IFERROR(__xludf.DUMMYFUNCTION("GOOGLETRANSLATE(B2971,""id"",""en"")"),"['', 'Redmi', 'Note', 'Install', 'App', '']")</f>
        <v>['', 'Redmi', 'Note', 'Install', 'App', '']</v>
      </c>
      <c r="D2971" s="3">
        <v>3.0</v>
      </c>
    </row>
    <row r="2972" ht="15.75" customHeight="1">
      <c r="A2972" s="1">
        <v>3171.0</v>
      </c>
      <c r="B2972" s="3" t="s">
        <v>2897</v>
      </c>
      <c r="C2972" s="3" t="str">
        <f>IFERROR(__xludf.DUMMYFUNCTION("GOOGLETRANSLATE(B2972,""id"",""en"")"),"['Cheap', 'match', '']")</f>
        <v>['Cheap', 'match', '']</v>
      </c>
      <c r="D2972" s="3">
        <v>5.0</v>
      </c>
    </row>
    <row r="2973" ht="15.75" customHeight="1">
      <c r="A2973" s="1">
        <v>3172.0</v>
      </c>
      <c r="B2973" s="3" t="s">
        <v>2898</v>
      </c>
      <c r="C2973" s="3" t="str">
        <f>IFERROR(__xludf.DUMMYFUNCTION("GOOGLETRANSLATE(B2973,""id"",""en"")"),"['signal', 'difficult', '']")</f>
        <v>['signal', 'difficult', '']</v>
      </c>
      <c r="D2973" s="3">
        <v>3.0</v>
      </c>
    </row>
    <row r="2974" ht="15.75" customHeight="1">
      <c r="A2974" s="1">
        <v>3173.0</v>
      </c>
      <c r="B2974" s="3" t="s">
        <v>2899</v>
      </c>
      <c r="C2974" s="3" t="str">
        <f>IFERROR(__xludf.DUMMYFUNCTION("GOOGLETRANSLATE(B2974,""id"",""en"")"),"['Star', 'rates', 'package', 'data', 'user', 'expensive', '']")</f>
        <v>['Star', 'rates', 'package', 'data', 'user', 'expensive', '']</v>
      </c>
      <c r="D2974" s="3">
        <v>3.0</v>
      </c>
    </row>
    <row r="2975" ht="15.75" customHeight="1">
      <c r="A2975" s="1">
        <v>3174.0</v>
      </c>
      <c r="B2975" s="3" t="s">
        <v>2900</v>
      </c>
      <c r="C2975" s="3" t="str">
        <f>IFERROR(__xludf.DUMMYFUNCTION("GOOGLETRANSLATE(B2975,""id"",""en"")"),"['Join', 'Application', 'Lok', 'Good', 'Star']")</f>
        <v>['Join', 'Application', 'Lok', 'Good', 'Star']</v>
      </c>
      <c r="D2975" s="3">
        <v>1.0</v>
      </c>
    </row>
    <row r="2976" ht="15.75" customHeight="1">
      <c r="A2976" s="1">
        <v>3175.0</v>
      </c>
      <c r="B2976" s="3" t="s">
        <v>2901</v>
      </c>
      <c r="C2976" s="3" t="str">
        <f>IFERROR(__xludf.DUMMYFUNCTION("GOOGLETRANSLATE(B2976,""id"",""en"")"),"['Buy', 'Package', 'Gampang', 'murahhh']")</f>
        <v>['Buy', 'Package', 'Gampang', 'murahhh']</v>
      </c>
      <c r="D2976" s="3">
        <v>5.0</v>
      </c>
    </row>
    <row r="2977" ht="15.75" customHeight="1">
      <c r="A2977" s="1">
        <v>3176.0</v>
      </c>
      <c r="B2977" s="3" t="s">
        <v>2902</v>
      </c>
      <c r="C2977" s="3" t="str">
        <f>IFERROR(__xludf.DUMMYFUNCTION("GOOGLETRANSLATE(B2977,""id"",""en"")"),"['Pokona', 'Service', 'Best']")</f>
        <v>['Pokona', 'Service', 'Best']</v>
      </c>
      <c r="D2977" s="3">
        <v>4.0</v>
      </c>
    </row>
    <row r="2978" ht="15.75" customHeight="1">
      <c r="A2978" s="1">
        <v>3177.0</v>
      </c>
      <c r="B2978" s="3" t="s">
        <v>2903</v>
      </c>
      <c r="C2978" s="3" t="str">
        <f>IFERROR(__xludf.DUMMYFUNCTION("GOOGLETRANSLATE(B2978,""id"",""en"")"),"['hard', 'sympathy', 'poor', 'ganguan', 'please', 'fix', 'disorder', 'udh', 'that's',' network ',' hard ',' kouta ',' rich ',' kouta ',' loss', 'udh', 'fill in', 'pulse', 'big', 'spend', 'money', 'doang', 'disorder', 'please', 'fix' , 'LGI', 'Diem', 'Disa"&amp;"ppointed']")</f>
        <v>['hard', 'sympathy', 'poor', 'ganguan', 'please', 'fix', 'disorder', 'udh', 'that's',' network ',' hard ',' kouta ',' rich ',' kouta ',' loss', 'udh', 'fill in', 'pulse', 'big', 'spend', 'money', 'doang', 'disorder', 'please', 'fix' , 'LGI', 'Diem', 'Disappointed']</v>
      </c>
      <c r="D2978" s="3">
        <v>1.0</v>
      </c>
    </row>
    <row r="2979" ht="15.75" customHeight="1">
      <c r="A2979" s="1">
        <v>3178.0</v>
      </c>
      <c r="B2979" s="3" t="s">
        <v>2904</v>
      </c>
      <c r="C2979" s="3" t="str">
        <f>IFERROR(__xludf.DUMMYFUNCTION("GOOGLETRANSLATE(B2979,""id"",""en"")"),"['Package', 'GB', 'thousand', 'package', 'expensive', 'expensive']")</f>
        <v>['Package', 'GB', 'thousand', 'package', 'expensive', 'expensive']</v>
      </c>
      <c r="D2979" s="3">
        <v>5.0</v>
      </c>
    </row>
    <row r="2980" ht="15.75" customHeight="1">
      <c r="A2980" s="1">
        <v>3179.0</v>
      </c>
      <c r="B2980" s="3" t="s">
        <v>2905</v>
      </c>
      <c r="C2980" s="3" t="str">
        <f>IFERROR(__xludf.DUMMYFUNCTION("GOOGLETRANSLATE(B2980,""id"",""en"")"),"['Okay', 'steady', 'application']")</f>
        <v>['Okay', 'steady', 'application']</v>
      </c>
      <c r="D2980" s="3">
        <v>5.0</v>
      </c>
    </row>
    <row r="2981" ht="15.75" customHeight="1">
      <c r="A2981" s="1">
        <v>3180.0</v>
      </c>
      <c r="B2981" s="3" t="s">
        <v>2110</v>
      </c>
      <c r="C2981" s="3" t="str">
        <f>IFERROR(__xludf.DUMMYFUNCTION("GOOGLETRANSLATE(B2981,""id"",""en"")"),"['Telkomsel', '']")</f>
        <v>['Telkomsel', '']</v>
      </c>
      <c r="D2981" s="3">
        <v>5.0</v>
      </c>
    </row>
    <row r="2982" ht="15.75" customHeight="1">
      <c r="A2982" s="1">
        <v>3182.0</v>
      </c>
      <c r="B2982" s="3" t="s">
        <v>2906</v>
      </c>
      <c r="C2982" s="3" t="str">
        <f>IFERROR(__xludf.DUMMYFUNCTION("GOOGLETRANSLATE(B2982,""id"",""en"")"),"['travel', 'Telkomsel', 'convenience', 'menu', 'program', 'smg', 'yrs', 'dpn', 'good', ""]")</f>
        <v>['travel', 'Telkomsel', 'convenience', 'menu', 'program', 'smg', 'yrs', 'dpn', 'good', "]</v>
      </c>
      <c r="D2982" s="3">
        <v>5.0</v>
      </c>
    </row>
    <row r="2983" ht="15.75" customHeight="1">
      <c r="A2983" s="1">
        <v>3183.0</v>
      </c>
      <c r="B2983" s="3" t="s">
        <v>2907</v>
      </c>
      <c r="C2983" s="3" t="str">
        <f>IFERROR(__xludf.DUMMYFUNCTION("GOOGLETRANSLATE(B2983,""id"",""en"")"),"['Service', 'Good', 'Next', 'Good', '']")</f>
        <v>['Service', 'Good', 'Next', 'Good', '']</v>
      </c>
      <c r="D2983" s="3">
        <v>5.0</v>
      </c>
    </row>
    <row r="2984" ht="15.75" customHeight="1">
      <c r="A2984" s="1">
        <v>3184.0</v>
      </c>
      <c r="B2984" s="3" t="s">
        <v>2908</v>
      </c>
      <c r="C2984" s="3" t="str">
        <f>IFERROR(__xludf.DUMMYFUNCTION("GOOGLETRANSLATE(B2984,""id"",""en"")"),"['right', 'bag']")</f>
        <v>['right', 'bag']</v>
      </c>
      <c r="D2984" s="3">
        <v>5.0</v>
      </c>
    </row>
    <row r="2985" ht="15.75" customHeight="1">
      <c r="A2985" s="1">
        <v>3185.0</v>
      </c>
      <c r="B2985" s="3" t="s">
        <v>2909</v>
      </c>
      <c r="C2985" s="3" t="str">
        <f>IFERROR(__xludf.DUMMYFUNCTION("GOOGLETRANSLATE(B2985,""id"",""en"")"),"['disappointed', 'already', 'buy', 'package', 'giganet', 'plus',' package ',' extend ',' active ',' right ',' buy ',' his writing ',' system ',' busy ',' server ',' etc. ',' buy ',' quota ',' to ',' want ',' bankrupt ',' kah ',' please ',' telkomsel ',' p"&amp;"ackage ' , 'bought', 'listed', 'application', 'cheat', '']")</f>
        <v>['disappointed', 'already', 'buy', 'package', 'giganet', 'plus',' package ',' extend ',' active ',' right ',' buy ',' his writing ',' system ',' busy ',' server ',' etc. ',' buy ',' quota ',' to ',' want ',' bankrupt ',' kah ',' please ',' telkomsel ',' package ' , 'bought', 'listed', 'application', 'cheat', '']</v>
      </c>
      <c r="D2985" s="3">
        <v>1.0</v>
      </c>
    </row>
    <row r="2986" ht="15.75" customHeight="1">
      <c r="A2986" s="1">
        <v>3186.0</v>
      </c>
      <c r="B2986" s="3" t="s">
        <v>2910</v>
      </c>
      <c r="C2986" s="3" t="str">
        <f>IFERROR(__xludf.DUMMYFUNCTION("GOOGLETRANSLATE(B2986,""id"",""en"")"),"['Login', 'difficult']")</f>
        <v>['Login', 'difficult']</v>
      </c>
      <c r="D2986" s="3">
        <v>1.0</v>
      </c>
    </row>
    <row r="2987" ht="15.75" customHeight="1">
      <c r="A2987" s="1">
        <v>3187.0</v>
      </c>
      <c r="B2987" s="3" t="s">
        <v>2911</v>
      </c>
      <c r="C2987" s="3" t="str">
        <f>IFERROR(__xludf.DUMMYFUNCTION("GOOGLETRANSLATE(B2987,""id"",""en"")"),"['Contents', 'Credit', 'Reduced', 'Rupiah', '']")</f>
        <v>['Contents', 'Credit', 'Reduced', 'Rupiah', '']</v>
      </c>
      <c r="D2987" s="3">
        <v>1.0</v>
      </c>
    </row>
    <row r="2988" ht="15.75" customHeight="1">
      <c r="A2988" s="1">
        <v>3188.0</v>
      </c>
      <c r="B2988" s="3" t="s">
        <v>2912</v>
      </c>
      <c r="C2988" s="3" t="str">
        <f>IFERROR(__xludf.DUMMYFUNCTION("GOOGLETRANSLATE(B2988,""id"",""en"")"),"['signal', 'ugly', 'severe', 'ping', 'crazy', 'package', 'expensive', 'signal', 'stable']")</f>
        <v>['signal', 'ugly', 'severe', 'ping', 'crazy', 'package', 'expensive', 'signal', 'stable']</v>
      </c>
      <c r="D2988" s="3">
        <v>1.0</v>
      </c>
    </row>
    <row r="2989" ht="15.75" customHeight="1">
      <c r="A2989" s="1">
        <v>3189.0</v>
      </c>
      <c r="B2989" s="3" t="s">
        <v>355</v>
      </c>
      <c r="C2989" s="3" t="str">
        <f>IFERROR(__xludf.DUMMYFUNCTION("GOOGLETRANSLATE(B2989,""id"",""en"")"),"['open', '']")</f>
        <v>['open', '']</v>
      </c>
      <c r="D2989" s="3">
        <v>1.0</v>
      </c>
    </row>
    <row r="2990" ht="15.75" customHeight="1">
      <c r="A2990" s="1">
        <v>3190.0</v>
      </c>
      <c r="B2990" s="3" t="s">
        <v>2913</v>
      </c>
      <c r="C2990" s="3" t="str">
        <f>IFERROR(__xludf.DUMMYFUNCTION("GOOGLETRANSLATE(B2990,""id"",""en"")"),"['Price', 'Paketan', 'UDH', 'Signal', 'Disconnect', 'Connect', 'Hadeeh', ""]")</f>
        <v>['Price', 'Paketan', 'UDH', 'Signal', 'Disconnect', 'Connect', 'Hadeeh', "]</v>
      </c>
      <c r="D2990" s="3">
        <v>1.0</v>
      </c>
    </row>
    <row r="2991" ht="15.75" customHeight="1">
      <c r="A2991" s="1">
        <v>3191.0</v>
      </c>
      <c r="B2991" s="3" t="s">
        <v>2914</v>
      </c>
      <c r="C2991" s="3" t="str">
        <f>IFERROR(__xludf.DUMMYFUNCTION("GOOGLETRANSLATE(B2991,""id"",""en"")"),"['How', 'Since', 'Update', 'Version', 'Opened', 'Boro', 'Boro', 'Buy', 'App', 'Follow', 'Promo', 'blank', ' screen ',' white ',' plain ']")</f>
        <v>['How', 'Since', 'Update', 'Version', 'Opened', 'Boro', 'Boro', 'Buy', 'App', 'Follow', 'Promo', 'blank', ' screen ',' white ',' plain ']</v>
      </c>
      <c r="D2991" s="3">
        <v>1.0</v>
      </c>
    </row>
    <row r="2992" ht="15.75" customHeight="1">
      <c r="A2992" s="1">
        <v>3192.0</v>
      </c>
      <c r="B2992" s="3" t="s">
        <v>2915</v>
      </c>
      <c r="C2992" s="3" t="str">
        <f>IFERROR(__xludf.DUMMYFUNCTION("GOOGLETRANSLATE(B2992,""id"",""en"")"),"['Steady', 'serve', 'all', 'heart']")</f>
        <v>['Steady', 'serve', 'all', 'heart']</v>
      </c>
      <c r="D2992" s="3">
        <v>5.0</v>
      </c>
    </row>
    <row r="2993" ht="15.75" customHeight="1">
      <c r="A2993" s="1">
        <v>3193.0</v>
      </c>
      <c r="B2993" s="3" t="s">
        <v>2916</v>
      </c>
      <c r="C2993" s="3" t="str">
        <f>IFERROR(__xludf.DUMMYFUNCTION("GOOGLETRANSLATE(B2993,""id"",""en"")"),"['easy', 'fast', 'thank', 'love']")</f>
        <v>['easy', 'fast', 'thank', 'love']</v>
      </c>
      <c r="D2993" s="3">
        <v>5.0</v>
      </c>
    </row>
    <row r="2994" ht="15.75" customHeight="1">
      <c r="A2994" s="1">
        <v>3194.0</v>
      </c>
      <c r="B2994" s="3" t="s">
        <v>2917</v>
      </c>
      <c r="C2994" s="3" t="str">
        <f>IFERROR(__xludf.DUMMYFUNCTION("GOOGLETRANSLATE(B2994,""id"",""en"")"),"['Provides', 'city', 'according to', 'needs', 'times', 'choice', 'package', 'makiiin', 'dizzy', ""]")</f>
        <v>['Provides', 'city', 'according to', 'needs', 'times', 'choice', 'package', 'makiiin', 'dizzy', "]</v>
      </c>
      <c r="D2994" s="3">
        <v>2.0</v>
      </c>
    </row>
    <row r="2995" ht="15.75" customHeight="1">
      <c r="A2995" s="1">
        <v>3195.0</v>
      </c>
      <c r="B2995" s="3" t="s">
        <v>2918</v>
      </c>
      <c r="C2995" s="3" t="str">
        <f>IFERROR(__xludf.DUMMYFUNCTION("GOOGLETRANSLATE(B2995,""id"",""en"")"),"['opened', 'sekrang', 'edit', 'ullasn']")</f>
        <v>['opened', 'sekrang', 'edit', 'ullasn']</v>
      </c>
      <c r="D2995" s="3">
        <v>2.0</v>
      </c>
    </row>
    <row r="2996" ht="15.75" customHeight="1">
      <c r="A2996" s="1">
        <v>3196.0</v>
      </c>
      <c r="B2996" s="3" t="s">
        <v>2919</v>
      </c>
      <c r="C2996" s="3" t="str">
        <f>IFERROR(__xludf.DUMMYFUNCTION("GOOGLETRANSLATE(B2996,""id"",""en"")"),"['steady', 'improvisation', 'development', '']")</f>
        <v>['steady', 'improvisation', 'development', '']</v>
      </c>
      <c r="D2996" s="3">
        <v>5.0</v>
      </c>
    </row>
    <row r="2997" ht="15.75" customHeight="1">
      <c r="A2997" s="1">
        <v>3197.0</v>
      </c>
      <c r="B2997" s="3" t="s">
        <v>2920</v>
      </c>
      <c r="C2997" s="3" t="str">
        <f>IFERROR(__xludf.DUMMYFUNCTION("GOOGLETRANSLATE(B2997,""id"",""en"")"),"['Kerabaaa', 'expensive', 'doang', 'network', 'asuuu', 'maen', 'doang', 'ngelag', 'forgiveness']")</f>
        <v>['Kerabaaa', 'expensive', 'doang', 'network', 'asuuu', 'maen', 'doang', 'ngelag', 'forgiveness']</v>
      </c>
      <c r="D2997" s="3">
        <v>1.0</v>
      </c>
    </row>
    <row r="2998" ht="15.75" customHeight="1">
      <c r="A2998" s="1">
        <v>3198.0</v>
      </c>
      <c r="B2998" s="3" t="s">
        <v>2921</v>
      </c>
      <c r="C2998" s="3" t="str">
        <f>IFERROR(__xludf.DUMMYFUNCTION("GOOGLETRANSLATE(B2998,""id"",""en"")"),"['signal', 'good', 'replace', 'install', 'appear', 'blenk', 'white', 'tolonh', 'help']")</f>
        <v>['signal', 'good', 'replace', 'install', 'appear', 'blenk', 'white', 'tolonh', 'help']</v>
      </c>
      <c r="D2998" s="3">
        <v>5.0</v>
      </c>
    </row>
    <row r="2999" ht="15.75" customHeight="1">
      <c r="A2999" s="1">
        <v>3199.0</v>
      </c>
      <c r="B2999" s="3" t="s">
        <v>2922</v>
      </c>
      <c r="C2999" s="3" t="str">
        <f>IFERROR(__xludf.DUMMYFUNCTION("GOOGLETRANSLATE(B2999,""id"",""en"")"),"['Like', 'use', 'Telkomsel', 'sometimes', 'recording', '']")</f>
        <v>['Like', 'use', 'Telkomsel', 'sometimes', 'recording', '']</v>
      </c>
      <c r="D2999" s="3">
        <v>5.0</v>
      </c>
    </row>
    <row r="3000" ht="15.75" customHeight="1">
      <c r="A3000" s="1">
        <v>3200.0</v>
      </c>
      <c r="B3000" s="3" t="s">
        <v>2923</v>
      </c>
      <c r="C3000" s="3" t="str">
        <f>IFERROR(__xludf.DUMMYFUNCTION("GOOGLETRANSLATE(B3000,""id"",""en"")"),"['Help', 'Network', 'Jga', 'Stable']")</f>
        <v>['Help', 'Network', 'Jga', 'Stable']</v>
      </c>
      <c r="D3000" s="3">
        <v>5.0</v>
      </c>
    </row>
    <row r="3001" ht="15.75" customHeight="1">
      <c r="A3001" s="1">
        <v>3201.0</v>
      </c>
      <c r="B3001" s="3" t="s">
        <v>2924</v>
      </c>
      <c r="C3001" s="3" t="str">
        <f>IFERROR(__xludf.DUMMYFUNCTION("GOOGLETRANSLATE(B3001,""id"",""en"")"),"['Sorry', 'application', 'opened', 'at home', 'use', 'Telkomsel', 'bad', 'pulse', 'data', 'internet', 'expensive', ""]")</f>
        <v>['Sorry', 'application', 'opened', 'at home', 'use', 'Telkomsel', 'bad', 'pulse', 'data', 'internet', 'expensive', "]</v>
      </c>
      <c r="D3001" s="3">
        <v>1.0</v>
      </c>
    </row>
    <row r="3002" ht="15.75" customHeight="1">
      <c r="A3002" s="1">
        <v>3202.0</v>
      </c>
      <c r="B3002" s="3" t="s">
        <v>2925</v>
      </c>
      <c r="C3002" s="3" t="str">
        <f>IFERROR(__xludf.DUMMYFUNCTION("GOOGLETRANSLATE(B3002,""id"",""en"")"),"['why', 'NGK', 'Open', 'Telkomsel', 'Sinyap', 'Bagus', 'Telkom']")</f>
        <v>['why', 'NGK', 'Open', 'Telkomsel', 'Sinyap', 'Bagus', 'Telkom']</v>
      </c>
      <c r="D3002" s="3">
        <v>5.0</v>
      </c>
    </row>
    <row r="3003" ht="15.75" customHeight="1">
      <c r="A3003" s="1">
        <v>3203.0</v>
      </c>
      <c r="B3003" s="3" t="s">
        <v>2926</v>
      </c>
      <c r="C3003" s="3" t="str">
        <f>IFERROR(__xludf.DUMMYFUNCTION("GOOGLETRANSLATE(B3003,""id"",""en"")"),"['Steady', 'Telkomsel', 'no', 'appears']")</f>
        <v>['Steady', 'Telkomsel', 'no', 'appears']</v>
      </c>
      <c r="D3003" s="3">
        <v>5.0</v>
      </c>
    </row>
    <row r="3004" ht="15.75" customHeight="1">
      <c r="A3004" s="1">
        <v>3204.0</v>
      </c>
      <c r="B3004" s="3" t="s">
        <v>2927</v>
      </c>
      <c r="C3004" s="3" t="str">
        <f>IFERROR(__xludf.DUMMYFUNCTION("GOOGLETRANSLATE(B3004,""id"",""en"")"),"['Network', 'stable', 'signal', '']")</f>
        <v>['Network', 'stable', 'signal', '']</v>
      </c>
      <c r="D3004" s="3">
        <v>4.0</v>
      </c>
    </row>
    <row r="3005" ht="15.75" customHeight="1">
      <c r="A3005" s="1">
        <v>3205.0</v>
      </c>
      <c r="B3005" s="3" t="s">
        <v>2928</v>
      </c>
      <c r="C3005" s="3" t="str">
        <f>IFERROR(__xludf.DUMMYFUNCTION("GOOGLETRANSLATE(B3005,""id"",""en"")"),"['Bad', 'garbage', 'signal', 'stable', '']")</f>
        <v>['Bad', 'garbage', 'signal', 'stable', '']</v>
      </c>
      <c r="D3005" s="3">
        <v>1.0</v>
      </c>
    </row>
    <row r="3006" ht="15.75" customHeight="1">
      <c r="A3006" s="1">
        <v>3206.0</v>
      </c>
      <c r="B3006" s="3" t="s">
        <v>2929</v>
      </c>
      <c r="C3006" s="3" t="str">
        <f>IFERROR(__xludf.DUMMYFUNCTION("GOOGLETRANSLATE(B3006,""id"",""en"")"),"['Update', 'opened', '']")</f>
        <v>['Update', 'opened', '']</v>
      </c>
      <c r="D3006" s="3">
        <v>1.0</v>
      </c>
    </row>
    <row r="3007" ht="15.75" customHeight="1">
      <c r="A3007" s="1">
        <v>3207.0</v>
      </c>
      <c r="B3007" s="3" t="s">
        <v>2930</v>
      </c>
      <c r="C3007" s="3" t="str">
        <f>IFERROR(__xludf.DUMMYFUNCTION("GOOGLETRANSLATE(B3007,""id"",""en"")"),"['Telkomsel', 'signal', 'strong', 'promo']")</f>
        <v>['Telkomsel', 'signal', 'strong', 'promo']</v>
      </c>
      <c r="D3007" s="3">
        <v>5.0</v>
      </c>
    </row>
    <row r="3008" ht="15.75" customHeight="1">
      <c r="A3008" s="1">
        <v>3208.0</v>
      </c>
      <c r="B3008" s="3" t="s">
        <v>2931</v>
      </c>
      <c r="C3008" s="3" t="str">
        <f>IFERROR(__xludf.DUMMYFUNCTION("GOOGLETRANSLATE(B3008,""id"",""en"")"),"['Disappointed', 'Cave', 'Telkomsel', 'Network', 'Mengelek', 'Mulu', 'Home', 'Cave', 'Transmitter', 'Data', 'Cave', 'Bangat', ' Please, 'Help', 'Trimakasih', ""]")</f>
        <v>['Disappointed', 'Cave', 'Telkomsel', 'Network', 'Mengelek', 'Mulu', 'Home', 'Cave', 'Transmitter', 'Data', 'Cave', 'Bangat', ' Please, 'Help', 'Trimakasih', "]</v>
      </c>
      <c r="D3008" s="3">
        <v>1.0</v>
      </c>
    </row>
    <row r="3009" ht="15.75" customHeight="1">
      <c r="A3009" s="1">
        <v>3209.0</v>
      </c>
      <c r="B3009" s="3" t="s">
        <v>2932</v>
      </c>
      <c r="C3009" s="3" t="str">
        <f>IFERROR(__xludf.DUMMYFUNCTION("GOOGLETRANSLATE(B3009,""id"",""en"")"),"['process', 'purchase', 'Simple', 'fast', 'steady', 'deh', 'nice', 'telkomsel']")</f>
        <v>['process', 'purchase', 'Simple', 'fast', 'steady', 'deh', 'nice', 'telkomsel']</v>
      </c>
      <c r="D3009" s="3">
        <v>5.0</v>
      </c>
    </row>
    <row r="3010" ht="15.75" customHeight="1">
      <c r="A3010" s="1">
        <v>3210.0</v>
      </c>
      <c r="B3010" s="3" t="s">
        <v>2933</v>
      </c>
      <c r="C3010" s="3" t="str">
        <f>IFERROR(__xludf.DUMMYFUNCTION("GOOGLETRANSLATE(B3010,""id"",""en"")"),"['Please', 'Min', 'so', 'use', 'MyTelkomsel', 'opened', 'repeat', 'times', 'installed', 'reset', ""]")</f>
        <v>['Please', 'Min', 'so', 'use', 'MyTelkomsel', 'opened', 'repeat', 'times', 'installed', 'reset', "]</v>
      </c>
      <c r="D3010" s="3">
        <v>1.0</v>
      </c>
    </row>
    <row r="3011" ht="15.75" customHeight="1">
      <c r="A3011" s="1">
        <v>3211.0</v>
      </c>
      <c r="B3011" s="3" t="s">
        <v>2934</v>
      </c>
      <c r="C3011" s="3" t="str">
        <f>IFERROR(__xludf.DUMMYFUNCTION("GOOGLETRANSLATE(B3011,""id"",""en"")"),"['Good', 'promo', 'good']")</f>
        <v>['Good', 'promo', 'good']</v>
      </c>
      <c r="D3011" s="3">
        <v>5.0</v>
      </c>
    </row>
    <row r="3012" ht="15.75" customHeight="1">
      <c r="A3012" s="1">
        <v>3212.0</v>
      </c>
      <c r="B3012" s="3" t="s">
        <v>2935</v>
      </c>
      <c r="C3012" s="3" t="str">
        <f>IFERROR(__xludf.DUMMYFUNCTION("GOOGLETRANSLATE(B3012,""id"",""en"")"),"['', 'already', 'install', 'many', 'times', 'open', 'application', 'blank', 'open']")</f>
        <v>['', 'already', 'install', 'many', 'times', 'open', 'application', 'blank', 'open']</v>
      </c>
      <c r="D3012" s="3">
        <v>3.0</v>
      </c>
    </row>
    <row r="3013" ht="15.75" customHeight="1">
      <c r="A3013" s="1">
        <v>3213.0</v>
      </c>
      <c r="B3013" s="3" t="s">
        <v>2936</v>
      </c>
      <c r="C3013" s="3" t="str">
        <f>IFERROR(__xludf.DUMMYFUNCTION("GOOGLETRANSLATE(B3013,""id"",""en"")"),"['Come', 'Signal', 'Severe', 'Lemot', '']")</f>
        <v>['Come', 'Signal', 'Severe', 'Lemot', '']</v>
      </c>
      <c r="D3013" s="3">
        <v>1.0</v>
      </c>
    </row>
    <row r="3014" ht="15.75" customHeight="1">
      <c r="A3014" s="1">
        <v>3214.0</v>
      </c>
      <c r="B3014" s="3" t="s">
        <v>2937</v>
      </c>
      <c r="C3014" s="3" t="str">
        <f>IFERROR(__xludf.DUMMYFUNCTION("GOOGLETRANSLATE(B3014,""id"",""en"")"),"['Info', 'Customer', 'Telkomsel', 'Application', 'Bukak', 'Saranin', 'Download', 'Application', 'Version', 'Google', 'Chrome', 'Search', ' Application ',' Telkomsel ',' Version ',' September ',' October ',' Thank ',' Love ', ""]")</f>
        <v>['Info', 'Customer', 'Telkomsel', 'Application', 'Bukak', 'Saranin', 'Download', 'Application', 'Version', 'Google', 'Chrome', 'Search', ' Application ',' Telkomsel ',' Version ',' September ',' October ',' Thank ',' Love ', "]</v>
      </c>
      <c r="D3014" s="3">
        <v>5.0</v>
      </c>
    </row>
    <row r="3015" ht="15.75" customHeight="1">
      <c r="A3015" s="1">
        <v>3215.0</v>
      </c>
      <c r="B3015" s="3" t="s">
        <v>2938</v>
      </c>
      <c r="C3015" s="3" t="str">
        <f>IFERROR(__xludf.DUMMYFUNCTION("GOOGLETRANSLATE(B3015,""id"",""en"")"),"['expensive', 'really', 'package', 'customers', 'Telkomsel', 'UDH', ''S unound']]]")</f>
        <v>['expensive', 'really', 'package', 'customers', 'Telkomsel', 'UDH', ''S unound']]]</v>
      </c>
      <c r="D3015" s="3">
        <v>3.0</v>
      </c>
    </row>
    <row r="3016" ht="15.75" customHeight="1">
      <c r="A3016" s="1">
        <v>3216.0</v>
      </c>
      <c r="B3016" s="3" t="s">
        <v>2127</v>
      </c>
      <c r="C3016" s="3" t="str">
        <f>IFERROR(__xludf.DUMMYFUNCTION("GOOGLETRANSLATE(B3016,""id"",""en"")"),"['easy']")</f>
        <v>['easy']</v>
      </c>
      <c r="D3016" s="3">
        <v>5.0</v>
      </c>
    </row>
    <row r="3017" ht="15.75" customHeight="1">
      <c r="A3017" s="1">
        <v>3217.0</v>
      </c>
      <c r="B3017" s="3" t="s">
        <v>2939</v>
      </c>
      <c r="C3017" s="3" t="str">
        <f>IFERROR(__xludf.DUMMYFUNCTION("GOOGLETRANSLATE(B3017,""id"",""en"")"),"['mantapp', 'easy']")</f>
        <v>['mantapp', 'easy']</v>
      </c>
      <c r="D3017" s="3">
        <v>4.0</v>
      </c>
    </row>
    <row r="3018" ht="15.75" customHeight="1">
      <c r="A3018" s="1">
        <v>3218.0</v>
      </c>
      <c r="B3018" s="3" t="s">
        <v>2940</v>
      </c>
      <c r="C3018" s="3" t="str">
        <f>IFERROR(__xludf.DUMMYFUNCTION("GOOGLETRANSLATE(B3018,""id"",""en"")"),"['Help', 'Exchange', 'Points', 'Diamond', 'Mobile', 'Legend']")</f>
        <v>['Help', 'Exchange', 'Points', 'Diamond', 'Mobile', 'Legend']</v>
      </c>
      <c r="D3018" s="3">
        <v>5.0</v>
      </c>
    </row>
    <row r="3019" ht="15.75" customHeight="1">
      <c r="A3019" s="1">
        <v>3219.0</v>
      </c>
      <c r="B3019" s="3" t="s">
        <v>2941</v>
      </c>
      <c r="C3019" s="3" t="str">
        <f>IFERROR(__xludf.DUMMYFUNCTION("GOOGLETRANSLATE(B3019,""id"",""en"")"),"['updated', 'Anccooorrr', 'opened']")</f>
        <v>['updated', 'Anccooorrr', 'opened']</v>
      </c>
      <c r="D3019" s="3">
        <v>1.0</v>
      </c>
    </row>
    <row r="3020" ht="15.75" customHeight="1">
      <c r="A3020" s="1">
        <v>3220.0</v>
      </c>
      <c r="B3020" s="3" t="s">
        <v>2942</v>
      </c>
      <c r="C3020" s="3" t="str">
        <f>IFERROR(__xludf.DUMMYFUNCTION("GOOGLETRANSLATE(B3020,""id"",""en"")"),"['Bigss', 'Layrrr']")</f>
        <v>['Bigss', 'Layrrr']</v>
      </c>
      <c r="D3020" s="3">
        <v>5.0</v>
      </c>
    </row>
    <row r="3021" ht="15.75" customHeight="1">
      <c r="A3021" s="1">
        <v>3222.0</v>
      </c>
      <c r="B3021" s="3" t="s">
        <v>2943</v>
      </c>
      <c r="C3021" s="3" t="str">
        <f>IFERROR(__xludf.DUMMYFUNCTION("GOOGLETRANSLATE(B3021,""id"",""en"")"),"['like', 'tasty', 'smooth']")</f>
        <v>['like', 'tasty', 'smooth']</v>
      </c>
      <c r="D3021" s="3">
        <v>5.0</v>
      </c>
    </row>
    <row r="3022" ht="15.75" customHeight="1">
      <c r="A3022" s="1">
        <v>3223.0</v>
      </c>
      <c r="B3022" s="3" t="s">
        <v>2944</v>
      </c>
      <c r="C3022" s="3" t="str">
        <f>IFERROR(__xludf.DUMMYFUNCTION("GOOGLETRANSLATE(B3022,""id"",""en"")"),"['Disappointing', 'apk', 'skarng']")</f>
        <v>['Disappointing', 'apk', 'skarng']</v>
      </c>
      <c r="D3022" s="3">
        <v>1.0</v>
      </c>
    </row>
    <row r="3023" ht="15.75" customHeight="1">
      <c r="A3023" s="1">
        <v>3224.0</v>
      </c>
      <c r="B3023" s="3" t="s">
        <v>2945</v>
      </c>
      <c r="C3023" s="3" t="str">
        <f>IFERROR(__xludf.DUMMYFUNCTION("GOOGLETRANSLATE(B3023,""id"",""en"")"),"['quota', 'expensive', 'pulses', 'expensive', 'signal', 'slow', '']")</f>
        <v>['quota', 'expensive', 'pulses', 'expensive', 'signal', 'slow', '']</v>
      </c>
      <c r="D3023" s="3">
        <v>1.0</v>
      </c>
    </row>
    <row r="3024" ht="15.75" customHeight="1">
      <c r="A3024" s="1">
        <v>3225.0</v>
      </c>
      <c r="B3024" s="3" t="s">
        <v>2946</v>
      </c>
      <c r="C3024" s="3" t="str">
        <f>IFERROR(__xludf.DUMMYFUNCTION("GOOGLETRANSLATE(B3024,""id"",""en"")"),"['happy', 'Telkomsel', 'process', 'fast', 'help']")</f>
        <v>['happy', 'Telkomsel', 'process', 'fast', 'help']</v>
      </c>
      <c r="D3024" s="3">
        <v>5.0</v>
      </c>
    </row>
    <row r="3025" ht="15.75" customHeight="1">
      <c r="A3025" s="1">
        <v>3226.0</v>
      </c>
      <c r="B3025" s="3" t="s">
        <v>2947</v>
      </c>
      <c r="C3025" s="3" t="str">
        <f>IFERROR(__xludf.DUMMYFUNCTION("GOOGLETRANSLATE(B3025,""id"",""en"")"),"['easy', 'cheap']")</f>
        <v>['easy', 'cheap']</v>
      </c>
      <c r="D3025" s="3">
        <v>5.0</v>
      </c>
    </row>
    <row r="3026" ht="15.75" customHeight="1">
      <c r="A3026" s="1">
        <v>3227.0</v>
      </c>
      <c r="B3026" s="3" t="s">
        <v>2948</v>
      </c>
      <c r="C3026" s="3" t="str">
        <f>IFERROR(__xludf.DUMMYFUNCTION("GOOGLETRANSLATE(B3026,""id"",""en"")"),"['', 'Terms', 'Application', 'Opened', 'Display', 'Ngeblank', 'Fill', 'Credit', 'Enter', 'Disappointed']")</f>
        <v>['', 'Terms', 'Application', 'Opened', 'Display', 'Ngeblank', 'Fill', 'Credit', 'Enter', 'Disappointed']</v>
      </c>
      <c r="D3026" s="3">
        <v>1.0</v>
      </c>
    </row>
    <row r="3027" ht="15.75" customHeight="1">
      <c r="A3027" s="1">
        <v>3228.0</v>
      </c>
      <c r="B3027" s="3" t="s">
        <v>2949</v>
      </c>
      <c r="C3027" s="3" t="str">
        <f>IFERROR(__xludf.DUMMYFUNCTION("GOOGLETRANSLATE(B3027,""id"",""en"")"),"['My APK', 'No', 'Open', 'Defollow']")</f>
        <v>['My APK', 'No', 'Open', 'Defollow']</v>
      </c>
      <c r="D3027" s="3">
        <v>1.0</v>
      </c>
    </row>
    <row r="3028" ht="15.75" customHeight="1">
      <c r="A3028" s="1">
        <v>3229.0</v>
      </c>
      <c r="B3028" s="3" t="s">
        <v>2950</v>
      </c>
      <c r="C3028" s="3" t="str">
        <f>IFERROR(__xludf.DUMMYFUNCTION("GOOGLETRANSLATE(B3028,""id"",""en"")"),"['The network', 'strong', 'sich', 'just', 'great', '']")</f>
        <v>['The network', 'strong', 'sich', 'just', 'great', '']</v>
      </c>
      <c r="D3028" s="3">
        <v>4.0</v>
      </c>
    </row>
    <row r="3029" ht="15.75" customHeight="1">
      <c r="A3029" s="1">
        <v>3230.0</v>
      </c>
      <c r="B3029" s="3" t="s">
        <v>2951</v>
      </c>
      <c r="C3029" s="3" t="str">
        <f>IFERROR(__xludf.DUMMYFUNCTION("GOOGLETRANSLATE(B3029,""id"",""en"")"),"['Signal', 'Disruption']")</f>
        <v>['Signal', 'Disruption']</v>
      </c>
      <c r="D3029" s="3">
        <v>2.0</v>
      </c>
    </row>
    <row r="3030" ht="15.75" customHeight="1">
      <c r="A3030" s="1">
        <v>3231.0</v>
      </c>
      <c r="B3030" s="3" t="s">
        <v>2952</v>
      </c>
      <c r="C3030" s="3" t="str">
        <f>IFERROR(__xludf.DUMMYFUNCTION("GOOGLETRANSLATE(B3030,""id"",""en"")"),"['gymna', 'min', 'apk', 'ngk', 'open', 'smnjak', 'update']")</f>
        <v>['gymna', 'min', 'apk', 'ngk', 'open', 'smnjak', 'update']</v>
      </c>
      <c r="D3030" s="3">
        <v>5.0</v>
      </c>
    </row>
    <row r="3031" ht="15.75" customHeight="1">
      <c r="A3031" s="1">
        <v>3232.0</v>
      </c>
      <c r="B3031" s="3" t="s">
        <v>2953</v>
      </c>
      <c r="C3031" s="3" t="str">
        <f>IFERROR(__xludf.DUMMYFUNCTION("GOOGLETRANSLATE(B3031,""id"",""en"")"),"['already', 'Download', 'Open', '']")</f>
        <v>['already', 'Download', 'Open', '']</v>
      </c>
      <c r="D3031" s="3">
        <v>1.0</v>
      </c>
    </row>
    <row r="3032" ht="15.75" customHeight="1">
      <c r="A3032" s="1">
        <v>3233.0</v>
      </c>
      <c r="B3032" s="3" t="s">
        <v>2954</v>
      </c>
      <c r="C3032" s="3" t="str">
        <f>IFERROR(__xludf.DUMMYFUNCTION("GOOGLETRANSLATE(B3032,""id"",""en"")"),"['Help', 'info', 'check', 'quota', 'add to', 'quota', 'right', 'minimal', 'help', 'Telkomsel', 'empty', 'pulses',' ']")</f>
        <v>['Help', 'info', 'check', 'quota', 'add to', 'quota', 'right', 'minimal', 'help', 'Telkomsel', 'empty', 'pulses',' ']</v>
      </c>
      <c r="D3032" s="3">
        <v>3.0</v>
      </c>
    </row>
    <row r="3033" ht="15.75" customHeight="1">
      <c r="A3033" s="1">
        <v>3234.0</v>
      </c>
      <c r="B3033" s="3" t="s">
        <v>2955</v>
      </c>
      <c r="C3033" s="3" t="str">
        <f>IFERROR(__xludf.DUMMYFUNCTION("GOOGLETRANSLATE(B3033,""id"",""en"")"),"['Knp', 'Telkomsel', 'ngak', 'open', 'Samsung', 'update']")</f>
        <v>['Knp', 'Telkomsel', 'ngak', 'open', 'Samsung', 'update']</v>
      </c>
      <c r="D3033" s="3">
        <v>5.0</v>
      </c>
    </row>
    <row r="3034" ht="15.75" customHeight="1">
      <c r="A3034" s="1">
        <v>3235.0</v>
      </c>
      <c r="B3034" s="3" t="s">
        <v>2956</v>
      </c>
      <c r="C3034" s="3" t="str">
        <f>IFERROR(__xludf.DUMMYFUNCTION("GOOGLETRANSLATE(B3034,""id"",""en"")"),"['quota', 'multimedia', 'right', 'open', 'youtube', 'sumpot', 'quota', 'regular', 'quota', 'multimedia', 'reduced', 'open', ' WhatsApp ',' Kumpot ',' Quota ',' Regular ',' Quota ',' Multimedia ', ""]")</f>
        <v>['quota', 'multimedia', 'right', 'open', 'youtube', 'sumpot', 'quota', 'regular', 'quota', 'multimedia', 'reduced', 'open', ' WhatsApp ',' Kumpot ',' Quota ',' Regular ',' Quota ',' Multimedia ', "]</v>
      </c>
      <c r="D3034" s="3">
        <v>1.0</v>
      </c>
    </row>
    <row r="3035" ht="15.75" customHeight="1">
      <c r="A3035" s="1">
        <v>3236.0</v>
      </c>
      <c r="B3035" s="3" t="s">
        <v>362</v>
      </c>
      <c r="C3035" s="3" t="str">
        <f>IFERROR(__xludf.DUMMYFUNCTION("GOOGLETRANSLATE(B3035,""id"",""en"")"),"['Telkomsel', 'best']")</f>
        <v>['Telkomsel', 'best']</v>
      </c>
      <c r="D3035" s="3">
        <v>5.0</v>
      </c>
    </row>
    <row r="3036" ht="15.75" customHeight="1">
      <c r="A3036" s="1">
        <v>3237.0</v>
      </c>
      <c r="B3036" s="3" t="s">
        <v>355</v>
      </c>
      <c r="C3036" s="3" t="str">
        <f>IFERROR(__xludf.DUMMYFUNCTION("GOOGLETRANSLATE(B3036,""id"",""en"")"),"['open', '']")</f>
        <v>['open', '']</v>
      </c>
      <c r="D3036" s="3">
        <v>1.0</v>
      </c>
    </row>
    <row r="3037" ht="15.75" customHeight="1">
      <c r="A3037" s="1">
        <v>3238.0</v>
      </c>
      <c r="B3037" s="3" t="s">
        <v>2957</v>
      </c>
      <c r="C3037" s="3" t="str">
        <f>IFERROR(__xludf.DUMMYFUNCTION("GOOGLETRANSLATE(B3037,""id"",""en"")"),"['Lost', 'signal']")</f>
        <v>['Lost', 'signal']</v>
      </c>
      <c r="D3037" s="3">
        <v>1.0</v>
      </c>
    </row>
    <row r="3038" ht="15.75" customHeight="1">
      <c r="A3038" s="1">
        <v>3239.0</v>
      </c>
      <c r="B3038" s="3" t="s">
        <v>2958</v>
      </c>
      <c r="C3038" s="3" t="str">
        <f>IFERROR(__xludf.DUMMYFUNCTION("GOOGLETRANSLATE(B3038,""id"",""en"")"),"['Disappointed', 'a month', 'access',' May ',' Telkomsel ',' Report ',' Contact ',' Flashlight ',' Wait ',' Watch ',' Week ',' Open ',' disappointed', '']")</f>
        <v>['Disappointed', 'a month', 'access',' May ',' Telkomsel ',' Report ',' Contact ',' Flashlight ',' Wait ',' Watch ',' Week ',' Open ',' disappointed', '']</v>
      </c>
      <c r="D3038" s="3">
        <v>1.0</v>
      </c>
    </row>
    <row r="3039" ht="15.75" customHeight="1">
      <c r="A3039" s="1">
        <v>3240.0</v>
      </c>
      <c r="B3039" s="3" t="s">
        <v>2959</v>
      </c>
      <c r="C3039" s="3" t="str">
        <f>IFERROR(__xludf.DUMMYFUNCTION("GOOGLETRANSLATE(B3039,""id"",""en"")"),"['my apk', 'steady', 'steady', 'promo', 'choice', 'product', 'thank you', '']")</f>
        <v>['my apk', 'steady', 'steady', 'promo', 'choice', 'product', 'thank you', '']</v>
      </c>
      <c r="D3039" s="3">
        <v>5.0</v>
      </c>
    </row>
    <row r="3040" ht="15.75" customHeight="1">
      <c r="A3040" s="1">
        <v>3241.0</v>
      </c>
      <c r="B3040" s="3" t="s">
        <v>2960</v>
      </c>
      <c r="C3040" s="3" t="str">
        <f>IFERROR(__xludf.DUMMYFUNCTION("GOOGLETRANSLATE(B3040,""id"",""en"")"),"['Switch', 'tri', 'ngab', 'operator', 'tri', 'already', 'package', 'special', 'gb', 'rb', 'network', 'pretty', ' Check ',' YouTube ',' Ngab ',' Details', '']")</f>
        <v>['Switch', 'tri', 'ngab', 'operator', 'tri', 'already', 'package', 'special', 'gb', 'rb', 'network', 'pretty', ' Check ',' YouTube ',' Ngab ',' Details', '']</v>
      </c>
      <c r="D3040" s="3">
        <v>1.0</v>
      </c>
    </row>
    <row r="3041" ht="15.75" customHeight="1">
      <c r="A3041" s="1">
        <v>3242.0</v>
      </c>
      <c r="B3041" s="3" t="s">
        <v>2961</v>
      </c>
      <c r="C3041" s="3" t="str">
        <f>IFERROR(__xludf.DUMMYFUNCTION("GOOGLETRANSLATE(B3041,""id"",""en"")"),"['package']")</f>
        <v>['package']</v>
      </c>
      <c r="D3041" s="3">
        <v>5.0</v>
      </c>
    </row>
    <row r="3042" ht="15.75" customHeight="1">
      <c r="A3042" s="1">
        <v>3243.0</v>
      </c>
      <c r="B3042" s="3" t="s">
        <v>2962</v>
      </c>
      <c r="C3042" s="3" t="str">
        <f>IFERROR(__xludf.DUMMYFUNCTION("GOOGLETRANSLATE(B3042,""id"",""en"")"),"['Make it easier']")</f>
        <v>['Make it easier']</v>
      </c>
      <c r="D3042" s="3">
        <v>5.0</v>
      </c>
    </row>
    <row r="3043" ht="15.75" customHeight="1">
      <c r="A3043" s="1">
        <v>3244.0</v>
      </c>
      <c r="B3043" s="3" t="s">
        <v>2963</v>
      </c>
      <c r="C3043" s="3" t="str">
        <f>IFERROR(__xludf.DUMMYFUNCTION("GOOGLETRANSLATE(B3043,""id"",""en"")"),"['open', 'install', 'then' uninstall ',' tetep ',' access', 'blank']")</f>
        <v>['open', 'install', 'then' uninstall ',' tetep ',' access', 'blank']</v>
      </c>
      <c r="D3043" s="3">
        <v>1.0</v>
      </c>
    </row>
    <row r="3044" ht="15.75" customHeight="1">
      <c r="A3044" s="1">
        <v>3245.0</v>
      </c>
      <c r="B3044" s="3" t="s">
        <v>2964</v>
      </c>
      <c r="C3044" s="3" t="str">
        <f>IFERROR(__xludf.DUMMYFUNCTION("GOOGLETRANSLATE(B3044,""id"",""en"")"),"['application', 'slow', 'difficult', 'really', 'buy', 'package', 'package', 'offered', 'complete']")</f>
        <v>['application', 'slow', 'difficult', 'really', 'buy', 'package', 'package', 'offered', 'complete']</v>
      </c>
      <c r="D3044" s="3">
        <v>1.0</v>
      </c>
    </row>
    <row r="3045" ht="15.75" customHeight="1">
      <c r="A3045" s="1">
        <v>3246.0</v>
      </c>
      <c r="B3045" s="3" t="s">
        <v>2372</v>
      </c>
      <c r="C3045" s="3" t="str">
        <f>IFERROR(__xludf.DUMMYFUNCTION("GOOGLETRANSLATE(B3045,""id"",""en"")"),"['', '']")</f>
        <v>['', '']</v>
      </c>
      <c r="D3045" s="3">
        <v>5.0</v>
      </c>
    </row>
    <row r="3046" ht="15.75" customHeight="1">
      <c r="A3046" s="1">
        <v>3247.0</v>
      </c>
      <c r="B3046" s="3" t="s">
        <v>2965</v>
      </c>
      <c r="C3046" s="3" t="str">
        <f>IFERROR(__xludf.DUMMYFUNCTION("GOOGLETRANSLATE(B3046,""id"",""en"")"),"['TOP', 'Cool', 'Ajibb']")</f>
        <v>['TOP', 'Cool', 'Ajibb']</v>
      </c>
      <c r="D3046" s="3">
        <v>5.0</v>
      </c>
    </row>
    <row r="3047" ht="15.75" customHeight="1">
      <c r="A3047" s="1">
        <v>3248.0</v>
      </c>
      <c r="B3047" s="3" t="s">
        <v>2966</v>
      </c>
      <c r="C3047" s="3" t="str">
        <f>IFERROR(__xludf.DUMMYFUNCTION("GOOGLETRANSLATE(B3047,""id"",""en"")"),"['nyesel', 'nyesek', 'buy', 'package', 'internet', 'unlimited', 'telkomsel', 'quota', 'watch', 'use', 'watch', 'you', ' Tube ',' Auto ',' Move ',' Perdana ',' AXIS ']")</f>
        <v>['nyesel', 'nyesek', 'buy', 'package', 'internet', 'unlimited', 'telkomsel', 'quota', 'watch', 'use', 'watch', 'you', ' Tube ',' Auto ',' Move ',' Perdana ',' AXIS ']</v>
      </c>
      <c r="D3047" s="3">
        <v>1.0</v>
      </c>
    </row>
    <row r="3048" ht="15.75" customHeight="1">
      <c r="A3048" s="1">
        <v>3249.0</v>
      </c>
      <c r="B3048" s="3" t="s">
        <v>2967</v>
      </c>
      <c r="C3048" s="3" t="str">
        <f>IFERROR(__xludf.DUMMYFUNCTION("GOOGLETRANSLATE(B3048,""id"",""en"")"),"['APK', 'Good', 'bget', 'TPI', 'KNPA', 'APDET', 'Open', '']")</f>
        <v>['APK', 'Good', 'bget', 'TPI', 'KNPA', 'APDET', 'Open', '']</v>
      </c>
      <c r="D3048" s="3">
        <v>1.0</v>
      </c>
    </row>
    <row r="3049" ht="15.75" customHeight="1">
      <c r="A3049" s="1">
        <v>3250.0</v>
      </c>
      <c r="B3049" s="3" t="s">
        <v>2968</v>
      </c>
      <c r="C3049" s="3" t="str">
        <f>IFERROR(__xludf.DUMMYFUNCTION("GOOGLETRANSLATE(B3049,""id"",""en"")"),"['Maling', 'Paketan', 'Credit', 'Basic']")</f>
        <v>['Maling', 'Paketan', 'Credit', 'Basic']</v>
      </c>
      <c r="D3049" s="3">
        <v>1.0</v>
      </c>
    </row>
    <row r="3050" ht="15.75" customHeight="1">
      <c r="A3050" s="1">
        <v>3251.0</v>
      </c>
      <c r="B3050" s="3" t="s">
        <v>2969</v>
      </c>
      <c r="C3050" s="3" t="str">
        <f>IFERROR(__xludf.DUMMYFUNCTION("GOOGLETRANSLATE(B3050,""id"",""en"")"),"['Points', 'exchanges', 'rich', 'that's', 'doang', '']")</f>
        <v>['Points', 'exchanges', 'rich', 'that's', 'doang', '']</v>
      </c>
      <c r="D3050" s="3">
        <v>1.0</v>
      </c>
    </row>
    <row r="3051" ht="15.75" customHeight="1">
      <c r="A3051" s="1">
        <v>3252.0</v>
      </c>
      <c r="B3051" s="3" t="s">
        <v>2970</v>
      </c>
      <c r="C3051" s="3" t="str">
        <f>IFERROR(__xludf.DUMMYFUNCTION("GOOGLETRANSLATE(B3051,""id"",""en"")"),"['Salah', 'people', 'Disappointed', 'AHIR', 'AHIR', 'Application', 'Open', 'Open', 'Screen', 'White', 'Class',' Telkomsel ',' Gini ',' recommendation ',' really ',' operator ',' next door ',' ']")</f>
        <v>['Salah', 'people', 'Disappointed', 'AHIR', 'AHIR', 'Application', 'Open', 'Open', 'Screen', 'White', 'Class',' Telkomsel ',' Gini ',' recommendation ',' really ',' operator ',' next door ',' ']</v>
      </c>
      <c r="D3051" s="3">
        <v>1.0</v>
      </c>
    </row>
    <row r="3052" ht="15.75" customHeight="1">
      <c r="A3052" s="1">
        <v>3253.0</v>
      </c>
      <c r="B3052" s="3" t="s">
        <v>2971</v>
      </c>
      <c r="C3052" s="3" t="str">
        <f>IFERROR(__xludf.DUMMYFUNCTION("GOOGLETRANSLATE(B3052,""id"",""en"")"),"['Since', 'Update', 'opened', 'How', 'People', 'Buy', 'Package', 'The Application', 'Opens', 'Really', 'Updated', ""]")</f>
        <v>['Since', 'Update', 'opened', 'How', 'People', 'Buy', 'Package', 'The Application', 'Opens', 'Really', 'Updated', "]</v>
      </c>
      <c r="D3052" s="3">
        <v>1.0</v>
      </c>
    </row>
    <row r="3053" ht="15.75" customHeight="1">
      <c r="A3053" s="1">
        <v>3254.0</v>
      </c>
      <c r="B3053" s="3" t="s">
        <v>2972</v>
      </c>
      <c r="C3053" s="3" t="str">
        <f>IFERROR(__xludf.DUMMYFUNCTION("GOOGLETRANSLATE(B3053,""id"",""en"")"),"['Paketan', 'Price']")</f>
        <v>['Paketan', 'Price']</v>
      </c>
      <c r="D3053" s="3">
        <v>3.0</v>
      </c>
    </row>
    <row r="3054" ht="15.75" customHeight="1">
      <c r="A3054" s="1">
        <v>3255.0</v>
      </c>
      <c r="B3054" s="3" t="s">
        <v>2973</v>
      </c>
      <c r="C3054" s="3" t="str">
        <f>IFERROR(__xludf.DUMMYFUNCTION("GOOGLETRANSLATE(B3054,""id"",""en"")"),"['DISPRENT', '']")</f>
        <v>['DISPRENT', '']</v>
      </c>
      <c r="D3054" s="3">
        <v>1.0</v>
      </c>
    </row>
    <row r="3055" ht="15.75" customHeight="1">
      <c r="A3055" s="1">
        <v>3256.0</v>
      </c>
      <c r="B3055" s="3" t="s">
        <v>2974</v>
      </c>
      <c r="C3055" s="3" t="str">
        <f>IFERROR(__xludf.DUMMYFUNCTION("GOOGLETRANSLATE(B3055,""id"",""en"")"),"['complicated', 'help']")</f>
        <v>['complicated', 'help']</v>
      </c>
      <c r="D3055" s="3">
        <v>5.0</v>
      </c>
    </row>
    <row r="3056" ht="15.75" customHeight="1">
      <c r="A3056" s="1">
        <v>3257.0</v>
      </c>
      <c r="B3056" s="3" t="s">
        <v>2975</v>
      </c>
      <c r="C3056" s="3" t="str">
        <f>IFERROR(__xludf.DUMMYFUNCTION("GOOGLETRANSLATE(B3056,""id"",""en"")"),"['Severe', 'Package', 'Data', 'Expensive', 'SMS', 'Expensive', 'Call', 'Expensive', 'Fix', 'Cust', 'Ngacir', ""]")</f>
        <v>['Severe', 'Package', 'Data', 'Expensive', 'SMS', 'Expensive', 'Call', 'Expensive', 'Fix', 'Cust', 'Ngacir', "]</v>
      </c>
      <c r="D3056" s="3">
        <v>1.0</v>
      </c>
    </row>
    <row r="3057" ht="15.75" customHeight="1">
      <c r="A3057" s="1">
        <v>3258.0</v>
      </c>
      <c r="B3057" s="3" t="s">
        <v>2976</v>
      </c>
      <c r="C3057" s="3" t="str">
        <f>IFERROR(__xludf.DUMMYFUNCTION("GOOGLETRANSLATE(B3057,""id"",""en"")"),"['Bosa', 'enter', 'wwooooiij']")</f>
        <v>['Bosa', 'enter', 'wwooooiij']</v>
      </c>
      <c r="D3057" s="3">
        <v>1.0</v>
      </c>
    </row>
    <row r="3058" ht="15.75" customHeight="1">
      <c r="A3058" s="1">
        <v>3260.0</v>
      </c>
      <c r="B3058" s="3" t="s">
        <v>2977</v>
      </c>
      <c r="C3058" s="3" t="str">
        <f>IFERROR(__xludf.DUMMYFUNCTION("GOOGLETRANSLATE(B3058,""id"",""en"")"),"['App', 'Open']")</f>
        <v>['App', 'Open']</v>
      </c>
      <c r="D3058" s="3">
        <v>1.0</v>
      </c>
    </row>
    <row r="3059" ht="15.75" customHeight="1">
      <c r="A3059" s="1">
        <v>3261.0</v>
      </c>
      <c r="B3059" s="3" t="s">
        <v>2978</v>
      </c>
      <c r="C3059" s="3" t="str">
        <f>IFERROR(__xludf.DUMMYFUNCTION("GOOGLETRANSLATE(B3059,""id"",""en"")"),"['application', 'min', 'already', 'a week', 'no', 'open', 'the application', '']")</f>
        <v>['application', 'min', 'already', 'a week', 'no', 'open', 'the application', '']</v>
      </c>
      <c r="D3059" s="3">
        <v>1.0</v>
      </c>
    </row>
    <row r="3060" ht="15.75" customHeight="1">
      <c r="A3060" s="1">
        <v>3262.0</v>
      </c>
      <c r="B3060" s="3" t="s">
        <v>2979</v>
      </c>
      <c r="C3060" s="3" t="str">
        <f>IFERROR(__xludf.DUMMYFUNCTION("GOOGLETRANSLATE(B3060,""id"",""en"")"),"['number', 'network', 'ugly', 'really', 'optimizes',' want ',' consumer ',' signal ',' internet ',' fast ',' failed ',' service ',' Improvements', 'visits',' finish ',' garbage ',' ']")</f>
        <v>['number', 'network', 'ugly', 'really', 'optimizes',' want ',' consumer ',' signal ',' internet ',' fast ',' failed ',' service ',' Improvements', 'visits',' finish ',' garbage ',' ']</v>
      </c>
      <c r="D3060" s="3">
        <v>1.0</v>
      </c>
    </row>
    <row r="3061" ht="15.75" customHeight="1">
      <c r="A3061" s="1">
        <v>3263.0</v>
      </c>
      <c r="B3061" s="3" t="s">
        <v>2980</v>
      </c>
      <c r="C3061" s="3" t="str">
        <f>IFERROR(__xludf.DUMMYFUNCTION("GOOGLETRANSLATE(B3061,""id"",""en"")"),"['', 'App', 'Open', 'bikinnya-pokinnnnnnnnnnnnmmmmmmmmmmmmmmmmmmmmmmmmmmmmmmnnnnn']")</f>
        <v>['', 'App', 'Open', 'bikinnya-pokinnnnnnnnnnnnmmmmmmmmmmmmmmmmmmmmmmmmmmmmmmnnnnn']</v>
      </c>
      <c r="D3061" s="3">
        <v>1.0</v>
      </c>
    </row>
    <row r="3062" ht="15.75" customHeight="1">
      <c r="A3062" s="1">
        <v>3264.0</v>
      </c>
      <c r="B3062" s="3" t="s">
        <v>2981</v>
      </c>
      <c r="C3062" s="3" t="str">
        <f>IFERROR(__xludf.DUMMYFUNCTION("GOOGLETRANSLATE(B3062,""id"",""en"")"),"['APK', 'good']")</f>
        <v>['APK', 'good']</v>
      </c>
      <c r="D3062" s="3">
        <v>5.0</v>
      </c>
    </row>
    <row r="3063" ht="15.75" customHeight="1">
      <c r="A3063" s="1">
        <v>3265.0</v>
      </c>
      <c r="B3063" s="3" t="s">
        <v>2982</v>
      </c>
      <c r="C3063" s="3" t="str">
        <f>IFERROR(__xludf.DUMMYFUNCTION("GOOGLETRANSLATE(B3063,""id"",""en"")"),"['Buy', 'Package', 'Unlimited', 'She', 'Quota', 'Regular', 'Loss', 'already']")</f>
        <v>['Buy', 'Package', 'Unlimited', 'She', 'Quota', 'Regular', 'Loss', 'already']</v>
      </c>
      <c r="D3063" s="3">
        <v>1.0</v>
      </c>
    </row>
    <row r="3064" ht="15.75" customHeight="1">
      <c r="A3064" s="1">
        <v>3266.0</v>
      </c>
      <c r="B3064" s="3" t="s">
        <v>2983</v>
      </c>
      <c r="C3064" s="3" t="str">
        <f>IFERROR(__xludf.DUMMYFUNCTION("GOOGLETRANSLATE(B3064,""id"",""en"")"),"['Dead', 'signal']")</f>
        <v>['Dead', 'signal']</v>
      </c>
      <c r="D3064" s="3">
        <v>4.0</v>
      </c>
    </row>
    <row r="3065" ht="15.75" customHeight="1">
      <c r="A3065" s="1">
        <v>3267.0</v>
      </c>
      <c r="B3065" s="3" t="s">
        <v>2984</v>
      </c>
      <c r="C3065" s="3" t="str">
        <f>IFERROR(__xludf.DUMMYFUNCTION("GOOGLETRANSLATE(B3065,""id"",""en"")"),"['Network', 'good', 'package', 'internet', 'expensive', 'cheap', '']")</f>
        <v>['Network', 'good', 'package', 'internet', 'expensive', 'cheap', '']</v>
      </c>
      <c r="D3065" s="3">
        <v>5.0</v>
      </c>
    </row>
    <row r="3066" ht="15.75" customHeight="1">
      <c r="A3066" s="1">
        <v>3268.0</v>
      </c>
      <c r="B3066" s="3" t="s">
        <v>2985</v>
      </c>
      <c r="C3066" s="3" t="str">
        <f>IFERROR(__xludf.DUMMYFUNCTION("GOOGLETRANSLATE(B3066,""id"",""en"")"),"['bad', 'Telkomsel', 'sucked', 'pulse', 'pulgans',' then ',' org ',' rich ',' mngkit ',' ngida ',' pulses', 'reduced', ' then ',' package ',' internet ',' Krang ',' MMPU ',' pay attention ',' Telkomsel ',' Sultan ', ""]")</f>
        <v>['bad', 'Telkomsel', 'sucked', 'pulse', 'pulgans',' then ',' org ',' rich ',' mngkit ',' ngida ',' pulses', 'reduced', ' then ',' package ',' internet ',' Krang ',' MMPU ',' pay attention ',' Telkomsel ',' Sultan ', "]</v>
      </c>
      <c r="D3066" s="3">
        <v>1.0</v>
      </c>
    </row>
    <row r="3067" ht="15.75" customHeight="1">
      <c r="A3067" s="1">
        <v>3269.0</v>
      </c>
      <c r="B3067" s="3" t="s">
        <v>2986</v>
      </c>
      <c r="C3067" s="3" t="str">
        <f>IFERROR(__xludf.DUMMYFUNCTION("GOOGLETRANSLATE(B3067,""id"",""en"")"),"['interesting', 'ngak', 'good']")</f>
        <v>['interesting', 'ngak', 'good']</v>
      </c>
      <c r="D3067" s="3">
        <v>1.0</v>
      </c>
    </row>
    <row r="3068" ht="15.75" customHeight="1">
      <c r="A3068" s="1">
        <v>3270.0</v>
      </c>
      <c r="B3068" s="3" t="s">
        <v>2987</v>
      </c>
      <c r="C3068" s="3" t="str">
        <f>IFERROR(__xludf.DUMMYFUNCTION("GOOGLETRANSLATE(B3068,""id"",""en"")"),"['Network', 'ngelek']")</f>
        <v>['Network', 'ngelek']</v>
      </c>
      <c r="D3068" s="3">
        <v>1.0</v>
      </c>
    </row>
    <row r="3069" ht="15.75" customHeight="1">
      <c r="A3069" s="1">
        <v>3271.0</v>
      </c>
      <c r="B3069" s="3" t="s">
        <v>2988</v>
      </c>
      <c r="C3069" s="3" t="str">
        <f>IFERROR(__xludf.DUMMYFUNCTION("GOOGLETRANSLATE(B3069,""id"",""en"")"),"['Good', 'price', 'quota', '']")</f>
        <v>['Good', 'price', 'quota', '']</v>
      </c>
      <c r="D3069" s="3">
        <v>4.0</v>
      </c>
    </row>
    <row r="3070" ht="15.75" customHeight="1">
      <c r="A3070" s="1">
        <v>3272.0</v>
      </c>
      <c r="B3070" s="3" t="s">
        <v>2989</v>
      </c>
      <c r="C3070" s="3" t="str">
        <f>IFERROR(__xludf.DUMMYFUNCTION("GOOGLETRANSLATE(B3070,""id"",""en"")"),"['Network', 'area', 'Denpasar', 'destroyed', 'please', 'fix']")</f>
        <v>['Network', 'area', 'Denpasar', 'destroyed', 'please', 'fix']</v>
      </c>
      <c r="D3070" s="3">
        <v>1.0</v>
      </c>
    </row>
    <row r="3071" ht="15.75" customHeight="1">
      <c r="A3071" s="1">
        <v>3273.0</v>
      </c>
      <c r="B3071" s="3" t="s">
        <v>2990</v>
      </c>
      <c r="C3071" s="3" t="str">
        <f>IFERROR(__xludf.DUMMYFUNCTION("GOOGLETRANSLATE(B3071,""id"",""en"")"),"['Hallo', 'applicture', 'open', 'network', 'wifi', 'package', 'data']")</f>
        <v>['Hallo', 'applicture', 'open', 'network', 'wifi', 'package', 'data']</v>
      </c>
      <c r="D3071" s="3">
        <v>1.0</v>
      </c>
    </row>
    <row r="3072" ht="15.75" customHeight="1">
      <c r="A3072" s="1">
        <v>3274.0</v>
      </c>
      <c r="B3072" s="3" t="s">
        <v>2991</v>
      </c>
      <c r="C3072" s="3" t="str">
        <f>IFERROR(__xludf.DUMMYFUNCTION("GOOGLETRANSLATE(B3072,""id"",""en"")"),"['Please', 'Package']")</f>
        <v>['Please', 'Package']</v>
      </c>
      <c r="D3072" s="3">
        <v>4.0</v>
      </c>
    </row>
    <row r="3073" ht="15.75" customHeight="1">
      <c r="A3073" s="1">
        <v>3275.0</v>
      </c>
      <c r="B3073" s="3" t="s">
        <v>2992</v>
      </c>
      <c r="C3073" s="3" t="str">
        <f>IFERROR(__xludf.DUMMYFUNCTION("GOOGLETRANSLATE(B3073,""id"",""en"")"),"['Application', 'Bodok', 'in', 'Kurun', 'Minutes', 'Application', 'Logout', 'Times', ""]")</f>
        <v>['Application', 'Bodok', 'in', 'Kurun', 'Minutes', 'Application', 'Logout', 'Times', "]</v>
      </c>
      <c r="D3073" s="3">
        <v>1.0</v>
      </c>
    </row>
    <row r="3074" ht="15.75" customHeight="1">
      <c r="A3074" s="1">
        <v>3277.0</v>
      </c>
      <c r="B3074" s="3" t="s">
        <v>2993</v>
      </c>
      <c r="C3074" s="3" t="str">
        <f>IFERROR(__xludf.DUMMYFUNCTION("GOOGLETRANSLATE(B3074,""id"",""en"")"),"['price', 'package', 'expensive', 'above', 'RB', 'number', 'loop', 'package', 'combo', 'for', 'rb', 'cheap', ' rb ',' effect ',' called ',' operator ',' told ',' switch ',' card ',' hello ', ""]")</f>
        <v>['price', 'package', 'expensive', 'above', 'RB', 'number', 'loop', 'package', 'combo', 'for', 'rb', 'cheap', ' rb ',' effect ',' called ',' operator ',' told ',' switch ',' card ',' hello ', "]</v>
      </c>
      <c r="D3074" s="3">
        <v>2.0</v>
      </c>
    </row>
    <row r="3075" ht="15.75" customHeight="1">
      <c r="A3075" s="1">
        <v>3279.0</v>
      </c>
      <c r="B3075" s="3" t="s">
        <v>2994</v>
      </c>
      <c r="C3075" s="3" t="str">
        <f>IFERROR(__xludf.DUMMYFUNCTION("GOOGLETRANSLATE(B3075,""id"",""en"")"),"['Out', 'update', 'koq', 'direct', 'screen', 'white', 'telkomsel']")</f>
        <v>['Out', 'update', 'koq', 'direct', 'screen', 'white', 'telkomsel']</v>
      </c>
      <c r="D3075" s="3">
        <v>1.0</v>
      </c>
    </row>
    <row r="3076" ht="15.75" customHeight="1">
      <c r="A3076" s="1">
        <v>3280.0</v>
      </c>
      <c r="B3076" s="3" t="s">
        <v>2995</v>
      </c>
      <c r="C3076" s="3" t="str">
        <f>IFERROR(__xludf.DUMMYFUNCTION("GOOGLETRANSLATE(B3076,""id"",""en"")"),"['Disband', 'line', 'road']")</f>
        <v>['Disband', 'line', 'road']</v>
      </c>
      <c r="D3076" s="3">
        <v>1.0</v>
      </c>
    </row>
    <row r="3077" ht="15.75" customHeight="1">
      <c r="A3077" s="1">
        <v>3281.0</v>
      </c>
      <c r="B3077" s="3" t="s">
        <v>2996</v>
      </c>
      <c r="C3077" s="3" t="str">
        <f>IFERROR(__xludf.DUMMYFUNCTION("GOOGLETRANSLATE(B3077,""id"",""en"")"),"['easy', 'purchase', 'package', 'data', 'promo', 'promo', 'interesting']")</f>
        <v>['easy', 'purchase', 'package', 'data', 'promo', 'promo', 'interesting']</v>
      </c>
      <c r="D3077" s="3">
        <v>5.0</v>
      </c>
    </row>
    <row r="3078" ht="15.75" customHeight="1">
      <c r="A3078" s="1">
        <v>3282.0</v>
      </c>
      <c r="B3078" s="3" t="s">
        <v>2997</v>
      </c>
      <c r="C3078" s="3" t="str">
        <f>IFERROR(__xludf.DUMMYFUNCTION("GOOGLETRANSLATE(B3078,""id"",""en"")"),"['complaint', 'buy', 'package', 'data', 'network', 'pulse', 'contents', 'since' Telkom ',' update ',' causes ',' buy ',' Package ',' Data ',' Please ',' Help ',' System ',' Fix ',' Please ',' Warak ',' Fast ']")</f>
        <v>['complaint', 'buy', 'package', 'data', 'network', 'pulse', 'contents', 'since' Telkom ',' update ',' causes ',' buy ',' Package ',' Data ',' Please ',' Help ',' System ',' Fix ',' Please ',' Warak ',' Fast ']</v>
      </c>
      <c r="D3078" s="3">
        <v>1.0</v>
      </c>
    </row>
    <row r="3079" ht="15.75" customHeight="1">
      <c r="A3079" s="1">
        <v>3283.0</v>
      </c>
      <c r="B3079" s="3" t="s">
        <v>2998</v>
      </c>
      <c r="C3079" s="3" t="str">
        <f>IFERROR(__xludf.DUMMYFUNCTION("GOOGLETRANSLATE(B3079,""id"",""en"")"),"['Kecera', 'the application', 'opened', '']")</f>
        <v>['Kecera', 'the application', 'opened', '']</v>
      </c>
      <c r="D3079" s="3">
        <v>1.0</v>
      </c>
    </row>
    <row r="3080" ht="15.75" customHeight="1">
      <c r="A3080" s="1">
        <v>3284.0</v>
      </c>
      <c r="B3080" s="3" t="s">
        <v>2999</v>
      </c>
      <c r="C3080" s="3" t="str">
        <f>IFERROR(__xludf.DUMMYFUNCTION("GOOGLETRANSLATE(B3080,""id"",""en"")"),"['brand', 'fren', 'use', 'services', 'MyTelkomsel', 'mantaf', '']")</f>
        <v>['brand', 'fren', 'use', 'services', 'MyTelkomsel', 'mantaf', '']</v>
      </c>
      <c r="D3080" s="3">
        <v>4.0</v>
      </c>
    </row>
    <row r="3081" ht="15.75" customHeight="1">
      <c r="A3081" s="1">
        <v>3285.0</v>
      </c>
      <c r="B3081" s="3" t="s">
        <v>106</v>
      </c>
      <c r="C3081" s="3" t="str">
        <f>IFERROR(__xludf.DUMMYFUNCTION("GOOGLETRANSLATE(B3081,""id"",""en"")"),"['signal']")</f>
        <v>['signal']</v>
      </c>
      <c r="D3081" s="3">
        <v>3.0</v>
      </c>
    </row>
    <row r="3082" ht="15.75" customHeight="1">
      <c r="A3082" s="1">
        <v>3286.0</v>
      </c>
      <c r="B3082" s="3" t="s">
        <v>3000</v>
      </c>
      <c r="C3082" s="3" t="str">
        <f>IFERROR(__xludf.DUMMYFUNCTION("GOOGLETRANSLATE(B3082,""id"",""en"")"),"['Want', 'Gift', 'Lottery']")</f>
        <v>['Want', 'Gift', 'Lottery']</v>
      </c>
      <c r="D3082" s="3">
        <v>5.0</v>
      </c>
    </row>
    <row r="3083" ht="15.75" customHeight="1">
      <c r="A3083" s="1">
        <v>3287.0</v>
      </c>
      <c r="B3083" s="3" t="s">
        <v>3001</v>
      </c>
      <c r="C3083" s="3" t="str">
        <f>IFERROR(__xludf.DUMMYFUNCTION("GOOGLETRANSLATE(B3083,""id"",""en"")"),"['TOP', 'its web', 'plosok', 'village', '']")</f>
        <v>['TOP', 'its web', 'plosok', 'village', '']</v>
      </c>
      <c r="D3083" s="3">
        <v>5.0</v>
      </c>
    </row>
    <row r="3084" ht="15.75" customHeight="1">
      <c r="A3084" s="1">
        <v>3289.0</v>
      </c>
      <c r="B3084" s="3" t="s">
        <v>3002</v>
      </c>
      <c r="C3084" s="3" t="str">
        <f>IFERROR(__xludf.DUMMYFUNCTION("GOOGLETRANSLATE(B3084,""id"",""en"")"),"['Application', 'Telkomsel', 'opened', '']")</f>
        <v>['Application', 'Telkomsel', 'opened', '']</v>
      </c>
      <c r="D3084" s="3">
        <v>3.0</v>
      </c>
    </row>
    <row r="3085" ht="15.75" customHeight="1">
      <c r="A3085" s="1">
        <v>3290.0</v>
      </c>
      <c r="B3085" s="3" t="s">
        <v>3003</v>
      </c>
      <c r="C3085" s="3" t="str">
        <f>IFERROR(__xludf.DUMMYFUNCTION("GOOGLETRANSLATE(B3085,""id"",""en"")"),"['knp', 'skrg', 'signal', 'ugly', 'Telkomsel', 'difficult', 'open', '']")</f>
        <v>['knp', 'skrg', 'signal', 'ugly', 'Telkomsel', 'difficult', 'open', '']</v>
      </c>
      <c r="D3085" s="3">
        <v>3.0</v>
      </c>
    </row>
    <row r="3086" ht="15.75" customHeight="1">
      <c r="A3086" s="1">
        <v>3291.0</v>
      </c>
      <c r="B3086" s="3" t="s">
        <v>3004</v>
      </c>
      <c r="C3086" s="3" t="str">
        <f>IFERROR(__xludf.DUMMYFUNCTION("GOOGLETRANSLATE(B3086,""id"",""en"")"),"['Update', 'Open', '']")</f>
        <v>['Update', 'Open', '']</v>
      </c>
      <c r="D3086" s="3">
        <v>1.0</v>
      </c>
    </row>
    <row r="3087" ht="15.75" customHeight="1">
      <c r="A3087" s="1">
        <v>3292.0</v>
      </c>
      <c r="B3087" s="3" t="s">
        <v>3005</v>
      </c>
      <c r="C3087" s="3" t="str">
        <f>IFERROR(__xludf.DUMMYFUNCTION("GOOGLETRANSLATE(B3087,""id"",""en"")"),"['Hello', 'Telkomsel', 'here', 'disappointing', 'pulses',' truncated ',' Where ',' go ',' quota ',' comfortable ',' Customer ',' disappointed ',' rival ',' already ',' comfortable ',' holding back ',' pulses', 'lost', 'quota', 'run out', 'quota', 'lost', "&amp;"'pulses', ""]")</f>
        <v>['Hello', 'Telkomsel', 'here', 'disappointing', 'pulses',' truncated ',' Where ',' go ',' quota ',' comfortable ',' Customer ',' disappointed ',' rival ',' already ',' comfortable ',' holding back ',' pulses', 'lost', 'quota', 'run out', 'quota', 'lost', 'pulses', "]</v>
      </c>
      <c r="D3087" s="3">
        <v>1.0</v>
      </c>
    </row>
    <row r="3088" ht="15.75" customHeight="1">
      <c r="A3088" s="1">
        <v>3293.0</v>
      </c>
      <c r="B3088" s="3" t="s">
        <v>3006</v>
      </c>
      <c r="C3088" s="3" t="str">
        <f>IFERROR(__xludf.DUMMYFUNCTION("GOOGLETRANSLATE(B3088,""id"",""en"")"),"['Blank', 'White', 'BSA', 'DBAY', 'Telkomsel']")</f>
        <v>['Blank', 'White', 'BSA', 'DBAY', 'Telkomsel']</v>
      </c>
      <c r="D3088" s="3">
        <v>5.0</v>
      </c>
    </row>
    <row r="3089" ht="15.75" customHeight="1">
      <c r="A3089" s="1">
        <v>3294.0</v>
      </c>
      <c r="B3089" s="3" t="s">
        <v>3007</v>
      </c>
      <c r="C3089" s="3" t="str">
        <f>IFERROR(__xludf.DUMMYFUNCTION("GOOGLETRANSLATE(B3089,""id"",""en"")"),"['Help', 'Area', 'Bandung', 'Telkimsel', 'The', 'Best', ""]")</f>
        <v>['Help', 'Area', 'Bandung', 'Telkimsel', 'The', 'Best', "]</v>
      </c>
      <c r="D3089" s="3">
        <v>5.0</v>
      </c>
    </row>
    <row r="3090" ht="15.75" customHeight="1">
      <c r="A3090" s="1">
        <v>3295.0</v>
      </c>
      <c r="B3090" s="3" t="s">
        <v>3008</v>
      </c>
      <c r="C3090" s="3" t="str">
        <f>IFERROR(__xludf.DUMMYFUNCTION("GOOGLETRANSLATE(B3090,""id"",""en"")"),"['Satisfied', 'The application', 'price', 'quota', 'wasteful', 'use', 'please', 'setting', 'quota', 'wasteful', 'fast', ' ']")</f>
        <v>['Satisfied', 'The application', 'price', 'quota', 'wasteful', 'use', 'please', 'setting', 'quota', 'wasteful', 'fast', ' ']</v>
      </c>
      <c r="D3090" s="3">
        <v>5.0</v>
      </c>
    </row>
    <row r="3091" ht="15.75" customHeight="1">
      <c r="A3091" s="1">
        <v>3296.0</v>
      </c>
      <c r="B3091" s="3" t="s">
        <v>3009</v>
      </c>
      <c r="C3091" s="3" t="str">
        <f>IFERROR(__xludf.DUMMYFUNCTION("GOOGLETRANSLATE(B3091,""id"",""en"")"),"['Application', 'accessed', 'updated', 'Kenda', 'Please', 'Help', ""]")</f>
        <v>['Application', 'accessed', 'updated', 'Kenda', 'Please', 'Help', "]</v>
      </c>
      <c r="D3091" s="3">
        <v>4.0</v>
      </c>
    </row>
    <row r="3092" ht="15.75" customHeight="1">
      <c r="A3092" s="1">
        <v>3298.0</v>
      </c>
      <c r="B3092" s="3" t="s">
        <v>3010</v>
      </c>
      <c r="C3092" s="3" t="str">
        <f>IFERROR(__xludf.DUMMYFUNCTION("GOOGLETRANSLATE(B3092,""id"",""en"")"),"['Difficulty', 'Buy', 'Package', 'Payment', 'Via', 'Shopeepay', 'Please', 'System', 'Repair']")</f>
        <v>['Difficulty', 'Buy', 'Package', 'Payment', 'Via', 'Shopeepay', 'Please', 'System', 'Repair']</v>
      </c>
      <c r="D3092" s="3">
        <v>4.0</v>
      </c>
    </row>
    <row r="3093" ht="15.75" customHeight="1">
      <c r="A3093" s="1">
        <v>3299.0</v>
      </c>
      <c r="B3093" s="3" t="s">
        <v>3011</v>
      </c>
      <c r="C3093" s="3" t="str">
        <f>IFERROR(__xludf.DUMMYFUNCTION("GOOGLETRANSLATE(B3093,""id"",""en"")"),"['appears', 'package', 'uminitid', 'nyah']")</f>
        <v>['appears', 'package', 'uminitid', 'nyah']</v>
      </c>
      <c r="D3093" s="3">
        <v>4.0</v>
      </c>
    </row>
    <row r="3094" ht="15.75" customHeight="1">
      <c r="A3094" s="1">
        <v>3300.0</v>
      </c>
      <c r="B3094" s="3" t="s">
        <v>3012</v>
      </c>
      <c r="C3094" s="3" t="str">
        <f>IFERROR(__xludf.DUMMYFUNCTION("GOOGLETRANSLATE(B3094,""id"",""en"")"),"['', 'open', 'poor']")</f>
        <v>['', 'open', 'poor']</v>
      </c>
      <c r="D3094" s="3">
        <v>1.0</v>
      </c>
    </row>
    <row r="3095" ht="15.75" customHeight="1">
      <c r="A3095" s="1">
        <v>3301.0</v>
      </c>
      <c r="B3095" s="3" t="s">
        <v>3013</v>
      </c>
      <c r="C3095" s="3" t="str">
        <f>IFERROR(__xludf.DUMMYFUNCTION("GOOGLETRANSLATE(B3095,""id"",""en"")"),"['Telkomsel', 'steady', 'increase', 'program', 'program', 'creative', 'forget', 'promo', 'xixixi']")</f>
        <v>['Telkomsel', 'steady', 'increase', 'program', 'program', 'creative', 'forget', 'promo', 'xixixi']</v>
      </c>
      <c r="D3095" s="3">
        <v>5.0</v>
      </c>
    </row>
    <row r="3096" ht="15.75" customHeight="1">
      <c r="A3096" s="1">
        <v>3302.0</v>
      </c>
      <c r="B3096" s="3" t="s">
        <v>3014</v>
      </c>
      <c r="C3096" s="3" t="str">
        <f>IFERROR(__xludf.DUMMYFUNCTION("GOOGLETRANSLATE(B3096,""id"",""en"")"),"['price', 'package', 'payment', 'according to', 'price', 'package', 'stated', '']")</f>
        <v>['price', 'package', 'payment', 'according to', 'price', 'package', 'stated', '']</v>
      </c>
      <c r="D3096" s="3">
        <v>1.0</v>
      </c>
    </row>
    <row r="3097" ht="15.75" customHeight="1">
      <c r="A3097" s="1">
        <v>3303.0</v>
      </c>
      <c r="B3097" s="3" t="s">
        <v>3015</v>
      </c>
      <c r="C3097" s="3" t="str">
        <f>IFERROR(__xludf.DUMMYFUNCTION("GOOGLETRANSLATE(B3097,""id"",""en"")"),"['Please', 'Management', 'Telkomsel', 'Turns',' Credit ',' Worth ',' HILANGGG ',' UDH ',' Register ',' Quota ',' Credit ',' Sucked ',' Please ',' Change ',' Credit ',' Meaaa ',' Thank youhhhhhhhhhhhhh ',' ']")</f>
        <v>['Please', 'Management', 'Telkomsel', 'Turns',' Credit ',' Worth ',' HILANGGG ',' UDH ',' Register ',' Quota ',' Credit ',' Sucked ',' Please ',' Change ',' Credit ',' Meaaa ',' Thank youhhhhhhhhhhhhh ',' ']</v>
      </c>
      <c r="D3097" s="3">
        <v>1.0</v>
      </c>
    </row>
    <row r="3098" ht="15.75" customHeight="1">
      <c r="A3098" s="1">
        <v>3304.0</v>
      </c>
      <c r="B3098" s="3" t="s">
        <v>3016</v>
      </c>
      <c r="C3098" s="3" t="str">
        <f>IFERROR(__xludf.DUMMYFUNCTION("GOOGLETRANSLATE(B3098,""id"",""en"")"),"['signal', 'area', 'Nambah', 'ugly', 'signal', 'get', 'digit', 'slamming', 'please', 'fix', 'min', 'disappointed']")</f>
        <v>['signal', 'area', 'Nambah', 'ugly', 'signal', 'get', 'digit', 'slamming', 'please', 'fix', 'min', 'disappointed']</v>
      </c>
      <c r="D3098" s="3">
        <v>1.0</v>
      </c>
    </row>
    <row r="3099" ht="15.75" customHeight="1">
      <c r="A3099" s="1">
        <v>3305.0</v>
      </c>
      <c r="B3099" s="3" t="s">
        <v>3017</v>
      </c>
      <c r="C3099" s="3" t="str">
        <f>IFERROR(__xludf.DUMMYFUNCTION("GOOGLETRANSLATE(B3099,""id"",""en"")"),"['Application', 'After', 'Update', 'Open', 'Nge', 'Blank', 'White', 'Disappointed']")</f>
        <v>['Application', 'After', 'Update', 'Open', 'Nge', 'Blank', 'White', 'Disappointed']</v>
      </c>
      <c r="D3099" s="3">
        <v>1.0</v>
      </c>
    </row>
    <row r="3100" ht="15.75" customHeight="1">
      <c r="A3100" s="1">
        <v>3306.0</v>
      </c>
      <c r="B3100" s="3" t="s">
        <v>3018</v>
      </c>
      <c r="C3100" s="3" t="str">
        <f>IFERROR(__xludf.DUMMYFUNCTION("GOOGLETRANSLATE(B3100,""id"",""en"")"),"['Try', 'assisted', 'brother', 'admin', 'apk', 'Telkomsel', 'opened', '']")</f>
        <v>['Try', 'assisted', 'brother', 'admin', 'apk', 'Telkomsel', 'opened', '']</v>
      </c>
      <c r="D3100" s="3">
        <v>2.0</v>
      </c>
    </row>
    <row r="3101" ht="15.75" customHeight="1">
      <c r="A3101" s="1">
        <v>3307.0</v>
      </c>
      <c r="B3101" s="3" t="s">
        <v>3019</v>
      </c>
      <c r="C3101" s="3" t="str">
        <f>IFERROR(__xludf.DUMMYFUNCTION("GOOGLETRANSLATE(B3101,""id"",""en"")"),"['Points', 'Nida', 'Exchange', '']")</f>
        <v>['Points', 'Nida', 'Exchange', '']</v>
      </c>
      <c r="D3101" s="3">
        <v>4.0</v>
      </c>
    </row>
    <row r="3102" ht="15.75" customHeight="1">
      <c r="A3102" s="1">
        <v>3309.0</v>
      </c>
      <c r="B3102" s="3" t="s">
        <v>3020</v>
      </c>
      <c r="C3102" s="3" t="str">
        <f>IFERROR(__xludf.DUMMYFUNCTION("GOOGLETRANSLATE(B3102,""id"",""en"")"),"['Signal', 'missing']")</f>
        <v>['Signal', 'missing']</v>
      </c>
      <c r="D3102" s="3">
        <v>3.0</v>
      </c>
    </row>
    <row r="3103" ht="15.75" customHeight="1">
      <c r="A3103" s="1">
        <v>3310.0</v>
      </c>
      <c r="B3103" s="3" t="s">
        <v>3021</v>
      </c>
      <c r="C3103" s="3" t="str">
        <f>IFERROR(__xludf.DUMMYFUNCTION("GOOGLETRANSLATE(B3103,""id"",""en"")"),"['expensive', 'NGK', 'Economy', 'Telkomsel', 'UDH', 'KSIH', 'Star', 'Dispose', 'Card', 'Price', 'Package', 'Excellent', ' Kuntol ',' Taikk ']")</f>
        <v>['expensive', 'NGK', 'Economy', 'Telkomsel', 'UDH', 'KSIH', 'Star', 'Dispose', 'Card', 'Price', 'Package', 'Excellent', ' Kuntol ',' Taikk ']</v>
      </c>
      <c r="D3103" s="3">
        <v>1.0</v>
      </c>
    </row>
    <row r="3104" ht="15.75" customHeight="1">
      <c r="A3104" s="1">
        <v>3311.0</v>
      </c>
      <c r="B3104" s="3" t="s">
        <v>3022</v>
      </c>
      <c r="C3104" s="3" t="str">
        <f>IFERROR(__xludf.DUMMYFUNCTION("GOOGLETRANSLATE(B3104,""id"",""en"")"),"['Charge', 'easy', 'need']")</f>
        <v>['Charge', 'easy', 'need']</v>
      </c>
      <c r="D3104" s="3">
        <v>4.0</v>
      </c>
    </row>
    <row r="3105" ht="15.75" customHeight="1">
      <c r="A3105" s="1">
        <v>3312.0</v>
      </c>
      <c r="B3105" s="3" t="s">
        <v>3023</v>
      </c>
      <c r="C3105" s="3" t="str">
        <f>IFERROR(__xludf.DUMMYFUNCTION("GOOGLETRANSLATE(B3105,""id"",""en"")"),"['quota', 'doang', 'expensive', 'signal', 'ugly', 'price', 'suits', 'quality']")</f>
        <v>['quota', 'doang', 'expensive', 'signal', 'ugly', 'price', 'suits', 'quality']</v>
      </c>
      <c r="D3105" s="3">
        <v>1.0</v>
      </c>
    </row>
    <row r="3106" ht="15.75" customHeight="1">
      <c r="A3106" s="1">
        <v>3313.0</v>
      </c>
      <c r="B3106" s="3" t="s">
        <v>3024</v>
      </c>
      <c r="C3106" s="3" t="str">
        <f>IFERROR(__xludf.DUMMYFUNCTION("GOOGLETRANSLATE(B3106,""id"",""en"")"),"['application', 'easy', 'open', 'useful', 'help', 'purchase', 'pulse', 'quota', 'internet']")</f>
        <v>['application', 'easy', 'open', 'useful', 'help', 'purchase', 'pulse', 'quota', 'internet']</v>
      </c>
      <c r="D3106" s="3">
        <v>5.0</v>
      </c>
    </row>
    <row r="3107" ht="15.75" customHeight="1">
      <c r="A3107" s="1">
        <v>3314.0</v>
      </c>
      <c r="B3107" s="3" t="s">
        <v>3025</v>
      </c>
      <c r="C3107" s="3" t="str">
        <f>IFERROR(__xludf.DUMMYFUNCTION("GOOGLETRANSLATE(B3107,""id"",""en"")"),"['Please', 'Telkomsel', 'already', 'package', 'expensive', 'pulse', 'apk', 'reduced', 'gini', 'times', 'looked', 'luck']")</f>
        <v>['Please', 'Telkomsel', 'already', 'package', 'expensive', 'pulse', 'apk', 'reduced', 'gini', 'times', 'looked', 'luck']</v>
      </c>
      <c r="D3107" s="3">
        <v>1.0</v>
      </c>
    </row>
    <row r="3108" ht="15.75" customHeight="1">
      <c r="A3108" s="1">
        <v>3315.0</v>
      </c>
      <c r="B3108" s="3" t="s">
        <v>3026</v>
      </c>
      <c r="C3108" s="3" t="str">
        <f>IFERROR(__xludf.DUMMYFUNCTION("GOOGLETRANSLATE(B3108,""id"",""en"")"),"['umpteenth', 'time', 'disappointed', 'network', 'Telkomtot', 'Stay', 'Depok', 'City', 'remote']")</f>
        <v>['umpteenth', 'time', 'disappointed', 'network', 'Telkomtot', 'Stay', 'Depok', 'City', 'remote']</v>
      </c>
      <c r="D3108" s="3">
        <v>1.0</v>
      </c>
    </row>
    <row r="3109" ht="15.75" customHeight="1">
      <c r="A3109" s="1">
        <v>3316.0</v>
      </c>
      <c r="B3109" s="3" t="s">
        <v>3027</v>
      </c>
      <c r="C3109" s="3" t="str">
        <f>IFERROR(__xludf.DUMMYFUNCTION("GOOGLETRANSLATE(B3109,""id"",""en"")"),"['Bigs', 'Bangett', 'Dehh', 'make', 'Gemmess', 'Akunnya', ""]")</f>
        <v>['Bigs', 'Bangett', 'Dehh', 'make', 'Gemmess', 'Akunnya', "]</v>
      </c>
      <c r="D3109" s="3">
        <v>5.0</v>
      </c>
    </row>
    <row r="3110" ht="15.75" customHeight="1">
      <c r="A3110" s="1">
        <v>3317.0</v>
      </c>
      <c r="B3110" s="3" t="s">
        <v>3028</v>
      </c>
      <c r="C3110" s="3" t="str">
        <f>IFERROR(__xludf.DUMMYFUNCTION("GOOGLETRANSLATE(B3110,""id"",""en"")"),"['Dear', 'Telkomsel', 'December', 'Application', 'Opened', 'MyTelkomsel', 'UDH', 'Version', 'What']")</f>
        <v>['Dear', 'Telkomsel', 'December', 'Application', 'Opened', 'MyTelkomsel', 'UDH', 'Version', 'What']</v>
      </c>
      <c r="D3110" s="3">
        <v>2.0</v>
      </c>
    </row>
    <row r="3111" ht="15.75" customHeight="1">
      <c r="A3111" s="1">
        <v>3318.0</v>
      </c>
      <c r="B3111" s="3" t="s">
        <v>3029</v>
      </c>
      <c r="C3111" s="3" t="str">
        <f>IFERROR(__xludf.DUMMYFUNCTION("GOOGLETRANSLATE(B3111,""id"",""en"")"),"['Makai', 'card', 'Telkomsel', 'UDH', 'TH', 'TH'S,' Wear ',' Telkomsel ',' Severe ',' Signal ',' Udh ',' City ',' stay ',' truss', 'quota', 'expensive', 'PLK', 'Tuu', 'NGK', 'Kyak', 'Sya', 'Belik', 'cheap', 'network' , 'Severe', 'Download', 'HARD', 'WAIT'"&amp;", 'Play', 'Game', 'Severe', 'Klau', 'expensive', 'NGK', 'Papa', 'Network', ' Bguss', 'NII', 'NGK', 'UDH', 'expensive', 'ugly', 'LGI', 'Network', 'Telkomsel', 'Kyak', 'Gini', 'truss',' moved ' , 'Network', 'Sya', 'lgi', 'regret', 'use', 'Telkomsel', 'rah']")</f>
        <v>['Makai', 'card', 'Telkomsel', 'UDH', 'TH', 'TH'S,' Wear ',' Telkomsel ',' Severe ',' Signal ',' Udh ',' City ',' stay ',' truss', 'quota', 'expensive', 'PLK', 'Tuu', 'NGK', 'Kyak', 'Sya', 'Belik', 'cheap', 'network' , 'Severe', 'Download', 'HARD', 'WAIT', 'Play', 'Game', 'Severe', 'Klau', 'expensive', 'NGK', 'Papa', 'Network', ' Bguss', 'NII', 'NGK', 'UDH', 'expensive', 'ugly', 'LGI', 'Network', 'Telkomsel', 'Kyak', 'Gini', 'truss',' moved ' , 'Network', 'Sya', 'lgi', 'regret', 'use', 'Telkomsel', 'rah']</v>
      </c>
      <c r="D3111" s="3">
        <v>1.0</v>
      </c>
    </row>
    <row r="3112" ht="15.75" customHeight="1">
      <c r="A3112" s="1">
        <v>3319.0</v>
      </c>
      <c r="B3112" s="3" t="s">
        <v>3030</v>
      </c>
      <c r="C3112" s="3" t="str">
        <f>IFERROR(__xludf.DUMMYFUNCTION("GOOGLETRANSLATE(B3112,""id"",""en"")"),"['Sya', 'like', 'easy', 'buy', 'package', 'easy', 'information', 'steady', 'Telkomsel', ""]")</f>
        <v>['Sya', 'like', 'easy', 'buy', 'package', 'easy', 'information', 'steady', 'Telkomsel', "]</v>
      </c>
      <c r="D3112" s="3">
        <v>5.0</v>
      </c>
    </row>
    <row r="3113" ht="15.75" customHeight="1">
      <c r="A3113" s="1">
        <v>3320.0</v>
      </c>
      <c r="B3113" s="3" t="s">
        <v>3031</v>
      </c>
      <c r="C3113" s="3" t="str">
        <f>IFERROR(__xludf.DUMMYFUNCTION("GOOGLETRANSLATE(B3113,""id"",""en"")"),"['Help', 'easy']")</f>
        <v>['Help', 'easy']</v>
      </c>
      <c r="D3113" s="3">
        <v>4.0</v>
      </c>
    </row>
    <row r="3114" ht="15.75" customHeight="1">
      <c r="A3114" s="1">
        <v>3322.0</v>
      </c>
      <c r="B3114" s="3" t="s">
        <v>3032</v>
      </c>
      <c r="C3114" s="3" t="str">
        <f>IFERROR(__xludf.DUMMYFUNCTION("GOOGLETRANSLATE(B3114,""id"",""en"")"),"['Sis', 'KNPA', 'Enter', 'Application', 'Signal', 'Good', ""]")</f>
        <v>['Sis', 'KNPA', 'Enter', 'Application', 'Signal', 'Good', "]</v>
      </c>
      <c r="D3114" s="3">
        <v>1.0</v>
      </c>
    </row>
    <row r="3115" ht="15.75" customHeight="1">
      <c r="A3115" s="1">
        <v>3323.0</v>
      </c>
      <c r="B3115" s="3" t="s">
        <v>3033</v>
      </c>
      <c r="C3115" s="3" t="str">
        <f>IFERROR(__xludf.DUMMYFUNCTION("GOOGLETRANSLATE(B3115,""id"",""en"")"),"['Mending', 'Unii', 'Install', 'ajh', 'deh', 'enter', 'account', 'knp']")</f>
        <v>['Mending', 'Unii', 'Install', 'ajh', 'deh', 'enter', 'account', 'knp']</v>
      </c>
      <c r="D3115" s="3">
        <v>1.0</v>
      </c>
    </row>
    <row r="3116" ht="15.75" customHeight="1">
      <c r="A3116" s="1">
        <v>3324.0</v>
      </c>
      <c r="B3116" s="3" t="s">
        <v>159</v>
      </c>
      <c r="C3116" s="3" t="str">
        <f>IFERROR(__xludf.DUMMYFUNCTION("GOOGLETRANSLATE(B3116,""id"",""en"")"),"['Telkomsel', 'good']")</f>
        <v>['Telkomsel', 'good']</v>
      </c>
      <c r="D3116" s="3">
        <v>5.0</v>
      </c>
    </row>
    <row r="3117" ht="15.75" customHeight="1">
      <c r="A3117" s="1">
        <v>3325.0</v>
      </c>
      <c r="B3117" s="3" t="s">
        <v>3034</v>
      </c>
      <c r="C3117" s="3" t="str">
        <f>IFERROR(__xludf.DUMMYFUNCTION("GOOGLETRANSLATE(B3117,""id"",""en"")"),"['Good', 'easy']")</f>
        <v>['Good', 'easy']</v>
      </c>
      <c r="D3117" s="3">
        <v>5.0</v>
      </c>
    </row>
    <row r="3118" ht="15.75" customHeight="1">
      <c r="A3118" s="1">
        <v>3326.0</v>
      </c>
      <c r="B3118" s="3" t="s">
        <v>3035</v>
      </c>
      <c r="C3118" s="3" t="str">
        <f>IFERROR(__xludf.DUMMYFUNCTION("GOOGLETRANSLATE(B3118,""id"",""en"")"),"['Not bad', 'good', 'use', 'Telkomsel', '']")</f>
        <v>['Not bad', 'good', 'use', 'Telkomsel', '']</v>
      </c>
      <c r="D3118" s="3">
        <v>3.0</v>
      </c>
    </row>
    <row r="3119" ht="15.75" customHeight="1">
      <c r="A3119" s="1">
        <v>3328.0</v>
      </c>
      <c r="B3119" s="3" t="s">
        <v>3036</v>
      </c>
      <c r="C3119" s="3" t="str">
        <f>IFERROR(__xludf.DUMMYFUNCTION("GOOGLETRANSLATE(B3119,""id"",""en"")"),"['enhancement', '']")</f>
        <v>['enhancement', '']</v>
      </c>
      <c r="D3119" s="3">
        <v>4.0</v>
      </c>
    </row>
    <row r="3120" ht="15.75" customHeight="1">
      <c r="A3120" s="1">
        <v>3329.0</v>
      </c>
      <c r="B3120" s="3" t="s">
        <v>3037</v>
      </c>
      <c r="C3120" s="3" t="str">
        <f>IFERROR(__xludf.DUMMYFUNCTION("GOOGLETRANSLATE(B3120,""id"",""en"")"),"['APL', 'opened', 'reset', 'reset', 'delete', 'download', 'open', 'difficult', 'contents',' pulse ',' package ',' monthly ',' mmg ',' service ',' bad ',' report ',' where ',' ']")</f>
        <v>['APL', 'opened', 'reset', 'reset', 'delete', 'download', 'open', 'difficult', 'contents',' pulse ',' package ',' monthly ',' mmg ',' service ',' bad ',' report ',' where ',' ']</v>
      </c>
      <c r="D3120" s="3">
        <v>1.0</v>
      </c>
    </row>
    <row r="3121" ht="15.75" customHeight="1">
      <c r="A3121" s="1">
        <v>3330.0</v>
      </c>
      <c r="B3121" s="3" t="s">
        <v>3038</v>
      </c>
      <c r="C3121" s="3" t="str">
        <f>IFERROR(__xludf.DUMMYFUNCTION("GOOGLETRANSLATE(B3121,""id"",""en"")"),"['', 'Gabisa', 'Login', 'friend', 'friend', 'please', 'improvement', ""]")</f>
        <v>['', 'Gabisa', 'Login', 'friend', 'friend', 'please', 'improvement', "]</v>
      </c>
      <c r="D3121" s="3">
        <v>1.0</v>
      </c>
    </row>
    <row r="3122" ht="15.75" customHeight="1">
      <c r="A3122" s="1">
        <v>3331.0</v>
      </c>
      <c r="B3122" s="3" t="s">
        <v>3039</v>
      </c>
      <c r="C3122" s="3" t="str">
        <f>IFERROR(__xludf.DUMMYFUNCTION("GOOGLETRANSLATE(B3122,""id"",""en"")"),"['Down', 'iyah', 'buy', 'package', 'NGK', '']")</f>
        <v>['Down', 'iyah', 'buy', 'package', 'NGK', '']</v>
      </c>
      <c r="D3122" s="3">
        <v>2.0</v>
      </c>
    </row>
    <row r="3123" ht="15.75" customHeight="1">
      <c r="A3123" s="1">
        <v>3332.0</v>
      </c>
      <c r="B3123" s="3" t="s">
        <v>3040</v>
      </c>
      <c r="C3123" s="3" t="str">
        <f>IFERROR(__xludf.DUMMYFUNCTION("GOOGLETRANSLATE(B3123,""id"",""en"")"),"['Telkomsel', 'times', 'credit', 'ilang', 'that's', 'package', 'enter', '']")</f>
        <v>['Telkomsel', 'times', 'credit', 'ilang', 'that's', 'package', 'enter', '']</v>
      </c>
      <c r="D3123" s="3">
        <v>1.0</v>
      </c>
    </row>
    <row r="3124" ht="15.75" customHeight="1">
      <c r="A3124" s="1">
        <v>3333.0</v>
      </c>
      <c r="B3124" s="3" t="s">
        <v>3041</v>
      </c>
      <c r="C3124" s="3" t="str">
        <f>IFERROR(__xludf.DUMMYFUNCTION("GOOGLETRANSLATE(B3124,""id"",""en"")"),"['update', 'purchase', 'package', 'data', 'Telkomsel', 'purchase', 'via', 'Telkomsel', 'sucked', 'pulses', ""]")</f>
        <v>['update', 'purchase', 'package', 'data', 'Telkomsel', 'purchase', 'via', 'Telkomsel', 'sucked', 'pulses', "]</v>
      </c>
      <c r="D3124" s="3">
        <v>4.0</v>
      </c>
    </row>
    <row r="3125" ht="15.75" customHeight="1">
      <c r="A3125" s="1">
        <v>3334.0</v>
      </c>
      <c r="B3125" s="3" t="s">
        <v>3042</v>
      </c>
      <c r="C3125" s="3" t="str">
        <f>IFERROR(__xludf.DUMMYFUNCTION("GOOGLETRANSLATE(B3125,""id"",""en"")"),"['happy', 'heart', 'help', 'emergency']")</f>
        <v>['happy', 'heart', 'help', 'emergency']</v>
      </c>
      <c r="D3125" s="3">
        <v>4.0</v>
      </c>
    </row>
    <row r="3126" ht="15.75" customHeight="1">
      <c r="A3126" s="1">
        <v>3335.0</v>
      </c>
      <c r="B3126" s="3" t="s">
        <v>3043</v>
      </c>
      <c r="C3126" s="3" t="str">
        <f>IFERROR(__xludf.DUMMYFUNCTION("GOOGLETRANSLATE(B3126,""id"",""en"")"),"['Cool', 'lazy', 'typing', '']")</f>
        <v>['Cool', 'lazy', 'typing', '']</v>
      </c>
      <c r="D3126" s="3">
        <v>5.0</v>
      </c>
    </row>
    <row r="3127" ht="15.75" customHeight="1">
      <c r="A3127" s="1">
        <v>3336.0</v>
      </c>
      <c r="B3127" s="3" t="s">
        <v>1367</v>
      </c>
      <c r="C3127" s="3" t="str">
        <f>IFERROR(__xludf.DUMMYFUNCTION("GOOGLETRANSLATE(B3127,""id"",""en"")"),"['good']")</f>
        <v>['good']</v>
      </c>
      <c r="D3127" s="3">
        <v>5.0</v>
      </c>
    </row>
    <row r="3128" ht="15.75" customHeight="1">
      <c r="A3128" s="1">
        <v>3337.0</v>
      </c>
      <c r="B3128" s="3" t="s">
        <v>3044</v>
      </c>
      <c r="C3128" s="3" t="str">
        <f>IFERROR(__xludf.DUMMYFUNCTION("GOOGLETRANSLATE(B3128,""id"",""en"")"),"['expensive', 'sippplah']")</f>
        <v>['expensive', 'sippplah']</v>
      </c>
      <c r="D3128" s="3">
        <v>4.0</v>
      </c>
    </row>
    <row r="3129" ht="15.75" customHeight="1">
      <c r="A3129" s="1">
        <v>3338.0</v>
      </c>
      <c r="B3129" s="3" t="s">
        <v>3045</v>
      </c>
      <c r="C3129" s="3" t="str">
        <f>IFERROR(__xludf.DUMMYFUNCTION("GOOGLETRANSLATE(B3129,""id"",""en"")"),"['apk', 'destroyed', 'opened', 'skali', 'uinstal', 'download', 'open']")</f>
        <v>['apk', 'destroyed', 'opened', 'skali', 'uinstal', 'download', 'open']</v>
      </c>
      <c r="D3129" s="3">
        <v>1.0</v>
      </c>
    </row>
    <row r="3130" ht="15.75" customHeight="1">
      <c r="A3130" s="1">
        <v>3339.0</v>
      </c>
      <c r="B3130" s="3" t="s">
        <v>3046</v>
      </c>
      <c r="C3130" s="3" t="str">
        <f>IFERROR(__xludf.DUMMYFUNCTION("GOOGLETRANSLATE(B3130,""id"",""en"")"),"['Please', 'Sorry', 'Love', 'Bintang', 'Karna', 'Point', 'Exchange', 'Buy', 'Mobile', 'Legend', 'Ngk', 'Written', ' NGK ',' Access', 'Disappointed', '']")</f>
        <v>['Please', 'Sorry', 'Love', 'Bintang', 'Karna', 'Point', 'Exchange', 'Buy', 'Mobile', 'Legend', 'Ngk', 'Written', ' NGK ',' Access', 'Disappointed', '']</v>
      </c>
      <c r="D3130" s="3">
        <v>4.0</v>
      </c>
    </row>
    <row r="3131" ht="15.75" customHeight="1">
      <c r="A3131" s="1">
        <v>3340.0</v>
      </c>
      <c r="B3131" s="3" t="s">
        <v>3047</v>
      </c>
      <c r="C3131" s="3" t="str">
        <f>IFERROR(__xludf.DUMMYFUNCTION("GOOGLETRANSLATE(B3131,""id"",""en"")"),"['mmbantu', 'Anyway', '']")</f>
        <v>['mmbantu', 'Anyway', '']</v>
      </c>
      <c r="D3131" s="3">
        <v>5.0</v>
      </c>
    </row>
    <row r="3132" ht="15.75" customHeight="1">
      <c r="A3132" s="1">
        <v>3341.0</v>
      </c>
      <c r="B3132" s="3" t="s">
        <v>3048</v>
      </c>
      <c r="C3132" s="3" t="str">
        <f>IFERROR(__xludf.DUMMYFUNCTION("GOOGLETRANSLATE(B3132,""id"",""en"")"),"['Switch', 'Points', 'Package', 'Data', 'Points', '']")</f>
        <v>['Switch', 'Points', 'Package', 'Data', 'Points', '']</v>
      </c>
      <c r="D3132" s="3">
        <v>1.0</v>
      </c>
    </row>
    <row r="3133" ht="15.75" customHeight="1">
      <c r="A3133" s="1">
        <v>3342.0</v>
      </c>
      <c r="B3133" s="3" t="s">
        <v>3049</v>
      </c>
      <c r="C3133" s="3" t="str">
        <f>IFERROR(__xludf.DUMMYFUNCTION("GOOGLETRANSLATE(B3133,""id"",""en"")"),"['apk', 'uda', 'open', 'update', 'strange', 'apk', '']")</f>
        <v>['apk', 'uda', 'open', 'update', 'strange', 'apk', '']</v>
      </c>
      <c r="D3133" s="3">
        <v>5.0</v>
      </c>
    </row>
    <row r="3134" ht="15.75" customHeight="1">
      <c r="A3134" s="1">
        <v>3343.0</v>
      </c>
      <c r="B3134" s="3" t="s">
        <v>3050</v>
      </c>
      <c r="C3134" s="3" t="str">
        <f>IFERROR(__xludf.DUMMYFUNCTION("GOOGLETRANSLATE(B3134,""id"",""en"")"),"['Exchange', 'Points', 'Prizes']")</f>
        <v>['Exchange', 'Points', 'Prizes']</v>
      </c>
      <c r="D3134" s="3">
        <v>5.0</v>
      </c>
    </row>
    <row r="3135" ht="15.75" customHeight="1">
      <c r="A3135" s="1">
        <v>3345.0</v>
      </c>
      <c r="B3135" s="3" t="s">
        <v>3051</v>
      </c>
      <c r="C3135" s="3" t="str">
        <f>IFERROR(__xludf.DUMMYFUNCTION("GOOGLETRANSLATE(B3135,""id"",""en"")"),"['expensive', 'signal', 'like', 'skat', 'apply', 'package', 'hbs',' package ',' msh ',' leftover ',' package ',' contents', ' Package ',' Internet ',' Embat ',' Exp ',' ']")</f>
        <v>['expensive', 'signal', 'like', 'skat', 'apply', 'package', 'hbs',' package ',' msh ',' leftover ',' package ',' contents', ' Package ',' Internet ',' Embat ',' Exp ',' ']</v>
      </c>
      <c r="D3135" s="3">
        <v>1.0</v>
      </c>
    </row>
    <row r="3136" ht="15.75" customHeight="1">
      <c r="A3136" s="1">
        <v>3346.0</v>
      </c>
      <c r="B3136" s="3" t="s">
        <v>3052</v>
      </c>
      <c r="C3136" s="3" t="str">
        <f>IFERROR(__xludf.DUMMYFUNCTION("GOOGLETRANSLATE(B3136,""id"",""en"")"),"['expensive', 'doang', 'emotion', 'network', 'ugly', 'pulp']")</f>
        <v>['expensive', 'doang', 'emotion', 'network', 'ugly', 'pulp']</v>
      </c>
      <c r="D3136" s="3">
        <v>1.0</v>
      </c>
    </row>
    <row r="3137" ht="15.75" customHeight="1">
      <c r="A3137" s="1">
        <v>3347.0</v>
      </c>
      <c r="B3137" s="3" t="s">
        <v>3053</v>
      </c>
      <c r="C3137" s="3" t="str">
        <f>IFERROR(__xludf.DUMMYFUNCTION("GOOGLETRANSLATE(B3137,""id"",""en"")"),"['Application', 'complicated', 'entry', 'code', 'OTP', 'sent', 'intention', 'really', 'application']")</f>
        <v>['Application', 'complicated', 'entry', 'code', 'OTP', 'sent', 'intention', 'really', 'application']</v>
      </c>
      <c r="D3137" s="3">
        <v>1.0</v>
      </c>
    </row>
    <row r="3138" ht="15.75" customHeight="1">
      <c r="A3138" s="1">
        <v>3348.0</v>
      </c>
      <c r="B3138" s="3" t="s">
        <v>3054</v>
      </c>
      <c r="C3138" s="3" t="str">
        <f>IFERROR(__xludf.DUMMYFUNCTION("GOOGLETRANSLATE(B3138,""id"",""en"")"),"['Please', 'Minperimin', 'Quality', 'Signal', 'Telkomsel', 'City', 'Hard', 'Plosok', 'Tower', 'Altitude', 'Meter', 'Telkomsel', ' Users', 'Quality', 'Signal', 'Lost']")</f>
        <v>['Please', 'Minperimin', 'Quality', 'Signal', 'Telkomsel', 'City', 'Hard', 'Plosok', 'Tower', 'Altitude', 'Meter', 'Telkomsel', ' Users', 'Quality', 'Signal', 'Lost']</v>
      </c>
      <c r="D3138" s="3">
        <v>2.0</v>
      </c>
    </row>
    <row r="3139" ht="15.75" customHeight="1">
      <c r="A3139" s="1">
        <v>3349.0</v>
      </c>
      <c r="B3139" s="3" t="s">
        <v>3055</v>
      </c>
      <c r="C3139" s="3" t="str">
        <f>IFERROR(__xludf.DUMMYFUNCTION("GOOGLETRANSLATE(B3139,""id"",""en"")"),"['Agree', 'Review', 'Mbak', 'Yasmin', 'Privileges', 'Postpaid', 'Costs', 'LBH', 'Expensive']")</f>
        <v>['Agree', 'Review', 'Mbak', 'Yasmin', 'Privileges', 'Postpaid', 'Costs', 'LBH', 'Expensive']</v>
      </c>
      <c r="D3139" s="3">
        <v>1.0</v>
      </c>
    </row>
    <row r="3140" ht="15.75" customHeight="1">
      <c r="A3140" s="1">
        <v>3350.0</v>
      </c>
      <c r="B3140" s="3" t="s">
        <v>3056</v>
      </c>
      <c r="C3140" s="3" t="str">
        <f>IFERROR(__xludf.DUMMYFUNCTION("GOOGLETRANSLATE(B3140,""id"",""en"")"),"['Good', 'Open']")</f>
        <v>['Good', 'Open']</v>
      </c>
      <c r="D3140" s="3">
        <v>4.0</v>
      </c>
    </row>
    <row r="3141" ht="15.75" customHeight="1">
      <c r="A3141" s="1">
        <v>3351.0</v>
      </c>
      <c r="B3141" s="3" t="s">
        <v>3057</v>
      </c>
      <c r="C3141" s="3" t="str">
        <f>IFERROR(__xludf.DUMMYFUNCTION("GOOGLETRANSLATE(B3141,""id"",""en"")"),"['a month', 'application', 'display', 'display', 'blank', 'white', 'pulse', 'me', 'truncated', 'no', 'me', 'use', ' The pulses ',' Sometimes ',' Rp ',' Cut ',' Credit ',' I ',' complaint ',' company ',' Media ',' pulse ',' I ',' Cut "", '']")</f>
        <v>['a month', 'application', 'display', 'display', 'blank', 'white', 'pulse', 'me', 'truncated', 'no', 'me', 'use', ' The pulses ',' Sometimes ',' Rp ',' Cut ',' Credit ',' I ',' complaint ',' company ',' Media ',' pulse ',' I ',' Cut ", '']</v>
      </c>
      <c r="D3141" s="3">
        <v>1.0</v>
      </c>
    </row>
    <row r="3142" ht="15.75" customHeight="1">
      <c r="A3142" s="1">
        <v>3352.0</v>
      </c>
      <c r="B3142" s="3" t="s">
        <v>3058</v>
      </c>
      <c r="C3142" s="3" t="str">
        <f>IFERROR(__xludf.DUMMYFUNCTION("GOOGLETRANSLATE(B3142,""id"",""en"")"),"['Telkomsel', 'emang', 'steady']")</f>
        <v>['Telkomsel', 'emang', 'steady']</v>
      </c>
      <c r="D3142" s="3">
        <v>5.0</v>
      </c>
    </row>
    <row r="3143" ht="15.75" customHeight="1">
      <c r="A3143" s="1">
        <v>3353.0</v>
      </c>
      <c r="B3143" s="3" t="s">
        <v>3059</v>
      </c>
      <c r="C3143" s="3" t="str">
        <f>IFERROR(__xludf.DUMMYFUNCTION("GOOGLETRANSLATE(B3143,""id"",""en"")"),"['Out', 'update', 'good', 'ugly', 'open', 'please', 'repaired', 'thank', 'love', ""]")</f>
        <v>['Out', 'update', 'good', 'ugly', 'open', 'please', 'repaired', 'thank', 'love', "]</v>
      </c>
      <c r="D3143" s="3">
        <v>1.0</v>
      </c>
    </row>
    <row r="3144" ht="15.75" customHeight="1">
      <c r="A3144" s="1">
        <v>3354.0</v>
      </c>
      <c r="B3144" s="3" t="s">
        <v>3060</v>
      </c>
      <c r="C3144" s="3" t="str">
        <f>IFERROR(__xludf.DUMMYFUNCTION("GOOGLETRANSLATE(B3144,""id"",""en"")"),"['expensive', 'rb', 'hr', 'so', 'thank you']")</f>
        <v>['expensive', 'rb', 'hr', 'so', 'thank you']</v>
      </c>
      <c r="D3144" s="3">
        <v>1.0</v>
      </c>
    </row>
    <row r="3145" ht="15.75" customHeight="1">
      <c r="A3145" s="1">
        <v>3355.0</v>
      </c>
      <c r="B3145" s="3" t="s">
        <v>3061</v>
      </c>
      <c r="C3145" s="3" t="str">
        <f>IFERROR(__xludf.DUMMYFUNCTION("GOOGLETRANSLATE(B3145,""id"",""en"")"),"['Speed', 'Signal', 'Stable', 'Wherever', 'Dide', 'Customer', 'Satisfied', 'Pay', 'Expensive', ""]")</f>
        <v>['Speed', 'Signal', 'Stable', 'Wherever', 'Dide', 'Customer', 'Satisfied', 'Pay', 'Expensive', "]</v>
      </c>
      <c r="D3145" s="3">
        <v>3.0</v>
      </c>
    </row>
    <row r="3146" ht="15.75" customHeight="1">
      <c r="A3146" s="1">
        <v>3356.0</v>
      </c>
      <c r="B3146" s="3" t="s">
        <v>3062</v>
      </c>
      <c r="C3146" s="3" t="str">
        <f>IFERROR(__xludf.DUMMYFUNCTION("GOOGLETRANSLATE(B3146,""id"",""en"")"),"['already', 'expensive', 'expensive', 'signal', 'ugly', 'really', 'please', 'fix', 'regret', 'cave', 'card', 'please', ' Fix ',' Region ',' Cianjur ']")</f>
        <v>['already', 'expensive', 'expensive', 'signal', 'ugly', 'really', 'please', 'fix', 'regret', 'cave', 'card', 'please', ' Fix ',' Region ',' Cianjur ']</v>
      </c>
      <c r="D3146" s="3">
        <v>1.0</v>
      </c>
    </row>
    <row r="3147" ht="15.75" customHeight="1">
      <c r="A3147" s="1">
        <v>3357.0</v>
      </c>
      <c r="B3147" s="3" t="s">
        <v>3063</v>
      </c>
      <c r="C3147" s="3" t="str">
        <f>IFERROR(__xludf.DUMMYFUNCTION("GOOGLETRANSLATE(B3147,""id"",""en"")"),"['Wear', 'number', 'Telkomsel', 'help', 'cheap', 'package', 'thank', 'love', 'telkomseel']")</f>
        <v>['Wear', 'number', 'Telkomsel', 'help', 'cheap', 'package', 'thank', 'love', 'telkomseel']</v>
      </c>
      <c r="D3147" s="3">
        <v>5.0</v>
      </c>
    </row>
    <row r="3148" ht="15.75" customHeight="1">
      <c r="A3148" s="1">
        <v>3358.0</v>
      </c>
      <c r="B3148" s="3" t="s">
        <v>3064</v>
      </c>
      <c r="C3148" s="3" t="str">
        <f>IFERROR(__xludf.DUMMYFUNCTION("GOOGLETRANSLATE(B3148,""id"",""en"")"),"['Sorry', 'love', 'star', 'package', 'expensive', '']")</f>
        <v>['Sorry', 'love', 'star', 'package', 'expensive', '']</v>
      </c>
      <c r="D3148" s="3">
        <v>3.0</v>
      </c>
    </row>
    <row r="3149" ht="15.75" customHeight="1">
      <c r="A3149" s="1">
        <v>3359.0</v>
      </c>
      <c r="B3149" s="3" t="s">
        <v>3065</v>
      </c>
      <c r="C3149" s="3" t="str">
        <f>IFERROR(__xludf.DUMMYFUNCTION("GOOGLETRANSLATE(B3149,""id"",""en"")"),"['', 'Kecamatan', 'Minutes',' County ',' TPI ',' Network ',' ugly ',' Severe ',' Skrng ',' Free ',' Gembor ',' Msh ',' Blm ',' evenly distributed ',' stay ',' remote ',' surprised ',' network ',' ugly ',' ']")</f>
        <v>['', 'Kecamatan', 'Minutes',' County ',' TPI ',' Network ',' ugly ',' Severe ',' Skrng ',' Free ',' Gembor ',' Msh ',' Blm ',' evenly distributed ',' stay ',' remote ',' surprised ',' network ',' ugly ',' ']</v>
      </c>
      <c r="D3149" s="3">
        <v>2.0</v>
      </c>
    </row>
    <row r="3150" ht="15.75" customHeight="1">
      <c r="A3150" s="1">
        <v>3360.0</v>
      </c>
      <c r="B3150" s="3" t="s">
        <v>3066</v>
      </c>
      <c r="C3150" s="3" t="str">
        <f>IFERROR(__xludf.DUMMYFUNCTION("GOOGLETRANSLATE(B3150,""id"",""en"")"),"['Block', 'telkosel', 'kagak', 'quota', 'doang', 'expensive', 'comparable', 'price', 'jirr']")</f>
        <v>['Block', 'telkosel', 'kagak', 'quota', 'doang', 'expensive', 'comparable', 'price', 'jirr']</v>
      </c>
      <c r="D3150" s="3">
        <v>1.0</v>
      </c>
    </row>
    <row r="3151" ht="15.75" customHeight="1">
      <c r="A3151" s="1">
        <v>3361.0</v>
      </c>
      <c r="B3151" s="3" t="s">
        <v>3067</v>
      </c>
      <c r="C3151" s="3" t="str">
        <f>IFERROR(__xludf.DUMMYFUNCTION("GOOGLETRANSLATE(B3151,""id"",""en"")"),"['Bgus', 'bget', 'cost', 'expensive', 'internet']")</f>
        <v>['Bgus', 'bget', 'cost', 'expensive', 'internet']</v>
      </c>
      <c r="D3151" s="3">
        <v>5.0</v>
      </c>
    </row>
    <row r="3152" ht="15.75" customHeight="1">
      <c r="A3152" s="1">
        <v>3362.0</v>
      </c>
      <c r="B3152" s="3" t="s">
        <v>3068</v>
      </c>
      <c r="C3152" s="3" t="str">
        <f>IFERROR(__xludf.DUMMYFUNCTION("GOOGLETRANSLATE(B3152,""id"",""en"")"),"['Signal', 'Driver', 'Grab', 'at the level']")</f>
        <v>['Signal', 'Driver', 'Grab', 'at the level']</v>
      </c>
      <c r="D3152" s="3">
        <v>1.0</v>
      </c>
    </row>
    <row r="3153" ht="15.75" customHeight="1">
      <c r="A3153" s="1">
        <v>3363.0</v>
      </c>
      <c r="B3153" s="3" t="s">
        <v>3069</v>
      </c>
      <c r="C3153" s="3" t="str">
        <f>IFERROR(__xludf.DUMMYFUNCTION("GOOGLETRANSLATE(B3153,""id"",""en"")"),"['Useful']")</f>
        <v>['Useful']</v>
      </c>
      <c r="D3153" s="3">
        <v>5.0</v>
      </c>
    </row>
    <row r="3154" ht="15.75" customHeight="1">
      <c r="A3154" s="1">
        <v>3364.0</v>
      </c>
      <c r="B3154" s="3" t="s">
        <v>3070</v>
      </c>
      <c r="C3154" s="3" t="str">
        <f>IFERROR(__xludf.DUMMYFUNCTION("GOOGLETRANSLATE(B3154,""id"",""en"")"),"['Basic', 'monkey', 'here', 'Severe', 'signal', 'emotion', 'right', 'play', 'game', 'online', 'finger', 'for you', ' Simpaty ',' Damn ',' pray for ',' roll ',' mat ',' disappointing ',' consumer ',' prolonged ',' ']")</f>
        <v>['Basic', 'monkey', 'here', 'Severe', 'signal', 'emotion', 'right', 'play', 'game', 'online', 'finger', 'for you', ' Simpaty ',' Damn ',' pray for ',' roll ',' mat ',' disappointing ',' consumer ',' prolonged ',' ']</v>
      </c>
      <c r="D3154" s="3">
        <v>1.0</v>
      </c>
    </row>
    <row r="3155" ht="15.75" customHeight="1">
      <c r="A3155" s="1">
        <v>3365.0</v>
      </c>
      <c r="B3155" s="3" t="s">
        <v>3071</v>
      </c>
      <c r="C3155" s="3" t="str">
        <f>IFERROR(__xludf.DUMMYFUNCTION("GOOGLETRANSLATE(B3155,""id"",""en"")"),"['Good', 'please', 'method', 'payment', 'gopay', 'buy', 'pulse']")</f>
        <v>['Good', 'please', 'method', 'payment', 'gopay', 'buy', 'pulse']</v>
      </c>
      <c r="D3155" s="3">
        <v>2.0</v>
      </c>
    </row>
    <row r="3156" ht="15.75" customHeight="1">
      <c r="A3156" s="1">
        <v>3366.0</v>
      </c>
      <c r="B3156" s="3" t="s">
        <v>3072</v>
      </c>
      <c r="C3156" s="3" t="str">
        <f>IFERROR(__xludf.DUMMYFUNCTION("GOOGLETRANSLATE(B3156,""id"",""en"")"),"['repaired', 'network', 'remote', 'village', 'terbimah', 'love']")</f>
        <v>['repaired', 'network', 'remote', 'village', 'terbimah', 'love']</v>
      </c>
      <c r="D3156" s="3">
        <v>5.0</v>
      </c>
    </row>
    <row r="3157" ht="15.75" customHeight="1">
      <c r="A3157" s="1">
        <v>3367.0</v>
      </c>
      <c r="B3157" s="3" t="s">
        <v>3073</v>
      </c>
      <c r="C3157" s="3" t="str">
        <f>IFERROR(__xludf.DUMMYFUNCTION("GOOGLETRANSLATE(B3157,""id"",""en"")"),"['Good', 'Telkomsel', 'Sharing', 'Credit', 'Good', 'Send', 'Give', 'Package', 'Internet', 'Plus',' Credit ',' Hopefully ',' Variative ',' Sendgive ',' Telkomsel ',' ']")</f>
        <v>['Good', 'Telkomsel', 'Sharing', 'Credit', 'Good', 'Send', 'Give', 'Package', 'Internet', 'Plus',' Credit ',' Hopefully ',' Variative ',' Sendgive ',' Telkomsel ',' ']</v>
      </c>
      <c r="D3157" s="3">
        <v>4.0</v>
      </c>
    </row>
    <row r="3158" ht="15.75" customHeight="1">
      <c r="A3158" s="1">
        <v>3368.0</v>
      </c>
      <c r="B3158" s="3" t="s">
        <v>846</v>
      </c>
      <c r="C3158" s="3" t="str">
        <f>IFERROR(__xludf.DUMMYFUNCTION("GOOGLETRANSLATE(B3158,""id"",""en"")"),"['application', 'good']")</f>
        <v>['application', 'good']</v>
      </c>
      <c r="D3158" s="3">
        <v>5.0</v>
      </c>
    </row>
    <row r="3159" ht="15.75" customHeight="1">
      <c r="A3159" s="1">
        <v>3369.0</v>
      </c>
      <c r="B3159" s="3" t="s">
        <v>3074</v>
      </c>
      <c r="C3159" s="3" t="str">
        <f>IFERROR(__xludf.DUMMYFUNCTION("GOOGLETRANSLATE(B3159,""id"",""en"")"),"['slow', 'really', 'maen', 'game', 'already', 'contents', 'quota', 'tetep', 'slow', 'Tokai']")</f>
        <v>['slow', 'really', 'maen', 'game', 'already', 'contents', 'quota', 'tetep', 'slow', 'Tokai']</v>
      </c>
      <c r="D3159" s="3">
        <v>1.0</v>
      </c>
    </row>
    <row r="3160" ht="15.75" customHeight="1">
      <c r="A3160" s="1">
        <v>3370.0</v>
      </c>
      <c r="B3160" s="3" t="s">
        <v>3075</v>
      </c>
      <c r="C3160" s="3" t="str">
        <f>IFERROR(__xludf.DUMMYFUNCTION("GOOGLETRANSLATE(B3160,""id"",""en"")"),"['Cuman', 'wanted', 'gave', 'network', 'Telkomsel', 'already', 'lose', 'buy', 'package', 'expensive', 'net', 'Burik', ' Pleap ',' Restore ',' Network ',' Telkomsel ',' Cook ',' Lose ',' Neighbors', 'Price', 'Affordable', 'From You', ""]")</f>
        <v>['Cuman', 'wanted', 'gave', 'network', 'Telkomsel', 'already', 'lose', 'buy', 'package', 'expensive', 'net', 'Burik', ' Pleap ',' Restore ',' Network ',' Telkomsel ',' Cook ',' Lose ',' Neighbors', 'Price', 'Affordable', 'From You', "]</v>
      </c>
      <c r="D3160" s="3">
        <v>5.0</v>
      </c>
    </row>
    <row r="3161" ht="15.75" customHeight="1">
      <c r="A3161" s="1">
        <v>3371.0</v>
      </c>
      <c r="B3161" s="3" t="s">
        <v>3076</v>
      </c>
      <c r="C3161" s="3" t="str">
        <f>IFERROR(__xludf.DUMMYFUNCTION("GOOGLETRANSLATE(B3161,""id"",""en"")"),"['interesting', 'game', 'boss', 'sesuay', 'ama', 'notification']")</f>
        <v>['interesting', 'game', 'boss', 'sesuay', 'ama', 'notification']</v>
      </c>
      <c r="D3161" s="3">
        <v>2.0</v>
      </c>
    </row>
    <row r="3162" ht="15.75" customHeight="1">
      <c r="A3162" s="1">
        <v>3372.0</v>
      </c>
      <c r="B3162" s="3" t="s">
        <v>3077</v>
      </c>
      <c r="C3162" s="3" t="str">
        <f>IFERROR(__xludf.DUMMYFUNCTION("GOOGLETRANSLATE(B3162,""id"",""en"")"),"['Update', 'Mintak', 'Update', 'Where', 'Quota', 'Cheap', 'Live', 'Package', 'Expensive', 'Love', 'Package', 'Cheap', ' Veronica ']")</f>
        <v>['Update', 'Mintak', 'Update', 'Where', 'Quota', 'Cheap', 'Live', 'Package', 'Expensive', 'Love', 'Package', 'Cheap', ' Veronica ']</v>
      </c>
      <c r="D3162" s="3">
        <v>1.0</v>
      </c>
    </row>
    <row r="3163" ht="15.75" customHeight="1">
      <c r="A3163" s="1">
        <v>3373.0</v>
      </c>
      <c r="B3163" s="3" t="s">
        <v>3078</v>
      </c>
      <c r="C3163" s="3" t="str">
        <f>IFERROR(__xludf.DUMMYFUNCTION("GOOGLETRANSLATE(B3163,""id"",""en"")"),"['application', 'Telkomsel', 'check', 'quota', 'difficult', 'really', 'waiting', 'appears', 'info', '']")</f>
        <v>['application', 'Telkomsel', 'check', 'quota', 'difficult', 'really', 'waiting', 'appears', 'info', '']</v>
      </c>
      <c r="D3163" s="3">
        <v>2.0</v>
      </c>
    </row>
    <row r="3164" ht="15.75" customHeight="1">
      <c r="A3164" s="1">
        <v>3374.0</v>
      </c>
      <c r="B3164" s="3" t="s">
        <v>3079</v>
      </c>
      <c r="C3164" s="3" t="str">
        <f>IFERROR(__xludf.DUMMYFUNCTION("GOOGLETRANSLATE(B3164,""id"",""en"")"),"['signal', 'remote', 'remote', 'please', 'increase', ""]")</f>
        <v>['signal', 'remote', 'remote', 'please', 'increase', "]</v>
      </c>
      <c r="D3164" s="3">
        <v>5.0</v>
      </c>
    </row>
    <row r="3165" ht="15.75" customHeight="1">
      <c r="A3165" s="1">
        <v>3375.0</v>
      </c>
      <c r="B3165" s="3" t="s">
        <v>3080</v>
      </c>
      <c r="C3165" s="3" t="str">
        <f>IFERROR(__xludf.DUMMYFUNCTION("GOOGLETRANSLATE(B3165,""id"",""en"")"),"['Hopefully', 'Rich', 'Open', 'YouTube', 'Jha', 'Broken', 'Broken', 'Network', 'Full']")</f>
        <v>['Hopefully', 'Rich', 'Open', 'YouTube', 'Jha', 'Broken', 'Broken', 'Network', 'Full']</v>
      </c>
      <c r="D3165" s="3">
        <v>1.0</v>
      </c>
    </row>
    <row r="3166" ht="15.75" customHeight="1">
      <c r="A3166" s="1">
        <v>3376.0</v>
      </c>
      <c r="B3166" s="3" t="s">
        <v>3081</v>
      </c>
      <c r="C3166" s="3" t="str">
        <f>IFERROR(__xludf.DUMMYFUNCTION("GOOGLETRANSLATE(B3166,""id"",""en"")"),"['Application', 'Fix', 'oooeeee', 'a month', 'application', 'open', 'ngebleng', 'white', 'sucked', 'pulse', 'check', 'jdi', ' difficult ',' quota ',' work ',' right ']")</f>
        <v>['Application', 'Fix', 'oooeeee', 'a month', 'application', 'open', 'ngebleng', 'white', 'sucked', 'pulse', 'check', 'jdi', ' difficult ',' quota ',' work ',' right ']</v>
      </c>
      <c r="D3166" s="3">
        <v>1.0</v>
      </c>
    </row>
    <row r="3167" ht="15.75" customHeight="1">
      <c r="A3167" s="1">
        <v>3377.0</v>
      </c>
      <c r="B3167" s="3" t="s">
        <v>3082</v>
      </c>
      <c r="C3167" s="3" t="str">
        <f>IFERROR(__xludf.DUMMYFUNCTION("GOOGLETRANSLATE(B3167,""id"",""en"")"),"['application', 'bad', 'difficult', 'access']")</f>
        <v>['application', 'bad', 'difficult', 'access']</v>
      </c>
      <c r="D3167" s="3">
        <v>1.0</v>
      </c>
    </row>
    <row r="3168" ht="15.75" customHeight="1">
      <c r="A3168" s="1">
        <v>3378.0</v>
      </c>
      <c r="B3168" s="3" t="s">
        <v>3083</v>
      </c>
      <c r="C3168" s="3" t="str">
        <f>IFERROR(__xludf.DUMMYFUNCTION("GOOGLETRANSLATE(B3168,""id"",""en"")"),"['updated', 'opened', 'screen', 'white']")</f>
        <v>['updated', 'opened', 'screen', 'white']</v>
      </c>
      <c r="D3168" s="3">
        <v>2.0</v>
      </c>
    </row>
    <row r="3169" ht="15.75" customHeight="1">
      <c r="A3169" s="1">
        <v>3379.0</v>
      </c>
      <c r="B3169" s="3" t="s">
        <v>3084</v>
      </c>
      <c r="C3169" s="3" t="str">
        <f>IFERROR(__xludf.DUMMYFUNCTION("GOOGLETRANSLATE(B3169,""id"",""en"")"),"['Jaraannya', 'ugly', 'yaa', 'connect', 'live', 'stream', 'ngk', 'strong', 'etc.', 'please', 'fix', 'signal']")</f>
        <v>['Jaraannya', 'ugly', 'yaa', 'connect', 'live', 'stream', 'ngk', 'strong', 'etc.', 'please', 'fix', 'signal']</v>
      </c>
      <c r="D3169" s="3">
        <v>1.0</v>
      </c>
    </row>
    <row r="3170" ht="15.75" customHeight="1">
      <c r="A3170" s="1">
        <v>3380.0</v>
      </c>
      <c r="B3170" s="3" t="s">
        <v>3085</v>
      </c>
      <c r="C3170" s="3" t="str">
        <f>IFERROR(__xludf.DUMMYFUNCTION("GOOGLETRANSLATE(B3170,""id"",""en"")"),"['repaired', 'blank', 'white', 'doang', 'already', 'weekly', 'week']")</f>
        <v>['repaired', 'blank', 'white', 'doang', 'already', 'weekly', 'week']</v>
      </c>
      <c r="D3170" s="3">
        <v>1.0</v>
      </c>
    </row>
    <row r="3171" ht="15.75" customHeight="1">
      <c r="A3171" s="1">
        <v>3381.0</v>
      </c>
      <c r="B3171" s="3" t="s">
        <v>3086</v>
      </c>
      <c r="C3171" s="3" t="str">
        <f>IFERROR(__xludf.DUMMYFUNCTION("GOOGLETRANSLATE(B3171,""id"",""en"")"),"['Claer', 'chace', 'clear', 'data', 'forced', 'stop', 'application', 'open', 'uinstal', 'deh', 'function', 'spend', ' Rom ',' data ',' memory ',' ']")</f>
        <v>['Claer', 'chace', 'clear', 'data', 'forced', 'stop', 'application', 'open', 'uinstal', 'deh', 'function', 'spend', ' Rom ',' data ',' memory ',' ']</v>
      </c>
      <c r="D3171" s="3">
        <v>1.0</v>
      </c>
    </row>
    <row r="3172" ht="15.75" customHeight="1">
      <c r="A3172" s="1">
        <v>3382.0</v>
      </c>
      <c r="B3172" s="3" t="s">
        <v>3087</v>
      </c>
      <c r="C3172" s="3" t="str">
        <f>IFERROR(__xludf.DUMMYFUNCTION("GOOGLETRANSLATE(B3172,""id"",""en"")"),"['easy', 'access', '']")</f>
        <v>['easy', 'access', '']</v>
      </c>
      <c r="D3172" s="3">
        <v>5.0</v>
      </c>
    </row>
    <row r="3173" ht="15.75" customHeight="1">
      <c r="A3173" s="1">
        <v>3383.0</v>
      </c>
      <c r="B3173" s="3" t="s">
        <v>3088</v>
      </c>
      <c r="C3173" s="3" t="str">
        <f>IFERROR(__xludf.DUMMYFUNCTION("GOOGLETRANSLATE(B3173,""id"",""en"")"),"['Telkomsel', 'Severe', 'Language', 'The Network']")</f>
        <v>['Telkomsel', 'Severe', 'Language', 'The Network']</v>
      </c>
      <c r="D3173" s="3">
        <v>1.0</v>
      </c>
    </row>
    <row r="3174" ht="15.75" customHeight="1">
      <c r="A3174" s="1">
        <v>3384.0</v>
      </c>
      <c r="B3174" s="3" t="s">
        <v>3089</v>
      </c>
      <c r="C3174" s="3" t="str">
        <f>IFERROR(__xludf.DUMMYFUNCTION("GOOGLETRANSLATE(B3174,""id"",""en"")"),"['', 'Pepek', 'pepek', 'Tomorrow', 'Addin', 'System', 'Misah', 'Package', 'Nyangut', 'Package', 'Ministry of Education and Culture', 'Sight', 'right ',' Maen ',' ping ',' ugly ',' package ',' pepkey ',' kon ',' ']")</f>
        <v>['', 'Pepek', 'pepek', 'Tomorrow', 'Addin', 'System', 'Misah', 'Package', 'Nyangut', 'Package', 'Ministry of Education and Culture', 'Sight', 'right ',' Maen ',' ping ',' ugly ',' package ',' pepkey ',' kon ',' ']</v>
      </c>
      <c r="D3174" s="3">
        <v>2.0</v>
      </c>
    </row>
    <row r="3175" ht="15.75" customHeight="1">
      <c r="A3175" s="1">
        <v>3385.0</v>
      </c>
      <c r="B3175" s="3" t="s">
        <v>3090</v>
      </c>
      <c r="C3175" s="3" t="str">
        <f>IFERROR(__xludf.DUMMYFUNCTION("GOOGLETRANSLATE(B3175,""id"",""en"")"),"['Delicious', 'cheap']")</f>
        <v>['Delicious', 'cheap']</v>
      </c>
      <c r="D3175" s="3">
        <v>5.0</v>
      </c>
    </row>
    <row r="3176" ht="15.75" customHeight="1">
      <c r="A3176" s="1">
        <v>3386.0</v>
      </c>
      <c r="B3176" s="3" t="s">
        <v>3091</v>
      </c>
      <c r="C3176" s="3" t="str">
        <f>IFERROR(__xludf.DUMMYFUNCTION("GOOGLETRANSLATE(B3176,""id"",""en"")"),"['The network', 'difficult', 'really', 'right', 'rain', 'please', 'buy', 'quota', 'expensive', 'get', 'ugly', 'quality', ' ']")</f>
        <v>['The network', 'difficult', 'really', 'right', 'rain', 'please', 'buy', 'quota', 'expensive', 'get', 'ugly', 'quality', ' ']</v>
      </c>
      <c r="D3176" s="3">
        <v>1.0</v>
      </c>
    </row>
    <row r="3177" ht="15.75" customHeight="1">
      <c r="A3177" s="1">
        <v>3387.0</v>
      </c>
      <c r="B3177" s="3" t="s">
        <v>3092</v>
      </c>
      <c r="C3177" s="3" t="str">
        <f>IFERROR(__xludf.DUMMYFUNCTION("GOOGLETRANSLATE(B3177,""id"",""en"")"),"['alternating', 'update', 'after', 'IN', 'Data', 'The application', 'WhitePersih']")</f>
        <v>['alternating', 'update', 'after', 'IN', 'Data', 'The application', 'WhitePersih']</v>
      </c>
      <c r="D3177" s="3">
        <v>1.0</v>
      </c>
    </row>
    <row r="3178" ht="15.75" customHeight="1">
      <c r="A3178" s="1">
        <v>3388.0</v>
      </c>
      <c r="B3178" s="3" t="s">
        <v>3093</v>
      </c>
      <c r="C3178" s="3" t="str">
        <f>IFERROR(__xludf.DUMMYFUNCTION("GOOGLETRANSLATE(B3178,""id"",""en"")"),"['Telkomsel', 'heart', 'hope', 'free']")</f>
        <v>['Telkomsel', 'heart', 'hope', 'free']</v>
      </c>
      <c r="D3178" s="3">
        <v>5.0</v>
      </c>
    </row>
    <row r="3179" ht="15.75" customHeight="1">
      <c r="A3179" s="1">
        <v>3389.0</v>
      </c>
      <c r="B3179" s="3" t="s">
        <v>3094</v>
      </c>
      <c r="C3179" s="3" t="str">
        <f>IFERROR(__xludf.DUMMYFUNCTION("GOOGLETRANSLATE(B3179,""id"",""en"")"),"['Open', 'Facebook', 'Switch', 'mode', 'free', 'annoying', 'please', 'fix', 'quota']")</f>
        <v>['Open', 'Facebook', 'Switch', 'mode', 'free', 'annoying', 'please', 'fix', 'quota']</v>
      </c>
      <c r="D3179" s="3">
        <v>2.0</v>
      </c>
    </row>
    <row r="3180" ht="15.75" customHeight="1">
      <c r="A3180" s="1">
        <v>3390.0</v>
      </c>
      <c r="B3180" s="3" t="s">
        <v>3095</v>
      </c>
      <c r="C3180" s="3" t="str">
        <f>IFERROR(__xludf.DUMMYFUNCTION("GOOGLETRANSLATE(B3180,""id"",""en"")"),"['buy', 'quota', 'expensive', 'expensive', 'network', 'lappet', 'please', 'cooperation', 'boss', ""]")</f>
        <v>['buy', 'quota', 'expensive', 'expensive', 'network', 'lappet', 'please', 'cooperation', 'boss', "]</v>
      </c>
      <c r="D3180" s="3">
        <v>1.0</v>
      </c>
    </row>
    <row r="3181" ht="15.75" customHeight="1">
      <c r="A3181" s="1">
        <v>3391.0</v>
      </c>
      <c r="B3181" s="3" t="s">
        <v>3096</v>
      </c>
      <c r="C3181" s="3" t="str">
        <f>IFERROR(__xludf.DUMMYFUNCTION("GOOGLETRANSLATE(B3181,""id"",""en"")"),"['Telkomsel', 'kontollllllllllllllllllllllllllllllllllllllllll,' signal ',' full ',' signal ',' data ',' internet ',' rich ',' pig ',' fast ',' its network ']")</f>
        <v>['Telkomsel', 'kontollllllllllllllllllllllllllllllllllllllllll,' signal ',' full ',' signal ',' data ',' internet ',' rich ',' pig ',' fast ',' its network ']</v>
      </c>
      <c r="D3181" s="3">
        <v>1.0</v>
      </c>
    </row>
    <row r="3182" ht="15.75" customHeight="1">
      <c r="A3182" s="1">
        <v>3392.0</v>
      </c>
      <c r="B3182" s="3" t="s">
        <v>3097</v>
      </c>
      <c r="C3182" s="3" t="str">
        <f>IFERROR(__xludf.DUMMYFUNCTION("GOOGLETRANSLATE(B3182,""id"",""en"")"),"['The network', 'Thank you', 'Telkomsel', 'Karna', 'Provides',' Package ',' Combo ',' Sakti ',' Quota ',' Price ',' Cheap ',' Hopefully ',' Consistent ',' provide ',' package ',' quota ',' relative ',' cheap ',' because ',' area ',' area ',' network ',' g"&amp;"ood ',' price ',' quota ' , 'expensive', 'select', 'provider', 'network', 'stable', 'price', 'cheap', 'all', '']")</f>
        <v>['The network', 'Thank you', 'Telkomsel', 'Karna', 'Provides',' Package ',' Combo ',' Sakti ',' Quota ',' Price ',' Cheap ',' Hopefully ',' Consistent ',' provide ',' package ',' quota ',' relative ',' cheap ',' because ',' area ',' area ',' network ',' good ',' price ',' quota ' , 'expensive', 'select', 'provider', 'network', 'stable', 'price', 'cheap', 'all', '']</v>
      </c>
      <c r="D3182" s="3">
        <v>5.0</v>
      </c>
    </row>
    <row r="3183" ht="15.75" customHeight="1">
      <c r="A3183" s="1">
        <v>3394.0</v>
      </c>
      <c r="B3183" s="3" t="s">
        <v>3098</v>
      </c>
      <c r="C3183" s="3" t="str">
        <f>IFERROR(__xludf.DUMMYFUNCTION("GOOGLETRANSLATE(B3183,""id"",""en"")"),"['bngsd', 'network', 'parahh', 'bangett', 'lemott', 'ajigg', 'crazy', 'cave', 'center', 'city', 'already', 'card', ' Th ',' cave ',' here ',' signal ',' Bagus', 'Baning', '']")</f>
        <v>['bngsd', 'network', 'parahh', 'bangett', 'lemott', 'ajigg', 'crazy', 'cave', 'center', 'city', 'already', 'card', ' Th ',' cave ',' here ',' signal ',' Bagus', 'Baning', '']</v>
      </c>
      <c r="D3183" s="3">
        <v>1.0</v>
      </c>
    </row>
    <row r="3184" ht="15.75" customHeight="1">
      <c r="A3184" s="1">
        <v>3395.0</v>
      </c>
      <c r="B3184" s="3" t="s">
        <v>3099</v>
      </c>
      <c r="C3184" s="3" t="str">
        <f>IFERROR(__xludf.DUMMYFUNCTION("GOOGLETRANSLATE(B3184,""id"",""en"")"),"['Network', 'disorder', 'because', 'what', 'Please', 'explanation', 'thank', 'love']")</f>
        <v>['Network', 'disorder', 'because', 'what', 'Please', 'explanation', 'thank', 'love']</v>
      </c>
      <c r="D3184" s="3">
        <v>5.0</v>
      </c>
    </row>
    <row r="3185" ht="15.75" customHeight="1">
      <c r="A3185" s="1">
        <v>3396.0</v>
      </c>
      <c r="B3185" s="3" t="s">
        <v>3100</v>
      </c>
      <c r="C3185" s="3" t="str">
        <f>IFERROR(__xludf.DUMMYFUNCTION("GOOGLETRANSLATE(B3185,""id"",""en"")"),"['brapa', 'quota', 'cheap', 'example', 'GB', 'unlimited', 'non', 'fup', 'org', 'pay', 'what' is ',' quota ',' org ',' pay ',' already ',' thinking ',' stomach ',' think ',' people ',' try ',' position ',' bales', ""]")</f>
        <v>['brapa', 'quota', 'cheap', 'example', 'GB', 'unlimited', 'non', 'fup', 'org', 'pay', 'what' is ',' quota ',' org ',' pay ',' already ',' thinking ',' stomach ',' think ',' people ',' try ',' position ',' bales', "]</v>
      </c>
      <c r="D3185" s="3">
        <v>1.0</v>
      </c>
    </row>
    <row r="3186" ht="15.75" customHeight="1">
      <c r="A3186" s="1">
        <v>3397.0</v>
      </c>
      <c r="B3186" s="3" t="s">
        <v>3101</v>
      </c>
      <c r="C3186" s="3" t="str">
        <f>IFERROR(__xludf.DUMMYFUNCTION("GOOGLETRANSLATE(B3186,""id"",""en"")"),"['', 'signal', 'ugly', 'really', 'complaints', 'capacity', 'doang', 'eccent']")</f>
        <v>['', 'signal', 'ugly', 'really', 'complaints', 'capacity', 'doang', 'eccent']</v>
      </c>
      <c r="D3186" s="3">
        <v>1.0</v>
      </c>
    </row>
    <row r="3187" ht="15.75" customHeight="1">
      <c r="A3187" s="1">
        <v>3398.0</v>
      </c>
      <c r="B3187" s="3" t="s">
        <v>3102</v>
      </c>
      <c r="C3187" s="3" t="str">
        <f>IFERROR(__xludf.DUMMYFUNCTION("GOOGLETRANSLATE(B3187,""id"",""en"")"),"['change']")</f>
        <v>['change']</v>
      </c>
      <c r="D3187" s="3">
        <v>3.0</v>
      </c>
    </row>
    <row r="3188" ht="15.75" customHeight="1">
      <c r="A3188" s="1">
        <v>3399.0</v>
      </c>
      <c r="B3188" s="3" t="s">
        <v>3103</v>
      </c>
      <c r="C3188" s="3" t="str">
        <f>IFERROR(__xludf.DUMMYFUNCTION("GOOGLETRANSLATE(B3188,""id"",""en"")"),"['oiiii', 'component', 'buy', 'package', 'money', 'use', 'leaves', 'network', 'stable', 'slow', ""]")</f>
        <v>['oiiii', 'component', 'buy', 'package', 'money', 'use', 'leaves', 'network', 'stable', 'slow', "]</v>
      </c>
      <c r="D3188" s="3">
        <v>1.0</v>
      </c>
    </row>
    <row r="3189" ht="15.75" customHeight="1">
      <c r="A3189" s="1">
        <v>3400.0</v>
      </c>
      <c r="B3189" s="3" t="s">
        <v>3104</v>
      </c>
      <c r="C3189" s="3" t="str">
        <f>IFERROR(__xludf.DUMMYFUNCTION("GOOGLETRANSLATE(B3189,""id"",""en"")"),"['oath', 'Telkomsel', 'Network', 'disappeartttt']")</f>
        <v>['oath', 'Telkomsel', 'Network', 'disappeartttt']</v>
      </c>
      <c r="D3189" s="3">
        <v>1.0</v>
      </c>
    </row>
    <row r="3190" ht="15.75" customHeight="1">
      <c r="A3190" s="1">
        <v>3401.0</v>
      </c>
      <c r="B3190" s="3" t="s">
        <v>3105</v>
      </c>
      <c r="C3190" s="3" t="str">
        <f>IFERROR(__xludf.DUMMYFUNCTION("GOOGLETRANSLATE(B3190,""id"",""en"")"),"['Exchange', 'Points', 'Tukerin', 'Diamond', 'Mobile', 'Legend', ""]")</f>
        <v>['Exchange', 'Points', 'Tukerin', 'Diamond', 'Mobile', 'Legend', "]</v>
      </c>
      <c r="D3190" s="3">
        <v>3.0</v>
      </c>
    </row>
    <row r="3191" ht="15.75" customHeight="1">
      <c r="A3191" s="1">
        <v>3402.0</v>
      </c>
      <c r="B3191" s="3" t="s">
        <v>3106</v>
      </c>
      <c r="C3191" s="3" t="str">
        <f>IFERROR(__xludf.DUMMYFUNCTION("GOOGLETRANSLATE(B3191,""id"",""en"")"),"['', 'Telkomsel']")</f>
        <v>['', 'Telkomsel']</v>
      </c>
      <c r="D3191" s="3">
        <v>5.0</v>
      </c>
    </row>
    <row r="3192" ht="15.75" customHeight="1">
      <c r="A3192" s="1">
        <v>3403.0</v>
      </c>
      <c r="B3192" s="3" t="s">
        <v>3107</v>
      </c>
      <c r="C3192" s="3" t="str">
        <f>IFERROR(__xludf.DUMMYFUNCTION("GOOGLETRANSLATE(B3192,""id"",""en"")"),"['network', 'makain', 'severe', 'like', 'slow', 'disappointed', 'Telkomsel', 'already', 'expensive', 'slow', 'move', 'yok', ' move']")</f>
        <v>['network', 'makain', 'severe', 'like', 'slow', 'disappointed', 'Telkomsel', 'already', 'expensive', 'slow', 'move', 'yok', ' move']</v>
      </c>
      <c r="D3192" s="3">
        <v>1.0</v>
      </c>
    </row>
    <row r="3193" ht="15.75" customHeight="1">
      <c r="A3193" s="1">
        <v>3404.0</v>
      </c>
      <c r="B3193" s="3" t="s">
        <v>3108</v>
      </c>
      <c r="C3193" s="3" t="str">
        <f>IFERROR(__xludf.DUMMYFUNCTION("GOOGLETRANSLATE(B3193,""id"",""en"")"),"['bad', 'service', 'telkmsel', 'signal', 'area', 'tibubeneng', 'kuta', 'north', 'difficult', 'tlg', 'fix', 'beg', ' Customized ',' expensive ',' package ',' data ',' service ',' ']")</f>
        <v>['bad', 'service', 'telkmsel', 'signal', 'area', 'tibubeneng', 'kuta', 'north', 'difficult', 'tlg', 'fix', 'beg', ' Customized ',' expensive ',' package ',' data ',' service ',' ']</v>
      </c>
      <c r="D3193" s="3">
        <v>1.0</v>
      </c>
    </row>
    <row r="3194" ht="15.75" customHeight="1">
      <c r="A3194" s="1">
        <v>3405.0</v>
      </c>
      <c r="B3194" s="3" t="s">
        <v>3109</v>
      </c>
      <c r="C3194" s="3" t="str">
        <f>IFERROR(__xludf.DUMMYFUNCTION("GOOGLETRANSLATE(B3194,""id"",""en"")"),"['Disappointed', 'Telkomsel', 'explained', 'boyfriend', 'cheating', 'send', 'message', 'package', 'signal', 'ugly', ""]")</f>
        <v>['Disappointed', 'Telkomsel', 'explained', 'boyfriend', 'cheating', 'send', 'message', 'package', 'signal', 'ugly', "]</v>
      </c>
      <c r="D3194" s="3">
        <v>4.0</v>
      </c>
    </row>
    <row r="3195" ht="15.75" customHeight="1">
      <c r="A3195" s="1">
        <v>3406.0</v>
      </c>
      <c r="B3195" s="3" t="s">
        <v>3110</v>
      </c>
      <c r="C3195" s="3" t="str">
        <f>IFERROR(__xludf.DUMMYFUNCTION("GOOGLETRANSLATE(B3195,""id"",""en"")"),"['Jga', 'Disappointed', 'Bener', 'Ama', 'Telkomsel', 'Please', 'Lahk', 'Develover', 'Cave', 'TDI', 'Udh', 'Buy', ' pulses', 'rebu', 'msuk', 'check', 'Jga', 'then', 'cave', 'buy', 'package', 'ilmupedia', 'rebu', 'then', 'cave' , 'buy', 'knpaah', 'credit', "&amp;"'sufficient', 'hello', 'develover', 'sleepy', 'kah', 'gymna', 'honest', 'mnding', 'move', ' card ',' Bener ',' might ',' bad ']")</f>
        <v>['Jga', 'Disappointed', 'Bener', 'Ama', 'Telkomsel', 'Please', 'Lahk', 'Develover', 'Cave', 'TDI', 'Udh', 'Buy', ' pulses', 'rebu', 'msuk', 'check', 'Jga', 'then', 'cave', 'buy', 'package', 'ilmupedia', 'rebu', 'then', 'cave' , 'buy', 'knpaah', 'credit', 'sufficient', 'hello', 'develover', 'sleepy', 'kah', 'gymna', 'honest', 'mnding', 'move', ' card ',' Bener ',' might ',' bad ']</v>
      </c>
      <c r="D3195" s="3">
        <v>1.0</v>
      </c>
    </row>
    <row r="3196" ht="15.75" customHeight="1">
      <c r="A3196" s="1">
        <v>3407.0</v>
      </c>
      <c r="B3196" s="3" t="s">
        <v>3111</v>
      </c>
      <c r="C3196" s="3" t="str">
        <f>IFERROR(__xludf.DUMMYFUNCTION("GOOGLETRANSLATE(B3196,""id"",""en"")"),"['waw', 'good']")</f>
        <v>['waw', 'good']</v>
      </c>
      <c r="D3196" s="3">
        <v>5.0</v>
      </c>
    </row>
    <row r="3197" ht="15.75" customHeight="1">
      <c r="A3197" s="1">
        <v>3408.0</v>
      </c>
      <c r="B3197" s="3" t="s">
        <v>3112</v>
      </c>
      <c r="C3197" s="3" t="str">
        <f>IFERROR(__xludf.DUMMYFUNCTION("GOOGLETRANSLATE(B3197,""id"",""en"")"),"['Sometimes', 'sometimes', 'slow', 'network', '']")</f>
        <v>['Sometimes', 'sometimes', 'slow', 'network', '']</v>
      </c>
      <c r="D3197" s="3">
        <v>5.0</v>
      </c>
    </row>
    <row r="3198" ht="15.75" customHeight="1">
      <c r="A3198" s="1">
        <v>3409.0</v>
      </c>
      <c r="B3198" s="3" t="s">
        <v>3113</v>
      </c>
      <c r="C3198" s="3" t="str">
        <f>IFERROR(__xludf.DUMMYFUNCTION("GOOGLETRANSLATE(B3198,""id"",""en"")"),"['application', 'poor', 'open', '']")</f>
        <v>['application', 'poor', 'open', '']</v>
      </c>
      <c r="D3198" s="3">
        <v>1.0</v>
      </c>
    </row>
    <row r="3199" ht="15.75" customHeight="1">
      <c r="A3199" s="1">
        <v>3410.0</v>
      </c>
      <c r="B3199" s="3" t="s">
        <v>3114</v>
      </c>
      <c r="C3199" s="3" t="str">
        <f>IFERROR(__xludf.DUMMYFUNCTION("GOOGLETRANSLATE(B3199,""id"",""en"")"),"['Opened', 'APK', 'Signal', 'Kenceng', '']")</f>
        <v>['Opened', 'APK', 'Signal', 'Kenceng', '']</v>
      </c>
      <c r="D3199" s="3">
        <v>1.0</v>
      </c>
    </row>
    <row r="3200" ht="15.75" customHeight="1">
      <c r="A3200" s="1">
        <v>3411.0</v>
      </c>
      <c r="B3200" s="3" t="s">
        <v>3115</v>
      </c>
      <c r="C3200" s="3" t="str">
        <f>IFERROR(__xludf.DUMMYFUNCTION("GOOGLETRANSLATE(B3200,""id"",""en"")"),"['application', 'opened', 'UDH', 'send', 'email', 'address', 'email', 'found']")</f>
        <v>['application', 'opened', 'UDH', 'send', 'email', 'address', 'email', 'found']</v>
      </c>
      <c r="D3200" s="3">
        <v>1.0</v>
      </c>
    </row>
    <row r="3201" ht="15.75" customHeight="1">
      <c r="A3201" s="1">
        <v>3412.0</v>
      </c>
      <c r="B3201" s="3" t="s">
        <v>3116</v>
      </c>
      <c r="C3201" s="3" t="str">
        <f>IFERROR(__xludf.DUMMYFUNCTION("GOOGLETRANSLATE(B3201,""id"",""en"")"),"['Date', 'BSA', 'opened', 'Please', 'Asda', 'Improvement', 'Comfort', 'Consumer']")</f>
        <v>['Date', 'BSA', 'opened', 'Please', 'Asda', 'Improvement', 'Comfort', 'Consumer']</v>
      </c>
      <c r="D3201" s="3">
        <v>1.0</v>
      </c>
    </row>
    <row r="3202" ht="15.75" customHeight="1">
      <c r="A3202" s="1">
        <v>3413.0</v>
      </c>
      <c r="B3202" s="3" t="s">
        <v>3117</v>
      </c>
      <c r="C3202" s="3" t="str">
        <f>IFERROR(__xludf.DUMMYFUNCTION("GOOGLETRANSLATE(B3202,""id"",""en"")"),"['Sorry', 'love', 'star', 'right', 'updet', 'application', 'open']")</f>
        <v>['Sorry', 'love', 'star', 'right', 'updet', 'application', 'open']</v>
      </c>
      <c r="D3202" s="3">
        <v>1.0</v>
      </c>
    </row>
    <row r="3203" ht="15.75" customHeight="1">
      <c r="A3203" s="1">
        <v>3414.0</v>
      </c>
      <c r="B3203" s="3" t="s">
        <v>3118</v>
      </c>
      <c r="C3203" s="3" t="str">
        <f>IFERROR(__xludf.DUMMYFUNCTION("GOOGLETRANSLATE(B3203,""id"",""en"")"),"['disappointing']")</f>
        <v>['disappointing']</v>
      </c>
      <c r="D3203" s="3">
        <v>1.0</v>
      </c>
    </row>
    <row r="3204" ht="15.75" customHeight="1">
      <c r="A3204" s="1">
        <v>3416.0</v>
      </c>
      <c r="B3204" s="3" t="s">
        <v>3119</v>
      </c>
      <c r="C3204" s="3" t="str">
        <f>IFERROR(__xludf.DUMMYFUNCTION("GOOGLETRANSLATE(B3204,""id"",""en"")"),"['easy', 'transaction', 'buy', 'package', 'please', 'package', 'cheapin', 'price', 'package', 'combo', 'accept', 'love', ' ']")</f>
        <v>['easy', 'transaction', 'buy', 'package', 'please', 'package', 'cheapin', 'price', 'package', 'combo', 'accept', 'love', ' ']</v>
      </c>
      <c r="D3204" s="3">
        <v>5.0</v>
      </c>
    </row>
    <row r="3205" ht="15.75" customHeight="1">
      <c r="A3205" s="1">
        <v>3417.0</v>
      </c>
      <c r="B3205" s="3" t="s">
        <v>3120</v>
      </c>
      <c r="C3205" s="3" t="str">
        <f>IFERROR(__xludf.DUMMYFUNCTION("GOOGLETRANSLATE(B3205,""id"",""en"")"),"['network', 'internet', 'area', 'please', 'repaired', 'quality', 'thank', 'love']")</f>
        <v>['network', 'internet', 'area', 'please', 'repaired', 'quality', 'thank', 'love']</v>
      </c>
      <c r="D3205" s="3">
        <v>4.0</v>
      </c>
    </row>
    <row r="3206" ht="15.75" customHeight="1">
      <c r="A3206" s="1">
        <v>3418.0</v>
      </c>
      <c r="B3206" s="3" t="s">
        <v>3121</v>
      </c>
      <c r="C3206" s="3" t="str">
        <f>IFERROR(__xludf.DUMMYFUNCTION("GOOGLETRANSLATE(B3206,""id"",""en"")"),"['Data', 'Doank', 'expensive', 'network', 'urusss']")</f>
        <v>['Data', 'Doank', 'expensive', 'network', 'urusss']</v>
      </c>
      <c r="D3206" s="3">
        <v>1.0</v>
      </c>
    </row>
    <row r="3207" ht="15.75" customHeight="1">
      <c r="A3207" s="1">
        <v>3419.0</v>
      </c>
      <c r="B3207" s="3" t="s">
        <v>3122</v>
      </c>
      <c r="C3207" s="3" t="str">
        <f>IFERROR(__xludf.DUMMYFUNCTION("GOOGLETRANSLATE(B3207,""id"",""en"")"),"['', 'package', 'nelp', 'rb', 'bln', 'gnt', '']")</f>
        <v>['', 'package', 'nelp', 'rb', 'bln', 'gnt', '']</v>
      </c>
      <c r="D3207" s="3">
        <v>4.0</v>
      </c>
    </row>
    <row r="3208" ht="15.75" customHeight="1">
      <c r="A3208" s="1">
        <v>3420.0</v>
      </c>
      <c r="B3208" s="3" t="s">
        <v>3123</v>
      </c>
      <c r="C3208" s="3" t="str">
        <f>IFERROR(__xludf.DUMMYFUNCTION("GOOGLETRANSLATE(B3208,""id"",""en"")"),"['Price', 'expensive', 'bags', 'students']")</f>
        <v>['Price', 'expensive', 'bags', 'students']</v>
      </c>
      <c r="D3208" s="3">
        <v>1.0</v>
      </c>
    </row>
    <row r="3209" ht="15.75" customHeight="1">
      <c r="A3209" s="1">
        <v>3421.0</v>
      </c>
      <c r="B3209" s="3" t="s">
        <v>3124</v>
      </c>
      <c r="C3209" s="3" t="str">
        <f>IFERROR(__xludf.DUMMYFUNCTION("GOOGLETRANSLATE(B3209,""id"",""en"")"),"['Telkomsel', 'bad', 'skrng', 'network', 'slow', '']")</f>
        <v>['Telkomsel', 'bad', 'skrng', 'network', 'slow', '']</v>
      </c>
      <c r="D3209" s="3">
        <v>2.0</v>
      </c>
    </row>
    <row r="3210" ht="15.75" customHeight="1">
      <c r="A3210" s="1">
        <v>3422.0</v>
      </c>
      <c r="B3210" s="3" t="s">
        <v>3125</v>
      </c>
      <c r="C3210" s="3" t="str">
        <f>IFERROR(__xludf.DUMMYFUNCTION("GOOGLETRANSLATE(B3210,""id"",""en"")"),"['expensive', 'really', 'quota', 'Asuu', 'just', '']")</f>
        <v>['expensive', 'really', 'quota', 'Asuu', 'just', '']</v>
      </c>
      <c r="D3210" s="3">
        <v>1.0</v>
      </c>
    </row>
    <row r="3211" ht="15.75" customHeight="1">
      <c r="A3211" s="1">
        <v>3423.0</v>
      </c>
      <c r="B3211" s="3" t="s">
        <v>3126</v>
      </c>
      <c r="C3211" s="3" t="str">
        <f>IFERROR(__xludf.DUMMYFUNCTION("GOOGLETRANSLATE(B3211,""id"",""en"")"),"['APL', 'opened', 'smpai', 'downlod', 'times', 'tdak', 'opened', 'tlong', 'repair']")</f>
        <v>['APL', 'opened', 'smpai', 'downlod', 'times', 'tdak', 'opened', 'tlong', 'repair']</v>
      </c>
      <c r="D3211" s="3">
        <v>2.0</v>
      </c>
    </row>
    <row r="3212" ht="15.75" customHeight="1">
      <c r="A3212" s="1">
        <v>3424.0</v>
      </c>
      <c r="B3212" s="3" t="s">
        <v>3127</v>
      </c>
      <c r="C3212" s="3" t="str">
        <f>IFERROR(__xludf.DUMMYFUNCTION("GOOGLETRANSLATE(B3212,""id"",""en"")"),"['Barokah', 'gift']")</f>
        <v>['Barokah', 'gift']</v>
      </c>
      <c r="D3212" s="3">
        <v>5.0</v>
      </c>
    </row>
    <row r="3213" ht="15.75" customHeight="1">
      <c r="A3213" s="1">
        <v>3425.0</v>
      </c>
      <c r="B3213" s="3" t="s">
        <v>3128</v>
      </c>
      <c r="C3213" s="3" t="str">
        <f>IFERROR(__xludf.DUMMYFUNCTION("GOOGLETRANSLATE(B3213,""id"",""en"")"),"['Belu', 'Ngerti', 'Application', 'Star']")</f>
        <v>['Belu', 'Ngerti', 'Application', 'Star']</v>
      </c>
      <c r="D3213" s="3">
        <v>1.0</v>
      </c>
    </row>
    <row r="3214" ht="15.75" customHeight="1">
      <c r="A3214" s="1">
        <v>3426.0</v>
      </c>
      <c r="B3214" s="3" t="s">
        <v>3129</v>
      </c>
      <c r="C3214" s="3" t="str">
        <f>IFERROR(__xludf.DUMMYFUNCTION("GOOGLETRANSLATE(B3214,""id"",""en"")"),"['update', 'Mlah', 'no', 'opened', 'gmn']")</f>
        <v>['update', 'Mlah', 'no', 'opened', 'gmn']</v>
      </c>
      <c r="D3214" s="3">
        <v>1.0</v>
      </c>
    </row>
    <row r="3215" ht="15.75" customHeight="1">
      <c r="A3215" s="1">
        <v>3427.0</v>
      </c>
      <c r="B3215" s="3" t="s">
        <v>3130</v>
      </c>
      <c r="C3215" s="3" t="str">
        <f>IFERROR(__xludf.DUMMYFUNCTION("GOOGLETRANSLATE(B3215,""id"",""en"")"),"['application', 'good', 'help', ""]")</f>
        <v>['application', 'good', 'help', "]</v>
      </c>
      <c r="D3215" s="3">
        <v>3.0</v>
      </c>
    </row>
    <row r="3216" ht="15.75" customHeight="1">
      <c r="A3216" s="1">
        <v>3428.0</v>
      </c>
      <c r="B3216" s="3" t="s">
        <v>3131</v>
      </c>
      <c r="C3216" s="3" t="str">
        <f>IFERROR(__xludf.DUMMYFUNCTION("GOOGLETRANSLATE(B3216,""id"",""en"")"),"['Telkomsel', 'ugly']")</f>
        <v>['Telkomsel', 'ugly']</v>
      </c>
      <c r="D3216" s="3">
        <v>1.0</v>
      </c>
    </row>
    <row r="3217" ht="15.75" customHeight="1">
      <c r="A3217" s="1">
        <v>3429.0</v>
      </c>
      <c r="B3217" s="3" t="s">
        <v>3132</v>
      </c>
      <c r="C3217" s="3" t="str">
        <f>IFERROR(__xludf.DUMMYFUNCTION("GOOGLETRANSLATE(B3217,""id"",""en"")"),"['Network', 'fix', 'application', 'open']")</f>
        <v>['Network', 'fix', 'application', 'open']</v>
      </c>
      <c r="D3217" s="3">
        <v>4.0</v>
      </c>
    </row>
    <row r="3218" ht="15.75" customHeight="1">
      <c r="A3218" s="1">
        <v>3430.0</v>
      </c>
      <c r="B3218" s="3" t="s">
        <v>3133</v>
      </c>
      <c r="C3218" s="3" t="str">
        <f>IFERROR(__xludf.DUMMYFUNCTION("GOOGLETRANSLATE(B3218,""id"",""en"")"),"['Lower "",' Broo ',' Registration ',' People ',' Kisin ',' Tangker ',' Broo ']")</f>
        <v>['Lower ",' Broo ',' Registration ',' People ',' Kisin ',' Tangker ',' Broo ']</v>
      </c>
      <c r="D3218" s="3">
        <v>5.0</v>
      </c>
    </row>
    <row r="3219" ht="15.75" customHeight="1">
      <c r="A3219" s="1">
        <v>3431.0</v>
      </c>
      <c r="B3219" s="3" t="s">
        <v>3134</v>
      </c>
      <c r="C3219" s="3" t="str">
        <f>IFERROR(__xludf.DUMMYFUNCTION("GOOGLETRANSLATE(B3219,""id"",""en"")"),"['Network', 'bad', 'price', 'expensive', 'please', 'focused', 'quality', 'tissue', 'tlkomsel']")</f>
        <v>['Network', 'bad', 'price', 'expensive', 'please', 'focused', 'quality', 'tissue', 'tlkomsel']</v>
      </c>
      <c r="D3219" s="3">
        <v>1.0</v>
      </c>
    </row>
    <row r="3220" ht="15.75" customHeight="1">
      <c r="A3220" s="1">
        <v>3432.0</v>
      </c>
      <c r="B3220" s="3" t="s">
        <v>3135</v>
      </c>
      <c r="C3220" s="3" t="str">
        <f>IFERROR(__xludf.DUMMYFUNCTION("GOOGLETRANSLATE(B3220,""id"",""en"")"),"['Fix', 'signal']")</f>
        <v>['Fix', 'signal']</v>
      </c>
      <c r="D3220" s="3">
        <v>2.0</v>
      </c>
    </row>
    <row r="3221" ht="15.75" customHeight="1">
      <c r="A3221" s="1">
        <v>3434.0</v>
      </c>
      <c r="B3221" s="3" t="s">
        <v>3136</v>
      </c>
      <c r="C3221" s="3" t="str">
        <f>IFERROR(__xludf.DUMMYFUNCTION("GOOGLETRANSLATE(B3221,""id"",""en"")"),"['MyTelkomsel', 'Open', 'UDH', 'Unistal', 'TRS', 'Install', 'repeat', 'times', 'Please', 'explanation', 'trimakasih']")</f>
        <v>['MyTelkomsel', 'Open', 'UDH', 'Unistal', 'TRS', 'Install', 'repeat', 'times', 'Please', 'explanation', 'trimakasih']</v>
      </c>
      <c r="D3221" s="3">
        <v>1.0</v>
      </c>
    </row>
    <row r="3222" ht="15.75" customHeight="1">
      <c r="A3222" s="1">
        <v>3435.0</v>
      </c>
      <c r="B3222" s="3" t="s">
        <v>3137</v>
      </c>
      <c r="C3222" s="3" t="str">
        <f>IFERROR(__xludf.DUMMYFUNCTION("GOOGLETRANSLATE(B3222,""id"",""en"")"),"['Cash', 'Open', 'Application', '']")</f>
        <v>['Cash', 'Open', 'Application', '']</v>
      </c>
      <c r="D3222" s="3">
        <v>3.0</v>
      </c>
    </row>
    <row r="3223" ht="15.75" customHeight="1">
      <c r="A3223" s="1">
        <v>3436.0</v>
      </c>
      <c r="B3223" s="3" t="s">
        <v>3138</v>
      </c>
      <c r="C3223" s="3" t="str">
        <f>IFERROR(__xludf.DUMMYFUNCTION("GOOGLETRANSLATE(B3223,""id"",""en"")"),"['Good', 'package', 'expensive']")</f>
        <v>['Good', 'package', 'expensive']</v>
      </c>
      <c r="D3223" s="3">
        <v>5.0</v>
      </c>
    </row>
    <row r="3224" ht="15.75" customHeight="1">
      <c r="A3224" s="1">
        <v>3437.0</v>
      </c>
      <c r="B3224" s="3" t="s">
        <v>3139</v>
      </c>
      <c r="C3224" s="3" t="str">
        <f>IFERROR(__xludf.DUMMYFUNCTION("GOOGLETRANSLATE(B3224,""id"",""en"")"),"['oath', 'Disappointed', 'Heavy', 'name', 'Telkomsel', 'price', 'FINY', 'GB', 'Taunya', 'opened', 'Uda', 'BLI', ' pulses', 'severe', 'signal', 'nerves',' be patient ',' wait ',' mentok ',' care ',' move ',' prop ',' laugh ',' see ',' rating ' , '']")</f>
        <v>['oath', 'Disappointed', 'Heavy', 'name', 'Telkomsel', 'price', 'FINY', 'GB', 'Taunya', 'opened', 'Uda', 'BLI', ' pulses', 'severe', 'signal', 'nerves',' be patient ',' wait ',' mentok ',' care ',' move ',' prop ',' laugh ',' see ',' rating ' , '']</v>
      </c>
      <c r="D3224" s="3">
        <v>1.0</v>
      </c>
    </row>
    <row r="3225" ht="15.75" customHeight="1">
      <c r="A3225" s="1">
        <v>3438.0</v>
      </c>
      <c r="B3225" s="3" t="s">
        <v>3140</v>
      </c>
      <c r="C3225" s="3" t="str">
        <f>IFERROR(__xludf.DUMMYFUNCTION("GOOGLETRANSLATE(B3225,""id"",""en"")"),"['package', 'internet', 'change', 'change', 'name', 'package', 'package', 'bought', 'list', 'price', 'expensive', 'expensive', ' ']")</f>
        <v>['package', 'internet', 'change', 'change', 'name', 'package', 'package', 'bought', 'list', 'price', 'expensive', 'expensive', ' ']</v>
      </c>
      <c r="D3225" s="3">
        <v>1.0</v>
      </c>
    </row>
    <row r="3226" ht="15.75" customHeight="1">
      <c r="A3226" s="1">
        <v>3439.0</v>
      </c>
      <c r="B3226" s="3" t="s">
        <v>3141</v>
      </c>
      <c r="C3226" s="3" t="str">
        <f>IFERROR(__xludf.DUMMYFUNCTION("GOOGLETRANSLATE(B3226,""id"",""en"")"),"['Network', 'Solok', 'South', 'Kayak', 'ugly', 'please', 'repair']")</f>
        <v>['Network', 'Solok', 'South', 'Kayak', 'ugly', 'please', 'repair']</v>
      </c>
      <c r="D3226" s="3">
        <v>1.0</v>
      </c>
    </row>
    <row r="3227" ht="15.75" customHeight="1">
      <c r="A3227" s="1">
        <v>3440.0</v>
      </c>
      <c r="B3227" s="3" t="s">
        <v>3142</v>
      </c>
      <c r="C3227" s="3" t="str">
        <f>IFERROR(__xludf.DUMMYFUNCTION("GOOGLETRANSLATE(B3227,""id"",""en"")"),"['Gajelas', 'Save', 'Sousal', 'Please', 'Fix', 'Disappointed', 'User', 'Telkomsel']")</f>
        <v>['Gajelas', 'Save', 'Sousal', 'Please', 'Fix', 'Disappointed', 'User', 'Telkomsel']</v>
      </c>
      <c r="D3227" s="3">
        <v>1.0</v>
      </c>
    </row>
    <row r="3228" ht="15.75" customHeight="1">
      <c r="A3228" s="1">
        <v>3441.0</v>
      </c>
      <c r="B3228" s="3" t="s">
        <v>3143</v>
      </c>
      <c r="C3228" s="3" t="str">
        <f>IFERROR(__xludf.DUMMYFUNCTION("GOOGLETRANSLATE(B3228,""id"",""en"")"),"['Good', 'boong']")</f>
        <v>['Good', 'boong']</v>
      </c>
      <c r="D3228" s="3">
        <v>1.0</v>
      </c>
    </row>
    <row r="3229" ht="15.75" customHeight="1">
      <c r="A3229" s="1">
        <v>3442.0</v>
      </c>
      <c r="B3229" s="3" t="s">
        <v>808</v>
      </c>
      <c r="C3229" s="3" t="str">
        <f>IFERROR(__xludf.DUMMYFUNCTION("GOOGLETRANSLATE(B3229,""id"",""en"")"),"['Good', 'makes it easy']")</f>
        <v>['Good', 'makes it easy']</v>
      </c>
      <c r="D3229" s="3">
        <v>4.0</v>
      </c>
    </row>
    <row r="3230" ht="15.75" customHeight="1">
      <c r="A3230" s="1">
        <v>3443.0</v>
      </c>
      <c r="B3230" s="3" t="s">
        <v>3144</v>
      </c>
      <c r="C3230" s="3" t="str">
        <f>IFERROR(__xludf.DUMMYFUNCTION("GOOGLETRANSLATE(B3230,""id"",""en"")"),"['tempted', 'package', 'internet', 'cheap', 'actually', 'offer', 'quality', 'signal', 'worst', 'kapok', 'buy', ""]")</f>
        <v>['tempted', 'package', 'internet', 'cheap', 'actually', 'offer', 'quality', 'signal', 'worst', 'kapok', 'buy', "]</v>
      </c>
      <c r="D3230" s="3">
        <v>1.0</v>
      </c>
    </row>
    <row r="3231" ht="15.75" customHeight="1">
      <c r="A3231" s="1">
        <v>3444.0</v>
      </c>
      <c r="B3231" s="3" t="s">
        <v>3145</v>
      </c>
      <c r="C3231" s="3" t="str">
        <f>IFERROR(__xludf.DUMMYFUNCTION("GOOGLETRANSLATE(B3231,""id"",""en"")"),"['BANGJE', 'BANGET', 'APP']")</f>
        <v>['BANGJE', 'BANGET', 'APP']</v>
      </c>
      <c r="D3231" s="3">
        <v>1.0</v>
      </c>
    </row>
    <row r="3232" ht="15.75" customHeight="1">
      <c r="A3232" s="1">
        <v>3445.0</v>
      </c>
      <c r="B3232" s="3" t="s">
        <v>3146</v>
      </c>
      <c r="C3232" s="3" t="str">
        <f>IFERROR(__xludf.DUMMYFUNCTION("GOOGLETRANSLATE(B3232,""id"",""en"")"),"['', 'told', 'update', 'service', 'Telkomsel', 'bad', 'Different', 'neighbor', 'next door', 'please', 'customer', '' ' ]")</f>
        <v>['', 'told', 'update', 'service', 'Telkomsel', 'bad', 'Different', 'neighbor', 'next door', 'please', 'customer', '' ' ]</v>
      </c>
      <c r="D3232" s="3">
        <v>4.0</v>
      </c>
    </row>
    <row r="3233" ht="15.75" customHeight="1">
      <c r="A3233" s="1">
        <v>3446.0</v>
      </c>
      <c r="B3233" s="3" t="s">
        <v>3147</v>
      </c>
      <c r="C3233" s="3" t="str">
        <f>IFERROR(__xludf.DUMMYFUNCTION("GOOGLETRANSLATE(B3233,""id"",""en"")"),"['Experience', 'Telkomsel', 'MIRIS', 'Network', 'Data', 'SNGAT', 'Disappointing', 'As',' MAYAL ',' Registration ',' Quota ',' Package ',' Internet ',' ']")</f>
        <v>['Experience', 'Telkomsel', 'MIRIS', 'Network', 'Data', 'SNGAT', 'Disappointing', 'As',' MAYAL ',' Registration ',' Quota ',' Package ',' Internet ',' ']</v>
      </c>
      <c r="D3233" s="3">
        <v>1.0</v>
      </c>
    </row>
    <row r="3234" ht="15.75" customHeight="1">
      <c r="A3234" s="1">
        <v>3447.0</v>
      </c>
      <c r="B3234" s="3" t="s">
        <v>3148</v>
      </c>
      <c r="C3234" s="3" t="str">
        <f>IFERROR(__xludf.DUMMYFUNCTION("GOOGLETRANSLATE(B3234,""id"",""en"")"),"['Out', 'update', 'opened']")</f>
        <v>['Out', 'update', 'opened']</v>
      </c>
      <c r="D3234" s="3">
        <v>1.0</v>
      </c>
    </row>
    <row r="3235" ht="15.75" customHeight="1">
      <c r="A3235" s="1">
        <v>3448.0</v>
      </c>
      <c r="B3235" s="3" t="s">
        <v>3149</v>
      </c>
      <c r="C3235" s="3" t="str">
        <f>IFERROR(__xludf.DUMMYFUNCTION("GOOGLETRANSLATE(B3235,""id"",""en"")"),"['Disappointed', 'really', 'open', 'application', 'Telkomsel', 'Nga', 'open', 'ngebleng', 'color', 'white', 'replace', 'card', ' Already ',' card ',' Hallo ',' offer ',' sweet ',' Costamer ',' Ryesel ',' Telkomsel ', ""]")</f>
        <v>['Disappointed', 'really', 'open', 'application', 'Telkomsel', 'Nga', 'open', 'ngebleng', 'color', 'white', 'replace', 'card', ' Already ',' card ',' Hallo ',' offer ',' sweet ',' Costamer ',' Ryesel ',' Telkomsel ', "]</v>
      </c>
      <c r="D3235" s="3">
        <v>1.0</v>
      </c>
    </row>
    <row r="3236" ht="15.75" customHeight="1">
      <c r="A3236" s="1">
        <v>3449.0</v>
      </c>
      <c r="B3236" s="3" t="s">
        <v>3150</v>
      </c>
      <c r="C3236" s="3" t="str">
        <f>IFERROR(__xludf.DUMMYFUNCTION("GOOGLETRANSLATE(B3236,""id"",""en"")"),"['Knpa', 'Susa', 'Skli', 'Open', 'Sya', 'SDAH', 'BRPA', 'Times',' APUS ',' then ',' Dwondlod ',' Masi ',' NDK ',' open ',' application ']")</f>
        <v>['Knpa', 'Susa', 'Skli', 'Open', 'Sya', 'SDAH', 'BRPA', 'Times',' APUS ',' then ',' Dwondlod ',' Masi ',' NDK ',' open ',' application ']</v>
      </c>
      <c r="D3236" s="3">
        <v>1.0</v>
      </c>
    </row>
    <row r="3237" ht="15.75" customHeight="1">
      <c r="A3237" s="1">
        <v>3450.0</v>
      </c>
      <c r="B3237" s="3" t="s">
        <v>3151</v>
      </c>
      <c r="C3237" s="3" t="str">
        <f>IFERROR(__xludf.DUMMYFUNCTION("GOOGLETRANSLATE(B3237,""id"",""en"")"),"['Telkomsel', 'The network', '']")</f>
        <v>['Telkomsel', 'The network', '']</v>
      </c>
      <c r="D3237" s="3">
        <v>1.0</v>
      </c>
    </row>
    <row r="3238" ht="15.75" customHeight="1">
      <c r="A3238" s="1">
        <v>3451.0</v>
      </c>
      <c r="B3238" s="3" t="s">
        <v>3152</v>
      </c>
      <c r="C3238" s="3" t="str">
        <f>IFERROR(__xludf.DUMMYFUNCTION("GOOGLETRANSLATE(B3238,""id"",""en"")"),"['entry', 'application', 'difficult', 'try', 'easy', 'ndk', 'complicated', 'NDK', 'rich', 'provider', 'next door', 'number', ' Code ',' Notif ',' Products', 'BUMN', 'Ribet', 'Disappointed', 'MyTelkomsel']")</f>
        <v>['entry', 'application', 'difficult', 'try', 'easy', 'ndk', 'complicated', 'NDK', 'rich', 'provider', 'next door', 'number', ' Code ',' Notif ',' Products', 'BUMN', 'Ribet', 'Disappointed', 'MyTelkomsel']</v>
      </c>
      <c r="D3238" s="3">
        <v>1.0</v>
      </c>
    </row>
    <row r="3239" ht="15.75" customHeight="1">
      <c r="A3239" s="1">
        <v>3452.0</v>
      </c>
      <c r="B3239" s="3" t="s">
        <v>520</v>
      </c>
      <c r="C3239" s="3" t="str">
        <f>IFERROR(__xludf.DUMMYFUNCTION("GOOGLETRANSLATE(B3239,""id"",""en"")"),"['Satisfied', 'Telkomsel']")</f>
        <v>['Satisfied', 'Telkomsel']</v>
      </c>
      <c r="D3239" s="3">
        <v>5.0</v>
      </c>
    </row>
    <row r="3240" ht="15.75" customHeight="1">
      <c r="A3240" s="1">
        <v>3453.0</v>
      </c>
      <c r="B3240" s="3" t="s">
        <v>3153</v>
      </c>
      <c r="C3240" s="3" t="str">
        <f>IFERROR(__xludf.DUMMYFUNCTION("GOOGLETRANSLATE(B3240,""id"",""en"")"),"['Hallo', 'operator', 'Telkomsel', 'Dear', 'Application', 'Telkomsel', 'a month', 'open', 'many', 'times',' delete ',' install ',' opened ',' sailing ',' white ',' broken ',' beg ',' clarity ',' customer ',' loyal ',' Telkomsel ',' times', 'application', "&amp;"'Telkomsel', 'opened' , 'Please', 'clarity', '']")</f>
        <v>['Hallo', 'operator', 'Telkomsel', 'Dear', 'Application', 'Telkomsel', 'a month', 'open', 'many', 'times',' delete ',' install ',' opened ',' sailing ',' white ',' broken ',' beg ',' clarity ',' customer ',' loyal ',' Telkomsel ',' times', 'application', 'Telkomsel', 'opened' , 'Please', 'clarity', '']</v>
      </c>
      <c r="D3240" s="3">
        <v>5.0</v>
      </c>
    </row>
    <row r="3241" ht="15.75" customHeight="1">
      <c r="A3241" s="1">
        <v>3454.0</v>
      </c>
      <c r="B3241" s="3" t="s">
        <v>3154</v>
      </c>
      <c r="C3241" s="3" t="str">
        <f>IFERROR(__xludf.DUMMYFUNCTION("GOOGLETRANSLATE(B3241,""id"",""en"")"),"['price', 'package', 'expensive', 'please', 'min', 'adjusted', 'condition', 'people', 'adequate', 'rich', 'price', 'according to' Friendly ',' pocked ', ""]")</f>
        <v>['price', 'package', 'expensive', 'please', 'min', 'adjusted', 'condition', 'people', 'adequate', 'rich', 'price', 'according to' Friendly ',' pocked ', "]</v>
      </c>
      <c r="D3241" s="3">
        <v>2.0</v>
      </c>
    </row>
    <row r="3242" ht="15.75" customHeight="1">
      <c r="A3242" s="1">
        <v>3455.0</v>
      </c>
      <c r="B3242" s="3" t="s">
        <v>3155</v>
      </c>
      <c r="C3242" s="3" t="str">
        <f>IFERROR(__xludf.DUMMYFUNCTION("GOOGLETRANSLATE(B3242,""id"",""en"")"),"['Telkomsel', 'tlg', 'fix', 'service', 'byk', 'consumer', 'complement', 'complain', 'gujat', 'impression', 'care', 'customer', ' consumers', 'GMN', 'advanced', 'service', 'repaired']")</f>
        <v>['Telkomsel', 'tlg', 'fix', 'service', 'byk', 'consumer', 'complement', 'complain', 'gujat', 'impression', 'care', 'customer', ' consumers', 'GMN', 'advanced', 'service', 'repaired']</v>
      </c>
      <c r="D3242" s="3">
        <v>1.0</v>
      </c>
    </row>
    <row r="3243" ht="15.75" customHeight="1">
      <c r="A3243" s="1">
        <v>3456.0</v>
      </c>
      <c r="B3243" s="3" t="s">
        <v>3156</v>
      </c>
      <c r="C3243" s="3" t="str">
        <f>IFERROR(__xludf.DUMMYFUNCTION("GOOGLETRANSLATE(B3243,""id"",""en"")"),"['times',' description ',' requirements', 'use', 'quota', 'understand', 'people', 'buy', 'quota', 'lap', 'youtube', 'doang', ' Quota ',' Regular ',' Used ',' Thinking ',' What 'do', 'buy', 'Stay', 'buy', 'PDAH', 'Doang', 'Price', 'Is', 'Ribet' , 'Telkomse"&amp;"l']")</f>
        <v>['times',' description ',' requirements', 'use', 'quota', 'understand', 'people', 'buy', 'quota', 'lap', 'youtube', 'doang', ' Quota ',' Regular ',' Used ',' Thinking ',' What 'do', 'buy', 'Stay', 'buy', 'PDAH', 'Doang', 'Price', 'Is', 'Ribet' , 'Telkomsel']</v>
      </c>
      <c r="D3243" s="3">
        <v>2.0</v>
      </c>
    </row>
    <row r="3244" ht="15.75" customHeight="1">
      <c r="A3244" s="1">
        <v>3457.0</v>
      </c>
      <c r="B3244" s="3" t="s">
        <v>3157</v>
      </c>
      <c r="C3244" s="3" t="str">
        <f>IFERROR(__xludf.DUMMYFUNCTION("GOOGLETRANSLATE(B3244,""id"",""en"")"),"['Live', 'Capital', 'Province', 'Islands',' Riau ',' City ',' Tanjungpinang ',' Stay ',' City ',' Signal ',' Lost ',' Signal ',' Village ',' Sumpah ',' Severe ',' Telkomsel ',' ']")</f>
        <v>['Live', 'Capital', 'Province', 'Islands',' Riau ',' City ',' Tanjungpinang ',' Stay ',' City ',' Signal ',' Lost ',' Signal ',' Village ',' Sumpah ',' Severe ',' Telkomsel ',' ']</v>
      </c>
      <c r="D3244" s="3">
        <v>1.0</v>
      </c>
    </row>
    <row r="3245" ht="15.75" customHeight="1">
      <c r="A3245" s="1">
        <v>3458.0</v>
      </c>
      <c r="B3245" s="3" t="s">
        <v>3158</v>
      </c>
      <c r="C3245" s="3" t="str">
        <f>IFERROR(__xludf.DUMMYFUNCTION("GOOGLETRANSLATE(B3245,""id"",""en"")"),"['Edan', 'cheap', 'Poolll']")</f>
        <v>['Edan', 'cheap', 'Poolll']</v>
      </c>
      <c r="D3245" s="3">
        <v>5.0</v>
      </c>
    </row>
    <row r="3246" ht="15.75" customHeight="1">
      <c r="A3246" s="1">
        <v>3459.0</v>
      </c>
      <c r="B3246" s="3" t="s">
        <v>3159</v>
      </c>
      <c r="C3246" s="3" t="str">
        <f>IFERROR(__xludf.DUMMYFUNCTION("GOOGLETRANSLATE(B3246,""id"",""en"")"),"['anjg', 'paid', 'credit', 'emergency', 'told', 'pay', 'buy', 'notification', 'because', 'pay', 'yesterday', 'date', ' Get ',' message ',' pay off ',' credit ',' emergency ',' KNTL ',' pay ',' anjg ',' quota ',' kemendikbud ',' buy ',' pulse ',' sumps' , "&amp;"'Yesterday', 'buy', 'Karna', 'take', 'quota', 'emergency', 'get', 'message', 'paying', 'already', 'package', 'expensive', ' Play ',' cheating ',' Reasons', 'Karna', 'Cheap', 'Good', ""]")</f>
        <v>['anjg', 'paid', 'credit', 'emergency', 'told', 'pay', 'buy', 'notification', 'because', 'pay', 'yesterday', 'date', ' Get ',' message ',' pay off ',' credit ',' emergency ',' KNTL ',' pay ',' anjg ',' quota ',' kemendikbud ',' buy ',' pulse ',' sumps' , 'Yesterday', 'buy', 'Karna', 'take', 'quota', 'emergency', 'get', 'message', 'paying', 'already', 'package', 'expensive', ' Play ',' cheating ',' Reasons', 'Karna', 'Cheap', 'Good', "]</v>
      </c>
      <c r="D3246" s="3">
        <v>1.0</v>
      </c>
    </row>
    <row r="3247" ht="15.75" customHeight="1">
      <c r="A3247" s="1">
        <v>3460.0</v>
      </c>
      <c r="B3247" s="3" t="s">
        <v>3160</v>
      </c>
      <c r="C3247" s="3" t="str">
        <f>IFERROR(__xludf.DUMMYFUNCTION("GOOGLETRANSLATE(B3247,""id"",""en"")"),"['Network', 'card', 'Severe', 'oath', 'play', 'game', 'open', 'slow', 'network', 'Andalin', 'news',' doang ',' Good ',' card ',' real ',' kagak ']")</f>
        <v>['Network', 'card', 'Severe', 'oath', 'play', 'game', 'open', 'slow', 'network', 'Andalin', 'news',' doang ',' Good ',' card ',' real ',' kagak ']</v>
      </c>
      <c r="D3247" s="3">
        <v>1.0</v>
      </c>
    </row>
    <row r="3248" ht="15.75" customHeight="1">
      <c r="A3248" s="1">
        <v>3461.0</v>
      </c>
      <c r="B3248" s="3" t="s">
        <v>3161</v>
      </c>
      <c r="C3248" s="3" t="str">
        <f>IFERROR(__xludf.DUMMYFUNCTION("GOOGLETRANSLATE(B3248,""id"",""en"")"),"['Application', 'Useful', 'Open']")</f>
        <v>['Application', 'Useful', 'Open']</v>
      </c>
      <c r="D3248" s="3">
        <v>1.0</v>
      </c>
    </row>
    <row r="3249" ht="15.75" customHeight="1">
      <c r="A3249" s="1">
        <v>3462.0</v>
      </c>
      <c r="B3249" s="3" t="s">
        <v>3162</v>
      </c>
      <c r="C3249" s="3" t="str">
        <f>IFERROR(__xludf.DUMMYFUNCTION("GOOGLETRANSLATE(B3249,""id"",""en"")"),"['times',' buy ',' credit ',' run out ',' TLPN ',' IDK ',' Samo ',' Package ',' Data ',' Dead ',' Mase ',' Bae ',' Lost ',' pulse ',' ']")</f>
        <v>['times',' buy ',' credit ',' run out ',' TLPN ',' IDK ',' Samo ',' Package ',' Data ',' Dead ',' Mase ',' Bae ',' Lost ',' pulse ',' ']</v>
      </c>
      <c r="D3249" s="3">
        <v>1.0</v>
      </c>
    </row>
    <row r="3250" ht="15.75" customHeight="1">
      <c r="A3250" s="1">
        <v>3463.0</v>
      </c>
      <c r="B3250" s="3" t="s">
        <v>3163</v>
      </c>
      <c r="C3250" s="3" t="str">
        <f>IFERROR(__xludf.DUMMYFUNCTION("GOOGLETRANSLATE(B3250,""id"",""en"")"),"['', 'update', 'good', 'open', 'try', 'install', 'reset', 'ttep', 'open', '']")</f>
        <v>['', 'update', 'good', 'open', 'try', 'install', 'reset', 'ttep', 'open', '']</v>
      </c>
      <c r="D3250" s="3">
        <v>1.0</v>
      </c>
    </row>
    <row r="3251" ht="15.75" customHeight="1">
      <c r="A3251" s="1">
        <v>3464.0</v>
      </c>
      <c r="B3251" s="3" t="s">
        <v>3164</v>
      </c>
      <c r="C3251" s="3" t="str">
        <f>IFERROR(__xludf.DUMMYFUNCTION("GOOGLETRANSLATE(B3251,""id"",""en"")"),"['', 'multimedia', 'unlimited', 'mean', 'chat', 'veronika', 'help', 'spend', 'muter', 'ask']")</f>
        <v>['', 'multimedia', 'unlimited', 'mean', 'chat', 'veronika', 'help', 'spend', 'muter', 'ask']</v>
      </c>
      <c r="D3251" s="3">
        <v>1.0</v>
      </c>
    </row>
    <row r="3252" ht="15.75" customHeight="1">
      <c r="A3252" s="1">
        <v>3465.0</v>
      </c>
      <c r="B3252" s="3" t="s">
        <v>3165</v>
      </c>
      <c r="C3252" s="3" t="str">
        <f>IFERROR(__xludf.DUMMYFUNCTION("GOOGLETRANSLATE(B3252,""id"",""en"")"),"['knapa', 'application', 'opened', '']")</f>
        <v>['knapa', 'application', 'opened', '']</v>
      </c>
      <c r="D3252" s="3">
        <v>1.0</v>
      </c>
    </row>
    <row r="3253" ht="15.75" customHeight="1">
      <c r="A3253" s="1">
        <v>3466.0</v>
      </c>
      <c r="B3253" s="3" t="s">
        <v>3166</v>
      </c>
      <c r="C3253" s="3" t="str">
        <f>IFERROR(__xludf.DUMMYFUNCTION("GOOGLETRANSLATE(B3253,""id"",""en"")"),"['WOI', 'Severe', 'really', 'UDH', 'pay off', 'package', 'emergency', 'knp', 'pay', 'contents',' pulse ',' forced ',' Inedible ',' Credit ',' Gajelas', 'Network', 'Enter', 'Network', 'Bad', 'Kek', ""]")</f>
        <v>['WOI', 'Severe', 'really', 'UDH', 'pay off', 'package', 'emergency', 'knp', 'pay', 'contents',' pulse ',' forced ',' Inedible ',' Credit ',' Gajelas', 'Network', 'Enter', 'Network', 'Bad', 'Kek', "]</v>
      </c>
      <c r="D3253" s="3">
        <v>1.0</v>
      </c>
    </row>
    <row r="3254" ht="15.75" customHeight="1">
      <c r="A3254" s="1">
        <v>3467.0</v>
      </c>
      <c r="B3254" s="3" t="s">
        <v>3167</v>
      </c>
      <c r="C3254" s="3" t="str">
        <f>IFERROR(__xludf.DUMMYFUNCTION("GOOGLETRANSLATE(B3254,""id"",""en"")"),"['Bon', 'Pay', 'pulse', 'mask', 'Cut']")</f>
        <v>['Bon', 'Pay', 'pulse', 'mask', 'Cut']</v>
      </c>
      <c r="D3254" s="3">
        <v>5.0</v>
      </c>
    </row>
    <row r="3255" ht="15.75" customHeight="1">
      <c r="A3255" s="1">
        <v>3468.0</v>
      </c>
      <c r="B3255" s="3" t="s">
        <v>3168</v>
      </c>
      <c r="C3255" s="3" t="str">
        <f>IFERROR(__xludf.DUMMYFUNCTION("GOOGLETRANSLATE(B3255,""id"",""en"")"),"['Update', 'APK', 'opened', 'poor']")</f>
        <v>['Update', 'APK', 'opened', 'poor']</v>
      </c>
      <c r="D3255" s="3">
        <v>1.0</v>
      </c>
    </row>
    <row r="3256" ht="15.75" customHeight="1">
      <c r="A3256" s="1">
        <v>3469.0</v>
      </c>
      <c r="B3256" s="3" t="s">
        <v>3169</v>
      </c>
      <c r="C3256" s="3" t="str">
        <f>IFERROR(__xludf.DUMMYFUNCTION("GOOGLETRANSLATE(B3256,""id"",""en"")"),"['Star', 'fill', 'pulse', 'pulse', 'Sumpot', 'Telkomsel', '']")</f>
        <v>['Star', 'fill', 'pulse', 'pulse', 'Sumpot', 'Telkomsel', '']</v>
      </c>
      <c r="D3256" s="3">
        <v>2.0</v>
      </c>
    </row>
    <row r="3257" ht="15.75" customHeight="1">
      <c r="A3257" s="1">
        <v>3470.0</v>
      </c>
      <c r="B3257" s="3" t="s">
        <v>3170</v>
      </c>
      <c r="C3257" s="3" t="str">
        <f>IFERROR(__xludf.DUMMYFUNCTION("GOOGLETRANSLATE(B3257,""id"",""en"")"),"['What', 'Sya', 'NGK', 'PRNH', 'Debt', 'SMA', 'Telkomsel', 'right', 'Sya', 'buy', 'pulse', 'pull', ' pulse ',' card ',' sya ',' bru ',' ngk ',' prnh ',' debt ',' telkomsel ',' kek ',' gini ',' harm ',' ']")</f>
        <v>['What', 'Sya', 'NGK', 'PRNH', 'Debt', 'SMA', 'Telkomsel', 'right', 'Sya', 'buy', 'pulse', 'pull', ' pulse ',' card ',' sya ',' bru ',' ngk ',' prnh ',' debt ',' telkomsel ',' kek ',' gini ',' harm ',' ']</v>
      </c>
      <c r="D3257" s="3">
        <v>4.0</v>
      </c>
    </row>
    <row r="3258" ht="15.75" customHeight="1">
      <c r="A3258" s="1">
        <v>3471.0</v>
      </c>
      <c r="B3258" s="3" t="s">
        <v>3171</v>
      </c>
      <c r="C3258" s="3" t="str">
        <f>IFERROR(__xludf.DUMMYFUNCTION("GOOGLETRANSLATE(B3258,""id"",""en"")"),"['price', 'expensive', 'quality', 'cheap', 'maen', 'game', 'lag', 'clock', 'smooth']")</f>
        <v>['price', 'expensive', 'quality', 'cheap', 'maen', 'game', 'lag', 'clock', 'smooth']</v>
      </c>
      <c r="D3258" s="3">
        <v>1.0</v>
      </c>
    </row>
    <row r="3259" ht="15.75" customHeight="1">
      <c r="A3259" s="1">
        <v>3472.0</v>
      </c>
      <c r="B3259" s="3" t="s">
        <v>3172</v>
      </c>
      <c r="C3259" s="3" t="str">
        <f>IFERROR(__xludf.DUMMYFUNCTION("GOOGLETRANSLATE(B3259,""id"",""en"")"),"['Cashback', 'cashback', 'buy', 'pulse', 'payment', 'gopay']")</f>
        <v>['Cashback', 'cashback', 'buy', 'pulse', 'payment', 'gopay']</v>
      </c>
      <c r="D3259" s="3">
        <v>1.0</v>
      </c>
    </row>
    <row r="3260" ht="15.75" customHeight="1">
      <c r="A3260" s="1">
        <v>3473.0</v>
      </c>
      <c r="B3260" s="3" t="s">
        <v>3173</v>
      </c>
      <c r="C3260" s="3" t="str">
        <f>IFERROR(__xludf.DUMMYFUNCTION("GOOGLETRANSLATE(B3260,""id"",""en"")"),"['Package', 'expensive', 'severe', 'Telkomsel', '']")</f>
        <v>['Package', 'expensive', 'severe', 'Telkomsel', '']</v>
      </c>
      <c r="D3260" s="3">
        <v>1.0</v>
      </c>
    </row>
    <row r="3261" ht="15.75" customHeight="1">
      <c r="A3261" s="1">
        <v>3474.0</v>
      </c>
      <c r="B3261" s="3" t="s">
        <v>3174</v>
      </c>
      <c r="C3261" s="3" t="str">
        <f>IFERROR(__xludf.DUMMYFUNCTION("GOOGLETRANSLATE(B3261,""id"",""en"")"),"['thank', 'love', 'service', 'user', 'Telkomsel', 'satisfied', 'service']")</f>
        <v>['thank', 'love', 'service', 'user', 'Telkomsel', 'satisfied', 'service']</v>
      </c>
      <c r="D3261" s="3">
        <v>5.0</v>
      </c>
    </row>
    <row r="3262" ht="15.75" customHeight="1">
      <c r="A3262" s="1">
        <v>3475.0</v>
      </c>
      <c r="B3262" s="3" t="s">
        <v>3175</v>
      </c>
      <c r="C3262" s="3" t="str">
        <f>IFERROR(__xludf.DUMMYFUNCTION("GOOGLETRANSLATE(B3262,""id"",""en"")"),"['', 'signal', 'Dibikin']")</f>
        <v>['', 'signal', 'Dibikin']</v>
      </c>
      <c r="D3262" s="3">
        <v>4.0</v>
      </c>
    </row>
    <row r="3263" ht="15.75" customHeight="1">
      <c r="A3263" s="1">
        <v>3476.0</v>
      </c>
      <c r="B3263" s="3" t="s">
        <v>3176</v>
      </c>
      <c r="C3263" s="3" t="str">
        <f>IFERROR(__xludf.DUMMYFUNCTION("GOOGLETRANSLATE(B3263,""id"",""en"")"),"['Opened', 'Ouch', 'Disappointed']")</f>
        <v>['Opened', 'Ouch', 'Disappointed']</v>
      </c>
      <c r="D3263" s="3">
        <v>1.0</v>
      </c>
    </row>
    <row r="3264" ht="15.75" customHeight="1">
      <c r="A3264" s="1">
        <v>3477.0</v>
      </c>
      <c r="B3264" s="3" t="s">
        <v>3177</v>
      </c>
      <c r="C3264" s="3" t="str">
        <f>IFERROR(__xludf.DUMMYFUNCTION("GOOGLETRANSLATE(B3264,""id"",""en"")"),"['', 'Gbisa', 'Open']")</f>
        <v>['', 'Gbisa', 'Open']</v>
      </c>
      <c r="D3264" s="3">
        <v>2.0</v>
      </c>
    </row>
    <row r="3265" ht="15.75" customHeight="1">
      <c r="A3265" s="1">
        <v>3478.0</v>
      </c>
      <c r="B3265" s="3" t="s">
        <v>3178</v>
      </c>
      <c r="C3265" s="3" t="str">
        <f>IFERROR(__xludf.DUMMYFUNCTION("GOOGLETRANSLATE(B3265,""id"",""en"")"),"['week', 'application', 'opened', 'grapari', 'obstacle', 'normal', 'clock', 'proof', 'nihil']")</f>
        <v>['week', 'application', 'opened', 'grapari', 'obstacle', 'normal', 'clock', 'proof', 'nihil']</v>
      </c>
      <c r="D3265" s="3">
        <v>1.0</v>
      </c>
    </row>
    <row r="3266" ht="15.75" customHeight="1">
      <c r="A3266" s="1">
        <v>3479.0</v>
      </c>
      <c r="B3266" s="3" t="s">
        <v>3179</v>
      </c>
      <c r="C3266" s="3" t="str">
        <f>IFERROR(__xludf.DUMMYFUNCTION("GOOGLETRANSLATE(B3266,""id"",""en"")"),"['Siyal', 'You', 'Package', 'Ultimate', 'Tetep', 'Hard', 'It's',' Research ',' Restat ',' Already ',' Do ',' Network ',' "", 'users', 'Telkomsel', 'moved', '']")</f>
        <v>['Siyal', 'You', 'Package', 'Ultimate', 'Tetep', 'Hard', 'It's',' Research ',' Restat ',' Already ',' Do ',' Network ',' ", 'users', 'Telkomsel', 'moved', '']</v>
      </c>
      <c r="D3266" s="3">
        <v>1.0</v>
      </c>
    </row>
    <row r="3267" ht="15.75" customHeight="1">
      <c r="A3267" s="1">
        <v>3480.0</v>
      </c>
      <c r="B3267" s="3" t="s">
        <v>3180</v>
      </c>
      <c r="C3267" s="3" t="str">
        <f>IFERROR(__xludf.DUMMYFUNCTION("GOOGLETRANSLATE(B3267,""id"",""en"")"),"['card', 'defective', 'abis', 'quota', 'change', 'card']")</f>
        <v>['card', 'defective', 'abis', 'quota', 'change', 'card']</v>
      </c>
      <c r="D3267" s="3">
        <v>1.0</v>
      </c>
    </row>
    <row r="3268" ht="15.75" customHeight="1">
      <c r="A3268" s="1">
        <v>3481.0</v>
      </c>
      <c r="B3268" s="3" t="s">
        <v>3181</v>
      </c>
      <c r="C3268" s="3" t="str">
        <f>IFERROR(__xludf.DUMMYFUNCTION("GOOGLETRANSLATE(B3268,""id"",""en"")"),"['my', 'debt', 'try', 'may', 'until', 'time']")</f>
        <v>['my', 'debt', 'try', 'may', 'until', 'time']</v>
      </c>
      <c r="D3268" s="3">
        <v>3.0</v>
      </c>
    </row>
    <row r="3269" ht="15.75" customHeight="1">
      <c r="A3269" s="1">
        <v>3482.0</v>
      </c>
      <c r="B3269" s="3" t="s">
        <v>3182</v>
      </c>
      <c r="C3269" s="3" t="str">
        <f>IFERROR(__xludf.DUMMYFUNCTION("GOOGLETRANSLATE(B3269,""id"",""en"")"),"['Signal', 'Gajelas', 'Munkin', 'Bankrupt', 'Move', 'Operator', '']")</f>
        <v>['Signal', 'Gajelas', 'Munkin', 'Bankrupt', 'Move', 'Operator', '']</v>
      </c>
      <c r="D3269" s="3">
        <v>1.0</v>
      </c>
    </row>
    <row r="3270" ht="15.75" customHeight="1">
      <c r="A3270" s="1">
        <v>3483.0</v>
      </c>
      <c r="B3270" s="3" t="s">
        <v>3183</v>
      </c>
      <c r="C3270" s="3" t="str">
        <f>IFERROR(__xludf.DUMMYFUNCTION("GOOGLETRANSLATE(B3270,""id"",""en"")"),"['The application', 'Good', '']")</f>
        <v>['The application', 'Good', '']</v>
      </c>
      <c r="D3270" s="3">
        <v>5.0</v>
      </c>
    </row>
    <row r="3271" ht="15.75" customHeight="1">
      <c r="A3271" s="1">
        <v>3484.0</v>
      </c>
      <c r="B3271" s="3" t="s">
        <v>3184</v>
      </c>
      <c r="C3271" s="3" t="str">
        <f>IFERROR(__xludf.DUMMYFUNCTION("GOOGLETRANSLATE(B3271,""id"",""en"")"),"['HBS', 'Update', 'Sekalo', 'Open', 'Please', 'Repaired', 'Ribet', 'APL']")</f>
        <v>['HBS', 'Update', 'Sekalo', 'Open', 'Please', 'Repaired', 'Ribet', 'APL']</v>
      </c>
      <c r="D3271" s="3">
        <v>1.0</v>
      </c>
    </row>
    <row r="3272" ht="15.75" customHeight="1">
      <c r="A3272" s="1">
        <v>3485.0</v>
      </c>
      <c r="B3272" s="3" t="s">
        <v>3185</v>
      </c>
      <c r="C3272" s="3" t="str">
        <f>IFERROR(__xludf.DUMMYFUNCTION("GOOGLETRANSLATE(B3272,""id"",""en"")"),"['Payment', 'Good']")</f>
        <v>['Payment', 'Good']</v>
      </c>
      <c r="D3272" s="3">
        <v>4.0</v>
      </c>
    </row>
    <row r="3273" ht="15.75" customHeight="1">
      <c r="A3273" s="1">
        <v>3486.0</v>
      </c>
      <c r="B3273" s="3" t="s">
        <v>3186</v>
      </c>
      <c r="C3273" s="3" t="str">
        <f>IFERROR(__xludf.DUMMYFUNCTION("GOOGLETRANSLATE(B3273,""id"",""en"")"),"['family', 'Consumer', 'just', 'Telkomsel', 'here', 'expensive', 'good', 'severe', 'signal', 'like', 'ilang', 'complain', ' Twitter ',' said ',' really ',' ilang ',' signal ',' apalgi ',' nge ',' game ',' please ',' Telkomsel ',' repaired ',' thank ',' pr"&amp;"ice ' , 'expensive', 'hope', 'quality', 'bgus', 'customers', 'thanks', 'hope', 'read', 'suggestion', 'criticism', '']")</f>
        <v>['family', 'Consumer', 'just', 'Telkomsel', 'here', 'expensive', 'good', 'severe', 'signal', 'like', 'ilang', 'complain', ' Twitter ',' said ',' really ',' ilang ',' signal ',' apalgi ',' nge ',' game ',' please ',' Telkomsel ',' repaired ',' thank ',' price ' , 'expensive', 'hope', 'quality', 'bgus', 'customers', 'thanks', 'hope', 'read', 'suggestion', 'criticism', '']</v>
      </c>
      <c r="D3273" s="3">
        <v>3.0</v>
      </c>
    </row>
    <row r="3274" ht="15.75" customHeight="1">
      <c r="A3274" s="1">
        <v>3487.0</v>
      </c>
      <c r="B3274" s="3" t="s">
        <v>3187</v>
      </c>
      <c r="C3274" s="3" t="str">
        <f>IFERROR(__xludf.DUMMYFUNCTION("GOOGLETRANSLATE(B3274,""id"",""en"")"),"['Wear', 'Telkomsel', 'Satisfied', 'Karna', 'The Network', 'Where', '']")</f>
        <v>['Wear', 'Telkomsel', 'Satisfied', 'Karna', 'The Network', 'Where', '']</v>
      </c>
      <c r="D3274" s="3">
        <v>5.0</v>
      </c>
    </row>
    <row r="3275" ht="15.75" customHeight="1">
      <c r="A3275" s="1">
        <v>3488.0</v>
      </c>
      <c r="B3275" s="3" t="s">
        <v>3188</v>
      </c>
      <c r="C3275" s="3" t="str">
        <f>IFERROR(__xludf.DUMMYFUNCTION("GOOGLETRANSLATE(B3275,""id"",""en"")"),"['pulse', 'main', 'cut', 'use', 'Halu', 'person', 'wifi', 'person', 'tethering', 'hotspot', 'person', 'data', ' cellular ',' operator ',' person ',' data ',' cellular ',' turned off ',' SMS ',' data ',' cellular ',' tariff ',' non ',' package ',' internet"&amp;" ' , 'Ari', 'Akang', 'Cageur', '']")</f>
        <v>['pulse', 'main', 'cut', 'use', 'Halu', 'person', 'wifi', 'person', 'tethering', 'hotspot', 'person', 'data', ' cellular ',' operator ',' person ',' data ',' cellular ',' turned off ',' SMS ',' data ',' cellular ',' tariff ',' non ',' package ',' internet ' , 'Ari', 'Akang', 'Cageur', '']</v>
      </c>
      <c r="D3275" s="3">
        <v>5.0</v>
      </c>
    </row>
    <row r="3276" ht="15.75" customHeight="1">
      <c r="A3276" s="1">
        <v>3489.0</v>
      </c>
      <c r="B3276" s="3" t="s">
        <v>3189</v>
      </c>
      <c r="C3276" s="3" t="str">
        <f>IFERROR(__xludf.DUMMYFUNCTION("GOOGLETRANSLATE(B3276,""id"",""en"")"),"['What', 'Time', 'Install', 'Tetep', 'Open', 'Good', 'Signal', 'Full', 'Please', 'Fix', 'Disappoint', 'Customer']")</f>
        <v>['What', 'Time', 'Install', 'Tetep', 'Open', 'Good', 'Signal', 'Full', 'Please', 'Fix', 'Disappoint', 'Customer']</v>
      </c>
      <c r="D3276" s="3">
        <v>1.0</v>
      </c>
    </row>
    <row r="3277" ht="15.75" customHeight="1">
      <c r="A3277" s="1">
        <v>3490.0</v>
      </c>
      <c r="B3277" s="3" t="s">
        <v>3190</v>
      </c>
      <c r="C3277" s="3" t="str">
        <f>IFERROR(__xludf.DUMMYFUNCTION("GOOGLETRANSLATE(B3277,""id"",""en"")"),"['Please', 'signal', 'repaired', 'wanted', 'bought', 'dipake', 'disorder']")</f>
        <v>['Please', 'signal', 'repaired', 'wanted', 'bought', 'dipake', 'disorder']</v>
      </c>
      <c r="D3277" s="3">
        <v>1.0</v>
      </c>
    </row>
    <row r="3278" ht="15.75" customHeight="1">
      <c r="A3278" s="1">
        <v>3491.0</v>
      </c>
      <c r="B3278" s="3" t="s">
        <v>3191</v>
      </c>
      <c r="C3278" s="3" t="str">
        <f>IFERROR(__xludf.DUMMYFUNCTION("GOOGLETRANSLATE(B3278,""id"",""en"")"),"['Maap', 'already', 'Install', 'Application', 'Open', 'Vivo', 'Brand', 'Open', ""]")</f>
        <v>['Maap', 'already', 'Install', 'Application', 'Open', 'Vivo', 'Brand', 'Open', "]</v>
      </c>
      <c r="D3278" s="3">
        <v>1.0</v>
      </c>
    </row>
    <row r="3279" ht="15.75" customHeight="1">
      <c r="A3279" s="1">
        <v>3492.0</v>
      </c>
      <c r="B3279" s="3" t="s">
        <v>3192</v>
      </c>
      <c r="C3279" s="3" t="str">
        <f>IFERROR(__xludf.DUMMYFUNCTION("GOOGLETRANSLATE(B3279,""id"",""en"")"),"['Abis', 'update', 'no', 'open', 'APK', '']")</f>
        <v>['Abis', 'update', 'no', 'open', 'APK', '']</v>
      </c>
      <c r="D3279" s="3">
        <v>1.0</v>
      </c>
    </row>
    <row r="3280" ht="15.75" customHeight="1">
      <c r="A3280" s="1">
        <v>3493.0</v>
      </c>
      <c r="B3280" s="3" t="s">
        <v>3193</v>
      </c>
      <c r="C3280" s="3" t="str">
        <f>IFERROR(__xludf.DUMMYFUNCTION("GOOGLETRANSLATE(B3280,""id"",""en"")"),"['hard', 'signal', 'ugly', '']")</f>
        <v>['hard', 'signal', 'ugly', '']</v>
      </c>
      <c r="D3280" s="3">
        <v>1.0</v>
      </c>
    </row>
    <row r="3281" ht="15.75" customHeight="1">
      <c r="A3281" s="1">
        <v>3494.0</v>
      </c>
      <c r="B3281" s="3" t="s">
        <v>3194</v>
      </c>
      <c r="C3281" s="3" t="str">
        <f>IFERROR(__xludf.DUMMYFUNCTION("GOOGLETRANSLATE(B3281,""id"",""en"")"),"['Sya', 'Kasi', 'Star', 'Meaning', 'Best', 'Worst', 'APL', 'Open', ""]")</f>
        <v>['Sya', 'Kasi', 'Star', 'Meaning', 'Best', 'Worst', 'APL', 'Open', "]</v>
      </c>
      <c r="D3281" s="3">
        <v>5.0</v>
      </c>
    </row>
    <row r="3282" ht="15.75" customHeight="1">
      <c r="A3282" s="1">
        <v>3495.0</v>
      </c>
      <c r="B3282" s="3" t="s">
        <v>3195</v>
      </c>
      <c r="C3282" s="3" t="str">
        <f>IFERROR(__xludf.DUMMYFUNCTION("GOOGLETRANSLATE(B3282,""id"",""en"")"),"['', 'Lampung', 'signal', 'ugly', 'ppahal', 'expensive', 'buy', 'package', 'internet', 'Telkomsel', 'lose', 'ama', 'card ',' Yellow ',' Ama ',' Blue ',' Disappointed ',' ']")</f>
        <v>['', 'Lampung', 'signal', 'ugly', 'ppahal', 'expensive', 'buy', 'package', 'internet', 'Telkomsel', 'lose', 'ama', 'card ',' Yellow ',' Ama ',' Blue ',' Disappointed ',' ']</v>
      </c>
      <c r="D3282" s="3">
        <v>1.0</v>
      </c>
    </row>
    <row r="3283" ht="15.75" customHeight="1">
      <c r="A3283" s="1">
        <v>3496.0</v>
      </c>
      <c r="B3283" s="3" t="s">
        <v>3196</v>
      </c>
      <c r="C3283" s="3" t="str">
        <f>IFERROR(__xludf.DUMMYFUNCTION("GOOGLETRANSLATE(B3283,""id"",""en"")"),"['Application', 'opened', 'appears', 'display', 'empty', 'signal', 'strong', 'bts']")</f>
        <v>['Application', 'opened', 'appears', 'display', 'empty', 'signal', 'strong', 'bts']</v>
      </c>
      <c r="D3283" s="3">
        <v>3.0</v>
      </c>
    </row>
    <row r="3284" ht="15.75" customHeight="1">
      <c r="A3284" s="1">
        <v>3497.0</v>
      </c>
      <c r="B3284" s="3" t="s">
        <v>3197</v>
      </c>
      <c r="C3284" s="3" t="str">
        <f>IFERROR(__xludf.DUMMYFUNCTION("GOOGLETRANSLATE(B3284,""id"",""en"")"),"['Update', 'opened', '']")</f>
        <v>['Update', 'opened', '']</v>
      </c>
      <c r="D3284" s="3">
        <v>2.0</v>
      </c>
    </row>
    <row r="3285" ht="15.75" customHeight="1">
      <c r="A3285" s="1">
        <v>3498.0</v>
      </c>
      <c r="B3285" s="3" t="s">
        <v>3198</v>
      </c>
      <c r="C3285" s="3" t="str">
        <f>IFERROR(__xludf.DUMMYFUNCTION("GOOGLETRANSLATE(B3285,""id"",""en"")"),"['Threat', 'network', 'internet', 'slow', 'forgiveness']")</f>
        <v>['Threat', 'network', 'internet', 'slow', 'forgiveness']</v>
      </c>
      <c r="D3285" s="3">
        <v>1.0</v>
      </c>
    </row>
    <row r="3286" ht="15.75" customHeight="1">
      <c r="A3286" s="1">
        <v>3499.0</v>
      </c>
      <c r="B3286" s="3" t="s">
        <v>3199</v>
      </c>
      <c r="C3286" s="3" t="str">
        <f>IFERROR(__xludf.DUMMYFUNCTION("GOOGLETRANSLATE(B3286,""id"",""en"")"),"['Like', 'Application', 'Easy', 'Buy', 'Kouta', '']")</f>
        <v>['Like', 'Application', 'Easy', 'Buy', 'Kouta', '']</v>
      </c>
      <c r="D3286" s="3">
        <v>5.0</v>
      </c>
    </row>
    <row r="3287" ht="15.75" customHeight="1">
      <c r="A3287" s="1">
        <v>3500.0</v>
      </c>
      <c r="B3287" s="3" t="s">
        <v>3200</v>
      </c>
      <c r="C3287" s="3" t="str">
        <f>IFERROR(__xludf.DUMMYFUNCTION("GOOGLETRANSLATE(B3287,""id"",""en"")"),"['kouta', 'internet', 'smooth', 'play', 'game', 'signal', 'pink', 'down', 'mulu', 'fix', 'woi']")</f>
        <v>['kouta', 'internet', 'smooth', 'play', 'game', 'signal', 'pink', 'down', 'mulu', 'fix', 'woi']</v>
      </c>
      <c r="D3287" s="3">
        <v>1.0</v>
      </c>
    </row>
    <row r="3288" ht="15.75" customHeight="1">
      <c r="A3288" s="1">
        <v>3501.0</v>
      </c>
      <c r="B3288" s="3" t="s">
        <v>3201</v>
      </c>
      <c r="C3288" s="3" t="str">
        <f>IFERROR(__xludf.DUMMYFUNCTION("GOOGLETRANSLATE(B3288,""id"",""en"")"),"['Signal', 'disorder', 'buy', 'quota', 'big', 'tetep', 'slow', 'apply', 'January', 'date', 'January', 'already', ' Mute ',' Doang ']")</f>
        <v>['Signal', 'disorder', 'buy', 'quota', 'big', 'tetep', 'slow', 'apply', 'January', 'date', 'January', 'already', ' Mute ',' Doang ']</v>
      </c>
      <c r="D3288" s="3">
        <v>4.0</v>
      </c>
    </row>
    <row r="3289" ht="15.75" customHeight="1">
      <c r="A3289" s="1">
        <v>3502.0</v>
      </c>
      <c r="B3289" s="3" t="s">
        <v>3202</v>
      </c>
      <c r="C3289" s="3" t="str">
        <f>IFERROR(__xludf.DUMMYFUNCTION("GOOGLETRANSLATE(B3289,""id"",""en"")"),"['ugly', 'Sher', 'Lock', 'Baw', 'Hanam']")</f>
        <v>['ugly', 'Sher', 'Lock', 'Baw', 'Hanam']</v>
      </c>
      <c r="D3289" s="3">
        <v>5.0</v>
      </c>
    </row>
    <row r="3290" ht="15.75" customHeight="1">
      <c r="A3290" s="1">
        <v>3503.0</v>
      </c>
      <c r="B3290" s="3" t="s">
        <v>3203</v>
      </c>
      <c r="C3290" s="3" t="str">
        <f>IFERROR(__xludf.DUMMYFUNCTION("GOOGLETRANSLATE(B3290,""id"",""en"")"),"['Telkomsel', 'network', 'telephone', 'best', 'cheating', 'area']")</f>
        <v>['Telkomsel', 'network', 'telephone', 'best', 'cheating', 'area']</v>
      </c>
      <c r="D3290" s="3">
        <v>5.0</v>
      </c>
    </row>
    <row r="3291" ht="15.75" customHeight="1">
      <c r="A3291" s="1">
        <v>3504.0</v>
      </c>
      <c r="B3291" s="3" t="s">
        <v>3204</v>
      </c>
      <c r="C3291" s="3" t="str">
        <f>IFERROR(__xludf.DUMMYFUNCTION("GOOGLETRANSLATE(B3291,""id"",""en"")"),"['updet', 'ngak', 'whispered', 'Bukak']")</f>
        <v>['updet', 'ngak', 'whispered', 'Bukak']</v>
      </c>
      <c r="D3291" s="3">
        <v>1.0</v>
      </c>
    </row>
    <row r="3292" ht="15.75" customHeight="1">
      <c r="A3292" s="1">
        <v>3505.0</v>
      </c>
      <c r="B3292" s="3" t="s">
        <v>3205</v>
      </c>
      <c r="C3292" s="3" t="str">
        <f>IFERROR(__xludf.DUMMYFUNCTION("GOOGLETRANSLATE(B3292,""id"",""en"")"),"['love', 'star', 'klw', 'good', 'love']")</f>
        <v>['love', 'star', 'klw', 'good', 'love']</v>
      </c>
      <c r="D3292" s="3">
        <v>2.0</v>
      </c>
    </row>
    <row r="3293" ht="15.75" customHeight="1">
      <c r="A3293" s="1">
        <v>3507.0</v>
      </c>
      <c r="B3293" s="3" t="s">
        <v>3206</v>
      </c>
      <c r="C3293" s="3" t="str">
        <f>IFERROR(__xludf.DUMMYFUNCTION("GOOGLETRANSLATE(B3293,""id"",""en"")"),"['Network', 'hope', 'maximized']")</f>
        <v>['Network', 'hope', 'maximized']</v>
      </c>
      <c r="D3293" s="3">
        <v>5.0</v>
      </c>
    </row>
    <row r="3294" ht="15.75" customHeight="1">
      <c r="A3294" s="1">
        <v>3508.0</v>
      </c>
      <c r="B3294" s="3" t="s">
        <v>3207</v>
      </c>
      <c r="C3294" s="3" t="str">
        <f>IFERROR(__xludf.DUMMYFUNCTION("GOOGLETRANSLATE(B3294,""id"",""en"")"),"['Strengthen', 'Signal', 'Betah', 'Telkomsel']")</f>
        <v>['Strengthen', 'Signal', 'Betah', 'Telkomsel']</v>
      </c>
      <c r="D3294" s="3">
        <v>5.0</v>
      </c>
    </row>
    <row r="3295" ht="15.75" customHeight="1">
      <c r="A3295" s="1">
        <v>3509.0</v>
      </c>
      <c r="B3295" s="3" t="s">
        <v>3208</v>
      </c>
      <c r="C3295" s="3" t="str">
        <f>IFERROR(__xludf.DUMMYFUNCTION("GOOGLETRANSLATE(B3295,""id"",""en"")"),"['try']")</f>
        <v>['try']</v>
      </c>
      <c r="D3295" s="3">
        <v>5.0</v>
      </c>
    </row>
    <row r="3296" ht="15.75" customHeight="1">
      <c r="A3296" s="1">
        <v>3510.0</v>
      </c>
      <c r="B3296" s="3" t="s">
        <v>3209</v>
      </c>
      <c r="C3296" s="3" t="str">
        <f>IFERROR(__xludf.DUMMYFUNCTION("GOOGLETRANSLATE(B3296,""id"",""en"")"),"['App', 'MyTelkomsel', 'Open', 'Yesterday', 'quota', 'signal', 'please', 'repair']")</f>
        <v>['App', 'MyTelkomsel', 'Open', 'Yesterday', 'quota', 'signal', 'please', 'repair']</v>
      </c>
      <c r="D3296" s="3">
        <v>1.0</v>
      </c>
    </row>
    <row r="3297" ht="15.75" customHeight="1">
      <c r="A3297" s="1">
        <v>3511.0</v>
      </c>
      <c r="B3297" s="3" t="s">
        <v>3210</v>
      </c>
      <c r="C3297" s="3" t="str">
        <f>IFERROR(__xludf.DUMMYFUNCTION("GOOGLETRANSLATE(B3297,""id"",""en"")"),"['easy', 'complicated', 'contents', 'quota', 'stay', 'click', 'directly', 'select', 'package']")</f>
        <v>['easy', 'complicated', 'contents', 'quota', 'stay', 'click', 'directly', 'select', 'package']</v>
      </c>
      <c r="D3297" s="3">
        <v>5.0</v>
      </c>
    </row>
    <row r="3298" ht="15.75" customHeight="1">
      <c r="A3298" s="1">
        <v>3512.0</v>
      </c>
      <c r="B3298" s="3" t="s">
        <v>3211</v>
      </c>
      <c r="C3298" s="3" t="str">
        <f>IFERROR(__xludf.DUMMYFUNCTION("GOOGLETRANSLATE(B3298,""id"",""en"")"),"['Network', 'Telkomsel', 'Main', 'Game', 'Ngelag', 'Severe', 'Expensive', 'Mahalin', 'Price', '']")</f>
        <v>['Network', 'Telkomsel', 'Main', 'Game', 'Ngelag', 'Severe', 'Expensive', 'Mahalin', 'Price', '']</v>
      </c>
      <c r="D3298" s="3">
        <v>1.0</v>
      </c>
    </row>
    <row r="3299" ht="15.75" customHeight="1">
      <c r="A3299" s="1">
        <v>3513.0</v>
      </c>
      <c r="B3299" s="3" t="s">
        <v>3212</v>
      </c>
      <c r="C3299" s="3" t="str">
        <f>IFERROR(__xludf.DUMMYFUNCTION("GOOGLETRANSLATE(B3299,""id"",""en"")"),"['card', 'bad', 'quota', 'expensive', 'network', 'slow', 'promo', 'card', 'use', 'replace', 'card']")</f>
        <v>['card', 'bad', 'quota', 'expensive', 'network', 'slow', 'promo', 'card', 'use', 'replace', 'card']</v>
      </c>
      <c r="D3299" s="3">
        <v>1.0</v>
      </c>
    </row>
    <row r="3300" ht="15.75" customHeight="1">
      <c r="A3300" s="1">
        <v>3514.0</v>
      </c>
      <c r="B3300" s="3" t="s">
        <v>3213</v>
      </c>
      <c r="C3300" s="3" t="str">
        <f>IFERROR(__xludf.DUMMYFUNCTION("GOOGLETRANSLATE(B3300,""id"",""en"")"),"['Telkomsel', 'Passe', 'Credit', 'Sya', 'Tbia', 'Joint', 'Debt', 'Telkomsel', 'Please', 'Kraja', 'Askanya']")</f>
        <v>['Telkomsel', 'Passe', 'Credit', 'Sya', 'Tbia', 'Joint', 'Debt', 'Telkomsel', 'Please', 'Kraja', 'Askanya']</v>
      </c>
      <c r="D3300" s="3">
        <v>1.0</v>
      </c>
    </row>
    <row r="3301" ht="15.75" customHeight="1">
      <c r="A3301" s="1">
        <v>3515.0</v>
      </c>
      <c r="B3301" s="3" t="s">
        <v>3214</v>
      </c>
      <c r="C3301" s="3" t="str">
        <f>IFERROR(__xludf.DUMMYFUNCTION("GOOGLETRANSLATE(B3301,""id"",""en"")"),"['Trust', 'Costumers', 'feel', 'cheated', 'Telkomsel']")</f>
        <v>['Trust', 'Costumers', 'feel', 'cheated', 'Telkomsel']</v>
      </c>
      <c r="D3301" s="3">
        <v>1.0</v>
      </c>
    </row>
    <row r="3302" ht="15.75" customHeight="1">
      <c r="A3302" s="1">
        <v>3516.0</v>
      </c>
      <c r="B3302" s="3" t="s">
        <v>3215</v>
      </c>
      <c r="C3302" s="3" t="str">
        <f>IFERROR(__xludf.DUMMYFUNCTION("GOOGLETRANSLATE(B3302,""id"",""en"")"),"['woi', 'child', 'anjeng', 'card', 'gray', 'ngeleg', 'ngeleg', 'check', 'employee', 'corruption']")</f>
        <v>['woi', 'child', 'anjeng', 'card', 'gray', 'ngeleg', 'ngeleg', 'check', 'employee', 'corruption']</v>
      </c>
      <c r="D3302" s="3">
        <v>1.0</v>
      </c>
    </row>
    <row r="3303" ht="15.75" customHeight="1">
      <c r="A3303" s="1">
        <v>3517.0</v>
      </c>
      <c r="B3303" s="3" t="s">
        <v>3216</v>
      </c>
      <c r="C3303" s="3" t="str">
        <f>IFERROR(__xludf.DUMMYFUNCTION("GOOGLETRANSLATE(B3303,""id"",""en"")"),"['given', 'promo', 'quota', 'max']")</f>
        <v>['given', 'promo', 'quota', 'max']</v>
      </c>
      <c r="D3303" s="3">
        <v>1.0</v>
      </c>
    </row>
    <row r="3304" ht="15.75" customHeight="1">
      <c r="A3304" s="1">
        <v>3518.0</v>
      </c>
      <c r="B3304" s="3" t="s">
        <v>3217</v>
      </c>
      <c r="C3304" s="3" t="str">
        <f>IFERROR(__xludf.DUMMYFUNCTION("GOOGLETRANSLATE(B3304,""id"",""en"")"),"['promo', 'skli', 'buy', 'klau', 'click', 'method', 'payment', 'bought', 'use', 'pulse', 'jatohnya', 'expensive']")</f>
        <v>['promo', 'skli', 'buy', 'klau', 'click', 'method', 'payment', 'bought', 'use', 'pulse', 'jatohnya', 'expensive']</v>
      </c>
      <c r="D3304" s="3">
        <v>1.0</v>
      </c>
    </row>
    <row r="3305" ht="15.75" customHeight="1">
      <c r="A3305" s="1">
        <v>3519.0</v>
      </c>
      <c r="B3305" s="3" t="s">
        <v>3218</v>
      </c>
      <c r="C3305" s="3" t="str">
        <f>IFERROR(__xludf.DUMMYFUNCTION("GOOGLETRANSLATE(B3305,""id"",""en"")"),"['update', 'apply', 'oldaaaaaaaa', 'appears',' screen ',' white ',' empty ',' after ',' entered ',' smp ',' many ',' times', ' WKT ',' Wait ',' Super ',' Login ',' Tomorrow ',' ']")</f>
        <v>['update', 'apply', 'oldaaaaaaaa', 'appears',' screen ',' white ',' empty ',' after ',' entered ',' smp ',' many ',' times', ' WKT ',' Wait ',' Super ',' Login ',' Tomorrow ',' ']</v>
      </c>
      <c r="D3305" s="3">
        <v>1.0</v>
      </c>
    </row>
    <row r="3306" ht="15.75" customHeight="1">
      <c r="A3306" s="1">
        <v>3520.0</v>
      </c>
      <c r="B3306" s="3" t="s">
        <v>3219</v>
      </c>
      <c r="C3306" s="3" t="str">
        <f>IFERROR(__xludf.DUMMYFUNCTION("GOOGLETRANSLATE(B3306,""id"",""en"")"),"['Disappointed', 'Application', 'Telkomsel', 'Install', 'Uninstall', 'Many', 'Tetep', 'Opened', 'Checked', 'Quota', 'Issle', ' Application ',' Useful ']")</f>
        <v>['Disappointed', 'Application', 'Telkomsel', 'Install', 'Uninstall', 'Many', 'Tetep', 'Opened', 'Checked', 'Quota', 'Issle', ' Application ',' Useful ']</v>
      </c>
      <c r="D3306" s="3">
        <v>1.0</v>
      </c>
    </row>
    <row r="3307" ht="15.75" customHeight="1">
      <c r="A3307" s="1">
        <v>3521.0</v>
      </c>
      <c r="B3307" s="3" t="s">
        <v>3220</v>
      </c>
      <c r="C3307" s="3" t="str">
        <f>IFERROR(__xludf.DUMMYFUNCTION("GOOGLETRANSLATE(B3307,""id"",""en"")"),"['Cool', 'Skli', 'My APK']")</f>
        <v>['Cool', 'Skli', 'My APK']</v>
      </c>
      <c r="D3307" s="3">
        <v>5.0</v>
      </c>
    </row>
    <row r="3308" ht="15.75" customHeight="1">
      <c r="A3308" s="1">
        <v>3522.0</v>
      </c>
      <c r="B3308" s="3" t="s">
        <v>3221</v>
      </c>
      <c r="C3308" s="3" t="str">
        <f>IFERROR(__xludf.DUMMYFUNCTION("GOOGLETRANSLATE(B3308,""id"",""en"")"),"['Open', 'application', 'difficult', '']")</f>
        <v>['Open', 'application', 'difficult', '']</v>
      </c>
      <c r="D3308" s="3">
        <v>1.0</v>
      </c>
    </row>
    <row r="3309" ht="15.75" customHeight="1">
      <c r="A3309" s="1">
        <v>3523.0</v>
      </c>
      <c r="B3309" s="3" t="s">
        <v>3222</v>
      </c>
      <c r="C3309" s="3" t="str">
        <f>IFERROR(__xludf.DUMMYFUNCTION("GOOGLETRANSLATE(B3309,""id"",""en"")"),"['satisfying', '']")</f>
        <v>['satisfying', '']</v>
      </c>
      <c r="D3309" s="3">
        <v>5.0</v>
      </c>
    </row>
    <row r="3310" ht="15.75" customHeight="1">
      <c r="A3310" s="1">
        <v>3524.0</v>
      </c>
      <c r="B3310" s="3" t="s">
        <v>3223</v>
      </c>
      <c r="C3310" s="3" t="str">
        <f>IFERROR(__xludf.DUMMYFUNCTION("GOOGLETRANSLATE(B3310,""id"",""en"")"),"['Suerrrr', 'application', 'sangaaaaaaaaattttttttttttttttttttttttttttttttttttttttttttttttttttttttttttttt', 'bikesssss', '']")</f>
        <v>['Suerrrr', 'application', 'sangaaaaaaaaattttttttttttttttttttttttttttttttttttttttttttttttttttttttttttttt', 'bikesssss', '']</v>
      </c>
      <c r="D3310" s="3">
        <v>5.0</v>
      </c>
    </row>
    <row r="3311" ht="15.75" customHeight="1">
      <c r="A3311" s="1">
        <v>3525.0</v>
      </c>
      <c r="B3311" s="3" t="s">
        <v>3224</v>
      </c>
      <c r="C3311" s="3" t="str">
        <f>IFERROR(__xludf.DUMMYFUNCTION("GOOGLETRANSLATE(B3311,""id"",""en"")"),"['Leet', 'Bner', 'signal', 'Nyo', 'already', 'package', 'expensive', 'better', 'buy', 'Indosat', 'lgi', ""]")</f>
        <v>['Leet', 'Bner', 'signal', 'Nyo', 'already', 'package', 'expensive', 'better', 'buy', 'Indosat', 'lgi', "]</v>
      </c>
      <c r="D3311" s="3">
        <v>1.0</v>
      </c>
    </row>
    <row r="3312" ht="15.75" customHeight="1">
      <c r="A3312" s="1">
        <v>3527.0</v>
      </c>
      <c r="B3312" s="3" t="s">
        <v>3225</v>
      </c>
      <c r="C3312" s="3" t="str">
        <f>IFERROR(__xludf.DUMMYFUNCTION("GOOGLETRANSLATE(B3312,""id"",""en"")"),"['Alhamdulillah', 'function', 'difficulty', 'APK', 'appears', 'picture', 'white', 'used to', 'use', 'apk', 'hope', 'front' Repeated ',' ']")</f>
        <v>['Alhamdulillah', 'function', 'difficulty', 'APK', 'appears', 'picture', 'white', 'used to', 'use', 'apk', 'hope', 'front' Repeated ',' ']</v>
      </c>
      <c r="D3312" s="3">
        <v>4.0</v>
      </c>
    </row>
    <row r="3313" ht="15.75" customHeight="1">
      <c r="A3313" s="1">
        <v>3528.0</v>
      </c>
      <c r="B3313" s="3" t="s">
        <v>3226</v>
      </c>
      <c r="C3313" s="3" t="str">
        <f>IFERROR(__xludf.DUMMYFUNCTION("GOOGLETRANSLATE(B3313,""id"",""en"")"),"['sympathy', 'Telkomsel', 'collaborates', 'makes it easy', 'transaction', 'consumer', 'thumbs', 'Dechhhhh', '']")</f>
        <v>['sympathy', 'Telkomsel', 'collaborates', 'makes it easy', 'transaction', 'consumer', 'thumbs', 'Dechhhhh', '']</v>
      </c>
      <c r="D3313" s="3">
        <v>5.0</v>
      </c>
    </row>
    <row r="3314" ht="15.75" customHeight="1">
      <c r="A3314" s="1">
        <v>3529.0</v>
      </c>
      <c r="B3314" s="3" t="s">
        <v>3227</v>
      </c>
      <c r="C3314" s="3" t="str">
        <f>IFERROR(__xludf.DUMMYFUNCTION("GOOGLETRANSLATE(B3314,""id"",""en"")"),"['friendly', 'smartphone', 'entry', 'level', 'beg', 'light', 'thank you']")</f>
        <v>['friendly', 'smartphone', 'entry', 'level', 'beg', 'light', 'thank you']</v>
      </c>
      <c r="D3314" s="3">
        <v>2.0</v>
      </c>
    </row>
    <row r="3315" ht="15.75" customHeight="1">
      <c r="A3315" s="1">
        <v>3530.0</v>
      </c>
      <c r="B3315" s="3" t="s">
        <v>3228</v>
      </c>
      <c r="C3315" s="3" t="str">
        <f>IFERROR(__xludf.DUMMYFUNCTION("GOOGLETRANSLATE(B3315,""id"",""en"")"),"['promo', 'card', 'cave', 'expensive', 'telkomsel']")</f>
        <v>['promo', 'card', 'cave', 'expensive', 'telkomsel']</v>
      </c>
      <c r="D3315" s="3">
        <v>1.0</v>
      </c>
    </row>
    <row r="3316" ht="15.75" customHeight="1">
      <c r="A3316" s="1">
        <v>3531.0</v>
      </c>
      <c r="B3316" s="3" t="s">
        <v>3229</v>
      </c>
      <c r="C3316" s="3" t="str">
        <f>IFERROR(__xludf.DUMMYFUNCTION("GOOGLETRANSLATE(B3316,""id"",""en"")"),"['Please', 'Lined', 'Semanjak', 'Last', 'Update', 'Ngestuck', 'White', 'Screen', 'Already', 'Reinstall', 'Ngestuck', 'White', ' Screen ',' Thank you ']")</f>
        <v>['Please', 'Lined', 'Semanjak', 'Last', 'Update', 'Ngestuck', 'White', 'Screen', 'Already', 'Reinstall', 'Ngestuck', 'White', ' Screen ',' Thank you ']</v>
      </c>
      <c r="D3316" s="3">
        <v>1.0</v>
      </c>
    </row>
    <row r="3317" ht="15.75" customHeight="1">
      <c r="A3317" s="1">
        <v>3532.0</v>
      </c>
      <c r="B3317" s="3" t="s">
        <v>3230</v>
      </c>
      <c r="C3317" s="3" t="str">
        <f>IFERROR(__xludf.DUMMYFUNCTION("GOOGLETRANSLATE(B3317,""id"",""en"")"),"['ugly', 'signal', 'Telkomsel', 'try', 'fix', 'customer', 'comfortable']")</f>
        <v>['ugly', 'signal', 'Telkomsel', 'try', 'fix', 'customer', 'comfortable']</v>
      </c>
      <c r="D3317" s="3">
        <v>1.0</v>
      </c>
    </row>
    <row r="3318" ht="15.75" customHeight="1">
      <c r="A3318" s="1">
        <v>3533.0</v>
      </c>
      <c r="B3318" s="3" t="s">
        <v>3231</v>
      </c>
      <c r="C3318" s="3" t="str">
        <f>IFERROR(__xludf.DUMMYFUNCTION("GOOGLETRANSLATE(B3318,""id"",""en"")"),"['APK', 'Open']")</f>
        <v>['APK', 'Open']</v>
      </c>
      <c r="D3318" s="3">
        <v>1.0</v>
      </c>
    </row>
    <row r="3319" ht="15.75" customHeight="1">
      <c r="A3319" s="1">
        <v>3534.0</v>
      </c>
      <c r="B3319" s="3" t="s">
        <v>1367</v>
      </c>
      <c r="C3319" s="3" t="str">
        <f>IFERROR(__xludf.DUMMYFUNCTION("GOOGLETRANSLATE(B3319,""id"",""en"")"),"['good']")</f>
        <v>['good']</v>
      </c>
      <c r="D3319" s="3">
        <v>5.0</v>
      </c>
    </row>
    <row r="3320" ht="15.75" customHeight="1">
      <c r="A3320" s="1">
        <v>3535.0</v>
      </c>
      <c r="B3320" s="3" t="s">
        <v>3232</v>
      </c>
      <c r="C3320" s="3" t="str">
        <f>IFERROR(__xludf.DUMMYFUNCTION("GOOGLETRANSLATE(B3320,""id"",""en"")"),"['Prlu', 'repairs', 'Karna', 'application', 'Open', 'Saampai']")</f>
        <v>['Prlu', 'repairs', 'Karna', 'application', 'Open', 'Saampai']</v>
      </c>
      <c r="D3320" s="3">
        <v>3.0</v>
      </c>
    </row>
    <row r="3321" ht="15.75" customHeight="1">
      <c r="A3321" s="1">
        <v>3536.0</v>
      </c>
      <c r="B3321" s="3" t="s">
        <v>3233</v>
      </c>
      <c r="C3321" s="3" t="str">
        <f>IFERROR(__xludf.DUMMYFUNCTION("GOOGLETRANSLATE(B3321,""id"",""en"")"),"['Watch', 'video', 'ok', 'TPI', 'play', 'really', 'please', 'buy', 'package', 'expensive', 'play', 'lag', ' Really ',' cook ',' lose ',' card ',' cheap ']")</f>
        <v>['Watch', 'video', 'ok', 'TPI', 'play', 'really', 'please', 'buy', 'package', 'expensive', 'play', 'lag', ' Really ',' cook ',' lose ',' card ',' cheap ']</v>
      </c>
      <c r="D3321" s="3">
        <v>3.0</v>
      </c>
    </row>
    <row r="3322" ht="15.75" customHeight="1">
      <c r="A3322" s="1">
        <v>3537.0</v>
      </c>
      <c r="B3322" s="3" t="s">
        <v>3234</v>
      </c>
      <c r="C3322" s="3" t="str">
        <f>IFERROR(__xludf.DUMMYFUNCTION("GOOGLETRANSLATE(B3322,""id"",""en"")"),"['please', 'Telkomsel', 'sympathy', 'quota', 'abis',' mending ',' kga ',' online ',' sucked ',' pulse ',' main ',' pulses', ' run out ',' open ',' video ',' youtube ',' notif ',' sms', 'slow', 'enter']")</f>
        <v>['please', 'Telkomsel', 'sympathy', 'quota', 'abis',' mending ',' kga ',' online ',' sucked ',' pulse ',' main ',' pulses', ' run out ',' open ',' video ',' youtube ',' notif ',' sms', 'slow', 'enter']</v>
      </c>
      <c r="D3322" s="3">
        <v>2.0</v>
      </c>
    </row>
    <row r="3323" ht="15.75" customHeight="1">
      <c r="A3323" s="1">
        <v>3538.0</v>
      </c>
      <c r="B3323" s="3" t="s">
        <v>3235</v>
      </c>
      <c r="C3323" s="3" t="str">
        <f>IFERROR(__xludf.DUMMYFUNCTION("GOOGLETRANSLATE(B3323,""id"",""en"")"),"['Kenapaya', 'Since', 'Update', 'APK', 'Open', 'Min', '']")</f>
        <v>['Kenapaya', 'Since', 'Update', 'APK', 'Open', 'Min', '']</v>
      </c>
      <c r="D3323" s="3">
        <v>1.0</v>
      </c>
    </row>
    <row r="3324" ht="15.75" customHeight="1">
      <c r="A3324" s="1">
        <v>3539.0</v>
      </c>
      <c r="B3324" s="3" t="s">
        <v>3236</v>
      </c>
      <c r="C3324" s="3" t="str">
        <f>IFERROR(__xludf.DUMMYFUNCTION("GOOGLETRANSLATE(B3324,""id"",""en"")"),"['Telkomsel', 'company', 'cellular', 'biggest', 'darling', 'service', 'price', 'pulses',' price ',' package ',' internet ',' expensive ',' Sometimes', 'entry', 'sense', 'basic', 'pig', 'Telkomsel']")</f>
        <v>['Telkomsel', 'company', 'cellular', 'biggest', 'darling', 'service', 'price', 'pulses',' price ',' package ',' internet ',' expensive ',' Sometimes', 'entry', 'sense', 'basic', 'pig', 'Telkomsel']</v>
      </c>
      <c r="D3324" s="3">
        <v>1.0</v>
      </c>
    </row>
    <row r="3325" ht="15.75" customHeight="1">
      <c r="A3325" s="1">
        <v>3540.0</v>
      </c>
      <c r="B3325" s="3" t="s">
        <v>1530</v>
      </c>
      <c r="C3325" s="3" t="str">
        <f>IFERROR(__xludf.DUMMYFUNCTION("GOOGLETRANSLATE(B3325,""id"",""en"")"),"['try']")</f>
        <v>['try']</v>
      </c>
      <c r="D3325" s="3">
        <v>1.0</v>
      </c>
    </row>
    <row r="3326" ht="15.75" customHeight="1">
      <c r="A3326" s="1">
        <v>3541.0</v>
      </c>
      <c r="B3326" s="3" t="s">
        <v>3237</v>
      </c>
      <c r="C3326" s="3" t="str">
        <f>IFERROR(__xludf.DUMMYFUNCTION("GOOGLETRANSLATE(B3326,""id"",""en"")"),"['network', 'Telkomsel', 'skrg', 'disappointing', 'data', 'fast', 'run out', 'access',' internet ',' response ',' please ',' fix ',' Min ',' network ',' increase ',' loyal ',' Telkomsel ',' Trima ',' love ', ""]")</f>
        <v>['network', 'Telkomsel', 'skrg', 'disappointing', 'data', 'fast', 'run out', 'access',' internet ',' response ',' please ',' fix ',' Min ',' network ',' increase ',' loyal ',' Telkomsel ',' Trima ',' love ', "]</v>
      </c>
      <c r="D3326" s="3">
        <v>3.0</v>
      </c>
    </row>
    <row r="3327" ht="15.75" customHeight="1">
      <c r="A3327" s="1">
        <v>3542.0</v>
      </c>
      <c r="B3327" s="3" t="s">
        <v>3238</v>
      </c>
      <c r="C3327" s="3" t="str">
        <f>IFERROR(__xludf.DUMMYFUNCTION("GOOGLETRANSLATE(B3327,""id"",""en"")"),"['Maap', 'donng', 'signal', 'area', 'jdi', 'difficult', 'really', 'please', 'check', 'good', 'area', 'here', ' JDI ',' ugly ', ""]")</f>
        <v>['Maap', 'donng', 'signal', 'area', 'jdi', 'difficult', 'really', 'please', 'check', 'good', 'area', 'here', ' JDI ',' ugly ', "]</v>
      </c>
      <c r="D3327" s="3">
        <v>2.0</v>
      </c>
    </row>
    <row r="3328" ht="15.75" customHeight="1">
      <c r="A3328" s="1">
        <v>3543.0</v>
      </c>
      <c r="B3328" s="3" t="s">
        <v>3239</v>
      </c>
      <c r="C3328" s="3" t="str">
        <f>IFERROR(__xludf.DUMMYFUNCTION("GOOGLETRANSLATE(B3328,""id"",""en"")"),"['promo', 'quotatidak']")</f>
        <v>['promo', 'quotatidak']</v>
      </c>
      <c r="D3328" s="3">
        <v>1.0</v>
      </c>
    </row>
    <row r="3329" ht="15.75" customHeight="1">
      <c r="A3329" s="1">
        <v>3544.0</v>
      </c>
      <c r="B3329" s="3" t="s">
        <v>3240</v>
      </c>
      <c r="C3329" s="3" t="str">
        <f>IFERROR(__xludf.DUMMYFUNCTION("GOOGLETRANSLATE(B3329,""id"",""en"")"),"['Nahh', 'That's', 'error']")</f>
        <v>['Nahh', 'That's', 'error']</v>
      </c>
      <c r="D3329" s="3">
        <v>1.0</v>
      </c>
    </row>
    <row r="3330" ht="15.75" customHeight="1">
      <c r="A3330" s="1">
        <v>3545.0</v>
      </c>
      <c r="B3330" s="3" t="s">
        <v>3241</v>
      </c>
      <c r="C3330" s="3" t="str">
        <f>IFERROR(__xludf.DUMMYFUNCTION("GOOGLETRANSLATE(B3330,""id"",""en"")"),"['like', 'disorder']")</f>
        <v>['like', 'disorder']</v>
      </c>
      <c r="D3330" s="3">
        <v>1.0</v>
      </c>
    </row>
    <row r="3331" ht="15.75" customHeight="1">
      <c r="A3331" s="1">
        <v>3546.0</v>
      </c>
      <c r="B3331" s="3" t="s">
        <v>3242</v>
      </c>
      <c r="C3331" s="3" t="str">
        <f>IFERROR(__xludf.DUMMYFUNCTION("GOOGLETRANSLATE(B3331,""id"",""en"")"),"['no', 'special', 'special', 'package', 'expensive', 'network', 'slow']")</f>
        <v>['no', 'special', 'special', 'package', 'expensive', 'network', 'slow']</v>
      </c>
      <c r="D3331" s="3">
        <v>1.0</v>
      </c>
    </row>
    <row r="3332" ht="15.75" customHeight="1">
      <c r="A3332" s="1">
        <v>3547.0</v>
      </c>
      <c r="B3332" s="3" t="s">
        <v>3243</v>
      </c>
      <c r="C3332" s="3" t="str">
        <f>IFERROR(__xludf.DUMMYFUNCTION("GOOGLETRANSLATE(B3332,""id"",""en"")"),"['customer', 'ugly', 'connection']")</f>
        <v>['customer', 'ugly', 'connection']</v>
      </c>
      <c r="D3332" s="3">
        <v>1.0</v>
      </c>
    </row>
    <row r="3333" ht="15.75" customHeight="1">
      <c r="A3333" s="1">
        <v>3548.0</v>
      </c>
      <c r="B3333" s="3" t="s">
        <v>3244</v>
      </c>
      <c r="C3333" s="3" t="str">
        <f>IFERROR(__xludf.DUMMYFUNCTION("GOOGLETRANSLATE(B3333,""id"",""en"")"),"['no', 'promo', 'interesting', 'in', 'Artian', 'sometimes',' cheap ',' Telkomsel ',' promo ',' cheap ',' customer ',' loyal ',' Telkomsel ',' ']")</f>
        <v>['no', 'promo', 'interesting', 'in', 'Artian', 'sometimes',' cheap ',' Telkomsel ',' promo ',' cheap ',' customer ',' loyal ',' Telkomsel ',' ']</v>
      </c>
      <c r="D3333" s="3">
        <v>4.0</v>
      </c>
    </row>
    <row r="3334" ht="15.75" customHeight="1">
      <c r="A3334" s="1">
        <v>3549.0</v>
      </c>
      <c r="B3334" s="3" t="s">
        <v>3245</v>
      </c>
      <c r="C3334" s="3" t="str">
        <f>IFERROR(__xludf.DUMMYFUNCTION("GOOGLETRANSLATE(B3334,""id"",""en"")"),"['hope', 'signal', 'good', 'slow', '']")</f>
        <v>['hope', 'signal', 'good', 'slow', '']</v>
      </c>
      <c r="D3334" s="3">
        <v>4.0</v>
      </c>
    </row>
    <row r="3335" ht="15.75" customHeight="1">
      <c r="A3335" s="1">
        <v>3550.0</v>
      </c>
      <c r="B3335" s="3" t="s">
        <v>3246</v>
      </c>
      <c r="C3335" s="3" t="str">
        <f>IFERROR(__xludf.DUMMYFUNCTION("GOOGLETRANSLATE(B3335,""id"",""en"")"),"['UDH', 'Severe', 'really', 'already', 'already', 'disappointed', 'application', 'already', 'I'll uninstall', 'star', 'dlu', ' UDH ',' Operator ']")</f>
        <v>['UDH', 'Severe', 'really', 'already', 'already', 'disappointed', 'application', 'already', 'I'll uninstall', 'star', 'dlu', ' UDH ',' Operator ']</v>
      </c>
      <c r="D3335" s="3">
        <v>1.0</v>
      </c>
    </row>
    <row r="3336" ht="15.75" customHeight="1">
      <c r="A3336" s="1">
        <v>3551.0</v>
      </c>
      <c r="B3336" s="3" t="s">
        <v>3247</v>
      </c>
      <c r="C3336" s="3" t="str">
        <f>IFERROR(__xludf.DUMMYFUNCTION("GOOGLETRANSLATE(B3336,""id"",""en"")"),"['No', 'opened', 'Woyyy', 'Ntar', 'Love', ""]")</f>
        <v>['No', 'opened', 'Woyyy', 'Ntar', 'Love', "]</v>
      </c>
      <c r="D3336" s="3">
        <v>1.0</v>
      </c>
    </row>
    <row r="3337" ht="15.75" customHeight="1">
      <c r="A3337" s="1">
        <v>3552.0</v>
      </c>
      <c r="B3337" s="3" t="s">
        <v>3248</v>
      </c>
      <c r="C3337" s="3" t="str">
        <f>IFERROR(__xludf.DUMMYFUNCTION("GOOGLETRANSLATE(B3337,""id"",""en"")"),"['Good', 'steady', 'doubt', 'Telkomsel', 'Telkomsel', 'heart']")</f>
        <v>['Good', 'steady', 'doubt', 'Telkomsel', 'Telkomsel', 'heart']</v>
      </c>
      <c r="D3337" s="3">
        <v>5.0</v>
      </c>
    </row>
    <row r="3338" ht="15.75" customHeight="1">
      <c r="A3338" s="1">
        <v>3553.0</v>
      </c>
      <c r="B3338" s="3" t="s">
        <v>3249</v>
      </c>
      <c r="C3338" s="3" t="str">
        <f>IFERROR(__xludf.DUMMYFUNCTION("GOOGLETRANSLATE(B3338,""id"",""en"")"),"['Burik', 'Seburik', 'Application', 'Provider', 'Skrg', 'Try', 'Tlong', 'Repaired', 'Sousal', 'Application', 'Opened', 'Blank', ' White ',' Original ',' BURIK ',' ']")</f>
        <v>['Burik', 'Seburik', 'Application', 'Provider', 'Skrg', 'Try', 'Tlong', 'Repaired', 'Sousal', 'Application', 'Opened', 'Blank', ' White ',' Original ',' BURIK ',' ']</v>
      </c>
      <c r="D3338" s="3">
        <v>1.0</v>
      </c>
    </row>
    <row r="3339" ht="15.75" customHeight="1">
      <c r="A3339" s="1">
        <v>3554.0</v>
      </c>
      <c r="B3339" s="3" t="s">
        <v>3250</v>
      </c>
      <c r="C3339" s="3" t="str">
        <f>IFERROR(__xludf.DUMMYFUNCTION("GOOGLETRANSLATE(B3339,""id"",""en"")"),"['Tlkom', 'ugly', 'Bngt', 'Aceh', 'Uda', 'Ngda', 'Notice', 'What's',' Package ',' Expensive ',' Hadehh ',' Nyet ',' Nyet ']")</f>
        <v>['Tlkom', 'ugly', 'Bngt', 'Aceh', 'Uda', 'Ngda', 'Notice', 'What's',' Package ',' Expensive ',' Hadehh ',' Nyet ',' Nyet ']</v>
      </c>
      <c r="D3339" s="3">
        <v>1.0</v>
      </c>
    </row>
    <row r="3340" ht="15.75" customHeight="1">
      <c r="A3340" s="1">
        <v>3555.0</v>
      </c>
      <c r="B3340" s="3" t="s">
        <v>3251</v>
      </c>
      <c r="C3340" s="3" t="str">
        <f>IFERROR(__xludf.DUMMYFUNCTION("GOOGLETRANSLATE(B3340,""id"",""en"")"),"['App', 'Telkomsel', 'Yesterday', 'opened', 'network', 'okay', 'updet', ""]")</f>
        <v>['App', 'Telkomsel', 'Yesterday', 'opened', 'network', 'okay', 'updet', "]</v>
      </c>
      <c r="D3340" s="3">
        <v>2.0</v>
      </c>
    </row>
    <row r="3341" ht="15.75" customHeight="1">
      <c r="A3341" s="1">
        <v>3556.0</v>
      </c>
      <c r="B3341" s="3" t="s">
        <v>3252</v>
      </c>
      <c r="C3341" s="3" t="str">
        <f>IFERROR(__xludf.DUMMYFUNCTION("GOOGLETRANSLATE(B3341,""id"",""en"")"),"['fit', 'opened', 'update', 'newest', 'how', 'good', 'page', 'blank', 'white', 'clean', 'how', 'Telkom', ' Good ',' ngaaco ',' already ',' believe ',' provider ',' ']")</f>
        <v>['fit', 'opened', 'update', 'newest', 'how', 'good', 'page', 'blank', 'white', 'clean', 'how', 'Telkom', ' Good ',' ngaaco ',' already ',' believe ',' provider ',' ']</v>
      </c>
      <c r="D3341" s="3">
        <v>1.0</v>
      </c>
    </row>
    <row r="3342" ht="15.75" customHeight="1">
      <c r="A3342" s="1">
        <v>3557.0</v>
      </c>
      <c r="B3342" s="3" t="s">
        <v>3253</v>
      </c>
      <c r="C3342" s="3" t="str">
        <f>IFERROR(__xludf.DUMMYFUNCTION("GOOGLETRANSLATE(B3342,""id"",""en"")"),"['', 'DLU', 'Please', 'The network', 'Fix', 'Kabandungan', 'Sukabumi']")</f>
        <v>['', 'DLU', 'Please', 'The network', 'Fix', 'Kabandungan', 'Sukabumi']</v>
      </c>
      <c r="D3342" s="3">
        <v>3.0</v>
      </c>
    </row>
    <row r="3343" ht="15.75" customHeight="1">
      <c r="A3343" s="1">
        <v>3558.0</v>
      </c>
      <c r="B3343" s="3" t="s">
        <v>3254</v>
      </c>
      <c r="C3343" s="3" t="str">
        <f>IFERROR(__xludf.DUMMYFUNCTION("GOOGLETRANSLATE(B3343,""id"",""en"")"),"['love', 'price', 'package', 'quota', 'odd', 'price', 'package', 'quota', 'Hadehhh', 'price', 'package', 'expensive', ' network ',' cheap ']")</f>
        <v>['love', 'price', 'package', 'quota', 'odd', 'price', 'package', 'quota', 'Hadehhh', 'price', 'package', 'expensive', ' network ',' cheap ']</v>
      </c>
      <c r="D3343" s="3">
        <v>1.0</v>
      </c>
    </row>
    <row r="3344" ht="15.75" customHeight="1">
      <c r="A3344" s="1">
        <v>3559.0</v>
      </c>
      <c r="B3344" s="3" t="s">
        <v>1096</v>
      </c>
      <c r="C3344" s="3" t="str">
        <f>IFERROR(__xludf.DUMMYFUNCTION("GOOGLETRANSLATE(B3344,""id"",""en"")"),"['Application', 'good', 'help']")</f>
        <v>['Application', 'good', 'help']</v>
      </c>
      <c r="D3344" s="3">
        <v>5.0</v>
      </c>
    </row>
    <row r="3345" ht="15.75" customHeight="1">
      <c r="A3345" s="1">
        <v>3560.0</v>
      </c>
      <c r="B3345" s="3" t="s">
        <v>3255</v>
      </c>
      <c r="C3345" s="3" t="str">
        <f>IFERROR(__xludf.DUMMYFUNCTION("GOOGLETRANSLATE(B3345,""id"",""en"")"),"['', 'network', 'stable', 'please', 'fix', 'comparable', 'price']")</f>
        <v>['', 'network', 'stable', 'please', 'fix', 'comparable', 'price']</v>
      </c>
      <c r="D3345" s="3">
        <v>4.0</v>
      </c>
    </row>
    <row r="3346" ht="15.75" customHeight="1">
      <c r="A3346" s="1">
        <v>3561.0</v>
      </c>
      <c r="B3346" s="3" t="s">
        <v>3256</v>
      </c>
      <c r="C3346" s="3" t="str">
        <f>IFERROR(__xludf.DUMMYFUNCTION("GOOGLETRANSLATE(B3346,""id"",""en"")"),"['Out', 'update', 'no', 'open', 'strange', 'really', 'application']")</f>
        <v>['Out', 'update', 'no', 'open', 'strange', 'really', 'application']</v>
      </c>
      <c r="D3346" s="3">
        <v>1.0</v>
      </c>
    </row>
    <row r="3347" ht="15.75" customHeight="1">
      <c r="A3347" s="1">
        <v>3562.0</v>
      </c>
      <c r="B3347" s="3" t="s">
        <v>3257</v>
      </c>
      <c r="C3347" s="3" t="str">
        <f>IFERROR(__xludf.DUMMYFUNCTION("GOOGLETRANSLATE(B3347,""id"",""en"")"),"['Application', 'NDA', 'Function', '']")</f>
        <v>['Application', 'NDA', 'Function', '']</v>
      </c>
      <c r="D3347" s="3">
        <v>4.0</v>
      </c>
    </row>
    <row r="3348" ht="15.75" customHeight="1">
      <c r="A3348" s="1">
        <v>3563.0</v>
      </c>
      <c r="B3348" s="3" t="s">
        <v>3258</v>
      </c>
      <c r="C3348" s="3" t="str">
        <f>IFERROR(__xludf.DUMMYFUNCTION("GOOGLETRANSLATE(B3348,""id"",""en"")"),"['Buy', 'Package', 'Dri', 'APK']")</f>
        <v>['Buy', 'Package', 'Dri', 'APK']</v>
      </c>
      <c r="D3348" s="3">
        <v>1.0</v>
      </c>
    </row>
    <row r="3349" ht="15.75" customHeight="1">
      <c r="A3349" s="1">
        <v>3564.0</v>
      </c>
      <c r="B3349" s="3" t="s">
        <v>3259</v>
      </c>
      <c r="C3349" s="3" t="str">
        <f>IFERROR(__xludf.DUMMYFUNCTION("GOOGLETRANSLATE(B3349,""id"",""en"")"),"['Bnykk', 'Murh']")</f>
        <v>['Bnykk', 'Murh']</v>
      </c>
      <c r="D3349" s="3">
        <v>5.0</v>
      </c>
    </row>
    <row r="3350" ht="15.75" customHeight="1">
      <c r="A3350" s="1">
        <v>3565.0</v>
      </c>
      <c r="B3350" s="3" t="s">
        <v>3260</v>
      </c>
      <c r="C3350" s="3" t="str">
        <f>IFERROR(__xludf.DUMMYFUNCTION("GOOGLETRANSLATE(B3350,""id"",""en"")"),"['nettingam', 'Ter', 'extensive', 'yes',' slow ',' really ',' price ',' exorbitant ',' quality ',' zero ',' comparable ',' price ',' Package ',' Data ',' Customer ',' Disappointed ',' Service ',' Telkomsel ',' Network ',' Widest ', ""]")</f>
        <v>['nettingam', 'Ter', 'extensive', 'yes',' slow ',' really ',' price ',' exorbitant ',' quality ',' zero ',' comparable ',' price ',' Package ',' Data ',' Customer ',' Disappointed ',' Service ',' Telkomsel ',' Network ',' Widest ', "]</v>
      </c>
      <c r="D3350" s="3">
        <v>1.0</v>
      </c>
    </row>
    <row r="3351" ht="15.75" customHeight="1">
      <c r="A3351" s="1">
        <v>3566.0</v>
      </c>
      <c r="B3351" s="3" t="s">
        <v>3261</v>
      </c>
      <c r="C3351" s="3" t="str">
        <f>IFERROR(__xludf.DUMMYFUNCTION("GOOGLETRANSLATE(B3351,""id"",""en"")"),"['quota', 'free', '']")</f>
        <v>['quota', 'free', '']</v>
      </c>
      <c r="D3351" s="3">
        <v>5.0</v>
      </c>
    </row>
    <row r="3352" ht="15.75" customHeight="1">
      <c r="A3352" s="1">
        <v>3567.0</v>
      </c>
      <c r="B3352" s="3" t="s">
        <v>3262</v>
      </c>
      <c r="C3352" s="3" t="str">
        <f>IFERROR(__xludf.DUMMYFUNCTION("GOOGLETRANSLATE(B3352,""id"",""en"")"),"['Since', 'Update', 'Open', 'Please', 'Repaired', 'Tired', 'Waiting']")</f>
        <v>['Since', 'Update', 'Open', 'Please', 'Repaired', 'Tired', 'Waiting']</v>
      </c>
      <c r="D3352" s="3">
        <v>2.0</v>
      </c>
    </row>
    <row r="3353" ht="15.75" customHeight="1">
      <c r="A3353" s="1">
        <v>3568.0</v>
      </c>
      <c r="B3353" s="3" t="s">
        <v>3263</v>
      </c>
      <c r="C3353" s="3" t="str">
        <f>IFERROR(__xludf.DUMMYFUNCTION("GOOGLETRANSLATE(B3353,""id"",""en"")"),"['Amid the middle', 'Pandemic', 'complicated', 'user', 'card', 'Hallo', 'postpaid', 'required', 'package', 'internet', 'comedy', 'packetan', ' Expensive ',' bet ',' Mending ',' IM ',' ']")</f>
        <v>['Amid the middle', 'Pandemic', 'complicated', 'user', 'card', 'Hallo', 'postpaid', 'required', 'package', 'internet', 'comedy', 'packetan', ' Expensive ',' bet ',' Mending ',' IM ',' ']</v>
      </c>
      <c r="D3353" s="3">
        <v>1.0</v>
      </c>
    </row>
    <row r="3354" ht="15.75" customHeight="1">
      <c r="A3354" s="1">
        <v>3569.0</v>
      </c>
      <c r="B3354" s="3" t="s">
        <v>3264</v>
      </c>
      <c r="C3354" s="3" t="str">
        <f>IFERROR(__xludf.DUMMYFUNCTION("GOOGLETRANSLATE(B3354,""id"",""en"")"),"['Bukak']")</f>
        <v>['Bukak']</v>
      </c>
      <c r="D3354" s="3">
        <v>1.0</v>
      </c>
    </row>
    <row r="3355" ht="15.75" customHeight="1">
      <c r="A3355" s="1">
        <v>3570.0</v>
      </c>
      <c r="B3355" s="3" t="s">
        <v>3265</v>
      </c>
      <c r="C3355" s="3" t="str">
        <f>IFERROR(__xludf.DUMMYFUNCTION("GOOGLETRANSLATE(B3355,""id"",""en"")"),"['No "",' Open ',' Application ',' Hey ',' ']")</f>
        <v>['No ",' Open ',' Application ',' Hey ',' ']</v>
      </c>
      <c r="D3355" s="3">
        <v>1.0</v>
      </c>
    </row>
    <row r="3356" ht="15.75" customHeight="1">
      <c r="A3356" s="1">
        <v>3571.0</v>
      </c>
      <c r="B3356" s="3" t="s">
        <v>3266</v>
      </c>
      <c r="C3356" s="3" t="str">
        <f>IFERROR(__xludf.DUMMYFUNCTION("GOOGLETRANSLATE(B3356,""id"",""en"")"),"['Network', 'Kek', 'Contest', 'Pay', 'Paketan', 'Doang', 'Expensive']")</f>
        <v>['Network', 'Kek', 'Contest', 'Pay', 'Paketan', 'Doang', 'Expensive']</v>
      </c>
      <c r="D3356" s="3">
        <v>1.0</v>
      </c>
    </row>
    <row r="3357" ht="15.75" customHeight="1">
      <c r="A3357" s="1">
        <v>3572.0</v>
      </c>
      <c r="B3357" s="3" t="s">
        <v>3267</v>
      </c>
      <c r="C3357" s="3" t="str">
        <f>IFERROR(__xludf.DUMMYFUNCTION("GOOGLETRANSLATE(B3357,""id"",""en"")"),"['expensive', 'really', 'paid', 'no', 'buy', 'credit', 'emergency', 'kog', 'sms']")</f>
        <v>['expensive', 'really', 'paid', 'no', 'buy', 'credit', 'emergency', 'kog', 'sms']</v>
      </c>
      <c r="D3357" s="3">
        <v>3.0</v>
      </c>
    </row>
    <row r="3358" ht="15.75" customHeight="1">
      <c r="A3358" s="1">
        <v>3573.0</v>
      </c>
      <c r="B3358" s="3" t="s">
        <v>3268</v>
      </c>
      <c r="C3358" s="3" t="str">
        <f>IFERROR(__xludf.DUMMYFUNCTION("GOOGLETRANSLATE(B3358,""id"",""en"")"),"['Bukak', 'The application', 'slow', 'in the area', 'home', 'signal', 'Masi', 'stable', 'Mulu', 'plungok', 'kaga', 'the area']")</f>
        <v>['Bukak', 'The application', 'slow', 'in the area', 'home', 'signal', 'Masi', 'stable', 'Mulu', 'plungok', 'kaga', 'the area']</v>
      </c>
      <c r="D3358" s="3">
        <v>1.0</v>
      </c>
    </row>
    <row r="3359" ht="15.75" customHeight="1">
      <c r="A3359" s="1">
        <v>3574.0</v>
      </c>
      <c r="B3359" s="3" t="s">
        <v>3269</v>
      </c>
      <c r="C3359" s="3" t="str">
        <f>IFERROR(__xludf.DUMMYFUNCTION("GOOGLETRANSLATE(B3359,""id"",""en"")"),"['network', 'Telkomsel', 'watch', 'bokep', 'VPN', 'beuhhh', 'smooth', 'maen', 'ampe', 'ngaceng', 'tile', 'turn', ' Ngegame ',' Ama ',' online ',' ngeleg ',' responsibility ',' oath ',' provider ',' destroyer ',' nation ',' kah ', ""]")</f>
        <v>['network', 'Telkomsel', 'watch', 'bokep', 'VPN', 'beuhhh', 'smooth', 'maen', 'ampe', 'ngaceng', 'tile', 'turn', ' Ngegame ',' Ama ',' online ',' ngeleg ',' responsibility ',' oath ',' provider ',' destroyer ',' nation ',' kah ', "]</v>
      </c>
      <c r="D3359" s="3">
        <v>5.0</v>
      </c>
    </row>
    <row r="3360" ht="15.75" customHeight="1">
      <c r="A3360" s="1">
        <v>3575.0</v>
      </c>
      <c r="B3360" s="3" t="s">
        <v>3270</v>
      </c>
      <c r="C3360" s="3" t="str">
        <f>IFERROR(__xludf.DUMMYFUNCTION("GOOGLETRANSLATE(B3360,""id"",""en"")"),"['package', 'expensive', 'signal', 'slow', 'maen', 'game', 'kagak', 'mulu', 'signal', 'disappointed', 'heavy', 'service', ' ']")</f>
        <v>['package', 'expensive', 'signal', 'slow', 'maen', 'game', 'kagak', 'mulu', 'signal', 'disappointed', 'heavy', 'service', ' ']</v>
      </c>
      <c r="D3360" s="3">
        <v>1.0</v>
      </c>
    </row>
    <row r="3361" ht="15.75" customHeight="1">
      <c r="A3361" s="1">
        <v>3576.0</v>
      </c>
      <c r="B3361" s="3" t="s">
        <v>3271</v>
      </c>
      <c r="C3361" s="3" t="str">
        <f>IFERROR(__xludf.DUMMYFUNCTION("GOOGLETRANSLATE(B3361,""id"",""en"")"),"['already', 'expensive', 'slow', 'network', 'lost', 'embossed', 'network', ""]")</f>
        <v>['already', 'expensive', 'slow', 'network', 'lost', 'embossed', 'network', "]</v>
      </c>
      <c r="D3361" s="3">
        <v>2.0</v>
      </c>
    </row>
    <row r="3362" ht="15.75" customHeight="1">
      <c r="A3362" s="1">
        <v>3577.0</v>
      </c>
      <c r="B3362" s="3" t="s">
        <v>3272</v>
      </c>
      <c r="C3362" s="3" t="str">
        <f>IFERROR(__xludf.DUMMYFUNCTION("GOOGLETRANSLATE(B3362,""id"",""en"")"),"['Hopefully', 'in the future']")</f>
        <v>['Hopefully', 'in the future']</v>
      </c>
      <c r="D3362" s="3">
        <v>4.0</v>
      </c>
    </row>
    <row r="3363" ht="15.75" customHeight="1">
      <c r="A3363" s="1">
        <v>3578.0</v>
      </c>
      <c r="B3363" s="3" t="s">
        <v>3273</v>
      </c>
      <c r="C3363" s="3" t="str">
        <f>IFERROR(__xludf.DUMMYFUNCTION("GOOGLETRANSLATE(B3363,""id"",""en"")"),"['Disappointed', 'open', 'awaited', 'oldaaa', 'screen', 'white', 'many', 'times',' install ',' uninstall ',' result ',' tetep ',' ']")</f>
        <v>['Disappointed', 'open', 'awaited', 'oldaaa', 'screen', 'white', 'many', 'times',' install ',' uninstall ',' result ',' tetep ',' ']</v>
      </c>
      <c r="D3363" s="3">
        <v>1.0</v>
      </c>
    </row>
    <row r="3364" ht="15.75" customHeight="1">
      <c r="A3364" s="1">
        <v>3579.0</v>
      </c>
      <c r="B3364" s="3" t="s">
        <v>3274</v>
      </c>
      <c r="C3364" s="3" t="str">
        <f>IFERROR(__xludf.DUMMYFUNCTION("GOOGLETRANSLATE(B3364,""id"",""en"")"),"['Try', 'Install', 'reset', 'blank', 'white', 'already', 'a week', 'application', 'opened', 'disappointed']")</f>
        <v>['Try', 'Install', 'reset', 'blank', 'white', 'already', 'a week', 'application', 'opened', 'disappointed']</v>
      </c>
      <c r="D3364" s="3">
        <v>1.0</v>
      </c>
    </row>
    <row r="3365" ht="15.75" customHeight="1">
      <c r="A3365" s="1">
        <v>3580.0</v>
      </c>
      <c r="B3365" s="3" t="s">
        <v>3275</v>
      </c>
      <c r="C3365" s="3" t="str">
        <f>IFERROR(__xludf.DUMMYFUNCTION("GOOGLETRANSLATE(B3365,""id"",""en"")"),"['Mantap', 'promo']")</f>
        <v>['Mantap', 'promo']</v>
      </c>
      <c r="D3365" s="3">
        <v>5.0</v>
      </c>
    </row>
    <row r="3366" ht="15.75" customHeight="1">
      <c r="A3366" s="1">
        <v>3582.0</v>
      </c>
      <c r="B3366" s="3" t="s">
        <v>3276</v>
      </c>
      <c r="C3366" s="3" t="str">
        <f>IFERROR(__xludf.DUMMYFUNCTION("GOOGLETRANSLATE(B3366,""id"",""en"")"),"['Success', 'Install', 'Open', 'Telkomsel', '']")</f>
        <v>['Success', 'Install', 'Open', 'Telkomsel', '']</v>
      </c>
      <c r="D3366" s="3">
        <v>1.0</v>
      </c>
    </row>
    <row r="3367" ht="15.75" customHeight="1">
      <c r="A3367" s="1">
        <v>3583.0</v>
      </c>
      <c r="B3367" s="3" t="s">
        <v>3277</v>
      </c>
      <c r="C3367" s="3" t="str">
        <f>IFERROR(__xludf.DUMMYFUNCTION("GOOGLETRANSLATE(B3367,""id"",""en"")"),"['Leet']")</f>
        <v>['Leet']</v>
      </c>
      <c r="D3367" s="3">
        <v>1.0</v>
      </c>
    </row>
    <row r="3368" ht="15.75" customHeight="1">
      <c r="A3368" s="1">
        <v>3584.0</v>
      </c>
      <c r="B3368" s="3" t="s">
        <v>3278</v>
      </c>
      <c r="C3368" s="3" t="str">
        <f>IFERROR(__xludf.DUMMYFUNCTION("GOOGLETRANSLATE(B3368,""id"",""en"")"),"['buy', 'Package', 'telephone', 'special', '']")</f>
        <v>['buy', 'Package', 'telephone', 'special', '']</v>
      </c>
      <c r="D3368" s="3">
        <v>3.0</v>
      </c>
    </row>
    <row r="3369" ht="15.75" customHeight="1">
      <c r="A3369" s="1">
        <v>3585.0</v>
      </c>
      <c r="B3369" s="3" t="s">
        <v>3279</v>
      </c>
      <c r="C3369" s="3" t="str">
        <f>IFERROR(__xludf.DUMMYFUNCTION("GOOGLETRANSLATE(B3369,""id"",""en"")"),"['Trimakasih', 'apk', 'Telkomsel', 'login', 'get', 'MB', 'fast', 'donlod']")</f>
        <v>['Trimakasih', 'apk', 'Telkomsel', 'login', 'get', 'MB', 'fast', 'donlod']</v>
      </c>
      <c r="D3369" s="3">
        <v>5.0</v>
      </c>
    </row>
    <row r="3370" ht="15.75" customHeight="1">
      <c r="A3370" s="1">
        <v>3586.0</v>
      </c>
      <c r="B3370" s="3" t="s">
        <v>3280</v>
      </c>
      <c r="C3370" s="3" t="str">
        <f>IFERROR(__xludf.DUMMYFUNCTION("GOOGLETRANSLATE(B3370,""id"",""en"")"),"['Good', 'really', 'my APK', '']")</f>
        <v>['Good', 'really', 'my APK', '']</v>
      </c>
      <c r="D3370" s="3">
        <v>5.0</v>
      </c>
    </row>
    <row r="3371" ht="15.75" customHeight="1">
      <c r="A3371" s="1">
        <v>3587.0</v>
      </c>
      <c r="B3371" s="3" t="s">
        <v>3281</v>
      </c>
      <c r="C3371" s="3" t="str">
        <f>IFERROR(__xludf.DUMMYFUNCTION("GOOGLETRANSLATE(B3371,""id"",""en"")"),"['strange', 'gabisa', 'entered', 'Telkomsel', 'UDH', 'removed', 'Haduk', 'Tetep', 'gabisa', 'stresss']")</f>
        <v>['strange', 'gabisa', 'entered', 'Telkomsel', 'UDH', 'removed', 'Haduk', 'Tetep', 'gabisa', 'stresss']</v>
      </c>
      <c r="D3371" s="3">
        <v>1.0</v>
      </c>
    </row>
    <row r="3372" ht="15.75" customHeight="1">
      <c r="A3372" s="1">
        <v>3588.0</v>
      </c>
      <c r="B3372" s="3" t="s">
        <v>3282</v>
      </c>
      <c r="C3372" s="3" t="str">
        <f>IFERROR(__xludf.DUMMYFUNCTION("GOOGLETRANSLATE(B3372,""id"",""en"")"),"['Points', 'exchanged', 'item', 'game']")</f>
        <v>['Points', 'exchanged', 'item', 'game']</v>
      </c>
      <c r="D3372" s="3">
        <v>1.0</v>
      </c>
    </row>
    <row r="3373" ht="15.75" customHeight="1">
      <c r="A3373" s="1">
        <v>3589.0</v>
      </c>
      <c r="B3373" s="3" t="s">
        <v>3283</v>
      </c>
      <c r="C3373" s="3" t="str">
        <f>IFERROR(__xludf.DUMMYFUNCTION("GOOGLETRANSLATE(B3373,""id"",""en"")"),"['Service', 'satisfying', 'Network', 'Strikes', 'Telkomsel', 'Speed', 'Network', 'Good', ""]")</f>
        <v>['Service', 'satisfying', 'Network', 'Strikes', 'Telkomsel', 'Speed', 'Network', 'Good', "]</v>
      </c>
      <c r="D3373" s="3">
        <v>5.0</v>
      </c>
    </row>
    <row r="3374" ht="15.75" customHeight="1">
      <c r="A3374" s="1">
        <v>3590.0</v>
      </c>
      <c r="B3374" s="3" t="s">
        <v>3284</v>
      </c>
      <c r="C3374" s="3" t="str">
        <f>IFERROR(__xludf.DUMMYFUNCTION("GOOGLETRANSLATE(B3374,""id"",""en"")"),"['Help', 'buy', 'package', 'internet']")</f>
        <v>['Help', 'buy', 'package', 'internet']</v>
      </c>
      <c r="D3374" s="3">
        <v>5.0</v>
      </c>
    </row>
    <row r="3375" ht="15.75" customHeight="1">
      <c r="A3375" s="1">
        <v>3591.0</v>
      </c>
      <c r="B3375" s="3" t="s">
        <v>3285</v>
      </c>
      <c r="C3375" s="3" t="str">
        <f>IFERROR(__xludf.DUMMYFUNCTION("GOOGLETRANSLATE(B3375,""id"",""en"")"),"['package', 'expensive', 'network', 'rich', 'ms', 'mulu', 'jing']")</f>
        <v>['package', 'expensive', 'network', 'rich', 'ms', 'mulu', 'jing']</v>
      </c>
      <c r="D3375" s="3">
        <v>1.0</v>
      </c>
    </row>
    <row r="3376" ht="15.75" customHeight="1">
      <c r="A3376" s="1">
        <v>3592.0</v>
      </c>
      <c r="B3376" s="3" t="s">
        <v>3286</v>
      </c>
      <c r="C3376" s="3" t="str">
        <f>IFERROR(__xludf.DUMMYFUNCTION("GOOGLETRANSLATE(B3376,""id"",""en"")"),"['Package', 'Cheap', 'Bolleh', '']")</f>
        <v>['Package', 'Cheap', 'Bolleh', '']</v>
      </c>
      <c r="D3376" s="3">
        <v>5.0</v>
      </c>
    </row>
    <row r="3377" ht="15.75" customHeight="1">
      <c r="A3377" s="1">
        <v>3593.0</v>
      </c>
      <c r="B3377" s="3" t="s">
        <v>3287</v>
      </c>
      <c r="C3377" s="3" t="str">
        <f>IFERROR(__xludf.DUMMYFUNCTION("GOOGLETRANSLATE(B3377,""id"",""en"")"),"['', 'open', '']")</f>
        <v>['', 'open', '']</v>
      </c>
      <c r="D3377" s="3">
        <v>1.0</v>
      </c>
    </row>
    <row r="3378" ht="15.75" customHeight="1">
      <c r="A3378" s="1">
        <v>3594.0</v>
      </c>
      <c r="B3378" s="3" t="s">
        <v>3288</v>
      </c>
      <c r="C3378" s="3" t="str">
        <f>IFERROR(__xludf.DUMMYFUNCTION("GOOGLETRANSLATE(B3378,""id"",""en"")"),"['stingy', 'right', 'voucher', 'pulse', 'monetary', 'gabisa', 'buy', 'quota', 'stingy', 'right']")</f>
        <v>['stingy', 'right', 'voucher', 'pulse', 'monetary', 'gabisa', 'buy', 'quota', 'stingy', 'right']</v>
      </c>
      <c r="D3378" s="3">
        <v>1.0</v>
      </c>
    </row>
    <row r="3379" ht="15.75" customHeight="1">
      <c r="A3379" s="1">
        <v>3595.0</v>
      </c>
      <c r="B3379" s="3" t="s">
        <v>3289</v>
      </c>
      <c r="C3379" s="3" t="str">
        <f>IFERROR(__xludf.DUMMYFUNCTION("GOOGLETRANSLATE(B3379,""id"",""en"")"),"['user', 'card', 'Telkomsel', 'disappointed', 'application', 'update', 'open', 'suggest', 'no', 'update', 'change', 'good', ' ugly ',' the application ']")</f>
        <v>['user', 'card', 'Telkomsel', 'disappointed', 'application', 'update', 'open', 'suggest', 'no', 'update', 'change', 'good', ' ugly ',' the application ']</v>
      </c>
      <c r="D3379" s="3">
        <v>1.0</v>
      </c>
    </row>
    <row r="3380" ht="15.75" customHeight="1">
      <c r="A3380" s="1">
        <v>3596.0</v>
      </c>
      <c r="B3380" s="3" t="s">
        <v>3290</v>
      </c>
      <c r="C3380" s="3" t="str">
        <f>IFERROR(__xludf.DUMMYFUNCTION("GOOGLETRANSLATE(B3380,""id"",""en"")"),"['Telkomsel', 'cave', 'opened', 'woi']")</f>
        <v>['Telkomsel', 'cave', 'opened', 'woi']</v>
      </c>
      <c r="D3380" s="3">
        <v>1.0</v>
      </c>
    </row>
    <row r="3381" ht="15.75" customHeight="1">
      <c r="A3381" s="1">
        <v>3597.0</v>
      </c>
      <c r="B3381" s="3" t="s">
        <v>3291</v>
      </c>
      <c r="C3381" s="3" t="str">
        <f>IFERROR(__xludf.DUMMYFUNCTION("GOOGLETRANSLATE(B3381,""id"",""en"")"),"['Okselagi', 'Telkomsel']")</f>
        <v>['Okselagi', 'Telkomsel']</v>
      </c>
      <c r="D3381" s="3">
        <v>5.0</v>
      </c>
    </row>
    <row r="3382" ht="15.75" customHeight="1">
      <c r="A3382" s="1">
        <v>3598.0</v>
      </c>
      <c r="B3382" s="3" t="s">
        <v>3292</v>
      </c>
      <c r="C3382" s="3" t="str">
        <f>IFERROR(__xludf.DUMMYFUNCTION("GOOGLETRANSLATE(B3382,""id"",""en"")"),"['promo', 'bnyak', 'nets', 'Tlong', 'Dragus', ""]")</f>
        <v>['promo', 'bnyak', 'nets', 'Tlong', 'Dragus', "]</v>
      </c>
      <c r="D3382" s="3">
        <v>4.0</v>
      </c>
    </row>
    <row r="3383" ht="15.75" customHeight="1">
      <c r="A3383" s="1">
        <v>3599.0</v>
      </c>
      <c r="B3383" s="3" t="s">
        <v>3293</v>
      </c>
      <c r="C3383" s="3" t="str">
        <f>IFERROR(__xludf.DUMMYFUNCTION("GOOGLETRANSLATE(B3383,""id"",""en"")"),"['bid', 'interesting']")</f>
        <v>['bid', 'interesting']</v>
      </c>
      <c r="D3383" s="3">
        <v>5.0</v>
      </c>
    </row>
    <row r="3384" ht="15.75" customHeight="1">
      <c r="A3384" s="1">
        <v>3600.0</v>
      </c>
      <c r="B3384" s="3" t="s">
        <v>3294</v>
      </c>
      <c r="C3384" s="3" t="str">
        <f>IFERROR(__xludf.DUMMYFUNCTION("GOOGLETRANSLATE(B3384,""id"",""en"")"),"['Cheap', 'Amanah']")</f>
        <v>['Cheap', 'Amanah']</v>
      </c>
      <c r="D3384" s="3">
        <v>5.0</v>
      </c>
    </row>
    <row r="3385" ht="15.75" customHeight="1">
      <c r="A3385" s="1">
        <v>3601.0</v>
      </c>
      <c r="B3385" s="3" t="s">
        <v>3295</v>
      </c>
      <c r="C3385" s="3" t="str">
        <f>IFERROR(__xludf.DUMMYFUNCTION("GOOGLETRANSLATE(B3385,""id"",""en"")"),"['Koq', 'Ngeblank', 'Mulu', 'Open']")</f>
        <v>['Koq', 'Ngeblank', 'Mulu', 'Open']</v>
      </c>
      <c r="D3385" s="3">
        <v>1.0</v>
      </c>
    </row>
    <row r="3386" ht="15.75" customHeight="1">
      <c r="A3386" s="1">
        <v>3603.0</v>
      </c>
      <c r="B3386" s="3" t="s">
        <v>3296</v>
      </c>
      <c r="C3386" s="3" t="str">
        <f>IFERROR(__xludf.DUMMYFUNCTION("GOOGLETRANSLATE(B3386,""id"",""en"")"),"['Network error']")</f>
        <v>['Network error']</v>
      </c>
      <c r="D3386" s="3">
        <v>2.0</v>
      </c>
    </row>
    <row r="3387" ht="15.75" customHeight="1">
      <c r="A3387" s="1">
        <v>3604.0</v>
      </c>
      <c r="B3387" s="3" t="s">
        <v>3297</v>
      </c>
      <c r="C3387" s="3" t="str">
        <f>IFERROR(__xludf.DUMMYFUNCTION("GOOGLETRANSLATE(B3387,""id"",""en"")"),"['feeling', 'package', 'next door', 'the network', 'ngelag', 'knp', 'package', 'severe']")</f>
        <v>['feeling', 'package', 'next door', 'the network', 'ngelag', 'knp', 'package', 'severe']</v>
      </c>
      <c r="D3387" s="3">
        <v>1.0</v>
      </c>
    </row>
    <row r="3388" ht="15.75" customHeight="1">
      <c r="A3388" s="1">
        <v>3605.0</v>
      </c>
      <c r="B3388" s="3" t="s">
        <v>1257</v>
      </c>
      <c r="C3388" s="3" t="str">
        <f>IFERROR(__xludf.DUMMYFUNCTION("GOOGLETRANSLATE(B3388,""id"",""en"")"),"['Opened']")</f>
        <v>['Opened']</v>
      </c>
      <c r="D3388" s="3">
        <v>1.0</v>
      </c>
    </row>
    <row r="3389" ht="15.75" customHeight="1">
      <c r="A3389" s="1">
        <v>3606.0</v>
      </c>
      <c r="B3389" s="3" t="s">
        <v>3298</v>
      </c>
      <c r="C3389" s="3" t="str">
        <f>IFERROR(__xludf.DUMMYFUNCTION("GOOGLETRANSLATE(B3389,""id"",""en"")"),"['Application', 'Telkomsel', 'Open', 'Update', 'Thank you']")</f>
        <v>['Application', 'Telkomsel', 'Open', 'Update', 'Thank you']</v>
      </c>
      <c r="D3389" s="3">
        <v>5.0</v>
      </c>
    </row>
    <row r="3390" ht="15.75" customHeight="1">
      <c r="A3390" s="1">
        <v>3607.0</v>
      </c>
      <c r="B3390" s="3" t="s">
        <v>3299</v>
      </c>
      <c r="C3390" s="3" t="str">
        <f>IFERROR(__xludf.DUMMYFUNCTION("GOOGLETRANSLATE(B3390,""id"",""en"")"),"['Telkomsel', 'Login', 'Open']")</f>
        <v>['Telkomsel', 'Login', 'Open']</v>
      </c>
      <c r="D3390" s="3">
        <v>5.0</v>
      </c>
    </row>
    <row r="3391" ht="15.75" customHeight="1">
      <c r="A3391" s="1">
        <v>3609.0</v>
      </c>
      <c r="B3391" s="3" t="s">
        <v>3300</v>
      </c>
      <c r="C3391" s="3" t="str">
        <f>IFERROR(__xludf.DUMMYFUNCTION("GOOGLETRANSLATE(B3391,""id"",""en"")"),"['apk', 'Telkomsel', 'open', 'already', 'install', 'failed', 'trs', 'tlg', 'repair', 'check', 'balance', 'quota']")</f>
        <v>['apk', 'Telkomsel', 'open', 'already', 'install', 'failed', 'trs', 'tlg', 'repair', 'check', 'balance', 'quota']</v>
      </c>
      <c r="D3391" s="3">
        <v>1.0</v>
      </c>
    </row>
    <row r="3392" ht="15.75" customHeight="1">
      <c r="A3392" s="1">
        <v>3610.0</v>
      </c>
      <c r="B3392" s="3" t="s">
        <v>3301</v>
      </c>
      <c r="C3392" s="3" t="str">
        <f>IFERROR(__xludf.DUMMYFUNCTION("GOOGLETRANSLATE(B3392,""id"",""en"")"),"['stress',' card ',' Telkomsel ',' price ',' package ',' expensive ',' bkn ',' package ',' signal ',' dajal ',' abis', 'ilang', ' right ',' Maen ',' Djancok ',' Sousal ',' Gajelas', 'Djancok', 'LEG', 'LEG', 'MAH', 'NGIAN', 'Signal', 'Signal', 'Mbps' , 'pl"&amp;"ay', 'lag', 'severe', 'pdhl', 'package', 'msih', 'full', 'jlek', 'bankrupt']")</f>
        <v>['stress',' card ',' Telkomsel ',' price ',' package ',' expensive ',' bkn ',' package ',' signal ',' dajal ',' abis', 'ilang', ' right ',' Maen ',' Djancok ',' Sousal ',' Gajelas', 'Djancok', 'LEG', 'LEG', 'MAH', 'NGIAN', 'Signal', 'Signal', 'Mbps' , 'play', 'lag', 'severe', 'pdhl', 'package', 'msih', 'full', 'jlek', 'bankrupt']</v>
      </c>
      <c r="D3392" s="3">
        <v>2.0</v>
      </c>
    </row>
    <row r="3393" ht="15.75" customHeight="1">
      <c r="A3393" s="1">
        <v>3611.0</v>
      </c>
      <c r="B3393" s="3" t="s">
        <v>3302</v>
      </c>
      <c r="C3393" s="3" t="str">
        <f>IFERROR(__xludf.DUMMYFUNCTION("GOOGLETRANSLATE(B3393,""id"",""en"")"),"['Gabisa', 'opened', '']")</f>
        <v>['Gabisa', 'opened', '']</v>
      </c>
      <c r="D3393" s="3">
        <v>1.0</v>
      </c>
    </row>
    <row r="3394" ht="15.75" customHeight="1">
      <c r="A3394" s="1">
        <v>3612.0</v>
      </c>
      <c r="B3394" s="3" t="s">
        <v>3303</v>
      </c>
      <c r="C3394" s="3" t="str">
        <f>IFERROR(__xludf.DUMMYFUNCTION("GOOGLETRANSLATE(B3394,""id"",""en"")"),"['Hopefully', 'Network', 'Bandung', 'East', 'Good']")</f>
        <v>['Hopefully', 'Network', 'Bandung', 'East', 'Good']</v>
      </c>
      <c r="D3394" s="3">
        <v>4.0</v>
      </c>
    </row>
    <row r="3395" ht="15.75" customHeight="1">
      <c r="A3395" s="1">
        <v>3613.0</v>
      </c>
      <c r="B3395" s="3" t="s">
        <v>3304</v>
      </c>
      <c r="C3395" s="3" t="str">
        <f>IFERROR(__xludf.DUMMYFUNCTION("GOOGLETRANSLATE(B3395,""id"",""en"")"),"['threat', 'network', 'open', 'application', 'difficult', 'poor', 'expensive', 'doang', ""]")</f>
        <v>['threat', 'network', 'open', 'application', 'difficult', 'poor', 'expensive', 'doang', "]</v>
      </c>
      <c r="D3395" s="3">
        <v>1.0</v>
      </c>
    </row>
    <row r="3396" ht="15.75" customHeight="1">
      <c r="A3396" s="1">
        <v>3614.0</v>
      </c>
      <c r="B3396" s="3" t="s">
        <v>3305</v>
      </c>
      <c r="C3396" s="3" t="str">
        <f>IFERROR(__xludf.DUMMYFUNCTION("GOOGLETRANSLATE(B3396,""id"",""en"")"),"['Download', 'Application', 'Telkomsel', 'Msh', 'Open', 'Disappointing', 'Customer', 'User', 'Faithful', 'Telkomsel', ""]")</f>
        <v>['Download', 'Application', 'Telkomsel', 'Msh', 'Open', 'Disappointing', 'Customer', 'User', 'Faithful', 'Telkomsel', "]</v>
      </c>
      <c r="D3396" s="3">
        <v>1.0</v>
      </c>
    </row>
    <row r="3397" ht="15.75" customHeight="1">
      <c r="A3397" s="1">
        <v>3616.0</v>
      </c>
      <c r="B3397" s="3" t="s">
        <v>3306</v>
      </c>
      <c r="C3397" s="3" t="str">
        <f>IFERROR(__xludf.DUMMYFUNCTION("GOOGLETRANSLATE(B3397,""id"",""en"")"),"['disappointed', 'sympathy', 'price', 'package', 'suffocating', 'signal', 'sometimes',' good ',' sometimes', 'ugly', 'package', 'run out', ' lag ',' Severe ',' Package ',' Combo ',' Sakti ',' given ',' price ',' expensive ',' combo ',' Sakti ',' cheap ','"&amp;" active ',' a month ' , 'Fill', 'Package', 'Customer', 'Benefits', 'Lucky', 'Disappointed', 'Service', 'Telkomsel', 'Severe', ""]")</f>
        <v>['disappointed', 'sympathy', 'price', 'package', 'suffocating', 'signal', 'sometimes',' good ',' sometimes', 'ugly', 'package', 'run out', ' lag ',' Severe ',' Package ',' Combo ',' Sakti ',' given ',' price ',' expensive ',' combo ',' Sakti ',' cheap ',' active ',' a month ' , 'Fill', 'Package', 'Customer', 'Benefits', 'Lucky', 'Disappointed', 'Service', 'Telkomsel', 'Severe', "]</v>
      </c>
      <c r="D3397" s="3">
        <v>1.0</v>
      </c>
    </row>
    <row r="3398" ht="15.75" customHeight="1">
      <c r="A3398" s="1">
        <v>3617.0</v>
      </c>
      <c r="B3398" s="3" t="s">
        <v>3307</v>
      </c>
      <c r="C3398" s="3" t="str">
        <f>IFERROR(__xludf.DUMMYFUNCTION("GOOGLETRANSLATE(B3398,""id"",""en"")"),"['Application', 'Useful']")</f>
        <v>['Application', 'Useful']</v>
      </c>
      <c r="D3398" s="3">
        <v>5.0</v>
      </c>
    </row>
    <row r="3399" ht="15.75" customHeight="1">
      <c r="A3399" s="1">
        <v>3619.0</v>
      </c>
      <c r="B3399" s="3" t="s">
        <v>3308</v>
      </c>
      <c r="C3399" s="3" t="str">
        <f>IFERROR(__xludf.DUMMYFUNCTION("GOOGLETRANSLATE(B3399,""id"",""en"")"),"['WOI', 'Telkomsel', 'Satan', 'You', 'Loss',' Cave ',' Buy ',' Package ',' Internet ',' Package ',' Leet ',' Really ',' You're ',' Change ',' The network ',' Leet ',' Kayak ',' Times', 'Cave', 'Loss',' Buy ',' Basic ',' Telkomsel ',' Trash ',' Taik ' , 'Y"&amp;"ou', 'Satan', '']")</f>
        <v>['WOI', 'Telkomsel', 'Satan', 'You', 'Loss',' Cave ',' Buy ',' Package ',' Internet ',' Package ',' Leet ',' Really ',' You're ',' Change ',' The network ',' Leet ',' Kayak ',' Times', 'Cave', 'Loss',' Buy ',' Basic ',' Telkomsel ',' Trash ',' Taik ' , 'You', 'Satan', '']</v>
      </c>
      <c r="D3399" s="3">
        <v>1.0</v>
      </c>
    </row>
    <row r="3400" ht="15.75" customHeight="1">
      <c r="A3400" s="1">
        <v>3620.0</v>
      </c>
      <c r="B3400" s="3" t="s">
        <v>3309</v>
      </c>
      <c r="C3400" s="3" t="str">
        <f>IFERROR(__xludf.DUMMYFUNCTION("GOOGLETRANSLATE(B3400,""id"",""en"")"),"['Network', 'slow', 'really', 'internet', 'slow']")</f>
        <v>['Network', 'slow', 'really', 'internet', 'slow']</v>
      </c>
      <c r="D3400" s="3">
        <v>1.0</v>
      </c>
    </row>
    <row r="3401" ht="15.75" customHeight="1">
      <c r="A3401" s="1">
        <v>3621.0</v>
      </c>
      <c r="B3401" s="3" t="s">
        <v>3310</v>
      </c>
      <c r="C3401" s="3" t="str">
        <f>IFERROR(__xludf.DUMMYFUNCTION("GOOGLETRANSLATE(B3401,""id"",""en"")"),"['Sihh']")</f>
        <v>['Sihh']</v>
      </c>
      <c r="D3401" s="3">
        <v>3.0</v>
      </c>
    </row>
    <row r="3402" ht="15.75" customHeight="1">
      <c r="A3402" s="1">
        <v>3622.0</v>
      </c>
      <c r="B3402" s="3" t="s">
        <v>3311</v>
      </c>
      <c r="C3402" s="3" t="str">
        <f>IFERROR(__xludf.DUMMYFUNCTION("GOOGLETRANSLATE(B3402,""id"",""en"")"),"['Network', 'bad', 'ugly', 'play', 'pub', 'network', 'red', 'trusss', 'please', 'repair']")</f>
        <v>['Network', 'bad', 'ugly', 'play', 'pub', 'network', 'red', 'trusss', 'please', 'repair']</v>
      </c>
      <c r="D3402" s="3">
        <v>1.0</v>
      </c>
    </row>
    <row r="3403" ht="15.75" customHeight="1">
      <c r="A3403" s="1">
        <v>3623.0</v>
      </c>
      <c r="B3403" s="3" t="s">
        <v>3312</v>
      </c>
      <c r="C3403" s="3" t="str">
        <f>IFERROR(__xludf.DUMMYFUNCTION("GOOGLETRANSLATE(B3403,""id"",""en"")"),"['Open', 'sudh', 'ipdate']")</f>
        <v>['Open', 'sudh', 'ipdate']</v>
      </c>
      <c r="D3403" s="3">
        <v>5.0</v>
      </c>
    </row>
    <row r="3404" ht="15.75" customHeight="1">
      <c r="A3404" s="1">
        <v>3624.0</v>
      </c>
      <c r="B3404" s="3" t="s">
        <v>3313</v>
      </c>
      <c r="C3404" s="3" t="str">
        <f>IFERROR(__xludf.DUMMYFUNCTION("GOOGLETRANSLATE(B3404,""id"",""en"")"),"['The application', 'good', 'makes it easy', 'buy', 'package']")</f>
        <v>['The application', 'good', 'makes it easy', 'buy', 'package']</v>
      </c>
      <c r="D3404" s="3">
        <v>5.0</v>
      </c>
    </row>
    <row r="3405" ht="15.75" customHeight="1">
      <c r="A3405" s="1">
        <v>3625.0</v>
      </c>
      <c r="B3405" s="3" t="s">
        <v>3314</v>
      </c>
      <c r="C3405" s="3" t="str">
        <f>IFERROR(__xludf.DUMMYFUNCTION("GOOGLETRANSLATE(B3405,""id"",""en"")"),"['Alhamdulillah', 'like', 'application', 'price', 'quota', 'cheap', 'signal', 'smooth', 'transaction', 'use', 'pulse', 'hope', ' Jaya ',' ']")</f>
        <v>['Alhamdulillah', 'like', 'application', 'price', 'quota', 'cheap', 'signal', 'smooth', 'transaction', 'use', 'pulse', 'hope', ' Jaya ',' ']</v>
      </c>
      <c r="D3405" s="3">
        <v>5.0</v>
      </c>
    </row>
    <row r="3406" ht="15.75" customHeight="1">
      <c r="A3406" s="1">
        <v>3626.0</v>
      </c>
      <c r="B3406" s="3" t="s">
        <v>3315</v>
      </c>
      <c r="C3406" s="3" t="str">
        <f>IFERROR(__xludf.DUMMYFUNCTION("GOOGLETRANSLATE(B3406,""id"",""en"")"),"['', 'price', 'soul', 'my poverty', 'struggle', 'Ronta', 'Kasian', 'Live', 'Region', 'Penjemanan', 'Available', 'Network', 'Operator ',' Sexony ']")</f>
        <v>['', 'price', 'soul', 'my poverty', 'struggle', 'Ronta', 'Kasian', 'Live', 'Region', 'Penjemanan', 'Available', 'Network', 'Operator ',' Sexony ']</v>
      </c>
      <c r="D3406" s="3">
        <v>4.0</v>
      </c>
    </row>
    <row r="3407" ht="15.75" customHeight="1">
      <c r="A3407" s="1">
        <v>3627.0</v>
      </c>
      <c r="B3407" s="3" t="s">
        <v>3316</v>
      </c>
      <c r="C3407" s="3" t="str">
        <f>IFERROR(__xludf.DUMMYFUNCTION("GOOGLETRANSLATE(B3407,""id"",""en"")"),"['Hopefully', 'in the future', 'Telkomsel', 'Jaya', 'Success', ""]")</f>
        <v>['Hopefully', 'in the future', 'Telkomsel', 'Jaya', 'Success', "]</v>
      </c>
      <c r="D3407" s="3">
        <v>5.0</v>
      </c>
    </row>
    <row r="3408" ht="15.75" customHeight="1">
      <c r="A3408" s="1">
        <v>3628.0</v>
      </c>
      <c r="B3408" s="3" t="s">
        <v>3317</v>
      </c>
      <c r="C3408" s="3" t="str">
        <f>IFERROR(__xludf.DUMMYFUNCTION("GOOGLETRANSLATE(B3408,""id"",""en"")"),"['Difficult', 'Open']")</f>
        <v>['Difficult', 'Open']</v>
      </c>
      <c r="D3408" s="3">
        <v>1.0</v>
      </c>
    </row>
    <row r="3409" ht="15.75" customHeight="1">
      <c r="A3409" s="1">
        <v>3629.0</v>
      </c>
      <c r="B3409" s="3" t="s">
        <v>3318</v>
      </c>
      <c r="C3409" s="3" t="str">
        <f>IFERROR(__xludf.DUMMYFUNCTION("GOOGLETRANSLATE(B3409,""id"",""en"")"),"['Signal', 'Bad', 'Region', 'Exact', 'Desa', 'Setianegara', 'Kec', 'Cibeureum', 'City', 'Tasikmalaya', 'West Java', 'Please', ' Repaired ',' users', 'Telkomsel', 'comfortable', 'Thank you', 'Wait', 'repair', ""]")</f>
        <v>['Signal', 'Bad', 'Region', 'Exact', 'Desa', 'Setianegara', 'Kec', 'Cibeureum', 'City', 'Tasikmalaya', 'West Java', 'Please', ' Repaired ',' users', 'Telkomsel', 'comfortable', 'Thank you', 'Wait', 'repair', "]</v>
      </c>
      <c r="D3409" s="3">
        <v>3.0</v>
      </c>
    </row>
    <row r="3410" ht="15.75" customHeight="1">
      <c r="A3410" s="1">
        <v>3630.0</v>
      </c>
      <c r="B3410" s="3" t="s">
        <v>3319</v>
      </c>
      <c r="C3410" s="3" t="str">
        <f>IFERROR(__xludf.DUMMYFUNCTION("GOOGLETRANSLATE(B3410,""id"",""en"")"),"['Application', 'Exchange', 'Points', 'JDI', 'Open', 'Skril', 'Open', 'COD', 'Gajelas']")</f>
        <v>['Application', 'Exchange', 'Points', 'JDI', 'Open', 'Skril', 'Open', 'COD', 'Gajelas']</v>
      </c>
      <c r="D3410" s="3">
        <v>1.0</v>
      </c>
    </row>
    <row r="3411" ht="15.75" customHeight="1">
      <c r="A3411" s="1">
        <v>3631.0</v>
      </c>
      <c r="B3411" s="3" t="s">
        <v>3320</v>
      </c>
      <c r="C3411" s="3" t="str">
        <f>IFERROR(__xludf.DUMMYFUNCTION("GOOGLETRANSLATE(B3411,""id"",""en"")"),"['Rating', 'Application', 'Opened', 'Android', 'Android', 'Open', 'Heavy', ""]")</f>
        <v>['Rating', 'Application', 'Opened', 'Android', 'Android', 'Open', 'Heavy', "]</v>
      </c>
      <c r="D3411" s="3">
        <v>1.0</v>
      </c>
    </row>
    <row r="3412" ht="15.75" customHeight="1">
      <c r="A3412" s="1">
        <v>3632.0</v>
      </c>
      <c r="B3412" s="3" t="s">
        <v>3321</v>
      </c>
      <c r="C3412" s="3" t="str">
        <f>IFERROR(__xludf.DUMMYFUNCTION("GOOGLETRANSLATE(B3412,""id"",""en"")"),"['Please', 'Assisted', 'Stop', 'Subscriptions', 'Card', 'Hello', ""]")</f>
        <v>['Please', 'Assisted', 'Stop', 'Subscriptions', 'Card', 'Hello', "]</v>
      </c>
      <c r="D3412" s="3">
        <v>3.0</v>
      </c>
    </row>
    <row r="3413" ht="15.75" customHeight="1">
      <c r="A3413" s="1">
        <v>3633.0</v>
      </c>
      <c r="B3413" s="3" t="s">
        <v>3322</v>
      </c>
      <c r="C3413" s="3" t="str">
        <f>IFERROR(__xludf.DUMMYFUNCTION("GOOGLETRANSLATE(B3413,""id"",""en"")"),"['Sorry', 'star', 'buy', 'quota', 'pdhl', 'network', 'good']")</f>
        <v>['Sorry', 'star', 'buy', 'quota', 'pdhl', 'network', 'good']</v>
      </c>
      <c r="D3413" s="3">
        <v>1.0</v>
      </c>
    </row>
    <row r="3414" ht="15.75" customHeight="1">
      <c r="A3414" s="1">
        <v>3634.0</v>
      </c>
      <c r="B3414" s="3" t="s">
        <v>3323</v>
      </c>
      <c r="C3414" s="3" t="str">
        <f>IFERROR(__xludf.DUMMYFUNCTION("GOOGLETRANSLATE(B3414,""id"",""en"")"),"['Open', 'since', 'update', '']")</f>
        <v>['Open', 'since', 'update', '']</v>
      </c>
      <c r="D3414" s="3">
        <v>1.0</v>
      </c>
    </row>
    <row r="3415" ht="15.75" customHeight="1">
      <c r="A3415" s="1">
        <v>3635.0</v>
      </c>
      <c r="B3415" s="3" t="s">
        <v>3324</v>
      </c>
      <c r="C3415" s="3" t="str">
        <f>IFERROR(__xludf.DUMMYFUNCTION("GOOGLETRANSLATE(B3415,""id"",""en"")"),"['Please', 'Fix', 'Sousal', 'Jabodetabek', 'Sinyal', 'ugly', ""]")</f>
        <v>['Please', 'Fix', 'Sousal', 'Jabodetabek', 'Sinyal', 'ugly', "]</v>
      </c>
      <c r="D3415" s="3">
        <v>1.0</v>
      </c>
    </row>
    <row r="3416" ht="15.75" customHeight="1">
      <c r="A3416" s="1">
        <v>3636.0</v>
      </c>
      <c r="B3416" s="3" t="s">
        <v>3325</v>
      </c>
      <c r="C3416" s="3" t="str">
        <f>IFERROR(__xludf.DUMMYFUNCTION("GOOGLETRANSLATE(B3416,""id"",""en"")"),"['Disappointed', 'Telkomsel', 'skrng', 'mai', 'buy', 'quota', 'expensive', 'truss', 'buy', 'times', ""]")</f>
        <v>['Disappointed', 'Telkomsel', 'skrng', 'mai', 'buy', 'quota', 'expensive', 'truss', 'buy', 'times', "]</v>
      </c>
      <c r="D3416" s="3">
        <v>1.0</v>
      </c>
    </row>
    <row r="3417" ht="15.75" customHeight="1">
      <c r="A3417" s="1">
        <v>3637.0</v>
      </c>
      <c r="B3417" s="3" t="s">
        <v>3326</v>
      </c>
      <c r="C3417" s="3" t="str">
        <f>IFERROR(__xludf.DUMMYFUNCTION("GOOGLETRANSLATE(B3417,""id"",""en"")"),"['makes it easier', 'fill in', 'quota']")</f>
        <v>['makes it easier', 'fill in', 'quota']</v>
      </c>
      <c r="D3417" s="3">
        <v>5.0</v>
      </c>
    </row>
    <row r="3418" ht="15.75" customHeight="1">
      <c r="A3418" s="1">
        <v>3639.0</v>
      </c>
      <c r="B3418" s="3" t="s">
        <v>3327</v>
      </c>
      <c r="C3418" s="3" t="str">
        <f>IFERROR(__xludf.DUMMYFUNCTION("GOOGLETRANSLATE(B3418,""id"",""en"")"),"['purchase', 'package', 'easy', 'then', 'promo', 'signal', 'sometimes', 'stable']")</f>
        <v>['purchase', 'package', 'easy', 'then', 'promo', 'signal', 'sometimes', 'stable']</v>
      </c>
      <c r="D3418" s="3">
        <v>4.0</v>
      </c>
    </row>
    <row r="3419" ht="15.75" customHeight="1">
      <c r="A3419" s="1">
        <v>3640.0</v>
      </c>
      <c r="B3419" s="3" t="s">
        <v>3328</v>
      </c>
      <c r="C3419" s="3" t="str">
        <f>IFERROR(__xludf.DUMMYFUNCTION("GOOGLETRANSLATE(B3419,""id"",""en"")"),"['Application', 'Telkomsel', 'Knp', 'Out', 'Update', 'Login', 'Mnggu', 'Please', 'Enlightenment', 'Buy', 'Package', 'Hard', ' ']")</f>
        <v>['Application', 'Telkomsel', 'Knp', 'Out', 'Update', 'Login', 'Mnggu', 'Please', 'Enlightenment', 'Buy', 'Package', 'Hard', ' ']</v>
      </c>
      <c r="D3419" s="3">
        <v>1.0</v>
      </c>
    </row>
    <row r="3420" ht="15.75" customHeight="1">
      <c r="A3420" s="1">
        <v>3641.0</v>
      </c>
      <c r="B3420" s="3" t="s">
        <v>3329</v>
      </c>
      <c r="C3420" s="3" t="str">
        <f>IFERROR(__xludf.DUMMYFUNCTION("GOOGLETRANSLATE(B3420,""id"",""en"")"),"['Package', 'Gaje', 'buy', 'combo', 'Sakti', 'unlimited', 'package', 'unlimited', 'apps',' Fupnya ',' speed ',' internet ',' Cut ',' From ',' Then ',' FUP ',' Name ',' Package ',' Unlimited ',' Apps', 'Gimmick', 'Used', 'More', 'Enter', 'GameSmax' , 'play"&amp;"', 'game', 'speed', 'internet', 'cut', 'get', 'FUP', ""]")</f>
        <v>['Package', 'Gaje', 'buy', 'combo', 'Sakti', 'unlimited', 'package', 'unlimited', 'apps',' Fupnya ',' speed ',' internet ',' Cut ',' From ',' Then ',' FUP ',' Name ',' Package ',' Unlimited ',' Apps', 'Gimmick', 'Used', 'More', 'Enter', 'GameSmax' , 'play', 'game', 'speed', 'internet', 'cut', 'get', 'FUP', "]</v>
      </c>
      <c r="D3420" s="3">
        <v>5.0</v>
      </c>
    </row>
    <row r="3421" ht="15.75" customHeight="1">
      <c r="A3421" s="1">
        <v>3642.0</v>
      </c>
      <c r="B3421" s="3" t="s">
        <v>3330</v>
      </c>
      <c r="C3421" s="3" t="str">
        <f>IFERROR(__xludf.DUMMYFUNCTION("GOOGLETRANSLATE(B3421,""id"",""en"")"),"['fast', 'classy']")</f>
        <v>['fast', 'classy']</v>
      </c>
      <c r="D3421" s="3">
        <v>5.0</v>
      </c>
    </row>
    <row r="3422" ht="15.75" customHeight="1">
      <c r="A3422" s="1">
        <v>3643.0</v>
      </c>
      <c r="B3422" s="3" t="s">
        <v>3331</v>
      </c>
      <c r="C3422" s="3" t="str">
        <f>IFERROR(__xludf.DUMMYFUNCTION("GOOGLETRANSLATE(B3422,""id"",""en"")"),"['Loading', 'no', 'open']")</f>
        <v>['Loading', 'no', 'open']</v>
      </c>
      <c r="D3422" s="3">
        <v>3.0</v>
      </c>
    </row>
    <row r="3423" ht="15.75" customHeight="1">
      <c r="A3423" s="1">
        <v>3644.0</v>
      </c>
      <c r="B3423" s="3" t="s">
        <v>3332</v>
      </c>
      <c r="C3423" s="3" t="str">
        <f>IFERROR(__xludf.DUMMYFUNCTION("GOOGLETRANSLATE(B3423,""id"",""en"")"),"['Kenpa', 'ugly', 'network', 'Telkomsel', 'report', 'card', 'Goblog', 'really', 'fix', 'network', 'move', 'card', ' Telkomtol ',' Telkomlag ']")</f>
        <v>['Kenpa', 'ugly', 'network', 'Telkomsel', 'report', 'card', 'Goblog', 'really', 'fix', 'network', 'move', 'card', ' Telkomtol ',' Telkomlag ']</v>
      </c>
      <c r="D3423" s="3">
        <v>1.0</v>
      </c>
    </row>
    <row r="3424" ht="15.75" customHeight="1">
      <c r="A3424" s="1">
        <v>3645.0</v>
      </c>
      <c r="B3424" s="3" t="s">
        <v>3333</v>
      </c>
      <c r="C3424" s="3" t="str">
        <f>IFERROR(__xludf.DUMMYFUNCTION("GOOGLETRANSLATE(B3424,""id"",""en"")"),"['Help', 'kereeeeeenn']")</f>
        <v>['Help', 'kereeeeeenn']</v>
      </c>
      <c r="D3424" s="3">
        <v>5.0</v>
      </c>
    </row>
    <row r="3425" ht="15.75" customHeight="1">
      <c r="A3425" s="1">
        <v>3646.0</v>
      </c>
      <c r="B3425" s="3" t="s">
        <v>3334</v>
      </c>
      <c r="C3425" s="3" t="str">
        <f>IFERROR(__xludf.DUMMYFUNCTION("GOOGLETRANSLATE(B3425,""id"",""en"")"),"['Parahhh', 'last night', 'ilangin', 'signal', 'huu', 'dtng', 'bakuhanam']")</f>
        <v>['Parahhh', 'last night', 'ilangin', 'signal', 'huu', 'dtng', 'bakuhanam']</v>
      </c>
      <c r="D3425" s="3">
        <v>5.0</v>
      </c>
    </row>
    <row r="3426" ht="15.75" customHeight="1">
      <c r="A3426" s="1">
        <v>3647.0</v>
      </c>
      <c r="B3426" s="3" t="s">
        <v>3335</v>
      </c>
      <c r="C3426" s="3" t="str">
        <f>IFERROR(__xludf.DUMMYFUNCTION("GOOGLETRANSLATE(B3426,""id"",""en"")"),"['signal', 'poor', 'please', 'Telkomsel', 'fix', 'signal', 'smooth', 'signal', 'rich', 'sosmed', 'ngelegnya', 'istighfar', ' ']")</f>
        <v>['signal', 'poor', 'please', 'Telkomsel', 'fix', 'signal', 'smooth', 'signal', 'rich', 'sosmed', 'ngelegnya', 'istighfar', ' ']</v>
      </c>
      <c r="D3426" s="3">
        <v>1.0</v>
      </c>
    </row>
    <row r="3427" ht="15.75" customHeight="1">
      <c r="A3427" s="1">
        <v>3648.0</v>
      </c>
      <c r="B3427" s="3" t="s">
        <v>3336</v>
      </c>
      <c r="C3427" s="3" t="str">
        <f>IFERROR(__xludf.DUMMYFUNCTION("GOOGLETRANSLATE(B3427,""id"",""en"")"),"['buy', 'paketan', 'pulse', 'main', 'kecown', 'package', 'leftover', 'notification', 'pulse', 'right', 'check', 'pulses',' run out ',' rich ',' card ',' next door ',' locking ',' pulse ',' main ',' jdi ',' khukatir ',' pulse ',' take-',' ']")</f>
        <v>['buy', 'paketan', 'pulse', 'main', 'kecown', 'package', 'leftover', 'notification', 'pulse', 'right', 'check', 'pulses',' run out ',' rich ',' card ',' next door ',' locking ',' pulse ',' main ',' jdi ',' khukatir ',' pulse ',' take-',' ']</v>
      </c>
      <c r="D3427" s="3">
        <v>1.0</v>
      </c>
    </row>
    <row r="3428" ht="15.75" customHeight="1">
      <c r="A3428" s="1">
        <v>3649.0</v>
      </c>
      <c r="B3428" s="3" t="s">
        <v>3337</v>
      </c>
      <c r="C3428" s="3" t="str">
        <f>IFERROR(__xludf.DUMMYFUNCTION("GOOGLETRANSLATE(B3428,""id"",""en"")"),"['Install', 'Application', 'No', 'Sibuka', 'Open', 'Application', 'Screen', 'Blank', 'White', 'No', 'Application', ""]")</f>
        <v>['Install', 'Application', 'No', 'Sibuka', 'Open', 'Application', 'Screen', 'Blank', 'White', 'No', 'Application', "]</v>
      </c>
      <c r="D3428" s="3">
        <v>2.0</v>
      </c>
    </row>
    <row r="3429" ht="15.75" customHeight="1">
      <c r="A3429" s="1">
        <v>3650.0</v>
      </c>
      <c r="B3429" s="3" t="s">
        <v>3338</v>
      </c>
      <c r="C3429" s="3" t="str">
        <f>IFERROR(__xludf.DUMMYFUNCTION("GOOGLETRANSLATE(B3429,""id"",""en"")"),"['Help', 'Information']")</f>
        <v>['Help', 'Information']</v>
      </c>
      <c r="D3429" s="3">
        <v>5.0</v>
      </c>
    </row>
    <row r="3430" ht="15.75" customHeight="1">
      <c r="A3430" s="1">
        <v>3651.0</v>
      </c>
      <c r="B3430" s="3" t="s">
        <v>3339</v>
      </c>
      <c r="C3430" s="3" t="str">
        <f>IFERROR(__xludf.DUMMYFUNCTION("GOOGLETRANSLATE(B3430,""id"",""en"")"),"['SIM', 'Reject', 'NGK', 'Available', 'Its',' You ',' Telkomsel ',' Males', 'Use', 'Card', 'Telkomsel', 'Mending', ' Use ',' Axis', 'Telkomsel', 'BURIK', '']")</f>
        <v>['SIM', 'Reject', 'NGK', 'Available', 'Its',' You ',' Telkomsel ',' Males', 'Use', 'Card', 'Telkomsel', 'Mending', ' Use ',' Axis', 'Telkomsel', 'BURIK', '']</v>
      </c>
      <c r="D3430" s="3">
        <v>1.0</v>
      </c>
    </row>
    <row r="3431" ht="15.75" customHeight="1">
      <c r="A3431" s="1">
        <v>3652.0</v>
      </c>
      <c r="B3431" s="3" t="s">
        <v>3340</v>
      </c>
      <c r="C3431" s="3" t="str">
        <f>IFERROR(__xludf.DUMMYFUNCTION("GOOGLETRANSLATE(B3431,""id"",""en"")"),"['Kaga', 'opened', 'APK', 'Severe', 'Buy', 'Package', 'Data', 'Games',' Login ',' What Is', 'Telkomsel', 'Severe', ' Bet ',' ']")</f>
        <v>['Kaga', 'opened', 'APK', 'Severe', 'Buy', 'Package', 'Data', 'Games',' Login ',' What Is', 'Telkomsel', 'Severe', ' Bet ',' ']</v>
      </c>
      <c r="D3431" s="3">
        <v>1.0</v>
      </c>
    </row>
    <row r="3432" ht="15.75" customHeight="1">
      <c r="A3432" s="1">
        <v>3653.0</v>
      </c>
      <c r="B3432" s="3" t="s">
        <v>3341</v>
      </c>
      <c r="C3432" s="3" t="str">
        <f>IFERROR(__xludf.DUMMYFUNCTION("GOOGLETRANSLATE(B3432,""id"",""en"")"),"['Telkomsel', 'card', 'decent', 'already', 'mah', 'package', 'expensive', 'signal', 'BURIK', '']")</f>
        <v>['Telkomsel', 'card', 'decent', 'already', 'mah', 'package', 'expensive', 'signal', 'BURIK', '']</v>
      </c>
      <c r="D3432" s="3">
        <v>1.0</v>
      </c>
    </row>
    <row r="3433" ht="15.75" customHeight="1">
      <c r="A3433" s="1">
        <v>3654.0</v>
      </c>
      <c r="B3433" s="3" t="s">
        <v>3342</v>
      </c>
      <c r="C3433" s="3" t="str">
        <f>IFERROR(__xludf.DUMMYFUNCTION("GOOGLETRANSLATE(B3433,""id"",""en"")"),"['update', 'open', 'njirr', 'poor', 'original']")</f>
        <v>['update', 'open', 'njirr', 'poor', 'original']</v>
      </c>
      <c r="D3433" s="3">
        <v>1.0</v>
      </c>
    </row>
    <row r="3434" ht="15.75" customHeight="1">
      <c r="A3434" s="1">
        <v>3655.0</v>
      </c>
      <c r="B3434" s="3" t="s">
        <v>3343</v>
      </c>
      <c r="C3434" s="3" t="str">
        <f>IFERROR(__xludf.DUMMYFUNCTION("GOOGLETRANSLATE(B3434,""id"",""en"")"),"['easy', 'cheap', 'buy', 'paaket']")</f>
        <v>['easy', 'cheap', 'buy', 'paaket']</v>
      </c>
      <c r="D3434" s="3">
        <v>3.0</v>
      </c>
    </row>
    <row r="3435" ht="15.75" customHeight="1">
      <c r="A3435" s="1">
        <v>3656.0</v>
      </c>
      <c r="B3435" s="3" t="s">
        <v>3344</v>
      </c>
      <c r="C3435" s="3" t="str">
        <f>IFERROR(__xludf.DUMMYFUNCTION("GOOGLETRANSLATE(B3435,""id"",""en"")"),"['application', 'sgt', 'help']")</f>
        <v>['application', 'sgt', 'help']</v>
      </c>
      <c r="D3435" s="3">
        <v>5.0</v>
      </c>
    </row>
    <row r="3436" ht="15.75" customHeight="1">
      <c r="A3436" s="1">
        <v>3657.0</v>
      </c>
      <c r="B3436" s="3" t="s">
        <v>3345</v>
      </c>
      <c r="C3436" s="3" t="str">
        <f>IFERROR(__xludf.DUMMYFUNCTION("GOOGLETRANSLATE(B3436,""id"",""en"")"),"['TCH', 'Network', 'like', 'ilang']")</f>
        <v>['TCH', 'Network', 'like', 'ilang']</v>
      </c>
      <c r="D3436" s="3">
        <v>1.0</v>
      </c>
    </row>
    <row r="3437" ht="15.75" customHeight="1">
      <c r="A3437" s="1">
        <v>3658.0</v>
      </c>
      <c r="B3437" s="3" t="s">
        <v>3346</v>
      </c>
      <c r="C3437" s="3" t="str">
        <f>IFERROR(__xludf.DUMMYFUNCTION("GOOGLETRANSLATE(B3437,""id"",""en"")"),"['version', 'Karna', 'opened', 'Desponent', 'Leet']")</f>
        <v>['version', 'Karna', 'opened', 'Desponent', 'Leet']</v>
      </c>
      <c r="D3437" s="3">
        <v>1.0</v>
      </c>
    </row>
    <row r="3438" ht="15.75" customHeight="1">
      <c r="A3438" s="1">
        <v>3659.0</v>
      </c>
      <c r="B3438" s="3" t="s">
        <v>3347</v>
      </c>
      <c r="C3438" s="3" t="str">
        <f>IFERROR(__xludf.DUMMYFUNCTION("GOOGLETRANSLATE(B3438,""id"",""en"")"),"['version', 'the latest', 'handy', 'open', 'apk', 'stop', 'forced']")</f>
        <v>['version', 'the latest', 'handy', 'open', 'apk', 'stop', 'forced']</v>
      </c>
      <c r="D3438" s="3">
        <v>4.0</v>
      </c>
    </row>
    <row r="3439" ht="15.75" customHeight="1">
      <c r="A3439" s="1">
        <v>3660.0</v>
      </c>
      <c r="B3439" s="3" t="s">
        <v>3348</v>
      </c>
      <c r="C3439" s="3" t="str">
        <f>IFERROR(__xludf.DUMMYFUNCTION("GOOGLETRANSLATE(B3439,""id"",""en"")"),"['package', 'fast', 'run out']")</f>
        <v>['package', 'fast', 'run out']</v>
      </c>
      <c r="D3439" s="3">
        <v>4.0</v>
      </c>
    </row>
    <row r="3440" ht="15.75" customHeight="1">
      <c r="A3440" s="1">
        <v>3661.0</v>
      </c>
      <c r="B3440" s="3" t="s">
        <v>3349</v>
      </c>
      <c r="C3440" s="3" t="str">
        <f>IFERROR(__xludf.DUMMYFUNCTION("GOOGLETRANSLATE(B3440,""id"",""en"")"),"['easy', 'transaction', 'application']")</f>
        <v>['easy', 'transaction', 'application']</v>
      </c>
      <c r="D3440" s="3">
        <v>5.0</v>
      </c>
    </row>
    <row r="3441" ht="15.75" customHeight="1">
      <c r="A3441" s="1">
        <v>3662.0</v>
      </c>
      <c r="B3441" s="3" t="s">
        <v>3350</v>
      </c>
      <c r="C3441" s="3" t="str">
        <f>IFERROR(__xludf.DUMMYFUNCTION("GOOGLETRANSLATE(B3441,""id"",""en"")"),"['oii', 'open', 'buset']")</f>
        <v>['oii', 'open', 'buset']</v>
      </c>
      <c r="D3441" s="3">
        <v>1.0</v>
      </c>
    </row>
    <row r="3442" ht="15.75" customHeight="1">
      <c r="A3442" s="1">
        <v>3663.0</v>
      </c>
      <c r="B3442" s="3" t="s">
        <v>3351</v>
      </c>
      <c r="C3442" s="3" t="str">
        <f>IFERROR(__xludf.DUMMYFUNCTION("GOOGLETRANSLATE(B3442,""id"",""en"")"),"['Application', 'opened', 'Display', 'White']")</f>
        <v>['Application', 'opened', 'Display', 'White']</v>
      </c>
      <c r="D3442" s="3">
        <v>1.0</v>
      </c>
    </row>
    <row r="3443" ht="15.75" customHeight="1">
      <c r="A3443" s="1">
        <v>3664.0</v>
      </c>
      <c r="B3443" s="3" t="s">
        <v>3352</v>
      </c>
      <c r="C3443" s="3" t="str">
        <f>IFERROR(__xludf.DUMMYFUNCTION("GOOGLETRANSLATE(B3443,""id"",""en"")"),"['Please', 'fix', 'signal', 'quota', 'cheap', 'signal', 'ugly', 'player', 'mobile', 'legend', 'please', 'fix', ' signal ',' UDH ',' good ',' comment ',' plis', 'signal', 'ride', '']")</f>
        <v>['Please', 'fix', 'signal', 'quota', 'cheap', 'signal', 'ugly', 'player', 'mobile', 'legend', 'please', 'fix', ' signal ',' UDH ',' good ',' comment ',' plis', 'signal', 'ride', '']</v>
      </c>
      <c r="D3443" s="3">
        <v>1.0</v>
      </c>
    </row>
    <row r="3444" ht="15.75" customHeight="1">
      <c r="A3444" s="1">
        <v>3665.0</v>
      </c>
      <c r="B3444" s="3" t="s">
        <v>3353</v>
      </c>
      <c r="C3444" s="3" t="str">
        <f>IFERROR(__xludf.DUMMYFUNCTION("GOOGLETRANSLATE(B3444,""id"",""en"")"),"['apk', 'vain', 'vain', 'fill', 'pulse', 'pull', 'apk', 'kon']")</f>
        <v>['apk', 'vain', 'vain', 'fill', 'pulse', 'pull', 'apk', 'kon']</v>
      </c>
      <c r="D3444" s="3">
        <v>1.0</v>
      </c>
    </row>
    <row r="3445" ht="15.75" customHeight="1">
      <c r="A3445" s="1">
        <v>3666.0</v>
      </c>
      <c r="B3445" s="3" t="s">
        <v>3354</v>
      </c>
      <c r="C3445" s="3" t="str">
        <f>IFERROR(__xludf.DUMMYFUNCTION("GOOGLETRANSLATE(B3445,""id"",""en"")"),"['Msih', 'Blum', 'Understand']")</f>
        <v>['Msih', 'Blum', 'Understand']</v>
      </c>
      <c r="D3445" s="3">
        <v>3.0</v>
      </c>
    </row>
    <row r="3446" ht="15.75" customHeight="1">
      <c r="A3446" s="1">
        <v>3667.0</v>
      </c>
      <c r="B3446" s="3" t="s">
        <v>3355</v>
      </c>
      <c r="C3446" s="3" t="str">
        <f>IFERROR(__xludf.DUMMYFUNCTION("GOOGLETRANSLATE(B3446,""id"",""en"")"),"['signal', 'ugly', 'region', 'support', 'signal', 'stay', 'in the city', 'feels', 'signal', 'mountains', ""]")</f>
        <v>['signal', 'ugly', 'region', 'support', 'signal', 'stay', 'in the city', 'feels', 'signal', 'mountains', "]</v>
      </c>
      <c r="D3446" s="3">
        <v>1.0</v>
      </c>
    </row>
    <row r="3447" ht="15.75" customHeight="1">
      <c r="A3447" s="1">
        <v>3668.0</v>
      </c>
      <c r="B3447" s="3" t="s">
        <v>3356</v>
      </c>
      <c r="C3447" s="3" t="str">
        <f>IFERROR(__xludf.DUMMYFUNCTION("GOOGLETRANSLATE(B3447,""id"",""en"")"),"['Disappointing', 'Application', 'Open', 'Huh']")</f>
        <v>['Disappointing', 'Application', 'Open', 'Huh']</v>
      </c>
      <c r="D3447" s="3">
        <v>1.0</v>
      </c>
    </row>
    <row r="3448" ht="15.75" customHeight="1">
      <c r="A3448" s="1">
        <v>3669.0</v>
      </c>
      <c r="B3448" s="3" t="s">
        <v>3357</v>
      </c>
      <c r="C3448" s="3" t="str">
        <f>IFERROR(__xludf.DUMMYFUNCTION("GOOGLETRANSLATE(B3448,""id"",""en"")"),"['Service', 'The network', 'Benerin', 'Play', 'Ngelag', 'times', 'Understanding', 'Ngelagnya', 'Kek', 'kicked', 'Rahmatullah', 'Anying']")</f>
        <v>['Service', 'The network', 'Benerin', 'Play', 'Ngelag', 'times', 'Understanding', 'Ngelagnya', 'Kek', 'kicked', 'Rahmatullah', 'Anying']</v>
      </c>
      <c r="D3448" s="3">
        <v>1.0</v>
      </c>
    </row>
    <row r="3449" ht="15.75" customHeight="1">
      <c r="A3449" s="1">
        <v>3670.0</v>
      </c>
      <c r="B3449" s="3" t="s">
        <v>3358</v>
      </c>
      <c r="C3449" s="3" t="str">
        <f>IFERROR(__xludf.DUMMYFUNCTION("GOOGLETRANSLATE(B3449,""id"",""en"")"),"['brother', 'Knp', 'open', 'apk', 'screen', 'whitehh', 'continued', 'boleee', 'entered', 'knppo', 'yaaaa', 'mkasiii']")</f>
        <v>['brother', 'Knp', 'open', 'apk', 'screen', 'whitehh', 'continued', 'boleee', 'entered', 'knppo', 'yaaaa', 'mkasiii']</v>
      </c>
      <c r="D3449" s="3">
        <v>5.0</v>
      </c>
    </row>
    <row r="3450" ht="15.75" customHeight="1">
      <c r="A3450" s="1">
        <v>3671.0</v>
      </c>
      <c r="B3450" s="3" t="s">
        <v>3359</v>
      </c>
      <c r="C3450" s="3" t="str">
        <f>IFERROR(__xludf.DUMMYFUNCTION("GOOGLETRANSLATE(B3450,""id"",""en"")"),"['', 'Telkomsel', 'already', 'buy', 'expensive', 'right', 'play', 'game', 'network', 'emotions']")</f>
        <v>['', 'Telkomsel', 'already', 'buy', 'expensive', 'right', 'play', 'game', 'network', 'emotions']</v>
      </c>
      <c r="D3450" s="3">
        <v>1.0</v>
      </c>
    </row>
    <row r="3451" ht="15.75" customHeight="1">
      <c r="A3451" s="1">
        <v>3672.0</v>
      </c>
      <c r="B3451" s="3" t="s">
        <v>3360</v>
      </c>
      <c r="C3451" s="3" t="str">
        <f>IFERROR(__xludf.DUMMYFUNCTION("GOOGLETRANSLATE(B3451,""id"",""en"")"),"['Dear', 'Telkomsel', 'Report', 'Maytelkomsel', 'Open', 'updated', 'solution', 'buy', 'Package', 'Telkomsel', 'Points',' thank ',' love']")</f>
        <v>['Dear', 'Telkomsel', 'Report', 'Maytelkomsel', 'Open', 'updated', 'solution', 'buy', 'Package', 'Telkomsel', 'Points',' thank ',' love']</v>
      </c>
      <c r="D3451" s="3">
        <v>1.0</v>
      </c>
    </row>
    <row r="3452" ht="15.75" customHeight="1">
      <c r="A3452" s="1">
        <v>3673.0</v>
      </c>
      <c r="B3452" s="3" t="s">
        <v>3361</v>
      </c>
      <c r="C3452" s="3" t="str">
        <f>IFERROR(__xludf.DUMMYFUNCTION("GOOGLETRANSLATE(B3452,""id"",""en"")"),"['Disappointed', 'Update', 'Application', 'Open', 'Application', 'Telkomsel', '']")</f>
        <v>['Disappointed', 'Update', 'Application', 'Open', 'Application', 'Telkomsel', '']</v>
      </c>
      <c r="D3452" s="3">
        <v>5.0</v>
      </c>
    </row>
    <row r="3453" ht="15.75" customHeight="1">
      <c r="A3453" s="1">
        <v>3675.0</v>
      </c>
      <c r="B3453" s="3" t="s">
        <v>3362</v>
      </c>
      <c r="C3453" s="3" t="str">
        <f>IFERROR(__xludf.DUMMYFUNCTION("GOOGLETRANSLATE(B3453,""id"",""en"")"),"['Like', 'Telkomsel', 'Exchange', 'Coins', 'No', 'Win', ""]")</f>
        <v>['Like', 'Telkomsel', 'Exchange', 'Coins', 'No', 'Win', "]</v>
      </c>
      <c r="D3453" s="3">
        <v>5.0</v>
      </c>
    </row>
    <row r="3454" ht="15.75" customHeight="1">
      <c r="A3454" s="1">
        <v>3676.0</v>
      </c>
      <c r="B3454" s="3" t="s">
        <v>3363</v>
      </c>
      <c r="C3454" s="3" t="str">
        <f>IFERROR(__xludf.DUMMYFUNCTION("GOOGLETRANSLATE(B3454,""id"",""en"")"),"['package', 'internet', 'expensive', 'signal', 'slow']")</f>
        <v>['package', 'internet', 'expensive', 'signal', 'slow']</v>
      </c>
      <c r="D3454" s="3">
        <v>1.0</v>
      </c>
    </row>
    <row r="3455" ht="15.75" customHeight="1">
      <c r="A3455" s="1">
        <v>3677.0</v>
      </c>
      <c r="B3455" s="3" t="s">
        <v>3364</v>
      </c>
      <c r="C3455" s="3" t="str">
        <f>IFERROR(__xludf.DUMMYFUNCTION("GOOGLETRANSLATE(B3455,""id"",""en"")"),"['Kaga', 'opened', 'Application', 'Choose', 'Paketan', 'Gabisa', 'Bad', 'Telkomsel', 'Pekah', ""]")</f>
        <v>['Kaga', 'opened', 'Application', 'Choose', 'Paketan', 'Gabisa', 'Bad', 'Telkomsel', 'Pekah', "]</v>
      </c>
      <c r="D3455" s="3">
        <v>1.0</v>
      </c>
    </row>
    <row r="3456" ht="15.75" customHeight="1">
      <c r="A3456" s="1">
        <v>3678.0</v>
      </c>
      <c r="B3456" s="3" t="s">
        <v>3365</v>
      </c>
      <c r="C3456" s="3" t="str">
        <f>IFERROR(__xludf.DUMMYFUNCTION("GOOGLETRANSLATE(B3456,""id"",""en"")"),"['Disappointed', 'Abis',' Update ',' APK ',' Telkomsel ',' Open ',' Delete ',' Buy ',' Package ',' Internet ',' Expensive ',' Change ',' cards', 'prime', 'hope', 'Indosat', 'like', 'gini', ""]")</f>
        <v>['Disappointed', 'Abis',' Update ',' APK ',' Telkomsel ',' Open ',' Delete ',' Buy ',' Package ',' Internet ',' Expensive ',' Change ',' cards', 'prime', 'hope', 'Indosat', 'like', 'gini', "]</v>
      </c>
      <c r="D3456" s="3">
        <v>1.0</v>
      </c>
    </row>
    <row r="3457" ht="15.75" customHeight="1">
      <c r="A3457" s="1">
        <v>3679.0</v>
      </c>
      <c r="B3457" s="3" t="s">
        <v>3366</v>
      </c>
      <c r="C3457" s="3" t="str">
        <f>IFERROR(__xludf.DUMMYFUNCTION("GOOGLETRANSLATE(B3457,""id"",""en"")"),"['contents', 'pulse', 'rb', 'directly', 'truncated', 'rb', 'bwt', '']")</f>
        <v>['contents', 'pulse', 'rb', 'directly', 'truncated', 'rb', 'bwt', '']</v>
      </c>
      <c r="D3457" s="3">
        <v>3.0</v>
      </c>
    </row>
    <row r="3458" ht="15.75" customHeight="1">
      <c r="A3458" s="1">
        <v>3680.0</v>
      </c>
      <c r="B3458" s="3" t="s">
        <v>3367</v>
      </c>
      <c r="C3458" s="3" t="str">
        <f>IFERROR(__xludf.DUMMYFUNCTION("GOOGLETRANSLATE(B3458,""id"",""en"")"),"['Upgrate', 'Open', 'APKaa']")</f>
        <v>['Upgrate', 'Open', 'APKaa']</v>
      </c>
      <c r="D3458" s="3">
        <v>5.0</v>
      </c>
    </row>
    <row r="3459" ht="15.75" customHeight="1">
      <c r="A3459" s="1">
        <v>3681.0</v>
      </c>
      <c r="B3459" s="3" t="s">
        <v>3368</v>
      </c>
      <c r="C3459" s="3" t="str">
        <f>IFERROR(__xludf.DUMMYFUNCTION("GOOGLETRANSLATE(B3459,""id"",""en"")"),"['interesting', 'Ngan', ""]")</f>
        <v>['interesting', 'Ngan', "]</v>
      </c>
      <c r="D3459" s="3">
        <v>5.0</v>
      </c>
    </row>
    <row r="3460" ht="15.75" customHeight="1">
      <c r="A3460" s="1">
        <v>3683.0</v>
      </c>
      <c r="B3460" s="3" t="s">
        <v>3369</v>
      </c>
      <c r="C3460" s="3" t="str">
        <f>IFERROR(__xludf.DUMMYFUNCTION("GOOGLETRANSLATE(B3460,""id"",""en"")"),"['hope', 'promo', '']")</f>
        <v>['hope', 'promo', '']</v>
      </c>
      <c r="D3460" s="3">
        <v>5.0</v>
      </c>
    </row>
    <row r="3461" ht="15.75" customHeight="1">
      <c r="A3461" s="1">
        <v>3684.0</v>
      </c>
      <c r="B3461" s="3" t="s">
        <v>3370</v>
      </c>
      <c r="C3461" s="3" t="str">
        <f>IFERROR(__xludf.DUMMYFUNCTION("GOOGLETRANSLATE(B3461,""id"",""en"")"),"['easy', 'contents', 'pulse', '']")</f>
        <v>['easy', 'contents', 'pulse', '']</v>
      </c>
      <c r="D3461" s="3">
        <v>5.0</v>
      </c>
    </row>
    <row r="3462" ht="15.75" customHeight="1">
      <c r="A3462" s="1">
        <v>3685.0</v>
      </c>
      <c r="B3462" s="3" t="s">
        <v>3371</v>
      </c>
      <c r="C3462" s="3" t="str">
        <f>IFERROR(__xludf.DUMMYFUNCTION("GOOGLETRANSLATE(B3462,""id"",""en"")"),"['Please', 'provided', 'BTS', 'Region', 'Region', 'Remote', 'Goal', 'Untung', 'Services',' Telkomsel ',' Urban ',' Thank you ',' ']")</f>
        <v>['Please', 'provided', 'BTS', 'Region', 'Region', 'Remote', 'Goal', 'Untung', 'Services',' Telkomsel ',' Urban ',' Thank you ',' ']</v>
      </c>
      <c r="D3462" s="3">
        <v>5.0</v>
      </c>
    </row>
    <row r="3463" ht="15.75" customHeight="1">
      <c r="A3463" s="1">
        <v>3686.0</v>
      </c>
      <c r="B3463" s="3" t="s">
        <v>3372</v>
      </c>
      <c r="C3463" s="3" t="str">
        <f>IFERROR(__xludf.DUMMYFUNCTION("GOOGLETRANSLATE(B3463,""id"",""en"")"),"['Opened', 'DOVER', 'Download']")</f>
        <v>['Opened', 'DOVER', 'Download']</v>
      </c>
      <c r="D3463" s="3">
        <v>1.0</v>
      </c>
    </row>
    <row r="3464" ht="15.75" customHeight="1">
      <c r="A3464" s="1">
        <v>3687.0</v>
      </c>
      <c r="B3464" s="3" t="s">
        <v>3373</v>
      </c>
      <c r="C3464" s="3" t="str">
        <f>IFERROR(__xludf.DUMMYFUNCTION("GOOGLETRANSLATE(B3464,""id"",""en"")"),"['Buy', 'Package', 'Quota', 'APK', 'Telkomsel']")</f>
        <v>['Buy', 'Package', 'Quota', 'APK', 'Telkomsel']</v>
      </c>
      <c r="D3464" s="3">
        <v>1.0</v>
      </c>
    </row>
    <row r="3465" ht="15.75" customHeight="1">
      <c r="A3465" s="1">
        <v>3688.0</v>
      </c>
      <c r="B3465" s="3" t="s">
        <v>3374</v>
      </c>
      <c r="C3465" s="3" t="str">
        <f>IFERROR(__xludf.DUMMYFUNCTION("GOOGLETRANSLATE(B3465,""id"",""en"")"),"['Hello', 'Sis',' Customers', 'Faithful', 'Telkomsel', 'Disappointed', 'Promos',' Expensive ',' Logout ',' Login ',' Uninstall ',' Install ',' Change ',' Karen ',' according to ',' instructions', 'development']")</f>
        <v>['Hello', 'Sis',' Customers', 'Faithful', 'Telkomsel', 'Disappointed', 'Promos',' Expensive ',' Logout ',' Login ',' Uninstall ',' Install ',' Change ',' Karen ',' according to ',' instructions', 'development']</v>
      </c>
      <c r="D3465" s="3">
        <v>1.0</v>
      </c>
    </row>
    <row r="3466" ht="15.75" customHeight="1">
      <c r="A3466" s="1">
        <v>3689.0</v>
      </c>
      <c r="B3466" s="3" t="s">
        <v>644</v>
      </c>
      <c r="C3466" s="3" t="str">
        <f>IFERROR(__xludf.DUMMYFUNCTION("GOOGLETRANSLATE(B3466,""id"",""en"")"),"['Promo']")</f>
        <v>['Promo']</v>
      </c>
      <c r="D3466" s="3">
        <v>5.0</v>
      </c>
    </row>
    <row r="3467" ht="15.75" customHeight="1">
      <c r="A3467" s="1">
        <v>3690.0</v>
      </c>
      <c r="B3467" s="3" t="s">
        <v>3375</v>
      </c>
      <c r="C3467" s="3" t="str">
        <f>IFERROR(__xludf.DUMMYFUNCTION("GOOGLETRANSLATE(B3467,""id"",""en"")"),"['Woy', 'Telkomsel', 'signal', 'cave', 'play', 'signal', 'ugly', 'already', 'expensive', 'signal', 'kayak', 'taik', ' Mending ',' cave ',' moved ',' cheap ',' signal ',' good ',' emang ',' Telkomsel ',' already ',' old ',' already ',' signal ', ""]")</f>
        <v>['Woy', 'Telkomsel', 'signal', 'cave', 'play', 'signal', 'ugly', 'already', 'expensive', 'signal', 'kayak', 'taik', ' Mending ',' cave ',' moved ',' cheap ',' signal ',' good ',' emang ',' Telkomsel ',' already ',' old ',' already ',' signal ', "]</v>
      </c>
      <c r="D3467" s="3">
        <v>1.0</v>
      </c>
    </row>
    <row r="3468" ht="15.75" customHeight="1">
      <c r="A3468" s="1">
        <v>3691.0</v>
      </c>
      <c r="B3468" s="3" t="s">
        <v>3376</v>
      </c>
      <c r="C3468" s="3" t="str">
        <f>IFERROR(__xludf.DUMMYFUNCTION("GOOGLETRANSLATE(B3468,""id"",""en"")"),"['Really', 'Very', 'Telkomsel', 'Package', 'Cheap', 'Suitable', 'Pouch', 'Student', 'Hopefully', 'Package', 'Internet', 'Help', ' really ',' price ',' affordable ',' dlu ',' prny ',' improve ',' quality ',' network ',' experience ',' signal ',' lost ',' p"&amp;"lease ',' pay attention ' , 'Related', 'Problem', ""]")</f>
        <v>['Really', 'Very', 'Telkomsel', 'Package', 'Cheap', 'Suitable', 'Pouch', 'Student', 'Hopefully', 'Package', 'Internet', 'Help', ' really ',' price ',' affordable ',' dlu ',' prny ',' improve ',' quality ',' network ',' experience ',' signal ',' lost ',' please ',' pay attention ' , 'Related', 'Problem', "]</v>
      </c>
      <c r="D3468" s="3">
        <v>5.0</v>
      </c>
    </row>
    <row r="3469" ht="15.75" customHeight="1">
      <c r="A3469" s="1">
        <v>3692.0</v>
      </c>
      <c r="B3469" s="3" t="s">
        <v>3377</v>
      </c>
      <c r="C3469" s="3" t="str">
        <f>IFERROR(__xludf.DUMMYFUNCTION("GOOGLETRANSLATE(B3469,""id"",""en"")"),"['', 'star', 'use', 'good', 'star']")</f>
        <v>['', 'star', 'use', 'good', 'star']</v>
      </c>
      <c r="D3469" s="3">
        <v>3.0</v>
      </c>
    </row>
    <row r="3470" ht="15.75" customHeight="1">
      <c r="A3470" s="1">
        <v>3693.0</v>
      </c>
      <c r="B3470" s="3" t="s">
        <v>3378</v>
      </c>
      <c r="C3470" s="3" t="str">
        <f>IFERROR(__xludf.DUMMYFUNCTION("GOOGLETRANSLATE(B3470,""id"",""en"")"),"['filled', 'number', 'open', 'tlng', 'repaired', 'perfect']")</f>
        <v>['filled', 'number', 'open', 'tlng', 'repaired', 'perfect']</v>
      </c>
      <c r="D3470" s="3">
        <v>4.0</v>
      </c>
    </row>
    <row r="3471" ht="15.75" customHeight="1">
      <c r="A3471" s="1">
        <v>3694.0</v>
      </c>
      <c r="B3471" s="3" t="s">
        <v>3379</v>
      </c>
      <c r="C3471" s="3" t="str">
        <f>IFERROR(__xludf.DUMMYFUNCTION("GOOGLETRANSLATE(B3471,""id"",""en"")"),"['', 'package', 'internet', 'you', 'promo', 'network', 'city', 'rural', 'city', 'you', 'care', 'network', 'Telkomsel ',' You ',' Strengthen ',' Rural ',' Forgot ',' Stable ',' Network ',' ']")</f>
        <v>['', 'package', 'internet', 'you', 'promo', 'network', 'city', 'rural', 'city', 'you', 'care', 'network', 'Telkomsel ',' You ',' Strengthen ',' Rural ',' Forgot ',' Stable ',' Network ',' ']</v>
      </c>
      <c r="D3471" s="3">
        <v>1.0</v>
      </c>
    </row>
    <row r="3472" ht="15.75" customHeight="1">
      <c r="A3472" s="1">
        <v>3695.0</v>
      </c>
      <c r="B3472" s="3" t="s">
        <v>3380</v>
      </c>
      <c r="C3472" s="3" t="str">
        <f>IFERROR(__xludf.DUMMYFUNCTION("GOOGLETRANSLATE(B3472,""id"",""en"")"),"['MDH', 'Signal', 'Slalu', 'Stable']")</f>
        <v>['MDH', 'Signal', 'Slalu', 'Stable']</v>
      </c>
      <c r="D3472" s="3">
        <v>5.0</v>
      </c>
    </row>
    <row r="3473" ht="15.75" customHeight="1">
      <c r="A3473" s="1">
        <v>3696.0</v>
      </c>
      <c r="B3473" s="3" t="s">
        <v>3381</v>
      </c>
      <c r="C3473" s="3" t="str">
        <f>IFERROR(__xludf.DUMMYFUNCTION("GOOGLETRANSLATE(B3473,""id"",""en"")"),"['The card', 'fast', 'expired', 'dead', 'service', 'bad', 'finishing', 'use', 'Indosat', 'tri', ""]")</f>
        <v>['The card', 'fast', 'expired', 'dead', 'service', 'bad', 'finishing', 'use', 'Indosat', 'tri', "]</v>
      </c>
      <c r="D3473" s="3">
        <v>1.0</v>
      </c>
    </row>
    <row r="3474" ht="15.75" customHeight="1">
      <c r="A3474" s="1">
        <v>3697.0</v>
      </c>
      <c r="B3474" s="3" t="s">
        <v>3382</v>
      </c>
      <c r="C3474" s="3" t="str">
        <f>IFERROR(__xludf.DUMMYFUNCTION("GOOGLETRANSLATE(B3474,""id"",""en"")"),"['mantul', 'application', 'sngat', 'fun']")</f>
        <v>['mantul', 'application', 'sngat', 'fun']</v>
      </c>
      <c r="D3474" s="3">
        <v>5.0</v>
      </c>
    </row>
    <row r="3475" ht="15.75" customHeight="1">
      <c r="A3475" s="1">
        <v>3698.0</v>
      </c>
      <c r="B3475" s="3" t="s">
        <v>3383</v>
      </c>
      <c r="C3475" s="3" t="str">
        <f>IFERROR(__xludf.DUMMYFUNCTION("GOOGLETRANSLATE(B3475,""id"",""en"")"),"['network', 'region', 'home', 'ugly', 'condition', 'cloudy', 'rain', 'rain', 'sinnyal', 'good', 'please', 'YTH', ' Telkomsel ',' pasuity ',' sinnyal ',' network ',' good ',' region ',' territory ',' rays', 'nyomplong', 'kadudodol', 'kec', 'Cimanuk', 'kab'"&amp;" , 'Pandeglang', 'Banten', 'Wait', 'Sinnyal', 'Network', 'Good', 'Love', 'Star', 'Deh', 'Love', 'Middle', 'Network', ' good']")</f>
        <v>['network', 'region', 'home', 'ugly', 'condition', 'cloudy', 'rain', 'rain', 'sinnyal', 'good', 'please', 'YTH', ' Telkomsel ',' pasuity ',' sinnyal ',' network ',' good ',' region ',' territory ',' rays', 'nyomplong', 'kadudodol', 'kec', 'Cimanuk', 'kab' , 'Pandeglang', 'Banten', 'Wait', 'Sinnyal', 'Network', 'Good', 'Love', 'Star', 'Deh', 'Love', 'Middle', 'Network', ' good']</v>
      </c>
      <c r="D3475" s="3">
        <v>1.0</v>
      </c>
    </row>
    <row r="3476" ht="15.75" customHeight="1">
      <c r="A3476" s="1">
        <v>3699.0</v>
      </c>
      <c r="B3476" s="3" t="s">
        <v>3384</v>
      </c>
      <c r="C3476" s="3" t="str">
        <f>IFERROR(__xludf.DUMMYFUNCTION("GOOGLETRANSLATE(B3476,""id"",""en"")"),"['Disappointed', 'oath', 'ama', 'Telkomsel', 'package', 'internet', 'internet', 'non', 'faket', 'quota', 'internet', 'GB', ' Credit ',' I ',' Cut ',' Disappointed ',' Oath ',' GBLG ']")</f>
        <v>['Disappointed', 'oath', 'ama', 'Telkomsel', 'package', 'internet', 'internet', 'non', 'faket', 'quota', 'internet', 'GB', ' Credit ',' I ',' Cut ',' Disappointed ',' Oath ',' GBLG ']</v>
      </c>
      <c r="D3476" s="3">
        <v>1.0</v>
      </c>
    </row>
    <row r="3477" ht="15.75" customHeight="1">
      <c r="A3477" s="1">
        <v>3700.0</v>
      </c>
      <c r="B3477" s="3" t="s">
        <v>3385</v>
      </c>
      <c r="C3477" s="3" t="str">
        <f>IFERROR(__xludf.DUMMYFUNCTION("GOOGLETRANSLATE(B3477,""id"",""en"")"),"['wee', 'love', 'good', 'network', 'desku', 'blood', 'tigi', 'play', 'gemm', ""]")</f>
        <v>['wee', 'love', 'good', 'network', 'desku', 'blood', 'tigi', 'play', 'gemm', "]</v>
      </c>
      <c r="D3477" s="3">
        <v>1.0</v>
      </c>
    </row>
    <row r="3478" ht="15.75" customHeight="1">
      <c r="A3478" s="1">
        <v>3701.0</v>
      </c>
      <c r="B3478" s="3" t="s">
        <v>3386</v>
      </c>
      <c r="C3478" s="3" t="str">
        <f>IFERROR(__xludf.DUMMYFUNCTION("GOOGLETRANSLATE(B3478,""id"",""en"")"),"['Moon', 'Maap', 'Date', 'December', 'Review', 'Application', 'Telkomsel', 'Opened', 'Please', 'Repaired', 'Bug', ""]")</f>
        <v>['Moon', 'Maap', 'Date', 'December', 'Review', 'Application', 'Telkomsel', 'Opened', 'Please', 'Repaired', 'Bug', "]</v>
      </c>
      <c r="D3478" s="3">
        <v>1.0</v>
      </c>
    </row>
    <row r="3479" ht="15.75" customHeight="1">
      <c r="A3479" s="1">
        <v>3702.0</v>
      </c>
      <c r="B3479" s="3" t="s">
        <v>3387</v>
      </c>
      <c r="C3479" s="3" t="str">
        <f>IFERROR(__xludf.DUMMYFUNCTION("GOOGLETRANSLATE(B3479,""id"",""en"")"),"['Application', 'Update', 'expensive', 'Please', 'Lower', 'Price', 'Package', 'People', 'Hard', 'Hard', 'Please', 'Definition']")</f>
        <v>['Application', 'Update', 'expensive', 'Please', 'Lower', 'Price', 'Package', 'People', 'Hard', 'Hard', 'Please', 'Definition']</v>
      </c>
      <c r="D3479" s="3">
        <v>3.0</v>
      </c>
    </row>
    <row r="3480" ht="15.75" customHeight="1">
      <c r="A3480" s="1">
        <v>3703.0</v>
      </c>
      <c r="B3480" s="3" t="s">
        <v>3388</v>
      </c>
      <c r="C3480" s="3" t="str">
        <f>IFERROR(__xludf.DUMMYFUNCTION("GOOGLETRANSLATE(B3480,""id"",""en"")"),"['Enter', 'Application', 'Update', 'Please', 'Cry it']")</f>
        <v>['Enter', 'Application', 'Update', 'Please', 'Cry it']</v>
      </c>
      <c r="D3480" s="3">
        <v>3.0</v>
      </c>
    </row>
    <row r="3481" ht="15.75" customHeight="1">
      <c r="A3481" s="1">
        <v>3704.0</v>
      </c>
      <c r="B3481" s="3" t="s">
        <v>3389</v>
      </c>
      <c r="C3481" s="3" t="str">
        <f>IFERROR(__xludf.DUMMYFUNCTION("GOOGLETRANSLATE(B3481,""id"",""en"")"),"['pls', 'eat', 'then', 'apk', 'yaa']")</f>
        <v>['pls', 'eat', 'then', 'apk', 'yaa']</v>
      </c>
      <c r="D3481" s="3">
        <v>1.0</v>
      </c>
    </row>
    <row r="3482" ht="15.75" customHeight="1">
      <c r="A3482" s="1">
        <v>3705.0</v>
      </c>
      <c r="B3482" s="3" t="s">
        <v>3390</v>
      </c>
      <c r="C3482" s="3" t="str">
        <f>IFERROR(__xludf.DUMMYFUNCTION("GOOGLETRANSLATE(B3482,""id"",""en"")"),"['Sya', 'Disappointed', 'Skli', 'because', 'Sya', 'buy', 'package', 'expensive', 'TPI', 'network', 'msammat']")</f>
        <v>['Sya', 'Disappointed', 'Skli', 'because', 'Sya', 'buy', 'package', 'expensive', 'TPI', 'network', 'msammat']</v>
      </c>
      <c r="D3482" s="3">
        <v>1.0</v>
      </c>
    </row>
    <row r="3483" ht="15.75" customHeight="1">
      <c r="A3483" s="1">
        <v>3706.0</v>
      </c>
      <c r="B3483" s="3" t="s">
        <v>3391</v>
      </c>
      <c r="C3483" s="3" t="str">
        <f>IFERROR(__xludf.DUMMYFUNCTION("GOOGLETRANSLATE(B3483,""id"",""en"")"),"['apk', 'telkomselku', 'no', 'open', 'until', 'disappointed']")</f>
        <v>['apk', 'telkomselku', 'no', 'open', 'until', 'disappointed']</v>
      </c>
      <c r="D3483" s="3">
        <v>3.0</v>
      </c>
    </row>
    <row r="3484" ht="15.75" customHeight="1">
      <c r="A3484" s="1">
        <v>3707.0</v>
      </c>
      <c r="B3484" s="3" t="s">
        <v>3392</v>
      </c>
      <c r="C3484" s="3" t="str">
        <f>IFERROR(__xludf.DUMMYFUNCTION("GOOGLETRANSLATE(B3484,""id"",""en"")"),"['It seems', 'people', 'Telkomsel', 'sulk', 'company', 'because' bug ',' application ',' fix ',' open ',' application ',' blank ',' White ',' buy ',' open ',' cook ',' use ',' application ',' MyTelkomsel ',' buy ',' wkwkwkwk ', ""]")</f>
        <v>['It seems', 'people', 'Telkomsel', 'sulk', 'company', 'because' bug ',' application ',' fix ',' open ',' application ',' blank ',' White ',' buy ',' open ',' cook ',' use ',' application ',' MyTelkomsel ',' buy ',' wkwkwkwk ', "]</v>
      </c>
      <c r="D3484" s="3">
        <v>1.0</v>
      </c>
    </row>
    <row r="3485" ht="15.75" customHeight="1">
      <c r="A3485" s="1">
        <v>3709.0</v>
      </c>
      <c r="B3485" s="3" t="s">
        <v>3393</v>
      </c>
      <c r="C3485" s="3" t="str">
        <f>IFERROR(__xludf.DUMMYFUNCTION("GOOGLETRANSLATE(B3485,""id"",""en"")"),"['Please', 'repaired', 'sush', 'checked', 'quata', 'contents', 'package', 'enter', 'acan', 'sngat', 'disappointed']")</f>
        <v>['Please', 'repaired', 'sush', 'checked', 'quata', 'contents', 'package', 'enter', 'acan', 'sngat', 'disappointed']</v>
      </c>
      <c r="D3485" s="3">
        <v>1.0</v>
      </c>
    </row>
    <row r="3486" ht="15.75" customHeight="1">
      <c r="A3486" s="1">
        <v>3710.0</v>
      </c>
      <c r="B3486" s="3" t="s">
        <v>3394</v>
      </c>
      <c r="C3486" s="3" t="str">
        <f>IFERROR(__xludf.DUMMYFUNCTION("GOOGLETRANSLATE(B3486,""id"",""en"")"),"['What', 'update', 'used', 'App', 'MyTelkomsel', 'screen', 'white', 'then', 'solution', ""]")</f>
        <v>['What', 'update', 'used', 'App', 'MyTelkomsel', 'screen', 'white', 'then', 'solution', "]</v>
      </c>
      <c r="D3486" s="3">
        <v>1.0</v>
      </c>
    </row>
    <row r="3487" ht="15.75" customHeight="1">
      <c r="A3487" s="1">
        <v>3711.0</v>
      </c>
      <c r="B3487" s="3" t="s">
        <v>3395</v>
      </c>
      <c r="C3487" s="3" t="str">
        <f>IFERROR(__xludf.DUMMYFUNCTION("GOOGLETRANSLATE(B3487,""id"",""en"")"),"['Severe', 'Nukerin', 'Points',' Telkomsel ',' Points', 'Voucher', 'Alfamart', 'A Week', 'Excited', 'Description', 'Exchanged', 'Alfamart', ' stem ',' Java ',' position ',' Surabaya ',' weak ',' projection ',' Telkomsel ',' Hacker ',' Hacker ',' ']")</f>
        <v>['Severe', 'Nukerin', 'Points',' Telkomsel ',' Points', 'Voucher', 'Alfamart', 'A Week', 'Excited', 'Description', 'Exchanged', 'Alfamart', ' stem ',' Java ',' position ',' Surabaya ',' weak ',' projection ',' Telkomsel ',' Hacker ',' Hacker ',' ']</v>
      </c>
      <c r="D3487" s="3">
        <v>3.0</v>
      </c>
    </row>
    <row r="3488" ht="15.75" customHeight="1">
      <c r="A3488" s="1">
        <v>3712.0</v>
      </c>
      <c r="B3488" s="3" t="s">
        <v>3396</v>
      </c>
      <c r="C3488" s="3" t="str">
        <f>IFERROR(__xludf.DUMMYFUNCTION("GOOGLETRANSLATE(B3488,""id"",""en"")"),"['Opening', 'Telkomsel', 'Need', 'Struggle', ""]")</f>
        <v>['Opening', 'Telkomsel', 'Need', 'Struggle', "]</v>
      </c>
      <c r="D3488" s="3">
        <v>1.0</v>
      </c>
    </row>
    <row r="3489" ht="15.75" customHeight="1">
      <c r="A3489" s="1">
        <v>3713.0</v>
      </c>
      <c r="B3489" s="3" t="s">
        <v>3397</v>
      </c>
      <c r="C3489" s="3" t="str">
        <f>IFERROR(__xludf.DUMMYFUNCTION("GOOGLETRANSLATE(B3489,""id"",""en"")"),"['buy', 'card', 'Telkomsel', 'UDH', 'expensive', 'signal', 'down', 'buy', 'card', 'Telkomsel', 'Mending', 'buy', ' cheap ',' signal ',' strong ',' telkomsel ',' try ',' udh ',' expensive ',' ngellag ',' ngellag ',' lgi ',' signal ',' kagak ',' gini ' , 'S"&amp;"ekrng', 'knp', 'card', 'strangling']")</f>
        <v>['buy', 'card', 'Telkomsel', 'UDH', 'expensive', 'signal', 'down', 'buy', 'card', 'Telkomsel', 'Mending', 'buy', ' cheap ',' signal ',' strong ',' telkomsel ',' try ',' udh ',' expensive ',' ngellag ',' ngellag ',' lgi ',' signal ',' kagak ',' gini ' , 'Sekrng', 'knp', 'card', 'strangling']</v>
      </c>
      <c r="D3489" s="3">
        <v>5.0</v>
      </c>
    </row>
    <row r="3490" ht="15.75" customHeight="1">
      <c r="A3490" s="1">
        <v>3714.0</v>
      </c>
      <c r="B3490" s="3" t="s">
        <v>3398</v>
      </c>
      <c r="C3490" s="3" t="str">
        <f>IFERROR(__xludf.DUMMYFUNCTION("GOOGLETRANSLATE(B3490,""id"",""en"")"),"['users',' Telkomsel ',' hope ',' Note ',' Active ',' Forgot ',' Screen ',' Shot ',' Changed ',' Smooth ',' Telkomsel ',' Customer ',' buy ',' pulse ',' extend ',' active ', ""]")</f>
        <v>['users',' Telkomsel ',' hope ',' Note ',' Active ',' Forgot ',' Screen ',' Shot ',' Changed ',' Smooth ',' Telkomsel ',' Customer ',' buy ',' pulse ',' extend ',' active ', "]</v>
      </c>
      <c r="D3490" s="3">
        <v>1.0</v>
      </c>
    </row>
    <row r="3491" ht="15.75" customHeight="1">
      <c r="A3491" s="1">
        <v>3715.0</v>
      </c>
      <c r="B3491" s="3" t="s">
        <v>3399</v>
      </c>
      <c r="C3491" s="3" t="str">
        <f>IFERROR(__xludf.DUMMYFUNCTION("GOOGLETRANSLATE(B3491,""id"",""en"")"),"['network', 'maximal', 'lottery', 'Telkomsel', 'news', 'news', 'sdg', 'send', 'point']")</f>
        <v>['network', 'maximal', 'lottery', 'Telkomsel', 'news', 'news', 'sdg', 'send', 'point']</v>
      </c>
      <c r="D3491" s="3">
        <v>1.0</v>
      </c>
    </row>
    <row r="3492" ht="15.75" customHeight="1">
      <c r="A3492" s="1">
        <v>3716.0</v>
      </c>
      <c r="B3492" s="3" t="s">
        <v>3400</v>
      </c>
      <c r="C3492" s="3" t="str">
        <f>IFERROR(__xludf.DUMMYFUNCTION("GOOGLETRANSLATE(B3492,""id"",""en"")"),"['heart', 'heart', 'Telkomsel', 'active', 'smooth', 'Telkomsel', 'Customer', 'buy', 'credit', 'extend', 'active', 'comment', ' Lost ',' writing ',' comment ', ""]")</f>
        <v>['heart', 'heart', 'Telkomsel', 'active', 'smooth', 'Telkomsel', 'Customer', 'buy', 'credit', 'extend', 'active', 'comment', ' Lost ',' writing ',' comment ', "]</v>
      </c>
      <c r="D3492" s="3">
        <v>1.0</v>
      </c>
    </row>
    <row r="3493" ht="15.75" customHeight="1">
      <c r="A3493" s="1">
        <v>3717.0</v>
      </c>
      <c r="B3493" s="3" t="s">
        <v>3401</v>
      </c>
      <c r="C3493" s="3" t="str">
        <f>IFERROR(__xludf.DUMMYFUNCTION("GOOGLETRANSLATE(B3493,""id"",""en"")"),"['APL', 'bad', 'replace', 'card', 'mas',' bro ',' serious', 'ntar', 'sick', 'ati', 'telkomsel', 'steady', ' Cheap ',' mah ',' expensive ',' idiot ',' cuihhhhhh ']")</f>
        <v>['APL', 'bad', 'replace', 'card', 'mas',' bro ',' serious', 'ntar', 'sick', 'ati', 'telkomsel', 'steady', ' Cheap ',' mah ',' expensive ',' idiot ',' cuihhhhhh ']</v>
      </c>
      <c r="D3493" s="3">
        <v>1.0</v>
      </c>
    </row>
    <row r="3494" ht="15.75" customHeight="1">
      <c r="A3494" s="1">
        <v>3718.0</v>
      </c>
      <c r="B3494" s="3" t="s">
        <v>3402</v>
      </c>
      <c r="C3494" s="3" t="str">
        <f>IFERROR(__xludf.DUMMYFUNCTION("GOOGLETRANSLATE(B3494,""id"",""en"")"),"['pulse', 'missing', 'menu', 'key', 'pulse', 'contents', 'pulse', 'safe', '']")</f>
        <v>['pulse', 'missing', 'menu', 'key', 'pulse', 'contents', 'pulse', 'safe', '']</v>
      </c>
      <c r="D3494" s="3">
        <v>1.0</v>
      </c>
    </row>
    <row r="3495" ht="15.75" customHeight="1">
      <c r="A3495" s="1">
        <v>3719.0</v>
      </c>
      <c r="B3495" s="3" t="s">
        <v>859</v>
      </c>
      <c r="C3495" s="3" t="str">
        <f>IFERROR(__xludf.DUMMYFUNCTION("GOOGLETRANSLATE(B3495,""id"",""en"")"),"['help', '']")</f>
        <v>['help', '']</v>
      </c>
      <c r="D3495" s="3">
        <v>5.0</v>
      </c>
    </row>
    <row r="3496" ht="15.75" customHeight="1">
      <c r="A3496" s="1">
        <v>3720.0</v>
      </c>
      <c r="B3496" s="3" t="s">
        <v>3403</v>
      </c>
      <c r="C3496" s="3" t="str">
        <f>IFERROR(__xludf.DUMMYFUNCTION("GOOGLETRANSLATE(B3496,""id"",""en"")"),"['Its APK's "",' Knp ',' Open ',' Buy ',' Package ',' Combo ',' Sakti ',' Application ',' Upke ',' APK ',' Open ']")</f>
        <v>['Its APK's ",' Knp ',' Open ',' Buy ',' Package ',' Combo ',' Sakti ',' Application ',' Upke ',' APK ',' Open ']</v>
      </c>
      <c r="D3496" s="3">
        <v>5.0</v>
      </c>
    </row>
    <row r="3497" ht="15.75" customHeight="1">
      <c r="A3497" s="1">
        <v>3721.0</v>
      </c>
      <c r="B3497" s="3" t="s">
        <v>3404</v>
      </c>
      <c r="C3497" s="3" t="str">
        <f>IFERROR(__xludf.DUMMYFUNCTION("GOOGLETRANSLATE(B3497,""id"",""en"")"),"['Knp', 'Telkomsel']")</f>
        <v>['Knp', 'Telkomsel']</v>
      </c>
      <c r="D3497" s="3">
        <v>5.0</v>
      </c>
    </row>
    <row r="3498" ht="15.75" customHeight="1">
      <c r="A3498" s="1">
        <v>3723.0</v>
      </c>
      <c r="B3498" s="3" t="s">
        <v>3405</v>
      </c>
      <c r="C3498" s="3" t="str">
        <f>IFERROR(__xludf.DUMMYFUNCTION("GOOGLETRANSLATE(B3498,""id"",""en"")"),"['Please', 'Fix', 'APK', 'Telkomsel', 'UDH', 'Kayak', 'Honest', 'Like', 'Telkomsel', 'Dlu', 'Sakarang', 'Difference', ' price ',' buy ',' package ',' please ',' quota ',' emergency ',' delete ',' quota ',' stay ',' half ',' already ',' active ',' quota ' "&amp;", 'emergency', '']")</f>
        <v>['Please', 'Fix', 'APK', 'Telkomsel', 'UDH', 'Kayak', 'Honest', 'Like', 'Telkomsel', 'Dlu', 'Sakarang', 'Difference', ' price ',' buy ',' package ',' please ',' quota ',' emergency ',' delete ',' quota ',' stay ',' half ',' already ',' active ',' quota ' , 'emergency', '']</v>
      </c>
      <c r="D3498" s="3">
        <v>2.0</v>
      </c>
    </row>
    <row r="3499" ht="15.75" customHeight="1">
      <c r="A3499" s="1">
        <v>3724.0</v>
      </c>
      <c r="B3499" s="3" t="s">
        <v>3406</v>
      </c>
      <c r="C3499" s="3" t="str">
        <f>IFERROR(__xludf.DUMMYFUNCTION("GOOGLETRANSLATE(B3499,""id"",""en"")"),"['Telkomsel', 'a week', 'Telkomsel', 'slow', 'network', 'Mulu', 'smooth', 'Please', 'Telkomsel', 'fix', 'Wonogiri', 'Java']")</f>
        <v>['Telkomsel', 'a week', 'Telkomsel', 'slow', 'network', 'Mulu', 'smooth', 'Please', 'Telkomsel', 'fix', 'Wonogiri', 'Java']</v>
      </c>
      <c r="D3499" s="3">
        <v>1.0</v>
      </c>
    </row>
    <row r="3500" ht="15.75" customHeight="1">
      <c r="A3500" s="1">
        <v>3725.0</v>
      </c>
      <c r="B3500" s="3" t="s">
        <v>3407</v>
      </c>
      <c r="C3500" s="3" t="str">
        <f>IFERROR(__xludf.DUMMYFUNCTION("GOOGLETRANSLATE(B3500,""id"",""en"")"),"['Fill', 'pulse', 'TPI', 'JDI', 'then', 'notification', 'internet', 'non', 'package', 'Disable', 'what', ""]")</f>
        <v>['Fill', 'pulse', 'TPI', 'JDI', 'then', 'notification', 'internet', 'non', 'package', 'Disable', 'what', "]</v>
      </c>
      <c r="D3500" s="3">
        <v>1.0</v>
      </c>
    </row>
    <row r="3501" ht="15.75" customHeight="1">
      <c r="A3501" s="1">
        <v>3726.0</v>
      </c>
      <c r="B3501" s="3" t="s">
        <v>3408</v>
      </c>
      <c r="C3501" s="3" t="str">
        <f>IFERROR(__xludf.DUMMYFUNCTION("GOOGLETRANSLATE(B3501,""id"",""en"")"),"['Telkomsel', 'like', 'Steal', 'Credit', 'Fill', 'Already', 'Abis',' TIME ',' TPI ',' Signal ',' Gada ',' Kota ',' GMANA ',' 'already', 'Veronica', 'Gini', 'Mending', 'Moving', 'Tri', '']")</f>
        <v>['Telkomsel', 'like', 'Steal', 'Credit', 'Fill', 'Already', 'Abis',' TIME ',' TPI ',' Signal ',' Gada ',' Kota ',' GMANA ',' 'already', 'Veronica', 'Gini', 'Mending', 'Moving', 'Tri', '']</v>
      </c>
      <c r="D3501" s="3">
        <v>1.0</v>
      </c>
    </row>
    <row r="3502" ht="15.75" customHeight="1">
      <c r="A3502" s="1">
        <v>3727.0</v>
      </c>
      <c r="B3502" s="3" t="s">
        <v>3409</v>
      </c>
      <c r="C3502" s="3" t="str">
        <f>IFERROR(__xludf.DUMMYFUNCTION("GOOGLETRANSLATE(B3502,""id"",""en"")"),"['Fast', 'Accurate']")</f>
        <v>['Fast', 'Accurate']</v>
      </c>
      <c r="D3502" s="3">
        <v>5.0</v>
      </c>
    </row>
    <row r="3503" ht="15.75" customHeight="1">
      <c r="A3503" s="1">
        <v>3728.0</v>
      </c>
      <c r="B3503" s="3" t="s">
        <v>3410</v>
      </c>
      <c r="C3503" s="3" t="str">
        <f>IFERROR(__xludf.DUMMYFUNCTION("GOOGLETRANSLATE(B3503,""id"",""en"")"),"['Application', 'Latest', 'Charges', 'Easy', 'Community', 'User', 'Telkomsel']")</f>
        <v>['Application', 'Latest', 'Charges', 'Easy', 'Community', 'User', 'Telkomsel']</v>
      </c>
      <c r="D3503" s="3">
        <v>5.0</v>
      </c>
    </row>
    <row r="3504" ht="15.75" customHeight="1">
      <c r="A3504" s="1">
        <v>3729.0</v>
      </c>
      <c r="B3504" s="3" t="s">
        <v>3411</v>
      </c>
      <c r="C3504" s="3" t="str">
        <f>IFERROR(__xludf.DUMMYFUNCTION("GOOGLETRANSLATE(B3504,""id"",""en"")"),"['Main', 'Benerin', 'Napa', 'bro', 'expensive', 'buy', 'stable']")</f>
        <v>['Main', 'Benerin', 'Napa', 'bro', 'expensive', 'buy', 'stable']</v>
      </c>
      <c r="D3504" s="3">
        <v>1.0</v>
      </c>
    </row>
    <row r="3505" ht="15.75" customHeight="1">
      <c r="A3505" s="1">
        <v>3730.0</v>
      </c>
      <c r="B3505" s="3" t="s">
        <v>3412</v>
      </c>
      <c r="C3505" s="3" t="str">
        <f>IFERROR(__xludf.DUMMYFUNCTION("GOOGLETRANSLATE(B3505,""id"",""en"")"),"['Please', 'Package', 'Extra', 'Unlimited', 'Balikin', 'Min', ""]")</f>
        <v>['Please', 'Package', 'Extra', 'Unlimited', 'Balikin', 'Min', "]</v>
      </c>
      <c r="D3505" s="3">
        <v>4.0</v>
      </c>
    </row>
    <row r="3506" ht="15.75" customHeight="1">
      <c r="A3506" s="1">
        <v>3731.0</v>
      </c>
      <c r="B3506" s="3" t="s">
        <v>3413</v>
      </c>
      <c r="C3506" s="3" t="str">
        <f>IFERROR(__xludf.DUMMYFUNCTION("GOOGLETRANSLATE(B3506,""id"",""en"")"),"['Please', 'Telkomsel', 'Increase', 'Signal', 'Region', 'Depok', 'Putuk', 'Use', 'Card', 'Sousal', 'Card', 'Contents',' package ',' signal ',' rotten ',' expensive ',' doang ',' different ',' card ',' next door ',' cheap ',' ability ',' please ',' increas"&amp;"e ']")</f>
        <v>['Please', 'Telkomsel', 'Increase', 'Signal', 'Region', 'Depok', 'Putuk', 'Use', 'Card', 'Sousal', 'Card', 'Contents',' package ',' signal ',' rotten ',' expensive ',' doang ',' different ',' card ',' next door ',' cheap ',' ability ',' please ',' increase ']</v>
      </c>
      <c r="D3506" s="3">
        <v>1.0</v>
      </c>
    </row>
    <row r="3507" ht="15.75" customHeight="1">
      <c r="A3507" s="1">
        <v>3732.0</v>
      </c>
      <c r="B3507" s="3" t="s">
        <v>3414</v>
      </c>
      <c r="C3507" s="3" t="str">
        <f>IFERROR(__xludf.DUMMYFUNCTION("GOOGLETRANSLATE(B3507,""id"",""en"")"),"['Good', 'APK', 'mura']")</f>
        <v>['Good', 'APK', 'mura']</v>
      </c>
      <c r="D3507" s="3">
        <v>5.0</v>
      </c>
    </row>
    <row r="3508" ht="15.75" customHeight="1">
      <c r="A3508" s="1">
        <v>3733.0</v>
      </c>
      <c r="B3508" s="3" t="s">
        <v>3415</v>
      </c>
      <c r="C3508" s="3" t="str">
        <f>IFERROR(__xludf.DUMMYFUNCTION("GOOGLETRANSLATE(B3508,""id"",""en"")"),"['Satisfied', 'help', 'really', '']")</f>
        <v>['Satisfied', 'help', 'really', '']</v>
      </c>
      <c r="D3508" s="3">
        <v>5.0</v>
      </c>
    </row>
    <row r="3509" ht="15.75" customHeight="1">
      <c r="A3509" s="1">
        <v>3734.0</v>
      </c>
      <c r="B3509" s="3" t="s">
        <v>3416</v>
      </c>
      <c r="C3509" s="3" t="str">
        <f>IFERROR(__xludf.DUMMYFUNCTION("GOOGLETRANSLATE(B3509,""id"",""en"")"),"['Open', 'screen', 'white', 'appears']")</f>
        <v>['Open', 'screen', 'white', 'appears']</v>
      </c>
      <c r="D3509" s="3">
        <v>1.0</v>
      </c>
    </row>
    <row r="3510" ht="15.75" customHeight="1">
      <c r="A3510" s="1">
        <v>3735.0</v>
      </c>
      <c r="B3510" s="3" t="s">
        <v>1555</v>
      </c>
      <c r="C3510" s="3" t="str">
        <f>IFERROR(__xludf.DUMMYFUNCTION("GOOGLETRANSLATE(B3510,""id"",""en"")"),"['application', 'open', '']")</f>
        <v>['application', 'open', '']</v>
      </c>
      <c r="D3510" s="3">
        <v>1.0</v>
      </c>
    </row>
    <row r="3511" ht="15.75" customHeight="1">
      <c r="A3511" s="1">
        <v>3736.0</v>
      </c>
      <c r="B3511" s="3" t="s">
        <v>3417</v>
      </c>
      <c r="C3511" s="3" t="str">
        <f>IFERROR(__xludf.DUMMYFUNCTION("GOOGLETRANSLATE(B3511,""id"",""en"")"),"['Telkomsel', 'here', 'ugly', 'singnal', 'package', 'internet', 'expensive', 'like', 'then', 'bnyak', 'moved', 'card', ' Please, 'repair', 'admin']")</f>
        <v>['Telkomsel', 'here', 'ugly', 'singnal', 'package', 'internet', 'expensive', 'like', 'then', 'bnyak', 'moved', 'card', ' Please, 'repair', 'admin']</v>
      </c>
      <c r="D3511" s="3">
        <v>1.0</v>
      </c>
    </row>
    <row r="3512" ht="15.75" customHeight="1">
      <c r="A3512" s="1">
        <v>3737.0</v>
      </c>
      <c r="B3512" s="3" t="s">
        <v>3418</v>
      </c>
      <c r="C3512" s="3" t="str">
        <f>IFERROR(__xludf.DUMMYFUNCTION("GOOGLETRANSLATE(B3512,""id"",""en"")"),"['opened', 'yaa', 'APK', '']")</f>
        <v>['opened', 'yaa', 'APK', '']</v>
      </c>
      <c r="D3512" s="3">
        <v>1.0</v>
      </c>
    </row>
    <row r="3513" ht="15.75" customHeight="1">
      <c r="A3513" s="1">
        <v>3738.0</v>
      </c>
      <c r="B3513" s="3" t="s">
        <v>3419</v>
      </c>
      <c r="C3513" s="3" t="str">
        <f>IFERROR(__xludf.DUMMYFUNCTION("GOOGLETRANSLATE(B3513,""id"",""en"")"),"['signal', 'network', 'Telkomsel', 'please', 'repaired', 'slow']")</f>
        <v>['signal', 'network', 'Telkomsel', 'please', 'repaired', 'slow']</v>
      </c>
      <c r="D3513" s="3">
        <v>2.0</v>
      </c>
    </row>
    <row r="3514" ht="15.75" customHeight="1">
      <c r="A3514" s="1">
        <v>3739.0</v>
      </c>
      <c r="B3514" s="3" t="s">
        <v>3420</v>
      </c>
      <c r="C3514" s="3" t="str">
        <f>IFERROR(__xludf.DUMMYFUNCTION("GOOGLETRANSLATE(B3514,""id"",""en"")"),"['enter', 'application', 'check', 'pulse', 'enter']")</f>
        <v>['enter', 'application', 'check', 'pulse', 'enter']</v>
      </c>
      <c r="D3514" s="3">
        <v>1.0</v>
      </c>
    </row>
    <row r="3515" ht="15.75" customHeight="1">
      <c r="A3515" s="1">
        <v>3740.0</v>
      </c>
      <c r="B3515" s="3" t="s">
        <v>3421</v>
      </c>
      <c r="C3515" s="3" t="str">
        <f>IFERROR(__xludf.DUMMYFUNCTION("GOOGLETRANSLATE(B3515,""id"",""en"")"),"['Application', 'Open']")</f>
        <v>['Application', 'Open']</v>
      </c>
      <c r="D3515" s="3">
        <v>1.0</v>
      </c>
    </row>
    <row r="3516" ht="15.75" customHeight="1">
      <c r="A3516" s="1">
        <v>3741.0</v>
      </c>
      <c r="B3516" s="3" t="s">
        <v>3422</v>
      </c>
      <c r="C3516" s="3" t="str">
        <f>IFERROR(__xludf.DUMMYFUNCTION("GOOGLETRANSLATE(B3516,""id"",""en"")"),"['buy', 'package', 'UDH', 'open', 'APK', 'Network', 'UDH', 'Good', 'then', 'Udh', 'wifi', 'huka', ' Yesterday ',' Buy ',' Package ',' Suprise ',' Deal ',' Kaga ',' UDH ',' Delete ',' APK ',' then ',' Download ',' Re-download ' , 'Severe', 'emang', 'APK']")</f>
        <v>['buy', 'package', 'UDH', 'open', 'APK', 'Network', 'UDH', 'Good', 'then', 'Udh', 'wifi', 'huka', ' Yesterday ',' Buy ',' Package ',' Suprise ',' Deal ',' Kaga ',' UDH ',' Delete ',' APK ',' then ',' Download ',' Re-download ' , 'Severe', 'emang', 'APK']</v>
      </c>
      <c r="D3516" s="3">
        <v>1.0</v>
      </c>
    </row>
    <row r="3517" ht="15.75" customHeight="1">
      <c r="A3517" s="1">
        <v>3742.0</v>
      </c>
      <c r="B3517" s="3" t="s">
        <v>3423</v>
      </c>
      <c r="C3517" s="3" t="str">
        <f>IFERROR(__xludf.DUMMYFUNCTION("GOOGLETRANSLATE(B3517,""id"",""en"")"),"['Satisfied', 'Honey', 'Most', 'Quota', 'Local']")</f>
        <v>['Satisfied', 'Honey', 'Most', 'Quota', 'Local']</v>
      </c>
      <c r="D3517" s="3">
        <v>4.0</v>
      </c>
    </row>
    <row r="3518" ht="15.75" customHeight="1">
      <c r="A3518" s="1">
        <v>3743.0</v>
      </c>
      <c r="B3518" s="3" t="s">
        <v>3424</v>
      </c>
      <c r="C3518" s="3" t="str">
        <f>IFERROR(__xludf.DUMMYFUNCTION("GOOGLETRANSLATE(B3518,""id"",""en"")"),"['Application', 'DLBISA', 'Opened']")</f>
        <v>['Application', 'DLBISA', 'Opened']</v>
      </c>
      <c r="D3518" s="3">
        <v>1.0</v>
      </c>
    </row>
    <row r="3519" ht="15.75" customHeight="1">
      <c r="A3519" s="1">
        <v>3744.0</v>
      </c>
      <c r="B3519" s="3" t="s">
        <v>3425</v>
      </c>
      <c r="C3519" s="3" t="str">
        <f>IFERROR(__xludf.DUMMYFUNCTION("GOOGLETRANSLATE(B3519,""id"",""en"")"),"['Hopefully', 'Bags']")</f>
        <v>['Hopefully', 'Bags']</v>
      </c>
      <c r="D3519" s="3">
        <v>5.0</v>
      </c>
    </row>
    <row r="3520" ht="15.75" customHeight="1">
      <c r="A3520" s="1">
        <v>3745.0</v>
      </c>
      <c r="B3520" s="3" t="s">
        <v>3426</v>
      </c>
      <c r="C3520" s="3" t="str">
        <f>IFERROR(__xludf.DUMMYFUNCTION("GOOGLETRANSLATE(B3520,""id"",""en"")"),"['Application', 'Telkomsel', 'Good', 'Charges', 'Easy', 'Interaction', 'Ber', 'Communication']")</f>
        <v>['Application', 'Telkomsel', 'Good', 'Charges', 'Easy', 'Interaction', 'Ber', 'Communication']</v>
      </c>
      <c r="D3520" s="3">
        <v>2.0</v>
      </c>
    </row>
    <row r="3521" ht="15.75" customHeight="1">
      <c r="A3521" s="1">
        <v>3746.0</v>
      </c>
      <c r="B3521" s="3" t="s">
        <v>3427</v>
      </c>
      <c r="C3521" s="3" t="str">
        <f>IFERROR(__xludf.DUMMYFUNCTION("GOOGLETRANSLATE(B3521,""id"",""en"")"),"['a month', 'application', 'no', 'open']")</f>
        <v>['a month', 'application', 'no', 'open']</v>
      </c>
      <c r="D3521" s="3">
        <v>3.0</v>
      </c>
    </row>
    <row r="3522" ht="15.75" customHeight="1">
      <c r="A3522" s="1">
        <v>3747.0</v>
      </c>
      <c r="B3522" s="3" t="s">
        <v>3428</v>
      </c>
      <c r="C3522" s="3" t="str">
        <f>IFERROR(__xludf.DUMMYFUNCTION("GOOGLETRANSLATE(B3522,""id"",""en"")"),"['bad signal']")</f>
        <v>['bad signal']</v>
      </c>
      <c r="D3522" s="3">
        <v>1.0</v>
      </c>
    </row>
    <row r="3523" ht="15.75" customHeight="1">
      <c r="A3523" s="1">
        <v>3748.0</v>
      </c>
      <c r="B3523" s="3" t="s">
        <v>3429</v>
      </c>
      <c r="C3523" s="3" t="str">
        <f>IFERROR(__xludf.DUMMYFUNCTION("GOOGLETRANSLATE(B3523,""id"",""en"")"),"['update', 'application', 'open it', '']")</f>
        <v>['update', 'application', 'open it', '']</v>
      </c>
      <c r="D3523" s="3">
        <v>1.0</v>
      </c>
    </row>
    <row r="3524" ht="15.75" customHeight="1">
      <c r="A3524" s="1">
        <v>3749.0</v>
      </c>
      <c r="B3524" s="3" t="s">
        <v>3430</v>
      </c>
      <c r="C3524" s="3" t="str">
        <f>IFERROR(__xludf.DUMMYFUNCTION("GOOGLETRANSLATE(B3524,""id"",""en"")"),"['Updated', 'Install', 'reset', 'Tetep', 'opened', 'The application', ""]")</f>
        <v>['Updated', 'Install', 'reset', 'Tetep', 'opened', 'The application', "]</v>
      </c>
      <c r="D3524" s="3">
        <v>1.0</v>
      </c>
    </row>
    <row r="3525" ht="15.75" customHeight="1">
      <c r="A3525" s="1">
        <v>3750.0</v>
      </c>
      <c r="B3525" s="3" t="s">
        <v>3431</v>
      </c>
      <c r="C3525" s="3" t="str">
        <f>IFERROR(__xludf.DUMMYFUNCTION("GOOGLETRANSLATE(B3525,""id"",""en"")"),"['disappointed', 'Ama', 'Telkomsel', 'signal', 'difficult', 'rich', 'sometimes',' feels', 'network', 'slow', 'sell', 'harm', ' Buy ',' Package ',' Unlimited ',' YouTube ',' Road ',' Road ',' Loss', 'Please', 'LHK', ""]")</f>
        <v>['disappointed', 'Ama', 'Telkomsel', 'signal', 'difficult', 'rich', 'sometimes',' feels', 'network', 'slow', 'sell', 'harm', ' Buy ',' Package ',' Unlimited ',' YouTube ',' Road ',' Road ',' Loss', 'Please', 'LHK', "]</v>
      </c>
      <c r="D3525" s="3">
        <v>1.0</v>
      </c>
    </row>
    <row r="3526" ht="15.75" customHeight="1">
      <c r="A3526" s="1">
        <v>3751.0</v>
      </c>
      <c r="B3526" s="3" t="s">
        <v>3432</v>
      </c>
      <c r="C3526" s="3" t="str">
        <f>IFERROR(__xludf.DUMMYFUNCTION("GOOGLETRANSLATE(B3526,""id"",""en"")"),"['Login', 'Cengkunek', 'for a while', 'update', 'Buk', 'Application', 'SLL', 'Kogin', 'UDH', 'Updated', 'Application', 'Update', ' Stupid']")</f>
        <v>['Login', 'Cengkunek', 'for a while', 'update', 'Buk', 'Application', 'SLL', 'Kogin', 'UDH', 'Updated', 'Application', 'Update', ' Stupid']</v>
      </c>
      <c r="D3526" s="3">
        <v>3.0</v>
      </c>
    </row>
    <row r="3527" ht="15.75" customHeight="1">
      <c r="A3527" s="1">
        <v>3752.0</v>
      </c>
      <c r="B3527" s="3" t="s">
        <v>3433</v>
      </c>
      <c r="C3527" s="3" t="str">
        <f>IFERROR(__xludf.DUMMYFUNCTION("GOOGLETRANSLATE(B3527,""id"",""en"")"),"['Service']")</f>
        <v>['Service']</v>
      </c>
      <c r="D3527" s="3">
        <v>5.0</v>
      </c>
    </row>
    <row r="3528" ht="15.75" customHeight="1">
      <c r="A3528" s="1">
        <v>3753.0</v>
      </c>
      <c r="B3528" s="3" t="s">
        <v>3434</v>
      </c>
      <c r="C3528" s="3" t="str">
        <f>IFERROR(__xludf.DUMMYFUNCTION("GOOGLETRANSLATE(B3528,""id"",""en"")"),"['Addin', 'bonus']")</f>
        <v>['Addin', 'bonus']</v>
      </c>
      <c r="D3528" s="3">
        <v>4.0</v>
      </c>
    </row>
    <row r="3529" ht="15.75" customHeight="1">
      <c r="A3529" s="1">
        <v>3754.0</v>
      </c>
      <c r="B3529" s="3" t="s">
        <v>3435</v>
      </c>
      <c r="C3529" s="3" t="str">
        <f>IFERROR(__xludf.DUMMYFUNCTION("GOOGLETRANSLATE(B3529,""id"",""en"")"),"['Haduuuuh', 'opened', 'APK']")</f>
        <v>['Haduuuuh', 'opened', 'APK']</v>
      </c>
      <c r="D3529" s="3">
        <v>1.0</v>
      </c>
    </row>
    <row r="3530" ht="15.75" customHeight="1">
      <c r="A3530" s="1">
        <v>3755.0</v>
      </c>
      <c r="B3530" s="3" t="s">
        <v>3436</v>
      </c>
      <c r="C3530" s="3" t="str">
        <f>IFERROR(__xludf.DUMMYFUNCTION("GOOGLETRANSLATE(B3530,""id"",""en"")"),"['Assalamualaikum', 'night', 'cold', 'brand', 'country', 'America']")</f>
        <v>['Assalamualaikum', 'night', 'cold', 'brand', 'country', 'America']</v>
      </c>
      <c r="D3530" s="3">
        <v>5.0</v>
      </c>
    </row>
    <row r="3531" ht="15.75" customHeight="1">
      <c r="A3531" s="1">
        <v>3756.0</v>
      </c>
      <c r="B3531" s="3" t="s">
        <v>3437</v>
      </c>
      <c r="C3531" s="3" t="str">
        <f>IFERROR(__xludf.DUMMYFUNCTION("GOOGLETRANSLATE(B3531,""id"",""en"")"),"['price', 'package', 'internet', 'expensive', 'network', 'ilang', 'sudden', 'regret', 'use', 'telkomsel']")</f>
        <v>['price', 'package', 'internet', 'expensive', 'network', 'ilang', 'sudden', 'regret', 'use', 'telkomsel']</v>
      </c>
      <c r="D3531" s="3">
        <v>1.0</v>
      </c>
    </row>
    <row r="3532" ht="15.75" customHeight="1">
      <c r="A3532" s="1">
        <v>3757.0</v>
      </c>
      <c r="B3532" s="3" t="s">
        <v>3438</v>
      </c>
      <c r="C3532" s="3" t="str">
        <f>IFERROR(__xludf.DUMMYFUNCTION("GOOGLETRANSLATE(B3532,""id"",""en"")"),"['Boboboy', 'Best', ""]")</f>
        <v>['Boboboy', 'Best', "]</v>
      </c>
      <c r="D3532" s="3">
        <v>5.0</v>
      </c>
    </row>
    <row r="3533" ht="15.75" customHeight="1">
      <c r="A3533" s="1">
        <v>3758.0</v>
      </c>
      <c r="B3533" s="3" t="s">
        <v>3439</v>
      </c>
      <c r="C3533" s="3" t="str">
        <f>IFERROR(__xludf.DUMMYFUNCTION("GOOGLETRANSLATE(B3533,""id"",""en"")"),"['Free', 'wkwkwk']")</f>
        <v>['Free', 'wkwkwk']</v>
      </c>
      <c r="D3533" s="3">
        <v>5.0</v>
      </c>
    </row>
    <row r="3534" ht="15.75" customHeight="1">
      <c r="A3534" s="1">
        <v>3759.0</v>
      </c>
      <c r="B3534" s="3" t="s">
        <v>3440</v>
      </c>
      <c r="C3534" s="3" t="str">
        <f>IFERROR(__xludf.DUMMYFUNCTION("GOOGLETRANSLATE(B3534,""id"",""en"")"),"['response', 'bot', 'handled', 'muter', 'bot', 'then', 'network', 'ilang', 'provider', 'ex', 'Telkomsel', 'appears',' ihh ',' ']")</f>
        <v>['response', 'bot', 'handled', 'muter', 'bot', 'then', 'network', 'ilang', 'provider', 'ex', 'Telkomsel', 'appears',' ihh ',' ']</v>
      </c>
      <c r="D3534" s="3">
        <v>1.0</v>
      </c>
    </row>
    <row r="3535" ht="15.75" customHeight="1">
      <c r="A3535" s="1">
        <v>3760.0</v>
      </c>
      <c r="B3535" s="3" t="s">
        <v>3441</v>
      </c>
      <c r="C3535" s="3" t="str">
        <f>IFERROR(__xludf.DUMMYFUNCTION("GOOGLETRANSLATE(B3535,""id"",""en"")"),"['Trust', 'Keep']")</f>
        <v>['Trust', 'Keep']</v>
      </c>
      <c r="D3535" s="3">
        <v>5.0</v>
      </c>
    </row>
    <row r="3536" ht="15.75" customHeight="1">
      <c r="A3536" s="1">
        <v>3761.0</v>
      </c>
      <c r="B3536" s="3" t="s">
        <v>3442</v>
      </c>
      <c r="C3536" s="3" t="str">
        <f>IFERROR(__xludf.DUMMYFUNCTION("GOOGLETRANSLATE(B3536,""id"",""en"")"),"['knapa', 'Telkomsel', 'ngk', 'open', 'already', 'download', 'many', 'ngk', 'open']")</f>
        <v>['knapa', 'Telkomsel', 'ngk', 'open', 'already', 'download', 'many', 'ngk', 'open']</v>
      </c>
      <c r="D3536" s="3">
        <v>3.0</v>
      </c>
    </row>
    <row r="3537" ht="15.75" customHeight="1">
      <c r="A3537" s="1">
        <v>3762.0</v>
      </c>
      <c r="B3537" s="3" t="s">
        <v>3443</v>
      </c>
      <c r="C3537" s="3" t="str">
        <f>IFERROR(__xludf.DUMMYFUNCTION("GOOGLETRANSLATE(B3537,""id"",""en"")"),"['Telkomsel', 'overhauled', 'total', 'comes',' change ',' Akin ',' bad ',' quality ',' service ',' consumer ',' thank you ',' Please ',' ']")</f>
        <v>['Telkomsel', 'overhauled', 'total', 'comes',' change ',' Akin ',' bad ',' quality ',' service ',' consumer ',' thank you ',' Please ',' ']</v>
      </c>
      <c r="D3537" s="3">
        <v>1.0</v>
      </c>
    </row>
    <row r="3538" ht="15.75" customHeight="1">
      <c r="A3538" s="1">
        <v>3763.0</v>
      </c>
      <c r="B3538" s="3" t="s">
        <v>3444</v>
      </c>
      <c r="C3538" s="3" t="str">
        <f>IFERROR(__xludf.DUMMYFUNCTION("GOOGLETRANSLATE(B3538,""id"",""en"")"),"['telkontoi', 'buy', 'package', 'difficult', 'payment', 'failed', 'mulu', 'already', 'lag', 'ajg']")</f>
        <v>['telkontoi', 'buy', 'package', 'difficult', 'payment', 'failed', 'mulu', 'already', 'lag', 'ajg']</v>
      </c>
      <c r="D3538" s="3">
        <v>1.0</v>
      </c>
    </row>
    <row r="3539" ht="15.75" customHeight="1">
      <c r="A3539" s="1">
        <v>3765.0</v>
      </c>
      <c r="B3539" s="3" t="s">
        <v>3445</v>
      </c>
      <c r="C3539" s="3" t="str">
        <f>IFERROR(__xludf.DUMMYFUNCTION("GOOGLETRANSLATE(B3539,""id"",""en"")"),"['Application', 'emang', 'steady', 'fast']")</f>
        <v>['Application', 'emang', 'steady', 'fast']</v>
      </c>
      <c r="D3539" s="3">
        <v>4.0</v>
      </c>
    </row>
    <row r="3540" ht="15.75" customHeight="1">
      <c r="A3540" s="1">
        <v>3766.0</v>
      </c>
      <c r="B3540" s="3" t="s">
        <v>3446</v>
      </c>
      <c r="C3540" s="3" t="str">
        <f>IFERROR(__xludf.DUMMYFUNCTION("GOOGLETRANSLATE(B3540,""id"",""en"")"),"['Please', 'Application', 'Telkom', 'repay', 'Hard', 'Open', 'Application', 'Telkom', 'Love', 'Star', 'Application', 'Telkom', ' already ',' open ']")</f>
        <v>['Please', 'Application', 'Telkom', 'repay', 'Hard', 'Open', 'Application', 'Telkom', 'Love', 'Star', 'Application', 'Telkom', ' already ',' open ']</v>
      </c>
      <c r="D3540" s="3">
        <v>1.0</v>
      </c>
    </row>
    <row r="3541" ht="15.75" customHeight="1">
      <c r="A3541" s="1">
        <v>3767.0</v>
      </c>
      <c r="B3541" s="3" t="s">
        <v>3447</v>
      </c>
      <c r="C3541" s="3" t="str">
        <f>IFERROR(__xludf.DUMMYFUNCTION("GOOGLETRANSLATE(B3541,""id"",""en"")"),"['Watch', 'YouTube', 'Package', 'YouTube', 'Sumpot', 'Package', 'Main', 'Basic', 'Provider', 'Damaged', 'High School', 'Corruption', ' Many ',' times']")</f>
        <v>['Watch', 'YouTube', 'Package', 'YouTube', 'Sumpot', 'Package', 'Main', 'Basic', 'Provider', 'Damaged', 'High School', 'Corruption', ' Many ',' times']</v>
      </c>
      <c r="D3541" s="3">
        <v>1.0</v>
      </c>
    </row>
    <row r="3542" ht="15.75" customHeight="1">
      <c r="A3542" s="1">
        <v>3768.0</v>
      </c>
      <c r="B3542" s="3" t="s">
        <v>3448</v>
      </c>
      <c r="C3542" s="3" t="str">
        <f>IFERROR(__xludf.DUMMYFUNCTION("GOOGLETRANSLATE(B3542,""id"",""en"")"),"['Internet', 'Rates', 'Non', 'Package', 'Credit', 'Cut', 'Explanation', 'Use', 'Application', '']")</f>
        <v>['Internet', 'Rates', 'Non', 'Package', 'Credit', 'Cut', 'Explanation', 'Use', 'Application', '']</v>
      </c>
      <c r="D3542" s="3">
        <v>2.0</v>
      </c>
    </row>
    <row r="3543" ht="15.75" customHeight="1">
      <c r="A3543" s="1">
        <v>3769.0</v>
      </c>
      <c r="B3543" s="3" t="s">
        <v>3449</v>
      </c>
      <c r="C3543" s="3" t="str">
        <f>IFERROR(__xludf.DUMMYFUNCTION("GOOGLETRANSLATE(B3543,""id"",""en"")"),"['Telkomsel', 'stingy', 'promo', 'expensive', 'Points', 'Telkomsel', 'DPT', 'Lottery', '']")</f>
        <v>['Telkomsel', 'stingy', 'promo', 'expensive', 'Points', 'Telkomsel', 'DPT', 'Lottery', '']</v>
      </c>
      <c r="D3543" s="3">
        <v>1.0</v>
      </c>
    </row>
    <row r="3544" ht="15.75" customHeight="1">
      <c r="A3544" s="1">
        <v>3770.0</v>
      </c>
      <c r="B3544" s="3" t="s">
        <v>3450</v>
      </c>
      <c r="C3544" s="3" t="str">
        <f>IFERROR(__xludf.DUMMYFUNCTION("GOOGLETRANSLATE(B3544,""id"",""en"")"),"['Application', 'opened', 'Package', 'Data', 'Application', 'Update', 'Opened', 'Please', 'Server', 'Repaired', 'Min', 'Honest', ' disappointed', '']")</f>
        <v>['Application', 'opened', 'Package', 'Data', 'Application', 'Update', 'Opened', 'Please', 'Server', 'Repaired', 'Min', 'Honest', ' disappointed', '']</v>
      </c>
      <c r="D3544" s="3">
        <v>1.0</v>
      </c>
    </row>
    <row r="3545" ht="15.75" customHeight="1">
      <c r="A3545" s="1">
        <v>3771.0</v>
      </c>
      <c r="B3545" s="3" t="s">
        <v>3451</v>
      </c>
      <c r="C3545" s="3" t="str">
        <f>IFERROR(__xludf.DUMMYFUNCTION("GOOGLETRANSLATE(B3545,""id"",""en"")"),"['', 'good', 'idiot', 'network', 'rich', 'employees', 'work', 'take care', 'network', 'kontolll']")</f>
        <v>['', 'good', 'idiot', 'network', 'rich', 'employees', 'work', 'take care', 'network', 'kontolll']</v>
      </c>
      <c r="D3545" s="3">
        <v>1.0</v>
      </c>
    </row>
    <row r="3546" ht="15.75" customHeight="1">
      <c r="A3546" s="1">
        <v>3772.0</v>
      </c>
      <c r="B3546" s="3" t="s">
        <v>3452</v>
      </c>
      <c r="C3546" s="3" t="str">
        <f>IFERROR(__xludf.DUMMYFUNCTION("GOOGLETRANSLATE(B3546,""id"",""en"")"),"['opened', 'APK', 'min', 'already', 'week', 'fill', 'package']")</f>
        <v>['opened', 'APK', 'min', 'already', 'week', 'fill', 'package']</v>
      </c>
      <c r="D3546" s="3">
        <v>1.0</v>
      </c>
    </row>
    <row r="3547" ht="15.75" customHeight="1">
      <c r="A3547" s="1">
        <v>3773.0</v>
      </c>
      <c r="B3547" s="3" t="s">
        <v>1148</v>
      </c>
      <c r="C3547" s="3" t="str">
        <f>IFERROR(__xludf.DUMMYFUNCTION("GOOGLETRANSLATE(B3547,""id"",""en"")"),"['Application', 'opened']")</f>
        <v>['Application', 'opened']</v>
      </c>
      <c r="D3547" s="3">
        <v>1.0</v>
      </c>
    </row>
    <row r="3548" ht="15.75" customHeight="1">
      <c r="A3548" s="1">
        <v>3774.0</v>
      </c>
      <c r="B3548" s="3" t="s">
        <v>3453</v>
      </c>
      <c r="C3548" s="3" t="str">
        <f>IFERROR(__xludf.DUMMYFUNCTION("GOOGLETRANSLATE(B3548,""id"",""en"")"),"['The network', 'missing', 'missing', 'PDHAL', 'City', 'Makassar', 'Open', 'Application', 'Tsel', 'Loading', '']")</f>
        <v>['The network', 'missing', 'missing', 'PDHAL', 'City', 'Makassar', 'Open', 'Application', 'Tsel', 'Loading', '']</v>
      </c>
      <c r="D3548" s="3">
        <v>1.0</v>
      </c>
    </row>
    <row r="3549" ht="15.75" customHeight="1">
      <c r="A3549" s="1">
        <v>3775.0</v>
      </c>
      <c r="B3549" s="3" t="s">
        <v>3454</v>
      </c>
      <c r="C3549" s="3" t="str">
        <f>IFERROR(__xludf.DUMMYFUNCTION("GOOGLETRANSLATE(B3549,""id"",""en"")"),"['Good', 'Feature', 'Telkomsel', 'Free', 'Quota', 'Network', 'Not bad', 'Good']")</f>
        <v>['Good', 'Feature', 'Telkomsel', 'Free', 'Quota', 'Network', 'Not bad', 'Good']</v>
      </c>
      <c r="D3549" s="3">
        <v>4.0</v>
      </c>
    </row>
    <row r="3550" ht="15.75" customHeight="1">
      <c r="A3550" s="1">
        <v>3776.0</v>
      </c>
      <c r="B3550" s="3" t="s">
        <v>3455</v>
      </c>
      <c r="C3550" s="3" t="str">
        <f>IFERROR(__xludf.DUMMYFUNCTION("GOOGLETRANSLATE(B3550,""id"",""en"")"),"['enter', 'apk', 'Telkomsel', 'why', 'just', 'screen', 'white', 'doang', 'open', 'uninstall', 'refres',' beg ',' repair']")</f>
        <v>['enter', 'apk', 'Telkomsel', 'why', 'just', 'screen', 'white', 'doang', 'open', 'uninstall', 'refres',' beg ',' repair']</v>
      </c>
      <c r="D3550" s="3">
        <v>1.0</v>
      </c>
    </row>
    <row r="3551" ht="15.75" customHeight="1">
      <c r="A3551" s="1">
        <v>3777.0</v>
      </c>
      <c r="B3551" s="3" t="s">
        <v>3456</v>
      </c>
      <c r="C3551" s="3" t="str">
        <f>IFERROR(__xludf.DUMMYFUNCTION("GOOGLETRANSLATE(B3551,""id"",""en"")"),"['Upgrade', 'price', 'quota', 'expensive']")</f>
        <v>['Upgrade', 'price', 'quota', 'expensive']</v>
      </c>
      <c r="D3551" s="3">
        <v>1.0</v>
      </c>
    </row>
    <row r="3552" ht="15.75" customHeight="1">
      <c r="A3552" s="1">
        <v>3778.0</v>
      </c>
      <c r="B3552" s="3" t="s">
        <v>3457</v>
      </c>
      <c r="C3552" s="3" t="str">
        <f>IFERROR(__xludf.DUMMYFUNCTION("GOOGLETRANSLATE(B3552,""id"",""en"")"),"['Mksih', 'Telkomsel', 'Slalu', 'accompany']")</f>
        <v>['Mksih', 'Telkomsel', 'Slalu', 'accompany']</v>
      </c>
      <c r="D3552" s="3">
        <v>4.0</v>
      </c>
    </row>
    <row r="3553" ht="15.75" customHeight="1">
      <c r="A3553" s="1">
        <v>3779.0</v>
      </c>
      <c r="B3553" s="3" t="s">
        <v>3458</v>
      </c>
      <c r="C3553" s="3" t="str">
        <f>IFERROR(__xludf.DUMMYFUNCTION("GOOGLETRANSLATE(B3553,""id"",""en"")"),"['Gift', 'Coupon', 'Telkomsel', 'Best', ""]")</f>
        <v>['Gift', 'Coupon', 'Telkomsel', 'Best', "]</v>
      </c>
      <c r="D3553" s="3">
        <v>5.0</v>
      </c>
    </row>
    <row r="3554" ht="15.75" customHeight="1">
      <c r="A3554" s="1">
        <v>3780.0</v>
      </c>
      <c r="B3554" s="3" t="s">
        <v>3459</v>
      </c>
      <c r="C3554" s="3" t="str">
        <f>IFERROR(__xludf.DUMMYFUNCTION("GOOGLETRANSLATE(B3554,""id"",""en"")"),"['Unlimited']")</f>
        <v>['Unlimited']</v>
      </c>
      <c r="D3554" s="3">
        <v>5.0</v>
      </c>
    </row>
    <row r="3555" ht="15.75" customHeight="1">
      <c r="A3555" s="1">
        <v>3781.0</v>
      </c>
      <c r="B3555" s="3" t="s">
        <v>3460</v>
      </c>
      <c r="C3555" s="3" t="str">
        <f>IFERROR(__xludf.DUMMYFUNCTION("GOOGLETRANSLATE(B3555,""id"",""en"")"),"['Update', 'no', 'Display', 'Nge', 'blank', 'Look', 'Bill', '']")</f>
        <v>['Update', 'no', 'Display', 'Nge', 'blank', 'Look', 'Bill', '']</v>
      </c>
      <c r="D3555" s="3">
        <v>1.0</v>
      </c>
    </row>
    <row r="3556" ht="15.75" customHeight="1">
      <c r="A3556" s="1">
        <v>3782.0</v>
      </c>
      <c r="B3556" s="3" t="s">
        <v>3461</v>
      </c>
      <c r="C3556" s="3" t="str">
        <f>IFERROR(__xludf.DUMMYFUNCTION("GOOGLETRANSLATE(B3556,""id"",""en"")"),"['Reduce', 'Bintang', 'bad', 'service', 'package', 'according to', 'disappointed', '']")</f>
        <v>['Reduce', 'Bintang', 'bad', 'service', 'package', 'according to', 'disappointed', '']</v>
      </c>
      <c r="D3556" s="3">
        <v>1.0</v>
      </c>
    </row>
    <row r="3557" ht="15.75" customHeight="1">
      <c r="A3557" s="1">
        <v>3783.0</v>
      </c>
      <c r="B3557" s="3" t="s">
        <v>3462</v>
      </c>
      <c r="C3557" s="3" t="str">
        <f>IFERROR(__xludf.DUMMYFUNCTION("GOOGLETRANSLATE(B3557,""id"",""en"")"),"['opened', 'renewal', 'severe', 'severe', 'worse', 'network', 'gnya', 'capital', 'in the area', 'hheeee']")</f>
        <v>['opened', 'renewal', 'severe', 'severe', 'worse', 'network', 'gnya', 'capital', 'in the area', 'hheeee']</v>
      </c>
      <c r="D3557" s="3">
        <v>1.0</v>
      </c>
    </row>
    <row r="3558" ht="15.75" customHeight="1">
      <c r="A3558" s="1">
        <v>3784.0</v>
      </c>
      <c r="B3558" s="3" t="s">
        <v>3463</v>
      </c>
      <c r="C3558" s="3" t="str">
        <f>IFERROR(__xludf.DUMMYFUNCTION("GOOGLETRANSLATE(B3558,""id"",""en"")"),"['Like', 'Application', 'Easy', 'Buy', 'Package', 'Promo', 'Thank you', 'Telkomsel', ""]")</f>
        <v>['Like', 'Application', 'Easy', 'Buy', 'Package', 'Promo', 'Thank you', 'Telkomsel', "]</v>
      </c>
      <c r="D3558" s="3">
        <v>5.0</v>
      </c>
    </row>
    <row r="3559" ht="15.75" customHeight="1">
      <c r="A3559" s="1">
        <v>3786.0</v>
      </c>
      <c r="B3559" s="3" t="s">
        <v>3464</v>
      </c>
      <c r="C3559" s="3" t="str">
        <f>IFERROR(__xludf.DUMMYFUNCTION("GOOGLETRANSLATE(B3559,""id"",""en"")"),"['Telkomsel', 'Kek', 'Konto', 'Rain', 'Ngelag', 'card', 'laen', 'kagak', 'udh', 'expensive', 'package', 'TPI', ' Leet ',' asw ']")</f>
        <v>['Telkomsel', 'Kek', 'Konto', 'Rain', 'Ngelag', 'card', 'laen', 'kagak', 'udh', 'expensive', 'package', 'TPI', ' Leet ',' asw ']</v>
      </c>
      <c r="D3559" s="3">
        <v>1.0</v>
      </c>
    </row>
    <row r="3560" ht="15.75" customHeight="1">
      <c r="A3560" s="1">
        <v>3788.0</v>
      </c>
      <c r="B3560" s="3" t="s">
        <v>3465</v>
      </c>
      <c r="C3560" s="3" t="str">
        <f>IFERROR(__xludf.DUMMYFUNCTION("GOOGLETRANSLATE(B3560,""id"",""en"")"),"['Paketan', 'intention', 'unlimited', 'limit', 'gajelas']")</f>
        <v>['Paketan', 'intention', 'unlimited', 'limit', 'gajelas']</v>
      </c>
      <c r="D3560" s="3">
        <v>1.0</v>
      </c>
    </row>
    <row r="3561" ht="15.75" customHeight="1">
      <c r="A3561" s="1">
        <v>3789.0</v>
      </c>
      <c r="B3561" s="3" t="s">
        <v>943</v>
      </c>
      <c r="C3561" s="3" t="str">
        <f>IFERROR(__xludf.DUMMYFUNCTION("GOOGLETRANSLATE(B3561,""id"",""en"")"),"['satisfying']")</f>
        <v>['satisfying']</v>
      </c>
      <c r="D3561" s="3">
        <v>5.0</v>
      </c>
    </row>
    <row r="3562" ht="15.75" customHeight="1">
      <c r="A3562" s="1">
        <v>3790.0</v>
      </c>
      <c r="B3562" s="3" t="s">
        <v>3466</v>
      </c>
      <c r="C3562" s="3" t="str">
        <f>IFERROR(__xludf.DUMMYFUNCTION("GOOGLETRANSLATE(B3562,""id"",""en"")"),"['Satisfied', 'Telkomsel', 'Manjadi', 'Easy', 'Shopping', 'Package', 'Invite', 'Voucher', 'Shopping', 'Lottery', 'satisfying', ""]")</f>
        <v>['Satisfied', 'Telkomsel', 'Manjadi', 'Easy', 'Shopping', 'Package', 'Invite', 'Voucher', 'Shopping', 'Lottery', 'satisfying', "]</v>
      </c>
      <c r="D3562" s="3">
        <v>5.0</v>
      </c>
    </row>
    <row r="3563" ht="15.75" customHeight="1">
      <c r="A3563" s="1">
        <v>3791.0</v>
      </c>
      <c r="B3563" s="3" t="s">
        <v>3467</v>
      </c>
      <c r="C3563" s="3" t="str">
        <f>IFERROR(__xludf.DUMMYFUNCTION("GOOGLETRANSLATE(B3563,""id"",""en"")"),"['opened', 'APL', 'UDH', 'Rendem', 'Points', 'please', 'Telkomsel', 'knapa']")</f>
        <v>['opened', 'APL', 'UDH', 'Rendem', 'Points', 'please', 'Telkomsel', 'knapa']</v>
      </c>
      <c r="D3563" s="3">
        <v>5.0</v>
      </c>
    </row>
    <row r="3564" ht="15.75" customHeight="1">
      <c r="A3564" s="1">
        <v>3792.0</v>
      </c>
      <c r="B3564" s="3" t="s">
        <v>3468</v>
      </c>
      <c r="C3564" s="3" t="str">
        <f>IFERROR(__xludf.DUMMYFUNCTION("GOOGLETRANSLATE(B3564,""id"",""en"")"),"['Class',' Telkomsel ',' Region ',' Perum ',' Gardenia ',' City ',' Sidoarjo ',' MOVER ',' Signal ',' Bar ',' Doang ',' Reinforcement ',' signal ',' lose ',' ama ',' provider ',' loss', 'card', 'hello', 'signal']")</f>
        <v>['Class',' Telkomsel ',' Region ',' Perum ',' Gardenia ',' City ',' Sidoarjo ',' MOVER ',' Signal ',' Bar ',' Doang ',' Reinforcement ',' signal ',' lose ',' ama ',' provider ',' loss', 'card', 'hello', 'signal']</v>
      </c>
      <c r="D3564" s="3">
        <v>1.0</v>
      </c>
    </row>
    <row r="3565" ht="15.75" customHeight="1">
      <c r="A3565" s="1">
        <v>3793.0</v>
      </c>
      <c r="B3565" s="3" t="s">
        <v>3469</v>
      </c>
      <c r="C3565" s="3" t="str">
        <f>IFERROR(__xludf.DUMMYFUNCTION("GOOGLETRANSLATE(B3565,""id"",""en"")"),"['OMG', 'Watch', 'YouTube', '']")</f>
        <v>['OMG', 'Watch', 'YouTube', '']</v>
      </c>
      <c r="D3565" s="3">
        <v>5.0</v>
      </c>
    </row>
    <row r="3566" ht="15.75" customHeight="1">
      <c r="A3566" s="1">
        <v>3794.0</v>
      </c>
      <c r="B3566" s="3" t="s">
        <v>3470</v>
      </c>
      <c r="C3566" s="3" t="str">
        <f>IFERROR(__xludf.DUMMYFUNCTION("GOOGLETRANSLATE(B3566,""id"",""en"")"),"['price', 'quality', 'down', 'signal', 'chaotic', 'dlu', 'smooth', 'bad']")</f>
        <v>['price', 'quality', 'down', 'signal', 'chaotic', 'dlu', 'smooth', 'bad']</v>
      </c>
      <c r="D3566" s="3">
        <v>1.0</v>
      </c>
    </row>
    <row r="3567" ht="15.75" customHeight="1">
      <c r="A3567" s="1">
        <v>3795.0</v>
      </c>
      <c r="B3567" s="3" t="s">
        <v>3471</v>
      </c>
      <c r="C3567" s="3" t="str">
        <f>IFERROR(__xludf.DUMMYFUNCTION("GOOGLETRANSLATE(B3567,""id"",""en"")"),"['short', 'bile', 'quota']")</f>
        <v>['short', 'bile', 'quota']</v>
      </c>
      <c r="D3567" s="3">
        <v>5.0</v>
      </c>
    </row>
    <row r="3568" ht="15.75" customHeight="1">
      <c r="A3568" s="1">
        <v>3796.0</v>
      </c>
      <c r="B3568" s="3" t="s">
        <v>3472</v>
      </c>
      <c r="C3568" s="3" t="str">
        <f>IFERROR(__xludf.DUMMYFUNCTION("GOOGLETRANSLATE(B3568,""id"",""en"")"),"['Tipu', 'buy', 'data', 'thousand', 'ngak', 'enter', 'me', 'pulse', 'already', 'lost', 'data', 'ngak', ' you liar']")</f>
        <v>['Tipu', 'buy', 'data', 'thousand', 'ngak', 'enter', 'me', 'pulse', 'already', 'lost', 'data', 'ngak', ' you liar']</v>
      </c>
      <c r="D3568" s="3">
        <v>1.0</v>
      </c>
    </row>
    <row r="3569" ht="15.75" customHeight="1">
      <c r="A3569" s="1">
        <v>3797.0</v>
      </c>
      <c r="B3569" s="3" t="s">
        <v>859</v>
      </c>
      <c r="C3569" s="3" t="str">
        <f>IFERROR(__xludf.DUMMYFUNCTION("GOOGLETRANSLATE(B3569,""id"",""en"")"),"['help', '']")</f>
        <v>['help', '']</v>
      </c>
      <c r="D3569" s="3">
        <v>5.0</v>
      </c>
    </row>
    <row r="3570" ht="15.75" customHeight="1">
      <c r="A3570" s="1">
        <v>3798.0</v>
      </c>
      <c r="B3570" s="3" t="s">
        <v>3473</v>
      </c>
      <c r="C3570" s="3" t="str">
        <f>IFERROR(__xludf.DUMMYFUNCTION("GOOGLETRANSLATE(B3570,""id"",""en"")"),"['quota', 'multimedia', 'description', 'write', 'sosmed', 'lure', 'games',' etc. ',' just ',' open ',' maps', 'need', ' MNT ',' Network ',' Full ']")</f>
        <v>['quota', 'multimedia', 'description', 'write', 'sosmed', 'lure', 'games',' etc. ',' just ',' open ',' maps', 'need', ' MNT ',' Network ',' Full ']</v>
      </c>
      <c r="D3570" s="3">
        <v>2.0</v>
      </c>
    </row>
    <row r="3571" ht="15.75" customHeight="1">
      <c r="A3571" s="1">
        <v>3799.0</v>
      </c>
      <c r="B3571" s="3" t="s">
        <v>3474</v>
      </c>
      <c r="C3571" s="3" t="str">
        <f>IFERROR(__xludf.DUMMYFUNCTION("GOOGLETRANSLATE(B3571,""id"",""en"")"),"['Tide', 'Package', 'Credit', 'Emang', 'Telkomsel', 'Rich', ""]")</f>
        <v>['Tide', 'Package', 'Credit', 'Emang', 'Telkomsel', 'Rich', "]</v>
      </c>
      <c r="D3571" s="3">
        <v>1.0</v>
      </c>
    </row>
    <row r="3572" ht="15.75" customHeight="1">
      <c r="A3572" s="1">
        <v>3800.0</v>
      </c>
      <c r="B3572" s="3" t="s">
        <v>3475</v>
      </c>
      <c r="C3572" s="3" t="str">
        <f>IFERROR(__xludf.DUMMYFUNCTION("GOOGLETRANSLATE(B3572,""id"",""en"")"),"['The name', 'emotion']")</f>
        <v>['The name', 'emotion']</v>
      </c>
      <c r="D3572" s="3">
        <v>1.0</v>
      </c>
    </row>
    <row r="3573" ht="15.75" customHeight="1">
      <c r="A3573" s="1">
        <v>3801.0</v>
      </c>
      <c r="B3573" s="3" t="s">
        <v>2127</v>
      </c>
      <c r="C3573" s="3" t="str">
        <f>IFERROR(__xludf.DUMMYFUNCTION("GOOGLETRANSLATE(B3573,""id"",""en"")"),"['easy']")</f>
        <v>['easy']</v>
      </c>
      <c r="D3573" s="3">
        <v>4.0</v>
      </c>
    </row>
    <row r="3574" ht="15.75" customHeight="1">
      <c r="A3574" s="1">
        <v>3802.0</v>
      </c>
      <c r="B3574" s="3" t="s">
        <v>3476</v>
      </c>
      <c r="C3574" s="3" t="str">
        <f>IFERROR(__xludf.DUMMYFUNCTION("GOOGLETRANSLATE(B3574,""id"",""en"")"),"['Package', 'Internet', 'expensive', 'signal', 'ugly', 'gini', 'kersangs', 'change', 'card', 'ajaa', 'meuu']")</f>
        <v>['Package', 'Internet', 'expensive', 'signal', 'ugly', 'gini', 'kersangs', 'change', 'card', 'ajaa', 'meuu']</v>
      </c>
      <c r="D3574" s="3">
        <v>2.0</v>
      </c>
    </row>
    <row r="3575" ht="15.75" customHeight="1">
      <c r="A3575" s="1">
        <v>3803.0</v>
      </c>
      <c r="B3575" s="3" t="s">
        <v>3477</v>
      </c>
      <c r="C3575" s="3" t="str">
        <f>IFERROR(__xludf.DUMMYFUNCTION("GOOGLETRANSLATE(B3575,""id"",""en"")"),"['Bgus', 'mantaps']")</f>
        <v>['Bgus', 'mantaps']</v>
      </c>
      <c r="D3575" s="3">
        <v>4.0</v>
      </c>
    </row>
    <row r="3576" ht="15.75" customHeight="1">
      <c r="A3576" s="1">
        <v>3804.0</v>
      </c>
      <c r="B3576" s="3" t="s">
        <v>3478</v>
      </c>
      <c r="C3576" s="3" t="str">
        <f>IFERROR(__xludf.DUMMYFUNCTION("GOOGLETRANSLATE(B3576,""id"",""en"")"),"['Quality', 'Signal']")</f>
        <v>['Quality', 'Signal']</v>
      </c>
      <c r="D3576" s="3">
        <v>3.0</v>
      </c>
    </row>
    <row r="3577" ht="15.75" customHeight="1">
      <c r="A3577" s="1">
        <v>3805.0</v>
      </c>
      <c r="B3577" s="3" t="s">
        <v>3479</v>
      </c>
      <c r="C3577" s="3" t="str">
        <f>IFERROR(__xludf.DUMMYFUNCTION("GOOGLETRANSLATE(B3577,""id"",""en"")"),"['ugly', 'reliable', 'game', 'online', 'disappointing']")</f>
        <v>['ugly', 'reliable', 'game', 'online', 'disappointing']</v>
      </c>
      <c r="D3577" s="3">
        <v>5.0</v>
      </c>
    </row>
    <row r="3578" ht="15.75" customHeight="1">
      <c r="A3578" s="1">
        <v>3806.0</v>
      </c>
      <c r="B3578" s="3" t="s">
        <v>1148</v>
      </c>
      <c r="C3578" s="3" t="str">
        <f>IFERROR(__xludf.DUMMYFUNCTION("GOOGLETRANSLATE(B3578,""id"",""en"")"),"['Application', 'opened']")</f>
        <v>['Application', 'opened']</v>
      </c>
      <c r="D3578" s="3">
        <v>1.0</v>
      </c>
    </row>
    <row r="3579" ht="15.75" customHeight="1">
      <c r="A3579" s="1">
        <v>3807.0</v>
      </c>
      <c r="B3579" s="3" t="s">
        <v>3480</v>
      </c>
      <c r="C3579" s="3" t="str">
        <f>IFERROR(__xludf.DUMMYFUNCTION("GOOGLETRANSLATE(B3579,""id"",""en"")"),"['skrg', 'open', '']")</f>
        <v>['skrg', 'open', '']</v>
      </c>
      <c r="D3579" s="3">
        <v>1.0</v>
      </c>
    </row>
    <row r="3580" ht="15.75" customHeight="1">
      <c r="A3580" s="1">
        <v>3808.0</v>
      </c>
      <c r="B3580" s="3" t="s">
        <v>3481</v>
      </c>
      <c r="C3580" s="3" t="str">
        <f>IFERROR(__xludf.DUMMYFUNCTION("GOOGLETRANSLATE(B3580,""id"",""en"")"),"['APL', 'Open', 'Network', 'Super', 'Good', 'Neh', 'Pay', 'Tag', 'Card', 'Hello', 'Constrained']")</f>
        <v>['APL', 'Open', 'Network', 'Super', 'Good', 'Neh', 'Pay', 'Tag', 'Card', 'Hello', 'Constrained']</v>
      </c>
      <c r="D3580" s="3">
        <v>1.0</v>
      </c>
    </row>
    <row r="3581" ht="15.75" customHeight="1">
      <c r="A3581" s="1">
        <v>3809.0</v>
      </c>
      <c r="B3581" s="3" t="s">
        <v>146</v>
      </c>
      <c r="C3581" s="3" t="str">
        <f>IFERROR(__xludf.DUMMYFUNCTION("GOOGLETRANSLATE(B3581,""id"",""en"")"),"['Package', 'Data', 'expensive', '']")</f>
        <v>['Package', 'Data', 'expensive', '']</v>
      </c>
      <c r="D3581" s="3">
        <v>2.0</v>
      </c>
    </row>
    <row r="3582" ht="15.75" customHeight="1">
      <c r="A3582" s="1">
        <v>3810.0</v>
      </c>
      <c r="B3582" s="3" t="s">
        <v>859</v>
      </c>
      <c r="C3582" s="3" t="str">
        <f>IFERROR(__xludf.DUMMYFUNCTION("GOOGLETRANSLATE(B3582,""id"",""en"")"),"['help', '']")</f>
        <v>['help', '']</v>
      </c>
      <c r="D3582" s="3">
        <v>5.0</v>
      </c>
    </row>
    <row r="3583" ht="15.75" customHeight="1">
      <c r="A3583" s="1">
        <v>3811.0</v>
      </c>
      <c r="B3583" s="3" t="s">
        <v>3482</v>
      </c>
      <c r="C3583" s="3" t="str">
        <f>IFERROR(__xludf.DUMMYFUNCTION("GOOGLETRANSLATE(B3583,""id"",""en"")"),"['Service', 'Via', 'Veronika', 'Bad', 'Slow', 'Respond', 'Complain', 'Voucher', 'Clock', 'Valid', 'Different', 'Clock', ' Credit ',' Curacy ',' Gataau ',' Buy ',' Please ',' Repaired ',' Service ']")</f>
        <v>['Service', 'Via', 'Veronika', 'Bad', 'Slow', 'Respond', 'Complain', 'Voucher', 'Clock', 'Valid', 'Different', 'Clock', ' Credit ',' Curacy ',' Gataau ',' Buy ',' Please ',' Repaired ',' Service ']</v>
      </c>
      <c r="D3583" s="3">
        <v>1.0</v>
      </c>
    </row>
    <row r="3584" ht="15.75" customHeight="1">
      <c r="A3584" s="1">
        <v>3812.0</v>
      </c>
      <c r="B3584" s="3" t="s">
        <v>3483</v>
      </c>
      <c r="C3584" s="3" t="str">
        <f>IFERROR(__xludf.DUMMYFUNCTION("GOOGLETRANSLATE(B3584,""id"",""en"")"),"['network', 'Telkomsel', 'bad', 'watch', 'YouTube', 'slow', 'resolution', 'masi', 'muter', ""]")</f>
        <v>['network', 'Telkomsel', 'bad', 'watch', 'YouTube', 'slow', 'resolution', 'masi', 'muter', "]</v>
      </c>
      <c r="D3584" s="3">
        <v>1.0</v>
      </c>
    </row>
    <row r="3585" ht="15.75" customHeight="1">
      <c r="A3585" s="1">
        <v>3813.0</v>
      </c>
      <c r="B3585" s="3" t="s">
        <v>3484</v>
      </c>
      <c r="C3585" s="3" t="str">
        <f>IFERROR(__xludf.DUMMYFUNCTION("GOOGLETRANSLATE(B3585,""id"",""en"")"),"['Please', 'use', 'signal', 'mulu', 'please', 'fix', 'ntar', 'love', 'star', ""]")</f>
        <v>['Please', 'use', 'signal', 'mulu', 'please', 'fix', 'ntar', 'love', 'star', "]</v>
      </c>
      <c r="D3585" s="3">
        <v>1.0</v>
      </c>
    </row>
    <row r="3586" ht="15.75" customHeight="1">
      <c r="A3586" s="1">
        <v>3814.0</v>
      </c>
      <c r="B3586" s="3" t="s">
        <v>3485</v>
      </c>
      <c r="C3586" s="3" t="str">
        <f>IFERROR(__xludf.DUMMYFUNCTION("GOOGLETRANSLATE(B3586,""id"",""en"")"),"['Telkomsel', 'network', 'ugly', 'no', 'play', 'watch', 'Yutub', 'lag', ""]")</f>
        <v>['Telkomsel', 'network', 'ugly', 'no', 'play', 'watch', 'Yutub', 'lag', "]</v>
      </c>
      <c r="D3586" s="3">
        <v>2.0</v>
      </c>
    </row>
    <row r="3587" ht="15.75" customHeight="1">
      <c r="A3587" s="1">
        <v>3815.0</v>
      </c>
      <c r="B3587" s="3" t="s">
        <v>3486</v>
      </c>
      <c r="C3587" s="3" t="str">
        <f>IFERROR(__xludf.DUMMYFUNCTION("GOOGLETRANSLATE(B3587,""id"",""en"")"),"['Screen', 'White', 'Daapa', 'Apain']")</f>
        <v>['Screen', 'White', 'Daapa', 'Apain']</v>
      </c>
      <c r="D3587" s="3">
        <v>1.0</v>
      </c>
    </row>
    <row r="3588" ht="15.75" customHeight="1">
      <c r="A3588" s="1">
        <v>3816.0</v>
      </c>
      <c r="B3588" s="3" t="s">
        <v>3487</v>
      </c>
      <c r="C3588" s="3" t="str">
        <f>IFERROR(__xludf.DUMMYFUNCTION("GOOGLETRANSLATE(B3588,""id"",""en"")"),"['Buy', 'Sosmed', 'kebawa', 'quota', 'main', 'strange']")</f>
        <v>['Buy', 'Sosmed', 'kebawa', 'quota', 'main', 'strange']</v>
      </c>
      <c r="D3588" s="3">
        <v>3.0</v>
      </c>
    </row>
    <row r="3589" ht="15.75" customHeight="1">
      <c r="A3589" s="1">
        <v>3817.0</v>
      </c>
      <c r="B3589" s="3" t="s">
        <v>3488</v>
      </c>
      <c r="C3589" s="3" t="str">
        <f>IFERROR(__xludf.DUMMYFUNCTION("GOOGLETRANSLATE(B3589,""id"",""en"")"),"['hope', 'get', 'gift']")</f>
        <v>['hope', 'get', 'gift']</v>
      </c>
      <c r="D3589" s="3">
        <v>5.0</v>
      </c>
    </row>
    <row r="3590" ht="15.75" customHeight="1">
      <c r="A3590" s="1">
        <v>3818.0</v>
      </c>
      <c r="B3590" s="3" t="s">
        <v>3489</v>
      </c>
      <c r="C3590" s="3" t="str">
        <f>IFERROR(__xludf.DUMMYFUNCTION("GOOGLETRANSLATE(B3590,""id"",""en"")"),"['Trif', 'Telkomsel', 'card', 'Different', 'cheap', 'expensive', 'jringan', 'rada', 'loyo']")</f>
        <v>['Trif', 'Telkomsel', 'card', 'Different', 'cheap', 'expensive', 'jringan', 'rada', 'loyo']</v>
      </c>
      <c r="D3590" s="3">
        <v>1.0</v>
      </c>
    </row>
    <row r="3591" ht="15.75" customHeight="1">
      <c r="A3591" s="1">
        <v>3819.0</v>
      </c>
      <c r="B3591" s="3" t="s">
        <v>3490</v>
      </c>
      <c r="C3591" s="3" t="str">
        <f>IFERROR(__xludf.DUMMYFUNCTION("GOOGLETRANSLATE(B3591,""id"",""en"")"),"['BANGJE', 'Update', 'Open', 'What']")</f>
        <v>['BANGJE', 'Update', 'Open', 'What']</v>
      </c>
      <c r="D3591" s="3">
        <v>1.0</v>
      </c>
    </row>
    <row r="3592" ht="15.75" customHeight="1">
      <c r="A3592" s="1">
        <v>3820.0</v>
      </c>
      <c r="B3592" s="3" t="s">
        <v>3491</v>
      </c>
      <c r="C3592" s="3" t="str">
        <f>IFERROR(__xludf.DUMMYFUNCTION("GOOGLETRANSLATE(B3592,""id"",""en"")"),"['', 'Telkomsel', 'opened', 'poor', 'check', 'pulse', 'check', 'quota', 'clock', 'appears',' install ',' MyTelkomsel ',' open ',' ']")</f>
        <v>['', 'Telkomsel', 'opened', 'poor', 'check', 'pulse', 'check', 'quota', 'clock', 'appears',' install ',' MyTelkomsel ',' open ',' ']</v>
      </c>
      <c r="D3592" s="3">
        <v>1.0</v>
      </c>
    </row>
    <row r="3593" ht="15.75" customHeight="1">
      <c r="A3593" s="1">
        <v>3821.0</v>
      </c>
      <c r="B3593" s="3" t="s">
        <v>3492</v>
      </c>
      <c r="C3593" s="3" t="str">
        <f>IFERROR(__xludf.DUMMYFUNCTION("GOOGLETRANSLATE(B3593,""id"",""en"")"),"['price', 'package', 'comparable', 'network', 'signal', 'can', 'price', 'package', 'expensive', 'provider', 'quality', 'location', ' Jogja ',' City ']")</f>
        <v>['price', 'package', 'comparable', 'network', 'signal', 'can', 'price', 'package', 'expensive', 'provider', 'quality', 'location', ' Jogja ',' City ']</v>
      </c>
      <c r="D3593" s="3">
        <v>1.0</v>
      </c>
    </row>
    <row r="3594" ht="15.75" customHeight="1">
      <c r="A3594" s="1">
        <v>3822.0</v>
      </c>
      <c r="B3594" s="3" t="s">
        <v>3493</v>
      </c>
      <c r="C3594" s="3" t="str">
        <f>IFERROR(__xludf.DUMMYFUNCTION("GOOGLETRANSLATE(B3594,""id"",""en"")"),"['Hopefully', 'Win', 'Lottery', 'Telkomsel']")</f>
        <v>['Hopefully', 'Win', 'Lottery', 'Telkomsel']</v>
      </c>
      <c r="D3594" s="3">
        <v>5.0</v>
      </c>
    </row>
    <row r="3595" ht="15.75" customHeight="1">
      <c r="A3595" s="1">
        <v>3823.0</v>
      </c>
      <c r="B3595" s="3" t="s">
        <v>3494</v>
      </c>
      <c r="C3595" s="3" t="str">
        <f>IFERROR(__xludf.DUMMYFUNCTION("GOOGLETRANSLATE(B3595,""id"",""en"")"),"['Telkomsel', 'I', 'Open', 'Open', 'White', 'Doang', 'BANGJE']")</f>
        <v>['Telkomsel', 'I', 'Open', 'Open', 'White', 'Doang', 'BANGJE']</v>
      </c>
      <c r="D3595" s="3">
        <v>1.0</v>
      </c>
    </row>
    <row r="3596" ht="15.75" customHeight="1">
      <c r="A3596" s="1">
        <v>3824.0</v>
      </c>
      <c r="B3596" s="3" t="s">
        <v>3495</v>
      </c>
      <c r="C3596" s="3" t="str">
        <f>IFERROR(__xludf.DUMMYFUNCTION("GOOGLETRANSLATE(B3596,""id"",""en"")"),"['The network', 'here', 'ugly', 'provider', 'garbage']")</f>
        <v>['The network', 'here', 'ugly', 'provider', 'garbage']</v>
      </c>
      <c r="D3596" s="3">
        <v>2.0</v>
      </c>
    </row>
    <row r="3597" ht="15.75" customHeight="1">
      <c r="A3597" s="1">
        <v>3825.0</v>
      </c>
      <c r="B3597" s="3" t="s">
        <v>3496</v>
      </c>
      <c r="C3597" s="3" t="str">
        <f>IFERROR(__xludf.DUMMYFUNCTION("GOOGLETRANSLATE(B3597,""id"",""en"")"),"['Telkomsel', 'package', 'run out', 'pulse', 'play', 'suck', 'habit']")</f>
        <v>['Telkomsel', 'package', 'run out', 'pulse', 'play', 'suck', 'habit']</v>
      </c>
      <c r="D3597" s="3">
        <v>1.0</v>
      </c>
    </row>
    <row r="3598" ht="15.75" customHeight="1">
      <c r="A3598" s="1">
        <v>3826.0</v>
      </c>
      <c r="B3598" s="3" t="s">
        <v>3497</v>
      </c>
      <c r="C3598" s="3" t="str">
        <f>IFERROR(__xludf.DUMMYFUNCTION("GOOGLETRANSLATE(B3598,""id"",""en"")"),"['', 'Buy', 'Voucher', 'Mobile', 'Legend', 'Point', 'Click', 'Meng', 'Access',' Point ',' Buy ',' Balance ',' Link ',' Link ',' pke ',' use ']")</f>
        <v>['', 'Buy', 'Voucher', 'Mobile', 'Legend', 'Point', 'Click', 'Meng', 'Access',' Point ',' Buy ',' Balance ',' Link ',' Link ',' pke ',' use ']</v>
      </c>
      <c r="D3598" s="3">
        <v>1.0</v>
      </c>
    </row>
    <row r="3599" ht="15.75" customHeight="1">
      <c r="A3599" s="1">
        <v>3827.0</v>
      </c>
      <c r="B3599" s="3" t="s">
        <v>3498</v>
      </c>
      <c r="C3599" s="3" t="str">
        <f>IFERROR(__xludf.DUMMYFUNCTION("GOOGLETRANSLATE(B3599,""id"",""en"")"),"['Knp', 'opened', 'the application', '']")</f>
        <v>['Knp', 'opened', 'the application', '']</v>
      </c>
      <c r="D3599" s="3">
        <v>2.0</v>
      </c>
    </row>
    <row r="3600" ht="15.75" customHeight="1">
      <c r="A3600" s="1">
        <v>3828.0</v>
      </c>
      <c r="B3600" s="3" t="s">
        <v>3499</v>
      </c>
      <c r="C3600" s="3" t="str">
        <f>IFERROR(__xludf.DUMMYFUNCTION("GOOGLETRANSLATE(B3600,""id"",""en"")"),"['Combo', 'Sakti', '']")</f>
        <v>['Combo', 'Sakti', '']</v>
      </c>
      <c r="D3600" s="3">
        <v>3.0</v>
      </c>
    </row>
    <row r="3601" ht="15.75" customHeight="1">
      <c r="A3601" s="1">
        <v>3829.0</v>
      </c>
      <c r="B3601" s="3" t="s">
        <v>3500</v>
      </c>
      <c r="C3601" s="3" t="str">
        <f>IFERROR(__xludf.DUMMYFUNCTION("GOOGLETRANSLATE(B3601,""id"",""en"")"),"['Good', 'bad', 'sympathy', 'signal', 'ugly', 'apk', 'telkomsel', 'open', 'udh', 'times',' TLP ',' told ',' Wait ',' until ',' Udh ']")</f>
        <v>['Good', 'bad', 'sympathy', 'signal', 'ugly', 'apk', 'telkomsel', 'open', 'udh', 'times',' TLP ',' told ',' Wait ',' until ',' Udh ']</v>
      </c>
      <c r="D3601" s="3">
        <v>1.0</v>
      </c>
    </row>
    <row r="3602" ht="15.75" customHeight="1">
      <c r="A3602" s="1">
        <v>3830.0</v>
      </c>
      <c r="B3602" s="3" t="s">
        <v>3501</v>
      </c>
      <c r="C3602" s="3" t="str">
        <f>IFERROR(__xludf.DUMMYFUNCTION("GOOGLETRANSLATE(B3602,""id"",""en"")"),"['Knp', 'APK', 'Open', '']")</f>
        <v>['Knp', 'APK', 'Open', '']</v>
      </c>
      <c r="D3602" s="3">
        <v>1.0</v>
      </c>
    </row>
    <row r="3603" ht="15.75" customHeight="1">
      <c r="A3603" s="1">
        <v>3831.0</v>
      </c>
      <c r="B3603" s="3" t="s">
        <v>3502</v>
      </c>
      <c r="C3603" s="3" t="str">
        <f>IFERROR(__xludf.DUMMYFUNCTION("GOOGLETRANSLATE(B3603,""id"",""en"")"),"['Review', 'straightforward']")</f>
        <v>['Review', 'straightforward']</v>
      </c>
      <c r="D3603" s="3">
        <v>3.0</v>
      </c>
    </row>
    <row r="3604" ht="15.75" customHeight="1">
      <c r="A3604" s="1">
        <v>3832.0</v>
      </c>
      <c r="B3604" s="3" t="s">
        <v>3503</v>
      </c>
      <c r="C3604" s="3" t="str">
        <f>IFERROR(__xludf.DUMMYFUNCTION("GOOGLETRANSLATE(B3604,""id"",""en"")"),"['Update', 'Application', 'Opened', '']")</f>
        <v>['Update', 'Application', 'Opened', '']</v>
      </c>
      <c r="D3604" s="3">
        <v>1.0</v>
      </c>
    </row>
    <row r="3605" ht="15.75" customHeight="1">
      <c r="A3605" s="1">
        <v>3833.0</v>
      </c>
      <c r="B3605" s="3" t="s">
        <v>3504</v>
      </c>
      <c r="C3605" s="3" t="str">
        <f>IFERROR(__xludf.DUMMYFUNCTION("GOOGLETRANSLATE(B3605,""id"",""en"")"),"['opened', 'screen', 'white', 'try', 'update', 'the application', 'Telkomsel', 'visa', 'opened']")</f>
        <v>['opened', 'screen', 'white', 'try', 'update', 'the application', 'Telkomsel', 'visa', 'opened']</v>
      </c>
      <c r="D3605" s="3">
        <v>1.0</v>
      </c>
    </row>
    <row r="3606" ht="15.75" customHeight="1">
      <c r="A3606" s="1">
        <v>3834.0</v>
      </c>
      <c r="B3606" s="3" t="s">
        <v>3505</v>
      </c>
      <c r="C3606" s="3" t="str">
        <f>IFERROR(__xludf.DUMMYFUNCTION("GOOGLETRANSLATE(B3606,""id"",""en"")"),"['all', 'all-round', 'expensive', 'signal', 'slow', 'village', 'entry', 'sense', 'in the city', 'Tangerang']")</f>
        <v>['all', 'all-round', 'expensive', 'signal', 'slow', 'village', 'entry', 'sense', 'in the city', 'Tangerang']</v>
      </c>
      <c r="D3606" s="3">
        <v>1.0</v>
      </c>
    </row>
    <row r="3607" ht="15.75" customHeight="1">
      <c r="A3607" s="1">
        <v>3835.0</v>
      </c>
      <c r="B3607" s="3" t="s">
        <v>355</v>
      </c>
      <c r="C3607" s="3" t="str">
        <f>IFERROR(__xludf.DUMMYFUNCTION("GOOGLETRANSLATE(B3607,""id"",""en"")"),"['open', '']")</f>
        <v>['open', '']</v>
      </c>
      <c r="D3607" s="3">
        <v>1.0</v>
      </c>
    </row>
    <row r="3608" ht="15.75" customHeight="1">
      <c r="A3608" s="1">
        <v>3837.0</v>
      </c>
      <c r="B3608" s="3" t="s">
        <v>3506</v>
      </c>
      <c r="C3608" s="3" t="str">
        <f>IFERROR(__xludf.DUMMYFUNCTION("GOOGLETRANSLATE(B3608,""id"",""en"")"),"['Steady', 'hope', 'lucky', '']")</f>
        <v>['Steady', 'hope', 'lucky', '']</v>
      </c>
      <c r="D3608" s="3">
        <v>5.0</v>
      </c>
    </row>
    <row r="3609" ht="15.75" customHeight="1">
      <c r="A3609" s="1">
        <v>3838.0</v>
      </c>
      <c r="B3609" s="3" t="s">
        <v>3507</v>
      </c>
      <c r="C3609" s="3" t="str">
        <f>IFERROR(__xludf.DUMMYFUNCTION("GOOGLETRANSLATE(B3609,""id"",""en"")"),"['like', 'application']")</f>
        <v>['like', 'application']</v>
      </c>
      <c r="D3609" s="3">
        <v>5.0</v>
      </c>
    </row>
    <row r="3610" ht="15.75" customHeight="1">
      <c r="A3610" s="1">
        <v>3839.0</v>
      </c>
      <c r="B3610" s="3" t="s">
        <v>3508</v>
      </c>
      <c r="C3610" s="3" t="str">
        <f>IFERROR(__xludf.DUMMYFUNCTION("GOOGLETRANSLATE(B3610,""id"",""en"")"),"['application', 'open', 'screen', 'white', 'use', 'the application', 'only', 'open', 'normal', 'the application', ""]")</f>
        <v>['application', 'open', 'screen', 'white', 'use', 'the application', 'only', 'open', 'normal', 'the application', "]</v>
      </c>
      <c r="D3610" s="3">
        <v>1.0</v>
      </c>
    </row>
    <row r="3611" ht="15.75" customHeight="1">
      <c r="A3611" s="1">
        <v>3840.0</v>
      </c>
      <c r="B3611" s="3" t="s">
        <v>3509</v>
      </c>
      <c r="C3611" s="3" t="str">
        <f>IFERROR(__xludf.DUMMYFUNCTION("GOOGLETRANSLATE(B3611,""id"",""en"")"),"['', 'yeah', 'buy', 'package', 'telkom', 'rb', 'buy', 'GB', 'right', 'check', 'GB', 'Doang', 'hah ',' corrupt ',' oath ']")</f>
        <v>['', 'yeah', 'buy', 'package', 'telkom', 'rb', 'buy', 'GB', 'right', 'check', 'GB', 'Doang', 'hah ',' corrupt ',' oath ']</v>
      </c>
      <c r="D3611" s="3">
        <v>1.0</v>
      </c>
    </row>
    <row r="3612" ht="15.75" customHeight="1">
      <c r="A3612" s="1">
        <v>3841.0</v>
      </c>
      <c r="B3612" s="3" t="s">
        <v>3510</v>
      </c>
      <c r="C3612" s="3" t="str">
        <f>IFERROR(__xludf.DUMMYFUNCTION("GOOGLETRANSLATE(B3612,""id"",""en"")"),"['Update', 'Gabisa', 'Open', 'Ngeblank', 'White']")</f>
        <v>['Update', 'Gabisa', 'Open', 'Ngeblank', 'White']</v>
      </c>
      <c r="D3612" s="3">
        <v>2.0</v>
      </c>
    </row>
    <row r="3613" ht="15.75" customHeight="1">
      <c r="A3613" s="1">
        <v>3844.0</v>
      </c>
      <c r="B3613" s="3" t="s">
        <v>3511</v>
      </c>
      <c r="C3613" s="3" t="str">
        <f>IFERROR(__xludf.DUMMYFUNCTION("GOOGLETRANSLATE(B3613,""id"",""en"")"),"['slow', 'proof', 'transfer', 'pulse', 'via', 'sms', ""]")</f>
        <v>['slow', 'proof', 'transfer', 'pulse', 'via', 'sms', "]</v>
      </c>
      <c r="D3613" s="3">
        <v>1.0</v>
      </c>
    </row>
    <row r="3614" ht="15.75" customHeight="1">
      <c r="A3614" s="1">
        <v>3845.0</v>
      </c>
      <c r="B3614" s="3" t="s">
        <v>3512</v>
      </c>
      <c r="C3614" s="3" t="str">
        <f>IFERROR(__xludf.DUMMYFUNCTION("GOOGLETRANSLATE(B3614,""id"",""en"")"),"['Alhamdulillah', 'the application']")</f>
        <v>['Alhamdulillah', 'the application']</v>
      </c>
      <c r="D3614" s="3">
        <v>5.0</v>
      </c>
    </row>
    <row r="3615" ht="15.75" customHeight="1">
      <c r="A3615" s="1">
        <v>3846.0</v>
      </c>
      <c r="B3615" s="3" t="s">
        <v>3513</v>
      </c>
      <c r="C3615" s="3" t="str">
        <f>IFERROR(__xludf.DUMMYFUNCTION("GOOGLETRANSLATE(B3615,""id"",""en"")"),"['signal', 'threat', 'area', 'Surabaya', 'capital', 'expensive', 'doang', 'signal', 'rot']")</f>
        <v>['signal', 'threat', 'area', 'Surabaya', 'capital', 'expensive', 'doang', 'signal', 'rot']</v>
      </c>
      <c r="D3615" s="3">
        <v>1.0</v>
      </c>
    </row>
    <row r="3616" ht="15.75" customHeight="1">
      <c r="A3616" s="1">
        <v>3847.0</v>
      </c>
      <c r="B3616" s="3" t="s">
        <v>2372</v>
      </c>
      <c r="C3616" s="3" t="str">
        <f>IFERROR(__xludf.DUMMYFUNCTION("GOOGLETRANSLATE(B3616,""id"",""en"")"),"['', '']")</f>
        <v>['', '']</v>
      </c>
      <c r="D3616" s="3">
        <v>5.0</v>
      </c>
    </row>
    <row r="3617" ht="15.75" customHeight="1">
      <c r="A3617" s="1">
        <v>3848.0</v>
      </c>
      <c r="B3617" s="3" t="s">
        <v>3514</v>
      </c>
      <c r="C3617" s="3" t="str">
        <f>IFERROR(__xludf.DUMMYFUNCTION("GOOGLETRANSLATE(B3617,""id"",""en"")"),"['Paketan', 'Fast', 'Out', 'Help', '']")</f>
        <v>['Paketan', 'Fast', 'Out', 'Help', '']</v>
      </c>
      <c r="D3617" s="3">
        <v>3.0</v>
      </c>
    </row>
    <row r="3618" ht="15.75" customHeight="1">
      <c r="A3618" s="1">
        <v>3849.0</v>
      </c>
      <c r="B3618" s="3" t="s">
        <v>2372</v>
      </c>
      <c r="C3618" s="3" t="str">
        <f>IFERROR(__xludf.DUMMYFUNCTION("GOOGLETRANSLATE(B3618,""id"",""en"")"),"['', '']")</f>
        <v>['', '']</v>
      </c>
      <c r="D3618" s="3">
        <v>5.0</v>
      </c>
    </row>
    <row r="3619" ht="15.75" customHeight="1">
      <c r="A3619" s="1">
        <v>3850.0</v>
      </c>
      <c r="B3619" s="3" t="s">
        <v>3515</v>
      </c>
      <c r="C3619" s="3" t="str">
        <f>IFERROR(__xludf.DUMMYFUNCTION("GOOGLETRANSLATE(B3619,""id"",""en"")"),"['Hay', 'Telkomsel', 'knapa', 'Your application', 'opened', 'response', 'please', 'fast', 'response', 'Dylu', 'Pernag', 'fussy', ' skrg ',' knapa ',' jdi ',' gni ',' sich ',' trouble ',' jga ']")</f>
        <v>['Hay', 'Telkomsel', 'knapa', 'Your application', 'opened', 'response', 'please', 'fast', 'response', 'Dylu', 'Pernag', 'fussy', ' skrg ',' knapa ',' jdi ',' gni ',' sich ',' trouble ',' jga ']</v>
      </c>
      <c r="D3619" s="3">
        <v>2.0</v>
      </c>
    </row>
    <row r="3620" ht="15.75" customHeight="1">
      <c r="A3620" s="1">
        <v>3851.0</v>
      </c>
      <c r="B3620" s="3" t="s">
        <v>3516</v>
      </c>
      <c r="C3620" s="3" t="str">
        <f>IFERROR(__xludf.DUMMYFUNCTION("GOOGLETRANSLATE(B3620,""id"",""en"")"),"['information']")</f>
        <v>['information']</v>
      </c>
      <c r="D3620" s="3">
        <v>5.0</v>
      </c>
    </row>
    <row r="3621" ht="15.75" customHeight="1">
      <c r="A3621" s="1">
        <v>3852.0</v>
      </c>
      <c r="B3621" s="3" t="s">
        <v>3517</v>
      </c>
      <c r="C3621" s="3" t="str">
        <f>IFERROR(__xludf.DUMMYFUNCTION("GOOGLETRANSLATE(B3621,""id"",""en"")"),"['Promo', 'Cool', 'Cool']")</f>
        <v>['Promo', 'Cool', 'Cool']</v>
      </c>
      <c r="D3621" s="3">
        <v>5.0</v>
      </c>
    </row>
    <row r="3622" ht="15.75" customHeight="1">
      <c r="A3622" s="1">
        <v>3854.0</v>
      </c>
      <c r="B3622" s="3" t="s">
        <v>3518</v>
      </c>
      <c r="C3622" s="3" t="str">
        <f>IFERROR(__xludf.DUMMYFUNCTION("GOOGLETRANSLATE(B3622,""id"",""en"")"),"['application', 'supports', 'admin', 'application', 'price', 'yng', 'cheap', 'affordable', '']")</f>
        <v>['application', 'supports', 'admin', 'application', 'price', 'yng', 'cheap', 'affordable', '']</v>
      </c>
      <c r="D3622" s="3">
        <v>5.0</v>
      </c>
    </row>
    <row r="3623" ht="15.75" customHeight="1">
      <c r="A3623" s="1">
        <v>3855.0</v>
      </c>
      <c r="B3623" s="3" t="s">
        <v>3519</v>
      </c>
      <c r="C3623" s="3" t="str">
        <f>IFERROR(__xludf.DUMMYFUNCTION("GOOGLETRANSLATE(B3623,""id"",""en"")"),"['Disappointed', 'Package', 'Combo', 'Sakti', 'Internet', 'Sosmed', 'Accessible', 'Package', 'Sosmed']")</f>
        <v>['Disappointed', 'Package', 'Combo', 'Sakti', 'Internet', 'Sosmed', 'Accessible', 'Package', 'Sosmed']</v>
      </c>
      <c r="D3623" s="3">
        <v>1.0</v>
      </c>
    </row>
    <row r="3624" ht="15.75" customHeight="1">
      <c r="A3624" s="1">
        <v>3856.0</v>
      </c>
      <c r="B3624" s="3" t="s">
        <v>3520</v>
      </c>
      <c r="C3624" s="3" t="str">
        <f>IFERROR(__xludf.DUMMYFUNCTION("GOOGLETRANSLATE(B3624,""id"",""en"")"),"['sympathy', 'here', 'Severe', 'motit', 'credit', 'check', 'bill', 'credit', 'emergency', 'udh', 'fill', 'pulses',' Cut ',' crazy ',' Bener ',' sympathy ', ""]")</f>
        <v>['sympathy', 'here', 'Severe', 'motit', 'credit', 'check', 'bill', 'credit', 'emergency', 'udh', 'fill', 'pulses',' Cut ',' crazy ',' Bener ',' sympathy ', "]</v>
      </c>
      <c r="D3624" s="3">
        <v>1.0</v>
      </c>
    </row>
    <row r="3625" ht="15.75" customHeight="1">
      <c r="A3625" s="1">
        <v>3858.0</v>
      </c>
      <c r="B3625" s="3" t="s">
        <v>3521</v>
      </c>
      <c r="C3625" s="3" t="str">
        <f>IFERROR(__xludf.DUMMYFUNCTION("GOOGLETRANSLATE(B3625,""id"",""en"")"),"['ask', 'buy', 'kouta', 'unlimited', 'printed', 'ngegame', 'sosmed', 'etc.', 'intention', 'selling', ""]")</f>
        <v>['ask', 'buy', 'kouta', 'unlimited', 'printed', 'ngegame', 'sosmed', 'etc.', 'intention', 'selling', "]</v>
      </c>
      <c r="D3625" s="3">
        <v>1.0</v>
      </c>
    </row>
    <row r="3626" ht="15.75" customHeight="1">
      <c r="A3626" s="1">
        <v>3859.0</v>
      </c>
      <c r="B3626" s="3" t="s">
        <v>3522</v>
      </c>
      <c r="C3626" s="3" t="str">
        <f>IFERROR(__xludf.DUMMYFUNCTION("GOOGLETRANSLATE(B3626,""id"",""en"")"),"['testing', '']")</f>
        <v>['testing', '']</v>
      </c>
      <c r="D3626" s="3">
        <v>3.0</v>
      </c>
    </row>
    <row r="3627" ht="15.75" customHeight="1">
      <c r="A3627" s="1">
        <v>3860.0</v>
      </c>
      <c r="B3627" s="3" t="s">
        <v>3523</v>
      </c>
      <c r="C3627" s="3" t="str">
        <f>IFERROR(__xludf.DUMMYFUNCTION("GOOGLETRANSLATE(B3627,""id"",""en"")"),"['Ngebug', 'gabisa', 'opened', '']")</f>
        <v>['Ngebug', 'gabisa', 'opened', '']</v>
      </c>
      <c r="D3627" s="3">
        <v>1.0</v>
      </c>
    </row>
    <row r="3628" ht="15.75" customHeight="1">
      <c r="A3628" s="1">
        <v>3861.0</v>
      </c>
      <c r="B3628" s="3" t="s">
        <v>1044</v>
      </c>
      <c r="C3628" s="3" t="str">
        <f>IFERROR(__xludf.DUMMYFUNCTION("GOOGLETRANSLATE(B3628,""id"",""en"")"),"['good', '']")</f>
        <v>['good', '']</v>
      </c>
      <c r="D3628" s="3">
        <v>3.0</v>
      </c>
    </row>
    <row r="3629" ht="15.75" customHeight="1">
      <c r="A3629" s="1">
        <v>3862.0</v>
      </c>
      <c r="B3629" s="3" t="s">
        <v>3524</v>
      </c>
      <c r="C3629" s="3" t="str">
        <f>IFERROR(__xludf.DUMMYFUNCTION("GOOGLETRANSLATE(B3629,""id"",""en"")"),"['times', 'download', 'reset', 'because', 'open', 'already', 'biarin', 'minute', 'enter', ""]")</f>
        <v>['times', 'download', 'reset', 'because', 'open', 'already', 'biarin', 'minute', 'enter', "]</v>
      </c>
      <c r="D3629" s="3">
        <v>1.0</v>
      </c>
    </row>
    <row r="3630" ht="15.75" customHeight="1">
      <c r="A3630" s="1">
        <v>3863.0</v>
      </c>
      <c r="B3630" s="3" t="s">
        <v>3525</v>
      </c>
      <c r="C3630" s="3" t="str">
        <f>IFERROR(__xludf.DUMMYFUNCTION("GOOGLETRANSLATE(B3630,""id"",""en"")"),"['Application', 'opened', 'please', 'application', 'compatible', 'version', 'android', 'class',' BUMN ',' design ',' application ',' sedous', ' corruption']")</f>
        <v>['Application', 'opened', 'please', 'application', 'compatible', 'version', 'android', 'class',' BUMN ',' design ',' application ',' sedous', ' corruption']</v>
      </c>
      <c r="D3630" s="3">
        <v>1.0</v>
      </c>
    </row>
    <row r="3631" ht="15.75" customHeight="1">
      <c r="A3631" s="1">
        <v>3865.0</v>
      </c>
      <c r="B3631" s="3" t="s">
        <v>3526</v>
      </c>
      <c r="C3631" s="3" t="str">
        <f>IFERROR(__xludf.DUMMYFUNCTION("GOOGLETRANSLATE(B3631,""id"",""en"")"),"['here', 'network', 'Severe', 'tried', 'card', 'Hello', 'slow', 'card', 'sympathy', 'change', 'better', 'brandy', ' card ',' sympathy ',' tmn ',' star ',' ksh ',' core ',' comparable ',' do ',' sympathy ',' please ',' fix ',' max ',' ']")</f>
        <v>['here', 'network', 'Severe', 'tried', 'card', 'Hello', 'slow', 'card', 'sympathy', 'change', 'better', 'brandy', ' card ',' sympathy ',' tmn ',' star ',' ksh ',' core ',' comparable ',' do ',' sympathy ',' please ',' fix ',' max ',' ']</v>
      </c>
      <c r="D3631" s="3">
        <v>1.0</v>
      </c>
    </row>
    <row r="3632" ht="15.75" customHeight="1">
      <c r="A3632" s="1">
        <v>3866.0</v>
      </c>
      <c r="B3632" s="3" t="s">
        <v>3527</v>
      </c>
      <c r="C3632" s="3" t="str">
        <f>IFERROR(__xludf.DUMMYFUNCTION("GOOGLETRANSLATE(B3632,""id"",""en"")"),"['Really', 'Good', 'Telkomsel', '']")</f>
        <v>['Really', 'Good', 'Telkomsel', '']</v>
      </c>
      <c r="D3632" s="3">
        <v>5.0</v>
      </c>
    </row>
    <row r="3633" ht="15.75" customHeight="1">
      <c r="A3633" s="1">
        <v>3867.0</v>
      </c>
      <c r="B3633" s="3" t="s">
        <v>3528</v>
      </c>
      <c r="C3633" s="3" t="str">
        <f>IFERROR(__xludf.DUMMYFUNCTION("GOOGLETRANSLATE(B3633,""id"",""en"")"),"['The application', 'out', 'updated', 'opened', 'already', 'for days', 'checked', 'buy', 'quota', ""]")</f>
        <v>['The application', 'out', 'updated', 'opened', 'already', 'for days', 'checked', 'buy', 'quota', "]</v>
      </c>
      <c r="D3633" s="3">
        <v>2.0</v>
      </c>
    </row>
    <row r="3634" ht="15.75" customHeight="1">
      <c r="A3634" s="1">
        <v>3868.0</v>
      </c>
      <c r="B3634" s="3" t="s">
        <v>3529</v>
      </c>
      <c r="C3634" s="3" t="str">
        <f>IFERROR(__xludf.DUMMYFUNCTION("GOOGLETRANSLATE(B3634,""id"",""en"")"),"['expensive', 'signal', 'ugly', 'game', 'slow', 'steady', 'shortcomings',' Jos', 'I think', 'already', 'bankrupt', 'star', ' Love ',' Bintang ',' ']")</f>
        <v>['expensive', 'signal', 'ugly', 'game', 'slow', 'steady', 'shortcomings',' Jos', 'I think', 'already', 'bankrupt', 'star', ' Love ',' Bintang ',' ']</v>
      </c>
      <c r="D3634" s="3">
        <v>1.0</v>
      </c>
    </row>
    <row r="3635" ht="15.75" customHeight="1">
      <c r="A3635" s="1">
        <v>3869.0</v>
      </c>
      <c r="B3635" s="3" t="s">
        <v>3530</v>
      </c>
      <c r="C3635" s="3" t="str">
        <f>IFERROR(__xludf.DUMMYFUNCTION("GOOGLETRANSLATE(B3635,""id"",""en"")"),"['petrified', 'purchase', 'package', 'data', 'plz', 'counter', 'plz', 'success',' guard ',' authenticity ',' the application ',' slow ',' Update ',' Increase ',' Best ',' User ',' Application ',' Mah ',' ']")</f>
        <v>['petrified', 'purchase', 'package', 'data', 'plz', 'counter', 'plz', 'success',' guard ',' authenticity ',' the application ',' slow ',' Update ',' Increase ',' Best ',' User ',' Application ',' Mah ',' ']</v>
      </c>
      <c r="D3635" s="3">
        <v>5.0</v>
      </c>
    </row>
    <row r="3636" ht="15.75" customHeight="1">
      <c r="A3636" s="1">
        <v>3870.0</v>
      </c>
      <c r="B3636" s="3" t="s">
        <v>3531</v>
      </c>
      <c r="C3636" s="3" t="str">
        <f>IFERROR(__xludf.DUMMYFUNCTION("GOOGLETRANSLATE(B3636,""id"",""en"")"),"['Telkomsel', 'slow', 'severe']")</f>
        <v>['Telkomsel', 'slow', 'severe']</v>
      </c>
      <c r="D3636" s="3">
        <v>1.0</v>
      </c>
    </row>
    <row r="3637" ht="15.75" customHeight="1">
      <c r="A3637" s="1">
        <v>3871.0</v>
      </c>
      <c r="B3637" s="3" t="s">
        <v>3532</v>
      </c>
      <c r="C3637" s="3" t="str">
        <f>IFERROR(__xludf.DUMMYFUNCTION("GOOGLETRANSLATE(B3637,""id"",""en"")"),"['transaction', 'purchase', 'package', 'practical', 'information']")</f>
        <v>['transaction', 'purchase', 'package', 'practical', 'information']</v>
      </c>
      <c r="D3637" s="3">
        <v>5.0</v>
      </c>
    </row>
    <row r="3638" ht="15.75" customHeight="1">
      <c r="A3638" s="1">
        <v>3872.0</v>
      </c>
      <c r="B3638" s="3" t="s">
        <v>3533</v>
      </c>
      <c r="C3638" s="3" t="str">
        <f>IFERROR(__xludf.DUMMYFUNCTION("GOOGLETRANSLATE(B3638,""id"",""en"")"),"['change point']")</f>
        <v>['change point']</v>
      </c>
      <c r="D3638" s="3">
        <v>1.0</v>
      </c>
    </row>
    <row r="3639" ht="15.75" customHeight="1">
      <c r="A3639" s="1">
        <v>3873.0</v>
      </c>
      <c r="B3639" s="3" t="s">
        <v>3534</v>
      </c>
      <c r="C3639" s="3" t="str">
        <f>IFERROR(__xludf.DUMMYFUNCTION("GOOGLETRANSLATE(B3639,""id"",""en"")"),"['Quota', 'keuang', 'use', ""]")</f>
        <v>['Quota', 'keuang', 'use', "]</v>
      </c>
      <c r="D3639" s="3">
        <v>1.0</v>
      </c>
    </row>
    <row r="3640" ht="15.75" customHeight="1">
      <c r="A3640" s="1">
        <v>3874.0</v>
      </c>
      <c r="B3640" s="3" t="s">
        <v>3197</v>
      </c>
      <c r="C3640" s="3" t="str">
        <f>IFERROR(__xludf.DUMMYFUNCTION("GOOGLETRANSLATE(B3640,""id"",""en"")"),"['Update', 'opened', '']")</f>
        <v>['Update', 'opened', '']</v>
      </c>
      <c r="D3640" s="3">
        <v>1.0</v>
      </c>
    </row>
    <row r="3641" ht="15.75" customHeight="1">
      <c r="A3641" s="1">
        <v>3875.0</v>
      </c>
      <c r="B3641" s="3" t="s">
        <v>3535</v>
      </c>
      <c r="C3641" s="3" t="str">
        <f>IFERROR(__xludf.DUMMYFUNCTION("GOOGLETRANSLATE(B3641,""id"",""en"")"),"['application', 'Telkomsel', 'opened', 'disappointed', 'heavy', 'buy', 'package', 'data', 'package', 'data', 'Telkomsel', 'pdhl', ' Not bad ',' cheap ',' please ',' fix ',' donk ',' application ',' thank you ']")</f>
        <v>['application', 'Telkomsel', 'opened', 'disappointed', 'heavy', 'buy', 'package', 'data', 'package', 'data', 'Telkomsel', 'pdhl', ' Not bad ',' cheap ',' please ',' fix ',' donk ',' application ',' thank you ']</v>
      </c>
      <c r="D3641" s="3">
        <v>1.0</v>
      </c>
    </row>
    <row r="3642" ht="15.75" customHeight="1">
      <c r="A3642" s="1">
        <v>3876.0</v>
      </c>
      <c r="B3642" s="3" t="s">
        <v>3536</v>
      </c>
      <c r="C3642" s="3" t="str">
        <f>IFERROR(__xludf.DUMMYFUNCTION("GOOGLETRANSLATE(B3642,""id"",""en"")"),"['dead', 'lost', 'signal', 'no', 'smooth', 'task', 'no', 'send', 'gara', 'gara', 'packetan', ""]")</f>
        <v>['dead', 'lost', 'signal', 'no', 'smooth', 'task', 'no', 'send', 'gara', 'gara', 'packetan', "]</v>
      </c>
      <c r="D3642" s="3">
        <v>1.0</v>
      </c>
    </row>
    <row r="3643" ht="15.75" customHeight="1">
      <c r="A3643" s="1">
        <v>3877.0</v>
      </c>
      <c r="B3643" s="3" t="s">
        <v>3537</v>
      </c>
      <c r="C3643" s="3" t="str">
        <f>IFERROR(__xludf.DUMMYFUNCTION("GOOGLETRANSLATE(B3643,""id"",""en"")"),"['signal', 'strong', 'mn', '']")</f>
        <v>['signal', 'strong', 'mn', '']</v>
      </c>
      <c r="D3643" s="3">
        <v>5.0</v>
      </c>
    </row>
    <row r="3644" ht="15.75" customHeight="1">
      <c r="A3644" s="1">
        <v>3879.0</v>
      </c>
      <c r="B3644" s="3" t="s">
        <v>3538</v>
      </c>
      <c r="C3644" s="3" t="str">
        <f>IFERROR(__xludf.DUMMYFUNCTION("GOOGLETRANSLATE(B3644,""id"",""en"")"),"['APK', 'Open', '']")</f>
        <v>['APK', 'Open', '']</v>
      </c>
      <c r="D3644" s="3">
        <v>1.0</v>
      </c>
    </row>
    <row r="3645" ht="15.75" customHeight="1">
      <c r="A3645" s="1">
        <v>3880.0</v>
      </c>
      <c r="B3645" s="3" t="s">
        <v>3539</v>
      </c>
      <c r="C3645" s="3" t="str">
        <f>IFERROR(__xludf.DUMMYFUNCTION("GOOGLETRANSLATE(B3645,""id"",""en"")"),"['', 'mountains', 'signal', 'good']")</f>
        <v>['', 'mountains', 'signal', 'good']</v>
      </c>
      <c r="D3645" s="3">
        <v>5.0</v>
      </c>
    </row>
    <row r="3646" ht="15.75" customHeight="1">
      <c r="A3646" s="1">
        <v>3881.0</v>
      </c>
      <c r="B3646" s="3" t="s">
        <v>3540</v>
      </c>
      <c r="C3646" s="3" t="str">
        <f>IFERROR(__xludf.DUMMYFUNCTION("GOOGLETRANSLATE(B3646,""id"",""en"")"),"['recommend']")</f>
        <v>['recommend']</v>
      </c>
      <c r="D3646" s="3">
        <v>5.0</v>
      </c>
    </row>
    <row r="3647" ht="15.75" customHeight="1">
      <c r="A3647" s="1">
        <v>3882.0</v>
      </c>
      <c r="B3647" s="3" t="s">
        <v>3541</v>
      </c>
      <c r="C3647" s="3" t="str">
        <f>IFERROR(__xludf.DUMMYFUNCTION("GOOGLETRANSLATE(B3647,""id"",""en"")"),"['Simple', 'price', 'cheap']")</f>
        <v>['Simple', 'price', 'cheap']</v>
      </c>
      <c r="D3647" s="3">
        <v>5.0</v>
      </c>
    </row>
    <row r="3648" ht="15.75" customHeight="1">
      <c r="A3648" s="1">
        <v>3883.0</v>
      </c>
      <c r="B3648" s="3" t="s">
        <v>3542</v>
      </c>
      <c r="C3648" s="3" t="str">
        <f>IFERROR(__xludf.DUMMYFUNCTION("GOOGLETRANSLATE(B3648,""id"",""en"")"),"['Worth', 'maintained', 'Telkomsel', 'bad', 'item', 'price', 'bro', 'send', 'message', 'taste', 'lgi', 'forest']")</f>
        <v>['Worth', 'maintained', 'Telkomsel', 'bad', 'item', 'price', 'bro', 'send', 'message', 'taste', 'lgi', 'forest']</v>
      </c>
      <c r="D3648" s="3">
        <v>1.0</v>
      </c>
    </row>
    <row r="3649" ht="15.75" customHeight="1">
      <c r="A3649" s="1">
        <v>3884.0</v>
      </c>
      <c r="B3649" s="3" t="s">
        <v>3543</v>
      </c>
      <c r="C3649" s="3" t="str">
        <f>IFERROR(__xludf.DUMMYFUNCTION("GOOGLETRANSLATE(B3649,""id"",""en"")"),"['Telkoms', 'heart']")</f>
        <v>['Telkoms', 'heart']</v>
      </c>
      <c r="D3649" s="3">
        <v>5.0</v>
      </c>
    </row>
    <row r="3650" ht="15.75" customHeight="1">
      <c r="A3650" s="1">
        <v>3885.0</v>
      </c>
      <c r="B3650" s="3" t="s">
        <v>3544</v>
      </c>
      <c r="C3650" s="3" t="str">
        <f>IFERROR(__xludf.DUMMYFUNCTION("GOOGLETRANSLATE(B3650,""id"",""en"")"),"['Steady', 'Simple', 'Fill', 'Package']")</f>
        <v>['Steady', 'Simple', 'Fill', 'Package']</v>
      </c>
      <c r="D3650" s="3">
        <v>5.0</v>
      </c>
    </row>
    <row r="3651" ht="15.75" customHeight="1">
      <c r="A3651" s="1">
        <v>3886.0</v>
      </c>
      <c r="B3651" s="3" t="s">
        <v>3545</v>
      </c>
      <c r="C3651" s="3" t="str">
        <f>IFERROR(__xludf.DUMMYFUNCTION("GOOGLETRANSLATE(B3651,""id"",""en"")"),"['Difficult', 'entry', 'App', 'Telkom']")</f>
        <v>['Difficult', 'entry', 'App', 'Telkom']</v>
      </c>
      <c r="D3651" s="3">
        <v>4.0</v>
      </c>
    </row>
    <row r="3652" ht="15.75" customHeight="1">
      <c r="A3652" s="1">
        <v>3887.0</v>
      </c>
      <c r="B3652" s="3" t="s">
        <v>3546</v>
      </c>
      <c r="C3652" s="3" t="str">
        <f>IFERROR(__xludf.DUMMYFUNCTION("GOOGLETRANSLATE(B3652,""id"",""en"")"),"['Update', 'Application', 'Gabisa', 'Opened', 'Please', 'Overcome', 'Problems', 'See', 'Review', 'Thank you']")</f>
        <v>['Update', 'Application', 'Gabisa', 'Opened', 'Please', 'Overcome', 'Problems', 'See', 'Review', 'Thank you']</v>
      </c>
      <c r="D3652" s="3">
        <v>1.0</v>
      </c>
    </row>
    <row r="3653" ht="15.75" customHeight="1">
      <c r="A3653" s="1">
        <v>3888.0</v>
      </c>
      <c r="B3653" s="3" t="s">
        <v>3547</v>
      </c>
      <c r="C3653" s="3" t="str">
        <f>IFERROR(__xludf.DUMMYFUNCTION("GOOGLETRANSLATE(B3653,""id"",""en"")"),"['Fix', 'Sales', 'Package', 'Confirmed']")</f>
        <v>['Fix', 'Sales', 'Package', 'Confirmed']</v>
      </c>
      <c r="D3653" s="3">
        <v>1.0</v>
      </c>
    </row>
    <row r="3654" ht="15.75" customHeight="1">
      <c r="A3654" s="1">
        <v>3889.0</v>
      </c>
      <c r="B3654" s="3" t="s">
        <v>471</v>
      </c>
      <c r="C3654" s="3" t="str">
        <f>IFERROR(__xludf.DUMMYFUNCTION("GOOGLETRANSLATE(B3654,""id"",""en"")"),"['']")</f>
        <v>['']</v>
      </c>
      <c r="D3654" s="3">
        <v>4.0</v>
      </c>
    </row>
    <row r="3655" ht="15.75" customHeight="1">
      <c r="A3655" s="1">
        <v>3890.0</v>
      </c>
      <c r="B3655" s="3" t="s">
        <v>3548</v>
      </c>
      <c r="C3655" s="3" t="str">
        <f>IFERROR(__xludf.DUMMYFUNCTION("GOOGLETRANSLATE(B3655,""id"",""en"")"),"['Telkomsel', 'really', 'cut', 'pulse', 'reason', 'paid out', 'return', 'credit', 'emergency', 'pdhl', 'prnh', 'services',' Credit ',' emergency ',' Plis', 'Laa', 'Telkomsel', ""]")</f>
        <v>['Telkomsel', 'really', 'cut', 'pulse', 'reason', 'paid out', 'return', 'credit', 'emergency', 'pdhl', 'prnh', 'services',' Credit ',' emergency ',' Plis', 'Laa', 'Telkomsel', "]</v>
      </c>
      <c r="D3655" s="3">
        <v>1.0</v>
      </c>
    </row>
    <row r="3656" ht="15.75" customHeight="1">
      <c r="A3656" s="1">
        <v>3891.0</v>
      </c>
      <c r="B3656" s="3" t="s">
        <v>3549</v>
      </c>
      <c r="C3656" s="3" t="str">
        <f>IFERROR(__xludf.DUMMYFUNCTION("GOOGLETRANSLATE(B3656,""id"",""en"")"),"['Application', 'Telkomsel', 'Open', '']")</f>
        <v>['Application', 'Telkomsel', 'Open', '']</v>
      </c>
      <c r="D3656" s="3">
        <v>1.0</v>
      </c>
    </row>
    <row r="3657" ht="15.75" customHeight="1">
      <c r="A3657" s="1">
        <v>3892.0</v>
      </c>
      <c r="B3657" s="3" t="s">
        <v>3550</v>
      </c>
      <c r="C3657" s="3" t="str">
        <f>IFERROR(__xludf.DUMMYFUNCTION("GOOGLETRANSLATE(B3657,""id"",""en"")"),"['quota', 'internet', 'apply', 'December', 'pulse', 'main', 'reduced', 'pay', 'internet', 'activate', 'package', 'exchange', ' Points', 'Points',' GB ',' dozens', 'thousand', 'pulses',' missing ',' disappointing ',' ']")</f>
        <v>['quota', 'internet', 'apply', 'December', 'pulse', 'main', 'reduced', 'pay', 'internet', 'activate', 'package', 'exchange', ' Points', 'Points',' GB ',' dozens', 'thousand', 'pulses',' missing ',' disappointing ',' ']</v>
      </c>
      <c r="D3657" s="3">
        <v>1.0</v>
      </c>
    </row>
    <row r="3658" ht="15.75" customHeight="1">
      <c r="A3658" s="1">
        <v>3893.0</v>
      </c>
      <c r="B3658" s="3" t="s">
        <v>3551</v>
      </c>
      <c r="C3658" s="3" t="str">
        <f>IFERROR(__xludf.DUMMYFUNCTION("GOOGLETRANSLATE(B3658,""id"",""en"")"),"['fix', 'signal', 'network', 'ntah', 'company', 'plate', 'red', 'performance', 'professional', 'network', 'slow', 'price', ' Expensive ',' ']")</f>
        <v>['fix', 'signal', 'network', 'ntah', 'company', 'plate', 'red', 'performance', 'professional', 'network', 'slow', 'price', ' Expensive ',' ']</v>
      </c>
      <c r="D3658" s="3">
        <v>1.0</v>
      </c>
    </row>
    <row r="3659" ht="15.75" customHeight="1">
      <c r="A3659" s="1">
        <v>3894.0</v>
      </c>
      <c r="B3659" s="3" t="s">
        <v>3552</v>
      </c>
      <c r="C3659" s="3" t="str">
        <f>IFERROR(__xludf.DUMMYFUNCTION("GOOGLETRANSLATE(B3659,""id"",""en"")"),"['Severe', 'Open', 'Uninstall', 'Install', 'TTP', 'Open']")</f>
        <v>['Severe', 'Open', 'Uninstall', 'Install', 'TTP', 'Open']</v>
      </c>
      <c r="D3659" s="3">
        <v>5.0</v>
      </c>
    </row>
    <row r="3660" ht="15.75" customHeight="1">
      <c r="A3660" s="1">
        <v>3895.0</v>
      </c>
      <c r="B3660" s="3" t="s">
        <v>3553</v>
      </c>
      <c r="C3660" s="3" t="str">
        <f>IFERROR(__xludf.DUMMYFUNCTION("GOOGLETRANSLATE(B3660,""id"",""en"")"),"['Install him']")</f>
        <v>['Install him']</v>
      </c>
      <c r="D3660" s="3">
        <v>2.0</v>
      </c>
    </row>
    <row r="3661" ht="15.75" customHeight="1">
      <c r="A3661" s="1">
        <v>3896.0</v>
      </c>
      <c r="B3661" s="3" t="s">
        <v>3554</v>
      </c>
      <c r="C3661" s="3" t="str">
        <f>IFERROR(__xludf.DUMMYFUNCTION("GOOGLETRANSLATE(B3661,""id"",""en"")"),"['Its use', 'easy', 'price', 'murahhhhhh']")</f>
        <v>['Its use', 'easy', 'price', 'murahhhhhh']</v>
      </c>
      <c r="D3661" s="3">
        <v>5.0</v>
      </c>
    </row>
    <row r="3662" ht="15.75" customHeight="1">
      <c r="A3662" s="1">
        <v>3897.0</v>
      </c>
      <c r="B3662" s="3" t="s">
        <v>3555</v>
      </c>
      <c r="C3662" s="3" t="str">
        <f>IFERROR(__xludf.DUMMYFUNCTION("GOOGLETRANSLATE(B3662,""id"",""en"")"),"['easy', 'transaction', 'pulse', 'data']")</f>
        <v>['easy', 'transaction', 'pulse', 'data']</v>
      </c>
      <c r="D3662" s="3">
        <v>5.0</v>
      </c>
    </row>
    <row r="3663" ht="15.75" customHeight="1">
      <c r="A3663" s="1">
        <v>3898.0</v>
      </c>
      <c r="B3663" s="3" t="s">
        <v>3556</v>
      </c>
      <c r="C3663" s="3" t="str">
        <f>IFERROR(__xludf.DUMMYFUNCTION("GOOGLETRANSLATE(B3663,""id"",""en"")"),"['Trying', 'Application', 'Understand', 'Love', 'Rating', '']")</f>
        <v>['Trying', 'Application', 'Understand', 'Love', 'Rating', '']</v>
      </c>
      <c r="D3663" s="3">
        <v>3.0</v>
      </c>
    </row>
    <row r="3664" ht="15.75" customHeight="1">
      <c r="A3664" s="1">
        <v>3899.0</v>
      </c>
      <c r="B3664" s="3" t="s">
        <v>3557</v>
      </c>
      <c r="C3664" s="3" t="str">
        <f>IFERROR(__xludf.DUMMYFUNCTION("GOOGLETRANSLATE(B3664,""id"",""en"")"),"['Open', 'Applications', 'right', 'Open', 'White', 'appears', 'Season', 'dehhh']")</f>
        <v>['Open', 'Applications', 'right', 'Open', 'White', 'appears', 'Season', 'dehhh']</v>
      </c>
      <c r="D3664" s="3">
        <v>1.0</v>
      </c>
    </row>
    <row r="3665" ht="15.75" customHeight="1">
      <c r="A3665" s="1">
        <v>3900.0</v>
      </c>
      <c r="B3665" s="3" t="s">
        <v>3558</v>
      </c>
      <c r="C3665" s="3" t="str">
        <f>IFERROR(__xludf.DUMMYFUNCTION("GOOGLETRANSLATE(B3665,""id"",""en"")"),"['SMS', 'enter', 'Gag', 'Direct', 'Embedding', 'Masi', 'APLI', 'Kasi', 'poor', 'gag']")</f>
        <v>['SMS', 'enter', 'Gag', 'Direct', 'Embedding', 'Masi', 'APLI', 'Kasi', 'poor', 'gag']</v>
      </c>
      <c r="D3665" s="3">
        <v>1.0</v>
      </c>
    </row>
    <row r="3666" ht="15.75" customHeight="1">
      <c r="A3666" s="1">
        <v>3901.0</v>
      </c>
      <c r="B3666" s="3" t="s">
        <v>3559</v>
      </c>
      <c r="C3666" s="3" t="str">
        <f>IFERROR(__xludf.DUMMYFUNCTION("GOOGLETRANSLATE(B3666,""id"",""en"")"),"['Hopefully', 'Telkomsel', 'bonus']")</f>
        <v>['Hopefully', 'Telkomsel', 'bonus']</v>
      </c>
      <c r="D3666" s="3">
        <v>5.0</v>
      </c>
    </row>
    <row r="3667" ht="15.75" customHeight="1">
      <c r="A3667" s="1">
        <v>3902.0</v>
      </c>
      <c r="B3667" s="3" t="s">
        <v>3560</v>
      </c>
      <c r="C3667" s="3" t="str">
        <f>IFERROR(__xludf.DUMMYFUNCTION("GOOGLETRANSLATE(B3667,""id"",""en"")"),"['Severe', 'application', 'open', 'Nge', 'blang', 'color', 'look', 'white', 'clean', 'stain']")</f>
        <v>['Severe', 'application', 'open', 'Nge', 'blang', 'color', 'look', 'white', 'clean', 'stain']</v>
      </c>
      <c r="D3667" s="3">
        <v>1.0</v>
      </c>
    </row>
    <row r="3668" ht="15.75" customHeight="1">
      <c r="A3668" s="1">
        <v>3903.0</v>
      </c>
      <c r="B3668" s="3" t="s">
        <v>3561</v>
      </c>
      <c r="C3668" s="3" t="str">
        <f>IFERROR(__xludf.DUMMYFUNCTION("GOOGLETRANSLATE(B3668,""id"",""en"")"),"['Complaints',' Customer ',' answer ',' and then ',' robot ',' thrown ',' there ',' solution ',' PHP ',' improvement ',' MyTelkomsel ',' intention ',' Application ',' shy ',' neighbor ',' next door ',' Application ',' LBH ',' Arogan ',' pampering ',' Cost"&amp;"umer ',' THKS ']")</f>
        <v>['Complaints',' Customer ',' answer ',' and then ',' robot ',' thrown ',' there ',' solution ',' PHP ',' improvement ',' MyTelkomsel ',' intention ',' Application ',' shy ',' neighbor ',' next door ',' Application ',' LBH ',' Arogan ',' pampering ',' Costumer ',' THKS ']</v>
      </c>
      <c r="D3668" s="3">
        <v>1.0</v>
      </c>
    </row>
    <row r="3669" ht="15.75" customHeight="1">
      <c r="A3669" s="1">
        <v>3904.0</v>
      </c>
      <c r="B3669" s="3" t="s">
        <v>3562</v>
      </c>
      <c r="C3669" s="3" t="str">
        <f>IFERROR(__xludf.DUMMYFUNCTION("GOOGLETRANSLATE(B3669,""id"",""en"")"),"['MyTelkomsel', 'Login', '']")</f>
        <v>['MyTelkomsel', 'Login', '']</v>
      </c>
      <c r="D3669" s="3">
        <v>1.0</v>
      </c>
    </row>
    <row r="3670" ht="15.75" customHeight="1">
      <c r="A3670" s="1">
        <v>3905.0</v>
      </c>
      <c r="B3670" s="3" t="s">
        <v>3563</v>
      </c>
      <c r="C3670" s="3" t="str">
        <f>IFERROR(__xludf.DUMMYFUNCTION("GOOGLETRANSLATE(B3670,""id"",""en"")"),"['Increase', 'Points']")</f>
        <v>['Increase', 'Points']</v>
      </c>
      <c r="D3670" s="3">
        <v>5.0</v>
      </c>
    </row>
    <row r="3671" ht="15.75" customHeight="1">
      <c r="A3671" s="1">
        <v>3906.0</v>
      </c>
      <c r="B3671" s="3" t="s">
        <v>3564</v>
      </c>
      <c r="C3671" s="3" t="str">
        <f>IFERROR(__xludf.DUMMYFUNCTION("GOOGLETRANSLATE(B3671,""id"",""en"")"),"['YTH', 'Telkomsel', 'Please', 'Fix', 'Connection', 'Network', 'Region', 'Batang', 'Jambi', 'Signal', ""]")</f>
        <v>['YTH', 'Telkomsel', 'Please', 'Fix', 'Connection', 'Network', 'Region', 'Batang', 'Jambi', 'Signal', "]</v>
      </c>
      <c r="D3671" s="3">
        <v>2.0</v>
      </c>
    </row>
    <row r="3672" ht="15.75" customHeight="1">
      <c r="A3672" s="1">
        <v>3907.0</v>
      </c>
      <c r="B3672" s="3" t="s">
        <v>3565</v>
      </c>
      <c r="C3672" s="3" t="str">
        <f>IFERROR(__xludf.DUMMYFUNCTION("GOOGLETRANSLATE(B3672,""id"",""en"")"),"['Network', 'Telkomsel', 'here', 'bad']")</f>
        <v>['Network', 'Telkomsel', 'here', 'bad']</v>
      </c>
      <c r="D3672" s="3">
        <v>1.0</v>
      </c>
    </row>
    <row r="3673" ht="15.75" customHeight="1">
      <c r="A3673" s="1">
        <v>3908.0</v>
      </c>
      <c r="B3673" s="3" t="s">
        <v>3566</v>
      </c>
      <c r="C3673" s="3" t="str">
        <f>IFERROR(__xludf.DUMMYFUNCTION("GOOGLETRANSLATE(B3673,""id"",""en"")"),"['Disorders', 'then', 'internet']")</f>
        <v>['Disorders', 'then', 'internet']</v>
      </c>
      <c r="D3673" s="3">
        <v>2.0</v>
      </c>
    </row>
    <row r="3674" ht="15.75" customHeight="1">
      <c r="A3674" s="1">
        <v>3909.0</v>
      </c>
      <c r="B3674" s="3" t="s">
        <v>3567</v>
      </c>
      <c r="C3674" s="3" t="str">
        <f>IFERROR(__xludf.DUMMYFUNCTION("GOOGLETRANSLATE(B3674,""id"",""en"")"),"['easy', '']")</f>
        <v>['easy', '']</v>
      </c>
      <c r="D3674" s="3">
        <v>5.0</v>
      </c>
    </row>
    <row r="3675" ht="15.75" customHeight="1">
      <c r="A3675" s="1">
        <v>3910.0</v>
      </c>
      <c r="B3675" s="3" t="s">
        <v>3568</v>
      </c>
      <c r="C3675" s="3" t="str">
        <f>IFERROR(__xludf.DUMMYFUNCTION("GOOGLETRANSLATE(B3675,""id"",""en"")"),"['Bner', 'Dokom', 'sekrang', 'network', 'slow', 'gile', 'open', 'apk', 'skrng', 'dri', 'bgin', 'skrng', ' Severe ',' Disappointed ',' Ama ',' Network ',' Telkomsel ',' ']")</f>
        <v>['Bner', 'Dokom', 'sekrang', 'network', 'slow', 'gile', 'open', 'apk', 'skrng', 'dri', 'bgin', 'skrng', ' Severe ',' Disappointed ',' Ama ',' Network ',' Telkomsel ',' ']</v>
      </c>
      <c r="D3675" s="3">
        <v>1.0</v>
      </c>
    </row>
    <row r="3676" ht="15.75" customHeight="1">
      <c r="A3676" s="1">
        <v>3911.0</v>
      </c>
      <c r="B3676" s="3" t="s">
        <v>3569</v>
      </c>
      <c r="C3676" s="3" t="str">
        <f>IFERROR(__xludf.DUMMYFUNCTION("GOOGLETRANSLATE(B3676,""id"",""en"")"),"['right', 'Nukar', 'Points', 'Diamod', 'Mobile', 'Legends', ""]")</f>
        <v>['right', 'Nukar', 'Points', 'Diamod', 'Mobile', 'Legends', "]</v>
      </c>
      <c r="D3676" s="3">
        <v>2.0</v>
      </c>
    </row>
    <row r="3677" ht="15.75" customHeight="1">
      <c r="A3677" s="1">
        <v>3912.0</v>
      </c>
      <c r="B3677" s="3" t="s">
        <v>3570</v>
      </c>
      <c r="C3677" s="3" t="str">
        <f>IFERROR(__xludf.DUMMYFUNCTION("GOOGLETRANSLATE(B3677,""id"",""en"")"),"['fix', 'bug', 'bug', 'severe']")</f>
        <v>['fix', 'bug', 'bug', 'severe']</v>
      </c>
      <c r="D3677" s="3">
        <v>1.0</v>
      </c>
    </row>
    <row r="3678" ht="15.75" customHeight="1">
      <c r="A3678" s="1">
        <v>3913.0</v>
      </c>
      <c r="B3678" s="3" t="s">
        <v>3571</v>
      </c>
      <c r="C3678" s="3" t="str">
        <f>IFERROR(__xludf.DUMMYFUNCTION("GOOGLETRANSLATE(B3678,""id"",""en"")"),"['Package', 'cheap', 'signal', 'fast', '']")</f>
        <v>['Package', 'cheap', 'signal', 'fast', '']</v>
      </c>
      <c r="D3678" s="3">
        <v>5.0</v>
      </c>
    </row>
    <row r="3679" ht="15.75" customHeight="1">
      <c r="A3679" s="1">
        <v>3914.0</v>
      </c>
      <c r="B3679" s="3" t="s">
        <v>3572</v>
      </c>
      <c r="C3679" s="3" t="str">
        <f>IFERROR(__xludf.DUMMYFUNCTION("GOOGLETRANSLATE(B3679,""id"",""en"")"),"['Good', 'Baget', 'Satisfied']")</f>
        <v>['Good', 'Baget', 'Satisfied']</v>
      </c>
      <c r="D3679" s="3">
        <v>5.0</v>
      </c>
    </row>
    <row r="3680" ht="15.75" customHeight="1">
      <c r="A3680" s="1">
        <v>3915.0</v>
      </c>
      <c r="B3680" s="3" t="s">
        <v>3573</v>
      </c>
      <c r="C3680" s="3" t="str">
        <f>IFERROR(__xludf.DUMMYFUNCTION("GOOGLETRANSLATE(B3680,""id"",""en"")"),"['Awww', 'Napa', 'Open', '']")</f>
        <v>['Awww', 'Napa', 'Open', '']</v>
      </c>
      <c r="D3680" s="3">
        <v>1.0</v>
      </c>
    </row>
    <row r="3681" ht="15.75" customHeight="1">
      <c r="A3681" s="1">
        <v>3916.0</v>
      </c>
      <c r="B3681" s="3" t="s">
        <v>3574</v>
      </c>
      <c r="C3681" s="3" t="str">
        <f>IFERROR(__xludf.DUMMYFUNCTION("GOOGLETRANSLATE(B3681,""id"",""en"")"),"['HBS', 'Updated', 'Open', 'Applications']")</f>
        <v>['HBS', 'Updated', 'Open', 'Applications']</v>
      </c>
      <c r="D3681" s="3">
        <v>1.0</v>
      </c>
    </row>
    <row r="3682" ht="15.75" customHeight="1">
      <c r="A3682" s="1">
        <v>3917.0</v>
      </c>
      <c r="B3682" s="3" t="s">
        <v>3575</v>
      </c>
      <c r="C3682" s="3" t="str">
        <f>IFERROR(__xludf.DUMMYFUNCTION("GOOGLETRANSLATE(B3682,""id"",""en"")"),"['Telkomsel', 'steady', 'Thank you', 'Telkomsel', '']")</f>
        <v>['Telkomsel', 'steady', 'Thank you', 'Telkomsel', '']</v>
      </c>
      <c r="D3682" s="3">
        <v>5.0</v>
      </c>
    </row>
    <row r="3683" ht="15.75" customHeight="1">
      <c r="A3683" s="1">
        <v>3918.0</v>
      </c>
      <c r="B3683" s="3" t="s">
        <v>3576</v>
      </c>
      <c r="C3683" s="3" t="str">
        <f>IFERROR(__xludf.DUMMYFUNCTION("GOOGLETRANSLATE(B3683,""id"",""en"")"),"['', 'good', 'understand', 'command', 'function', 'optimal']")</f>
        <v>['', 'good', 'understand', 'command', 'function', 'optimal']</v>
      </c>
      <c r="D3683" s="3">
        <v>5.0</v>
      </c>
    </row>
    <row r="3684" ht="15.75" customHeight="1">
      <c r="A3684" s="1">
        <v>3919.0</v>
      </c>
      <c r="B3684" s="3" t="s">
        <v>3577</v>
      </c>
      <c r="C3684" s="3" t="str">
        <f>IFERROR(__xludf.DUMMYFUNCTION("GOOGLETRANSLATE(B3684,""id"",""en"")"),"['Disappointed', 'Contents',' Credit ',' Karna ',' Quota ',' Out ',' Fill ',' Credit ',' Enter ',' Application ',' Turn on ',' Data ',' Direct ',' pulse ',' truncated ',' RB ',' buy ',' package ',' internet ',' buy ',' pulse ',' bought ',' information ','"&amp;" pulse ',' sufficient ' , 'please', 'fill', 'reset', 'buy', 'package', 'pulse', 'truncated', 'karna', 'turn on', 'data', 'cellular', 'enter', ' Application ',' pulse ',' cut ',' ']")</f>
        <v>['Disappointed', 'Contents',' Credit ',' Karna ',' Quota ',' Out ',' Fill ',' Credit ',' Enter ',' Application ',' Turn on ',' Data ',' Direct ',' pulse ',' truncated ',' RB ',' buy ',' package ',' internet ',' buy ',' pulse ',' bought ',' information ',' pulse ',' sufficient ' , 'please', 'fill', 'reset', 'buy', 'package', 'pulse', 'truncated', 'karna', 'turn on', 'data', 'cellular', 'enter', ' Application ',' pulse ',' cut ',' ']</v>
      </c>
      <c r="D3684" s="3">
        <v>1.0</v>
      </c>
    </row>
    <row r="3685" ht="15.75" customHeight="1">
      <c r="A3685" s="1">
        <v>3920.0</v>
      </c>
      <c r="B3685" s="3" t="s">
        <v>3578</v>
      </c>
      <c r="C3685" s="3" t="str">
        <f>IFERROR(__xludf.DUMMYFUNCTION("GOOGLETRANSLATE(B3685,""id"",""en"")"),"['application', 'bsa', 'open', 'nesel', 'donlod', 'run out', 'quota', '']")</f>
        <v>['application', 'bsa', 'open', 'nesel', 'donlod', 'run out', 'quota', '']</v>
      </c>
      <c r="D3685" s="3">
        <v>1.0</v>
      </c>
    </row>
    <row r="3686" ht="15.75" customHeight="1">
      <c r="A3686" s="1">
        <v>3921.0</v>
      </c>
      <c r="B3686" s="3" t="s">
        <v>2929</v>
      </c>
      <c r="C3686" s="3" t="str">
        <f>IFERROR(__xludf.DUMMYFUNCTION("GOOGLETRANSLATE(B3686,""id"",""en"")"),"['Update', 'opened', '']")</f>
        <v>['Update', 'opened', '']</v>
      </c>
      <c r="D3686" s="3">
        <v>1.0</v>
      </c>
    </row>
    <row r="3687" ht="15.75" customHeight="1">
      <c r="A3687" s="1">
        <v>3922.0</v>
      </c>
      <c r="B3687" s="3" t="s">
        <v>3579</v>
      </c>
      <c r="C3687" s="3" t="str">
        <f>IFERROR(__xludf.DUMMYFUNCTION("GOOGLETRANSLATE(B3687,""id"",""en"")"),"['Package', 'cheap']")</f>
        <v>['Package', 'cheap']</v>
      </c>
      <c r="D3687" s="3">
        <v>3.0</v>
      </c>
    </row>
    <row r="3688" ht="15.75" customHeight="1">
      <c r="A3688" s="1">
        <v>3923.0</v>
      </c>
      <c r="B3688" s="3" t="s">
        <v>3580</v>
      </c>
      <c r="C3688" s="3" t="str">
        <f>IFERROR(__xludf.DUMMYFUNCTION("GOOGLETRANSLATE(B3688,""id"",""en"")"),"['The application', 'good']")</f>
        <v>['The application', 'good']</v>
      </c>
      <c r="D3688" s="3">
        <v>5.0</v>
      </c>
    </row>
    <row r="3689" ht="15.75" customHeight="1">
      <c r="A3689" s="1">
        <v>3924.0</v>
      </c>
      <c r="B3689" s="3" t="s">
        <v>3581</v>
      </c>
      <c r="C3689" s="3" t="str">
        <f>IFERROR(__xludf.DUMMYFUNCTION("GOOGLETRANSLATE(B3689,""id"",""en"")"),"['woah', 'good', 'really']")</f>
        <v>['woah', 'good', 'really']</v>
      </c>
      <c r="D3689" s="3">
        <v>5.0</v>
      </c>
    </row>
    <row r="3690" ht="15.75" customHeight="1">
      <c r="A3690" s="1">
        <v>3925.0</v>
      </c>
      <c r="B3690" s="3" t="s">
        <v>3582</v>
      </c>
      <c r="C3690" s="3" t="str">
        <f>IFERROR(__xludf.DUMMYFUNCTION("GOOGLETRANSLATE(B3690,""id"",""en"")"),"['Level', 'expensive', 'donk', ""]")</f>
        <v>['Level', 'expensive', 'donk', "]</v>
      </c>
      <c r="D3690" s="3">
        <v>5.0</v>
      </c>
    </row>
    <row r="3691" ht="15.75" customHeight="1">
      <c r="A3691" s="1">
        <v>3926.0</v>
      </c>
      <c r="B3691" s="3" t="s">
        <v>3302</v>
      </c>
      <c r="C3691" s="3" t="str">
        <f>IFERROR(__xludf.DUMMYFUNCTION("GOOGLETRANSLATE(B3691,""id"",""en"")"),"['Gabisa', 'opened', '']")</f>
        <v>['Gabisa', 'opened', '']</v>
      </c>
      <c r="D3691" s="3">
        <v>1.0</v>
      </c>
    </row>
    <row r="3692" ht="15.75" customHeight="1">
      <c r="A3692" s="1">
        <v>3927.0</v>
      </c>
      <c r="B3692" s="3" t="s">
        <v>3583</v>
      </c>
      <c r="C3692" s="3" t="str">
        <f>IFERROR(__xludf.DUMMYFUNCTION("GOOGLETRANSLATE(B3692,""id"",""en"")"),"['updated', 'blank', 'white', 'doang']")</f>
        <v>['updated', 'blank', 'white', 'doang']</v>
      </c>
      <c r="D3692" s="3">
        <v>1.0</v>
      </c>
    </row>
    <row r="3693" ht="15.75" customHeight="1">
      <c r="A3693" s="1">
        <v>3928.0</v>
      </c>
      <c r="B3693" s="3" t="s">
        <v>3567</v>
      </c>
      <c r="C3693" s="3" t="str">
        <f>IFERROR(__xludf.DUMMYFUNCTION("GOOGLETRANSLATE(B3693,""id"",""en"")"),"['easy', '']")</f>
        <v>['easy', '']</v>
      </c>
      <c r="D3693" s="3">
        <v>5.0</v>
      </c>
    </row>
    <row r="3694" ht="15.75" customHeight="1">
      <c r="A3694" s="1">
        <v>3929.0</v>
      </c>
      <c r="B3694" s="3" t="s">
        <v>3584</v>
      </c>
      <c r="C3694" s="3" t="str">
        <f>IFERROR(__xludf.DUMMYFUNCTION("GOOGLETRANSLATE(B3694,""id"",""en"")"),"['Makai', 'Telkomsel', 'Easy', 'Help']")</f>
        <v>['Makai', 'Telkomsel', 'Easy', 'Help']</v>
      </c>
      <c r="D3694" s="3">
        <v>5.0</v>
      </c>
    </row>
    <row r="3695" ht="15.75" customHeight="1">
      <c r="A3695" s="1">
        <v>3930.0</v>
      </c>
      <c r="B3695" s="3" t="s">
        <v>3585</v>
      </c>
      <c r="C3695" s="3" t="str">
        <f>IFERROR(__xludf.DUMMYFUNCTION("GOOGLETRANSLATE(B3695,""id"",""en"")"),"['users', 'Telkomsel', 'complaints', 'Severe', 'Review', 'minus', 'star', 'cave', 'love']")</f>
        <v>['users', 'Telkomsel', 'complaints', 'Severe', 'Review', 'minus', 'star', 'cave', 'love']</v>
      </c>
      <c r="D3695" s="3">
        <v>1.0</v>
      </c>
    </row>
    <row r="3696" ht="15.75" customHeight="1">
      <c r="A3696" s="1">
        <v>3932.0</v>
      </c>
      <c r="B3696" s="3" t="s">
        <v>3586</v>
      </c>
      <c r="C3696" s="3" t="str">
        <f>IFERROR(__xludf.DUMMYFUNCTION("GOOGLETRANSLATE(B3696,""id"",""en"")"),"['Application', 'Telkomsel', 'Open', 'Application', 'Update', 'Update', 'Good', 'Smooth', 'Application', 'Times',' Opened ',' Screen ',' White ',' heavy ',' the application ',' already ',' Install ',' times', 'Please', 'Telkomsel', 'Unyuk', 'fix it', ""]")</f>
        <v>['Application', 'Telkomsel', 'Open', 'Application', 'Update', 'Update', 'Good', 'Smooth', 'Application', 'Times',' Opened ',' Screen ',' White ',' heavy ',' the application ',' already ',' Install ',' times', 'Please', 'Telkomsel', 'Unyuk', 'fix it', "]</v>
      </c>
      <c r="D3696" s="3">
        <v>2.0</v>
      </c>
    </row>
    <row r="3697" ht="15.75" customHeight="1">
      <c r="A3697" s="1">
        <v>3933.0</v>
      </c>
      <c r="B3697" s="3" t="s">
        <v>3587</v>
      </c>
      <c r="C3697" s="3" t="str">
        <f>IFERROR(__xludf.DUMMYFUNCTION("GOOGLETRANSLATE(B3697,""id"",""en"")"),"['synonym', 'ugly', 'muter', 'disappointing', 'bsa', 'open', 'application', 'telkomsel', 'bsa', 'bsa', 'package', 'lwt', ' App ',' TEL ',' please ',' as soon as possible ',' fix ']")</f>
        <v>['synonym', 'ugly', 'muter', 'disappointing', 'bsa', 'open', 'application', 'telkomsel', 'bsa', 'bsa', 'package', 'lwt', ' App ',' TEL ',' please ',' as soon as possible ',' fix ']</v>
      </c>
      <c r="D3697" s="3">
        <v>1.0</v>
      </c>
    </row>
    <row r="3698" ht="15.75" customHeight="1">
      <c r="A3698" s="1">
        <v>3934.0</v>
      </c>
      <c r="B3698" s="3" t="s">
        <v>3588</v>
      </c>
      <c r="C3698" s="3" t="str">
        <f>IFERROR(__xludf.DUMMYFUNCTION("GOOGLETRANSLATE(B3698,""id"",""en"")"),"['application', 'help', 'good', 'loss', 'download']")</f>
        <v>['application', 'help', 'good', 'loss', 'download']</v>
      </c>
      <c r="D3698" s="3">
        <v>5.0</v>
      </c>
    </row>
    <row r="3699" ht="15.75" customHeight="1">
      <c r="A3699" s="1">
        <v>3935.0</v>
      </c>
      <c r="B3699" s="3" t="s">
        <v>3589</v>
      </c>
      <c r="C3699" s="3" t="str">
        <f>IFERROR(__xludf.DUMMYFUNCTION("GOOGLETRANSLATE(B3699,""id"",""en"")"),"['', 'Uninstall', 'Many', 'Follow', 'NGK', 'Accessible', 'MLH', 'Mash', 'Open', 'Tsel']")</f>
        <v>['', 'Uninstall', 'Many', 'Follow', 'NGK', 'Accessible', 'MLH', 'Mash', 'Open', 'Tsel']</v>
      </c>
      <c r="D3699" s="3">
        <v>1.0</v>
      </c>
    </row>
    <row r="3700" ht="15.75" customHeight="1">
      <c r="A3700" s="1">
        <v>3936.0</v>
      </c>
      <c r="B3700" s="3" t="s">
        <v>1555</v>
      </c>
      <c r="C3700" s="3" t="str">
        <f>IFERROR(__xludf.DUMMYFUNCTION("GOOGLETRANSLATE(B3700,""id"",""en"")"),"['application', 'open', '']")</f>
        <v>['application', 'open', '']</v>
      </c>
      <c r="D3700" s="3">
        <v>1.0</v>
      </c>
    </row>
    <row r="3701" ht="15.75" customHeight="1">
      <c r="A3701" s="1">
        <v>3939.0</v>
      </c>
      <c r="B3701" s="3" t="s">
        <v>3590</v>
      </c>
      <c r="C3701" s="3" t="str">
        <f>IFERROR(__xludf.DUMMYFUNCTION("GOOGLETRANSLATE(B3701,""id"",""en"")"),"['Slalu', 'Refuses', 'Access', 'Exchange', 'Points']")</f>
        <v>['Slalu', 'Refuses', 'Access', 'Exchange', 'Points']</v>
      </c>
      <c r="D3701" s="3">
        <v>1.0</v>
      </c>
    </row>
    <row r="3702" ht="15.75" customHeight="1">
      <c r="A3702" s="1">
        <v>3941.0</v>
      </c>
      <c r="B3702" s="3" t="s">
        <v>3591</v>
      </c>
      <c r="C3702" s="3" t="str">
        <f>IFERROR(__xludf.DUMMYFUNCTION("GOOGLETRANSLATE(B3702,""id"",""en"")"),"['Patch', 'The application', 'blank', 'white', 'open']")</f>
        <v>['Patch', 'The application', 'blank', 'white', 'open']</v>
      </c>
      <c r="D3702" s="3">
        <v>1.0</v>
      </c>
    </row>
    <row r="3703" ht="15.75" customHeight="1">
      <c r="A3703" s="1">
        <v>3942.0</v>
      </c>
      <c r="B3703" s="3" t="s">
        <v>3592</v>
      </c>
      <c r="C3703" s="3" t="str">
        <f>IFERROR(__xludf.DUMMYFUNCTION("GOOGLETRANSLATE(B3703,""id"",""en"")"),"['Package', 'Internet', 'ganguan']")</f>
        <v>['Package', 'Internet', 'ganguan']</v>
      </c>
      <c r="D3703" s="3">
        <v>4.0</v>
      </c>
    </row>
    <row r="3704" ht="15.75" customHeight="1">
      <c r="A3704" s="1">
        <v>3943.0</v>
      </c>
      <c r="B3704" s="3" t="s">
        <v>3593</v>
      </c>
      <c r="C3704" s="3" t="str">
        <f>IFERROR(__xludf.DUMMYFUNCTION("GOOGLETRANSLATE(B3704,""id"",""en"")"),"['expensive', 'doang', 'network']")</f>
        <v>['expensive', 'doang', 'network']</v>
      </c>
      <c r="D3704" s="3">
        <v>1.0</v>
      </c>
    </row>
    <row r="3705" ht="15.75" customHeight="1">
      <c r="A3705" s="1">
        <v>3944.0</v>
      </c>
      <c r="B3705" s="3" t="s">
        <v>3594</v>
      </c>
      <c r="C3705" s="3" t="str">
        <f>IFERROR(__xludf.DUMMYFUNCTION("GOOGLETRANSLATE(B3705,""id"",""en"")"),"['Kaga', 'Telkomsel', 'prepaid', 'network', 'internetny', 'kaga']")</f>
        <v>['Kaga', 'Telkomsel', 'prepaid', 'network', 'internetny', 'kaga']</v>
      </c>
      <c r="D3705" s="3">
        <v>1.0</v>
      </c>
    </row>
    <row r="3706" ht="15.75" customHeight="1">
      <c r="A3706" s="1">
        <v>3945.0</v>
      </c>
      <c r="B3706" s="3" t="s">
        <v>3595</v>
      </c>
      <c r="C3706" s="3" t="str">
        <f>IFERROR(__xludf.DUMMYFUNCTION("GOOGLETRANSLATE(B3706,""id"",""en"")"),"['app', 'help']")</f>
        <v>['app', 'help']</v>
      </c>
      <c r="D3706" s="3">
        <v>5.0</v>
      </c>
    </row>
    <row r="3707" ht="15.75" customHeight="1">
      <c r="A3707" s="1">
        <v>3946.0</v>
      </c>
      <c r="B3707" s="3" t="s">
        <v>3596</v>
      </c>
      <c r="C3707" s="3" t="str">
        <f>IFERROR(__xludf.DUMMYFUNCTION("GOOGLETRANSLATE(B3707,""id"",""en"")"),"['App', 'Telkomsel', 'open', 'nge', 'blank', 'screen', 'white', 'doang', 'alternating', 'install', 'reset', 'again' ']")</f>
        <v>['App', 'Telkomsel', 'open', 'nge', 'blank', 'screen', 'white', 'doang', 'alternating', 'install', 'reset', 'again' ']</v>
      </c>
      <c r="D3707" s="3">
        <v>5.0</v>
      </c>
    </row>
    <row r="3708" ht="15.75" customHeight="1">
      <c r="A3708" s="1">
        <v>3947.0</v>
      </c>
      <c r="B3708" s="3" t="s">
        <v>3597</v>
      </c>
      <c r="C3708" s="3" t="str">
        <f>IFERROR(__xludf.DUMMYFUNCTION("GOOGLETRANSLATE(B3708,""id"",""en"")"),"['pouch', 'voucher', 'cmn', 'bwt', 'call', 'duty', 'njir', 'kga', 'ngep', ""]")</f>
        <v>['pouch', 'voucher', 'cmn', 'bwt', 'call', 'duty', 'njir', 'kga', 'ngep', "]</v>
      </c>
      <c r="D3708" s="3">
        <v>2.0</v>
      </c>
    </row>
    <row r="3709" ht="15.75" customHeight="1">
      <c r="A3709" s="1">
        <v>3948.0</v>
      </c>
      <c r="B3709" s="3" t="s">
        <v>3598</v>
      </c>
      <c r="C3709" s="3" t="str">
        <f>IFERROR(__xludf.DUMMYFUNCTION("GOOGLETRANSLATE(B3709,""id"",""en"")"),"['Dear', 'employees',' staff ',' Telkomsel ',' please ',' Disney ',' Hotstar ',' please ',' Delete ',' Kekeke ',' users', 'Telkomsel', ' disappointed ',' origin ',' package ',' unlimited ',' max ',' unlimited ',' replace ',' desney ',' hotstar ', ""]")</f>
        <v>['Dear', 'employees',' staff ',' Telkomsel ',' please ',' Disney ',' Hotstar ',' please ',' Delete ',' Kekeke ',' users', 'Telkomsel', ' disappointed ',' origin ',' package ',' unlimited ',' max ',' unlimited ',' replace ',' desney ',' hotstar ', "]</v>
      </c>
      <c r="D3709" s="3">
        <v>1.0</v>
      </c>
    </row>
    <row r="3710" ht="15.75" customHeight="1">
      <c r="A3710" s="1">
        <v>3949.0</v>
      </c>
      <c r="B3710" s="3" t="s">
        <v>3599</v>
      </c>
      <c r="C3710" s="3" t="str">
        <f>IFERROR(__xludf.DUMMYFUNCTION("GOOGLETRANSLATE(B3710,""id"",""en"")"),"['satisfying', 'thank', 'love']")</f>
        <v>['satisfying', 'thank', 'love']</v>
      </c>
      <c r="D3710" s="3">
        <v>5.0</v>
      </c>
    </row>
    <row r="3711" ht="15.75" customHeight="1">
      <c r="A3711" s="1">
        <v>3951.0</v>
      </c>
      <c r="B3711" s="3" t="s">
        <v>3600</v>
      </c>
      <c r="C3711" s="3" t="str">
        <f>IFERROR(__xludf.DUMMYFUNCTION("GOOGLETRANSLATE(B3711,""id"",""en"")"),"['Try', 'Login', 'TPI', 'Link', 'Send', '']")</f>
        <v>['Try', 'Login', 'TPI', 'Link', 'Send', '']</v>
      </c>
      <c r="D3711" s="3">
        <v>1.0</v>
      </c>
    </row>
    <row r="3712" ht="15.75" customHeight="1">
      <c r="A3712" s="1">
        <v>3952.0</v>
      </c>
      <c r="B3712" s="3" t="s">
        <v>3601</v>
      </c>
      <c r="C3712" s="3" t="str">
        <f>IFERROR(__xludf.DUMMYFUNCTION("GOOGLETRANSLATE(B3712,""id"",""en"")"),"['woy', 'contents',' pulse ',' maketin ',' failed ',' MLU ',' right ',' maketin ',' pulse ',' kgk ',' thai ',' buy ',' pulses', 'quota', 'kgk', 'can', 'maketin', 'bus',' shue ']")</f>
        <v>['woy', 'contents',' pulse ',' maketin ',' failed ',' MLU ',' right ',' maketin ',' pulse ',' kgk ',' thai ',' buy ',' pulses', 'quota', 'kgk', 'can', 'maketin', 'bus',' shue ']</v>
      </c>
      <c r="D3712" s="3">
        <v>1.0</v>
      </c>
    </row>
    <row r="3713" ht="15.75" customHeight="1">
      <c r="A3713" s="1">
        <v>3953.0</v>
      </c>
      <c r="B3713" s="3" t="s">
        <v>3602</v>
      </c>
      <c r="C3713" s="3" t="str">
        <f>IFERROR(__xludf.DUMMYFUNCTION("GOOGLETRANSLATE(B3713,""id"",""en"")"),"['Application', 'Taaaaiiiiii', 'Open', 'Closed', 'Application', 'Nipu', 'People', 'Donload']")</f>
        <v>['Application', 'Taaaaiiiiii', 'Open', 'Closed', 'Application', 'Nipu', 'People', 'Donload']</v>
      </c>
      <c r="D3713" s="3">
        <v>1.0</v>
      </c>
    </row>
    <row r="3714" ht="15.75" customHeight="1">
      <c r="A3714" s="1">
        <v>3954.0</v>
      </c>
      <c r="B3714" s="3" t="s">
        <v>3603</v>
      </c>
      <c r="C3714" s="3" t="str">
        <f>IFERROR(__xludf.DUMMYFUNCTION("GOOGLETRANSLATE(B3714,""id"",""en"")"),"['garbage', 'Open', 'Come', 'BUMN', 'work', 'Bener', 'App', 'Since', 'Update', 'Kyk', 'Gini', 'Sya', ' Users', 'Feteran', 'JDI', 'Disappointed', 'Sya', 'Move', 'Provider', 'Next to', 'Mohom', 'Telkomsel', 'BUMN']")</f>
        <v>['garbage', 'Open', 'Come', 'BUMN', 'work', 'Bener', 'App', 'Since', 'Update', 'Kyk', 'Gini', 'Sya', ' Users', 'Feteran', 'JDI', 'Disappointed', 'Sya', 'Move', 'Provider', 'Next to', 'Mohom', 'Telkomsel', 'BUMN']</v>
      </c>
      <c r="D3714" s="3">
        <v>1.0</v>
      </c>
    </row>
    <row r="3715" ht="15.75" customHeight="1">
      <c r="A3715" s="1">
        <v>3955.0</v>
      </c>
      <c r="B3715" s="3" t="s">
        <v>3604</v>
      </c>
      <c r="C3715" s="3" t="str">
        <f>IFERROR(__xludf.DUMMYFUNCTION("GOOGLETRANSLATE(B3715,""id"",""en"")"),"['application', 'jerksek', 'send', 'pulse', 'credit', 'reduced', '']")</f>
        <v>['application', 'jerksek', 'send', 'pulse', 'credit', 'reduced', '']</v>
      </c>
      <c r="D3715" s="3">
        <v>1.0</v>
      </c>
    </row>
    <row r="3716" ht="15.75" customHeight="1">
      <c r="A3716" s="1">
        <v>3956.0</v>
      </c>
      <c r="B3716" s="3" t="s">
        <v>3605</v>
      </c>
      <c r="C3716" s="3" t="str">
        <f>IFERROR(__xludf.DUMMYFUNCTION("GOOGLETRANSLATE(B3716,""id"",""en"")"),"['Network', 'please', 'repaired', ""]")</f>
        <v>['Network', 'please', 'repaired', "]</v>
      </c>
      <c r="D3716" s="3">
        <v>5.0</v>
      </c>
    </row>
    <row r="3717" ht="15.75" customHeight="1">
      <c r="A3717" s="1">
        <v>3957.0</v>
      </c>
      <c r="B3717" s="3" t="s">
        <v>3606</v>
      </c>
      <c r="C3717" s="3" t="str">
        <f>IFERROR(__xludf.DUMMYFUNCTION("GOOGLETRANSLATE(B3717,""id"",""en"")"),"['Thank you', 'Telkomsel', 'hope', 'blessing', 'nuker', 'Points', 'no', 'lucky']")</f>
        <v>['Thank you', 'Telkomsel', 'hope', 'blessing', 'nuker', 'Points', 'no', 'lucky']</v>
      </c>
      <c r="D3717" s="3">
        <v>5.0</v>
      </c>
    </row>
    <row r="3718" ht="15.75" customHeight="1">
      <c r="A3718" s="1">
        <v>3958.0</v>
      </c>
      <c r="B3718" s="3" t="s">
        <v>3607</v>
      </c>
      <c r="C3718" s="3" t="str">
        <f>IFERROR(__xludf.DUMMYFUNCTION("GOOGLETRANSLATE(B3718,""id"",""en"")"),"['internet', 'smooth', 'quota', 'combo', 'cheap', 'help', 'child', 'school']")</f>
        <v>['internet', 'smooth', 'quota', 'combo', 'cheap', 'help', 'child', 'school']</v>
      </c>
      <c r="D3718" s="3">
        <v>5.0</v>
      </c>
    </row>
    <row r="3719" ht="15.75" customHeight="1">
      <c r="A3719" s="1">
        <v>3959.0</v>
      </c>
      <c r="B3719" s="3" t="s">
        <v>3608</v>
      </c>
      <c r="C3719" s="3" t="str">
        <f>IFERROR(__xludf.DUMMYFUNCTION("GOOGLETRANSLATE(B3719,""id"",""en"")"),"['Use', 'good', 'please', 'maintained']")</f>
        <v>['Use', 'good', 'please', 'maintained']</v>
      </c>
      <c r="D3719" s="3">
        <v>5.0</v>
      </c>
    </row>
    <row r="3720" ht="15.75" customHeight="1">
      <c r="A3720" s="1">
        <v>3960.0</v>
      </c>
      <c r="B3720" s="3" t="s">
        <v>3609</v>
      </c>
      <c r="C3720" s="3" t="str">
        <f>IFERROR(__xludf.DUMMYFUNCTION("GOOGLETRANSLATE(B3720,""id"",""en"")"),"['get', 'Application', 'Open', 'Update', 'NOT', 'Addbagus', 'ugly', 'Delete', 'Download', 'Open']")</f>
        <v>['get', 'Application', 'Open', 'Update', 'NOT', 'Addbagus', 'ugly', 'Delete', 'Download', 'Open']</v>
      </c>
      <c r="D3720" s="3">
        <v>1.0</v>
      </c>
    </row>
    <row r="3721" ht="15.75" customHeight="1">
      <c r="A3721" s="1">
        <v>3961.0</v>
      </c>
      <c r="B3721" s="3" t="s">
        <v>3610</v>
      </c>
      <c r="C3721" s="3" t="str">
        <f>IFERROR(__xludf.DUMMYFUNCTION("GOOGLETRANSLATE(B3721,""id"",""en"")"),"['Help', 'user', 'loyal']")</f>
        <v>['Help', 'user', 'loyal']</v>
      </c>
      <c r="D3721" s="3">
        <v>5.0</v>
      </c>
    </row>
    <row r="3722" ht="15.75" customHeight="1">
      <c r="A3722" s="1">
        <v>3962.0</v>
      </c>
      <c r="B3722" s="3" t="s">
        <v>3611</v>
      </c>
      <c r="C3722" s="3" t="str">
        <f>IFERROR(__xludf.DUMMYFUNCTION("GOOGLETRANSLATE(B3722,""id"",""en"")"),"['Blm', 'pides']")</f>
        <v>['Blm', 'pides']</v>
      </c>
      <c r="D3722" s="3">
        <v>5.0</v>
      </c>
    </row>
    <row r="3723" ht="15.75" customHeight="1">
      <c r="A3723" s="1">
        <v>3963.0</v>
      </c>
      <c r="B3723" s="3" t="s">
        <v>3612</v>
      </c>
      <c r="C3723" s="3" t="str">
        <f>IFERROR(__xludf.DUMMYFUNCTION("GOOGLETRANSLATE(B3723,""id"",""en"")"),"['Sya', 'customers',' Telkomsel ',' Sya ',' disappointed ',' skarang ',' buy ',' combo ',' right ',' pay ',' jdi ',' price ',' Notifications', 'expensive', '']")</f>
        <v>['Sya', 'customers',' Telkomsel ',' Sya ',' disappointed ',' skarang ',' buy ',' combo ',' right ',' pay ',' jdi ',' price ',' Notifications', 'expensive', '']</v>
      </c>
      <c r="D3723" s="3">
        <v>1.0</v>
      </c>
    </row>
    <row r="3724" ht="15.75" customHeight="1">
      <c r="A3724" s="1">
        <v>3964.0</v>
      </c>
      <c r="B3724" s="3" t="s">
        <v>3613</v>
      </c>
      <c r="C3724" s="3" t="str">
        <f>IFERROR(__xludf.DUMMYFUNCTION("GOOGLETRANSLATE(B3724,""id"",""en"")"),"['Weekly', 'quota', 'Not bad']")</f>
        <v>['Weekly', 'quota', 'Not bad']</v>
      </c>
      <c r="D3724" s="3">
        <v>5.0</v>
      </c>
    </row>
    <row r="3725" ht="15.75" customHeight="1">
      <c r="A3725" s="1">
        <v>3965.0</v>
      </c>
      <c r="B3725" s="3" t="s">
        <v>3614</v>
      </c>
      <c r="C3725" s="3" t="str">
        <f>IFERROR(__xludf.DUMMYFUNCTION("GOOGLETRANSLATE(B3725,""id"",""en"")"),"['', 'Since', 'Update', 'Login', 'Please', 'Fix']")</f>
        <v>['', 'Since', 'Update', 'Login', 'Please', 'Fix']</v>
      </c>
      <c r="D3725" s="3">
        <v>1.0</v>
      </c>
    </row>
    <row r="3726" ht="15.75" customHeight="1">
      <c r="A3726" s="1">
        <v>3966.0</v>
      </c>
      <c r="B3726" s="3" t="s">
        <v>3615</v>
      </c>
      <c r="C3726" s="3" t="str">
        <f>IFERROR(__xludf.DUMMYFUNCTION("GOOGLETRANSLATE(B3726,""id"",""en"")"),"['Good', 'really', 'APL']")</f>
        <v>['Good', 'really', 'APL']</v>
      </c>
      <c r="D3726" s="3">
        <v>5.0</v>
      </c>
    </row>
    <row r="3727" ht="15.75" customHeight="1">
      <c r="A3727" s="1">
        <v>3967.0</v>
      </c>
      <c r="B3727" s="3" t="s">
        <v>3616</v>
      </c>
      <c r="C3727" s="3" t="str">
        <f>IFERROR(__xludf.DUMMYFUNCTION("GOOGLETRANSLATE(B3727,""id"",""en"")"),"['Gass', 'Pol', 'Network', 'Weather', 'Extreem']")</f>
        <v>['Gass', 'Pol', 'Network', 'Weather', 'Extreem']</v>
      </c>
      <c r="D3727" s="3">
        <v>5.0</v>
      </c>
    </row>
    <row r="3728" ht="15.75" customHeight="1">
      <c r="A3728" s="1">
        <v>3968.0</v>
      </c>
      <c r="B3728" s="3" t="s">
        <v>3617</v>
      </c>
      <c r="C3728" s="3" t="str">
        <f>IFERROR(__xludf.DUMMYFUNCTION("GOOGLETRANSLATE(B3728,""id"",""en"")"),"['Mantab', 'Mantul', 'Joss']")</f>
        <v>['Mantab', 'Mantul', 'Joss']</v>
      </c>
      <c r="D3728" s="3">
        <v>5.0</v>
      </c>
    </row>
    <row r="3729" ht="15.75" customHeight="1">
      <c r="A3729" s="1">
        <v>3969.0</v>
      </c>
      <c r="B3729" s="3" t="s">
        <v>3618</v>
      </c>
      <c r="C3729" s="3" t="str">
        <f>IFERROR(__xludf.DUMMYFUNCTION("GOOGLETRANSLATE(B3729,""id"",""en"")"),"['Disappointed', 'Update', 'APK', 'Opened', '']")</f>
        <v>['Disappointed', 'Update', 'APK', 'Opened', '']</v>
      </c>
      <c r="D3729" s="3">
        <v>1.0</v>
      </c>
    </row>
    <row r="3730" ht="15.75" customHeight="1">
      <c r="A3730" s="1">
        <v>3970.0</v>
      </c>
      <c r="B3730" s="3" t="s">
        <v>3619</v>
      </c>
      <c r="C3730" s="3" t="str">
        <f>IFERROR(__xludf.DUMMYFUNCTION("GOOGLETRANSLATE(B3730,""id"",""en"")"),"['Sorry', 'Reduce', 'star', 'buy', 'package', 'Telkomsel', 'Severe', 'contact', 'cs', 'difficult', 'really', ""]")</f>
        <v>['Sorry', 'Reduce', 'star', 'buy', 'package', 'Telkomsel', 'Severe', 'contact', 'cs', 'difficult', 'really', "]</v>
      </c>
      <c r="D3730" s="3">
        <v>1.0</v>
      </c>
    </row>
    <row r="3731" ht="15.75" customHeight="1">
      <c r="A3731" s="1">
        <v>3971.0</v>
      </c>
      <c r="B3731" s="3" t="s">
        <v>3620</v>
      </c>
      <c r="C3731" s="3" t="str">
        <f>IFERROR(__xludf.DUMMYFUNCTION("GOOGLETRANSLATE(B3731,""id"",""en"")"),"['Please', 'Signal', 'Capital', 'Ciomas', 'Repaired', 'Difficult', 'DPAT', 'Order']")</f>
        <v>['Please', 'Signal', 'Capital', 'Ciomas', 'Repaired', 'Difficult', 'DPAT', 'Order']</v>
      </c>
      <c r="D3731" s="3">
        <v>5.0</v>
      </c>
    </row>
    <row r="3732" ht="15.75" customHeight="1">
      <c r="A3732" s="1">
        <v>3972.0</v>
      </c>
      <c r="B3732" s="3" t="s">
        <v>3621</v>
      </c>
      <c r="C3732" s="3" t="str">
        <f>IFERROR(__xludf.DUMMYFUNCTION("GOOGLETRANSLATE(B3732,""id"",""en"")"),"['Network', 'okay', 'Where']")</f>
        <v>['Network', 'okay', 'Where']</v>
      </c>
      <c r="D3732" s="3">
        <v>5.0</v>
      </c>
    </row>
    <row r="3733" ht="15.75" customHeight="1">
      <c r="A3733" s="1">
        <v>3973.0</v>
      </c>
      <c r="B3733" s="3" t="s">
        <v>3622</v>
      </c>
      <c r="C3733" s="3" t="str">
        <f>IFERROR(__xludf.DUMMYFUNCTION("GOOGLETRANSLATE(B3733,""id"",""en"")"),"['Telkomsel', 'sekrang', 'expensive', 'doang', 'network', 'slow', 'sometimes', 'ilang', 'ilang']")</f>
        <v>['Telkomsel', 'sekrang', 'expensive', 'doang', 'network', 'slow', 'sometimes', 'ilang', 'ilang']</v>
      </c>
      <c r="D3733" s="3">
        <v>1.0</v>
      </c>
    </row>
    <row r="3734" ht="15.75" customHeight="1">
      <c r="A3734" s="1">
        <v>3974.0</v>
      </c>
      <c r="B3734" s="3" t="s">
        <v>3623</v>
      </c>
      <c r="C3734" s="3" t="str">
        <f>IFERROR(__xludf.DUMMYFUNCTION("GOOGLETRANSLATE(B3734,""id"",""en"")"),"['Uda', 'times',' Download ',' Playstore ',' Bukak ',' connection ',' Error ',' Out ',' Install ',' Safe ',' Afternoon ',' Bukak ',' Eror ',' users', 'Telkomsel', 'Bosss']")</f>
        <v>['Uda', 'times',' Download ',' Playstore ',' Bukak ',' connection ',' Error ',' Out ',' Install ',' Safe ',' Afternoon ',' Bukak ',' Eror ',' users', 'Telkomsel', 'Bosss']</v>
      </c>
      <c r="D3734" s="3">
        <v>3.0</v>
      </c>
    </row>
    <row r="3735" ht="15.75" customHeight="1">
      <c r="A3735" s="1">
        <v>3975.0</v>
      </c>
      <c r="B3735" s="3" t="s">
        <v>3624</v>
      </c>
      <c r="C3735" s="3" t="str">
        <f>IFERROR(__xludf.DUMMYFUNCTION("GOOGLETRANSLATE(B3735,""id"",""en"")"),"['Update', 'APK', 'smooth', 'update', 'NOT', 'Open', 'Application', 'Ngeblnk', 'Screen', 'White']")</f>
        <v>['Update', 'APK', 'smooth', 'update', 'NOT', 'Open', 'Application', 'Ngeblnk', 'Screen', 'White']</v>
      </c>
      <c r="D3735" s="3">
        <v>2.0</v>
      </c>
    </row>
    <row r="3736" ht="15.75" customHeight="1">
      <c r="A3736" s="1">
        <v>3976.0</v>
      </c>
      <c r="B3736" s="3" t="s">
        <v>3625</v>
      </c>
      <c r="C3736" s="3" t="str">
        <f>IFERROR(__xludf.DUMMYFUNCTION("GOOGLETRANSLATE(B3736,""id"",""en"")"),"['Sorry', 'tlong', 'knapa', 'open', 'my apk', 'cmn', 'appear', 'screen', 'white', 'then', '']")</f>
        <v>['Sorry', 'tlong', 'knapa', 'open', 'my apk', 'cmn', 'appear', 'screen', 'white', 'then', '']</v>
      </c>
      <c r="D3736" s="3">
        <v>1.0</v>
      </c>
    </row>
    <row r="3737" ht="15.75" customHeight="1">
      <c r="A3737" s="1">
        <v>3977.0</v>
      </c>
      <c r="B3737" s="3" t="s">
        <v>3626</v>
      </c>
      <c r="C3737" s="3" t="str">
        <f>IFERROR(__xludf.DUMMYFUNCTION("GOOGLETRANSLATE(B3737,""id"",""en"")"),"['Hopefully', 'DISPRENT', 'APS', 'MyTelkomsel']")</f>
        <v>['Hopefully', 'DISPRENT', 'APS', 'MyTelkomsel']</v>
      </c>
      <c r="D3737" s="3">
        <v>5.0</v>
      </c>
    </row>
    <row r="3738" ht="15.75" customHeight="1">
      <c r="A3738" s="1">
        <v>3978.0</v>
      </c>
      <c r="B3738" s="3" t="s">
        <v>3627</v>
      </c>
      <c r="C3738" s="3" t="str">
        <f>IFERROR(__xludf.DUMMYFUNCTION("GOOGLETRANSLATE(B3738,""id"",""en"")"),"['package', 'affordable', 'child', 'school', 'student', '']")</f>
        <v>['package', 'affordable', 'child', 'school', 'student', '']</v>
      </c>
      <c r="D3738" s="3">
        <v>5.0</v>
      </c>
    </row>
    <row r="3739" ht="15.75" customHeight="1">
      <c r="A3739" s="1">
        <v>3979.0</v>
      </c>
      <c r="B3739" s="3" t="s">
        <v>3628</v>
      </c>
      <c r="C3739" s="3" t="str">
        <f>IFERROR(__xludf.DUMMYFUNCTION("GOOGLETRANSLATE(B3739,""id"",""en"")"),"['Good', 'serving']")</f>
        <v>['Good', 'serving']</v>
      </c>
      <c r="D3739" s="3">
        <v>5.0</v>
      </c>
    </row>
    <row r="3740" ht="15.75" customHeight="1">
      <c r="A3740" s="1">
        <v>3980.0</v>
      </c>
      <c r="B3740" s="3" t="s">
        <v>3629</v>
      </c>
      <c r="C3740" s="3" t="str">
        <f>IFERROR(__xludf.DUMMYFUNCTION("GOOGLETRANSLATE(B3740,""id"",""en"")"),"['Difficult', 'Login', 'MyTelkomsel']")</f>
        <v>['Difficult', 'Login', 'MyTelkomsel']</v>
      </c>
      <c r="D3740" s="3">
        <v>2.0</v>
      </c>
    </row>
    <row r="3741" ht="15.75" customHeight="1">
      <c r="A3741" s="1">
        <v>3981.0</v>
      </c>
      <c r="B3741" s="3" t="s">
        <v>3630</v>
      </c>
      <c r="C3741" s="3" t="str">
        <f>IFERROR(__xludf.DUMMYFUNCTION("GOOGLETRANSLATE(B3741,""id"",""en"")"),"['why', 'APL', 'Open', 'Please', 'Chaunoma', '']")</f>
        <v>['why', 'APL', 'Open', 'Please', 'Chaunoma', '']</v>
      </c>
      <c r="D3741" s="3">
        <v>1.0</v>
      </c>
    </row>
    <row r="3742" ht="15.75" customHeight="1">
      <c r="A3742" s="1">
        <v>3982.0</v>
      </c>
      <c r="B3742" s="3" t="s">
        <v>3631</v>
      </c>
      <c r="C3742" s="3" t="str">
        <f>IFERROR(__xludf.DUMMYFUNCTION("GOOGLETRANSLATE(B3742,""id"",""en"")"),"['Combo', 'Sakti', 'please', 'dumped', 'price', 'LOTIN', 'Package', 'cheap']")</f>
        <v>['Combo', 'Sakti', 'please', 'dumped', 'price', 'LOTIN', 'Package', 'cheap']</v>
      </c>
      <c r="D3742" s="3">
        <v>4.0</v>
      </c>
    </row>
    <row r="3743" ht="15.75" customHeight="1">
      <c r="A3743" s="1">
        <v>3983.0</v>
      </c>
      <c r="B3743" s="3" t="s">
        <v>1096</v>
      </c>
      <c r="C3743" s="3" t="str">
        <f>IFERROR(__xludf.DUMMYFUNCTION("GOOGLETRANSLATE(B3743,""id"",""en"")"),"['Application', 'good', 'help']")</f>
        <v>['Application', 'good', 'help']</v>
      </c>
      <c r="D3743" s="3">
        <v>5.0</v>
      </c>
    </row>
    <row r="3744" ht="15.75" customHeight="1">
      <c r="A3744" s="1">
        <v>3984.0</v>
      </c>
      <c r="B3744" s="3" t="s">
        <v>2662</v>
      </c>
      <c r="C3744" s="3" t="str">
        <f>IFERROR(__xludf.DUMMYFUNCTION("GOOGLETRANSLATE(B3744,""id"",""en"")"),"['', 'Open', 'application']")</f>
        <v>['', 'Open', 'application']</v>
      </c>
      <c r="D3744" s="3">
        <v>1.0</v>
      </c>
    </row>
    <row r="3745" ht="15.75" customHeight="1">
      <c r="A3745" s="1">
        <v>3985.0</v>
      </c>
      <c r="B3745" s="3" t="s">
        <v>3632</v>
      </c>
      <c r="C3745" s="3" t="str">
        <f>IFERROR(__xludf.DUMMYFUNCTION("GOOGLETRANSLATE(B3745,""id"",""en"")"),"['pketan', 'mhal', 'load', 'JRGN', 'mnurun', 'then', 'skrg', 'customer', 'comfortable', 'cook', 'lose', 'OPRTR', ' blue ',' please ',' prbaiki ',' MSKI ',' pket ',' mhal ',' strength ',' network ',' maximum ']")</f>
        <v>['pketan', 'mhal', 'load', 'JRGN', 'mnurun', 'then', 'skrg', 'customer', 'comfortable', 'cook', 'lose', 'OPRTR', ' blue ',' please ',' prbaiki ',' MSKI ',' pket ',' mhal ',' strength ',' network ',' maximum ']</v>
      </c>
      <c r="D3745" s="3">
        <v>1.0</v>
      </c>
    </row>
    <row r="3746" ht="15.75" customHeight="1">
      <c r="A3746" s="1">
        <v>3986.0</v>
      </c>
      <c r="B3746" s="3" t="s">
        <v>3633</v>
      </c>
      <c r="C3746" s="3" t="str">
        <f>IFERROR(__xludf.DUMMYFUNCTION("GOOGLETRANSLATE(B3746,""id"",""en"")"),"['users', 'Telkomsel', 'God willing', 'number', 'Hopefully', 'Telkomsel', 'populist', 'people', 'Amiinn', 'Robalallamin', ""]")</f>
        <v>['users', 'Telkomsel', 'God willing', 'number', 'Hopefully', 'Telkomsel', 'populist', 'people', 'Amiinn', 'Robalallamin', "]</v>
      </c>
      <c r="D3746" s="3">
        <v>5.0</v>
      </c>
    </row>
    <row r="3747" ht="15.75" customHeight="1">
      <c r="A3747" s="1">
        <v>3987.0</v>
      </c>
      <c r="B3747" s="3" t="s">
        <v>3634</v>
      </c>
      <c r="C3747" s="3" t="str">
        <f>IFERROR(__xludf.DUMMYFUNCTION("GOOGLETRANSLATE(B3747,""id"",""en"")"),"['Buy', 'Package', 'Telkomsel', 'Expensive', 'Bngt', ""]")</f>
        <v>['Buy', 'Package', 'Telkomsel', 'Expensive', 'Bngt', "]</v>
      </c>
      <c r="D3747" s="3">
        <v>2.0</v>
      </c>
    </row>
    <row r="3748" ht="15.75" customHeight="1">
      <c r="A3748" s="1">
        <v>3988.0</v>
      </c>
      <c r="B3748" s="3" t="s">
        <v>3635</v>
      </c>
      <c r="C3748" s="3" t="str">
        <f>IFERROR(__xludf.DUMMYFUNCTION("GOOGLETRANSLATE(B3748,""id"",""en"")"),"['signal', 'enter', 'Gresik', '']")</f>
        <v>['signal', 'enter', 'Gresik', '']</v>
      </c>
      <c r="D3748" s="3">
        <v>5.0</v>
      </c>
    </row>
    <row r="3749" ht="15.75" customHeight="1">
      <c r="A3749" s="1">
        <v>3989.0</v>
      </c>
      <c r="B3749" s="3" t="s">
        <v>3636</v>
      </c>
      <c r="C3749" s="3" t="str">
        <f>IFERROR(__xludf.DUMMYFUNCTION("GOOGLETRANSLATE(B3749,""id"",""en"")"),"['Teloomsel', 'Kian', 'Kian', 'Dilapidated', 'Live', 'Kec', 'Sei', 'Malay', 'Kab', 'Ketapang', 'Kalbar', 'Network', ' "", 'really', 'description', 'TPI', 'quality', 'poor', 'video', 'call', 'download', 'send', 'browse', 'hard', 'search' , 'armpit', 'snake"&amp;"', 'counted', 'times',' contact ',' call ',' center ',' TPI ',' wait ',' ntah ',' Telkomsel ',' bankrupt ',' If ',' choice ',' Star ',' Bintang ',' Good ']")</f>
        <v>['Teloomsel', 'Kian', 'Kian', 'Dilapidated', 'Live', 'Kec', 'Sei', 'Malay', 'Kab', 'Ketapang', 'Kalbar', 'Network', ' ", 'really', 'description', 'TPI', 'quality', 'poor', 'video', 'call', 'download', 'send', 'browse', 'hard', 'search' , 'armpit', 'snake', 'counted', 'times',' contact ',' call ',' center ',' TPI ',' wait ',' ntah ',' Telkomsel ',' bankrupt ',' If ',' choice ',' Star ',' Bintang ',' Good ']</v>
      </c>
      <c r="D3749" s="3">
        <v>1.0</v>
      </c>
    </row>
    <row r="3750" ht="15.75" customHeight="1">
      <c r="A3750" s="1">
        <v>3990.0</v>
      </c>
      <c r="B3750" s="3" t="s">
        <v>3637</v>
      </c>
      <c r="C3750" s="3" t="str">
        <f>IFERROR(__xludf.DUMMYFUNCTION("GOOGLETRANSLATE(B3750,""id"",""en"")"),"['Telkomsel', 'signal', 'slow', 'feel', 'Telkomsel', 'Different', 'Change', 'Package', ""]")</f>
        <v>['Telkomsel', 'signal', 'slow', 'feel', 'Telkomsel', 'Different', 'Change', 'Package', "]</v>
      </c>
      <c r="D3750" s="3">
        <v>1.0</v>
      </c>
    </row>
    <row r="3751" ht="15.75" customHeight="1">
      <c r="A3751" s="1">
        <v>3991.0</v>
      </c>
      <c r="B3751" s="3" t="s">
        <v>3638</v>
      </c>
      <c r="C3751" s="3" t="str">
        <f>IFERROR(__xludf.DUMMYFUNCTION("GOOGLETRANSLATE(B3751,""id"",""en"")"),"['Easy', 'Purchase', 'Package', 'Internet', 'Recommended', 'Putie', '']")</f>
        <v>['Easy', 'Purchase', 'Package', 'Internet', 'Recommended', 'Putie', '']</v>
      </c>
      <c r="D3751" s="3">
        <v>5.0</v>
      </c>
    </row>
    <row r="3752" ht="15.75" customHeight="1">
      <c r="A3752" s="1">
        <v>3992.0</v>
      </c>
      <c r="B3752" s="3" t="s">
        <v>3639</v>
      </c>
      <c r="C3752" s="3" t="str">
        <f>IFERROR(__xludf.DUMMYFUNCTION("GOOGLETRANSLATE(B3752,""id"",""en"")"),"['card', 'right', 'Christmas',' promo ',' cheap ',' Telkom ',' right ',' Christmas', 'expensive', 'signal', 'ugly', 'kouta', ' Internet ',' expensive ',' unclean ',' bet ']")</f>
        <v>['card', 'right', 'Christmas',' promo ',' cheap ',' Telkom ',' right ',' Christmas', 'expensive', 'signal', 'ugly', 'kouta', ' Internet ',' expensive ',' unclean ',' bet ']</v>
      </c>
      <c r="D3752" s="3">
        <v>1.0</v>
      </c>
    </row>
    <row r="3753" ht="15.75" customHeight="1">
      <c r="A3753" s="1">
        <v>3993.0</v>
      </c>
      <c r="B3753" s="3" t="s">
        <v>3640</v>
      </c>
      <c r="C3753" s="3" t="str">
        <f>IFERROR(__xludf.DUMMYFUNCTION("GOOGLETRANSLATE(B3753,""id"",""en"")"),"['Application', 'Open', 'then', 'KNPA', 'Network', 'Bad', '']")</f>
        <v>['Application', 'Open', 'then', 'KNPA', 'Network', 'Bad', '']</v>
      </c>
      <c r="D3753" s="3">
        <v>1.0</v>
      </c>
    </row>
    <row r="3754" ht="15.75" customHeight="1">
      <c r="A3754" s="1">
        <v>3994.0</v>
      </c>
      <c r="B3754" s="3" t="s">
        <v>3641</v>
      </c>
      <c r="C3754" s="3" t="str">
        <f>IFERROR(__xludf.DUMMYFUNCTION("GOOGLETRANSLATE(B3754,""id"",""en"")"),"['APK', 'Nga', 'update', 'nga', 'open', '']")</f>
        <v>['APK', 'Nga', 'update', 'nga', 'open', '']</v>
      </c>
      <c r="D3754" s="3">
        <v>1.0</v>
      </c>
    </row>
    <row r="3755" ht="15.75" customHeight="1">
      <c r="A3755" s="1">
        <v>3995.0</v>
      </c>
      <c r="B3755" s="3" t="s">
        <v>3642</v>
      </c>
      <c r="C3755" s="3" t="str">
        <f>IFERROR(__xludf.DUMMYFUNCTION("GOOGLETRANSLATE(B3755,""id"",""en"")"),"['Check', 'Kwota', 'Simple']")</f>
        <v>['Check', 'Kwota', 'Simple']</v>
      </c>
      <c r="D3755" s="3">
        <v>3.0</v>
      </c>
    </row>
    <row r="3756" ht="15.75" customHeight="1">
      <c r="A3756" s="1">
        <v>3997.0</v>
      </c>
      <c r="B3756" s="3" t="s">
        <v>3643</v>
      </c>
      <c r="C3756" s="3" t="str">
        <f>IFERROR(__xludf.DUMMYFUNCTION("GOOGLETRANSLATE(B3756,""id"",""en"")"),"['Watch', 'YouTube', 'Loading', 'Broken', 'Patah', 'Kouta', 'Disappointing']")</f>
        <v>['Watch', 'YouTube', 'Loading', 'Broken', 'Patah', 'Kouta', 'Disappointing']</v>
      </c>
      <c r="D3756" s="3">
        <v>3.0</v>
      </c>
    </row>
    <row r="3757" ht="15.75" customHeight="1">
      <c r="A3757" s="1">
        <v>3998.0</v>
      </c>
      <c r="B3757" s="3" t="s">
        <v>3644</v>
      </c>
      <c r="C3757" s="3" t="str">
        <f>IFERROR(__xludf.DUMMYFUNCTION("GOOGLETRANSLATE(B3757,""id"",""en"")"),"['Lower', 'price', 'package', 'quota', 'cheap']")</f>
        <v>['Lower', 'price', 'package', 'quota', 'cheap']</v>
      </c>
      <c r="D3757" s="3">
        <v>5.0</v>
      </c>
    </row>
    <row r="3758" ht="15.75" customHeight="1">
      <c r="A3758" s="1">
        <v>3999.0</v>
      </c>
      <c r="B3758" s="3" t="s">
        <v>3645</v>
      </c>
      <c r="C3758" s="3" t="str">
        <f>IFERROR(__xludf.DUMMYFUNCTION("GOOGLETRANSLATE(B3758,""id"",""en"")"),"['Kenqpa', 'difficult', 'opened', 'yaa', 'update']")</f>
        <v>['Kenqpa', 'difficult', 'opened', 'yaa', 'update']</v>
      </c>
      <c r="D3758" s="3">
        <v>1.0</v>
      </c>
    </row>
    <row r="3759" ht="15.75" customHeight="1">
      <c r="A3759" s="1">
        <v>4000.0</v>
      </c>
      <c r="B3759" s="3" t="s">
        <v>3646</v>
      </c>
      <c r="C3759" s="3" t="str">
        <f>IFERROR(__xludf.DUMMYFUNCTION("GOOGLETRANSLATE(B3759,""id"",""en"")"),"['Credit', 'Cut', 'Access', 'Internet', 'Please', 'Fix it']")</f>
        <v>['Credit', 'Cut', 'Access', 'Internet', 'Please', 'Fix it']</v>
      </c>
      <c r="D3759" s="3">
        <v>1.0</v>
      </c>
    </row>
    <row r="3760" ht="15.75" customHeight="1">
      <c r="A3760" s="1">
        <v>4001.0</v>
      </c>
      <c r="B3760" s="3" t="s">
        <v>3647</v>
      </c>
      <c r="C3760" s="3" t="str">
        <f>IFERROR(__xludf.DUMMYFUNCTION("GOOGLETRANSLATE(B3760,""id"",""en"")"),"['Come', 'ugly', 'application', 'Telkomsel', 'difficult', 'access', 'open', 'screen', 'white', ""]")</f>
        <v>['Come', 'ugly', 'application', 'Telkomsel', 'difficult', 'access', 'open', 'screen', 'white', "]</v>
      </c>
      <c r="D3760" s="3">
        <v>1.0</v>
      </c>
    </row>
    <row r="3761" ht="15.75" customHeight="1">
      <c r="A3761" s="1">
        <v>4002.0</v>
      </c>
      <c r="B3761" s="3" t="s">
        <v>3648</v>
      </c>
      <c r="C3761" s="3" t="str">
        <f>IFERROR(__xludf.DUMMYFUNCTION("GOOGLETRANSLATE(B3761,""id"",""en"")"),"['Please', 'network', 'fix', 'down', 'package', 'expensive', 'down', '']")</f>
        <v>['Please', 'network', 'fix', 'down', 'package', 'expensive', 'down', '']</v>
      </c>
      <c r="D3761" s="3">
        <v>5.0</v>
      </c>
    </row>
    <row r="3762" ht="15.75" customHeight="1">
      <c r="A3762" s="1">
        <v>4003.0</v>
      </c>
      <c r="B3762" s="3" t="s">
        <v>3649</v>
      </c>
      <c r="C3762" s="3" t="str">
        <f>IFERROR(__xludf.DUMMYFUNCTION("GOOGLETRANSLATE(B3762,""id"",""en"")"),"['practical', 'checked', 'PULSS', 'quota', 'just' click ',' take ',' quota ',' stay ',' choose ',' according to ',' needs ',' The pollok ',' MyTelkomsel ',' emang ',' mamtap ', ""]")</f>
        <v>['practical', 'checked', 'PULSS', 'quota', 'just' click ',' take ',' quota ',' stay ',' choose ',' according to ',' needs ',' The pollok ',' MyTelkomsel ',' emang ',' mamtap ', "]</v>
      </c>
      <c r="D3762" s="3">
        <v>5.0</v>
      </c>
    </row>
    <row r="3763" ht="15.75" customHeight="1">
      <c r="A3763" s="1">
        <v>4004.0</v>
      </c>
      <c r="B3763" s="3" t="s">
        <v>3650</v>
      </c>
      <c r="C3763" s="3" t="str">
        <f>IFERROR(__xludf.DUMMYFUNCTION("GOOGLETRANSLATE(B3763,""id"",""en"")"),"['Telkomsel', 'difficult', 'open', 'right', 'quota', 'stay', 'little', 'open', 'pulses', 'used', ""]")</f>
        <v>['Telkomsel', 'difficult', 'open', 'right', 'quota', 'stay', 'little', 'open', 'pulses', 'used', "]</v>
      </c>
      <c r="D3763" s="3">
        <v>2.0</v>
      </c>
    </row>
    <row r="3764" ht="15.75" customHeight="1">
      <c r="A3764" s="1">
        <v>4005.0</v>
      </c>
      <c r="B3764" s="3" t="s">
        <v>3651</v>
      </c>
      <c r="C3764" s="3" t="str">
        <f>IFERROR(__xludf.DUMMYFUNCTION("GOOGLETRANSLATE(B3764,""id"",""en"")"),"['APK', 'good', 'help', 'really', 'fill', 'pulse', 'increase', '']")</f>
        <v>['APK', 'good', 'help', 'really', 'fill', 'pulse', 'increase', '']</v>
      </c>
      <c r="D3764" s="3">
        <v>4.0</v>
      </c>
    </row>
    <row r="3765" ht="15.75" customHeight="1">
      <c r="A3765" s="1">
        <v>4006.0</v>
      </c>
      <c r="B3765" s="3" t="s">
        <v>3652</v>
      </c>
      <c r="C3765" s="3" t="str">
        <f>IFERROR(__xludf.DUMMYFUNCTION("GOOGLETRANSLATE(B3765,""id"",""en"")"),"['signal', 'strong', 'network', 'internet', 'disappointing', 'lose', 'love', 'star', ""]")</f>
        <v>['signal', 'strong', 'network', 'internet', 'disappointing', 'lose', 'love', 'star', "]</v>
      </c>
      <c r="D3765" s="3">
        <v>2.0</v>
      </c>
    </row>
    <row r="3766" ht="15.75" customHeight="1">
      <c r="A3766" s="1">
        <v>4007.0</v>
      </c>
      <c r="B3766" s="3" t="s">
        <v>3653</v>
      </c>
      <c r="C3766" s="3" t="str">
        <f>IFERROR(__xludf.DUMMYFUNCTION("GOOGLETRANSLATE(B3766,""id"",""en"")"),"['easy', 'transaction', 'inet']")</f>
        <v>['easy', 'transaction', 'inet']</v>
      </c>
      <c r="D3766" s="3">
        <v>5.0</v>
      </c>
    </row>
    <row r="3767" ht="15.75" customHeight="1">
      <c r="A3767" s="1">
        <v>4008.0</v>
      </c>
      <c r="B3767" s="3" t="s">
        <v>3654</v>
      </c>
      <c r="C3767" s="3" t="str">
        <f>IFERROR(__xludf.DUMMYFUNCTION("GOOGLETRANSLATE(B3767,""id"",""en"")"),"['The application', 'Good', 'Baget', 'Darling', 'Search', 'Package', 'Combo', 'Sakti', 'Application', ""]")</f>
        <v>['The application', 'Good', 'Baget', 'Darling', 'Search', 'Package', 'Combo', 'Sakti', 'Application', "]</v>
      </c>
      <c r="D3767" s="3">
        <v>5.0</v>
      </c>
    </row>
    <row r="3768" ht="15.75" customHeight="1">
      <c r="A3768" s="1">
        <v>4009.0</v>
      </c>
      <c r="B3768" s="3" t="s">
        <v>3655</v>
      </c>
      <c r="C3768" s="3" t="str">
        <f>IFERROR(__xludf.DUMMYFUNCTION("GOOGLETRANSLATE(B3768,""id"",""en"")"),"['Win', 'Telkomsel', 'Points', '']")</f>
        <v>['Win', 'Telkomsel', 'Points', '']</v>
      </c>
      <c r="D3768" s="3">
        <v>5.0</v>
      </c>
    </row>
    <row r="3769" ht="15.75" customHeight="1">
      <c r="A3769" s="1">
        <v>4010.0</v>
      </c>
      <c r="B3769" s="3" t="s">
        <v>3656</v>
      </c>
      <c r="C3769" s="3" t="str">
        <f>IFERROR(__xludf.DUMMYFUNCTION("GOOGLETRANSLATE(B3769,""id"",""en"")"),"['', 'Telkomsel', 'opened', '']")</f>
        <v>['', 'Telkomsel', 'opened', '']</v>
      </c>
      <c r="D3769" s="3">
        <v>5.0</v>
      </c>
    </row>
    <row r="3770" ht="15.75" customHeight="1">
      <c r="A3770" s="1">
        <v>4011.0</v>
      </c>
      <c r="B3770" s="3" t="s">
        <v>3657</v>
      </c>
      <c r="C3770" s="3" t="str">
        <f>IFERROR(__xludf.DUMMYFUNCTION("GOOGLETRANSLATE(B3770,""id"",""en"")"),"['Sip', 'Package', 'cheap']")</f>
        <v>['Sip', 'Package', 'cheap']</v>
      </c>
      <c r="D3770" s="3">
        <v>5.0</v>
      </c>
    </row>
    <row r="3771" ht="15.75" customHeight="1">
      <c r="A3771" s="1">
        <v>4012.0</v>
      </c>
      <c r="B3771" s="3" t="s">
        <v>3658</v>
      </c>
      <c r="C3771" s="3" t="str">
        <f>IFERROR(__xludf.DUMMYFUNCTION("GOOGLETRANSLATE(B3771,""id"",""en"")"),"['suspicion', 'fraudsters',' complaints', 'users',' respond ',' comments', 'positive', 'responded', 'no', 'trimakasih', 'comment', 'critical', ' Developer ',' NGKE ',' ']")</f>
        <v>['suspicion', 'fraudsters',' complaints', 'users',' respond ',' comments', 'positive', 'responded', 'no', 'trimakasih', 'comment', 'critical', ' Developer ',' NGKE ',' ']</v>
      </c>
      <c r="D3771" s="3">
        <v>2.0</v>
      </c>
    </row>
    <row r="3772" ht="15.75" customHeight="1">
      <c r="A3772" s="1">
        <v>4013.0</v>
      </c>
      <c r="B3772" s="3" t="s">
        <v>3659</v>
      </c>
      <c r="C3772" s="3" t="str">
        <f>IFERROR(__xludf.DUMMYFUNCTION("GOOGLETRANSLATE(B3772,""id"",""en"")"),"['apk', 'good', 'bngt', 'manfa', 'lgi', '']")</f>
        <v>['apk', 'good', 'bngt', 'manfa', 'lgi', '']</v>
      </c>
      <c r="D3772" s="3">
        <v>5.0</v>
      </c>
    </row>
    <row r="3773" ht="15.75" customHeight="1">
      <c r="A3773" s="1">
        <v>4014.0</v>
      </c>
      <c r="B3773" s="3" t="s">
        <v>3660</v>
      </c>
      <c r="C3773" s="3" t="str">
        <f>IFERROR(__xludf.DUMMYFUNCTION("GOOGLETRANSLATE(B3773,""id"",""en"")"),"['Lottery', 'koar', 'doang', 'fees', 'package', 'expensive', 'should', 'kariawan', 'coment', 'customer', 'nge', 'related' network ',' sebagian ',' diested ',' Catetyaa ',' prioritized ',' mold ',' obstacle ',' Telkomsel ',' function ',' application ',' cr"&amp;"ash ',' apdate ',' briefly ' , 'Over', 'Riau']")</f>
        <v>['Lottery', 'koar', 'doang', 'fees', 'package', 'expensive', 'should', 'kariawan', 'coment', 'customer', 'nge', 'related' network ',' sebagian ',' diested ',' Catetyaa ',' prioritized ',' mold ',' obstacle ',' Telkomsel ',' function ',' application ',' crash ',' apdate ',' briefly ' , 'Over', 'Riau']</v>
      </c>
      <c r="D3773" s="3">
        <v>2.0</v>
      </c>
    </row>
    <row r="3774" ht="15.75" customHeight="1">
      <c r="A3774" s="1">
        <v>4015.0</v>
      </c>
      <c r="B3774" s="3" t="s">
        <v>3661</v>
      </c>
      <c r="C3774" s="3" t="str">
        <f>IFERROR(__xludf.DUMMYFUNCTION("GOOGLETRANSLATE(B3774,""id"",""en"")"),"['Please', 'Fix', 'experience', 'Busyness', 'Network', 'Update', 'Destroyed']")</f>
        <v>['Please', 'Fix', 'experience', 'Busyness', 'Network', 'Update', 'Destroyed']</v>
      </c>
      <c r="D3774" s="3">
        <v>5.0</v>
      </c>
    </row>
    <row r="3775" ht="15.75" customHeight="1">
      <c r="A3775" s="1">
        <v>4016.0</v>
      </c>
      <c r="B3775" s="3" t="s">
        <v>3662</v>
      </c>
      <c r="C3775" s="3" t="str">
        <f>IFERROR(__xludf.DUMMYFUNCTION("GOOGLETRANSLATE(B3775,""id"",""en"")"),"['Increase', 'Quality', 'Signal', 'Internet', 'Region', 'Outback', 'Signal', 'Internet', 'LEG']")</f>
        <v>['Increase', 'Quality', 'Signal', 'Internet', 'Region', 'Outback', 'Signal', 'Internet', 'LEG']</v>
      </c>
      <c r="D3775" s="3">
        <v>4.0</v>
      </c>
    </row>
    <row r="3776" ht="15.75" customHeight="1">
      <c r="A3776" s="1">
        <v>4017.0</v>
      </c>
      <c r="B3776" s="3" t="s">
        <v>3663</v>
      </c>
      <c r="C3776" s="3" t="str">
        <f>IFERROR(__xludf.DUMMYFUNCTION("GOOGLETRANSLATE(B3776,""id"",""en"")"),"['Senakin', 'Help', 'Customer', 'Communicate']")</f>
        <v>['Senakin', 'Help', 'Customer', 'Communicate']</v>
      </c>
      <c r="D3776" s="3">
        <v>5.0</v>
      </c>
    </row>
    <row r="3777" ht="15.75" customHeight="1">
      <c r="A3777" s="1">
        <v>4019.0</v>
      </c>
      <c r="B3777" s="3" t="s">
        <v>3664</v>
      </c>
      <c r="C3777" s="3" t="str">
        <f>IFERROR(__xludf.DUMMYFUNCTION("GOOGLETRANSLATE(B3777,""id"",""en"")"),"['Like', 'really', 'Telkomsel', 'Promino', 'Love', 'You', 'Telkomsel']")</f>
        <v>['Like', 'really', 'Telkomsel', 'Promino', 'Love', 'You', 'Telkomsel']</v>
      </c>
      <c r="D3777" s="3">
        <v>5.0</v>
      </c>
    </row>
    <row r="3778" ht="15.75" customHeight="1">
      <c r="A3778" s="1">
        <v>4022.0</v>
      </c>
      <c r="B3778" s="3" t="s">
        <v>3665</v>
      </c>
      <c r="C3778" s="3" t="str">
        <f>IFERROR(__xludf.DUMMYFUNCTION("GOOGLETRANSLATE(B3778,""id"",""en"")"),"['Aflication', 'Open']")</f>
        <v>['Aflication', 'Open']</v>
      </c>
      <c r="D3778" s="3">
        <v>5.0</v>
      </c>
    </row>
    <row r="3779" ht="15.75" customHeight="1">
      <c r="A3779" s="1">
        <v>4023.0</v>
      </c>
      <c r="B3779" s="3" t="s">
        <v>3666</v>
      </c>
      <c r="C3779" s="3" t="str">
        <f>IFERROR(__xludf.DUMMYFUNCTION("GOOGLETRANSLATE(B3779,""id"",""en"")"),"['signal', 'ugly', 'price', 'expensive', 'squeezed']")</f>
        <v>['signal', 'ugly', 'price', 'expensive', 'squeezed']</v>
      </c>
      <c r="D3779" s="3">
        <v>1.0</v>
      </c>
    </row>
    <row r="3780" ht="15.75" customHeight="1">
      <c r="A3780" s="1">
        <v>4024.0</v>
      </c>
      <c r="B3780" s="3" t="s">
        <v>3667</v>
      </c>
      <c r="C3780" s="3" t="str">
        <f>IFERROR(__xludf.DUMMYFUNCTION("GOOGLETRANSLATE(B3780,""id"",""en"")"),"['Cost', 'admin', 'transaction']")</f>
        <v>['Cost', 'admin', 'transaction']</v>
      </c>
      <c r="D3780" s="3">
        <v>3.0</v>
      </c>
    </row>
    <row r="3781" ht="15.75" customHeight="1">
      <c r="A3781" s="1">
        <v>4025.0</v>
      </c>
      <c r="B3781" s="3" t="s">
        <v>3668</v>
      </c>
      <c r="C3781" s="3" t="str">
        <f>IFERROR(__xludf.DUMMYFUNCTION("GOOGLETRANSLATE(B3781,""id"",""en"")"),"['Check', 'anything', 'easy', 'Telkomsel']")</f>
        <v>['Check', 'anything', 'easy', 'Telkomsel']</v>
      </c>
      <c r="D3781" s="3">
        <v>5.0</v>
      </c>
    </row>
    <row r="3782" ht="15.75" customHeight="1">
      <c r="A3782" s="1">
        <v>4027.0</v>
      </c>
      <c r="B3782" s="3" t="s">
        <v>1392</v>
      </c>
      <c r="C3782" s="3" t="str">
        <f>IFERROR(__xludf.DUMMYFUNCTION("GOOGLETRANSLATE(B3782,""id"",""en"")"),"['network', '']")</f>
        <v>['network', '']</v>
      </c>
      <c r="D3782" s="3">
        <v>4.0</v>
      </c>
    </row>
    <row r="3783" ht="15.75" customHeight="1">
      <c r="A3783" s="1">
        <v>4028.0</v>
      </c>
      <c r="B3783" s="3" t="s">
        <v>3669</v>
      </c>
      <c r="C3783" s="3" t="str">
        <f>IFERROR(__xludf.DUMMYFUNCTION("GOOGLETRANSLATE(B3783,""id"",""en"")"),"['Sympathy', 'Gegara', 'Block', 'Network', 'Darling', 'Very', 'Power']")</f>
        <v>['Sympathy', 'Gegara', 'Block', 'Network', 'Darling', 'Very', 'Power']</v>
      </c>
      <c r="D3783" s="3">
        <v>5.0</v>
      </c>
    </row>
    <row r="3784" ht="15.75" customHeight="1">
      <c r="A3784" s="1">
        <v>4029.0</v>
      </c>
      <c r="B3784" s="3" t="s">
        <v>3670</v>
      </c>
      <c r="C3784" s="3" t="str">
        <f>IFERROR(__xludf.DUMMYFUNCTION("GOOGLETRANSLATE(B3784,""id"",""en"")"),"['Good', 'Help', 'Thank you', ""]")</f>
        <v>['Good', 'Help', 'Thank you', "]</v>
      </c>
      <c r="D3784" s="3">
        <v>4.0</v>
      </c>
    </row>
    <row r="3785" ht="15.75" customHeight="1">
      <c r="A3785" s="1">
        <v>4030.0</v>
      </c>
      <c r="B3785" s="3" t="s">
        <v>567</v>
      </c>
      <c r="C3785" s="3" t="str">
        <f>IFERROR(__xludf.DUMMYFUNCTION("GOOGLETRANSLATE(B3785,""id"",""en"")"),"['application']")</f>
        <v>['application']</v>
      </c>
      <c r="D3785" s="3">
        <v>5.0</v>
      </c>
    </row>
    <row r="3786" ht="15.75" customHeight="1">
      <c r="A3786" s="1">
        <v>4031.0</v>
      </c>
      <c r="B3786" s="3" t="s">
        <v>3671</v>
      </c>
      <c r="C3786" s="3" t="str">
        <f>IFERROR(__xludf.DUMMYFUNCTION("GOOGLETRANSLATE(B3786,""id"",""en"")"),"['auto', 'check', 'out', 'Bad', 'game', 'silver', 'quota', 'leftover', 'quota', 'game', 'used', 'rushed', ' quota ',' main ',' njirrr ']")</f>
        <v>['auto', 'check', 'out', 'Bad', 'game', 'silver', 'quota', 'leftover', 'quota', 'game', 'used', 'rushed', ' quota ',' main ',' njirrr ']</v>
      </c>
      <c r="D3786" s="3">
        <v>1.0</v>
      </c>
    </row>
    <row r="3787" ht="15.75" customHeight="1">
      <c r="A3787" s="1">
        <v>4032.0</v>
      </c>
      <c r="B3787" s="3" t="s">
        <v>3672</v>
      </c>
      <c r="C3787" s="3" t="str">
        <f>IFERROR(__xludf.DUMMYFUNCTION("GOOGLETRANSLATE(B3787,""id"",""en"")"),"['Masi', 'process', 'Learning']")</f>
        <v>['Masi', 'process', 'Learning']</v>
      </c>
      <c r="D3787" s="3">
        <v>3.0</v>
      </c>
    </row>
    <row r="3788" ht="15.75" customHeight="1">
      <c r="A3788" s="1">
        <v>4033.0</v>
      </c>
      <c r="B3788" s="3" t="s">
        <v>3673</v>
      </c>
      <c r="C3788" s="3" t="str">
        <f>IFERROR(__xludf.DUMMYFUNCTION("GOOGLETRANSLATE(B3788,""id"",""en"")"),"['Telkomsel', 'hope', 'appreciation', 'user', 'user', 'appreciate', ""]")</f>
        <v>['Telkomsel', 'hope', 'appreciation', 'user', 'user', 'appreciate', "]</v>
      </c>
      <c r="D3788" s="3">
        <v>5.0</v>
      </c>
    </row>
    <row r="3789" ht="15.75" customHeight="1">
      <c r="A3789" s="1">
        <v>4034.0</v>
      </c>
      <c r="B3789" s="3" t="s">
        <v>3674</v>
      </c>
      <c r="C3789" s="3" t="str">
        <f>IFERROR(__xludf.DUMMYFUNCTION("GOOGLETRANSLATE(B3789,""id"",""en"")"),"['', 'Uda', 'Joss']")</f>
        <v>['', 'Uda', 'Joss']</v>
      </c>
      <c r="D3789" s="3">
        <v>5.0</v>
      </c>
    </row>
    <row r="3790" ht="15.75" customHeight="1">
      <c r="A3790" s="1">
        <v>4035.0</v>
      </c>
      <c r="B3790" s="3" t="s">
        <v>3675</v>
      </c>
      <c r="C3790" s="3" t="str">
        <f>IFERROR(__xludf.DUMMYFUNCTION("GOOGLETRANSLATE(B3790,""id"",""en"")"),"['Good', 'really', 'tsel']")</f>
        <v>['Good', 'really', 'tsel']</v>
      </c>
      <c r="D3790" s="3">
        <v>5.0</v>
      </c>
    </row>
    <row r="3791" ht="15.75" customHeight="1">
      <c r="A3791" s="1">
        <v>4036.0</v>
      </c>
      <c r="B3791" s="3" t="s">
        <v>3676</v>
      </c>
      <c r="C3791" s="3" t="str">
        <f>IFERROR(__xludf.DUMMYFUNCTION("GOOGLETRANSLATE(B3791,""id"",""en"")"),"['Redeem', 'Points', 'PKET', 'Internet', 'Busy', 'Service', 'Points', '']")</f>
        <v>['Redeem', 'Points', 'PKET', 'Internet', 'Busy', 'Service', 'Points', '']</v>
      </c>
      <c r="D3791" s="3">
        <v>1.0</v>
      </c>
    </row>
    <row r="3792" ht="15.75" customHeight="1">
      <c r="A3792" s="1">
        <v>4037.0</v>
      </c>
      <c r="B3792" s="3" t="s">
        <v>3677</v>
      </c>
      <c r="C3792" s="3" t="str">
        <f>IFERROR(__xludf.DUMMYFUNCTION("GOOGLETRANSLATE(B3792,""id"",""en"")"),"['application', 'enter', 'color', 'white', 'screen', 'already', 'repeated', 'times',' delete ',' download ',' TPI ',' bgtu ',' ']")</f>
        <v>['application', 'enter', 'color', 'white', 'screen', 'already', 'repeated', 'times',' delete ',' download ',' TPI ',' bgtu ',' ']</v>
      </c>
      <c r="D3792" s="3">
        <v>1.0</v>
      </c>
    </row>
    <row r="3793" ht="15.75" customHeight="1">
      <c r="A3793" s="1">
        <v>4038.0</v>
      </c>
      <c r="B3793" s="3" t="s">
        <v>3678</v>
      </c>
      <c r="C3793" s="3" t="str">
        <f>IFERROR(__xludf.DUMMYFUNCTION("GOOGLETRANSLATE(B3793,""id"",""en"")"),"['ISI', 'BONUS', 'Credit']")</f>
        <v>['ISI', 'BONUS', 'Credit']</v>
      </c>
      <c r="D3793" s="3">
        <v>1.0</v>
      </c>
    </row>
    <row r="3794" ht="15.75" customHeight="1">
      <c r="A3794" s="1">
        <v>4039.0</v>
      </c>
      <c r="B3794" s="3" t="s">
        <v>3679</v>
      </c>
      <c r="C3794" s="3" t="str">
        <f>IFERROR(__xludf.DUMMYFUNCTION("GOOGLETRANSLATE(B3794,""id"",""en"")"),"['good', 'promo', 'Indonesia', 'proud', 'people', 'happy', 'Telkomsel', 'chest', '']")</f>
        <v>['good', 'promo', 'Indonesia', 'proud', 'people', 'happy', 'Telkomsel', 'chest', '']</v>
      </c>
      <c r="D3794" s="3">
        <v>5.0</v>
      </c>
    </row>
    <row r="3795" ht="15.75" customHeight="1">
      <c r="A3795" s="1">
        <v>4040.0</v>
      </c>
      <c r="B3795" s="3" t="s">
        <v>2198</v>
      </c>
      <c r="C3795" s="3" t="str">
        <f>IFERROR(__xludf.DUMMYFUNCTION("GOOGLETRANSLATE(B3795,""id"",""en"")"),"['easy', 'use']")</f>
        <v>['easy', 'use']</v>
      </c>
      <c r="D3795" s="3">
        <v>5.0</v>
      </c>
    </row>
    <row r="3796" ht="15.75" customHeight="1">
      <c r="A3796" s="1">
        <v>4041.0</v>
      </c>
      <c r="B3796" s="3" t="s">
        <v>3680</v>
      </c>
      <c r="C3796" s="3" t="str">
        <f>IFERROR(__xludf.DUMMYFUNCTION("GOOGLETRANSLATE(B3796,""id"",""en"")"),"['Download', 'opened', 'Application', 'Update', 'Software', 'Opened', 'Application', 'Application', 'Help', 'Check', 'Data', 'Paketan', ' The rest of ',' pulse ',' please ',' information ',' Telkomsel ',' application ',' opened ',' bug ',' system ',' appl"&amp;"ication ',' Please ',' repaired ',' fluency ' , 'Kenalananan', 'custamer', '']")</f>
        <v>['Download', 'opened', 'Application', 'Update', 'Software', 'Opened', 'Application', 'Application', 'Help', 'Check', 'Data', 'Paketan', ' The rest of ',' pulse ',' please ',' information ',' Telkomsel ',' application ',' opened ',' bug ',' system ',' application ',' Please ',' repaired ',' fluency ' , 'Kenalananan', 'custamer', '']</v>
      </c>
      <c r="D3796" s="3">
        <v>1.0</v>
      </c>
    </row>
    <row r="3797" ht="15.75" customHeight="1">
      <c r="A3797" s="1">
        <v>4042.0</v>
      </c>
      <c r="B3797" s="3" t="s">
        <v>3681</v>
      </c>
      <c r="C3797" s="3" t="str">
        <f>IFERROR(__xludf.DUMMYFUNCTION("GOOGLETRANSLATE(B3797,""id"",""en"")"),"['Open', 'Telkomsel', 'Display', 'White', '']")</f>
        <v>['Open', 'Telkomsel', 'Display', 'White', '']</v>
      </c>
      <c r="D3797" s="3">
        <v>1.0</v>
      </c>
    </row>
    <row r="3798" ht="15.75" customHeight="1">
      <c r="A3798" s="1">
        <v>4043.0</v>
      </c>
      <c r="B3798" s="3" t="s">
        <v>3682</v>
      </c>
      <c r="C3798" s="3" t="str">
        <f>IFERROR(__xludf.DUMMYFUNCTION("GOOGLETRANSLATE(B3798,""id"",""en"")"),"['Good', 'BYK', 'Information', 'Convenience', 'Bonus', 'Customer', 'THN', 'Customer', 'Telkomsel', 'Success', ""]")</f>
        <v>['Good', 'BYK', 'Information', 'Convenience', 'Bonus', 'Customer', 'THN', 'Customer', 'Telkomsel', 'Success', "]</v>
      </c>
      <c r="D3798" s="3">
        <v>5.0</v>
      </c>
    </row>
    <row r="3799" ht="15.75" customHeight="1">
      <c r="A3799" s="1">
        <v>4044.0</v>
      </c>
      <c r="B3799" s="3" t="s">
        <v>3683</v>
      </c>
      <c r="C3799" s="3" t="str">
        <f>IFERROR(__xludf.DUMMYFUNCTION("GOOGLETRANSLATE(B3799,""id"",""en"")"),"['Disappointed', 'Update', 'Open', 'Love', 'Bintang', 'Disappointed']")</f>
        <v>['Disappointed', 'Update', 'Open', 'Love', 'Bintang', 'Disappointed']</v>
      </c>
      <c r="D3799" s="3">
        <v>1.0</v>
      </c>
    </row>
    <row r="3800" ht="15.75" customHeight="1">
      <c r="A3800" s="1">
        <v>4045.0</v>
      </c>
      <c r="B3800" s="3" t="s">
        <v>3684</v>
      </c>
      <c r="C3800" s="3" t="str">
        <f>IFERROR(__xludf.DUMMYFUNCTION("GOOGLETRANSLATE(B3800,""id"",""en"")"),"['easy', 'access', 'love', 'price', 'cheap', 'user', 'card', 'taliness', 'customer', 'appreciation', ""]")</f>
        <v>['easy', 'access', 'love', 'price', 'cheap', 'user', 'card', 'taliness', 'customer', 'appreciation', "]</v>
      </c>
      <c r="D3800" s="3">
        <v>5.0</v>
      </c>
    </row>
    <row r="3801" ht="15.75" customHeight="1">
      <c r="A3801" s="1">
        <v>4046.0</v>
      </c>
      <c r="B3801" s="3" t="s">
        <v>3685</v>
      </c>
      <c r="C3801" s="3" t="str">
        <f>IFERROR(__xludf.DUMMYFUNCTION("GOOGLETRANSLATE(B3801,""id"",""en"")"),"['Puwass', 'Level', '']")</f>
        <v>['Puwass', 'Level', '']</v>
      </c>
      <c r="D3801" s="3">
        <v>5.0</v>
      </c>
    </row>
    <row r="3802" ht="15.75" customHeight="1">
      <c r="A3802" s="1">
        <v>4047.0</v>
      </c>
      <c r="B3802" s="3" t="s">
        <v>3686</v>
      </c>
      <c r="C3802" s="3" t="str">
        <f>IFERROR(__xludf.DUMMYFUNCTION("GOOGLETRANSLATE(B3802,""id"",""en"")"),"['Paketan', 'Maxtream', 'quota', 'main', 'hit', 'suck', 'strange']")</f>
        <v>['Paketan', 'Maxtream', 'quota', 'main', 'hit', 'suck', 'strange']</v>
      </c>
      <c r="D3802" s="3">
        <v>2.0</v>
      </c>
    </row>
    <row r="3803" ht="15.75" customHeight="1">
      <c r="A3803" s="1">
        <v>4048.0</v>
      </c>
      <c r="B3803" s="3" t="s">
        <v>3687</v>
      </c>
      <c r="C3803" s="3" t="str">
        <f>IFERROR(__xludf.DUMMYFUNCTION("GOOGLETRANSLATE(B3803,""id"",""en"")"),"['Update', 'enter', 'Application']")</f>
        <v>['Update', 'enter', 'Application']</v>
      </c>
      <c r="D3803" s="3">
        <v>3.0</v>
      </c>
    </row>
    <row r="3804" ht="15.75" customHeight="1">
      <c r="A3804" s="1">
        <v>4049.0</v>
      </c>
      <c r="B3804" s="3" t="s">
        <v>3688</v>
      </c>
      <c r="C3804" s="3" t="str">
        <f>IFERROR(__xludf.DUMMYFUNCTION("GOOGLETRANSLATE(B3804,""id"",""en"")"),"['signal', 'bad', 'price', 'expensive']")</f>
        <v>['signal', 'bad', 'price', 'expensive']</v>
      </c>
      <c r="D3804" s="3">
        <v>2.0</v>
      </c>
    </row>
    <row r="3805" ht="15.75" customHeight="1">
      <c r="A3805" s="1">
        <v>4050.0</v>
      </c>
      <c r="B3805" s="3" t="s">
        <v>3689</v>
      </c>
      <c r="C3805" s="3" t="str">
        <f>IFERROR(__xludf.DUMMYFUNCTION("GOOGLETRANSLATE(B3805,""id"",""en"")"),"['Excitting', 'Points', 'BGKE']")</f>
        <v>['Excitting', 'Points', 'BGKE']</v>
      </c>
      <c r="D3805" s="3">
        <v>5.0</v>
      </c>
    </row>
    <row r="3806" ht="15.75" customHeight="1">
      <c r="A3806" s="1">
        <v>4051.0</v>
      </c>
      <c r="B3806" s="3" t="s">
        <v>3690</v>
      </c>
      <c r="C3806" s="3" t="str">
        <f>IFERROR(__xludf.DUMMYFUNCTION("GOOGLETRANSLATE(B3806,""id"",""en"")"),"['Knp', 'enter', 'event', 'kagak']")</f>
        <v>['Knp', 'enter', 'event', 'kagak']</v>
      </c>
      <c r="D3806" s="3">
        <v>1.0</v>
      </c>
    </row>
    <row r="3807" ht="15.75" customHeight="1">
      <c r="A3807" s="1">
        <v>4052.0</v>
      </c>
      <c r="B3807" s="3" t="s">
        <v>3691</v>
      </c>
      <c r="C3807" s="3" t="str">
        <f>IFERROR(__xludf.DUMMYFUNCTION("GOOGLETRANSLATE(B3807,""id"",""en"")"),"['Paketan', 'expensive', 'Lower', 'Price', 'Internet', 'Combo', 'Sakti']")</f>
        <v>['Paketan', 'expensive', 'Lower', 'Price', 'Internet', 'Combo', 'Sakti']</v>
      </c>
      <c r="D3807" s="3">
        <v>1.0</v>
      </c>
    </row>
    <row r="3808" ht="15.75" customHeight="1">
      <c r="A3808" s="1">
        <v>4053.0</v>
      </c>
      <c r="B3808" s="3" t="s">
        <v>3692</v>
      </c>
      <c r="C3808" s="3" t="str">
        <f>IFERROR(__xludf.DUMMYFUNCTION("GOOGLETRANSLATE(B3808,""id"",""en"")"),"['expensive', 'doang', 'ngelag']")</f>
        <v>['expensive', 'doang', 'ngelag']</v>
      </c>
      <c r="D3808" s="3">
        <v>1.0</v>
      </c>
    </row>
    <row r="3809" ht="15.75" customHeight="1">
      <c r="A3809" s="1">
        <v>4054.0</v>
      </c>
      <c r="B3809" s="3" t="s">
        <v>3693</v>
      </c>
      <c r="C3809" s="3" t="str">
        <f>IFERROR(__xludf.DUMMYFUNCTION("GOOGLETRANSLATE(B3809,""id"",""en"")"),"['', 'Telkomsel', 'open', 'data', 'open', 'open', 'loding', 'strange', 'ama', 'telkomsel']")</f>
        <v>['', 'Telkomsel', 'open', 'data', 'open', 'open', 'loding', 'strange', 'ama', 'telkomsel']</v>
      </c>
      <c r="D3809" s="3">
        <v>1.0</v>
      </c>
    </row>
    <row r="3810" ht="15.75" customHeight="1">
      <c r="A3810" s="1">
        <v>4056.0</v>
      </c>
      <c r="B3810" s="3" t="s">
        <v>3694</v>
      </c>
      <c r="C3810" s="3" t="str">
        <f>IFERROR(__xludf.DUMMYFUNCTION("GOOGLETRANSLATE(B3810,""id"",""en"")"),"['Open', 'APL', 'Mucul', 'Yar', 'White']")</f>
        <v>['Open', 'APL', 'Mucul', 'Yar', 'White']</v>
      </c>
      <c r="D3810" s="3">
        <v>1.0</v>
      </c>
    </row>
    <row r="3811" ht="15.75" customHeight="1">
      <c r="A3811" s="1">
        <v>4057.0</v>
      </c>
      <c r="B3811" s="3" t="s">
        <v>3695</v>
      </c>
      <c r="C3811" s="3" t="str">
        <f>IFERROR(__xludf.DUMMYFUNCTION("GOOGLETRANSLATE(B3811,""id"",""en"")"),"['BYK', 'Points', 'Send', 'Sign', 'excitement', ""]")</f>
        <v>['BYK', 'Points', 'Send', 'Sign', 'excitement', "]</v>
      </c>
      <c r="D3811" s="3">
        <v>5.0</v>
      </c>
    </row>
    <row r="3812" ht="15.75" customHeight="1">
      <c r="A3812" s="1">
        <v>4058.0</v>
      </c>
      <c r="B3812" s="3" t="s">
        <v>3696</v>
      </c>
      <c r="C3812" s="3" t="str">
        <f>IFERROR(__xludf.DUMMYFUNCTION("GOOGLETRANSLATE(B3812,""id"",""en"")"),"['Anyway', 'Telkomsel', 'YES', 'HO I hope', 'Tenempat', 'smakin', 'bnyk', 'promo']")</f>
        <v>['Anyway', 'Telkomsel', 'YES', 'HO I hope', 'Tenempat', 'smakin', 'bnyk', 'promo']</v>
      </c>
      <c r="D3812" s="3">
        <v>5.0</v>
      </c>
    </row>
    <row r="3813" ht="15.75" customHeight="1">
      <c r="A3813" s="1">
        <v>4059.0</v>
      </c>
      <c r="B3813" s="3" t="s">
        <v>3697</v>
      </c>
      <c r="C3813" s="3" t="str">
        <f>IFERROR(__xludf.DUMMYFUNCTION("GOOGLETRANSLATE(B3813,""id"",""en"")"),"['Kimak', 'Father', 'Telkom', 'ppq', 'expensive', 'expensive', 'buy', 'package', 'network', 'ppq', 'you', 'love', ' Apntek ',' Angg ',' Telkom ',' Anjiggg ']")</f>
        <v>['Kimak', 'Father', 'Telkom', 'ppq', 'expensive', 'expensive', 'buy', 'package', 'network', 'ppq', 'you', 'love', ' Apntek ',' Angg ',' Telkom ',' Anjiggg ']</v>
      </c>
      <c r="D3813" s="3">
        <v>1.0</v>
      </c>
    </row>
    <row r="3814" ht="15.75" customHeight="1">
      <c r="A3814" s="1">
        <v>4061.0</v>
      </c>
      <c r="B3814" s="3" t="s">
        <v>3698</v>
      </c>
      <c r="C3814" s="3" t="str">
        <f>IFERROR(__xludf.DUMMYFUNCTION("GOOGLETRANSLATE(B3814,""id"",""en"")"),"['Beginner', 'turn', 'Open', 'Coupon', 'Out', 'Exp', 'Date', 'Stay', 'What's',' Power ',' Exchange ',' Promo ',' Goods', 'sustenance', '']")</f>
        <v>['Beginner', 'turn', 'Open', 'Coupon', 'Out', 'Exp', 'Date', 'Stay', 'What's',' Power ',' Exchange ',' Promo ',' Goods', 'sustenance', '']</v>
      </c>
      <c r="D3814" s="3">
        <v>4.0</v>
      </c>
    </row>
    <row r="3815" ht="15.75" customHeight="1">
      <c r="A3815" s="1">
        <v>4062.0</v>
      </c>
      <c r="B3815" s="3" t="s">
        <v>3699</v>
      </c>
      <c r="C3815" s="3" t="str">
        <f>IFERROR(__xludf.DUMMYFUNCTION("GOOGLETRANSLATE(B3815,""id"",""en"")"),"['Security', 'pulse', 'please', 'features',' package ',' data ',' internet ',' automatic ',' use ',' pulse ',' sucks', 'ataaat', ' Forgot ',' deadly ',' data ',' pulse ',' sucked ',' run out ']")</f>
        <v>['Security', 'pulse', 'please', 'features',' package ',' data ',' internet ',' automatic ',' use ',' pulse ',' sucks', 'ataaat', ' Forgot ',' deadly ',' data ',' pulse ',' sucked ',' run out ']</v>
      </c>
      <c r="D3815" s="3">
        <v>2.0</v>
      </c>
    </row>
    <row r="3816" ht="15.75" customHeight="1">
      <c r="A3816" s="1">
        <v>4063.0</v>
      </c>
      <c r="B3816" s="3" t="s">
        <v>3700</v>
      </c>
      <c r="C3816" s="3" t="str">
        <f>IFERROR(__xludf.DUMMYFUNCTION("GOOGLETRANSLATE(B3816,""id"",""en"")"),"['Liki', 'Application', 'Cheated', 'Application', 'Telkomsel', 'Data', 'Quota', 'Application', 'Plus',' Package ',' left ',' MB ',' Lost ',' Out ',' Online ',' Charger ',' Mobile Phone ',' Please ',' Clarity ',' Genesis', 'Watch', 'WITA', 'Live', 'Region'"&amp;", 'Makassar' , 'ksh']")</f>
        <v>['Liki', 'Application', 'Cheated', 'Application', 'Telkomsel', 'Data', 'Quota', 'Application', 'Plus',' Package ',' left ',' MB ',' Lost ',' Out ',' Online ',' Charger ',' Mobile Phone ',' Please ',' Clarity ',' Genesis', 'Watch', 'WITA', 'Live', 'Region', 'Makassar' , 'ksh']</v>
      </c>
      <c r="D3816" s="3">
        <v>2.0</v>
      </c>
    </row>
    <row r="3817" ht="15.75" customHeight="1">
      <c r="A3817" s="1">
        <v>4064.0</v>
      </c>
      <c r="B3817" s="3" t="s">
        <v>3701</v>
      </c>
      <c r="C3817" s="3" t="str">
        <f>IFERROR(__xludf.DUMMYFUNCTION("GOOGLETRANSLATE(B3817,""id"",""en"")"),"['knp', 'apk', 'tsel', 'screen', 'ngblank', 'white', 'use', 'galaxy', 'hanupis', 'sateacan', '']")</f>
        <v>['knp', 'apk', 'tsel', 'screen', 'ngblank', 'white', 'use', 'galaxy', 'hanupis', 'sateacan', '']</v>
      </c>
      <c r="D3817" s="3">
        <v>3.0</v>
      </c>
    </row>
    <row r="3818" ht="15.75" customHeight="1">
      <c r="A3818" s="1">
        <v>4065.0</v>
      </c>
      <c r="B3818" s="3" t="s">
        <v>3702</v>
      </c>
      <c r="C3818" s="3" t="str">
        <f>IFERROR(__xludf.DUMMYFUNCTION("GOOGLETRANSLATE(B3818,""id"",""en"")"),"['Hello', 'Telkomsel', 'Network', 'Telkomsel', 'Embarrassing', 'LGI', 'Famous',' Quality ',' King ',' Signal ',' Internet ',' Sekaran ',' turned ',' according to ',' price ',' quality ',' connection ',' low ',' honest ',' annoyed ',' network ',' Telkomsel"&amp;" ',' thank you ']")</f>
        <v>['Hello', 'Telkomsel', 'Network', 'Telkomsel', 'Embarrassing', 'LGI', 'Famous',' Quality ',' King ',' Signal ',' Internet ',' Sekaran ',' turned ',' according to ',' price ',' quality ',' connection ',' low ',' honest ',' annoyed ',' network ',' Telkomsel ',' thank you ']</v>
      </c>
      <c r="D3818" s="3">
        <v>3.0</v>
      </c>
    </row>
    <row r="3819" ht="15.75" customHeight="1">
      <c r="A3819" s="1">
        <v>4066.0</v>
      </c>
      <c r="B3819" s="3" t="s">
        <v>3703</v>
      </c>
      <c r="C3819" s="3" t="str">
        <f>IFERROR(__xludf.DUMMYFUNCTION("GOOGLETRANSLATE(B3819,""id"",""en"")"),"['Beginner', 'Kasi', 'Star']")</f>
        <v>['Beginner', 'Kasi', 'Star']</v>
      </c>
      <c r="D3819" s="3">
        <v>3.0</v>
      </c>
    </row>
    <row r="3820" ht="15.75" customHeight="1">
      <c r="A3820" s="1">
        <v>4067.0</v>
      </c>
      <c r="B3820" s="3" t="s">
        <v>3704</v>
      </c>
      <c r="C3820" s="3" t="str">
        <f>IFERROR(__xludf.DUMMYFUNCTION("GOOGLETRANSLATE(B3820,""id"",""en"")"),"['Products', 'Points', 'Telkomsel', 'Nga', 'Exchange', 'Credit', 'Telkomsel', '']")</f>
        <v>['Products', 'Points', 'Telkomsel', 'Nga', 'Exchange', 'Credit', 'Telkomsel', '']</v>
      </c>
      <c r="D3820" s="3">
        <v>5.0</v>
      </c>
    </row>
    <row r="3821" ht="15.75" customHeight="1">
      <c r="A3821" s="1">
        <v>4068.0</v>
      </c>
      <c r="B3821" s="3" t="s">
        <v>3705</v>
      </c>
      <c r="C3821" s="3" t="str">
        <f>IFERROR(__xludf.DUMMYFUNCTION("GOOGLETRANSLATE(B3821,""id"",""en"")"),"['The application', 'good', 'features', 'interesting', 'promo', 'telkomsel', 'point', 'hope', 'gift', 'car', 'aamiin', ""]")</f>
        <v>['The application', 'good', 'features', 'interesting', 'promo', 'telkomsel', 'point', 'hope', 'gift', 'car', 'aamiin', "]</v>
      </c>
      <c r="D3821" s="3">
        <v>5.0</v>
      </c>
    </row>
    <row r="3822" ht="15.75" customHeight="1">
      <c r="A3822" s="1">
        <v>4069.0</v>
      </c>
      <c r="B3822" s="3" t="s">
        <v>3706</v>
      </c>
      <c r="C3822" s="3" t="str">
        <f>IFERROR(__xludf.DUMMYFUNCTION("GOOGLETRANSLATE(B3822,""id"",""en"")"),"['pretty good']")</f>
        <v>['pretty good']</v>
      </c>
      <c r="D3822" s="3">
        <v>5.0</v>
      </c>
    </row>
    <row r="3823" ht="15.75" customHeight="1">
      <c r="A3823" s="1">
        <v>4070.0</v>
      </c>
      <c r="B3823" s="3" t="s">
        <v>3707</v>
      </c>
      <c r="C3823" s="3" t="str">
        <f>IFERROR(__xludf.DUMMYFUNCTION("GOOGLETRANSLATE(B3823,""id"",""en"")"),"['Fix', 'The network', 'Rain']")</f>
        <v>['Fix', 'The network', 'Rain']</v>
      </c>
      <c r="D3823" s="3">
        <v>5.0</v>
      </c>
    </row>
    <row r="3824" ht="15.75" customHeight="1">
      <c r="A3824" s="1">
        <v>4071.0</v>
      </c>
      <c r="B3824" s="3" t="s">
        <v>3708</v>
      </c>
      <c r="C3824" s="3" t="str">
        <f>IFERROR(__xludf.DUMMYFUNCTION("GOOGLETRANSLATE(B3824,""id"",""en"")"),"['Current', 'Jayaaa', 'Solution', 'Fastest']")</f>
        <v>['Current', 'Jayaaa', 'Solution', 'Fastest']</v>
      </c>
      <c r="D3824" s="3">
        <v>4.0</v>
      </c>
    </row>
    <row r="3825" ht="15.75" customHeight="1">
      <c r="A3825" s="1">
        <v>4072.0</v>
      </c>
      <c r="B3825" s="3" t="s">
        <v>3709</v>
      </c>
      <c r="C3825" s="3" t="str">
        <f>IFERROR(__xludf.DUMMYFUNCTION("GOOGLETRANSLATE(B3825,""id"",""en"")"),"['Severe', 'package', 'expensive', 'network', 'BURIK', 'Mending', 'neighbor', 'next door', 'cheap', 'stable', ""]")</f>
        <v>['Severe', 'package', 'expensive', 'network', 'BURIK', 'Mending', 'neighbor', 'next door', 'cheap', 'stable', "]</v>
      </c>
      <c r="D3825" s="3">
        <v>1.0</v>
      </c>
    </row>
    <row r="3826" ht="15.75" customHeight="1">
      <c r="A3826" s="1">
        <v>4073.0</v>
      </c>
      <c r="B3826" s="3" t="s">
        <v>3710</v>
      </c>
      <c r="C3826" s="3" t="str">
        <f>IFERROR(__xludf.DUMMYFUNCTION("GOOGLETRANSLATE(B3826,""id"",""en"")"),"['', 'Telkomsel', 'version', 'the latest', 'mobile', 'supports',' version ',' newest ',' suggestion ',' version ',' update ',' hopefully ',' information ', 'beneficial']")</f>
        <v>['', 'Telkomsel', 'version', 'the latest', 'mobile', 'supports',' version ',' newest ',' suggestion ',' version ',' update ',' hopefully ',' information ', 'beneficial']</v>
      </c>
      <c r="D3826" s="3">
        <v>5.0</v>
      </c>
    </row>
    <row r="3827" ht="15.75" customHeight="1">
      <c r="A3827" s="1">
        <v>4074.0</v>
      </c>
      <c r="B3827" s="3" t="s">
        <v>3711</v>
      </c>
      <c r="C3827" s="3" t="str">
        <f>IFERROR(__xludf.DUMMYFUNCTION("GOOGLETRANSLATE(B3827,""id"",""en"")"),"['Enter', 'APK', 'White', 'screen']")</f>
        <v>['Enter', 'APK', 'White', 'screen']</v>
      </c>
      <c r="D3827" s="3">
        <v>5.0</v>
      </c>
    </row>
    <row r="3828" ht="15.75" customHeight="1">
      <c r="A3828" s="1">
        <v>4075.0</v>
      </c>
      <c r="B3828" s="3" t="s">
        <v>3712</v>
      </c>
      <c r="C3828" s="3" t="str">
        <f>IFERROR(__xludf.DUMMYFUNCTION("GOOGLETRANSLATE(B3828,""id"",""en"")"),"['jerk', 'thieves', 'pulses', 'package', 'apply', 'pulses', 'sumps', 'internet', '']")</f>
        <v>['jerk', 'thieves', 'pulses', 'package', 'apply', 'pulses', 'sumps', 'internet', '']</v>
      </c>
      <c r="D3828" s="3">
        <v>1.0</v>
      </c>
    </row>
    <row r="3829" ht="15.75" customHeight="1">
      <c r="A3829" s="1">
        <v>4076.0</v>
      </c>
      <c r="B3829" s="3" t="s">
        <v>3713</v>
      </c>
      <c r="C3829" s="3" t="str">
        <f>IFERROR(__xludf.DUMMYFUNCTION("GOOGLETRANSLATE(B3829,""id"",""en"")"),"['Steady', 'APK']")</f>
        <v>['Steady', 'APK']</v>
      </c>
      <c r="D3829" s="3">
        <v>5.0</v>
      </c>
    </row>
    <row r="3830" ht="15.75" customHeight="1">
      <c r="A3830" s="1">
        <v>4077.0</v>
      </c>
      <c r="B3830" s="3" t="s">
        <v>1528</v>
      </c>
      <c r="C3830" s="3" t="str">
        <f>IFERROR(__xludf.DUMMYFUNCTION("GOOGLETRANSLATE(B3830,""id"",""en"")"),"['Help', 'user']")</f>
        <v>['Help', 'user']</v>
      </c>
      <c r="D3830" s="3">
        <v>5.0</v>
      </c>
    </row>
    <row r="3831" ht="15.75" customHeight="1">
      <c r="A3831" s="1">
        <v>4078.0</v>
      </c>
      <c r="B3831" s="3" t="s">
        <v>3714</v>
      </c>
      <c r="C3831" s="3" t="str">
        <f>IFERROR(__xludf.DUMMYFUNCTION("GOOGLETRANSLATE(B3831,""id"",""en"")"),"['package', 'expensive', 'mcm', 'kaliats', 'gtu', 'many years', 'tlkomsel', 'kcewa', 'tlg', 'fix', 'quality', 'network']")</f>
        <v>['package', 'expensive', 'mcm', 'kaliats', 'gtu', 'many years', 'tlkomsel', 'kcewa', 'tlg', 'fix', 'quality', 'network']</v>
      </c>
      <c r="D3831" s="3">
        <v>1.0</v>
      </c>
    </row>
    <row r="3832" ht="15.75" customHeight="1">
      <c r="A3832" s="1">
        <v>4079.0</v>
      </c>
      <c r="B3832" s="3" t="s">
        <v>3715</v>
      </c>
      <c r="C3832" s="3" t="str">
        <f>IFERROR(__xludf.DUMMYFUNCTION("GOOGLETRANSLATE(B3832,""id"",""en"")"),"['Knpa', 'gabisa', 'open', 'app']")</f>
        <v>['Knpa', 'gabisa', 'open', 'app']</v>
      </c>
      <c r="D3832" s="3">
        <v>5.0</v>
      </c>
    </row>
    <row r="3833" ht="15.75" customHeight="1">
      <c r="A3833" s="1">
        <v>4080.0</v>
      </c>
      <c r="B3833" s="3" t="s">
        <v>3716</v>
      </c>
      <c r="C3833" s="3" t="str">
        <f>IFERROR(__xludf.DUMMYFUNCTION("GOOGLETRANSLATE(B3833,""id"",""en"")"),"['network', 'Telkomsel', 'signal', 'difficult', 'payment', 'link', 'good']")</f>
        <v>['network', 'Telkomsel', 'signal', 'difficult', 'payment', 'link', 'good']</v>
      </c>
      <c r="D3833" s="3">
        <v>4.0</v>
      </c>
    </row>
    <row r="3834" ht="15.75" customHeight="1">
      <c r="A3834" s="1">
        <v>4081.0</v>
      </c>
      <c r="B3834" s="3" t="s">
        <v>3717</v>
      </c>
      <c r="C3834" s="3" t="str">
        <f>IFERROR(__xludf.DUMMYFUNCTION("GOOGLETRANSLATE(B3834,""id"",""en"")"),"['difficult', 'yaa', 'min', 'screen', 'white', 'continuedssss',' open ',' apalikasi ',' uninstall ',' trs', 'install', 'canaaaa', ' unfortunate ',' class', 'Telkomsel', 'the application', 'troubles',' fix ',' min ',' as easy ',' tengkyuuu ']")</f>
        <v>['difficult', 'yaa', 'min', 'screen', 'white', 'continuedssss',' open ',' apalikasi ',' uninstall ',' trs', 'install', 'canaaaa', ' unfortunate ',' class', 'Telkomsel', 'the application', 'troubles',' fix ',' min ',' as easy ',' tengkyuuu ']</v>
      </c>
      <c r="D3834" s="3">
        <v>3.0</v>
      </c>
    </row>
    <row r="3835" ht="15.75" customHeight="1">
      <c r="A3835" s="1">
        <v>4082.0</v>
      </c>
      <c r="B3835" s="3" t="s">
        <v>3718</v>
      </c>
      <c r="C3835" s="3" t="str">
        <f>IFERROR(__xludf.DUMMYFUNCTION("GOOGLETRANSLATE(B3835,""id"",""en"")"),"['Samsung', 'Galaxy', 'access', 'application', 'screen', 'white', 'continuous', 'hope', 'repaired', 'thank you', ""]")</f>
        <v>['Samsung', 'Galaxy', 'access', 'application', 'screen', 'white', 'continuous', 'hope', 'repaired', 'thank you', "]</v>
      </c>
      <c r="D3835" s="3">
        <v>1.0</v>
      </c>
    </row>
    <row r="3836" ht="15.75" customHeight="1">
      <c r="A3836" s="1">
        <v>4083.0</v>
      </c>
      <c r="B3836" s="3" t="s">
        <v>3719</v>
      </c>
      <c r="C3836" s="3" t="str">
        <f>IFERROR(__xludf.DUMMYFUNCTION("GOOGLETRANSLATE(B3836,""id"",""en"")"),"['knapa', 'yaa', 'times',' enter ',' application ',' cma ',' screen ',' white ',' right ',' wait ',' until ',' setting ',' Tetep ',' can ',' enter ',' already ',' uninstall ',' Install ',' result ',' Please ',' Expert ', ""]")</f>
        <v>['knapa', 'yaa', 'times',' enter ',' application ',' cma ',' screen ',' white ',' right ',' wait ',' until ',' setting ',' Tetep ',' can ',' enter ',' already ',' uninstall ',' Install ',' result ',' Please ',' Expert ', "]</v>
      </c>
      <c r="D3836" s="3">
        <v>3.0</v>
      </c>
    </row>
    <row r="3837" ht="15.75" customHeight="1">
      <c r="A3837" s="1">
        <v>4084.0</v>
      </c>
      <c r="B3837" s="3" t="s">
        <v>3720</v>
      </c>
      <c r="C3837" s="3" t="str">
        <f>IFERROR(__xludf.DUMMYFUNCTION("GOOGLETRANSLATE(B3837,""id"",""en"")"),"['My APK', 'Open']")</f>
        <v>['My APK', 'Open']</v>
      </c>
      <c r="D3837" s="3">
        <v>1.0</v>
      </c>
    </row>
    <row r="3838" ht="15.75" customHeight="1">
      <c r="A3838" s="1">
        <v>4085.0</v>
      </c>
      <c r="B3838" s="3" t="s">
        <v>3721</v>
      </c>
      <c r="C3838" s="3" t="str">
        <f>IFERROR(__xludf.DUMMYFUNCTION("GOOGLETRANSLATE(B3838,""id"",""en"")"),"['Hallo', 'Operator', 'Telkomsel', 'KNPA', 'Application', 'Telkomsel', 'NGK', 'Opened', 'A month', 'NGK', 'The application', 'Open', ' Org ',' use ',' Application ',' Telkomsel ',' NGK ',' Open ',' NGK ',' Open ',' Application ',' Open ',' Application ','"&amp;" Embossed ',' Image ' , 'White', 'please', 'operator', 'Telkomsel', 'obstacles',' application ',' repaired ',' repaired ',' SNGT ',' MBTHKN ',' application ',' TRSBT ',' so many ',' trmksh ']")</f>
        <v>['Hallo', 'Operator', 'Telkomsel', 'KNPA', 'Application', 'Telkomsel', 'NGK', 'Opened', 'A month', 'NGK', 'The application', 'Open', ' Org ',' use ',' Application ',' Telkomsel ',' NGK ',' Open ',' NGK ',' Open ',' Application ',' Open ',' Application ',' Embossed ',' Image ' , 'White', 'please', 'operator', 'Telkomsel', 'obstacles',' application ',' repaired ',' repaired ',' SNGT ',' MBTHKN ',' application ',' TRSBT ',' so many ',' trmksh ']</v>
      </c>
      <c r="D3838" s="3">
        <v>4.0</v>
      </c>
    </row>
    <row r="3839" ht="15.75" customHeight="1">
      <c r="A3839" s="1">
        <v>4086.0</v>
      </c>
      <c r="B3839" s="3" t="s">
        <v>3722</v>
      </c>
      <c r="C3839" s="3" t="str">
        <f>IFERROR(__xludf.DUMMYFUNCTION("GOOGLETRANSLATE(B3839,""id"",""en"")"),"['update', 'apk', 'gabisa', 'open', 'right', 'apk', 'open', 'white', 'please', 'telkomsel', 'help', 'completed', ' ']")</f>
        <v>['update', 'apk', 'gabisa', 'open', 'right', 'apk', 'open', 'white', 'please', 'telkomsel', 'help', 'completed', ' ']</v>
      </c>
      <c r="D3839" s="3">
        <v>1.0</v>
      </c>
    </row>
    <row r="3840" ht="15.75" customHeight="1">
      <c r="A3840" s="1">
        <v>4087.0</v>
      </c>
      <c r="B3840" s="3" t="s">
        <v>3723</v>
      </c>
      <c r="C3840" s="3" t="str">
        <f>IFERROR(__xludf.DUMMYFUNCTION("GOOGLETRANSLATE(B3840,""id"",""en"")"),"['Toplah', 'tekomsel', 'multiptenizes', 'bonus', '']")</f>
        <v>['Toplah', 'tekomsel', 'multiptenizes', 'bonus', '']</v>
      </c>
      <c r="D3840" s="3">
        <v>5.0</v>
      </c>
    </row>
    <row r="3841" ht="15.75" customHeight="1">
      <c r="A3841" s="1">
        <v>4088.0</v>
      </c>
      <c r="B3841" s="3" t="s">
        <v>3034</v>
      </c>
      <c r="C3841" s="3" t="str">
        <f>IFERROR(__xludf.DUMMYFUNCTION("GOOGLETRANSLATE(B3841,""id"",""en"")"),"['Good', 'easy']")</f>
        <v>['Good', 'easy']</v>
      </c>
      <c r="D3841" s="3">
        <v>5.0</v>
      </c>
    </row>
    <row r="3842" ht="15.75" customHeight="1">
      <c r="A3842" s="1">
        <v>4089.0</v>
      </c>
      <c r="B3842" s="3" t="s">
        <v>3724</v>
      </c>
      <c r="C3842" s="3" t="str">
        <f>IFERROR(__xludf.DUMMYFUNCTION("GOOGLETRANSLATE(B3842,""id"",""en"")"),"['Please', 'Fix', 'Signal', 'Telkomsel', 'Region', 'Surabaya', 'North', 'People', 'Move', 'Signal', 'Faham']")</f>
        <v>['Please', 'Fix', 'Signal', 'Telkomsel', 'Region', 'Surabaya', 'North', 'People', 'Move', 'Signal', 'Faham']</v>
      </c>
      <c r="D3842" s="3">
        <v>1.0</v>
      </c>
    </row>
    <row r="3843" ht="15.75" customHeight="1">
      <c r="A3843" s="1">
        <v>4090.0</v>
      </c>
      <c r="B3843" s="3" t="s">
        <v>3725</v>
      </c>
      <c r="C3843" s="3" t="str">
        <f>IFERROR(__xludf.DUMMYFUNCTION("GOOGLETRANSLATE(B3843,""id"",""en"")"),"['network', 'slow', 'really', 'already', 'buy', 'package', 'maxstreaming', 'GB', 'Live', 'streaming', 'Disney', 'lamot', ' Keputy ']")</f>
        <v>['network', 'slow', 'really', 'already', 'buy', 'package', 'maxstreaming', 'GB', 'Live', 'streaming', 'Disney', 'lamot', ' Keputy ']</v>
      </c>
      <c r="D3843" s="3">
        <v>1.0</v>
      </c>
    </row>
    <row r="3844" ht="15.75" customHeight="1">
      <c r="A3844" s="1">
        <v>4091.0</v>
      </c>
      <c r="B3844" s="3" t="s">
        <v>3726</v>
      </c>
      <c r="C3844" s="3" t="str">
        <f>IFERROR(__xludf.DUMMYFUNCTION("GOOGLETRANSLATE(B3844,""id"",""en"")"),"['Network', 'Telkomsel', 'rotten', 'die', 'electricity', 'signal', 'direct', 'missing', 'kayak']")</f>
        <v>['Network', 'Telkomsel', 'rotten', 'die', 'electricity', 'signal', 'direct', 'missing', 'kayak']</v>
      </c>
      <c r="D3844" s="3">
        <v>1.0</v>
      </c>
    </row>
    <row r="3845" ht="15.75" customHeight="1">
      <c r="A3845" s="1">
        <v>4092.0</v>
      </c>
      <c r="B3845" s="3" t="s">
        <v>3727</v>
      </c>
      <c r="C3845" s="3" t="str">
        <f>IFERROR(__xludf.DUMMYFUNCTION("GOOGLETRANSLATE(B3845,""id"",""en"")"),"['disappointing', 'Telkomsel', 'expensive', 'he award', 'users',' Telkomsel ',' loyal ',' buset ',' pulses', 'Rp', 'price', 'package', ' Rp. ',' balance ',' purchase ',' silly ',' ']")</f>
        <v>['disappointing', 'Telkomsel', 'expensive', 'he award', 'users',' Telkomsel ',' loyal ',' buset ',' pulses', 'Rp', 'price', 'package', ' Rp. ',' balance ',' purchase ',' silly ',' ']</v>
      </c>
      <c r="D3845" s="3">
        <v>5.0</v>
      </c>
    </row>
    <row r="3846" ht="15.75" customHeight="1">
      <c r="A3846" s="1">
        <v>4093.0</v>
      </c>
      <c r="B3846" s="3" t="s">
        <v>881</v>
      </c>
      <c r="C3846" s="3" t="str">
        <f>IFERROR(__xludf.DUMMYFUNCTION("GOOGLETRANSLATE(B3846,""id"",""en"")"),"['Telkomsel', 'steady']")</f>
        <v>['Telkomsel', 'steady']</v>
      </c>
      <c r="D3846" s="3">
        <v>5.0</v>
      </c>
    </row>
    <row r="3847" ht="15.75" customHeight="1">
      <c r="A3847" s="1">
        <v>4094.0</v>
      </c>
      <c r="B3847" s="3" t="s">
        <v>1893</v>
      </c>
      <c r="C3847" s="3" t="str">
        <f>IFERROR(__xludf.DUMMYFUNCTION("GOOGLETRANSLATE(B3847,""id"",""en"")"),"['Update', 'Open']")</f>
        <v>['Update', 'Open']</v>
      </c>
      <c r="D3847" s="3">
        <v>1.0</v>
      </c>
    </row>
    <row r="3848" ht="15.75" customHeight="1">
      <c r="A3848" s="1">
        <v>4095.0</v>
      </c>
      <c r="B3848" s="3" t="s">
        <v>3728</v>
      </c>
      <c r="C3848" s="3" t="str">
        <f>IFERROR(__xludf.DUMMYFUNCTION("GOOGLETRANSLATE(B3848,""id"",""en"")"),"['Hello', 'developer', 'Sya', 'sgt', 'happy', 'krna', 'quota', 'lap', 'tiktok', 'unlimited', 'hopefully', ' LGI ',' Ktengan ',' Trima ',' Kasih ']")</f>
        <v>['Hello', 'developer', 'Sya', 'sgt', 'happy', 'krna', 'quota', 'lap', 'tiktok', 'unlimited', 'hopefully', ' LGI ',' Ktengan ',' Trima ',' Kasih ']</v>
      </c>
      <c r="D3848" s="3">
        <v>5.0</v>
      </c>
    </row>
    <row r="3849" ht="15.75" customHeight="1">
      <c r="A3849" s="1">
        <v>4096.0</v>
      </c>
      <c r="B3849" s="3" t="s">
        <v>3729</v>
      </c>
      <c r="C3849" s="3" t="str">
        <f>IFERROR(__xludf.DUMMYFUNCTION("GOOGLETRANSLATE(B3849,""id"",""en"")"),"['Steady', 'Cool', '']")</f>
        <v>['Steady', 'Cool', '']</v>
      </c>
      <c r="D3849" s="3">
        <v>5.0</v>
      </c>
    </row>
    <row r="3850" ht="15.75" customHeight="1">
      <c r="A3850" s="1">
        <v>4097.0</v>
      </c>
      <c r="B3850" s="3" t="s">
        <v>3730</v>
      </c>
      <c r="C3850" s="3" t="str">
        <f>IFERROR(__xludf.DUMMYFUNCTION("GOOGLETRANSLATE(B3850,""id"",""en"")"),"['Satisfied', 'Exchange', 'Point']")</f>
        <v>['Satisfied', 'Exchange', 'Point']</v>
      </c>
      <c r="D3850" s="3">
        <v>5.0</v>
      </c>
    </row>
    <row r="3851" ht="15.75" customHeight="1">
      <c r="A3851" s="1">
        <v>4098.0</v>
      </c>
      <c r="B3851" s="3" t="s">
        <v>3731</v>
      </c>
      <c r="C3851" s="3" t="str">
        <f>IFERROR(__xludf.DUMMYFUNCTION("GOOGLETRANSLATE(B3851,""id"",""en"")"),"['already', 'mhal', 'pket']")</f>
        <v>['already', 'mhal', 'pket']</v>
      </c>
      <c r="D3851" s="3">
        <v>1.0</v>
      </c>
    </row>
    <row r="3852" ht="15.75" customHeight="1">
      <c r="A3852" s="1">
        <v>4099.0</v>
      </c>
      <c r="B3852" s="3" t="s">
        <v>3732</v>
      </c>
      <c r="C3852" s="3" t="str">
        <f>IFERROR(__xludf.DUMMYFUNCTION("GOOGLETRANSLATE(B3852,""id"",""en"")"),"['', 'APK', 'What', 'Install', 'Disamsung', 'Ngebleng', 'Screen', 'White', 'Dihp', 'Hadeh', ""]")</f>
        <v>['', 'APK', 'What', 'Install', 'Disamsung', 'Ngebleng', 'Screen', 'White', 'Dihp', 'Hadeh', "]</v>
      </c>
      <c r="D3852" s="3">
        <v>1.0</v>
      </c>
    </row>
    <row r="3853" ht="15.75" customHeight="1">
      <c r="A3853" s="1">
        <v>4100.0</v>
      </c>
      <c r="B3853" s="3" t="s">
        <v>3733</v>
      </c>
      <c r="C3853" s="3" t="str">
        <f>IFERROR(__xludf.DUMMYFUNCTION("GOOGLETRANSLATE(B3853,""id"",""en"")"),"['YTH', 'Provider', 'Telkomsel', 'Please', 'Help', 'Login', 'Open', 'Application', 'Telkomsel', 'Card', 'Prepaid']")</f>
        <v>['YTH', 'Provider', 'Telkomsel', 'Please', 'Help', 'Login', 'Open', 'Application', 'Telkomsel', 'Card', 'Prepaid']</v>
      </c>
      <c r="D3853" s="3">
        <v>2.0</v>
      </c>
    </row>
    <row r="3854" ht="15.75" customHeight="1">
      <c r="A3854" s="1">
        <v>4101.0</v>
      </c>
      <c r="B3854" s="3" t="s">
        <v>3734</v>
      </c>
      <c r="C3854" s="3" t="str">
        <f>IFERROR(__xludf.DUMMYFUNCTION("GOOGLETRANSLATE(B3854,""id"",""en"")"),"['Pay', 'expensive', 'network', 'supports', 'progress', 'down', 'what']]")</f>
        <v>['Pay', 'expensive', 'network', 'supports', 'progress', 'down', 'what']]</v>
      </c>
      <c r="D3854" s="3">
        <v>1.0</v>
      </c>
    </row>
    <row r="3855" ht="15.75" customHeight="1">
      <c r="A3855" s="1">
        <v>4102.0</v>
      </c>
      <c r="B3855" s="3" t="s">
        <v>3735</v>
      </c>
      <c r="C3855" s="3" t="str">
        <f>IFERROR(__xludf.DUMMYFUNCTION("GOOGLETRANSLATE(B3855,""id"",""en"")"),"['price', 'data', 'expensive', 'network', 'cheap']")</f>
        <v>['price', 'data', 'expensive', 'network', 'cheap']</v>
      </c>
      <c r="D3855" s="3">
        <v>1.0</v>
      </c>
    </row>
    <row r="3856" ht="15.75" customHeight="1">
      <c r="A3856" s="1">
        <v>4103.0</v>
      </c>
      <c r="B3856" s="3" t="s">
        <v>1257</v>
      </c>
      <c r="C3856" s="3" t="str">
        <f>IFERROR(__xludf.DUMMYFUNCTION("GOOGLETRANSLATE(B3856,""id"",""en"")"),"['Opened']")</f>
        <v>['Opened']</v>
      </c>
      <c r="D3856" s="3">
        <v>1.0</v>
      </c>
    </row>
    <row r="3857" ht="15.75" customHeight="1">
      <c r="A3857" s="1">
        <v>4104.0</v>
      </c>
      <c r="B3857" s="3" t="s">
        <v>3736</v>
      </c>
      <c r="C3857" s="3" t="str">
        <f>IFERROR(__xludf.DUMMYFUNCTION("GOOGLETRANSLATE(B3857,""id"",""en"")"),"['Prizes', '']")</f>
        <v>['Prizes', '']</v>
      </c>
      <c r="D3857" s="3">
        <v>5.0</v>
      </c>
    </row>
    <row r="3858" ht="15.75" customHeight="1">
      <c r="A3858" s="1">
        <v>4105.0</v>
      </c>
      <c r="B3858" s="3" t="s">
        <v>3737</v>
      </c>
      <c r="C3858" s="3" t="str">
        <f>IFERROR(__xludf.DUMMYFUNCTION("GOOGLETRANSLATE(B3858,""id"",""en"")"),"['Sorry', 'update', 'version', 'APK', 'Open', 'version', 'Android', '']")</f>
        <v>['Sorry', 'update', 'version', 'APK', 'Open', 'version', 'Android', '']</v>
      </c>
      <c r="D3858" s="3">
        <v>2.0</v>
      </c>
    </row>
    <row r="3859" ht="15.75" customHeight="1">
      <c r="A3859" s="1">
        <v>4106.0</v>
      </c>
      <c r="B3859" s="3" t="s">
        <v>3738</v>
      </c>
      <c r="C3859" s="3" t="str">
        <f>IFERROR(__xludf.DUMMYFUNCTION("GOOGLETRANSLATE(B3859,""id"",""en"")"),"['APK', 'MyTelkomsel', 'Open', '']")</f>
        <v>['APK', 'MyTelkomsel', 'Open', '']</v>
      </c>
      <c r="D3859" s="3">
        <v>5.0</v>
      </c>
    </row>
    <row r="3860" ht="15.75" customHeight="1">
      <c r="A3860" s="1">
        <v>4107.0</v>
      </c>
      <c r="B3860" s="3" t="s">
        <v>3739</v>
      </c>
      <c r="C3860" s="3" t="str">
        <f>IFERROR(__xludf.DUMMYFUNCTION("GOOGLETRANSLATE(B3860,""id"",""en"")"),"['Network', 'times', 'LEG']")</f>
        <v>['Network', 'times', 'LEG']</v>
      </c>
      <c r="D3860" s="3">
        <v>3.0</v>
      </c>
    </row>
    <row r="3861" ht="15.75" customHeight="1">
      <c r="A3861" s="1">
        <v>4108.0</v>
      </c>
      <c r="B3861" s="3" t="s">
        <v>1694</v>
      </c>
      <c r="C3861" s="3" t="str">
        <f>IFERROR(__xludf.DUMMYFUNCTION("GOOGLETRANSLATE(B3861,""id"",""en"")"),"['bad connection']")</f>
        <v>['bad connection']</v>
      </c>
      <c r="D3861" s="3">
        <v>1.0</v>
      </c>
    </row>
    <row r="3862" ht="15.75" customHeight="1">
      <c r="A3862" s="1">
        <v>4109.0</v>
      </c>
      <c r="B3862" s="3" t="s">
        <v>3740</v>
      </c>
      <c r="C3862" s="3" t="str">
        <f>IFERROR(__xludf.DUMMYFUNCTION("GOOGLETRANSLATE(B3862,""id"",""en"")"),"['oprator', 'worst', '']")</f>
        <v>['oprator', 'worst', '']</v>
      </c>
      <c r="D3862" s="3">
        <v>1.0</v>
      </c>
    </row>
    <row r="3863" ht="15.75" customHeight="1">
      <c r="A3863" s="1">
        <v>4110.0</v>
      </c>
      <c r="B3863" s="3" t="s">
        <v>3741</v>
      </c>
      <c r="C3863" s="3" t="str">
        <f>IFERROR(__xludf.DUMMYFUNCTION("GOOGLETRANSLATE(B3863,""id"",""en"")"),"['Network', 'bad', 'price', 'package', 'expensive', 'Mending', 'AXIS', '']")</f>
        <v>['Network', 'bad', 'price', 'package', 'expensive', 'Mending', 'AXIS', '']</v>
      </c>
      <c r="D3863" s="3">
        <v>1.0</v>
      </c>
    </row>
    <row r="3864" ht="15.75" customHeight="1">
      <c r="A3864" s="1">
        <v>4111.0</v>
      </c>
      <c r="B3864" s="3" t="s">
        <v>3742</v>
      </c>
      <c r="C3864" s="3" t="str">
        <f>IFERROR(__xludf.DUMMYFUNCTION("GOOGLETRANSLATE(B3864,""id"",""en"")"),"['Application', 'Error', 'Open', 'Blank', 'White', ""]")</f>
        <v>['Application', 'Error', 'Open', 'Blank', 'White', "]</v>
      </c>
      <c r="D3864" s="3">
        <v>1.0</v>
      </c>
    </row>
    <row r="3865" ht="15.75" customHeight="1">
      <c r="A3865" s="1">
        <v>4112.0</v>
      </c>
      <c r="B3865" s="3" t="s">
        <v>3743</v>
      </c>
      <c r="C3865" s="3" t="str">
        <f>IFERROR(__xludf.DUMMYFUNCTION("GOOGLETRANSLATE(B3865,""id"",""en"")"),"['really', 'open', 'the application']")</f>
        <v>['really', 'open', 'the application']</v>
      </c>
      <c r="D3865" s="3">
        <v>1.0</v>
      </c>
    </row>
    <row r="3866" ht="15.75" customHeight="1">
      <c r="A3866" s="1">
        <v>4113.0</v>
      </c>
      <c r="B3866" s="3" t="s">
        <v>3744</v>
      </c>
      <c r="C3866" s="3" t="str">
        <f>IFERROR(__xludf.DUMMYFUNCTION("GOOGLETRANSLATE(B3866,""id"",""en"")"),"['kemvanphkan', 'application', 'service', 'advanced', 'Indonesian my', '']")</f>
        <v>['kemvanphkan', 'application', 'service', 'advanced', 'Indonesian my', '']</v>
      </c>
      <c r="D3866" s="3">
        <v>4.0</v>
      </c>
    </row>
    <row r="3867" ht="15.75" customHeight="1">
      <c r="A3867" s="1">
        <v>4115.0</v>
      </c>
      <c r="B3867" s="3" t="s">
        <v>3745</v>
      </c>
      <c r="C3867" s="3" t="str">
        <f>IFERROR(__xludf.DUMMYFUNCTION("GOOGLETRANSLATE(B3867,""id"",""en"")"),"['Kutoa', 'Abis',' wasteful ',' KONLLL ',' Telkomsel ',' sokk ',' signal ',' ugly ',' data ',' abis', 'pulse', 'waste', ' Unag ',' expensive ',' haram ',' good ',' like ',' free ',' data ',' pulses', 'please']")</f>
        <v>['Kutoa', 'Abis',' wasteful ',' KONLLL ',' Telkomsel ',' sokk ',' signal ',' ugly ',' data ',' abis', 'pulse', 'waste', ' Unag ',' expensive ',' haram ',' good ',' like ',' free ',' data ',' pulses', 'please']</v>
      </c>
      <c r="D3867" s="3">
        <v>1.0</v>
      </c>
    </row>
    <row r="3868" ht="15.75" customHeight="1">
      <c r="A3868" s="1">
        <v>4116.0</v>
      </c>
      <c r="B3868" s="3" t="s">
        <v>3746</v>
      </c>
      <c r="C3868" s="3" t="str">
        <f>IFERROR(__xludf.DUMMYFUNCTION("GOOGLETRANSLATE(B3868,""id"",""en"")"),"['Suitable', 'Bet', '']")</f>
        <v>['Suitable', 'Bet', '']</v>
      </c>
      <c r="D3868" s="3">
        <v>5.0</v>
      </c>
    </row>
    <row r="3869" ht="15.75" customHeight="1">
      <c r="A3869" s="1">
        <v>4117.0</v>
      </c>
      <c r="B3869" s="3" t="s">
        <v>3747</v>
      </c>
      <c r="C3869" s="3" t="str">
        <f>IFERROR(__xludf.DUMMYFUNCTION("GOOGLETRANSLATE(B3869,""id"",""en"")"),"['application', 'slow', 'cheap', 'festive']")</f>
        <v>['application', 'slow', 'cheap', 'festive']</v>
      </c>
      <c r="D3869" s="3">
        <v>5.0</v>
      </c>
    </row>
    <row r="3870" ht="15.75" customHeight="1">
      <c r="A3870" s="1">
        <v>4118.0</v>
      </c>
      <c r="B3870" s="3" t="s">
        <v>3748</v>
      </c>
      <c r="C3870" s="3" t="str">
        <f>IFERROR(__xludf.DUMMYFUNCTION("GOOGLETRANSLATE(B3870,""id"",""en"")"),"['ugly', 'connection']")</f>
        <v>['ugly', 'connection']</v>
      </c>
      <c r="D3870" s="3">
        <v>1.0</v>
      </c>
    </row>
    <row r="3871" ht="15.75" customHeight="1">
      <c r="A3871" s="1">
        <v>4119.0</v>
      </c>
      <c r="B3871" s="3" t="s">
        <v>3749</v>
      </c>
      <c r="C3871" s="3" t="str">
        <f>IFERROR(__xludf.DUMMYFUNCTION("GOOGLETRANSLATE(B3871,""id"",""en"")"),"['hope', 'promo', 'interesting']")</f>
        <v>['hope', 'promo', 'interesting']</v>
      </c>
      <c r="D3871" s="3">
        <v>5.0</v>
      </c>
    </row>
    <row r="3872" ht="15.75" customHeight="1">
      <c r="A3872" s="1">
        <v>4120.0</v>
      </c>
      <c r="B3872" s="3" t="s">
        <v>3750</v>
      </c>
      <c r="C3872" s="3" t="str">
        <f>IFERROR(__xludf.DUMMYFUNCTION("GOOGLETRANSLATE(B3872,""id"",""en"")"),"['No', 'Telkomsel', 'Send', 'That's',' Lag ',' Look ',' See ',' Condition ',' then ',' APK ',' No ',' Pulak ',' Tsel ',' Tsel ',' expensive ',' Doang ',' service ',' Results', 'Switch', 'Povider', 'Lho', 'service', 'Tsel']")</f>
        <v>['No', 'Telkomsel', 'Send', 'That's',' Lag ',' Look ',' See ',' Condition ',' then ',' APK ',' No ',' Pulak ',' Tsel ',' Tsel ',' expensive ',' Doang ',' service ',' Results', 'Switch', 'Povider', 'Lho', 'service', 'Tsel']</v>
      </c>
      <c r="D3872" s="3">
        <v>1.0</v>
      </c>
    </row>
    <row r="3873" ht="15.75" customHeight="1">
      <c r="A3873" s="1">
        <v>4121.0</v>
      </c>
      <c r="B3873" s="3" t="s">
        <v>3751</v>
      </c>
      <c r="C3873" s="3" t="str">
        <f>IFERROR(__xludf.DUMMYFUNCTION("GOOGLETRANSLATE(B3873,""id"",""en"")"),"['Telkomsel', 'quota', 'different', 'quota', 'GB', 'unlimited', 'youtube', 'buy', 'quota', 'GB', 'package', 'unlimited', ' I made ',' watch ',' YouTube ',' quota ',' GB ',' ilang ',' Abis', 'Download', 'Dego', 'Telkomsel']")</f>
        <v>['Telkomsel', 'quota', 'different', 'quota', 'GB', 'unlimited', 'youtube', 'buy', 'quota', 'GB', 'package', 'unlimited', ' I made ',' watch ',' YouTube ',' quota ',' GB ',' ilang ',' Abis', 'Download', 'Dego', 'Telkomsel']</v>
      </c>
      <c r="D3873" s="3">
        <v>1.0</v>
      </c>
    </row>
    <row r="3874" ht="15.75" customHeight="1">
      <c r="A3874" s="1">
        <v>4122.0</v>
      </c>
      <c r="B3874" s="3" t="s">
        <v>284</v>
      </c>
      <c r="C3874" s="3" t="str">
        <f>IFERROR(__xludf.DUMMYFUNCTION("GOOGLETRANSLATE(B3874,""id"",""en"")"),"['', 'help']")</f>
        <v>['', 'help']</v>
      </c>
      <c r="D3874" s="3">
        <v>5.0</v>
      </c>
    </row>
    <row r="3875" ht="15.75" customHeight="1">
      <c r="A3875" s="1">
        <v>4123.0</v>
      </c>
      <c r="B3875" s="3" t="s">
        <v>3752</v>
      </c>
      <c r="C3875" s="3" t="str">
        <f>IFERROR(__xludf.DUMMYFUNCTION("GOOGLETRANSLATE(B3875,""id"",""en"")"),"['Telkomsel', 'price', 'package', 'soar', 'ngidimin', 'signal', 'pertamax', 'min', 'quality', 'signal', 'lose', 'solar', ' Min ',' sell ',' expensive ',' what ',' min ',' ']")</f>
        <v>['Telkomsel', 'price', 'package', 'soar', 'ngidimin', 'signal', 'pertamax', 'min', 'quality', 'signal', 'lose', 'solar', ' Min ',' sell ',' expensive ',' what ',' min ',' ']</v>
      </c>
      <c r="D3875" s="3">
        <v>1.0</v>
      </c>
    </row>
    <row r="3876" ht="15.75" customHeight="1">
      <c r="A3876" s="1">
        <v>4124.0</v>
      </c>
      <c r="B3876" s="3" t="s">
        <v>3753</v>
      </c>
      <c r="C3876" s="3" t="str">
        <f>IFERROR(__xludf.DUMMYFUNCTION("GOOGLETRANSLATE(B3876,""id"",""en"")"),"['Package', 'combo', 'expensive', '']")</f>
        <v>['Package', 'combo', 'expensive', '']</v>
      </c>
      <c r="D3876" s="3">
        <v>1.0</v>
      </c>
    </row>
    <row r="3877" ht="15.75" customHeight="1">
      <c r="A3877" s="1">
        <v>4125.0</v>
      </c>
      <c r="B3877" s="3" t="s">
        <v>1754</v>
      </c>
      <c r="C3877" s="3" t="str">
        <f>IFERROR(__xludf.DUMMYFUNCTION("GOOGLETRANSLATE(B3877,""id"",""en"")"),"['', 'open']")</f>
        <v>['', 'open']</v>
      </c>
      <c r="D3877" s="3">
        <v>1.0</v>
      </c>
    </row>
    <row r="3878" ht="15.75" customHeight="1">
      <c r="A3878" s="1">
        <v>4126.0</v>
      </c>
      <c r="B3878" s="3" t="s">
        <v>3754</v>
      </c>
      <c r="C3878" s="3" t="str">
        <f>IFERROR(__xludf.DUMMYFUNCTION("GOOGLETRANSLATE(B3878,""id"",""en"")"),"['Good', 'Useful', 'Price', 'Cheap', '']")</f>
        <v>['Good', 'Useful', 'Price', 'Cheap', '']</v>
      </c>
      <c r="D3878" s="3">
        <v>5.0</v>
      </c>
    </row>
    <row r="3879" ht="15.75" customHeight="1">
      <c r="A3879" s="1">
        <v>4127.0</v>
      </c>
      <c r="B3879" s="3" t="s">
        <v>3755</v>
      </c>
      <c r="C3879" s="3" t="str">
        <f>IFERROR(__xludf.DUMMYFUNCTION("GOOGLETRANSLATE(B3879,""id"",""en"")"),"['already', 'good', 'network', 'hehehe']")</f>
        <v>['already', 'good', 'network', 'hehehe']</v>
      </c>
      <c r="D3879" s="3">
        <v>5.0</v>
      </c>
    </row>
    <row r="3880" ht="15.75" customHeight="1">
      <c r="A3880" s="1">
        <v>4128.0</v>
      </c>
      <c r="B3880" s="3" t="s">
        <v>3756</v>
      </c>
      <c r="C3880" s="3" t="str">
        <f>IFERROR(__xludf.DUMMYFUNCTION("GOOGLETRANSLATE(B3880,""id"",""en"")"),"['Application', 'Telkomsel', 'Open', 'smooth', 'TPI', 'KNPA', 'skarang', 'open', '']")</f>
        <v>['Application', 'Telkomsel', 'Open', 'smooth', 'TPI', 'KNPA', 'skarang', 'open', '']</v>
      </c>
      <c r="D3880" s="3">
        <v>5.0</v>
      </c>
    </row>
    <row r="3881" ht="15.75" customHeight="1">
      <c r="A3881" s="1">
        <v>4130.0</v>
      </c>
      <c r="B3881" s="3" t="s">
        <v>3757</v>
      </c>
      <c r="C3881" s="3" t="str">
        <f>IFERROR(__xludf.DUMMYFUNCTION("GOOGLETRANSLATE(B3881,""id"",""en"")"),"['KNPA', 'open', 'Telkomsel', 'obstacles', ""]")</f>
        <v>['KNPA', 'open', 'Telkomsel', 'obstacles', "]</v>
      </c>
      <c r="D3881" s="3">
        <v>1.0</v>
      </c>
    </row>
    <row r="3882" ht="15.75" customHeight="1">
      <c r="A3882" s="1">
        <v>4131.0</v>
      </c>
      <c r="B3882" s="3" t="s">
        <v>3758</v>
      </c>
      <c r="C3882" s="3" t="str">
        <f>IFERROR(__xludf.DUMMYFUNCTION("GOOGLETRANSLATE(B3882,""id"",""en"")"),"['Out', 'Rain', 'Direct', 'ugly', 'really', 'signal', 'play', 'game', 'ping', 'down', 'ngeeleg']")</f>
        <v>['Out', 'Rain', 'Direct', 'ugly', 'really', 'signal', 'play', 'game', 'ping', 'down', 'ngeeleg']</v>
      </c>
      <c r="D3882" s="3">
        <v>1.0</v>
      </c>
    </row>
    <row r="3883" ht="15.75" customHeight="1">
      <c r="A3883" s="1">
        <v>4132.0</v>
      </c>
      <c r="B3883" s="3" t="s">
        <v>3759</v>
      </c>
      <c r="C3883" s="3" t="str">
        <f>IFERROR(__xludf.DUMMYFUNCTION("GOOGLETRANSLATE(B3883,""id"",""en"")"),"['Try', 'hopefully', 'match']")</f>
        <v>['Try', 'hopefully', 'match']</v>
      </c>
      <c r="D3883" s="3">
        <v>4.0</v>
      </c>
    </row>
    <row r="3884" ht="15.75" customHeight="1">
      <c r="A3884" s="1">
        <v>4133.0</v>
      </c>
      <c r="B3884" s="3" t="s">
        <v>3760</v>
      </c>
      <c r="C3884" s="3" t="str">
        <f>IFERROR(__xludf.DUMMYFUNCTION("GOOGLETRANSLATE(B3884,""id"",""en"")"),"['Want', 'Signal', 'Ngak', 'Slow', 'Down', 'Ntah', 'Connect', 'Severe']")</f>
        <v>['Want', 'Signal', 'Ngak', 'Slow', 'Down', 'Ntah', 'Connect', 'Severe']</v>
      </c>
      <c r="D3884" s="3">
        <v>1.0</v>
      </c>
    </row>
    <row r="3885" ht="15.75" customHeight="1">
      <c r="A3885" s="1">
        <v>4134.0</v>
      </c>
      <c r="B3885" s="3" t="s">
        <v>3761</v>
      </c>
      <c r="C3885" s="3" t="str">
        <f>IFERROR(__xludf.DUMMYFUNCTION("GOOGLETRANSLATE(B3885,""id"",""en"")"),"['Woyyy', 'Telkosel', 'Please', 'Network', 'Benerin', 'Jngan', 'Peket', 'Doang', 'Expensive', 'Anjx', ""]")</f>
        <v>['Woyyy', 'Telkosel', 'Please', 'Network', 'Benerin', 'Jngan', 'Peket', 'Doang', 'Expensive', 'Anjx', "]</v>
      </c>
      <c r="D3885" s="3">
        <v>1.0</v>
      </c>
    </row>
    <row r="3886" ht="15.75" customHeight="1">
      <c r="A3886" s="1">
        <v>4135.0</v>
      </c>
      <c r="B3886" s="3" t="s">
        <v>3762</v>
      </c>
      <c r="C3886" s="3" t="str">
        <f>IFERROR(__xludf.DUMMYFUNCTION("GOOGLETRANSLATE(B3886,""id"",""en"")"),"['makes it easier', 'transaction', 'shopping', 'package']")</f>
        <v>['makes it easier', 'transaction', 'shopping', 'package']</v>
      </c>
      <c r="D3886" s="3">
        <v>5.0</v>
      </c>
    </row>
    <row r="3887" ht="15.75" customHeight="1">
      <c r="A3887" s="1">
        <v>4136.0</v>
      </c>
      <c r="B3887" s="3" t="s">
        <v>3763</v>
      </c>
      <c r="C3887" s="3" t="str">
        <f>IFERROR(__xludf.DUMMYFUNCTION("GOOGLETRANSLATE(B3887,""id"",""en"")"),"['Lmyn', 'help']")</f>
        <v>['Lmyn', 'help']</v>
      </c>
      <c r="D3887" s="3">
        <v>3.0</v>
      </c>
    </row>
    <row r="3888" ht="15.75" customHeight="1">
      <c r="A3888" s="1">
        <v>4137.0</v>
      </c>
      <c r="B3888" s="3" t="s">
        <v>3764</v>
      </c>
      <c r="C3888" s="3" t="str">
        <f>IFERROR(__xludf.DUMMYFUNCTION("GOOGLETRANSLATE(B3888,""id"",""en"")"),"['quota', 'internet', 'pulse', 'separated']")</f>
        <v>['quota', 'internet', 'pulse', 'separated']</v>
      </c>
      <c r="D3888" s="3">
        <v>1.0</v>
      </c>
    </row>
    <row r="3889" ht="15.75" customHeight="1">
      <c r="A3889" s="1">
        <v>4138.0</v>
      </c>
      <c r="B3889" s="3" t="s">
        <v>3765</v>
      </c>
      <c r="C3889" s="3" t="str">
        <f>IFERROR(__xludf.DUMMYFUNCTION("GOOGLETRANSLATE(B3889,""id"",""en"")"),"['', 'Dun', 'blank', 'white', 'tok']")</f>
        <v>['', 'Dun', 'blank', 'white', 'tok']</v>
      </c>
      <c r="D3889" s="3">
        <v>1.0</v>
      </c>
    </row>
    <row r="3890" ht="15.75" customHeight="1">
      <c r="A3890" s="1">
        <v>4139.0</v>
      </c>
      <c r="B3890" s="3" t="s">
        <v>471</v>
      </c>
      <c r="C3890" s="3" t="str">
        <f>IFERROR(__xludf.DUMMYFUNCTION("GOOGLETRANSLATE(B3890,""id"",""en"")"),"['']")</f>
        <v>['']</v>
      </c>
      <c r="D3890" s="3">
        <v>2.0</v>
      </c>
    </row>
    <row r="3891" ht="15.75" customHeight="1">
      <c r="A3891" s="1">
        <v>4140.0</v>
      </c>
      <c r="B3891" s="3" t="s">
        <v>3766</v>
      </c>
      <c r="C3891" s="3" t="str">
        <f>IFERROR(__xludf.DUMMYFUNCTION("GOOGLETRANSLATE(B3891,""id"",""en"")"),"['Lally', 'promo']")</f>
        <v>['Lally', 'promo']</v>
      </c>
      <c r="D3891" s="3">
        <v>5.0</v>
      </c>
    </row>
    <row r="3892" ht="15.75" customHeight="1">
      <c r="A3892" s="1">
        <v>4141.0</v>
      </c>
      <c r="B3892" s="3" t="s">
        <v>3767</v>
      </c>
      <c r="C3892" s="3" t="str">
        <f>IFERROR(__xludf.DUMMYFUNCTION("GOOGLETRANSLATE(B3892,""id"",""en"")"),"['FIRE', 'Blank', 'White', 'Already', 'Delete', 'Cache', 'Forced', 'Close', 'Install', 'reset']")</f>
        <v>['FIRE', 'Blank', 'White', 'Already', 'Delete', 'Cache', 'Forced', 'Close', 'Install', 'reset']</v>
      </c>
      <c r="D3892" s="3">
        <v>1.0</v>
      </c>
    </row>
    <row r="3893" ht="15.75" customHeight="1">
      <c r="A3893" s="1">
        <v>4142.0</v>
      </c>
      <c r="B3893" s="3" t="s">
        <v>3768</v>
      </c>
      <c r="C3893" s="3" t="str">
        <f>IFERROR(__xludf.DUMMYFUNCTION("GOOGLETRANSLATE(B3893,""id"",""en"")"),"['gave', 'star', 'network', 'stable', 'ngelag', 'right', 'play', 'game', 'as a result', 'lose']")</f>
        <v>['gave', 'star', 'network', 'stable', 'ngelag', 'right', 'play', 'game', 'as a result', 'lose']</v>
      </c>
      <c r="D3893" s="3">
        <v>1.0</v>
      </c>
    </row>
    <row r="3894" ht="15.75" customHeight="1">
      <c r="A3894" s="1">
        <v>4143.0</v>
      </c>
      <c r="B3894" s="3" t="s">
        <v>3769</v>
      </c>
      <c r="C3894" s="3" t="str">
        <f>IFERROR(__xludf.DUMMYFUNCTION("GOOGLETRANSLATE(B3894,""id"",""en"")"),"['signal', 'bad', 'signal', 'full', 'ngeta', 'in']")</f>
        <v>['signal', 'bad', 'signal', 'full', 'ngeta', 'in']</v>
      </c>
      <c r="D3894" s="3">
        <v>1.0</v>
      </c>
    </row>
    <row r="3895" ht="15.75" customHeight="1">
      <c r="A3895" s="1">
        <v>4144.0</v>
      </c>
      <c r="B3895" s="3" t="s">
        <v>3770</v>
      </c>
      <c r="C3895" s="3" t="str">
        <f>IFERROR(__xludf.DUMMYFUNCTION("GOOGLETRANSLATE(B3895,""id"",""en"")"),"['Love', 'Bintang', 'Full', 'Package', 'Orbit', 'Asik', 'Telkomsel', ""]")</f>
        <v>['Love', 'Bintang', 'Full', 'Package', 'Orbit', 'Asik', 'Telkomsel', "]</v>
      </c>
      <c r="D3895" s="3">
        <v>5.0</v>
      </c>
    </row>
    <row r="3896" ht="15.75" customHeight="1">
      <c r="A3896" s="1">
        <v>4145.0</v>
      </c>
      <c r="B3896" s="3" t="s">
        <v>3771</v>
      </c>
      <c r="C3896" s="3" t="str">
        <f>IFERROR(__xludf.DUMMYFUNCTION("GOOGLETRANSLATE(B3896,""id"",""en"")"),"['Out', 'updated', 'no', 'open']")</f>
        <v>['Out', 'updated', 'no', 'open']</v>
      </c>
      <c r="D3896" s="3">
        <v>1.0</v>
      </c>
    </row>
    <row r="3897" ht="15.75" customHeight="1">
      <c r="A3897" s="1">
        <v>4146.0</v>
      </c>
      <c r="B3897" s="3" t="s">
        <v>3772</v>
      </c>
      <c r="C3897" s="3" t="str">
        <f>IFERROR(__xludf.DUMMYFUNCTION("GOOGLETRANSLATE(B3897,""id"",""en"")"),"['Package', 'expensive', 'network', 'cat']")</f>
        <v>['Package', 'expensive', 'network', 'cat']</v>
      </c>
      <c r="D3897" s="3">
        <v>1.0</v>
      </c>
    </row>
    <row r="3898" ht="15.75" customHeight="1">
      <c r="A3898" s="1">
        <v>4147.0</v>
      </c>
      <c r="B3898" s="3" t="s">
        <v>3773</v>
      </c>
      <c r="C3898" s="3" t="str">
        <f>IFERROR(__xludf.DUMMYFUNCTION("GOOGLETRANSLATE(B3898,""id"",""en"")"),"['Service', 'bad', 'stay', 'diarea', 'tower', 'signal', 'weak', 'buy', 'package', 'combo', 'weak', 'signal', ' ']")</f>
        <v>['Service', 'bad', 'stay', 'diarea', 'tower', 'signal', 'weak', 'buy', 'package', 'combo', 'weak', 'signal', ' ']</v>
      </c>
      <c r="D3898" s="3">
        <v>1.0</v>
      </c>
    </row>
    <row r="3899" ht="15.75" customHeight="1">
      <c r="A3899" s="1">
        <v>4148.0</v>
      </c>
      <c r="B3899" s="3" t="s">
        <v>3774</v>
      </c>
      <c r="C3899" s="3" t="str">
        <f>IFERROR(__xludf.DUMMYFUNCTION("GOOGLETRANSLATE(B3899,""id"",""en"")"),"['Please', 'Telkomsel', 'fix', 'network', 'package', 'internet', 'quota', 'unlimited', 'used', 'play', 'game', 'the rest', ' Normal ',' Thank you ', ""]")</f>
        <v>['Please', 'Telkomsel', 'fix', 'network', 'package', 'internet', 'quota', 'unlimited', 'used', 'play', 'game', 'the rest', ' Normal ',' Thank you ', "]</v>
      </c>
      <c r="D3899" s="3">
        <v>1.0</v>
      </c>
    </row>
    <row r="3900" ht="15.75" customHeight="1">
      <c r="A3900" s="1">
        <v>4149.0</v>
      </c>
      <c r="B3900" s="3" t="s">
        <v>3775</v>
      </c>
      <c r="C3900" s="3" t="str">
        <f>IFERROR(__xludf.DUMMYFUNCTION("GOOGLETRANSLATE(B3900,""id"",""en"")"),"['ugly', 'bonus']")</f>
        <v>['ugly', 'bonus']</v>
      </c>
      <c r="D3900" s="3">
        <v>1.0</v>
      </c>
    </row>
    <row r="3901" ht="15.75" customHeight="1">
      <c r="A3901" s="1">
        <v>4150.0</v>
      </c>
      <c r="B3901" s="3" t="s">
        <v>3776</v>
      </c>
      <c r="C3901" s="3" t="str">
        <f>IFERROR(__xludf.DUMMYFUNCTION("GOOGLETRANSLATE(B3901,""id"",""en"")"),"['Makai', 'Telkomsel', 'already', 'thieth', 'Perna', 'Interested', 'Card', 'Telkomsel', 'emang', 'Okey', ""]")</f>
        <v>['Makai', 'Telkomsel', 'already', 'thieth', 'Perna', 'Interested', 'Card', 'Telkomsel', 'emang', 'Okey', "]</v>
      </c>
      <c r="D3901" s="3">
        <v>5.0</v>
      </c>
    </row>
    <row r="3902" ht="15.75" customHeight="1">
      <c r="A3902" s="1">
        <v>4151.0</v>
      </c>
      <c r="B3902" s="3" t="s">
        <v>3777</v>
      </c>
      <c r="C3902" s="3" t="str">
        <f>IFERROR(__xludf.DUMMYFUNCTION("GOOGLETRANSLATE(B3902,""id"",""en"")"),"['app', 'Telkomsel', 'star', 'update', 'opened', 'end', 'application', 'useful', ""]")</f>
        <v>['app', 'Telkomsel', 'star', 'update', 'opened', 'end', 'application', 'useful', "]</v>
      </c>
      <c r="D3902" s="3">
        <v>3.0</v>
      </c>
    </row>
    <row r="3903" ht="15.75" customHeight="1">
      <c r="A3903" s="1">
        <v>4152.0</v>
      </c>
      <c r="B3903" s="3" t="s">
        <v>3778</v>
      </c>
      <c r="C3903" s="3" t="str">
        <f>IFERROR(__xludf.DUMMYFUNCTION("GOOGLETRANSLATE(B3903,""id"",""en"")"),"['Dear', 'Telkomsel', 'Network', 'lag', 'Severe', 'open', 'game', 'sosmed', 'Please', 'fix', 'FUP', 'Delete', ' ugly ',' network ',' slow ',' really ',' please ', ""]")</f>
        <v>['Dear', 'Telkomsel', 'Network', 'lag', 'Severe', 'open', 'game', 'sosmed', 'Please', 'fix', 'FUP', 'Delete', ' ugly ',' network ',' slow ',' really ',' please ', "]</v>
      </c>
      <c r="D3903" s="3">
        <v>1.0</v>
      </c>
    </row>
    <row r="3904" ht="15.75" customHeight="1">
      <c r="A3904" s="1">
        <v>4153.0</v>
      </c>
      <c r="B3904" s="3" t="s">
        <v>3779</v>
      </c>
      <c r="C3904" s="3" t="str">
        <f>IFERROR(__xludf.DUMMYFUNCTION("GOOGLETRANSLATE(B3904,""id"",""en"")"),"['Price', 'Package', 'Down', '']")</f>
        <v>['Price', 'Package', 'Down', '']</v>
      </c>
      <c r="D3904" s="3">
        <v>5.0</v>
      </c>
    </row>
    <row r="3905" ht="15.75" customHeight="1">
      <c r="A3905" s="1">
        <v>4154.0</v>
      </c>
      <c r="B3905" s="3" t="s">
        <v>3780</v>
      </c>
      <c r="C3905" s="3" t="str">
        <f>IFERROR(__xludf.DUMMYFUNCTION("GOOGLETRANSLATE(B3905,""id"",""en"")"),"['APK', 'opened', '']")</f>
        <v>['APK', 'opened', '']</v>
      </c>
      <c r="D3905" s="3">
        <v>1.0</v>
      </c>
    </row>
    <row r="3906" ht="15.75" customHeight="1">
      <c r="A3906" s="1">
        <v>4155.0</v>
      </c>
      <c r="B3906" s="3" t="s">
        <v>3781</v>
      </c>
      <c r="C3906" s="3" t="str">
        <f>IFERROR(__xludf.DUMMYFUNCTION("GOOGLETRANSLATE(B3906,""id"",""en"")"),"['hopefully', 'Copat', 'Mampus', 'dog']")</f>
        <v>['hopefully', 'Copat', 'Mampus', 'dog']</v>
      </c>
      <c r="D3906" s="3">
        <v>1.0</v>
      </c>
    </row>
    <row r="3907" ht="15.75" customHeight="1">
      <c r="A3907" s="1">
        <v>4156.0</v>
      </c>
      <c r="B3907" s="3" t="s">
        <v>3782</v>
      </c>
      <c r="C3907" s="3" t="str">
        <f>IFERROR(__xludf.DUMMYFUNCTION("GOOGLETRANSLATE(B3907,""id"",""en"")"),"['ugly', 'network', 'Telkomsel', 'already', 'expensive', 'slow', ""]")</f>
        <v>['ugly', 'network', 'Telkomsel', 'already', 'expensive', 'slow', "]</v>
      </c>
      <c r="D3907" s="3">
        <v>1.0</v>
      </c>
    </row>
    <row r="3908" ht="15.75" customHeight="1">
      <c r="A3908" s="1">
        <v>4157.0</v>
      </c>
      <c r="B3908" s="3" t="s">
        <v>3783</v>
      </c>
      <c r="C3908" s="3" t="str">
        <f>IFERROR(__xludf.DUMMYFUNCTION("GOOGLETRANSLATE(B3908,""id"",""en"")"),"['signal', 'Telkomsel', 'no', 'play', 'game', 'sosmed', 'difficult', 'really', 'please', 'lined']")</f>
        <v>['signal', 'Telkomsel', 'no', 'play', 'game', 'sosmed', 'difficult', 'really', 'please', 'lined']</v>
      </c>
      <c r="D3908" s="3">
        <v>1.0</v>
      </c>
    </row>
    <row r="3909" ht="15.75" customHeight="1">
      <c r="A3909" s="1">
        <v>4158.0</v>
      </c>
      <c r="B3909" s="3" t="s">
        <v>3784</v>
      </c>
      <c r="C3909" s="3" t="str">
        <f>IFERROR(__xludf.DUMMYFUNCTION("GOOGLETRANSLATE(B3909,""id"",""en"")"),"['Paketan', 'expensive', 'signal', 'emotion', 'game', 'weve', 'signal', 'base', 'package', 'expensive', 'classy', 'better', ' Pakek ',' pole ',' Telkomsel ',' Poke ',' Telkomsel ',' Poke ',' Poke ',' ']")</f>
        <v>['Paketan', 'expensive', 'signal', 'emotion', 'game', 'weve', 'signal', 'base', 'package', 'expensive', 'classy', 'better', ' Pakek ',' pole ',' Telkomsel ',' Poke ',' Telkomsel ',' Poke ',' Poke ',' ']</v>
      </c>
      <c r="D3909" s="3">
        <v>1.0</v>
      </c>
    </row>
    <row r="3910" ht="15.75" customHeight="1">
      <c r="A3910" s="1">
        <v>4159.0</v>
      </c>
      <c r="B3910" s="3" t="s">
        <v>3785</v>
      </c>
      <c r="C3910" s="3" t="str">
        <f>IFERROR(__xludf.DUMMYFUNCTION("GOOGLETRANSLATE(B3910,""id"",""en"")"),"['Steady', 'Telkomsel', 'Rain', 'Drizzle', 'little', 'signal', 'direct', 'down', 'steady', ""]")</f>
        <v>['Steady', 'Telkomsel', 'Rain', 'Drizzle', 'little', 'signal', 'direct', 'down', 'steady', "]</v>
      </c>
      <c r="D3910" s="3">
        <v>1.0</v>
      </c>
    </row>
    <row r="3911" ht="15.75" customHeight="1">
      <c r="A3911" s="1">
        <v>4160.0</v>
      </c>
      <c r="B3911" s="3" t="s">
        <v>3786</v>
      </c>
      <c r="C3911" s="3" t="str">
        <f>IFERROR(__xludf.DUMMYFUNCTION("GOOGLETRANSLATE(B3911,""id"",""en"")"),"['times',' buy ',' package ',' internet ',' sorry ',' disorder ',' system ',' check ',' connection ',' repeat ',' transaction ',' minute ',' right ',' reset ',' results', 'tetep', '']")</f>
        <v>['times',' buy ',' package ',' internet ',' sorry ',' disorder ',' system ',' check ',' connection ',' repeat ',' transaction ',' minute ',' right ',' reset ',' results', 'tetep', '']</v>
      </c>
      <c r="D3911" s="3">
        <v>4.0</v>
      </c>
    </row>
    <row r="3912" ht="15.75" customHeight="1">
      <c r="A3912" s="1">
        <v>4161.0</v>
      </c>
      <c r="B3912" s="3" t="s">
        <v>3787</v>
      </c>
      <c r="C3912" s="3" t="str">
        <f>IFERROR(__xludf.DUMMYFUNCTION("GOOGLETRANSLATE(B3912,""id"",""en"")"),"['expensive', 'signal', 'optimal', 'severe']")</f>
        <v>['expensive', 'signal', 'optimal', 'severe']</v>
      </c>
      <c r="D3912" s="3">
        <v>1.0</v>
      </c>
    </row>
    <row r="3913" ht="15.75" customHeight="1">
      <c r="A3913" s="1">
        <v>4162.0</v>
      </c>
      <c r="B3913" s="3" t="s">
        <v>3788</v>
      </c>
      <c r="C3913" s="3" t="str">
        <f>IFERROR(__xludf.DUMMYFUNCTION("GOOGLETRANSLATE(B3913,""id"",""en"")"),"['Not bad', 'buy', 'quota', 'buy', 'package', 'knapa', 'hri', 'open', 'screen', 'mah', 'ngbleng', 'white', ' ']")</f>
        <v>['Not bad', 'buy', 'quota', 'buy', 'package', 'knapa', 'hri', 'open', 'screen', 'mah', 'ngbleng', 'white', ' ']</v>
      </c>
      <c r="D3913" s="3">
        <v>5.0</v>
      </c>
    </row>
    <row r="3914" ht="15.75" customHeight="1">
      <c r="A3914" s="1">
        <v>4163.0</v>
      </c>
      <c r="B3914" s="3" t="s">
        <v>3789</v>
      </c>
      <c r="C3914" s="3" t="str">
        <f>IFERROR(__xludf.DUMMYFUNCTION("GOOGLETRANSLATE(B3914,""id"",""en"")"),"['makes it easier', 'transaction', '']")</f>
        <v>['makes it easier', 'transaction', '']</v>
      </c>
      <c r="D3914" s="3">
        <v>5.0</v>
      </c>
    </row>
    <row r="3915" ht="15.75" customHeight="1">
      <c r="A3915" s="1">
        <v>4164.0</v>
      </c>
      <c r="B3915" s="3" t="s">
        <v>3790</v>
      </c>
      <c r="C3915" s="3" t="str">
        <f>IFERROR(__xludf.DUMMYFUNCTION("GOOGLETRANSLATE(B3915,""id"",""en"")"),"['Sorry', 'min', 'app', 'open', 'uda', 'a week', 'smooth', 'smooth', 'update', 'open']")</f>
        <v>['Sorry', 'min', 'app', 'open', 'uda', 'a week', 'smooth', 'smooth', 'update', 'open']</v>
      </c>
      <c r="D3915" s="3">
        <v>3.0</v>
      </c>
    </row>
    <row r="3916" ht="15.75" customHeight="1">
      <c r="A3916" s="1">
        <v>4166.0</v>
      </c>
      <c r="B3916" s="3" t="s">
        <v>3791</v>
      </c>
      <c r="C3916" s="3" t="str">
        <f>IFERROR(__xludf.DUMMYFUNCTION("GOOGLETRANSLATE(B3916,""id"",""en"")"),"['Update', 'Application', 'Open', 'Blank', 'Screen', 'White', 'Suggestion', 'Team', 'Telkomsel', 'Testing', 'Application', 'Use', ' Low ',' end ',' high ',' end ',' donk ',' complaints', 'response', 'custumer', 'buy', 'package', 'data', 'buy', 'package' ,"&amp;" 'Data', 'Operator', '']")</f>
        <v>['Update', 'Application', 'Open', 'Blank', 'Screen', 'White', 'Suggestion', 'Team', 'Telkomsel', 'Testing', 'Application', 'Use', ' Low ',' end ',' high ',' end ',' donk ',' complaints', 'response', 'custumer', 'buy', 'package', 'data', 'buy', 'package' , 'Data', 'Operator', '']</v>
      </c>
      <c r="D3916" s="3">
        <v>1.0</v>
      </c>
    </row>
    <row r="3917" ht="15.75" customHeight="1">
      <c r="A3917" s="1">
        <v>4167.0</v>
      </c>
      <c r="B3917" s="3" t="s">
        <v>3792</v>
      </c>
      <c r="C3917" s="3" t="str">
        <f>IFERROR(__xludf.DUMMYFUNCTION("GOOGLETRANSLATE(B3917,""id"",""en"")"),"['update', 'turn', 'updated', 'opened', 'chaotic', '']")</f>
        <v>['update', 'turn', 'updated', 'opened', 'chaotic', '']</v>
      </c>
      <c r="D3917" s="3">
        <v>1.0</v>
      </c>
    </row>
    <row r="3918" ht="15.75" customHeight="1">
      <c r="A3918" s="1">
        <v>4169.0</v>
      </c>
      <c r="B3918" s="3" t="s">
        <v>3793</v>
      </c>
      <c r="C3918" s="3" t="str">
        <f>IFERROR(__xludf.DUMMYFUNCTION("GOOGLETRANSLATE(B3918,""id"",""en"")"),"['disappointed', 'signal', 'bad', 'night']")</f>
        <v>['disappointed', 'signal', 'bad', 'night']</v>
      </c>
      <c r="D3918" s="3">
        <v>1.0</v>
      </c>
    </row>
    <row r="3919" ht="15.75" customHeight="1">
      <c r="A3919" s="1">
        <v>4170.0</v>
      </c>
      <c r="B3919" s="3" t="s">
        <v>3794</v>
      </c>
      <c r="C3919" s="3" t="str">
        <f>IFERROR(__xludf.DUMMYFUNCTION("GOOGLETRANSLATE(B3919,""id"",""en"")"),"['network', 'slow', 'surprised', 'maun', 'game', 'signal', 'down', 'mulu', 'fix', 'how', 'ga ga,' convenience ',' Stay ',' remote ',' ']")</f>
        <v>['network', 'slow', 'surprised', 'maun', 'game', 'signal', 'down', 'mulu', 'fix', 'how', 'ga ga,' convenience ',' Stay ',' remote ',' ']</v>
      </c>
      <c r="D3919" s="3">
        <v>1.0</v>
      </c>
    </row>
    <row r="3920" ht="15.75" customHeight="1">
      <c r="A3920" s="1">
        <v>4171.0</v>
      </c>
      <c r="B3920" s="3" t="s">
        <v>3795</v>
      </c>
      <c r="C3920" s="3" t="str">
        <f>IFERROR(__xludf.DUMMYFUNCTION("GOOGLETRANSLATE(B3920,""id"",""en"")"),"['slow network', '']")</f>
        <v>['slow network', '']</v>
      </c>
      <c r="D3920" s="3">
        <v>1.0</v>
      </c>
    </row>
    <row r="3921" ht="15.75" customHeight="1">
      <c r="A3921" s="1">
        <v>4172.0</v>
      </c>
      <c r="B3921" s="3" t="s">
        <v>3796</v>
      </c>
      <c r="C3921" s="3" t="str">
        <f>IFERROR(__xludf.DUMMYFUNCTION("GOOGLETRANSLATE(B3921,""id"",""en"")"),"['Price', 'expensive', 'quality', 'ugly']")</f>
        <v>['Price', 'expensive', 'quality', 'ugly']</v>
      </c>
      <c r="D3921" s="3">
        <v>1.0</v>
      </c>
    </row>
    <row r="3922" ht="15.75" customHeight="1">
      <c r="A3922" s="1">
        <v>4173.0</v>
      </c>
      <c r="B3922" s="3" t="s">
        <v>3797</v>
      </c>
      <c r="C3922" s="3" t="str">
        <f>IFERROR(__xludf.DUMMYFUNCTION("GOOGLETRANSLATE(B3922,""id"",""en"")"),"['stingy', 'Telkomsel', 'quota', 'expensive', 'people', 'Indonesia', 'already', 'Telkomsel', 'love', 'price', 'economical', 'citizens',' Indonesia ',' Kah ',' ']")</f>
        <v>['stingy', 'Telkomsel', 'quota', 'expensive', 'people', 'Indonesia', 'already', 'Telkomsel', 'love', 'price', 'economical', 'citizens',' Indonesia ',' Kah ',' ']</v>
      </c>
      <c r="D3922" s="3">
        <v>1.0</v>
      </c>
    </row>
    <row r="3923" ht="15.75" customHeight="1">
      <c r="A3923" s="1">
        <v>4174.0</v>
      </c>
      <c r="B3923" s="3" t="s">
        <v>3798</v>
      </c>
      <c r="C3923" s="3" t="str">
        <f>IFERROR(__xludf.DUMMYFUNCTION("GOOGLETRANSLATE(B3923,""id"",""en"")"),"['Buy', 'Package', 'Internet', 'Ovo', 'Knp', 'Min', ""]")</f>
        <v>['Buy', 'Package', 'Internet', 'Ovo', 'Knp', 'Min', "]</v>
      </c>
      <c r="D3923" s="3">
        <v>1.0</v>
      </c>
    </row>
    <row r="3924" ht="15.75" customHeight="1">
      <c r="A3924" s="1">
        <v>4175.0</v>
      </c>
      <c r="B3924" s="3" t="s">
        <v>3799</v>
      </c>
      <c r="C3924" s="3" t="str">
        <f>IFERROR(__xludf.DUMMYFUNCTION("GOOGLETRANSLATE(B3924,""id"",""en"")"),"['network', 'Telkomsel', 'Kayak', 'dog', 'woy', 'intention', 'network', 'delete', 'Telkomsel', 'Indonesia', 'Taik', 'Loserak', ' Mulu ',' anjinkkkk ']")</f>
        <v>['network', 'Telkomsel', 'Kayak', 'dog', 'woy', 'intention', 'network', 'delete', 'Telkomsel', 'Indonesia', 'Taik', 'Loserak', ' Mulu ',' anjinkkkk ']</v>
      </c>
      <c r="D3924" s="3">
        <v>1.0</v>
      </c>
    </row>
    <row r="3925" ht="15.75" customHeight="1">
      <c r="A3925" s="1">
        <v>4176.0</v>
      </c>
      <c r="B3925" s="3" t="s">
        <v>3800</v>
      </c>
      <c r="C3925" s="3" t="str">
        <f>IFERROR(__xludf.DUMMYFUNCTION("GOOGLETRANSLATE(B3925,""id"",""en"")"),"['Bener', 'Ajalah', 'Nuker', 'Package', 'Data', 'No', 'Notification', 'Wait', 'Doang', 'Already', 'That's',' Pakrt ',' The data ',' run out ',' no ',' notification ',' run out ',' pulses', '']")</f>
        <v>['Bener', 'Ajalah', 'Nuker', 'Package', 'Data', 'No', 'Notification', 'Wait', 'Doang', 'Already', 'That's',' Pakrt ',' The data ',' run out ',' no ',' notification ',' run out ',' pulses', '']</v>
      </c>
      <c r="D3925" s="3">
        <v>1.0</v>
      </c>
    </row>
    <row r="3926" ht="15.75" customHeight="1">
      <c r="A3926" s="1">
        <v>4177.0</v>
      </c>
      <c r="B3926" s="3" t="s">
        <v>3801</v>
      </c>
      <c r="C3926" s="3" t="str">
        <f>IFERROR(__xludf.DUMMYFUNCTION("GOOGLETRANSLATE(B3926,""id"",""en"")"),"['Convenience', 'transact']")</f>
        <v>['Convenience', 'transact']</v>
      </c>
      <c r="D3926" s="3">
        <v>5.0</v>
      </c>
    </row>
    <row r="3927" ht="15.75" customHeight="1">
      <c r="A3927" s="1">
        <v>4178.0</v>
      </c>
      <c r="B3927" s="3" t="s">
        <v>1843</v>
      </c>
      <c r="C3927" s="3" t="str">
        <f>IFERROR(__xludf.DUMMYFUNCTION("GOOGLETRANSLATE(B3927,""id"",""en"")"),"['thank', 'love', 'Telkomsel']")</f>
        <v>['thank', 'love', 'Telkomsel']</v>
      </c>
      <c r="D3927" s="3">
        <v>5.0</v>
      </c>
    </row>
    <row r="3928" ht="15.75" customHeight="1">
      <c r="A3928" s="1">
        <v>4180.0</v>
      </c>
      <c r="B3928" s="3" t="s">
        <v>3802</v>
      </c>
      <c r="C3928" s="3" t="str">
        <f>IFERROR(__xludf.DUMMYFUNCTION("GOOGLETRANSLATE(B3928,""id"",""en"")"),"['RealMe', '']")</f>
        <v>['RealMe', '']</v>
      </c>
      <c r="D3928" s="3">
        <v>2.0</v>
      </c>
    </row>
    <row r="3929" ht="15.75" customHeight="1">
      <c r="A3929" s="1">
        <v>4181.0</v>
      </c>
      <c r="B3929" s="3" t="s">
        <v>3803</v>
      </c>
      <c r="C3929" s="3" t="str">
        <f>IFERROR(__xludf.DUMMYFUNCTION("GOOGLETRANSLATE(B3929,""id"",""en"")"),"['APL', 'Nga', 'opened', 'ugly', 'please', 'Benerin', 'min']")</f>
        <v>['APL', 'Nga', 'opened', 'ugly', 'please', 'Benerin', 'min']</v>
      </c>
      <c r="D3929" s="3">
        <v>1.0</v>
      </c>
    </row>
    <row r="3930" ht="15.75" customHeight="1">
      <c r="A3930" s="1">
        <v>4182.0</v>
      </c>
      <c r="B3930" s="3" t="s">
        <v>3804</v>
      </c>
      <c r="C3930" s="3" t="str">
        <f>IFERROR(__xludf.DUMMYFUNCTION("GOOGLETRANSLATE(B3930,""id"",""en"")"),"['Liking', 'page']")</f>
        <v>['Liking', 'page']</v>
      </c>
      <c r="D3930" s="3">
        <v>5.0</v>
      </c>
    </row>
    <row r="3931" ht="15.75" customHeight="1">
      <c r="A3931" s="1">
        <v>4183.0</v>
      </c>
      <c r="B3931" s="3" t="s">
        <v>3805</v>
      </c>
      <c r="C3931" s="3" t="str">
        <f>IFERROR(__xludf.DUMMYFUNCTION("GOOGLETRANSLATE(B3931,""id"",""en"")"),"['mantaf', 'practical', 'thanks']")</f>
        <v>['mantaf', 'practical', 'thanks']</v>
      </c>
      <c r="D3931" s="3">
        <v>5.0</v>
      </c>
    </row>
    <row r="3932" ht="15.75" customHeight="1">
      <c r="A3932" s="1">
        <v>4184.0</v>
      </c>
      <c r="B3932" s="3" t="s">
        <v>3806</v>
      </c>
      <c r="C3932" s="3" t="str">
        <f>IFERROR(__xludf.DUMMYFUNCTION("GOOGLETRANSLATE(B3932,""id"",""en"")"),"['Please', 'Telkomsel', 'signal', 'Benerin', 'BURIK', 'connection']")</f>
        <v>['Please', 'Telkomsel', 'signal', 'Benerin', 'BURIK', 'connection']</v>
      </c>
      <c r="D3932" s="3">
        <v>1.0</v>
      </c>
    </row>
    <row r="3933" ht="15.75" customHeight="1">
      <c r="A3933" s="1">
        <v>4185.0</v>
      </c>
      <c r="B3933" s="3" t="s">
        <v>3807</v>
      </c>
      <c r="C3933" s="3" t="str">
        <f>IFERROR(__xludf.DUMMYFUNCTION("GOOGLETRANSLATE(B3933,""id"",""en"")"),"['Quality', 'Signal', 'Speed', 'Internet', 'Please', 'Note', 'Area', 'District', 'Tawangsari', 'Sukoharjo']")</f>
        <v>['Quality', 'Signal', 'Speed', 'Internet', 'Please', 'Note', 'Area', 'District', 'Tawangsari', 'Sukoharjo']</v>
      </c>
      <c r="D3933" s="3">
        <v>1.0</v>
      </c>
    </row>
    <row r="3934" ht="15.75" customHeight="1">
      <c r="A3934" s="1">
        <v>4186.0</v>
      </c>
      <c r="B3934" s="3" t="s">
        <v>3808</v>
      </c>
      <c r="C3934" s="3" t="str">
        <f>IFERROR(__xludf.DUMMYFUNCTION("GOOGLETRANSLATE(B3934,""id"",""en"")"),"['package', 'internet', 'unlimited', 'no', 'smooth', 'equalized', 'package', 'main']")</f>
        <v>['package', 'internet', 'unlimited', 'no', 'smooth', 'equalized', 'package', 'main']</v>
      </c>
      <c r="D3934" s="3">
        <v>4.0</v>
      </c>
    </row>
    <row r="3935" ht="15.75" customHeight="1">
      <c r="A3935" s="1">
        <v>4187.0</v>
      </c>
      <c r="B3935" s="3" t="s">
        <v>3809</v>
      </c>
      <c r="C3935" s="3" t="str">
        <f>IFERROR(__xludf.DUMMYFUNCTION("GOOGLETRANSLATE(B3935,""id"",""en"")"),"['difficult', 'opened', 'application', 'knapa', '']")</f>
        <v>['difficult', 'opened', 'application', 'knapa', '']</v>
      </c>
      <c r="D3935" s="3">
        <v>1.0</v>
      </c>
    </row>
    <row r="3936" ht="15.75" customHeight="1">
      <c r="A3936" s="1">
        <v>4188.0</v>
      </c>
      <c r="B3936" s="3" t="s">
        <v>3810</v>
      </c>
      <c r="C3936" s="3" t="str">
        <f>IFERROR(__xludf.DUMMYFUNCTION("GOOGLETRANSLATE(B3936,""id"",""en"")"),"['signal', 'slow', 'really', 'Telkomsel', '']")</f>
        <v>['signal', 'slow', 'really', 'Telkomsel', '']</v>
      </c>
      <c r="D3936" s="3">
        <v>1.0</v>
      </c>
    </row>
    <row r="3937" ht="15.75" customHeight="1">
      <c r="A3937" s="1">
        <v>4189.0</v>
      </c>
      <c r="B3937" s="3" t="s">
        <v>3811</v>
      </c>
      <c r="C3937" s="3" t="str">
        <f>IFERROR(__xludf.DUMMYFUNCTION("GOOGLETRANSLATE(B3937,""id"",""en"")"),"['quota', 'GJLS', 'like', 'ilang', 'Nilagan']")</f>
        <v>['quota', 'GJLS', 'like', 'ilang', 'Nilagan']</v>
      </c>
      <c r="D3937" s="3">
        <v>1.0</v>
      </c>
    </row>
    <row r="3938" ht="15.75" customHeight="1">
      <c r="A3938" s="1">
        <v>4190.0</v>
      </c>
      <c r="B3938" s="3" t="s">
        <v>3812</v>
      </c>
      <c r="C3938" s="3" t="str">
        <f>IFERROR(__xludf.DUMMYFUNCTION("GOOGLETRANSLATE(B3938,""id"",""en"")"),"['fit', 'contents',' quota ',' payment ',' gopay ',' success', 'data', 'active', 'haze', 'internet', 'gyma', 'subscribe', ' Gini ',' story ']")</f>
        <v>['fit', 'contents',' quota ',' payment ',' gopay ',' success', 'data', 'active', 'haze', 'internet', 'gyma', 'subscribe', ' Gini ',' story ']</v>
      </c>
      <c r="D3938" s="3">
        <v>1.0</v>
      </c>
    </row>
    <row r="3939" ht="15.75" customHeight="1">
      <c r="A3939" s="1">
        <v>4191.0</v>
      </c>
      <c r="B3939" s="3" t="s">
        <v>3813</v>
      </c>
      <c r="C3939" s="3" t="str">
        <f>IFERROR(__xludf.DUMMYFUNCTION("GOOGLETRANSLATE(B3939,""id"",""en"")"),"['The application', 'broken', 'login']")</f>
        <v>['The application', 'broken', 'login']</v>
      </c>
      <c r="D3939" s="3">
        <v>5.0</v>
      </c>
    </row>
    <row r="3940" ht="15.75" customHeight="1">
      <c r="A3940" s="1">
        <v>4192.0</v>
      </c>
      <c r="B3940" s="3" t="s">
        <v>3814</v>
      </c>
      <c r="C3940" s="3" t="str">
        <f>IFERROR(__xludf.DUMMYFUNCTION("GOOGLETRANSLATE(B3940,""id"",""en"")"),"['Application', 'MyTelkomsel', 'Good']")</f>
        <v>['Application', 'MyTelkomsel', 'Good']</v>
      </c>
      <c r="D3940" s="3">
        <v>5.0</v>
      </c>
    </row>
    <row r="3941" ht="15.75" customHeight="1">
      <c r="A3941" s="1">
        <v>4193.0</v>
      </c>
      <c r="B3941" s="3" t="s">
        <v>3815</v>
      </c>
      <c r="C3941" s="3" t="str">
        <f>IFERROR(__xludf.DUMMYFUNCTION("GOOGLETRANSLATE(B3941,""id"",""en"")"),"['Good', 'cheap']")</f>
        <v>['Good', 'cheap']</v>
      </c>
      <c r="D3941" s="3">
        <v>5.0</v>
      </c>
    </row>
    <row r="3942" ht="15.75" customHeight="1">
      <c r="A3942" s="1">
        <v>4194.0</v>
      </c>
      <c r="B3942" s="3" t="s">
        <v>3816</v>
      </c>
      <c r="C3942" s="3" t="str">
        <f>IFERROR(__xludf.DUMMYFUNCTION("GOOGLETRANSLATE(B3942,""id"",""en"")"),"['Network', 'smooth', 'satisfied', 'location', 'network', 'smooth']")</f>
        <v>['Network', 'smooth', 'satisfied', 'location', 'network', 'smooth']</v>
      </c>
      <c r="D3942" s="3">
        <v>5.0</v>
      </c>
    </row>
    <row r="3943" ht="15.75" customHeight="1">
      <c r="A3943" s="1">
        <v>4195.0</v>
      </c>
      <c r="B3943" s="3" t="s">
        <v>3817</v>
      </c>
      <c r="C3943" s="3" t="str">
        <f>IFERROR(__xludf.DUMMYFUNCTION("GOOGLETRANSLATE(B3943,""id"",""en"")"),"['Love', 'promo', 'donk']")</f>
        <v>['Love', 'promo', 'donk']</v>
      </c>
      <c r="D3943" s="3">
        <v>5.0</v>
      </c>
    </row>
    <row r="3944" ht="15.75" customHeight="1">
      <c r="A3944" s="1">
        <v>4197.0</v>
      </c>
      <c r="B3944" s="3" t="s">
        <v>3818</v>
      </c>
      <c r="C3944" s="3" t="str">
        <f>IFERROR(__xludf.DUMMYFUNCTION("GOOGLETRANSLATE(B3944,""id"",""en"")"),"['Open', 'Yesterday', 'Kayak', 'Gini', 'Telkomsl', '']")</f>
        <v>['Open', 'Yesterday', 'Kayak', 'Gini', 'Telkomsl', '']</v>
      </c>
      <c r="D3944" s="3">
        <v>1.0</v>
      </c>
    </row>
    <row r="3945" ht="15.75" customHeight="1">
      <c r="A3945" s="1">
        <v>4198.0</v>
      </c>
      <c r="B3945" s="3" t="s">
        <v>3819</v>
      </c>
      <c r="C3945" s="3" t="str">
        <f>IFERROR(__xludf.DUMMYFUNCTION("GOOGLETRANSLATE(B3945,""id"",""en"")"),"['Helping', 'Mhon', 'Permed']")</f>
        <v>['Helping', 'Mhon', 'Permed']</v>
      </c>
      <c r="D3945" s="3">
        <v>5.0</v>
      </c>
    </row>
    <row r="3946" ht="15.75" customHeight="1">
      <c r="A3946" s="1">
        <v>4199.0</v>
      </c>
      <c r="B3946" s="3" t="s">
        <v>3820</v>
      </c>
      <c r="C3946" s="3" t="str">
        <f>IFERROR(__xludf.DUMMYFUNCTION("GOOGLETRANSLATE(B3946,""id"",""en"")"),"['buy', 'pulse', 'transaction', 'enter', 'then', 'transaction', 'entry', 'balance', 'take-up', 'how', 'Telkomsel', 'cheat', ' Forced ',' Pinda ',' Oprator ',' Telkomsel ',' Severe ', ""]")</f>
        <v>['buy', 'pulse', 'transaction', 'enter', 'then', 'transaction', 'entry', 'balance', 'take-up', 'how', 'Telkomsel', 'cheat', ' Forced ',' Pinda ',' Oprator ',' Telkomsel ',' Severe ', "]</v>
      </c>
      <c r="D3946" s="3">
        <v>1.0</v>
      </c>
    </row>
    <row r="3947" ht="15.75" customHeight="1">
      <c r="A3947" s="1">
        <v>4200.0</v>
      </c>
      <c r="B3947" s="3" t="s">
        <v>3821</v>
      </c>
      <c r="C3947" s="3" t="str">
        <f>IFERROR(__xludf.DUMMYFUNCTION("GOOGLETRANSLATE(B3947,""id"",""en"")"),"['Out', 'updated', 'knp', 'blank', 'white', 'then', '']")</f>
        <v>['Out', 'updated', 'knp', 'blank', 'white', 'then', '']</v>
      </c>
      <c r="D3947" s="3">
        <v>2.0</v>
      </c>
    </row>
    <row r="3948" ht="15.75" customHeight="1">
      <c r="A3948" s="1">
        <v>4201.0</v>
      </c>
      <c r="B3948" s="3" t="s">
        <v>3822</v>
      </c>
      <c r="C3948" s="3" t="str">
        <f>IFERROR(__xludf.DUMMYFUNCTION("GOOGLETRANSLATE(B3948,""id"",""en"")"),"['Star', 'a month', 'application', 'ngeblank', 'screen', 'white', 'empty', 'user', 'android', 'compatible', 'notification', 'disappointed', ' Heavy ',' developer ',' Becus', 'handle', 'many years',' Customer ',' Provider ',' number ',' experience ', ""]")</f>
        <v>['Star', 'a month', 'application', 'ngeblank', 'screen', 'white', 'empty', 'user', 'android', 'compatible', 'notification', 'disappointed', ' Heavy ',' developer ',' Becus', 'handle', 'many years',' Customer ',' Provider ',' number ',' experience ', "]</v>
      </c>
      <c r="D3948" s="3">
        <v>1.0</v>
      </c>
    </row>
    <row r="3949" ht="15.75" customHeight="1">
      <c r="A3949" s="1">
        <v>4202.0</v>
      </c>
      <c r="B3949" s="3" t="s">
        <v>3823</v>
      </c>
      <c r="C3949" s="3" t="str">
        <f>IFERROR(__xludf.DUMMYFUNCTION("GOOGLETRANSLATE(B3949,""id"",""en"")"),"['Good', 'share', 'gift']")</f>
        <v>['Good', 'share', 'gift']</v>
      </c>
      <c r="D3949" s="3">
        <v>5.0</v>
      </c>
    </row>
    <row r="3950" ht="15.75" customHeight="1">
      <c r="A3950" s="1">
        <v>4203.0</v>
      </c>
      <c r="B3950" s="3" t="s">
        <v>3824</v>
      </c>
      <c r="C3950" s="3" t="str">
        <f>IFERROR(__xludf.DUMMYFUNCTION("GOOGLETRANSLATE(B3950,""id"",""en"")"),"['signal', 'ugly', 'package', 'expensive', 'service', 'bad', 'application', 'error', 'slow', 'gapernah', 'response', 'user', ' slap ',' good ',' here ',' ugly ',' ']")</f>
        <v>['signal', 'ugly', 'package', 'expensive', 'service', 'bad', 'application', 'error', 'slow', 'gapernah', 'response', 'user', ' slap ',' good ',' here ',' ugly ',' ']</v>
      </c>
      <c r="D3950" s="3">
        <v>1.0</v>
      </c>
    </row>
    <row r="3951" ht="15.75" customHeight="1">
      <c r="A3951" s="1">
        <v>4204.0</v>
      </c>
      <c r="B3951" s="3" t="s">
        <v>3825</v>
      </c>
      <c r="C3951" s="3" t="str">
        <f>IFERROR(__xludf.DUMMYFUNCTION("GOOGLETRANSLATE(B3951,""id"",""en"")"),"['Network', 'Ngadat']")</f>
        <v>['Network', 'Ngadat']</v>
      </c>
      <c r="D3951" s="3">
        <v>3.0</v>
      </c>
    </row>
    <row r="3952" ht="15.75" customHeight="1">
      <c r="A3952" s="1">
        <v>4205.0</v>
      </c>
      <c r="B3952" s="3" t="s">
        <v>3826</v>
      </c>
      <c r="C3952" s="3" t="str">
        <f>IFERROR(__xludf.DUMMYFUNCTION("GOOGLETRANSLATE(B3952,""id"",""en"")"),"['Hopefully', 'Telkomsel', 'smooth', 'trs']")</f>
        <v>['Hopefully', 'Telkomsel', 'smooth', 'trs']</v>
      </c>
      <c r="D3952" s="3">
        <v>5.0</v>
      </c>
    </row>
    <row r="3953" ht="15.75" customHeight="1">
      <c r="A3953" s="1">
        <v>4206.0</v>
      </c>
      <c r="B3953" s="3" t="s">
        <v>3827</v>
      </c>
      <c r="C3953" s="3" t="str">
        <f>IFERROR(__xludf.DUMMYFUNCTION("GOOGLETRANSLATE(B3953,""id"",""en"")"),"['Price', 'quota', 'omg']")</f>
        <v>['Price', 'quota', 'omg']</v>
      </c>
      <c r="D3953" s="3">
        <v>2.0</v>
      </c>
    </row>
    <row r="3954" ht="15.75" customHeight="1">
      <c r="A3954" s="1">
        <v>4207.0</v>
      </c>
      <c r="B3954" s="3" t="s">
        <v>3828</v>
      </c>
      <c r="C3954" s="3" t="str">
        <f>IFERROR(__xludf.DUMMYFUNCTION("GOOGLETRANSLATE(B3954,""id"",""en"")"),"['use', 'sympathy', 'hello', 'skrng', 'gift', 'Telkomsel', '']")</f>
        <v>['use', 'sympathy', 'hello', 'skrng', 'gift', 'Telkomsel', '']</v>
      </c>
      <c r="D3954" s="3">
        <v>5.0</v>
      </c>
    </row>
    <row r="3955" ht="15.75" customHeight="1">
      <c r="A3955" s="1">
        <v>4208.0</v>
      </c>
      <c r="B3955" s="3" t="s">
        <v>3829</v>
      </c>
      <c r="C3955" s="3" t="str">
        <f>IFERROR(__xludf.DUMMYFUNCTION("GOOGLETRANSLATE(B3955,""id"",""en"")"),"['Open', 'Telkomsel', 'Open', 'Screen', 'White', 'then']")</f>
        <v>['Open', 'Telkomsel', 'Open', 'Screen', 'White', 'then']</v>
      </c>
      <c r="D3955" s="3">
        <v>3.0</v>
      </c>
    </row>
    <row r="3956" ht="15.75" customHeight="1">
      <c r="A3956" s="1">
        <v>4209.0</v>
      </c>
      <c r="B3956" s="3" t="s">
        <v>3830</v>
      </c>
      <c r="C3956" s="3" t="str">
        <f>IFERROR(__xludf.DUMMYFUNCTION("GOOGLETRANSLATE(B3956,""id"",""en"")"),"['Leet', 'Internet', 'Region', 'Cirebon']")</f>
        <v>['Leet', 'Internet', 'Region', 'Cirebon']</v>
      </c>
      <c r="D3956" s="3">
        <v>3.0</v>
      </c>
    </row>
    <row r="3957" ht="15.75" customHeight="1">
      <c r="A3957" s="1">
        <v>4210.0</v>
      </c>
      <c r="B3957" s="3" t="s">
        <v>3831</v>
      </c>
      <c r="C3957" s="3" t="str">
        <f>IFERROR(__xludf.DUMMYFUNCTION("GOOGLETRANSLATE(B3957,""id"",""en"")"),"['Slow', 'response']")</f>
        <v>['Slow', 'response']</v>
      </c>
      <c r="D3957" s="3">
        <v>1.0</v>
      </c>
    </row>
    <row r="3958" ht="15.75" customHeight="1">
      <c r="A3958" s="1">
        <v>4211.0</v>
      </c>
      <c r="B3958" s="3" t="s">
        <v>3832</v>
      </c>
      <c r="C3958" s="3" t="str">
        <f>IFERROR(__xludf.DUMMYFUNCTION("GOOGLETRANSLATE(B3958,""id"",""en"")"),"['Severe', 'contents',' pulses', 'package', 'rb', 'GB', 'package', 'ilang', 'expensive', 'expensive', 'severe', 'craver', ' fed up ',' pakek ',' krtu ',' love ',' star ',' love ',' star ',' ']")</f>
        <v>['Severe', 'contents',' pulses', 'package', 'rb', 'GB', 'package', 'ilang', 'expensive', 'expensive', 'severe', 'craver', ' fed up ',' pakek ',' krtu ',' love ',' star ',' love ',' star ',' ']</v>
      </c>
      <c r="D3958" s="3">
        <v>1.0</v>
      </c>
    </row>
    <row r="3959" ht="15.75" customHeight="1">
      <c r="A3959" s="1">
        <v>4212.0</v>
      </c>
      <c r="B3959" s="3" t="s">
        <v>3833</v>
      </c>
      <c r="C3959" s="3" t="str">
        <f>IFERROR(__xludf.DUMMYFUNCTION("GOOGLETRANSLATE(B3959,""id"",""en"")"),"['Buy', 'Package', 'Application', 'Description', 'Disruption', 'System', 'Try', 'Many', 'Times', 'Please', 'Fix', ""]")</f>
        <v>['Buy', 'Package', 'Application', 'Description', 'Disruption', 'System', 'Try', 'Many', 'Times', 'Please', 'Fix', "]</v>
      </c>
      <c r="D3959" s="3">
        <v>1.0</v>
      </c>
    </row>
    <row r="3960" ht="15.75" customHeight="1">
      <c r="A3960" s="1">
        <v>4214.0</v>
      </c>
      <c r="B3960" s="3" t="s">
        <v>3834</v>
      </c>
      <c r="C3960" s="3" t="str">
        <f>IFERROR(__xludf.DUMMYFUNCTION("GOOGLETRANSLATE(B3960,""id"",""en"")"),"['satisfying', 'buy', 'package', 'expensive', 'difficult', 'jring', 'nycay', 'sya', 'buy']")</f>
        <v>['satisfying', 'buy', 'package', 'expensive', 'difficult', 'jring', 'nycay', 'sya', 'buy']</v>
      </c>
      <c r="D3960" s="3">
        <v>1.0</v>
      </c>
    </row>
    <row r="3961" ht="15.75" customHeight="1">
      <c r="A3961" s="1">
        <v>4215.0</v>
      </c>
      <c r="B3961" s="3" t="s">
        <v>3835</v>
      </c>
      <c r="C3961" s="3" t="str">
        <f>IFERROR(__xludf.DUMMYFUNCTION("GOOGLETRANSLATE(B3961,""id"",""en"")"),"['buy', 'application', 'spend', 'rb', 'slow', 'really']")</f>
        <v>['buy', 'application', 'spend', 'rb', 'slow', 'really']</v>
      </c>
      <c r="D3961" s="3">
        <v>1.0</v>
      </c>
    </row>
    <row r="3962" ht="15.75" customHeight="1">
      <c r="A3962" s="1">
        <v>4216.0</v>
      </c>
      <c r="B3962" s="3" t="s">
        <v>3836</v>
      </c>
      <c r="C3962" s="3" t="str">
        <f>IFERROR(__xludf.DUMMYFUNCTION("GOOGLETRANSLATE(B3962,""id"",""en"")"),"['Good', 'Bangaaat', 'See', 'Kebawa', 'Good', 'Good', 'Bangat', '']")</f>
        <v>['Good', 'Bangaaat', 'See', 'Kebawa', 'Good', 'Good', 'Bangat', '']</v>
      </c>
      <c r="D3962" s="3">
        <v>4.0</v>
      </c>
    </row>
    <row r="3963" ht="15.75" customHeight="1">
      <c r="A3963" s="1">
        <v>4217.0</v>
      </c>
      <c r="B3963" s="3" t="s">
        <v>3837</v>
      </c>
      <c r="C3963" s="3" t="str">
        <f>IFERROR(__xludf.DUMMYFUNCTION("GOOGLETRANSLATE(B3963,""id"",""en"")"),"['Halooo', 'apps', 'opened', 'screen', 'white', 'already', 'uninstall', 'many', 'times']")</f>
        <v>['Halooo', 'apps', 'opened', 'screen', 'white', 'already', 'uninstall', 'many', 'times']</v>
      </c>
      <c r="D3963" s="3">
        <v>2.0</v>
      </c>
    </row>
    <row r="3964" ht="15.75" customHeight="1">
      <c r="A3964" s="1">
        <v>4218.0</v>
      </c>
      <c r="B3964" s="3" t="s">
        <v>3838</v>
      </c>
      <c r="C3964" s="3" t="str">
        <f>IFERROR(__xludf.DUMMYFUNCTION("GOOGLETRANSLATE(B3964,""id"",""en"")"),"['steady', 'unfortunately', 'Telkomsel', 'filled', 'voucher', 'Telkomsel', 'please', 'make', 'features',' make it easy ',' user ',' application ',' Hopefully ',' Read ', ""]")</f>
        <v>['steady', 'unfortunately', 'Telkomsel', 'filled', 'voucher', 'Telkomsel', 'please', 'make', 'features',' make it easy ',' user ',' application ',' Hopefully ',' Read ', "]</v>
      </c>
      <c r="D3964" s="3">
        <v>4.0</v>
      </c>
    </row>
    <row r="3965" ht="15.75" customHeight="1">
      <c r="A3965" s="1">
        <v>4219.0</v>
      </c>
      <c r="B3965" s="3" t="s">
        <v>3839</v>
      </c>
      <c r="C3965" s="3" t="str">
        <f>IFERROR(__xludf.DUMMYFUNCTION("GOOGLETRANSLATE(B3965,""id"",""en"")"),"['interaction']")</f>
        <v>['interaction']</v>
      </c>
      <c r="D3965" s="3">
        <v>4.0</v>
      </c>
    </row>
    <row r="3966" ht="15.75" customHeight="1">
      <c r="A3966" s="1">
        <v>4221.0</v>
      </c>
      <c r="B3966" s="3" t="s">
        <v>3840</v>
      </c>
      <c r="C3966" s="3" t="str">
        <f>IFERROR(__xludf.DUMMYFUNCTION("GOOGLETRANSLATE(B3966,""id"",""en"")"),"['Telkomsel', 'Ngada', 'Price', 'Monitor', 'Network', 'Sometimes', 'ugly', 'right', 'Ujan']")</f>
        <v>['Telkomsel', 'Ngada', 'Price', 'Monitor', 'Network', 'Sometimes', 'ugly', 'right', 'Ujan']</v>
      </c>
      <c r="D3966" s="3">
        <v>2.0</v>
      </c>
    </row>
    <row r="3967" ht="15.75" customHeight="1">
      <c r="A3967" s="1">
        <v>4222.0</v>
      </c>
      <c r="B3967" s="3" t="s">
        <v>3841</v>
      </c>
      <c r="C3967" s="3" t="str">
        <f>IFERROR(__xludf.DUMMYFUNCTION("GOOGLETRANSLATE(B3967,""id"",""en"")"),"['Out', 'Update', 'Telecom', 'Cell', 'Severe', 'Credit', 'Lost', 'Program', 'Whatever', 'Pulse', 'Lost', 'Severe', ' The process', 'operator', 'cellular', 'response', 'hope', 'improvement', 'satisfaction', 'customer', 'purpose', 'main', 'pulse', 'finished"&amp;"', 'buy' , 'missing', 'Tuyul', 'Season', 'Disappointed', 'Sympathy', 'Telecom', 'Cell', 'Hopefully', 'Attention', 'Special', 'Success',' Telecom ',' cells', 'thank', 'love']")</f>
        <v>['Out', 'Update', 'Telecom', 'Cell', 'Severe', 'Credit', 'Lost', 'Program', 'Whatever', 'Pulse', 'Lost', 'Severe', ' The process', 'operator', 'cellular', 'response', 'hope', 'improvement', 'satisfaction', 'customer', 'purpose', 'main', 'pulse', 'finished', 'buy' , 'missing', 'Tuyul', 'Season', 'Disappointed', 'Sympathy', 'Telecom', 'Cell', 'Hopefully', 'Attention', 'Special', 'Success',' Telecom ',' cells', 'thank', 'love']</v>
      </c>
      <c r="D3967" s="3">
        <v>1.0</v>
      </c>
    </row>
    <row r="3968" ht="15.75" customHeight="1">
      <c r="A3968" s="1">
        <v>4223.0</v>
      </c>
      <c r="B3968" s="3" t="s">
        <v>3842</v>
      </c>
      <c r="C3968" s="3" t="str">
        <f>IFERROR(__xludf.DUMMYFUNCTION("GOOGLETRANSLATE(B3968,""id"",""en"")"),"['range', 'coverage', 'signal', '']")</f>
        <v>['range', 'coverage', 'signal', '']</v>
      </c>
      <c r="D3968" s="3">
        <v>5.0</v>
      </c>
    </row>
    <row r="3969" ht="15.75" customHeight="1">
      <c r="A3969" s="1">
        <v>4224.0</v>
      </c>
      <c r="B3969" s="3" t="s">
        <v>3843</v>
      </c>
      <c r="C3969" s="3" t="str">
        <f>IFERROR(__xludf.DUMMYFUNCTION("GOOGLETRANSLATE(B3969,""id"",""en"")"),"['Point', 'point', 'quota', 'failed', 'turn', 'voucher', 'game', 'success', 'point', 'abis', 'voucher']")</f>
        <v>['Point', 'point', 'quota', 'failed', 'turn', 'voucher', 'game', 'success', 'point', 'abis', 'voucher']</v>
      </c>
      <c r="D3969" s="3">
        <v>1.0</v>
      </c>
    </row>
    <row r="3970" ht="15.75" customHeight="1">
      <c r="A3970" s="1">
        <v>4225.0</v>
      </c>
      <c r="B3970" s="3" t="s">
        <v>3844</v>
      </c>
      <c r="C3970" s="3" t="str">
        <f>IFERROR(__xludf.DUMMYFUNCTION("GOOGLETRANSLATE(B3970,""id"",""en"")"),"['', 'Open', 'Application']")</f>
        <v>['', 'Open', 'Application']</v>
      </c>
      <c r="D3970" s="3">
        <v>1.0</v>
      </c>
    </row>
    <row r="3971" ht="15.75" customHeight="1">
      <c r="A3971" s="1">
        <v>4226.0</v>
      </c>
      <c r="B3971" s="3" t="s">
        <v>3845</v>
      </c>
      <c r="C3971" s="3" t="str">
        <f>IFERROR(__xludf.DUMMYFUNCTION("GOOGLETRANSLATE(B3971,""id"",""en"")"),"['Good', 'Job', 'Satisfied', 'Service']")</f>
        <v>['Good', 'Job', 'Satisfied', 'Service']</v>
      </c>
      <c r="D3971" s="3">
        <v>5.0</v>
      </c>
    </row>
    <row r="3972" ht="15.75" customHeight="1">
      <c r="A3972" s="1">
        <v>4227.0</v>
      </c>
      <c r="B3972" s="3" t="s">
        <v>3846</v>
      </c>
      <c r="C3972" s="3" t="str">
        <f>IFERROR(__xludf.DUMMYFUNCTION("GOOGLETRANSLATE(B3972,""id"",""en"")"),"['signal', 'bad', 'right', 'dead', 'lights', 'dizziness', 'already', 'package', 'expensive', 'signal', 'ugly']")</f>
        <v>['signal', 'bad', 'right', 'dead', 'lights', 'dizziness', 'already', 'package', 'expensive', 'signal', 'ugly']</v>
      </c>
      <c r="D3972" s="3">
        <v>1.0</v>
      </c>
    </row>
    <row r="3973" ht="15.75" customHeight="1">
      <c r="A3973" s="1">
        <v>4228.0</v>
      </c>
      <c r="B3973" s="3" t="s">
        <v>3847</v>
      </c>
      <c r="C3973" s="3" t="str">
        <f>IFERROR(__xludf.DUMMYFUNCTION("GOOGLETRANSLATE(B3973,""id"",""en"")"),"['a month', 'open', 'application', 'Kirain', 'wife', 'open', 'application', 'color', 'white']")</f>
        <v>['a month', 'open', 'application', 'Kirain', 'wife', 'open', 'application', 'color', 'white']</v>
      </c>
      <c r="D3973" s="3">
        <v>1.0</v>
      </c>
    </row>
    <row r="3974" ht="15.75" customHeight="1">
      <c r="A3974" s="1">
        <v>4229.0</v>
      </c>
      <c r="B3974" s="3" t="s">
        <v>3848</v>
      </c>
      <c r="C3974" s="3" t="str">
        <f>IFERROR(__xludf.DUMMYFUNCTION("GOOGLETRANSLATE(B3974,""id"",""en"")"),"['Constraints', 'APK', 'Telkomsel', 'Difficult', 'Very', 'Open', 'APK']")</f>
        <v>['Constraints', 'APK', 'Telkomsel', 'Difficult', 'Very', 'Open', 'APK']</v>
      </c>
      <c r="D3974" s="3">
        <v>4.0</v>
      </c>
    </row>
    <row r="3975" ht="15.75" customHeight="1">
      <c r="A3975" s="1">
        <v>4230.0</v>
      </c>
      <c r="B3975" s="3" t="s">
        <v>3849</v>
      </c>
      <c r="C3975" s="3" t="str">
        <f>IFERROR(__xludf.DUMMYFUNCTION("GOOGLETRANSLATE(B3975,""id"",""en"")"),"['signal', 'Telkomsel', 'bad', 'disturbed', 'weather', 'rain', 'kit', 'move', 'signal', 'disappear']")</f>
        <v>['signal', 'Telkomsel', 'bad', 'disturbed', 'weather', 'rain', 'kit', 'move', 'signal', 'disappear']</v>
      </c>
      <c r="D3975" s="3">
        <v>1.0</v>
      </c>
    </row>
    <row r="3976" ht="15.75" customHeight="1">
      <c r="A3976" s="1">
        <v>4231.0</v>
      </c>
      <c r="B3976" s="3" t="s">
        <v>3850</v>
      </c>
      <c r="C3976" s="3" t="str">
        <f>IFERROR(__xludf.DUMMYFUNCTION("GOOGLETRANSLATE(B3976,""id"",""en"")"),"['Cool', 'Wow']")</f>
        <v>['Cool', 'Wow']</v>
      </c>
      <c r="D3976" s="3">
        <v>5.0</v>
      </c>
    </row>
    <row r="3977" ht="15.75" customHeight="1">
      <c r="A3977" s="1">
        <v>4232.0</v>
      </c>
      <c r="B3977" s="3" t="s">
        <v>3851</v>
      </c>
      <c r="C3977" s="3" t="str">
        <f>IFERROR(__xludf.DUMMYFUNCTION("GOOGLETRANSLATE(B3977,""id"",""en"")"),"['updetqn', 'maqlah', 'open']")</f>
        <v>['updetqn', 'maqlah', 'open']</v>
      </c>
      <c r="D3977" s="3">
        <v>3.0</v>
      </c>
    </row>
    <row r="3978" ht="15.75" customHeight="1">
      <c r="A3978" s="1">
        <v>4233.0</v>
      </c>
      <c r="B3978" s="3" t="s">
        <v>3852</v>
      </c>
      <c r="C3978" s="3" t="str">
        <f>IFERROR(__xludf.DUMMYFUNCTION("GOOGLETRANSLATE(B3978,""id"",""en"")"),"['Network', 'sometimes', 'good', 'sometimes', 'ugly', 'knp', '']")</f>
        <v>['Network', 'sometimes', 'good', 'sometimes', 'ugly', 'knp', '']</v>
      </c>
      <c r="D3978" s="3">
        <v>5.0</v>
      </c>
    </row>
    <row r="3979" ht="15.75" customHeight="1">
      <c r="A3979" s="1">
        <v>4234.0</v>
      </c>
      <c r="B3979" s="3" t="s">
        <v>3853</v>
      </c>
      <c r="C3979" s="3" t="str">
        <f>IFERROR(__xludf.DUMMYFUNCTION("GOOGLETRANSLATE(B3979,""id"",""en"")"),"['Telkomsel', 'Severe', 'Opened', 'The Application']")</f>
        <v>['Telkomsel', 'Severe', 'Opened', 'The Application']</v>
      </c>
      <c r="D3979" s="3">
        <v>3.0</v>
      </c>
    </row>
    <row r="3980" ht="15.75" customHeight="1">
      <c r="A3980" s="1">
        <v>4235.0</v>
      </c>
      <c r="B3980" s="3" t="s">
        <v>3854</v>
      </c>
      <c r="C3980" s="3" t="str">
        <f>IFERROR(__xludf.DUMMYFUNCTION("GOOGLETRANSLATE(B3980,""id"",""en"")"),"['application', 'make it easy', 'customer', 'transact', 'direct', 'provider', ""]")</f>
        <v>['application', 'make it easy', 'customer', 'transact', 'direct', 'provider', "]</v>
      </c>
      <c r="D3980" s="3">
        <v>5.0</v>
      </c>
    </row>
    <row r="3981" ht="15.75" customHeight="1">
      <c r="A3981" s="1">
        <v>4236.0</v>
      </c>
      <c r="B3981" s="3" t="s">
        <v>3855</v>
      </c>
      <c r="C3981" s="3" t="str">
        <f>IFERROR(__xludf.DUMMYFUNCTION("GOOGLETRANSLATE(B3981,""id"",""en"")"),"['price', 'pulse', 'package', 'samain', 'sympathy', 'user', 'card', 'loyal', 'facility', 'card', 'sympathy']")</f>
        <v>['price', 'pulse', 'package', 'samain', 'sympathy', 'user', 'card', 'loyal', 'facility', 'card', 'sympathy']</v>
      </c>
      <c r="D3981" s="3">
        <v>2.0</v>
      </c>
    </row>
    <row r="3982" ht="15.75" customHeight="1">
      <c r="A3982" s="1">
        <v>4237.0</v>
      </c>
      <c r="B3982" s="3" t="s">
        <v>1693</v>
      </c>
      <c r="C3982" s="3" t="str">
        <f>IFERROR(__xludf.DUMMYFUNCTION("GOOGLETRANSLATE(B3982,""id"",""en"")"),"['Satisfied', 'application']")</f>
        <v>['Satisfied', 'application']</v>
      </c>
      <c r="D3982" s="3">
        <v>5.0</v>
      </c>
    </row>
    <row r="3983" ht="15.75" customHeight="1">
      <c r="A3983" s="1">
        <v>4238.0</v>
      </c>
      <c r="B3983" s="3" t="s">
        <v>3856</v>
      </c>
      <c r="C3983" s="3" t="str">
        <f>IFERROR(__xludf.DUMMYFUNCTION("GOOGLETRANSLATE(B3983,""id"",""en"")"),"['signal', 'Telkomsel', 'slow', 'annoying', 'activity', 'operate', 'Telkomsel', 'slow']")</f>
        <v>['signal', 'Telkomsel', 'slow', 'annoying', 'activity', 'operate', 'Telkomsel', 'slow']</v>
      </c>
      <c r="D3983" s="3">
        <v>3.0</v>
      </c>
    </row>
    <row r="3984" ht="15.75" customHeight="1">
      <c r="A3984" s="1">
        <v>4239.0</v>
      </c>
      <c r="B3984" s="3" t="s">
        <v>3857</v>
      </c>
      <c r="C3984" s="3" t="str">
        <f>IFERROR(__xludf.DUMMYFUNCTION("GOOGLETRANSLATE(B3984,""id"",""en"")"),"['already', 'expensive', 'ngelag']")</f>
        <v>['already', 'expensive', 'ngelag']</v>
      </c>
      <c r="D3984" s="3">
        <v>1.0</v>
      </c>
    </row>
    <row r="3985" ht="15.75" customHeight="1">
      <c r="A3985" s="1">
        <v>4240.0</v>
      </c>
      <c r="B3985" s="3" t="s">
        <v>3858</v>
      </c>
      <c r="C3985" s="3" t="str">
        <f>IFERROR(__xludf.DUMMYFUNCTION("GOOGLETRANSLATE(B3985,""id"",""en"")"),"['Please', 'no', 'love', 'restrictions', 'use', 'data', 'consumer', 'pay', 'annoying', 'comfortable', '']")</f>
        <v>['Please', 'no', 'love', 'restrictions', 'use', 'data', 'consumer', 'pay', 'annoying', 'comfortable', '']</v>
      </c>
      <c r="D3985" s="3">
        <v>1.0</v>
      </c>
    </row>
    <row r="3986" ht="15.75" customHeight="1">
      <c r="A3986" s="1">
        <v>4241.0</v>
      </c>
      <c r="B3986" s="3" t="s">
        <v>3859</v>
      </c>
      <c r="C3986" s="3" t="str">
        <f>IFERROR(__xludf.DUMMYFUNCTION("GOOGLETRANSLATE(B3986,""id"",""en"")"),"['min', 'please', 'stabilized', 'optimized', 'network', 'internet', 'ngak', 'package', 'internet', 'removed', 'network', 'internet', ' Stable ',' smooth ',' ']")</f>
        <v>['min', 'please', 'stabilized', 'optimized', 'network', 'internet', 'ngak', 'package', 'internet', 'removed', 'network', 'internet', ' Stable ',' smooth ',' ']</v>
      </c>
      <c r="D3986" s="3">
        <v>1.0</v>
      </c>
    </row>
    <row r="3987" ht="15.75" customHeight="1">
      <c r="A3987" s="1">
        <v>4242.0</v>
      </c>
      <c r="B3987" s="3" t="s">
        <v>3860</v>
      </c>
      <c r="C3987" s="3" t="str">
        <f>IFERROR(__xludf.DUMMYFUNCTION("GOOGLETRANSLATE(B3987,""id"",""en"")"),"['Open', 'Disappointed']")</f>
        <v>['Open', 'Disappointed']</v>
      </c>
      <c r="D3987" s="3">
        <v>4.0</v>
      </c>
    </row>
    <row r="3988" ht="15.75" customHeight="1">
      <c r="A3988" s="1">
        <v>4243.0</v>
      </c>
      <c r="B3988" s="3" t="s">
        <v>3861</v>
      </c>
      <c r="C3988" s="3" t="str">
        <f>IFERROR(__xludf.DUMMYFUNCTION("GOOGLETRANSLATE(B3988,""id"",""en"")"),"['Please', 'Sousal', 'Strengthen', 'Detix', 'Please', 'Hands', 'Lemot', ""]")</f>
        <v>['Please', 'Sousal', 'Strengthen', 'Detix', 'Please', 'Hands', 'Lemot', "]</v>
      </c>
      <c r="D3988" s="3">
        <v>3.0</v>
      </c>
    </row>
    <row r="3989" ht="15.75" customHeight="1">
      <c r="A3989" s="1">
        <v>4244.0</v>
      </c>
      <c r="B3989" s="3" t="s">
        <v>3862</v>
      </c>
      <c r="C3989" s="3" t="str">
        <f>IFERROR(__xludf.DUMMYFUNCTION("GOOGLETRANSLATE(B3989,""id"",""en"")"),"['Event', 'Exchange', 'Mobile', 'Legend', 'Access', 'Event', 'Mobile', 'Legend', 'Disappointed']")</f>
        <v>['Event', 'Exchange', 'Mobile', 'Legend', 'Access', 'Event', 'Mobile', 'Legend', 'Disappointed']</v>
      </c>
      <c r="D3989" s="3">
        <v>1.0</v>
      </c>
    </row>
    <row r="3990" ht="15.75" customHeight="1">
      <c r="A3990" s="1">
        <v>4246.0</v>
      </c>
      <c r="B3990" s="3" t="s">
        <v>3863</v>
      </c>
      <c r="C3990" s="3" t="str">
        <f>IFERROR(__xludf.DUMMYFUNCTION("GOOGLETRANSLATE(B3990,""id"",""en"")"),"['steady', 'application', '']")</f>
        <v>['steady', 'application', '']</v>
      </c>
      <c r="D3990" s="3">
        <v>5.0</v>
      </c>
    </row>
    <row r="3991" ht="15.75" customHeight="1">
      <c r="A3991" s="1">
        <v>4247.0</v>
      </c>
      <c r="B3991" s="3" t="s">
        <v>3864</v>
      </c>
      <c r="C3991" s="3" t="str">
        <f>IFERROR(__xludf.DUMMYFUNCTION("GOOGLETRANSLATE(B3991,""id"",""en"")"),"['Please', 'Telkomsel', 'data', 'cheap', 'a little', 'full', 'quota', 'main', 'divided']")</f>
        <v>['Please', 'Telkomsel', 'data', 'cheap', 'a little', 'full', 'quota', 'main', 'divided']</v>
      </c>
      <c r="D3991" s="3">
        <v>1.0</v>
      </c>
    </row>
    <row r="3992" ht="15.75" customHeight="1">
      <c r="A3992" s="1">
        <v>4248.0</v>
      </c>
      <c r="B3992" s="3" t="s">
        <v>3865</v>
      </c>
      <c r="C3992" s="3" t="str">
        <f>IFERROR(__xludf.DUMMYFUNCTION("GOOGLETRANSLATE(B3992,""id"",""en"")"),"['Paketannya', 'expensive', 'please', 'pursued']")</f>
        <v>['Paketannya', 'expensive', 'please', 'pursued']</v>
      </c>
      <c r="D3992" s="3">
        <v>5.0</v>
      </c>
    </row>
    <row r="3993" ht="15.75" customHeight="1">
      <c r="A3993" s="1">
        <v>4249.0</v>
      </c>
      <c r="B3993" s="3" t="s">
        <v>3866</v>
      </c>
      <c r="C3993" s="3" t="str">
        <f>IFERROR(__xludf.DUMMYFUNCTION("GOOGLETRANSLATE(B3993,""id"",""en"")"),"['knpa', 'application', 'open', 'Samsung', 'please', 'info', 'dlu', 'open', 'disappointed', 'wear', 'telkomsel']")</f>
        <v>['knpa', 'application', 'open', 'Samsung', 'please', 'info', 'dlu', 'open', 'disappointed', 'wear', 'telkomsel']</v>
      </c>
      <c r="D3993" s="3">
        <v>1.0</v>
      </c>
    </row>
    <row r="3994" ht="15.75" customHeight="1">
      <c r="A3994" s="1">
        <v>4250.0</v>
      </c>
      <c r="B3994" s="3" t="s">
        <v>3867</v>
      </c>
      <c r="C3994" s="3" t="str">
        <f>IFERROR(__xludf.DUMMYFUNCTION("GOOGLETRANSLATE(B3994,""id"",""en"")"),"['Enter', 'application']")</f>
        <v>['Enter', 'application']</v>
      </c>
      <c r="D3994" s="3">
        <v>1.0</v>
      </c>
    </row>
    <row r="3995" ht="15.75" customHeight="1">
      <c r="A3995" s="1">
        <v>4251.0</v>
      </c>
      <c r="B3995" s="3" t="s">
        <v>3868</v>
      </c>
      <c r="C3995" s="3" t="str">
        <f>IFERROR(__xludf.DUMMYFUNCTION("GOOGLETRANSLATE(B3995,""id"",""en"")"),"['Wear', 'Telkomsel', 'Dmapa', 'use it', 'best', 'thank', 'love', 'Telkomsel', ""]")</f>
        <v>['Wear', 'Telkomsel', 'Dmapa', 'use it', 'best', 'thank', 'love', 'Telkomsel', "]</v>
      </c>
      <c r="D3995" s="3">
        <v>5.0</v>
      </c>
    </row>
    <row r="3996" ht="15.75" customHeight="1">
      <c r="A3996" s="1">
        <v>4252.0</v>
      </c>
      <c r="B3996" s="3" t="s">
        <v>3869</v>
      </c>
      <c r="C3996" s="3" t="str">
        <f>IFERROR(__xludf.DUMMYFUNCTION("GOOGLETRANSLATE(B3996,""id"",""en"")"),"['Sorry', 'love', 'star', 'already', 'price', 'expensive', 'signal', 'no', 'stable', 'pulak']")</f>
        <v>['Sorry', 'love', 'star', 'already', 'price', 'expensive', 'signal', 'no', 'stable', 'pulak']</v>
      </c>
      <c r="D3996" s="3">
        <v>1.0</v>
      </c>
    </row>
    <row r="3997" ht="15.75" customHeight="1">
      <c r="A3997" s="1">
        <v>4253.0</v>
      </c>
      <c r="B3997" s="3" t="s">
        <v>3870</v>
      </c>
      <c r="C3997" s="3" t="str">
        <f>IFERROR(__xludf.DUMMYFUNCTION("GOOGLETRANSLATE(B3997,""id"",""en"")"),"['Just', 'Blm']")</f>
        <v>['Just', 'Blm']</v>
      </c>
      <c r="D3997" s="3">
        <v>5.0</v>
      </c>
    </row>
    <row r="3998" ht="15.75" customHeight="1">
      <c r="A3998" s="1">
        <v>4254.0</v>
      </c>
      <c r="B3998" s="3" t="s">
        <v>3871</v>
      </c>
      <c r="C3998" s="3" t="str">
        <f>IFERROR(__xludf.DUMMYFUNCTION("GOOGLETRANSLATE(B3998,""id"",""en"")"),"['easy', 'check', 'quota']")</f>
        <v>['easy', 'check', 'quota']</v>
      </c>
      <c r="D3998" s="3">
        <v>5.0</v>
      </c>
    </row>
    <row r="3999" ht="15.75" customHeight="1">
      <c r="A3999" s="1">
        <v>4255.0</v>
      </c>
      <c r="B3999" s="3" t="s">
        <v>3872</v>
      </c>
      <c r="C3999" s="3" t="str">
        <f>IFERROR(__xludf.DUMMYFUNCTION("GOOGLETRANSLATE(B3999,""id"",""en"")"),"['Here', 'Telkomsel']")</f>
        <v>['Here', 'Telkomsel']</v>
      </c>
      <c r="D3999" s="3">
        <v>1.0</v>
      </c>
    </row>
    <row r="4000" ht="15.75" customHeight="1">
      <c r="A4000" s="1">
        <v>4256.0</v>
      </c>
      <c r="B4000" s="3" t="s">
        <v>3873</v>
      </c>
      <c r="C4000" s="3" t="str">
        <f>IFERROR(__xludf.DUMMYFUNCTION("GOOGLETRANSLATE(B4000,""id"",""en"")"),"['satisfying', 'mintak', 'please', 'account', 'Telkomsel', 'promo', 'package', 'internet', 'cheap', 'telkomsel']")</f>
        <v>['satisfying', 'mintak', 'please', 'account', 'Telkomsel', 'promo', 'package', 'internet', 'cheap', 'telkomsel']</v>
      </c>
      <c r="D4000" s="3">
        <v>5.0</v>
      </c>
    </row>
    <row r="4001" ht="15.75" customHeight="1">
      <c r="A4001" s="1">
        <v>4257.0</v>
      </c>
      <c r="B4001" s="3" t="s">
        <v>3874</v>
      </c>
      <c r="C4001" s="3" t="str">
        <f>IFERROR(__xludf.DUMMYFUNCTION("GOOGLETRANSLATE(B4001,""id"",""en"")"),"['appears', 'the application']")</f>
        <v>['appears', 'the application']</v>
      </c>
      <c r="D4001" s="3">
        <v>5.0</v>
      </c>
    </row>
    <row r="4002" ht="15.75" customHeight="1">
      <c r="A4002" s="1">
        <v>4258.0</v>
      </c>
      <c r="B4002" s="3" t="s">
        <v>3875</v>
      </c>
      <c r="C4002" s="3" t="str">
        <f>IFERROR(__xludf.DUMMYFUNCTION("GOOGLETRANSLATE(B4002,""id"",""en"")"),"['buy', 'quota', 'combo', 'magic', 'price', 'fail', 'yaa', '']")</f>
        <v>['buy', 'quota', 'combo', 'magic', 'price', 'fail', 'yaa', '']</v>
      </c>
      <c r="D4002" s="3">
        <v>1.0</v>
      </c>
    </row>
    <row r="4003" ht="15.75" customHeight="1">
      <c r="A4003" s="1">
        <v>4259.0</v>
      </c>
      <c r="B4003" s="3" t="s">
        <v>3876</v>
      </c>
      <c r="C4003" s="3" t="str">
        <f>IFERROR(__xludf.DUMMYFUNCTION("GOOGLETRANSLATE(B4003,""id"",""en"")"),"['friendly', 'price', 'package', 'signal', 'requested', 'stable', 'already', 'buy', 'expensive', 'disamain', 'cheap']")</f>
        <v>['friendly', 'price', 'package', 'signal', 'requested', 'stable', 'already', 'buy', 'expensive', 'disamain', 'cheap']</v>
      </c>
      <c r="D4003" s="3">
        <v>5.0</v>
      </c>
    </row>
    <row r="4004" ht="15.75" customHeight="1">
      <c r="A4004" s="1">
        <v>4260.0</v>
      </c>
      <c r="B4004" s="3" t="s">
        <v>3877</v>
      </c>
      <c r="C4004" s="3" t="str">
        <f>IFERROR(__xludf.DUMMYFUNCTION("GOOGLETRANSLATE(B4004,""id"",""en"")"),"['Information', 'package', 'data', 'leftover', 'pulse', 'run out', 'drained']")</f>
        <v>['Information', 'package', 'data', 'leftover', 'pulse', 'run out', 'drained']</v>
      </c>
      <c r="D4004" s="3">
        <v>1.0</v>
      </c>
    </row>
    <row r="4005" ht="15.75" customHeight="1">
      <c r="A4005" s="1">
        <v>4261.0</v>
      </c>
      <c r="B4005" s="3" t="s">
        <v>3878</v>
      </c>
      <c r="C4005" s="3" t="str">
        <f>IFERROR(__xludf.DUMMYFUNCTION("GOOGLETRANSLATE(B4005,""id"",""en"")"),"['Please', 'price', 'package', 'expensive', 'here', 'expensive', 'brother', 'buy', 'package', 'Telkomsel', 'price', 'expensive', ' Kayak ',' Telkomsel ',' ']")</f>
        <v>['Please', 'price', 'package', 'expensive', 'here', 'expensive', 'brother', 'buy', 'package', 'Telkomsel', 'price', 'expensive', ' Kayak ',' Telkomsel ',' ']</v>
      </c>
      <c r="D4005" s="3">
        <v>3.0</v>
      </c>
    </row>
    <row r="4006" ht="15.75" customHeight="1">
      <c r="A4006" s="1">
        <v>4262.0</v>
      </c>
      <c r="B4006" s="3" t="s">
        <v>3879</v>
      </c>
      <c r="C4006" s="3" t="str">
        <f>IFERROR(__xludf.DUMMYFUNCTION("GOOGLETRANSLATE(B4006,""id"",""en"")"),"['Suitable', 'really', 'buy', 'data', 'pulse']")</f>
        <v>['Suitable', 'really', 'buy', 'data', 'pulse']</v>
      </c>
      <c r="D4006" s="3">
        <v>5.0</v>
      </c>
    </row>
    <row r="4007" ht="15.75" customHeight="1">
      <c r="A4007" s="1">
        <v>4263.0</v>
      </c>
      <c r="B4007" s="3" t="s">
        <v>3880</v>
      </c>
      <c r="C4007" s="3" t="str">
        <f>IFERROR(__xludf.DUMMYFUNCTION("GOOGLETRANSLATE(B4007,""id"",""en"")"),"['quota', 'Mahall', 'Network', 'slow']")</f>
        <v>['quota', 'Mahall', 'Network', 'slow']</v>
      </c>
      <c r="D4007" s="3">
        <v>2.0</v>
      </c>
    </row>
    <row r="4008" ht="15.75" customHeight="1">
      <c r="A4008" s="1">
        <v>4264.0</v>
      </c>
      <c r="B4008" s="3" t="s">
        <v>3881</v>
      </c>
      <c r="C4008" s="3" t="str">
        <f>IFERROR(__xludf.DUMMYFUNCTION("GOOGLETRANSLATE(B4008,""id"",""en"")"),"['APK', 'good', 'really']")</f>
        <v>['APK', 'good', 'really']</v>
      </c>
      <c r="D4008" s="3">
        <v>5.0</v>
      </c>
    </row>
    <row r="4009" ht="15.75" customHeight="1">
      <c r="A4009" s="1">
        <v>4265.0</v>
      </c>
      <c r="B4009" s="3" t="s">
        <v>3882</v>
      </c>
      <c r="C4009" s="3" t="str">
        <f>IFERROR(__xludf.DUMMYFUNCTION("GOOGLETRANSLATE(B4009,""id"",""en"")"),"['Stop', 'Telkomsel', 'Cook', 'Play', 'Game', 'Signal', 'Lost', 'Stop', 'Telkomsel', 'Signal', 'Support', 'Very']")</f>
        <v>['Stop', 'Telkomsel', 'Cook', 'Play', 'Game', 'Signal', 'Lost', 'Stop', 'Telkomsel', 'Signal', 'Support', 'Very']</v>
      </c>
      <c r="D4009" s="3">
        <v>1.0</v>
      </c>
    </row>
    <row r="4010" ht="15.75" customHeight="1">
      <c r="A4010" s="1">
        <v>4266.0</v>
      </c>
      <c r="B4010" s="3" t="s">
        <v>3883</v>
      </c>
      <c r="C4010" s="3" t="str">
        <f>IFERROR(__xludf.DUMMYFUNCTION("GOOGLETRANSLATE(B4010,""id"",""en"")"),"['signal', 'dimaxsimarkan']")</f>
        <v>['signal', 'dimaxsimarkan']</v>
      </c>
      <c r="D4010" s="3">
        <v>4.0</v>
      </c>
    </row>
    <row r="4011" ht="15.75" customHeight="1">
      <c r="A4011" s="1">
        <v>4267.0</v>
      </c>
      <c r="B4011" s="3" t="s">
        <v>3884</v>
      </c>
      <c r="C4011" s="3" t="str">
        <f>IFERROR(__xludf.DUMMYFUNCTION("GOOGLETRANSLATE(B4011,""id"",""en"")"),"['open', 'Telkomsel', 'network', 'wifi', 'anything', 'network', 'impromptu', 'sometimes', 'difficult', 'open']")</f>
        <v>['open', 'Telkomsel', 'network', 'wifi', 'anything', 'network', 'impromptu', 'sometimes', 'difficult', 'open']</v>
      </c>
      <c r="D4011" s="3">
        <v>1.0</v>
      </c>
    </row>
    <row r="4012" ht="15.75" customHeight="1">
      <c r="A4012" s="1">
        <v>4268.0</v>
      </c>
      <c r="B4012" s="3" t="s">
        <v>3885</v>
      </c>
      <c r="C4012" s="3" t="str">
        <f>IFERROR(__xludf.DUMMYFUNCTION("GOOGLETRANSLATE(B4012,""id"",""en"")"),"['Ribet', 'usage', 'annoying', 'download']")</f>
        <v>['Ribet', 'usage', 'annoying', 'download']</v>
      </c>
      <c r="D4012" s="3">
        <v>1.0</v>
      </c>
    </row>
    <row r="4013" ht="15.75" customHeight="1">
      <c r="A4013" s="1">
        <v>4269.0</v>
      </c>
      <c r="B4013" s="3" t="s">
        <v>3886</v>
      </c>
      <c r="C4013" s="3" t="str">
        <f>IFERROR(__xludf.DUMMYFUNCTION("GOOGLETRANSLATE(B4013,""id"",""en"")"),"['KPN', 'promo', 'best']")</f>
        <v>['KPN', 'promo', 'best']</v>
      </c>
      <c r="D4013" s="3">
        <v>5.0</v>
      </c>
    </row>
    <row r="4014" ht="15.75" customHeight="1">
      <c r="A4014" s="1">
        <v>4270.0</v>
      </c>
      <c r="B4014" s="3" t="s">
        <v>1044</v>
      </c>
      <c r="C4014" s="3" t="str">
        <f>IFERROR(__xludf.DUMMYFUNCTION("GOOGLETRANSLATE(B4014,""id"",""en"")"),"['good', '']")</f>
        <v>['good', '']</v>
      </c>
      <c r="D4014" s="3">
        <v>5.0</v>
      </c>
    </row>
    <row r="4015" ht="15.75" customHeight="1">
      <c r="A4015" s="1">
        <v>4271.0</v>
      </c>
      <c r="B4015" s="3" t="s">
        <v>3887</v>
      </c>
      <c r="C4015" s="3" t="str">
        <f>IFERROR(__xludf.DUMMYFUNCTION("GOOGLETRANSLATE(B4015,""id"",""en"")"),"['Telkomsel', 'idiot', 'signal', 'kayak', 'person', 'ngemis', 'ajg', 'telkomsel', 'customer', 'difficult']")</f>
        <v>['Telkomsel', 'idiot', 'signal', 'kayak', 'person', 'ngemis', 'ajg', 'telkomsel', 'customer', 'difficult']</v>
      </c>
      <c r="D4015" s="3">
        <v>1.0</v>
      </c>
    </row>
    <row r="4016" ht="15.75" customHeight="1">
      <c r="A4016" s="1">
        <v>4272.0</v>
      </c>
      <c r="B4016" s="3" t="s">
        <v>3888</v>
      </c>
      <c r="C4016" s="3" t="str">
        <f>IFERROR(__xludf.DUMMYFUNCTION("GOOGLETRANSLATE(B4016,""id"",""en"")"),"['Gara', 'Take', 'Credit', 'Emergency', 'Suck', 'Mulu', 'Disappointed', 'Telkomsel']")</f>
        <v>['Gara', 'Take', 'Credit', 'Emergency', 'Suck', 'Mulu', 'Disappointed', 'Telkomsel']</v>
      </c>
      <c r="D4016" s="3">
        <v>1.0</v>
      </c>
    </row>
    <row r="4017" ht="15.75" customHeight="1">
      <c r="A4017" s="1">
        <v>4273.0</v>
      </c>
      <c r="B4017" s="3" t="s">
        <v>3889</v>
      </c>
      <c r="C4017" s="3" t="str">
        <f>IFERROR(__xludf.DUMMYFUNCTION("GOOGLETRANSLATE(B4017,""id"",""en"")"),"['steady', 'spirit', 'users', 'Telkomsel']")</f>
        <v>['steady', 'spirit', 'users', 'Telkomsel']</v>
      </c>
      <c r="D4017" s="3">
        <v>5.0</v>
      </c>
    </row>
    <row r="4018" ht="15.75" customHeight="1">
      <c r="A4018" s="1">
        <v>4274.0</v>
      </c>
      <c r="B4018" s="3" t="s">
        <v>3890</v>
      </c>
      <c r="C4018" s="3" t="str">
        <f>IFERROR(__xludf.DUMMYFUNCTION("GOOGLETRANSLATE(B4018,""id"",""en"")"),"['application', 'Telkomsel', 'opened', 'screen', 'white', 'plain', 'deletedata', 'garbage', 'install', 'reset', ""]")</f>
        <v>['application', 'Telkomsel', 'opened', 'screen', 'white', 'plain', 'deletedata', 'garbage', 'install', 'reset', "]</v>
      </c>
      <c r="D4018" s="3">
        <v>1.0</v>
      </c>
    </row>
    <row r="4019" ht="15.75" customHeight="1">
      <c r="A4019" s="1">
        <v>4275.0</v>
      </c>
      <c r="B4019" s="3" t="s">
        <v>3891</v>
      </c>
      <c r="C4019" s="3" t="str">
        <f>IFERROR(__xludf.DUMMYFUNCTION("GOOGLETRANSLATE(B4019,""id"",""en"")"),"['Link', 'code', 'put', 'lol']")</f>
        <v>['Link', 'code', 'put', 'lol']</v>
      </c>
      <c r="D4019" s="3">
        <v>1.0</v>
      </c>
    </row>
    <row r="4020" ht="15.75" customHeight="1">
      <c r="A4020" s="1">
        <v>4276.0</v>
      </c>
      <c r="B4020" s="3" t="s">
        <v>3892</v>
      </c>
      <c r="C4020" s="3" t="str">
        <f>IFERROR(__xludf.DUMMYFUNCTION("GOOGLETRANSLATE(B4020,""id"",""en"")"),"['application', 'error', 'alternating', 'enter', 'number', '']")</f>
        <v>['application', 'error', 'alternating', 'enter', 'number', '']</v>
      </c>
      <c r="D4020" s="3">
        <v>1.0</v>
      </c>
    </row>
    <row r="4021" ht="15.75" customHeight="1">
      <c r="A4021" s="1">
        <v>4277.0</v>
      </c>
      <c r="B4021" s="3" t="s">
        <v>3893</v>
      </c>
      <c r="C4021" s="3" t="str">
        <f>IFERROR(__xludf.DUMMYFUNCTION("GOOGLETRANSLATE(B4021,""id"",""en"")"),"['expensive', 'network', 'like', 'slow', 'pulse', 'ilang', 'Please', 'repaired', 'thank you', ""]")</f>
        <v>['expensive', 'network', 'like', 'slow', 'pulse', 'ilang', 'Please', 'repaired', 'thank you', "]</v>
      </c>
      <c r="D4021" s="3">
        <v>2.0</v>
      </c>
    </row>
    <row r="4022" ht="15.75" customHeight="1">
      <c r="A4022" s="1">
        <v>4278.0</v>
      </c>
      <c r="B4022" s="3" t="s">
        <v>3894</v>
      </c>
      <c r="C4022" s="3" t="str">
        <f>IFERROR(__xludf.DUMMYFUNCTION("GOOGLETRANSLATE(B4022,""id"",""en"")"),"['The application']")</f>
        <v>['The application']</v>
      </c>
      <c r="D4022" s="3">
        <v>5.0</v>
      </c>
    </row>
    <row r="4023" ht="15.75" customHeight="1">
      <c r="A4023" s="1">
        <v>4279.0</v>
      </c>
      <c r="B4023" s="3" t="s">
        <v>3895</v>
      </c>
      <c r="C4023" s="3" t="str">
        <f>IFERROR(__xludf.DUMMYFUNCTION("GOOGLETRANSLATE(B4023,""id"",""en"")"),"['', 'yeah', 'min', 'ask', 'point', 'dm', 'gabisa', 'buy', 'min', 'point', 'yes',' makasi ',' min ']")</f>
        <v>['', 'yeah', 'min', 'ask', 'point', 'dm', 'gabisa', 'buy', 'min', 'point', 'yes',' makasi ',' min ']</v>
      </c>
      <c r="D4023" s="3">
        <v>1.0</v>
      </c>
    </row>
    <row r="4024" ht="15.75" customHeight="1">
      <c r="A4024" s="1">
        <v>4280.0</v>
      </c>
      <c r="B4024" s="3" t="s">
        <v>3896</v>
      </c>
      <c r="C4024" s="3" t="str">
        <f>IFERROR(__xludf.DUMMYFUNCTION("GOOGLETRANSLATE(B4024,""id"",""en"")"),"['Samapai', 'repairs', 'payment', 'link']")</f>
        <v>['Samapai', 'repairs', 'payment', 'link']</v>
      </c>
      <c r="D4024" s="3">
        <v>1.0</v>
      </c>
    </row>
    <row r="4025" ht="15.75" customHeight="1">
      <c r="A4025" s="1">
        <v>4281.0</v>
      </c>
      <c r="B4025" s="3" t="s">
        <v>3897</v>
      </c>
      <c r="C4025" s="3" t="str">
        <f>IFERROR(__xludf.DUMMYFUNCTION("GOOGLETRANSLATE(B4025,""id"",""en"")"),"['network', 'wear', 'ngelag', 'sinbol', 'network', 'nge', 'lag', 'telkomsel', 'now', 'no', 'rich', 'Telkomtol', ' Ngellag ',' DSR ',' card ',' AJG ',' Gaguna ']")</f>
        <v>['network', 'wear', 'ngelag', 'sinbol', 'network', 'nge', 'lag', 'telkomsel', 'now', 'no', 'rich', 'Telkomtol', ' Ngellag ',' DSR ',' card ',' AJG ',' Gaguna ']</v>
      </c>
      <c r="D4025" s="3">
        <v>1.0</v>
      </c>
    </row>
    <row r="4026" ht="15.75" customHeight="1">
      <c r="A4026" s="1">
        <v>4282.0</v>
      </c>
      <c r="B4026" s="3" t="s">
        <v>3898</v>
      </c>
      <c r="C4026" s="3" t="str">
        <f>IFERROR(__xludf.DUMMYFUNCTION("GOOGLETRANSLATE(B4026,""id"",""en"")"),"['already', 'expensive', 'network', 'sane', 'gws']")</f>
        <v>['already', 'expensive', 'network', 'sane', 'gws']</v>
      </c>
      <c r="D4026" s="3">
        <v>1.0</v>
      </c>
    </row>
    <row r="4027" ht="15.75" customHeight="1">
      <c r="A4027" s="1">
        <v>4283.0</v>
      </c>
      <c r="B4027" s="3" t="s">
        <v>3899</v>
      </c>
      <c r="C4027" s="3" t="str">
        <f>IFERROR(__xludf.DUMMYFUNCTION("GOOGLETRANSLATE(B4027,""id"",""en"")"),"['application', 'please', 'buy', 'unlimitedmax', 'umb', 'gara', 'application', 'buy', 'unlimitedmax', 'strange', 'really', 'package', ' expensive ',' application ',' recommended ']")</f>
        <v>['application', 'please', 'buy', 'unlimitedmax', 'umb', 'gara', 'application', 'buy', 'unlimitedmax', 'strange', 'really', 'package', ' expensive ',' application ',' recommended ']</v>
      </c>
      <c r="D4027" s="3">
        <v>1.0</v>
      </c>
    </row>
    <row r="4028" ht="15.75" customHeight="1">
      <c r="A4028" s="1">
        <v>4284.0</v>
      </c>
      <c r="B4028" s="3" t="s">
        <v>3900</v>
      </c>
      <c r="C4028" s="3" t="str">
        <f>IFERROR(__xludf.DUMMYFUNCTION("GOOGLETRANSLATE(B4028,""id"",""en"")"),"['Telkomnyet', 'Anying', 'Network', 'Kayak', 'Taikk']")</f>
        <v>['Telkomnyet', 'Anying', 'Network', 'Kayak', 'Taikk']</v>
      </c>
      <c r="D4028" s="3">
        <v>1.0</v>
      </c>
    </row>
    <row r="4029" ht="15.75" customHeight="1">
      <c r="A4029" s="1">
        <v>4285.0</v>
      </c>
      <c r="B4029" s="3" t="s">
        <v>3901</v>
      </c>
      <c r="C4029" s="3" t="str">
        <f>IFERROR(__xludf.DUMMYFUNCTION("GOOGLETRANSLATE(B4029,""id"",""en"")"),"['buy', 'package', 'network', 'slow', 'told', 'minute', 'try', 'furious',' the network ',' according to ',' ad ',' hope ',' Maximize ',' user ',' card ',' turn ']")</f>
        <v>['buy', 'package', 'network', 'slow', 'told', 'minute', 'try', 'furious',' the network ',' according to ',' ad ',' hope ',' Maximize ',' user ',' card ',' turn ']</v>
      </c>
      <c r="D4029" s="3">
        <v>2.0</v>
      </c>
    </row>
    <row r="4030" ht="15.75" customHeight="1">
      <c r="A4030" s="1">
        <v>4286.0</v>
      </c>
      <c r="B4030" s="3" t="s">
        <v>3902</v>
      </c>
      <c r="C4030" s="3" t="str">
        <f>IFERROR(__xludf.DUMMYFUNCTION("GOOGLETRANSLATE(B4030,""id"",""en"")"),"['YTH', 'Telkomsel', 'Gifts', 'Please', 'Consider', 'Customers', 'Setia', 'Telkomsel', 'Thank you', ""]")</f>
        <v>['YTH', 'Telkomsel', 'Gifts', 'Please', 'Consider', 'Customers', 'Setia', 'Telkomsel', 'Thank you', "]</v>
      </c>
      <c r="D4030" s="3">
        <v>3.0</v>
      </c>
    </row>
    <row r="4031" ht="15.75" customHeight="1">
      <c r="A4031" s="1">
        <v>4287.0</v>
      </c>
      <c r="B4031" s="3" t="s">
        <v>3903</v>
      </c>
      <c r="C4031" s="3" t="str">
        <f>IFERROR(__xludf.DUMMYFUNCTION("GOOGLETRANSLATE(B4031,""id"",""en"")"),"['Application', '']")</f>
        <v>['Application', '']</v>
      </c>
      <c r="D4031" s="3">
        <v>3.0</v>
      </c>
    </row>
    <row r="4032" ht="15.75" customHeight="1">
      <c r="A4032" s="1">
        <v>4288.0</v>
      </c>
      <c r="B4032" s="3" t="s">
        <v>3904</v>
      </c>
      <c r="C4032" s="3" t="str">
        <f>IFERROR(__xludf.DUMMYFUNCTION("GOOGLETRANSLATE(B4032,""id"",""en"")"),"['msh', 'blm', 'open', 'apk', 'udh', 'brapa', 'times', 'install', 'reset', 'ttep', 'open']")</f>
        <v>['msh', 'blm', 'open', 'apk', 'udh', 'brapa', 'times', 'install', 'reset', 'ttep', 'open']</v>
      </c>
      <c r="D4032" s="3">
        <v>2.0</v>
      </c>
    </row>
    <row r="4033" ht="15.75" customHeight="1">
      <c r="A4033" s="1">
        <v>4289.0</v>
      </c>
      <c r="B4033" s="3" t="s">
        <v>3905</v>
      </c>
      <c r="C4033" s="3" t="str">
        <f>IFERROR(__xludf.DUMMYFUNCTION("GOOGLETRANSLATE(B4033,""id"",""en"")"),"['petrified', ""]")</f>
        <v>['petrified', "]</v>
      </c>
      <c r="D4033" s="3">
        <v>5.0</v>
      </c>
    </row>
    <row r="4034" ht="15.75" customHeight="1">
      <c r="A4034" s="1">
        <v>4290.0</v>
      </c>
      <c r="B4034" s="3" t="s">
        <v>3906</v>
      </c>
      <c r="C4034" s="3" t="str">
        <f>IFERROR(__xludf.DUMMYFUNCTION("GOOGLETRANSLATE(B4034,""id"",""en"")"),"['Help', 'confused', 'pay', 'bill', 'card', 'hello', 'date', 'December', 'run out', 'quota', 'quota', 'subscription', ' Use ',' Costs', 'bills',' run ',' RbU ',' forced ',' quota ',' subscribe ',' fabbling ',' activation ',' quota ',' date ',' bbatas' , '"&amp;"payment', 'date', 'active', 'use', 'card', 'hello', 'date', 'block', ""]")</f>
        <v>['Help', 'confused', 'pay', 'bill', 'card', 'hello', 'date', 'December', 'run out', 'quota', 'quota', 'subscription', ' Use ',' Costs', 'bills',' run ',' RbU ',' forced ',' quota ',' subscribe ',' fabbling ',' activation ',' quota ',' date ',' bbatas' , 'payment', 'date', 'active', 'use', 'card', 'hello', 'date', 'block', "]</v>
      </c>
      <c r="D4034" s="3">
        <v>5.0</v>
      </c>
    </row>
    <row r="4035" ht="15.75" customHeight="1">
      <c r="A4035" s="1">
        <v>4291.0</v>
      </c>
      <c r="B4035" s="3" t="s">
        <v>3907</v>
      </c>
      <c r="C4035" s="3" t="str">
        <f>IFERROR(__xludf.DUMMYFUNCTION("GOOGLETRANSLATE(B4035,""id"",""en"")"),"['signal', 'good', 'kel', 'Semanan', 'kec', 'kalideres']")</f>
        <v>['signal', 'good', 'kel', 'Semanan', 'kec', 'kalideres']</v>
      </c>
      <c r="D4035" s="3">
        <v>2.0</v>
      </c>
    </row>
    <row r="4036" ht="15.75" customHeight="1">
      <c r="A4036" s="1">
        <v>4292.0</v>
      </c>
      <c r="B4036" s="3" t="s">
        <v>3908</v>
      </c>
      <c r="C4036" s="3" t="str">
        <f>IFERROR(__xludf.DUMMYFUNCTION("GOOGLETRANSLATE(B4036,""id"",""en"")"),"['Satisfied', 'really', 'kouta', 'internet', 'please', 'deducated', 'enthusiasm', 'increase', 'Please', 'sorry', 'wrong', 'trima', ' Love ',' Telkomsel ',' in front ', ""]")</f>
        <v>['Satisfied', 'really', 'kouta', 'internet', 'please', 'deducated', 'enthusiasm', 'increase', 'Please', 'sorry', 'wrong', 'trima', ' Love ',' Telkomsel ',' in front ', "]</v>
      </c>
      <c r="D4036" s="3">
        <v>5.0</v>
      </c>
    </row>
    <row r="4037" ht="15.75" customHeight="1">
      <c r="A4037" s="1">
        <v>4293.0</v>
      </c>
      <c r="B4037" s="3" t="s">
        <v>3909</v>
      </c>
      <c r="C4037" s="3" t="str">
        <f>IFERROR(__xludf.DUMMYFUNCTION("GOOGLETRANSLATE(B4037,""id"",""en"")"),"['Application', 'Cool', 'Telkomsel', 'Fill', 'Balance', 'Credit', 'Lost', ""]")</f>
        <v>['Application', 'Cool', 'Telkomsel', 'Fill', 'Balance', 'Credit', 'Lost', "]</v>
      </c>
      <c r="D4037" s="3">
        <v>4.0</v>
      </c>
    </row>
    <row r="4038" ht="15.75" customHeight="1">
      <c r="A4038" s="1">
        <v>4294.0</v>
      </c>
      <c r="B4038" s="3" t="s">
        <v>3910</v>
      </c>
      <c r="C4038" s="3" t="str">
        <f>IFERROR(__xludf.DUMMYFUNCTION("GOOGLETRANSLATE(B4038,""id"",""en"")"),"['Min', 'Telkomsel', 'Fill', 'Pulas', 'Take', 'Example', 'Buy', 'Gini']")</f>
        <v>['Min', 'Telkomsel', 'Fill', 'Pulas', 'Take', 'Example', 'Buy', 'Gini']</v>
      </c>
      <c r="D4038" s="3">
        <v>1.0</v>
      </c>
    </row>
    <row r="4039" ht="15.75" customHeight="1">
      <c r="A4039" s="1">
        <v>4295.0</v>
      </c>
      <c r="B4039" s="3" t="s">
        <v>3911</v>
      </c>
      <c r="C4039" s="3" t="str">
        <f>IFERROR(__xludf.DUMMYFUNCTION("GOOGLETRANSLATE(B4039,""id"",""en"")"),"['Change', 'Bintang', 'here', 'Network', 'Bad', 'Good']")</f>
        <v>['Change', 'Bintang', 'here', 'Network', 'Bad', 'Good']</v>
      </c>
      <c r="D4039" s="3">
        <v>4.0</v>
      </c>
    </row>
    <row r="4040" ht="15.75" customHeight="1">
      <c r="A4040" s="1">
        <v>4296.0</v>
      </c>
      <c r="B4040" s="3" t="s">
        <v>3912</v>
      </c>
      <c r="C4040" s="3" t="str">
        <f>IFERROR(__xludf.DUMMYFUNCTION("GOOGLETRANSLATE(B4040,""id"",""en"")"),"['Package', 'Game', 'Max', 'Ridak']")</f>
        <v>['Package', 'Game', 'Max', 'Ridak']</v>
      </c>
      <c r="D4040" s="3">
        <v>1.0</v>
      </c>
    </row>
    <row r="4041" ht="15.75" customHeight="1">
      <c r="A4041" s="1">
        <v>4297.0</v>
      </c>
      <c r="B4041" s="3" t="s">
        <v>3913</v>
      </c>
      <c r="C4041" s="3" t="str">
        <f>IFERROR(__xludf.DUMMYFUNCTION("GOOGLETRANSLATE(B4041,""id"",""en"")"),"['Telkomsel', 'network', 'slow', 'apalgi', 'play', 'game', 'online', 'network', 'slow', 'severe']")</f>
        <v>['Telkomsel', 'network', 'slow', 'apalgi', 'play', 'game', 'online', 'network', 'slow', 'severe']</v>
      </c>
      <c r="D4041" s="3">
        <v>1.0</v>
      </c>
    </row>
    <row r="4042" ht="15.75" customHeight="1">
      <c r="A4042" s="1">
        <v>4298.0</v>
      </c>
      <c r="B4042" s="3" t="s">
        <v>3914</v>
      </c>
      <c r="C4042" s="3" t="str">
        <f>IFERROR(__xludf.DUMMYFUNCTION("GOOGLETRANSLATE(B4042,""id"",""en"")"),"['Rewel', 'Download', 'Open', 'White', 'Doang']")</f>
        <v>['Rewel', 'Download', 'Open', 'White', 'Doang']</v>
      </c>
      <c r="D4042" s="3">
        <v>1.0</v>
      </c>
    </row>
    <row r="4043" ht="15.75" customHeight="1">
      <c r="A4043" s="1">
        <v>4299.0</v>
      </c>
      <c r="B4043" s="3" t="s">
        <v>943</v>
      </c>
      <c r="C4043" s="3" t="str">
        <f>IFERROR(__xludf.DUMMYFUNCTION("GOOGLETRANSLATE(B4043,""id"",""en"")"),"['satisfying']")</f>
        <v>['satisfying']</v>
      </c>
      <c r="D4043" s="3">
        <v>5.0</v>
      </c>
    </row>
    <row r="4044" ht="15.75" customHeight="1">
      <c r="A4044" s="1">
        <v>4300.0</v>
      </c>
      <c r="B4044" s="3" t="s">
        <v>2981</v>
      </c>
      <c r="C4044" s="3" t="str">
        <f>IFERROR(__xludf.DUMMYFUNCTION("GOOGLETRANSLATE(B4044,""id"",""en"")"),"['APK', 'good']")</f>
        <v>['APK', 'good']</v>
      </c>
      <c r="D4044" s="3">
        <v>5.0</v>
      </c>
    </row>
    <row r="4045" ht="15.75" customHeight="1">
      <c r="A4045" s="1">
        <v>4301.0</v>
      </c>
      <c r="B4045" s="3" t="s">
        <v>3915</v>
      </c>
      <c r="C4045" s="3" t="str">
        <f>IFERROR(__xludf.DUMMYFUNCTION("GOOGLETRANSLATE(B4045,""id"",""en"")"),"['The application', 'asked', 'already', 'HPUS', 'Install', 'LGI', 'DIRECTED', 'KNP']")</f>
        <v>['The application', 'asked', 'already', 'HPUS', 'Install', 'LGI', 'DIRECTED', 'KNP']</v>
      </c>
      <c r="D4045" s="3">
        <v>1.0</v>
      </c>
    </row>
    <row r="4046" ht="15.75" customHeight="1">
      <c r="A4046" s="1">
        <v>4302.0</v>
      </c>
      <c r="B4046" s="3" t="s">
        <v>3916</v>
      </c>
      <c r="C4046" s="3" t="str">
        <f>IFERROR(__xludf.DUMMYFUNCTION("GOOGLETRANSLATE(B4046,""id"",""en"")"),"['Dear', 'developer', 'update', 'trophy', 'sya', 'access',' in ',' exchange ',' point ',' diamond ',' game ',' update ',' smoothly ',' Shars', 'really', 'points',' scorched ',' fix ',' mistrung ',' exchanging ',' ']")</f>
        <v>['Dear', 'developer', 'update', 'trophy', 'sya', 'access',' in ',' exchange ',' point ',' diamond ',' game ',' update ',' smoothly ',' Shars', 'really', 'points',' scorched ',' fix ',' mistrung ',' exchanging ',' ']</v>
      </c>
      <c r="D4046" s="3">
        <v>3.0</v>
      </c>
    </row>
    <row r="4047" ht="15.75" customHeight="1">
      <c r="A4047" s="1">
        <v>4304.0</v>
      </c>
      <c r="B4047" s="3" t="s">
        <v>3917</v>
      </c>
      <c r="C4047" s="3" t="str">
        <f>IFERROR(__xludf.DUMMYFUNCTION("GOOGLETRANSLATE(B4047,""id"",""en"")"),"['Hello', 'users', 'Telkomsel', 'Tisak', 'Bukak', 'Telkomsel', 'Points', 'Please', 'BANTOM', '']")</f>
        <v>['Hello', 'users', 'Telkomsel', 'Tisak', 'Bukak', 'Telkomsel', 'Points', 'Please', 'BANTOM', '']</v>
      </c>
      <c r="D4047" s="3">
        <v>2.0</v>
      </c>
    </row>
    <row r="4048" ht="15.75" customHeight="1">
      <c r="A4048" s="1">
        <v>4305.0</v>
      </c>
      <c r="B4048" s="3" t="s">
        <v>3918</v>
      </c>
      <c r="C4048" s="3" t="str">
        <f>IFERROR(__xludf.DUMMYFUNCTION("GOOGLETRANSLATE(B4048,""id"",""en"")"),"['knapa', 'open', 'loading', 'clock', 'longaa', 'pisan', 'entry', '']")</f>
        <v>['knapa', 'open', 'loading', 'clock', 'longaa', 'pisan', 'entry', '']</v>
      </c>
      <c r="D4048" s="3">
        <v>1.0</v>
      </c>
    </row>
    <row r="4049" ht="15.75" customHeight="1">
      <c r="A4049" s="1">
        <v>4306.0</v>
      </c>
      <c r="B4049" s="3" t="s">
        <v>3919</v>
      </c>
      <c r="C4049" s="3" t="str">
        <f>IFERROR(__xludf.DUMMYFUNCTION("GOOGLETRANSLATE(B4049,""id"",""en"")"),"['fasting', 'cheap', 'donk', 'package']")</f>
        <v>['fasting', 'cheap', 'donk', 'package']</v>
      </c>
      <c r="D4049" s="3">
        <v>5.0</v>
      </c>
    </row>
    <row r="4050" ht="15.75" customHeight="1">
      <c r="A4050" s="1">
        <v>4307.0</v>
      </c>
      <c r="B4050" s="3" t="s">
        <v>3920</v>
      </c>
      <c r="C4050" s="3" t="str">
        <f>IFERROR(__xludf.DUMMYFUNCTION("GOOGLETRANSLATE(B4050,""id"",""en"")"),"['Telkomsel', 'The network', 'steady']")</f>
        <v>['Telkomsel', 'The network', 'steady']</v>
      </c>
      <c r="D4050" s="3">
        <v>5.0</v>
      </c>
    </row>
    <row r="4051" ht="15.75" customHeight="1">
      <c r="A4051" s="1">
        <v>4308.0</v>
      </c>
      <c r="B4051" s="3" t="s">
        <v>3921</v>
      </c>
      <c r="C4051" s="3" t="str">
        <f>IFERROR(__xludf.DUMMYFUNCTION("GOOGLETRANSLATE(B4051,""id"",""en"")"),"['Telkomsel', 'Rank', 'Down', 'Mytik', 'Sampe', 'Epic', 'Crazy', 'Weve', 'Season', 'Ngeleg', 'then', 'Ampe', ' Banting ',' ']")</f>
        <v>['Telkomsel', 'Rank', 'Down', 'Mytik', 'Sampe', 'Epic', 'Crazy', 'Weve', 'Season', 'Ngeleg', 'then', 'Ampe', ' Banting ',' ']</v>
      </c>
      <c r="D4051" s="3">
        <v>1.0</v>
      </c>
    </row>
    <row r="4052" ht="15.75" customHeight="1">
      <c r="A4052" s="1">
        <v>4309.0</v>
      </c>
      <c r="B4052" s="3" t="s">
        <v>3922</v>
      </c>
      <c r="C4052" s="3" t="str">
        <f>IFERROR(__xludf.DUMMYFUNCTION("GOOGLETRANSLATE(B4052,""id"",""en"")"),"['Abis', 'Update', 'Open', 'Difficult', 'Caskek', 'Quota']")</f>
        <v>['Abis', 'Update', 'Open', 'Difficult', 'Caskek', 'Quota']</v>
      </c>
      <c r="D4052" s="3">
        <v>1.0</v>
      </c>
    </row>
    <row r="4053" ht="15.75" customHeight="1">
      <c r="A4053" s="1">
        <v>4310.0</v>
      </c>
      <c r="B4053" s="3" t="s">
        <v>3923</v>
      </c>
      <c r="C4053" s="3" t="str">
        <f>IFERROR(__xludf.DUMMYFUNCTION("GOOGLETRANSLATE(B4053,""id"",""en"")"),"['oath', 'good', 'bnget', 'cma', 'nukarin', 'point', 'always',' system ',' busy ',' bnget ',' point ',' sorry ',' Klau ',' CMA ',' Kasi ',' Star ',' Fix ',' Dlu ',' Tukerin ',' Points']")</f>
        <v>['oath', 'good', 'bnget', 'cma', 'nukarin', 'point', 'always',' system ',' busy ',' bnget ',' point ',' sorry ',' Klau ',' CMA ',' Kasi ',' Star ',' Fix ',' Dlu ',' Tukerin ',' Points']</v>
      </c>
      <c r="D4053" s="3">
        <v>4.0</v>
      </c>
    </row>
    <row r="4054" ht="15.75" customHeight="1">
      <c r="A4054" s="1">
        <v>4311.0</v>
      </c>
      <c r="B4054" s="3" t="s">
        <v>1310</v>
      </c>
      <c r="C4054" s="3" t="str">
        <f>IFERROR(__xludf.DUMMYFUNCTION("GOOGLETRANSLATE(B4054,""id"",""en"")"),"['Open', 'the application']")</f>
        <v>['Open', 'the application']</v>
      </c>
      <c r="D4054" s="3">
        <v>1.0</v>
      </c>
    </row>
    <row r="4055" ht="15.75" customHeight="1">
      <c r="A4055" s="1">
        <v>4312.0</v>
      </c>
      <c r="B4055" s="3" t="s">
        <v>3924</v>
      </c>
      <c r="C4055" s="3" t="str">
        <f>IFERROR(__xludf.DUMMYFUNCTION("GOOGLETRANSLATE(B4055,""id"",""en"")"),"['Telkomsel', 'Severe', 'Date', 'December', 'Network', 'Internet', 'Severe', 'already', 'Discard', 'Kouta', 'Kepakai', 'Network', ' Internet ',' Jelekkk ',' ']")</f>
        <v>['Telkomsel', 'Severe', 'Date', 'December', 'Network', 'Internet', 'Severe', 'already', 'Discard', 'Kouta', 'Kepakai', 'Network', ' Internet ',' Jelekkk ',' ']</v>
      </c>
      <c r="D4055" s="3">
        <v>1.0</v>
      </c>
    </row>
    <row r="4056" ht="15.75" customHeight="1">
      <c r="A4056" s="1">
        <v>4314.0</v>
      </c>
      <c r="B4056" s="3" t="s">
        <v>3925</v>
      </c>
      <c r="C4056" s="3" t="str">
        <f>IFERROR(__xludf.DUMMYFUNCTION("GOOGLETRANSLATE(B4056,""id"",""en"")"),"['SMS', 'Telkomsel', 'Credit', 'Lost', 'Basic', 'Tuyul', 'Maling', 'Pulse', 'SMS', ""]")</f>
        <v>['SMS', 'Telkomsel', 'Credit', 'Lost', 'Basic', 'Tuyul', 'Maling', 'Pulse', 'SMS', "]</v>
      </c>
      <c r="D4056" s="3">
        <v>1.0</v>
      </c>
    </row>
    <row r="4057" ht="15.75" customHeight="1">
      <c r="A4057" s="1">
        <v>4315.0</v>
      </c>
      <c r="B4057" s="3" t="s">
        <v>3926</v>
      </c>
      <c r="C4057" s="3" t="str">
        <f>IFERROR(__xludf.DUMMYFUNCTION("GOOGLETRANSLATE(B4057,""id"",""en"")"),"['Help', 'fast', 'in', 'free', 'pulse', 'package', 'internet']")</f>
        <v>['Help', 'fast', 'in', 'free', 'pulse', 'package', 'internet']</v>
      </c>
      <c r="D4057" s="3">
        <v>5.0</v>
      </c>
    </row>
    <row r="4058" ht="15.75" customHeight="1">
      <c r="A4058" s="1">
        <v>4316.0</v>
      </c>
      <c r="B4058" s="3" t="s">
        <v>3927</v>
      </c>
      <c r="C4058" s="3" t="str">
        <f>IFERROR(__xludf.DUMMYFUNCTION("GOOGLETRANSLATE(B4058,""id"",""en"")"),"['Basic', 'Goblog', 'Like', 'Take', 'Pulse', 'Main', 'Package', 'Internet', 'Out', 'GOBLOGGggg']")</f>
        <v>['Basic', 'Goblog', 'Like', 'Take', 'Pulse', 'Main', 'Package', 'Internet', 'Out', 'GOBLOGGggg']</v>
      </c>
      <c r="D4058" s="3">
        <v>1.0</v>
      </c>
    </row>
    <row r="4059" ht="15.75" customHeight="1">
      <c r="A4059" s="1">
        <v>4318.0</v>
      </c>
      <c r="B4059" s="3" t="s">
        <v>3928</v>
      </c>
      <c r="C4059" s="3" t="str">
        <f>IFERROR(__xludf.DUMMYFUNCTION("GOOGLETRANSLATE(B4059,""id"",""en"")"),"['contents',' package ',' disruption ',' system ',' confused ',' application ',' contents', 'package', 'internet', 'call', 'clock', 'already', ' buy ',' already ',' Jugak ',' it's wrong ',' Where ',' Took ',' Chat ',' Virtual ',' Veronika ',' Connect ',' "&amp;"Chat ',' Org ',' Direct ' ]")</f>
        <v>['contents',' package ',' disruption ',' system ',' confused ',' application ',' contents', 'package', 'internet', 'call', 'clock', 'already', ' buy ',' already ',' Jugak ',' it's wrong ',' Where ',' Took ',' Chat ',' Virtual ',' Veronika ',' Connect ',' Chat ',' Org ',' Direct ' ]</v>
      </c>
      <c r="D4059" s="3">
        <v>1.0</v>
      </c>
    </row>
    <row r="4060" ht="15.75" customHeight="1">
      <c r="A4060" s="1">
        <v>4319.0</v>
      </c>
      <c r="B4060" s="3" t="s">
        <v>3929</v>
      </c>
      <c r="C4060" s="3" t="str">
        <f>IFERROR(__xludf.DUMMYFUNCTION("GOOGLETRANSLATE(B4060,""id"",""en"")"),"['Mobile', 'Real', 'Pakaai', 'Application', 'Opened', 'Muku', 'Laayaar', 'White', 'Kerangss', 'Knp', 'Please', ""]")</f>
        <v>['Mobile', 'Real', 'Pakaai', 'Application', 'Opened', 'Muku', 'Laayaar', 'White', 'Kerangss', 'Knp', 'Please', "]</v>
      </c>
      <c r="D4060" s="3">
        <v>1.0</v>
      </c>
    </row>
    <row r="4061" ht="15.75" customHeight="1">
      <c r="A4061" s="1">
        <v>4320.0</v>
      </c>
      <c r="B4061" s="3" t="s">
        <v>3930</v>
      </c>
      <c r="C4061" s="3" t="str">
        <f>IFERROR(__xludf.DUMMYFUNCTION("GOOGLETRANSLATE(B4061,""id"",""en"")"),"['Increases',' many years', 'smakin', 'Karuan', 'Network', 'Telkomsel', 'GunaX', 'Used', 'Telkomsel', 'Contents',' Kouta ',' Network ',' stable ',' constraints ',' transparent ',' cornering ',' Mafia ',' Kubu ',' Get rid of ',' smell ',' negative ',' I've"&amp;" been 'greetings', 'disappointed', ""]")</f>
        <v>['Increases',' many years', 'smakin', 'Karuan', 'Network', 'Telkomsel', 'GunaX', 'Used', 'Telkomsel', 'Contents',' Kouta ',' Network ',' stable ',' constraints ',' transparent ',' cornering ',' Mafia ',' Kubu ',' Get rid of ',' smell ',' negative ',' I've been 'greetings', 'disappointed', "]</v>
      </c>
      <c r="D4061" s="3">
        <v>5.0</v>
      </c>
    </row>
    <row r="4062" ht="15.75" customHeight="1">
      <c r="A4062" s="1">
        <v>4321.0</v>
      </c>
      <c r="B4062" s="3" t="s">
        <v>3931</v>
      </c>
      <c r="C4062" s="3" t="str">
        <f>IFERROR(__xludf.DUMMYFUNCTION("GOOGLETRANSLATE(B4062,""id"",""en"")"),"['Love', 'star', 'opened']")</f>
        <v>['Love', 'star', 'opened']</v>
      </c>
      <c r="D4062" s="3">
        <v>1.0</v>
      </c>
    </row>
    <row r="4063" ht="15.75" customHeight="1">
      <c r="A4063" s="1">
        <v>4322.0</v>
      </c>
      <c r="B4063" s="3" t="s">
        <v>3932</v>
      </c>
      <c r="C4063" s="3" t="str">
        <f>IFERROR(__xludf.DUMMYFUNCTION("GOOGLETRANSLATE(B4063,""id"",""en"")"),"['Severe', 'signal', 'Telkomsel', 'price', 'quota', 'expensive', '']")</f>
        <v>['Severe', 'signal', 'Telkomsel', 'price', 'quota', 'expensive', '']</v>
      </c>
      <c r="D4063" s="3">
        <v>1.0</v>
      </c>
    </row>
    <row r="4064" ht="15.75" customHeight="1">
      <c r="A4064" s="1">
        <v>4323.0</v>
      </c>
      <c r="B4064" s="3" t="s">
        <v>3933</v>
      </c>
      <c r="C4064" s="3" t="str">
        <f>IFERROR(__xludf.DUMMYFUNCTION("GOOGLETRANSLATE(B4064,""id"",""en"")"),"['Credit', 'sucked', 'subscription', 'package', 'internet', 'sucked', 'unreginya', 'thank', 'love']")</f>
        <v>['Credit', 'sucked', 'subscription', 'package', 'internet', 'sucked', 'unreginya', 'thank', 'love']</v>
      </c>
      <c r="D4064" s="3">
        <v>1.0</v>
      </c>
    </row>
    <row r="4065" ht="15.75" customHeight="1">
      <c r="A4065" s="1">
        <v>4324.0</v>
      </c>
      <c r="B4065" s="3" t="s">
        <v>3934</v>
      </c>
      <c r="C4065" s="3" t="str">
        <f>IFERROR(__xludf.DUMMYFUNCTION("GOOGLETRANSLATE(B4065,""id"",""en"")"),"['Knpa', 'Telkomsel', 'can', 'kbuka', 'tlong', 'prbaiki']")</f>
        <v>['Knpa', 'Telkomsel', 'can', 'kbuka', 'tlong', 'prbaiki']</v>
      </c>
      <c r="D4065" s="3">
        <v>4.0</v>
      </c>
    </row>
    <row r="4066" ht="15.75" customHeight="1">
      <c r="A4066" s="1">
        <v>4325.0</v>
      </c>
      <c r="B4066" s="3" t="s">
        <v>3935</v>
      </c>
      <c r="C4066" s="3" t="str">
        <f>IFERROR(__xludf.DUMMYFUNCTION("GOOGLETRANSLATE(B4066,""id"",""en"")"),"['Telkomsel', 'Signal', 'Mantappp', '']")</f>
        <v>['Telkomsel', 'Signal', 'Mantappp', '']</v>
      </c>
      <c r="D4066" s="3">
        <v>5.0</v>
      </c>
    </row>
    <row r="4067" ht="15.75" customHeight="1">
      <c r="A4067" s="1">
        <v>4326.0</v>
      </c>
      <c r="B4067" s="3" t="s">
        <v>3936</v>
      </c>
      <c r="C4067" s="3" t="str">
        <f>IFERROR(__xludf.DUMMYFUNCTION("GOOGLETRANSLATE(B4067,""id"",""en"")"),"['Ngak', 'good', 'lgi', 'application']")</f>
        <v>['Ngak', 'good', 'lgi', 'application']</v>
      </c>
      <c r="D4067" s="3">
        <v>1.0</v>
      </c>
    </row>
    <row r="4068" ht="15.75" customHeight="1">
      <c r="A4068" s="1">
        <v>4327.0</v>
      </c>
      <c r="B4068" s="3" t="s">
        <v>3937</v>
      </c>
      <c r="C4068" s="3" t="str">
        <f>IFERROR(__xludf.DUMMYFUNCTION("GOOGLETRANSLATE(B4068,""id"",""en"")"),"['Remove', 'Promo', 'Exchange', 'Point', 'Diamond', 'Free', 'Fire']")</f>
        <v>['Remove', 'Promo', 'Exchange', 'Point', 'Diamond', 'Free', 'Fire']</v>
      </c>
      <c r="D4068" s="3">
        <v>4.0</v>
      </c>
    </row>
    <row r="4069" ht="15.75" customHeight="1">
      <c r="A4069" s="1">
        <v>4328.0</v>
      </c>
      <c r="B4069" s="3" t="s">
        <v>3938</v>
      </c>
      <c r="C4069" s="3" t="str">
        <f>IFERROR(__xludf.DUMMYFUNCTION("GOOGLETRANSLATE(B4069,""id"",""en"")"),"['user']")</f>
        <v>['user']</v>
      </c>
      <c r="D4069" s="3">
        <v>5.0</v>
      </c>
    </row>
    <row r="4070" ht="15.75" customHeight="1">
      <c r="A4070" s="1">
        <v>4329.0</v>
      </c>
      <c r="B4070" s="3" t="s">
        <v>3939</v>
      </c>
      <c r="C4070" s="3" t="str">
        <f>IFERROR(__xludf.DUMMYFUNCTION("GOOGLETRANSLATE(B4070,""id"",""en"")"),"['Provider', 'rotten', 'signal', 'internet', 'telephone', 'chat', 'application', 'machine', 'stupid', 'mending', 'bankrupt', 'already', ' expensive ',' signal ',' rotten ']")</f>
        <v>['Provider', 'rotten', 'signal', 'internet', 'telephone', 'chat', 'application', 'machine', 'stupid', 'mending', 'bankrupt', 'already', ' expensive ',' signal ',' rotten ']</v>
      </c>
      <c r="D4070" s="3">
        <v>1.0</v>
      </c>
    </row>
    <row r="4071" ht="15.75" customHeight="1">
      <c r="A4071" s="1">
        <v>4331.0</v>
      </c>
      <c r="B4071" s="3" t="s">
        <v>471</v>
      </c>
      <c r="C4071" s="3" t="str">
        <f>IFERROR(__xludf.DUMMYFUNCTION("GOOGLETRANSLATE(B4071,""id"",""en"")"),"['']")</f>
        <v>['']</v>
      </c>
      <c r="D4071" s="3">
        <v>5.0</v>
      </c>
    </row>
    <row r="4072" ht="15.75" customHeight="1">
      <c r="A4072" s="1">
        <v>4332.0</v>
      </c>
      <c r="B4072" s="3" t="s">
        <v>3940</v>
      </c>
      <c r="C4072" s="3" t="str">
        <f>IFERROR(__xludf.DUMMYFUNCTION("GOOGLETRANSLATE(B4072,""id"",""en"")"),"['Severe', 'Can't', 'Enter']")</f>
        <v>['Severe', 'Can't', 'Enter']</v>
      </c>
      <c r="D4072" s="3">
        <v>1.0</v>
      </c>
    </row>
    <row r="4073" ht="15.75" customHeight="1">
      <c r="A4073" s="1">
        <v>4333.0</v>
      </c>
      <c r="B4073" s="3" t="s">
        <v>3941</v>
      </c>
      <c r="C4073" s="3" t="str">
        <f>IFERROR(__xludf.DUMMYFUNCTION("GOOGLETRANSLATE(B4073,""id"",""en"")"),"['like', 'Pakek', 'sympathy']")</f>
        <v>['like', 'Pakek', 'sympathy']</v>
      </c>
      <c r="D4073" s="3">
        <v>3.0</v>
      </c>
    </row>
    <row r="4074" ht="15.75" customHeight="1">
      <c r="A4074" s="1">
        <v>4334.0</v>
      </c>
      <c r="B4074" s="3" t="s">
        <v>3942</v>
      </c>
      <c r="C4074" s="3" t="str">
        <f>IFERROR(__xludf.DUMMYFUNCTION("GOOGLETRANSLATE(B4074,""id"",""en"")"),"['Bags', 'application']")</f>
        <v>['Bags', 'application']</v>
      </c>
      <c r="D4074" s="3">
        <v>5.0</v>
      </c>
    </row>
    <row r="4075" ht="15.75" customHeight="1">
      <c r="A4075" s="1">
        <v>4335.0</v>
      </c>
      <c r="B4075" s="3" t="s">
        <v>3943</v>
      </c>
      <c r="C4075" s="3" t="str">
        <f>IFERROR(__xludf.DUMMYFUNCTION("GOOGLETRANSLATE(B4075,""id"",""en"")"),"['hard', 'app', 'open', 'doang', 'here', 'slow']")</f>
        <v>['hard', 'app', 'open', 'doang', 'here', 'slow']</v>
      </c>
      <c r="D4075" s="3">
        <v>1.0</v>
      </c>
    </row>
    <row r="4076" ht="15.75" customHeight="1">
      <c r="A4076" s="1">
        <v>4336.0</v>
      </c>
      <c r="B4076" s="3" t="s">
        <v>3944</v>
      </c>
      <c r="C4076" s="3" t="str">
        <f>IFERROR(__xludf.DUMMYFUNCTION("GOOGLETRANSLATE(B4076,""id"",""en"")"),"['My friend', 'Telkomsel', 'Thank', 'Love', '']")</f>
        <v>['My friend', 'Telkomsel', 'Thank', 'Love', '']</v>
      </c>
      <c r="D4076" s="3">
        <v>4.0</v>
      </c>
    </row>
    <row r="4077" ht="15.75" customHeight="1">
      <c r="A4077" s="1">
        <v>4337.0</v>
      </c>
      <c r="B4077" s="3" t="s">
        <v>3945</v>
      </c>
      <c r="C4077" s="3" t="str">
        <f>IFERROR(__xludf.DUMMYFUNCTION("GOOGLETRANSLATE(B4077,""id"",""en"")"),"['sometimes']")</f>
        <v>['sometimes']</v>
      </c>
      <c r="D4077" s="3">
        <v>3.0</v>
      </c>
    </row>
    <row r="4078" ht="15.75" customHeight="1">
      <c r="A4078" s="1">
        <v>4338.0</v>
      </c>
      <c r="B4078" s="3" t="s">
        <v>2171</v>
      </c>
      <c r="C4078" s="3" t="str">
        <f>IFERROR(__xludf.DUMMYFUNCTION("GOOGLETRANSLATE(B4078,""id"",""en"")"),"['Prizes']")</f>
        <v>['Prizes']</v>
      </c>
      <c r="D4078" s="3">
        <v>5.0</v>
      </c>
    </row>
    <row r="4079" ht="15.75" customHeight="1">
      <c r="A4079" s="1">
        <v>4339.0</v>
      </c>
      <c r="B4079" s="3" t="s">
        <v>3946</v>
      </c>
      <c r="C4079" s="3" t="str">
        <f>IFERROR(__xludf.DUMMYFUNCTION("GOOGLETRANSLATE(B4079,""id"",""en"")"),"['Quality', 'Internet', 'bad', '']")</f>
        <v>['Quality', 'Internet', 'bad', '']</v>
      </c>
      <c r="D4079" s="3">
        <v>1.0</v>
      </c>
    </row>
    <row r="4080" ht="15.75" customHeight="1">
      <c r="A4080" s="1">
        <v>4340.0</v>
      </c>
      <c r="B4080" s="3" t="s">
        <v>3947</v>
      </c>
      <c r="C4080" s="3" t="str">
        <f>IFERROR(__xludf.DUMMYFUNCTION("GOOGLETRANSLATE(B4080,""id"",""en"")"),"['knapa', 'open', 'application', 'yaaa', 'tlong', 'bisc to']")</f>
        <v>['knapa', 'open', 'application', 'yaaa', 'tlong', 'bisc to']</v>
      </c>
      <c r="D4080" s="3">
        <v>3.0</v>
      </c>
    </row>
    <row r="4081" ht="15.75" customHeight="1">
      <c r="A4081" s="1">
        <v>4341.0</v>
      </c>
      <c r="B4081" s="3" t="s">
        <v>3948</v>
      </c>
      <c r="C4081" s="3" t="str">
        <f>IFERROR(__xludf.DUMMYFUNCTION("GOOGLETRANSLATE(B4081,""id"",""en"")"),"['invite', 'compromise', '']")</f>
        <v>['invite', 'compromise', '']</v>
      </c>
      <c r="D4081" s="3">
        <v>5.0</v>
      </c>
    </row>
    <row r="4082" ht="15.75" customHeight="1">
      <c r="A4082" s="1">
        <v>4342.0</v>
      </c>
      <c r="B4082" s="3" t="s">
        <v>3949</v>
      </c>
      <c r="C4082" s="3" t="str">
        <f>IFERROR(__xludf.DUMMYFUNCTION("GOOGLETRANSLATE(B4082,""id"",""en"")"),"['improved', 'application', 'hope', 'in the future', 'good', 'event', 'bonus', 'quota', 'point']")</f>
        <v>['improved', 'application', 'hope', 'in the future', 'good', 'event', 'bonus', 'quota', 'point']</v>
      </c>
      <c r="D4082" s="3">
        <v>4.0</v>
      </c>
    </row>
    <row r="4083" ht="15.75" customHeight="1">
      <c r="A4083" s="1">
        <v>4343.0</v>
      </c>
      <c r="B4083" s="3" t="s">
        <v>3950</v>
      </c>
      <c r="C4083" s="3" t="str">
        <f>IFERROR(__xludf.DUMMYFUNCTION("GOOGLETRANSLATE(B4083,""id"",""en"")"),"['Uda', 'download', 'Many', 'right', 'open', 'display', 'ngblank', 'pdhal', 'uda', 'pke', 'application', 'right', ' entry ',' December ',' desire ',' heart ',' see ',' promo ',' ehhhh ',' ngblank ',' download ',' tetep ',' like ', ""]")</f>
        <v>['Uda', 'download', 'Many', 'right', 'open', 'display', 'ngblank', 'pdhal', 'uda', 'pke', 'application', 'right', ' entry ',' December ',' desire ',' heart ',' see ',' promo ',' ehhhh ',' ngblank ',' download ',' tetep ',' like ', "]</v>
      </c>
      <c r="D4083" s="3">
        <v>1.0</v>
      </c>
    </row>
    <row r="4084" ht="15.75" customHeight="1">
      <c r="A4084" s="1">
        <v>4344.0</v>
      </c>
      <c r="B4084" s="3" t="s">
        <v>3951</v>
      </c>
      <c r="C4084" s="3" t="str">
        <f>IFERROR(__xludf.DUMMYFUNCTION("GOOGLETRANSLATE(B4084,""id"",""en"")"),"['Wear', 'Application', 'Telkomsel', 'already', 'Download', 'Kali', 'Kebuka', 'Please', 'Help']")</f>
        <v>['Wear', 'Application', 'Telkomsel', 'already', 'Download', 'Kali', 'Kebuka', 'Please', 'Help']</v>
      </c>
      <c r="D4084" s="3">
        <v>1.0</v>
      </c>
    </row>
    <row r="4085" ht="15.75" customHeight="1">
      <c r="A4085" s="1">
        <v>4345.0</v>
      </c>
      <c r="B4085" s="3" t="s">
        <v>3952</v>
      </c>
      <c r="C4085" s="3" t="str">
        <f>IFERROR(__xludf.DUMMYFUNCTION("GOOGLETRANSLATE(B4085,""id"",""en"")"),"['signal', 'bad', 'love', 'star', 'gausah', 'love', 'star']")</f>
        <v>['signal', 'bad', 'love', 'star', 'gausah', 'love', 'star']</v>
      </c>
      <c r="D4085" s="3">
        <v>1.0</v>
      </c>
    </row>
    <row r="4086" ht="15.75" customHeight="1">
      <c r="A4086" s="1">
        <v>4346.0</v>
      </c>
      <c r="B4086" s="3" t="s">
        <v>3953</v>
      </c>
      <c r="C4086" s="3" t="str">
        <f>IFERROR(__xludf.DUMMYFUNCTION("GOOGLETRANSLATE(B4086,""id"",""en"")"),"['dear', 'Tmbh', 'here', 'network', 'tmbh', 'slow', 'tlg', 'fix']")</f>
        <v>['dear', 'Tmbh', 'here', 'network', 'tmbh', 'slow', 'tlg', 'fix']</v>
      </c>
      <c r="D4086" s="3">
        <v>4.0</v>
      </c>
    </row>
    <row r="4087" ht="15.75" customHeight="1">
      <c r="A4087" s="1">
        <v>4347.0</v>
      </c>
      <c r="B4087" s="3" t="s">
        <v>3954</v>
      </c>
      <c r="C4087" s="3" t="str">
        <f>IFERROR(__xludf.DUMMYFUNCTION("GOOGLETRANSLATE(B4087,""id"",""en"")"),"['Sinyal', 'good', 'really', 'until', 'until', 'emotion', 'slamming', 'cellphone']")</f>
        <v>['Sinyal', 'good', 'really', 'until', 'until', 'emotion', 'slamming', 'cellphone']</v>
      </c>
      <c r="D4087" s="3">
        <v>1.0</v>
      </c>
    </row>
    <row r="4088" ht="15.75" customHeight="1">
      <c r="A4088" s="1">
        <v>4348.0</v>
      </c>
      <c r="B4088" s="3" t="s">
        <v>3955</v>
      </c>
      <c r="C4088" s="3" t="str">
        <f>IFERROR(__xludf.DUMMYFUNCTION("GOOGLETRANSLATE(B4088,""id"",""en"")"),"['Good', 'like', 'promo', 'kouta', 'cheap']")</f>
        <v>['Good', 'like', 'promo', 'kouta', 'cheap']</v>
      </c>
      <c r="D4088" s="3">
        <v>5.0</v>
      </c>
    </row>
    <row r="4089" ht="15.75" customHeight="1">
      <c r="A4089" s="1">
        <v>4349.0</v>
      </c>
      <c r="B4089" s="3" t="s">
        <v>3956</v>
      </c>
      <c r="C4089" s="3" t="str">
        <f>IFERROR(__xludf.DUMMYFUNCTION("GOOGLETRANSLATE(B4089,""id"",""en"")"),"['NDA', 'open', 'Telkomsel', 'gymna', 'buy', 'pulse', 'package', 'bgmn', 'enter', 'application', 'telkomsel', 'download', ' Nda ',' open ',' bgmn ',' service ',' Telkomsel ',' kalu ',' ']")</f>
        <v>['NDA', 'open', 'Telkomsel', 'gymna', 'buy', 'pulse', 'package', 'bgmn', 'enter', 'application', 'telkomsel', 'download', ' Nda ',' open ',' bgmn ',' service ',' Telkomsel ',' kalu ',' ']</v>
      </c>
      <c r="D4089" s="3">
        <v>5.0</v>
      </c>
    </row>
    <row r="4090" ht="15.75" customHeight="1">
      <c r="A4090" s="1">
        <v>4350.0</v>
      </c>
      <c r="B4090" s="3" t="s">
        <v>3957</v>
      </c>
      <c r="C4090" s="3" t="str">
        <f>IFERROR(__xludf.DUMMYFUNCTION("GOOGLETRANSLATE(B4090,""id"",""en"")"),"['Try', 'See', 'Star']")</f>
        <v>['Try', 'See', 'Star']</v>
      </c>
      <c r="D4090" s="3">
        <v>5.0</v>
      </c>
    </row>
    <row r="4091" ht="15.75" customHeight="1">
      <c r="A4091" s="1">
        <v>4351.0</v>
      </c>
      <c r="B4091" s="3" t="s">
        <v>3958</v>
      </c>
      <c r="C4091" s="3" t="str">
        <f>IFERROR(__xludf.DUMMYFUNCTION("GOOGLETRANSLATE(B4091,""id"",""en"")"),"['stingy', 'promo', 'no', 'cheap', 'that's', 'broooo', 'arghhhhh', 'annoyed']")</f>
        <v>['stingy', 'promo', 'no', 'cheap', 'that's', 'broooo', 'arghhhhh', 'annoyed']</v>
      </c>
      <c r="D4091" s="3">
        <v>1.0</v>
      </c>
    </row>
    <row r="4092" ht="15.75" customHeight="1">
      <c r="A4092" s="1">
        <v>4352.0</v>
      </c>
      <c r="B4092" s="3" t="s">
        <v>3959</v>
      </c>
      <c r="C4092" s="3" t="str">
        <f>IFERROR(__xludf.DUMMYFUNCTION("GOOGLETRANSLATE(B4092,""id"",""en"")"),"['skrng', 'the application', 'open', 'need']")</f>
        <v>['skrng', 'the application', 'open', 'need']</v>
      </c>
      <c r="D4092" s="3">
        <v>1.0</v>
      </c>
    </row>
    <row r="4093" ht="15.75" customHeight="1">
      <c r="A4093" s="1">
        <v>4353.0</v>
      </c>
      <c r="B4093" s="3" t="s">
        <v>3960</v>
      </c>
      <c r="C4093" s="3" t="str">
        <f>IFERROR(__xludf.DUMMYFUNCTION("GOOGLETRANSLATE(B4093,""id"",""en"")"),"['Login', 'Telkom', '']")</f>
        <v>['Login', 'Telkom', '']</v>
      </c>
      <c r="D4093" s="3">
        <v>5.0</v>
      </c>
    </row>
    <row r="4094" ht="15.75" customHeight="1">
      <c r="A4094" s="1">
        <v>4354.0</v>
      </c>
      <c r="B4094" s="3" t="s">
        <v>3961</v>
      </c>
      <c r="C4094" s="3" t="str">
        <f>IFERROR(__xludf.DUMMYFUNCTION("GOOGLETRANSLATE(B4094,""id"",""en"")"),"['Hello', 'Telkomsel', 'function', 'pulse', 'monetary', 'limit', 'function', 'pulse', 'main', 'package', 'data', 'free', ' thousand ',' thousand ',' pulse ',' monetary ',' no ',' functions', 'please', 'fix', 'love', 'gift', 'pulse', 'monetary', 'customer'"&amp;" , 'used', 'value', 'Rupiah', 'credit', 'transfer', 'credit', 'buy', 'pulse', 'number', 'tsb', 'use', 'fill', ' Package ',' Data ',' Useful ',' ']")</f>
        <v>['Hello', 'Telkomsel', 'function', 'pulse', 'monetary', 'limit', 'function', 'pulse', 'main', 'package', 'data', 'free', ' thousand ',' thousand ',' pulse ',' monetary ',' no ',' functions', 'please', 'fix', 'love', 'gift', 'pulse', 'monetary', 'customer' , 'used', 'value', 'Rupiah', 'credit', 'transfer', 'credit', 'buy', 'pulse', 'number', 'tsb', 'use', 'fill', ' Package ',' Data ',' Useful ',' ']</v>
      </c>
      <c r="D4094" s="3">
        <v>1.0</v>
      </c>
    </row>
    <row r="4095" ht="15.75" customHeight="1">
      <c r="A4095" s="1">
        <v>4355.0</v>
      </c>
      <c r="B4095" s="3" t="s">
        <v>3962</v>
      </c>
      <c r="C4095" s="3" t="str">
        <f>IFERROR(__xludf.DUMMYFUNCTION("GOOGLETRANSLATE(B4095,""id"",""en"")"),"['Good', 'Combo', 'Sakti', 'Cheap']")</f>
        <v>['Good', 'Combo', 'Sakti', 'Cheap']</v>
      </c>
      <c r="D4095" s="3">
        <v>5.0</v>
      </c>
    </row>
    <row r="4096" ht="15.75" customHeight="1">
      <c r="A4096" s="1">
        <v>4356.0</v>
      </c>
      <c r="B4096" s="3" t="s">
        <v>3963</v>
      </c>
      <c r="C4096" s="3" t="str">
        <f>IFERROR(__xludf.DUMMYFUNCTION("GOOGLETRANSLATE(B4096,""id"",""en"")"),"['Love', 'Full', 'star', 'open', 'the application']")</f>
        <v>['Love', 'Full', 'star', 'open', 'the application']</v>
      </c>
      <c r="D4096" s="3">
        <v>3.0</v>
      </c>
    </row>
    <row r="4097" ht="15.75" customHeight="1">
      <c r="A4097" s="1">
        <v>4357.0</v>
      </c>
      <c r="B4097" s="3" t="s">
        <v>3964</v>
      </c>
      <c r="C4097" s="3" t="str">
        <f>IFERROR(__xludf.DUMMYFUNCTION("GOOGLETRANSLATE(B4097,""id"",""en"")"),"['Bentar', 'Make', 'Card', 'Smartfren', 'Make', 'Card', 'Telkomsel']")</f>
        <v>['Bentar', 'Make', 'Card', 'Smartfren', 'Make', 'Card', 'Telkomsel']</v>
      </c>
      <c r="D4097" s="3">
        <v>5.0</v>
      </c>
    </row>
    <row r="4098" ht="15.75" customHeight="1">
      <c r="A4098" s="1">
        <v>4358.0</v>
      </c>
      <c r="B4098" s="3" t="s">
        <v>3965</v>
      </c>
      <c r="C4098" s="3" t="str">
        <f>IFERROR(__xludf.DUMMYFUNCTION("GOOGLETRANSLATE(B4098,""id"",""en"")"),"['Buy', 'Package', 'Unlimited', 'YouTube', 'TTP', 'Open', 'Applications', 'YouTube', 'Fraud']")</f>
        <v>['Buy', 'Package', 'Unlimited', 'YouTube', 'TTP', 'Open', 'Applications', 'YouTube', 'Fraud']</v>
      </c>
      <c r="D4098" s="3">
        <v>1.0</v>
      </c>
    </row>
    <row r="4099" ht="15.75" customHeight="1">
      <c r="A4099" s="1">
        <v>4359.0</v>
      </c>
      <c r="B4099" s="3" t="s">
        <v>3966</v>
      </c>
      <c r="C4099" s="3" t="str">
        <f>IFERROR(__xludf.DUMMYFUNCTION("GOOGLETRANSLATE(B4099,""id"",""en"")"),"['Jngan', 'buy', 'trlkomsel', 'network', 'ugly', 'mending', 'buy', 'card', 'prime', 'exist']")</f>
        <v>['Jngan', 'buy', 'trlkomsel', 'network', 'ugly', 'mending', 'buy', 'card', 'prime', 'exist']</v>
      </c>
      <c r="D4099" s="3">
        <v>1.0</v>
      </c>
    </row>
    <row r="4100" ht="15.75" customHeight="1">
      <c r="A4100" s="1">
        <v>4361.0</v>
      </c>
      <c r="B4100" s="3" t="s">
        <v>3967</v>
      </c>
      <c r="C4100" s="3" t="str">
        <f>IFERROR(__xludf.DUMMYFUNCTION("GOOGLETRANSLATE(B4100,""id"",""en"")"),"['Personal', 'personal', 'disappointed', 'as deep', 'Telkomsel', 'electricity', 'PLN', 'dead', 'dead', 'signal', 'internet', 'disappear', ' heavy']")</f>
        <v>['Personal', 'personal', 'disappointed', 'as deep', 'Telkomsel', 'electricity', 'PLN', 'dead', 'dead', 'signal', 'internet', 'disappear', ' heavy']</v>
      </c>
      <c r="D4100" s="3">
        <v>1.0</v>
      </c>
    </row>
    <row r="4101" ht="15.75" customHeight="1">
      <c r="A4101" s="1">
        <v>4362.0</v>
      </c>
      <c r="B4101" s="3" t="s">
        <v>3968</v>
      </c>
      <c r="C4101" s="3" t="str">
        <f>IFERROR(__xludf.DUMMYFUNCTION("GOOGLETRANSLATE(B4101,""id"",""en"")"),"['application', 'Telkomsel', 'convenience', 'service', 'user', 'difficult', 'access', 'network', '']")</f>
        <v>['application', 'Telkomsel', 'convenience', 'service', 'user', 'difficult', 'access', 'network', '']</v>
      </c>
      <c r="D4101" s="3">
        <v>5.0</v>
      </c>
    </row>
    <row r="4102" ht="15.75" customHeight="1">
      <c r="A4102" s="1">
        <v>4363.0</v>
      </c>
      <c r="B4102" s="3" t="s">
        <v>3969</v>
      </c>
      <c r="C4102" s="3" t="str">
        <f>IFERROR(__xludf.DUMMYFUNCTION("GOOGLETRANSLATE(B4102,""id"",""en"")"),"['Review', 'deleted', '']")</f>
        <v>['Review', 'deleted', '']</v>
      </c>
      <c r="D4102" s="3">
        <v>1.0</v>
      </c>
    </row>
    <row r="4103" ht="15.75" customHeight="1">
      <c r="A4103" s="1">
        <v>4364.0</v>
      </c>
      <c r="B4103" s="3" t="s">
        <v>3970</v>
      </c>
      <c r="C4103" s="3" t="str">
        <f>IFERROR(__xludf.DUMMYFUNCTION("GOOGLETRANSLATE(B4103,""id"",""en"")"),"['Stage', 'start', 'service', 'price', 'TTP', 'competitor', 'love', 'star', '']")</f>
        <v>['Stage', 'start', 'service', 'price', 'TTP', 'competitor', 'love', 'star', '']</v>
      </c>
      <c r="D4103" s="3">
        <v>4.0</v>
      </c>
    </row>
    <row r="4104" ht="15.75" customHeight="1">
      <c r="A4104" s="1">
        <v>4365.0</v>
      </c>
      <c r="B4104" s="3" t="s">
        <v>3971</v>
      </c>
      <c r="C4104" s="3" t="str">
        <f>IFERROR(__xludf.DUMMYFUNCTION("GOOGLETRANSLATE(B4104,""id"",""en"")"),"['Good', 'Win']")</f>
        <v>['Good', 'Win']</v>
      </c>
      <c r="D4104" s="3">
        <v>5.0</v>
      </c>
    </row>
    <row r="4105" ht="15.75" customHeight="1">
      <c r="A4105" s="1">
        <v>4366.0</v>
      </c>
      <c r="B4105" s="3" t="s">
        <v>3972</v>
      </c>
      <c r="C4105" s="3" t="str">
        <f>IFERROR(__xludf.DUMMYFUNCTION("GOOGLETRANSLATE(B4105,""id"",""en"")"),"['Try']")</f>
        <v>['Try']</v>
      </c>
      <c r="D4105" s="3">
        <v>3.0</v>
      </c>
    </row>
    <row r="4106" ht="15.75" customHeight="1">
      <c r="A4106" s="1">
        <v>4367.0</v>
      </c>
      <c r="B4106" s="3" t="s">
        <v>3973</v>
      </c>
      <c r="C4106" s="3" t="str">
        <f>IFERROR(__xludf.DUMMYFUNCTION("GOOGLETRANSLATE(B4106,""id"",""en"")"),"['Nyesellll', 'card', 'hello']")</f>
        <v>['Nyesellll', 'card', 'hello']</v>
      </c>
      <c r="D4106" s="3">
        <v>1.0</v>
      </c>
    </row>
    <row r="4107" ht="15.75" customHeight="1">
      <c r="A4107" s="1">
        <v>4368.0</v>
      </c>
      <c r="B4107" s="3" t="s">
        <v>3974</v>
      </c>
      <c r="C4107" s="3" t="str">
        <f>IFERROR(__xludf.DUMMYFUNCTION("GOOGLETRANSLATE(B4107,""id"",""en"")"),"['Knp', 'updated', 'opened', '']")</f>
        <v>['Knp', 'updated', 'opened', '']</v>
      </c>
      <c r="D4107" s="3">
        <v>5.0</v>
      </c>
    </row>
    <row r="4108" ht="15.75" customHeight="1">
      <c r="A4108" s="1">
        <v>4369.0</v>
      </c>
      <c r="B4108" s="3" t="s">
        <v>3975</v>
      </c>
      <c r="C4108" s="3" t="str">
        <f>IFERROR(__xludf.DUMMYFUNCTION("GOOGLETRANSLATE(B4108,""id"",""en"")"),"['spam', 'number', 'known', 'enter', 'easy', 'number', 'sympathy', 'quality', 'bad', 'price', 'quota', 'expensive']")</f>
        <v>['spam', 'number', 'known', 'enter', 'easy', 'number', 'sympathy', 'quality', 'bad', 'price', 'quota', 'expensive']</v>
      </c>
      <c r="D4108" s="3">
        <v>1.0</v>
      </c>
    </row>
    <row r="4109" ht="15.75" customHeight="1">
      <c r="A4109" s="1">
        <v>4370.0</v>
      </c>
      <c r="B4109" s="3" t="s">
        <v>3894</v>
      </c>
      <c r="C4109" s="3" t="str">
        <f>IFERROR(__xludf.DUMMYFUNCTION("GOOGLETRANSLATE(B4109,""id"",""en"")"),"['The application']")</f>
        <v>['The application']</v>
      </c>
      <c r="D4109" s="3">
        <v>1.0</v>
      </c>
    </row>
    <row r="4110" ht="15.75" customHeight="1">
      <c r="A4110" s="1">
        <v>4371.0</v>
      </c>
      <c r="B4110" s="3" t="s">
        <v>3976</v>
      </c>
      <c r="C4110" s="3" t="str">
        <f>IFERROR(__xludf.DUMMYFUNCTION("GOOGLETRANSLATE(B4110,""id"",""en"")"),"['Ngellag', 'Optimize']")</f>
        <v>['Ngellag', 'Optimize']</v>
      </c>
      <c r="D4110" s="3">
        <v>1.0</v>
      </c>
    </row>
    <row r="4111" ht="15.75" customHeight="1">
      <c r="A4111" s="1">
        <v>4372.0</v>
      </c>
      <c r="B4111" s="3" t="s">
        <v>3977</v>
      </c>
      <c r="C4111" s="3" t="str">
        <f>IFERROR(__xludf.DUMMYFUNCTION("GOOGLETRANSLATE(B4111,""id"",""en"")"),"['signal', 'Celeh', 'BURIK', 'buy', 'expensive', 'expensive', 'signal']")</f>
        <v>['signal', 'Celeh', 'BURIK', 'buy', 'expensive', 'expensive', 'signal']</v>
      </c>
      <c r="D4111" s="3">
        <v>1.0</v>
      </c>
    </row>
    <row r="4112" ht="15.75" customHeight="1">
      <c r="A4112" s="1">
        <v>4373.0</v>
      </c>
      <c r="B4112" s="3" t="s">
        <v>3978</v>
      </c>
      <c r="C4112" s="3" t="str">
        <f>IFERROR(__xludf.DUMMYFUNCTION("GOOGLETRANSLATE(B4112,""id"",""en"")"),"['BISMILLAHIRRAHMANIRRAHIM', 'EASY', 'Sustenance', 'Getted', 'Hopefully', 'Telkomsel', 'blessing', ""]")</f>
        <v>['BISMILLAHIRRAHMANIRRAHIM', 'EASY', 'Sustenance', 'Getted', 'Hopefully', 'Telkomsel', 'blessing', "]</v>
      </c>
      <c r="D4112" s="3">
        <v>5.0</v>
      </c>
    </row>
    <row r="4113" ht="15.75" customHeight="1">
      <c r="A4113" s="1">
        <v>4374.0</v>
      </c>
      <c r="B4113" s="3" t="s">
        <v>3979</v>
      </c>
      <c r="C4113" s="3" t="str">
        <f>IFERROR(__xludf.DUMMYFUNCTION("GOOGLETRANSLATE(B4113,""id"",""en"")"),"['Please', 'Sorry', 'Min', 'opened', 'Application', 'DALAL', 'Install', 're-open', 'open', 'min']")</f>
        <v>['Please', 'Sorry', 'Min', 'opened', 'Application', 'DALAL', 'Install', 're-open', 'open', 'min']</v>
      </c>
      <c r="D4113" s="3">
        <v>1.0</v>
      </c>
    </row>
    <row r="4114" ht="15.75" customHeight="1">
      <c r="A4114" s="1">
        <v>4375.0</v>
      </c>
      <c r="B4114" s="3" t="s">
        <v>3980</v>
      </c>
      <c r="C4114" s="3" t="str">
        <f>IFERROR(__xludf.DUMMYFUNCTION("GOOGLETRANSLATE(B4114,""id"",""en"")"),"['kreen', 'really']")</f>
        <v>['kreen', 'really']</v>
      </c>
      <c r="D4114" s="3">
        <v>4.0</v>
      </c>
    </row>
    <row r="4115" ht="15.75" customHeight="1">
      <c r="A4115" s="1">
        <v>4376.0</v>
      </c>
      <c r="B4115" s="3" t="s">
        <v>3981</v>
      </c>
      <c r="C4115" s="3" t="str">
        <f>IFERROR(__xludf.DUMMYFUNCTION("GOOGLETRANSLATE(B4115,""id"",""en"")"),"['Come on', 'Telkomsel', 'Points']")</f>
        <v>['Come on', 'Telkomsel', 'Points']</v>
      </c>
      <c r="D4115" s="3">
        <v>5.0</v>
      </c>
    </row>
    <row r="4116" ht="15.75" customHeight="1">
      <c r="A4116" s="1">
        <v>4377.0</v>
      </c>
      <c r="B4116" s="3" t="s">
        <v>3982</v>
      </c>
      <c r="C4116" s="3" t="str">
        <f>IFERROR(__xludf.DUMMYFUNCTION("GOOGLETRANSLATE(B4116,""id"",""en"")"),"['Update', 'opened', 'appears', 'color', 'white', 'advanced', 'Wait', 'Change']")</f>
        <v>['Update', 'opened', 'appears', 'color', 'white', 'advanced', 'Wait', 'Change']</v>
      </c>
      <c r="D4116" s="3">
        <v>1.0</v>
      </c>
    </row>
    <row r="4117" ht="15.75" customHeight="1">
      <c r="A4117" s="1">
        <v>4378.0</v>
      </c>
      <c r="B4117" s="3" t="s">
        <v>3983</v>
      </c>
      <c r="C4117" s="3" t="str">
        <f>IFERROR(__xludf.DUMMYFUNCTION("GOOGLETRANSLATE(B4117,""id"",""en"")"),"['Application', 'Telkomsel', 'Update', 'Open', 'Bosqu', ""]")</f>
        <v>['Application', 'Telkomsel', 'Update', 'Open', 'Bosqu', "]</v>
      </c>
      <c r="D4117" s="3">
        <v>2.0</v>
      </c>
    </row>
    <row r="4118" ht="15.75" customHeight="1">
      <c r="A4118" s="1">
        <v>4379.0</v>
      </c>
      <c r="B4118" s="3" t="s">
        <v>3984</v>
      </c>
      <c r="C4118" s="3" t="str">
        <f>IFERROR(__xludf.DUMMYFUNCTION("GOOGLETRANSLATE(B4118,""id"",""en"")"),"['buy', 'package', 'easy', 'telkom']")</f>
        <v>['buy', 'package', 'easy', 'telkom']</v>
      </c>
      <c r="D4118" s="3">
        <v>4.0</v>
      </c>
    </row>
    <row r="4119" ht="15.75" customHeight="1">
      <c r="A4119" s="1">
        <v>4381.0</v>
      </c>
      <c r="B4119" s="3" t="s">
        <v>3985</v>
      </c>
      <c r="C4119" s="3" t="str">
        <f>IFERROR(__xludf.DUMMYFUNCTION("GOOGLETRANSLATE(B4119,""id"",""en"")"),"['Severe', 'Price', 'Gedein', 'TRS', 'Quality', 'Down', 'Khintil', 'Cheap', 'Expensive', 'UDH', 'Subscriptions',' Telkhintil ',' th ',' Buriq ',' signal ',' missing ',' UDH ',' Try ',' contact ',' Telkom ',' response ',' kek ',' bot ',' end ',' ']")</f>
        <v>['Severe', 'Price', 'Gedein', 'TRS', 'Quality', 'Down', 'Khintil', 'Cheap', 'Expensive', 'UDH', 'Subscriptions',' Telkhintil ',' th ',' Buriq ',' signal ',' missing ',' UDH ',' Try ',' contact ',' Telkom ',' response ',' kek ',' bot ',' end ',' ']</v>
      </c>
      <c r="D4119" s="3">
        <v>1.0</v>
      </c>
    </row>
    <row r="4120" ht="15.75" customHeight="1">
      <c r="A4120" s="1">
        <v>4382.0</v>
      </c>
      <c r="B4120" s="3" t="s">
        <v>3986</v>
      </c>
      <c r="C4120" s="3" t="str">
        <f>IFERROR(__xludf.DUMMYFUNCTION("GOOGLETRANSLATE(B4120,""id"",""en"")"),"['easy', 'hopefully', 'good']")</f>
        <v>['easy', 'hopefully', 'good']</v>
      </c>
      <c r="D4120" s="3">
        <v>5.0</v>
      </c>
    </row>
    <row r="4121" ht="15.75" customHeight="1">
      <c r="A4121" s="1">
        <v>4383.0</v>
      </c>
      <c r="B4121" s="3" t="s">
        <v>3987</v>
      </c>
      <c r="C4121" s="3" t="str">
        <f>IFERROR(__xludf.DUMMYFUNCTION("GOOGLETRANSLATE(B4121,""id"",""en"")"),"['Wow', '']")</f>
        <v>['Wow', '']</v>
      </c>
      <c r="D4121" s="3">
        <v>5.0</v>
      </c>
    </row>
    <row r="4122" ht="15.75" customHeight="1">
      <c r="A4122" s="1">
        <v>4384.0</v>
      </c>
      <c r="B4122" s="3" t="s">
        <v>3988</v>
      </c>
      <c r="C4122" s="3" t="str">
        <f>IFERROR(__xludf.DUMMYFUNCTION("GOOGLETRANSLATE(B4122,""id"",""en"")"),"['connection', 'rotten', 'broke', 'connect', 'mulu', 'gave', 'gift', 'vocer', 'ngomot', 'pulse', 'intention', 'love', ' Prizes', 'Vocer', 'lag']")</f>
        <v>['connection', 'rotten', 'broke', 'connect', 'mulu', 'gave', 'gift', 'vocer', 'ngomot', 'pulse', 'intention', 'love', ' Prizes', 'Vocer', 'lag']</v>
      </c>
      <c r="D4122" s="3">
        <v>1.0</v>
      </c>
    </row>
    <row r="4123" ht="15.75" customHeight="1">
      <c r="A4123" s="1">
        <v>4385.0</v>
      </c>
      <c r="B4123" s="3" t="s">
        <v>3989</v>
      </c>
      <c r="C4123" s="3" t="str">
        <f>IFERROR(__xludf.DUMMYFUNCTION("GOOGLETRANSLATE(B4123,""id"",""en"")"),"['Network', 'Fastest', 'Fishing', 'Emotion', '']")</f>
        <v>['Network', 'Fastest', 'Fishing', 'Emotion', '']</v>
      </c>
      <c r="D4123" s="3">
        <v>1.0</v>
      </c>
    </row>
    <row r="4124" ht="15.75" customHeight="1">
      <c r="A4124" s="1">
        <v>4386.0</v>
      </c>
      <c r="B4124" s="3" t="s">
        <v>3990</v>
      </c>
      <c r="C4124" s="3" t="str">
        <f>IFERROR(__xludf.DUMMYFUNCTION("GOOGLETRANSLATE(B4124,""id"",""en"")"),"['active', 'paker', 'data', 'extend', 'package', 'data', 'cheap', 'bonus', 'card', 'bnyk', 'bonus']")</f>
        <v>['active', 'paker', 'data', 'extend', 'package', 'data', 'cheap', 'bonus', 'card', 'bnyk', 'bonus']</v>
      </c>
      <c r="D4124" s="3">
        <v>3.0</v>
      </c>
    </row>
    <row r="4125" ht="15.75" customHeight="1">
      <c r="A4125" s="1">
        <v>4387.0</v>
      </c>
      <c r="B4125" s="3" t="s">
        <v>3991</v>
      </c>
      <c r="C4125" s="3" t="str">
        <f>IFERROR(__xludf.DUMMYFUNCTION("GOOGLETRANSLATE(B4125,""id"",""en"")"),"['Dear', 'Telkomsel', 'Best', 'Siyal', 'Bad', 'Quality', 'Sousal', 'Current', 'rather', 'Gnyays', ""]")</f>
        <v>['Dear', 'Telkomsel', 'Best', 'Siyal', 'Bad', 'Quality', 'Sousal', 'Current', 'rather', 'Gnyays', "]</v>
      </c>
      <c r="D4125" s="3">
        <v>5.0</v>
      </c>
    </row>
    <row r="4126" ht="15.75" customHeight="1">
      <c r="A4126" s="1">
        <v>4388.0</v>
      </c>
      <c r="B4126" s="3" t="s">
        <v>3992</v>
      </c>
      <c r="C4126" s="3" t="str">
        <f>IFERROR(__xludf.DUMMYFUNCTION("GOOGLETRANSLATE(B4126,""id"",""en"")"),"['damage', 'application', 'cellphone', 'jammed', 'application', 'handy', 'delete', '']")</f>
        <v>['damage', 'application', 'cellphone', 'jammed', 'application', 'handy', 'delete', '']</v>
      </c>
      <c r="D4126" s="3">
        <v>1.0</v>
      </c>
    </row>
    <row r="4127" ht="15.75" customHeight="1">
      <c r="A4127" s="1">
        <v>4389.0</v>
      </c>
      <c r="B4127" s="3" t="s">
        <v>3993</v>
      </c>
      <c r="C4127" s="3" t="str">
        <f>IFERROR(__xludf.DUMMYFUNCTION("GOOGLETRANSLATE(B4127,""id"",""en"")"),"['apk', 'purasn', 'please', 'return', 'plsa', 'sya', 'lag', 'sma', 'telkomsel', 'anjin', 'sya', 'pnya', ' Package ',' Data ',' Masi ',' Cutting ',' APK ',' hilarious']")</f>
        <v>['apk', 'purasn', 'please', 'return', 'plsa', 'sya', 'lag', 'sma', 'telkomsel', 'anjin', 'sya', 'pnya', ' Package ',' Data ',' Masi ',' Cutting ',' APK ',' hilarious']</v>
      </c>
      <c r="D4127" s="3">
        <v>3.0</v>
      </c>
    </row>
    <row r="4128" ht="15.75" customHeight="1">
      <c r="A4128" s="1">
        <v>4390.0</v>
      </c>
      <c r="B4128" s="3" t="s">
        <v>3994</v>
      </c>
      <c r="C4128" s="3" t="str">
        <f>IFERROR(__xludf.DUMMYFUNCTION("GOOGLETRANSLATE(B4128,""id"",""en"")"),"['already', 'opened']")</f>
        <v>['already', 'opened']</v>
      </c>
      <c r="D4128" s="3">
        <v>1.0</v>
      </c>
    </row>
    <row r="4129" ht="15.75" customHeight="1">
      <c r="A4129" s="1">
        <v>4392.0</v>
      </c>
      <c r="B4129" s="3" t="s">
        <v>3995</v>
      </c>
      <c r="C4129" s="3" t="str">
        <f>IFERROR(__xludf.DUMMYFUNCTION("GOOGLETRANSLATE(B4129,""id"",""en"")"),"['move', 'card', 'Hello', 'telkomsel', 'karna', 'move', 'card', 'card', 'hello', 'stop', 'subscribe', ' card ',' block ',' notification ',' moved ',' Hello ',' moved ',' card ',' prepaid ',' move ',' prepaid ',' direct ',' grapari ',' real ' , 'Disappoint"&amp;"ed', 'skali', 'block', 'late', 'pay', 'prnh', 'tlat', 'byr', '']")</f>
        <v>['move', 'card', 'Hello', 'telkomsel', 'karna', 'move', 'card', 'card', 'hello', 'stop', 'subscribe', ' card ',' block ',' notification ',' moved ',' Hello ',' moved ',' card ',' prepaid ',' move ',' prepaid ',' direct ',' grapari ',' real ' , 'Disappointed', 'skali', 'block', 'late', 'pay', 'prnh', 'tlat', 'byr', '']</v>
      </c>
      <c r="D4129" s="3">
        <v>1.0</v>
      </c>
    </row>
    <row r="4130" ht="15.75" customHeight="1">
      <c r="A4130" s="1">
        <v>4393.0</v>
      </c>
      <c r="B4130" s="3" t="s">
        <v>3996</v>
      </c>
      <c r="C4130" s="3" t="str">
        <f>IFERROR(__xludf.DUMMYFUNCTION("GOOGLETRANSLATE(B4130,""id"",""en"")"),"['Pngguna', 'Telkomsel', 'here', 'package', 'expensive', 'update', 'open', 'application', 'Telkomsel', 'quota', 'buy', 'package', ' Expensive ',' Different ',' Different ',' Price ',' Contents', 'Credit', 'Data', 'Off', 'Automatic', 'Credit', 'Used', 'Dir"&amp;"ect', 'Register' , 'Package', 'Hadeuuhhhh', 'Honest', 'Males', 'buy', 'quota', 'pulse', 'Telkomsel', 'home', 'number', 'beautiful', ""]")</f>
        <v>['Pngguna', 'Telkomsel', 'here', 'package', 'expensive', 'update', 'open', 'application', 'Telkomsel', 'quota', 'buy', 'package', ' Expensive ',' Different ',' Different ',' Price ',' Contents', 'Credit', 'Data', 'Off', 'Automatic', 'Credit', 'Used', 'Direct', 'Register' , 'Package', 'Hadeuuhhhh', 'Honest', 'Males', 'buy', 'quota', 'pulse', 'Telkomsel', 'home', 'number', 'beautiful', "]</v>
      </c>
      <c r="D4130" s="3">
        <v>1.0</v>
      </c>
    </row>
    <row r="4131" ht="15.75" customHeight="1">
      <c r="A4131" s="1">
        <v>4394.0</v>
      </c>
      <c r="B4131" s="3" t="s">
        <v>3997</v>
      </c>
      <c r="C4131" s="3" t="str">
        <f>IFERROR(__xludf.DUMMYFUNCTION("GOOGLETRANSLATE(B4131,""id"",""en"")"),"['waste', 'quota']")</f>
        <v>['waste', 'quota']</v>
      </c>
      <c r="D4131" s="3">
        <v>1.0</v>
      </c>
    </row>
    <row r="4132" ht="15.75" customHeight="1">
      <c r="A4132" s="1">
        <v>4395.0</v>
      </c>
      <c r="B4132" s="3" t="s">
        <v>3998</v>
      </c>
      <c r="C4132" s="3" t="str">
        <f>IFERROR(__xludf.DUMMYFUNCTION("GOOGLETRANSLATE(B4132,""id"",""en"")"),"['network', 'steady', 'kek', 'next door', '']")</f>
        <v>['network', 'steady', 'kek', 'next door', '']</v>
      </c>
      <c r="D4132" s="3">
        <v>5.0</v>
      </c>
    </row>
    <row r="4133" ht="15.75" customHeight="1">
      <c r="A4133" s="1">
        <v>4396.0</v>
      </c>
      <c r="B4133" s="3" t="s">
        <v>3999</v>
      </c>
      <c r="C4133" s="3" t="str">
        <f>IFERROR(__xludf.DUMMYFUNCTION("GOOGLETRANSLATE(B4133,""id"",""en"")"),"['Kenpa', 'Uda', 'Install', 'Blik', 'Hape', 'Nga', 'Sia', 'Sia']")</f>
        <v>['Kenpa', 'Uda', 'Install', 'Blik', 'Hape', 'Nga', 'Sia', 'Sia']</v>
      </c>
      <c r="D4133" s="3">
        <v>1.0</v>
      </c>
    </row>
    <row r="4134" ht="15.75" customHeight="1">
      <c r="A4134" s="1">
        <v>4398.0</v>
      </c>
      <c r="B4134" s="3" t="s">
        <v>4000</v>
      </c>
      <c r="C4134" s="3" t="str">
        <f>IFERROR(__xludf.DUMMYFUNCTION("GOOGLETRANSLATE(B4134,""id"",""en"")"),"['Help', 'Customer', 'Telkomsel', 'Different', 'Rates', 'Internet', 'Next to']")</f>
        <v>['Help', 'Customer', 'Telkomsel', 'Different', 'Rates', 'Internet', 'Next to']</v>
      </c>
      <c r="D4134" s="3">
        <v>2.0</v>
      </c>
    </row>
    <row r="4135" ht="15.75" customHeight="1">
      <c r="A4135" s="1">
        <v>4399.0</v>
      </c>
      <c r="B4135" s="3" t="s">
        <v>4001</v>
      </c>
      <c r="C4135" s="3" t="str">
        <f>IFERROR(__xludf.DUMMYFUNCTION("GOOGLETRANSLATE(B4135,""id"",""en"")"),"['buy', 'quota', 'pay', 'wallet', 'ngak', 'try', 'many', 'times', 'tetep', 'poor']")</f>
        <v>['buy', 'quota', 'pay', 'wallet', 'ngak', 'try', 'many', 'times', 'tetep', 'poor']</v>
      </c>
      <c r="D4135" s="3">
        <v>1.0</v>
      </c>
    </row>
    <row r="4136" ht="15.75" customHeight="1">
      <c r="A4136" s="1">
        <v>4400.0</v>
      </c>
      <c r="B4136" s="3" t="s">
        <v>4002</v>
      </c>
      <c r="C4136" s="3" t="str">
        <f>IFERROR(__xludf.DUMMYFUNCTION("GOOGLETRANSLATE(B4136,""id"",""en"")"),"['pulse', 'sucked', 'notification', 'has', 'quota']")</f>
        <v>['pulse', 'sucked', 'notification', 'has', 'quota']</v>
      </c>
      <c r="D4136" s="3">
        <v>1.0</v>
      </c>
    </row>
    <row r="4137" ht="15.75" customHeight="1">
      <c r="A4137" s="1">
        <v>4401.0</v>
      </c>
      <c r="B4137" s="3" t="s">
        <v>4003</v>
      </c>
      <c r="C4137" s="3" t="str">
        <f>IFERROR(__xludf.DUMMYFUNCTION("GOOGLETRANSLATE(B4137,""id"",""en"")"),"['hope', 'Amanah', '']")</f>
        <v>['hope', 'Amanah', '']</v>
      </c>
      <c r="D4137" s="3">
        <v>5.0</v>
      </c>
    </row>
    <row r="4138" ht="15.75" customHeight="1">
      <c r="A4138" s="1">
        <v>4402.0</v>
      </c>
      <c r="B4138" s="3" t="s">
        <v>4004</v>
      </c>
      <c r="C4138" s="3" t="str">
        <f>IFERROR(__xludf.DUMMYFUNCTION("GOOGLETRANSLATE(B4138,""id"",""en"")"),"['opened', 'told', 'upgrade', 'already', 'upgrade', 'told', 'upgrade', '']")</f>
        <v>['opened', 'told', 'upgrade', 'already', 'upgrade', 'told', 'upgrade', '']</v>
      </c>
      <c r="D4138" s="3">
        <v>1.0</v>
      </c>
    </row>
    <row r="4139" ht="15.75" customHeight="1">
      <c r="A4139" s="1">
        <v>4403.0</v>
      </c>
      <c r="B4139" s="3" t="s">
        <v>4005</v>
      </c>
      <c r="C4139" s="3" t="str">
        <f>IFERROR(__xludf.DUMMYFUNCTION("GOOGLETRANSLATE(B4139,""id"",""en"")"),"['Telkomsel', 'boss',' cook ',' pulse ',' rb ',' buy ',' package ',' price ',' rb ',' pulse ',' sufficient ',' bodies', ' Road ',' ']")</f>
        <v>['Telkomsel', 'boss',' cook ',' pulse ',' rb ',' buy ',' package ',' price ',' rb ',' pulse ',' sufficient ',' bodies', ' Road ',' ']</v>
      </c>
      <c r="D4139" s="3">
        <v>1.0</v>
      </c>
    </row>
    <row r="4140" ht="15.75" customHeight="1">
      <c r="A4140" s="1">
        <v>4404.0</v>
      </c>
      <c r="B4140" s="3" t="s">
        <v>4006</v>
      </c>
      <c r="C4140" s="3" t="str">
        <f>IFERROR(__xludf.DUMMYFUNCTION("GOOGLETRANSLATE(B4140,""id"",""en"")"),"['What', 'Telkomsel', 'buy', 'credit', 'directly', 'PDAVY', 'Activates',' buy ',' pulse ',' The thing ',' pay ',' package ',' Emergency ',' NLPN ',' Jarng ',' Tellkmsel ',' garbage ']")</f>
        <v>['What', 'Telkomsel', 'buy', 'credit', 'directly', 'PDAVY', 'Activates',' buy ',' pulse ',' The thing ',' pay ',' package ',' Emergency ',' NLPN ',' Jarng ',' Tellkmsel ',' garbage ']</v>
      </c>
      <c r="D4140" s="3">
        <v>1.0</v>
      </c>
    </row>
    <row r="4141" ht="15.75" customHeight="1">
      <c r="A4141" s="1">
        <v>4405.0</v>
      </c>
      <c r="B4141" s="3" t="s">
        <v>4007</v>
      </c>
      <c r="C4141" s="3" t="str">
        <f>IFERROR(__xludf.DUMMYFUNCTION("GOOGLETRANSLATE(B4141,""id"",""en"")"),"['signal', 'in the area', 'very &lt;br&gt;', 'bad', 'inland', 'exactly', 'kelurahan', 'mlese', 'gantenno', 'klaten', 'Java', 'customer', ' Telkomsel ',' every use ',' pulse ',' Playkanan ',' Telkomsel ',' complaints', 'dooded', 'please', 'built', 'transmitter',"&amp;" 'quality', 'network' , 'DDI', 'hangled', 'improved', 'fixed', 'user', 'close', 'switch', 'oprator', 'cellular']")</f>
        <v>['signal', 'in the area', 'very &lt;br&gt;', 'bad', 'inland', 'exactly', 'kelurahan', 'mlese', 'gantenno', 'klaten', 'Java', 'customer', ' Telkomsel ',' every use ',' pulse ',' Playkanan ',' Telkomsel ',' complaints', 'dooded', 'please', 'built', 'transmitter', 'quality', 'network' , 'DDI', 'hangled', 'improved', 'fixed', 'user', 'close', 'switch', 'oprator', 'cellular']</v>
      </c>
      <c r="D4141" s="3">
        <v>1.0</v>
      </c>
    </row>
    <row r="4142" ht="15.75" customHeight="1">
      <c r="A4142" s="1">
        <v>4406.0</v>
      </c>
      <c r="B4142" s="3" t="s">
        <v>4008</v>
      </c>
      <c r="C4142" s="3" t="str">
        <f>IFERROR(__xludf.DUMMYFUNCTION("GOOGLETRANSLATE(B4142,""id"",""en"")"),"['application', 'difficult', 'open', '']")</f>
        <v>['application', 'difficult', 'open', '']</v>
      </c>
      <c r="D4142" s="3">
        <v>1.0</v>
      </c>
    </row>
    <row r="4143" ht="15.75" customHeight="1">
      <c r="A4143" s="1">
        <v>4407.0</v>
      </c>
      <c r="B4143" s="3" t="s">
        <v>4009</v>
      </c>
      <c r="C4143" s="3" t="str">
        <f>IFERROR(__xludf.DUMMYFUNCTION("GOOGLETRANSLATE(B4143,""id"",""en"")"),"['getting', 'opened', '']")</f>
        <v>['getting', 'opened', '']</v>
      </c>
      <c r="D4143" s="3">
        <v>1.0</v>
      </c>
    </row>
    <row r="4144" ht="15.75" customHeight="1">
      <c r="A4144" s="1">
        <v>4408.0</v>
      </c>
      <c r="B4144" s="3" t="s">
        <v>4010</v>
      </c>
      <c r="C4144" s="3" t="str">
        <f>IFERROR(__xludf.DUMMYFUNCTION("GOOGLETRANSLATE(B4144,""id"",""en"")"),"['Disappointed', 'heavy', 'update', 'open', 'less', 'star']")</f>
        <v>['Disappointed', 'heavy', 'update', 'open', 'less', 'star']</v>
      </c>
      <c r="D4144" s="3">
        <v>1.0</v>
      </c>
    </row>
    <row r="4145" ht="15.75" customHeight="1">
      <c r="A4145" s="1">
        <v>4409.0</v>
      </c>
      <c r="B4145" s="3" t="s">
        <v>4011</v>
      </c>
      <c r="C4145" s="3" t="str">
        <f>IFERROR(__xludf.DUMMYFUNCTION("GOOGLETRANSLATE(B4145,""id"",""en"")"),"['The application', 'can', 'open', 'gyma', 'before', 'smooth']")</f>
        <v>['The application', 'can', 'open', 'gyma', 'before', 'smooth']</v>
      </c>
      <c r="D4145" s="3">
        <v>1.0</v>
      </c>
    </row>
    <row r="4146" ht="15.75" customHeight="1">
      <c r="A4146" s="1">
        <v>4411.0</v>
      </c>
      <c r="B4146" s="3" t="s">
        <v>4012</v>
      </c>
      <c r="C4146" s="3" t="str">
        <f>IFERROR(__xludf.DUMMYFUNCTION("GOOGLETRANSLATE(B4146,""id"",""en"")"),"['Open', 'APP', 'MyTelkomsel', 'Please', 'Complete', 'damage', 'easy', 'thank', 'love']")</f>
        <v>['Open', 'APP', 'MyTelkomsel', 'Please', 'Complete', 'damage', 'easy', 'thank', 'love']</v>
      </c>
      <c r="D4146" s="3">
        <v>5.0</v>
      </c>
    </row>
    <row r="4147" ht="15.75" customHeight="1">
      <c r="A4147" s="1">
        <v>4412.0</v>
      </c>
      <c r="B4147" s="3" t="s">
        <v>4013</v>
      </c>
      <c r="C4147" s="3" t="str">
        <f>IFERROR(__xludf.DUMMYFUNCTION("GOOGLETRANSLATE(B4147,""id"",""en"")"),"['right', 'enter', 'white', 'white']")</f>
        <v>['right', 'enter', 'white', 'white']</v>
      </c>
      <c r="D4147" s="3">
        <v>1.0</v>
      </c>
    </row>
    <row r="4148" ht="15.75" customHeight="1">
      <c r="A4148" s="1">
        <v>4413.0</v>
      </c>
      <c r="B4148" s="3" t="s">
        <v>4014</v>
      </c>
      <c r="C4148" s="3" t="str">
        <f>IFERROR(__xludf.DUMMYFUNCTION("GOOGLETRANSLATE(B4148,""id"",""en"")"),"['buy', 'package', 'data', 'balance', 'pulse', 'where', 'center', 'help', 'chat', 'computer', ""]")</f>
        <v>['buy', 'package', 'data', 'balance', 'pulse', 'where', 'center', 'help', 'chat', 'computer', "]</v>
      </c>
      <c r="D4148" s="3">
        <v>1.0</v>
      </c>
    </row>
    <row r="4149" ht="15.75" customHeight="1">
      <c r="A4149" s="1">
        <v>4414.0</v>
      </c>
      <c r="B4149" s="3" t="s">
        <v>4015</v>
      </c>
      <c r="C4149" s="3" t="str">
        <f>IFERROR(__xludf.DUMMYFUNCTION("GOOGLETRANSLATE(B4149,""id"",""en"")"),"['Satisfied', 'Service', 'Veronica', 'Please', 'Help', 'Service']")</f>
        <v>['Satisfied', 'Service', 'Veronica', 'Please', 'Help', 'Service']</v>
      </c>
      <c r="D4149" s="3">
        <v>5.0</v>
      </c>
    </row>
    <row r="4150" ht="15.75" customHeight="1">
      <c r="A4150" s="1">
        <v>4415.0</v>
      </c>
      <c r="B4150" s="3" t="s">
        <v>4016</v>
      </c>
      <c r="C4150" s="3" t="str">
        <f>IFERROR(__xludf.DUMMYFUNCTION("GOOGLETRANSLATE(B4150,""id"",""en"")"),"['Dikonkuku', 'price', 'quota', 'expensive', 'Di card', 'my friend', 'cheap', 'fair', '']")</f>
        <v>['Dikonkuku', 'price', 'quota', 'expensive', 'Di card', 'my friend', 'cheap', 'fair', '']</v>
      </c>
      <c r="D4150" s="3">
        <v>1.0</v>
      </c>
    </row>
    <row r="4151" ht="15.75" customHeight="1">
      <c r="A4151" s="1">
        <v>4416.0</v>
      </c>
      <c r="B4151" s="3" t="s">
        <v>4017</v>
      </c>
      <c r="C4151" s="3" t="str">
        <f>IFERROR(__xludf.DUMMYFUNCTION("GOOGLETRANSLATE(B4151,""id"",""en"")"),"['Lemot', 'Network', 'Region', 'Stay']")</f>
        <v>['Lemot', 'Network', 'Region', 'Stay']</v>
      </c>
      <c r="D4151" s="3">
        <v>5.0</v>
      </c>
    </row>
    <row r="4152" ht="15.75" customHeight="1">
      <c r="A4152" s="1">
        <v>4417.0</v>
      </c>
      <c r="B4152" s="3" t="s">
        <v>4018</v>
      </c>
      <c r="C4152" s="3" t="str">
        <f>IFERROR(__xludf.DUMMYFUNCTION("GOOGLETRANSLATE(B4152,""id"",""en"")"),"['Thank you', 'fast', 'shopping', 'Telkomsel']")</f>
        <v>['Thank you', 'fast', 'shopping', 'Telkomsel']</v>
      </c>
      <c r="D4152" s="3">
        <v>5.0</v>
      </c>
    </row>
    <row r="4153" ht="15.75" customHeight="1">
      <c r="A4153" s="1">
        <v>4418.0</v>
      </c>
      <c r="B4153" s="3" t="s">
        <v>4019</v>
      </c>
      <c r="C4153" s="3" t="str">
        <f>IFERROR(__xludf.DUMMYFUNCTION("GOOGLETRANSLATE(B4153,""id"",""en"")"),"['Mhon', 'Dperakan', 'Network', 'Telkomsel', 'Region', 'Kab', 'City', 'Prov', 'Lemot', 'Disorders',' Mhon ',' ATTORIVER ',' ']")</f>
        <v>['Mhon', 'Dperakan', 'Network', 'Telkomsel', 'Region', 'Kab', 'City', 'Prov', 'Lemot', 'Disorders',' Mhon ',' ATTORIVER ',' ']</v>
      </c>
      <c r="D4153" s="3">
        <v>1.0</v>
      </c>
    </row>
    <row r="4154" ht="15.75" customHeight="1">
      <c r="A4154" s="1">
        <v>4420.0</v>
      </c>
      <c r="B4154" s="3" t="s">
        <v>4020</v>
      </c>
      <c r="C4154" s="3" t="str">
        <f>IFERROR(__xludf.DUMMYFUNCTION("GOOGLETRANSLATE(B4154,""id"",""en"")"),"['Lower', 'Price', 'Package', 'Cheap', '']")</f>
        <v>['Lower', 'Price', 'Package', 'Cheap', '']</v>
      </c>
      <c r="D4154" s="3">
        <v>5.0</v>
      </c>
    </row>
    <row r="4155" ht="15.75" customHeight="1">
      <c r="A4155" s="1">
        <v>4421.0</v>
      </c>
      <c r="B4155" s="3" t="s">
        <v>4021</v>
      </c>
      <c r="C4155" s="3" t="str">
        <f>IFERROR(__xludf.DUMMYFUNCTION("GOOGLETRANSLATE(B4155,""id"",""en"")"),"['apk', 'comfortable', 'buy', 'package', 'pulse']")</f>
        <v>['apk', 'comfortable', 'buy', 'package', 'pulse']</v>
      </c>
      <c r="D4155" s="3">
        <v>3.0</v>
      </c>
    </row>
    <row r="4156" ht="15.75" customHeight="1">
      <c r="A4156" s="1">
        <v>4422.0</v>
      </c>
      <c r="B4156" s="3" t="s">
        <v>4022</v>
      </c>
      <c r="C4156" s="3" t="str">
        <f>IFERROR(__xludf.DUMMYFUNCTION("GOOGLETRANSLATE(B4156,""id"",""en"")"),"['pulse', 'already', 'right', 'said']")</f>
        <v>['pulse', 'already', 'right', 'said']</v>
      </c>
      <c r="D4156" s="3">
        <v>1.0</v>
      </c>
    </row>
    <row r="4157" ht="15.75" customHeight="1">
      <c r="A4157" s="1">
        <v>4423.0</v>
      </c>
      <c r="B4157" s="3" t="s">
        <v>4023</v>
      </c>
      <c r="C4157" s="3" t="str">
        <f>IFERROR(__xludf.DUMMYFUNCTION("GOOGLETRANSLATE(B4157,""id"",""en"")"),"['Disappointed', 'really', 'Telkomsel', 'quota', 'watch', 'watch', 'Youtube', 'sosmed', 'udag', 'gabisa', 'kepakee', 'njirrr', ' already ',' report ',' quota ',' regular ',' used ',' reality ',' just ',' just ',' contents', 'quota', 'regular', 'ttep', 'aj"&amp;"aa' , 'quota', 'watching', 'no', 'reduced', 'aka', 'kepakeee', 'suggestion', 'buy', 'unlimitedmax', 'kapok', 'just', 'replace', ' Provider ']")</f>
        <v>['Disappointed', 'really', 'Telkomsel', 'quota', 'watch', 'watch', 'Youtube', 'sosmed', 'udag', 'gabisa', 'kepakee', 'njirrr', ' already ',' report ',' quota ',' regular ',' used ',' reality ',' just ',' just ',' contents', 'quota', 'regular', 'ttep', 'ajaa' , 'quota', 'watching', 'no', 'reduced', 'aka', 'kepakeee', 'suggestion', 'buy', 'unlimitedmax', 'kapok', 'just', 'replace', ' Provider ']</v>
      </c>
      <c r="D4157" s="3">
        <v>1.0</v>
      </c>
    </row>
    <row r="4158" ht="15.75" customHeight="1">
      <c r="A4158" s="1">
        <v>4424.0</v>
      </c>
      <c r="B4158" s="3" t="s">
        <v>4024</v>
      </c>
      <c r="C4158" s="3" t="str">
        <f>IFERROR(__xludf.DUMMYFUNCTION("GOOGLETRANSLATE(B4158,""id"",""en"")"),"['bro', 'love', 'price', 'right', 'believed', 'price', 'kayak', 'put it', 'leftover', 'pulses',' appain ',' tar ',' The tip ',' end ',' ilang ',' pulse ',' dear ',' plis', 'please', 'gave', 'price', 'beloved', 'so', 'Ana', 'people' , 'Rich', ""]")</f>
        <v>['bro', 'love', 'price', 'right', 'believed', 'price', 'kayak', 'put it', 'leftover', 'pulses',' appain ',' tar ',' The tip ',' end ',' ilang ',' pulse ',' dear ',' plis', 'please', 'gave', 'price', 'beloved', 'so', 'Ana', 'people' , 'Rich', "]</v>
      </c>
      <c r="D4158" s="3">
        <v>2.0</v>
      </c>
    </row>
    <row r="4159" ht="15.75" customHeight="1">
      <c r="A4159" s="1">
        <v>4425.0</v>
      </c>
      <c r="B4159" s="3" t="s">
        <v>4025</v>
      </c>
      <c r="C4159" s="3" t="str">
        <f>IFERROR(__xludf.DUMMYFUNCTION("GOOGLETRANSLATE(B4159,""id"",""en"")"),"['Steady', 'fix', 'lgi']")</f>
        <v>['Steady', 'fix', 'lgi']</v>
      </c>
      <c r="D4159" s="3">
        <v>1.0</v>
      </c>
    </row>
    <row r="4160" ht="15.75" customHeight="1">
      <c r="A4160" s="1">
        <v>4427.0</v>
      </c>
      <c r="B4160" s="3" t="s">
        <v>4026</v>
      </c>
      <c r="C4160" s="3" t="str">
        <f>IFERROR(__xludf.DUMMYFUNCTION("GOOGLETRANSLATE(B4160,""id"",""en"")"),"['Knp', 'Application', 'accessed', '']")</f>
        <v>['Knp', 'Application', 'accessed', '']</v>
      </c>
      <c r="D4160" s="3">
        <v>1.0</v>
      </c>
    </row>
    <row r="4161" ht="15.75" customHeight="1">
      <c r="A4161" s="1">
        <v>4428.0</v>
      </c>
      <c r="B4161" s="3" t="s">
        <v>4027</v>
      </c>
      <c r="C4161" s="3" t="str">
        <f>IFERROR(__xludf.DUMMYFUNCTION("GOOGLETRANSLATE(B4161,""id"",""en"")"),"['level', 'speed', 'package', 'unlimited', 'max', 'difficult', 'bngt', 'loading', 'muluu', 'rain', 'wahh', 'pretty', ' quota ',' main ',' run out ',' unlimited ',' because ',' power ',' bngt ',' loading ',' doang ',' really ',' ugly ',' signal ',' sometim"&amp;"es' , 'dead', 'card', 'rich', 'unplug', 'pdhal', 'gda', 'unplug', 'card', 'sim', 'hmm']")</f>
        <v>['level', 'speed', 'package', 'unlimited', 'max', 'difficult', 'bngt', 'loading', 'muluu', 'rain', 'wahh', 'pretty', ' quota ',' main ',' run out ',' unlimited ',' because ',' power ',' bngt ',' loading ',' doang ',' really ',' ugly ',' signal ',' sometimes' , 'dead', 'card', 'rich', 'unplug', 'pdhal', 'gda', 'unplug', 'card', 'sim', 'hmm']</v>
      </c>
      <c r="D4161" s="3">
        <v>3.0</v>
      </c>
    </row>
    <row r="4162" ht="15.75" customHeight="1">
      <c r="A4162" s="1">
        <v>4430.0</v>
      </c>
      <c r="B4162" s="3" t="s">
        <v>4028</v>
      </c>
      <c r="C4162" s="3" t="str">
        <f>IFERROR(__xludf.DUMMYFUNCTION("GOOGLETRANSLATE(B4162,""id"",""en"")"),"['Wear', 'pulse', 'Rp', 'access',' internet ',' non ',' package ',' buy ',' package ',' tsel ',' tsel ',' pdahal ',' Package ',' data ',' turned on ',' pke ',' krtu ',' mksud ',' ']")</f>
        <v>['Wear', 'pulse', 'Rp', 'access',' internet ',' non ',' package ',' buy ',' package ',' tsel ',' tsel ',' pdahal ',' Package ',' data ',' turned on ',' pke ',' krtu ',' mksud ',' ']</v>
      </c>
      <c r="D4162" s="3">
        <v>1.0</v>
      </c>
    </row>
    <row r="4163" ht="15.75" customHeight="1">
      <c r="A4163" s="1">
        <v>4431.0</v>
      </c>
      <c r="B4163" s="3" t="s">
        <v>4029</v>
      </c>
      <c r="C4163" s="3" t="str">
        <f>IFERROR(__xludf.DUMMYFUNCTION("GOOGLETRANSLATE(B4163,""id"",""en"")"),"['application', 'defective', 'quota', 'run out', 'ceper', 'really', 'believe', 'believe', 'UDH', 'fill', 'quota', 'run out', ' run out ',' original ',' upset ',' application ',' Cuan ',' brain ',' service ', ""]")</f>
        <v>['application', 'defective', 'quota', 'run out', 'ceper', 'really', 'believe', 'believe', 'UDH', 'fill', 'quota', 'run out', ' run out ',' original ',' upset ',' application ',' Cuan ',' brain ',' service ', "]</v>
      </c>
      <c r="D4163" s="3">
        <v>1.0</v>
      </c>
    </row>
    <row r="4164" ht="15.75" customHeight="1">
      <c r="A4164" s="1">
        <v>4432.0</v>
      </c>
      <c r="B4164" s="3" t="s">
        <v>4030</v>
      </c>
      <c r="C4164" s="3" t="str">
        <f>IFERROR(__xludf.DUMMYFUNCTION("GOOGLETRANSLATE(B4164,""id"",""en"")"),"['Mambuka', 'App', 'screen', 'white', '']")</f>
        <v>['Mambuka', 'App', 'screen', 'white', '']</v>
      </c>
      <c r="D4164" s="3">
        <v>1.0</v>
      </c>
    </row>
    <row r="4165" ht="15.75" customHeight="1">
      <c r="A4165" s="1">
        <v>4433.0</v>
      </c>
      <c r="B4165" s="3" t="s">
        <v>4031</v>
      </c>
      <c r="C4165" s="3" t="str">
        <f>IFERROR(__xludf.DUMMYFUNCTION("GOOGLETRANSLATE(B4165,""id"",""en"")"),"['', 'Telkomsel', 'open', 'adroid', 'screen', 'white', 'good']")</f>
        <v>['', 'Telkomsel', 'open', 'adroid', 'screen', 'white', 'good']</v>
      </c>
      <c r="D4165" s="3">
        <v>1.0</v>
      </c>
    </row>
    <row r="4166" ht="15.75" customHeight="1">
      <c r="A4166" s="1">
        <v>4435.0</v>
      </c>
      <c r="B4166" s="3" t="s">
        <v>708</v>
      </c>
      <c r="C4166" s="3" t="str">
        <f>IFERROR(__xludf.DUMMYFUNCTION("GOOGLETRANSLATE(B4166,""id"",""en"")"),"['easy', 'help']")</f>
        <v>['easy', 'help']</v>
      </c>
      <c r="D4166" s="3">
        <v>5.0</v>
      </c>
    </row>
    <row r="4167" ht="15.75" customHeight="1">
      <c r="A4167" s="1">
        <v>4436.0</v>
      </c>
      <c r="B4167" s="3" t="s">
        <v>2727</v>
      </c>
      <c r="C4167" s="3" t="str">
        <f>IFERROR(__xludf.DUMMYFUNCTION("GOOGLETRANSLATE(B4167,""id"",""en"")"),"['Opened', '']")</f>
        <v>['Opened', '']</v>
      </c>
      <c r="D4167" s="3">
        <v>1.0</v>
      </c>
    </row>
    <row r="4168" ht="15.75" customHeight="1">
      <c r="A4168" s="1">
        <v>4437.0</v>
      </c>
      <c r="B4168" s="3" t="s">
        <v>4032</v>
      </c>
      <c r="C4168" s="3" t="str">
        <f>IFERROR(__xludf.DUMMYFUNCTION("GOOGLETRANSLATE(B4168,""id"",""en"")"),"['Telkomsel', 'Leading', '']")</f>
        <v>['Telkomsel', 'Leading', '']</v>
      </c>
      <c r="D4168" s="3">
        <v>5.0</v>
      </c>
    </row>
    <row r="4169" ht="15.75" customHeight="1">
      <c r="A4169" s="1">
        <v>4438.0</v>
      </c>
      <c r="B4169" s="3" t="s">
        <v>4033</v>
      </c>
      <c r="C4169" s="3" t="str">
        <f>IFERROR(__xludf.DUMMYFUNCTION("GOOGLETRANSLATE(B4169,""id"",""en"")"),"['SNGT', 'help', 'for', 'purchase', 'data', 'etc.']")</f>
        <v>['SNGT', 'help', 'for', 'purchase', 'data', 'etc.']</v>
      </c>
      <c r="D4169" s="3">
        <v>5.0</v>
      </c>
    </row>
    <row r="4170" ht="15.75" customHeight="1">
      <c r="A4170" s="1">
        <v>4439.0</v>
      </c>
      <c r="B4170" s="3" t="s">
        <v>4034</v>
      </c>
      <c r="C4170" s="3" t="str">
        <f>IFERROR(__xludf.DUMMYFUNCTION("GOOGLETRANSLATE(B4170,""id"",""en"")"),"['Fix', 'Signal', 'Island', 'Kampar', 'Week', 'Riau', 'Soak', 'Network', 'Telkom']")</f>
        <v>['Fix', 'Signal', 'Island', 'Kampar', 'Week', 'Riau', 'Soak', 'Network', 'Telkom']</v>
      </c>
      <c r="D4170" s="3">
        <v>1.0</v>
      </c>
    </row>
    <row r="4171" ht="15.75" customHeight="1">
      <c r="A4171" s="1">
        <v>4440.0</v>
      </c>
      <c r="B4171" s="3" t="s">
        <v>4035</v>
      </c>
      <c r="C4171" s="3" t="str">
        <f>IFERROR(__xludf.DUMMYFUNCTION("GOOGLETRANSLATE(B4171,""id"",""en"")"),"['Abis', 'updated', 'gabisa', 'opened']")</f>
        <v>['Abis', 'updated', 'gabisa', 'opened']</v>
      </c>
      <c r="D4171" s="3">
        <v>1.0</v>
      </c>
    </row>
    <row r="4172" ht="15.75" customHeight="1">
      <c r="A4172" s="1">
        <v>4441.0</v>
      </c>
      <c r="B4172" s="3" t="s">
        <v>4036</v>
      </c>
      <c r="C4172" s="3" t="str">
        <f>IFERROR(__xludf.DUMMYFUNCTION("GOOGLETRANSLATE(B4172,""id"",""en"")"),"['', 'Telkom', 'NGLEG', 'KLI', 'Maen', 'GME', 'Network', 'Red', 'Please', 'Fix']")</f>
        <v>['', 'Telkom', 'NGLEG', 'KLI', 'Maen', 'GME', 'Network', 'Red', 'Please', 'Fix']</v>
      </c>
      <c r="D4172" s="3">
        <v>1.0</v>
      </c>
    </row>
    <row r="4173" ht="15.75" customHeight="1">
      <c r="A4173" s="1">
        <v>4442.0</v>
      </c>
      <c r="B4173" s="3" t="s">
        <v>4037</v>
      </c>
      <c r="C4173" s="3" t="str">
        <f>IFERROR(__xludf.DUMMYFUNCTION("GOOGLETRANSLATE(B4173,""id"",""en"")"),"['Rolong', 'Assisted', 'Motor']")</f>
        <v>['Rolong', 'Assisted', 'Motor']</v>
      </c>
      <c r="D4173" s="3">
        <v>5.0</v>
      </c>
    </row>
    <row r="4174" ht="15.75" customHeight="1">
      <c r="A4174" s="1">
        <v>4443.0</v>
      </c>
      <c r="B4174" s="3" t="s">
        <v>4038</v>
      </c>
      <c r="C4174" s="3" t="str">
        <f>IFERROR(__xludf.DUMMYFUNCTION("GOOGLETRANSLATE(B4174,""id"",""en"")"),"['Royal', 'Customer', 'Loyal']")</f>
        <v>['Royal', 'Customer', 'Loyal']</v>
      </c>
      <c r="D4174" s="3">
        <v>4.0</v>
      </c>
    </row>
    <row r="4175" ht="15.75" customHeight="1">
      <c r="A4175" s="1">
        <v>4444.0</v>
      </c>
      <c r="B4175" s="3" t="s">
        <v>4039</v>
      </c>
      <c r="C4175" s="3" t="str">
        <f>IFERROR(__xludf.DUMMYFUNCTION("GOOGLETRANSLATE(B4175,""id"",""en"")"),"['signal', 'sympathy', 'severe', 'ajah', 'slow', 'severe', 'severe', '']")</f>
        <v>['signal', 'sympathy', 'severe', 'ajah', 'slow', 'severe', 'severe', '']</v>
      </c>
      <c r="D4175" s="3">
        <v>1.0</v>
      </c>
    </row>
    <row r="4176" ht="15.75" customHeight="1">
      <c r="A4176" s="1">
        <v>4445.0</v>
      </c>
      <c r="B4176" s="3" t="s">
        <v>4040</v>
      </c>
      <c r="C4176" s="3" t="str">
        <f>IFERROR(__xludf.DUMMYFUNCTION("GOOGLETRANSLATE(B4176,""id"",""en"")"),"['Telkomsel', 'stingy', 'try', 'customer', 'wear', 'service', 'card', 'Telkomsel', 'above', 'gift', ""]")</f>
        <v>['Telkomsel', 'stingy', 'try', 'customer', 'wear', 'service', 'card', 'Telkomsel', 'above', 'gift', "]</v>
      </c>
      <c r="D4176" s="3">
        <v>5.0</v>
      </c>
    </row>
    <row r="4177" ht="15.75" customHeight="1">
      <c r="A4177" s="1">
        <v>4446.0</v>
      </c>
      <c r="B4177" s="3" t="s">
        <v>4041</v>
      </c>
      <c r="C4177" s="3" t="str">
        <f>IFERROR(__xludf.DUMMYFUNCTION("GOOGLETRANSLATE(B4177,""id"",""en"")"),"['APK', 'good', 'mmbantu']")</f>
        <v>['APK', 'good', 'mmbantu']</v>
      </c>
      <c r="D4177" s="3">
        <v>5.0</v>
      </c>
    </row>
    <row r="4178" ht="15.75" customHeight="1">
      <c r="A4178" s="1">
        <v>4447.0</v>
      </c>
      <c r="B4178" s="3" t="s">
        <v>4042</v>
      </c>
      <c r="C4178" s="3" t="str">
        <f>IFERROR(__xludf.DUMMYFUNCTION("GOOGLETRANSLATE(B4178,""id"",""en"")"),"['Honest', 'Area', 'coverage', 'spacious',' Telkomsel ',' Speed ​​',' Large ',' Special ',' City ',' County ',' Bogor ',' Like ',' Lost ',' embossed ',' signal ',' criticism ',' card ',' Hello ',' model ',' subscription ',' bonus', 'sms',' banking ',' gab"&amp;"isa ',' hard ' , 'very', '']")</f>
        <v>['Honest', 'Area', 'coverage', 'spacious',' Telkomsel ',' Speed ​​',' Large ',' Special ',' City ',' County ',' Bogor ',' Like ',' Lost ',' embossed ',' signal ',' criticism ',' card ',' Hello ',' model ',' subscription ',' bonus', 'sms',' banking ',' gabisa ',' hard ' , 'very', '']</v>
      </c>
      <c r="D4178" s="3">
        <v>1.0</v>
      </c>
    </row>
    <row r="4179" ht="15.75" customHeight="1">
      <c r="A4179" s="1">
        <v>4448.0</v>
      </c>
      <c r="B4179" s="3" t="s">
        <v>4043</v>
      </c>
      <c r="C4179" s="3" t="str">
        <f>IFERROR(__xludf.DUMMYFUNCTION("GOOGLETRANSLATE(B4179,""id"",""en"")"),"['Easy', 'really', 'designer']")</f>
        <v>['Easy', 'really', 'designer']</v>
      </c>
      <c r="D4179" s="3">
        <v>5.0</v>
      </c>
    </row>
    <row r="4180" ht="15.75" customHeight="1">
      <c r="A4180" s="1">
        <v>4449.0</v>
      </c>
      <c r="B4180" s="3" t="s">
        <v>4044</v>
      </c>
      <c r="C4180" s="3" t="str">
        <f>IFERROR(__xludf.DUMMYFUNCTION("GOOGLETRANSLATE(B4180,""id"",""en"")"),"['ASW', 'Telkomsel', 'Taik', 'Bener', 'lag', ""]")</f>
        <v>['ASW', 'Telkomsel', 'Taik', 'Bener', 'lag', "]</v>
      </c>
      <c r="D4180" s="3">
        <v>2.0</v>
      </c>
    </row>
    <row r="4181" ht="15.75" customHeight="1">
      <c r="A4181" s="1">
        <v>4450.0</v>
      </c>
      <c r="B4181" s="3" t="s">
        <v>4045</v>
      </c>
      <c r="C4181" s="3" t="str">
        <f>IFERROR(__xludf.DUMMYFUNCTION("GOOGLETRANSLATE(B4181,""id"",""en"")"),"['Process', 'fast', 'easy']")</f>
        <v>['Process', 'fast', 'easy']</v>
      </c>
      <c r="D4181" s="3">
        <v>5.0</v>
      </c>
    </row>
    <row r="4182" ht="15.75" customHeight="1">
      <c r="A4182" s="1">
        <v>4451.0</v>
      </c>
      <c r="B4182" s="3" t="s">
        <v>4046</v>
      </c>
      <c r="C4182" s="3" t="str">
        <f>IFERROR(__xludf.DUMMYFUNCTION("GOOGLETRANSLATE(B4182,""id"",""en"")"),"['Like', 'Features', 'Telkomsel']")</f>
        <v>['Like', 'Features', 'Telkomsel']</v>
      </c>
      <c r="D4182" s="3">
        <v>5.0</v>
      </c>
    </row>
    <row r="4183" ht="15.75" customHeight="1">
      <c r="A4183" s="1">
        <v>4452.0</v>
      </c>
      <c r="B4183" s="3" t="s">
        <v>4047</v>
      </c>
      <c r="C4183" s="3" t="str">
        <f>IFERROR(__xludf.DUMMYFUNCTION("GOOGLETRANSLATE(B4183,""id"",""en"")"),"['Good', 'simple', 'check', 'quota']")</f>
        <v>['Good', 'simple', 'check', 'quota']</v>
      </c>
      <c r="D4183" s="3">
        <v>5.0</v>
      </c>
    </row>
    <row r="4184" ht="15.75" customHeight="1">
      <c r="A4184" s="1">
        <v>4453.0</v>
      </c>
      <c r="B4184" s="3" t="s">
        <v>4048</v>
      </c>
      <c r="C4184" s="3" t="str">
        <f>IFERROR(__xludf.DUMMYFUNCTION("GOOGLETRANSLATE(B4184,""id"",""en"")"),"['ngak', 'open', 'the application']")</f>
        <v>['ngak', 'open', 'the application']</v>
      </c>
      <c r="D4184" s="3">
        <v>3.0</v>
      </c>
    </row>
    <row r="4185" ht="15.75" customHeight="1">
      <c r="A4185" s="1">
        <v>4454.0</v>
      </c>
      <c r="B4185" s="3" t="s">
        <v>4049</v>
      </c>
      <c r="C4185" s="3" t="str">
        <f>IFERROR(__xludf.DUMMYFUNCTION("GOOGLETRANSLATE(B4185,""id"",""en"")"),"['APK', 'steady']")</f>
        <v>['APK', 'steady']</v>
      </c>
      <c r="D4185" s="3">
        <v>5.0</v>
      </c>
    </row>
    <row r="4186" ht="15.75" customHeight="1">
      <c r="A4186" s="1">
        <v>4455.0</v>
      </c>
      <c r="B4186" s="3" t="s">
        <v>4050</v>
      </c>
      <c r="C4186" s="3" t="str">
        <f>IFERROR(__xludf.DUMMYFUNCTION("GOOGLETRANSLATE(B4186,""id"",""en"")"),"['fast']")</f>
        <v>['fast']</v>
      </c>
      <c r="D4186" s="3">
        <v>5.0</v>
      </c>
    </row>
    <row r="4187" ht="15.75" customHeight="1">
      <c r="A4187" s="1">
        <v>4456.0</v>
      </c>
      <c r="B4187" s="3" t="s">
        <v>4051</v>
      </c>
      <c r="C4187" s="3" t="str">
        <f>IFERROR(__xludf.DUMMYFUNCTION("GOOGLETRANSLATE(B4187,""id"",""en"")"),"['steady', 'application', 'NGX', 'Ribet']")</f>
        <v>['steady', 'application', 'NGX', 'Ribet']</v>
      </c>
      <c r="D4187" s="3">
        <v>3.0</v>
      </c>
    </row>
    <row r="4188" ht="15.75" customHeight="1">
      <c r="A4188" s="1">
        <v>4457.0</v>
      </c>
      <c r="B4188" s="3" t="s">
        <v>4052</v>
      </c>
      <c r="C4188" s="3" t="str">
        <f>IFERROR(__xludf.DUMMYFUNCTION("GOOGLETRANSLATE(B4188,""id"",""en"")"),"['Normal', 'update', 'Application', 'November', '']")</f>
        <v>['Normal', 'update', 'Application', 'November', '']</v>
      </c>
      <c r="D4188" s="3">
        <v>5.0</v>
      </c>
    </row>
    <row r="4189" ht="15.75" customHeight="1">
      <c r="A4189" s="1">
        <v>4458.0</v>
      </c>
      <c r="B4189" s="3" t="s">
        <v>4053</v>
      </c>
      <c r="C4189" s="3" t="str">
        <f>IFERROR(__xludf.DUMMYFUNCTION("GOOGLETRANSLATE(B4189,""id"",""en"")"),"['application', 'good', 'min']")</f>
        <v>['application', 'good', 'min']</v>
      </c>
      <c r="D4189" s="3">
        <v>3.0</v>
      </c>
    </row>
    <row r="4190" ht="15.75" customHeight="1">
      <c r="A4190" s="1">
        <v>4459.0</v>
      </c>
      <c r="B4190" s="3" t="s">
        <v>4054</v>
      </c>
      <c r="C4190" s="3" t="str">
        <f>IFERROR(__xludf.DUMMYFUNCTION("GOOGLETRANSLATE(B4190,""id"",""en"")"),"['Network', 'slow', 'sometimes',' drain ',' data ',' usage ',' beside ',' balance ',' pulse ',' drained ',' out ',' use ',' thank you']")</f>
        <v>['Network', 'slow', 'sometimes',' drain ',' data ',' usage ',' beside ',' balance ',' pulse ',' drained ',' out ',' use ',' thank you']</v>
      </c>
      <c r="D4190" s="3">
        <v>1.0</v>
      </c>
    </row>
    <row r="4191" ht="15.75" customHeight="1">
      <c r="A4191" s="1">
        <v>4460.0</v>
      </c>
      <c r="B4191" s="3" t="s">
        <v>4055</v>
      </c>
      <c r="C4191" s="3" t="str">
        <f>IFERROR(__xludf.DUMMYFUNCTION("GOOGLETRANSLATE(B4191,""id"",""en"")"),"['hope', 'price', 'quota', 'cave', 'cheap']")</f>
        <v>['hope', 'price', 'quota', 'cave', 'cheap']</v>
      </c>
      <c r="D4191" s="3">
        <v>5.0</v>
      </c>
    </row>
    <row r="4192" ht="15.75" customHeight="1">
      <c r="A4192" s="1">
        <v>4461.0</v>
      </c>
      <c r="B4192" s="3" t="s">
        <v>4056</v>
      </c>
      <c r="C4192" s="3" t="str">
        <f>IFERROR(__xludf.DUMMYFUNCTION("GOOGLETRANSLATE(B4192,""id"",""en"")"),"['good', 'network', 'steady', 'fit', 'open', 'direct', 'menu', 'hope', 'features',' option ',' use ',' quota ',' Select ',' quota ',' dipake ',' thank you ',' developer ',' ']")</f>
        <v>['good', 'network', 'steady', 'fit', 'open', 'direct', 'menu', 'hope', 'features',' option ',' use ',' quota ',' Select ',' quota ',' dipake ',' thank you ',' developer ',' ']</v>
      </c>
      <c r="D4192" s="3">
        <v>5.0</v>
      </c>
    </row>
    <row r="4193" ht="15.75" customHeight="1">
      <c r="A4193" s="1">
        <v>4462.0</v>
      </c>
      <c r="B4193" s="3" t="s">
        <v>4057</v>
      </c>
      <c r="C4193" s="3" t="str">
        <f>IFERROR(__xludf.DUMMYFUNCTION("GOOGLETRANSLATE(B4193,""id"",""en"")"),"['Threat', 'network', 'Telkomsel', 'expensive', 'network', 'ugly']")</f>
        <v>['Threat', 'network', 'Telkomsel', 'expensive', 'network', 'ugly']</v>
      </c>
      <c r="D4193" s="3">
        <v>1.0</v>
      </c>
    </row>
    <row r="4194" ht="15.75" customHeight="1">
      <c r="A4194" s="1">
        <v>4463.0</v>
      </c>
      <c r="B4194" s="3" t="s">
        <v>4058</v>
      </c>
      <c r="C4194" s="3" t="str">
        <f>IFERROR(__xludf.DUMMYFUNCTION("GOOGLETRANSLATE(B4194,""id"",""en"")"),"['difficult', 'open', 'faket']")</f>
        <v>['difficult', 'open', 'faket']</v>
      </c>
      <c r="D4194" s="3">
        <v>2.0</v>
      </c>
    </row>
    <row r="4195" ht="15.75" customHeight="1">
      <c r="A4195" s="1">
        <v>4464.0</v>
      </c>
      <c r="B4195" s="3" t="s">
        <v>4059</v>
      </c>
      <c r="C4195" s="3" t="str">
        <f>IFERROR(__xludf.DUMMYFUNCTION("GOOGLETRANSLATE(B4195,""id"",""en"")"),"['MyTelkomsel', 'happy', 'MyTelkomsel', 'buy', 'package', 'easy', 'application', 'open', 'severe', 'loss',' alternating ',' pairs', ' Install ',' application ']")</f>
        <v>['MyTelkomsel', 'happy', 'MyTelkomsel', 'buy', 'package', 'easy', 'application', 'open', 'severe', 'loss',' alternating ',' pairs', ' Install ',' application ']</v>
      </c>
      <c r="D4195" s="3">
        <v>3.0</v>
      </c>
    </row>
    <row r="4196" ht="15.75" customHeight="1">
      <c r="A4196" s="1">
        <v>4465.0</v>
      </c>
      <c r="B4196" s="3" t="s">
        <v>4060</v>
      </c>
      <c r="C4196" s="3" t="str">
        <f>IFERROR(__xludf.DUMMYFUNCTION("GOOGLETRANSLATE(B4196,""id"",""en"")"),"['Telkomsel', 'package', 'data', 'run out', 'checked', 'pulse', 'jdi', 'follow', 'run out', 'different', 'ama', 'operator', ' Credit ',' Safe ',' Data ',' Out ',' ']")</f>
        <v>['Telkomsel', 'package', 'data', 'run out', 'checked', 'pulse', 'jdi', 'follow', 'run out', 'different', 'ama', 'operator', ' Credit ',' Safe ',' Data ',' Out ',' ']</v>
      </c>
      <c r="D4196" s="3">
        <v>3.0</v>
      </c>
    </row>
    <row r="4197" ht="15.75" customHeight="1">
      <c r="A4197" s="1">
        <v>4466.0</v>
      </c>
      <c r="B4197" s="3" t="s">
        <v>4061</v>
      </c>
      <c r="C4197" s="3" t="str">
        <f>IFERROR(__xludf.DUMMYFUNCTION("GOOGLETRANSLATE(B4197,""id"",""en"")"),"['Package', 'Call', 'expensive']")</f>
        <v>['Package', 'Call', 'expensive']</v>
      </c>
      <c r="D4197" s="3">
        <v>4.0</v>
      </c>
    </row>
    <row r="4198" ht="15.75" customHeight="1">
      <c r="A4198" s="1">
        <v>4467.0</v>
      </c>
      <c r="B4198" s="3" t="s">
        <v>4062</v>
      </c>
      <c r="C4198" s="3" t="str">
        <f>IFERROR(__xludf.DUMMYFUNCTION("GOOGLETRANSLATE(B4198,""id"",""en"")"),"['Application', 'opened', 'update', 'App', 'appears', 'screen', 'white', 'infinix', 'smart', 'please', 'difix', 'thanks']")</f>
        <v>['Application', 'opened', 'update', 'App', 'appears', 'screen', 'white', 'infinix', 'smart', 'please', 'difix', 'thanks']</v>
      </c>
      <c r="D4198" s="3">
        <v>1.0</v>
      </c>
    </row>
    <row r="4199" ht="15.75" customHeight="1">
      <c r="A4199" s="1">
        <v>4468.0</v>
      </c>
      <c r="B4199" s="3" t="s">
        <v>4063</v>
      </c>
      <c r="C4199" s="3" t="str">
        <f>IFERROR(__xludf.DUMMYFUNCTION("GOOGLETRANSLATE(B4199,""id"",""en"")"),"['knapa', 'Telkomsel', 'ngak', 'login', 'brapa', 'times', 'download']")</f>
        <v>['knapa', 'Telkomsel', 'ngak', 'login', 'brapa', 'times', 'download']</v>
      </c>
      <c r="D4199" s="3">
        <v>1.0</v>
      </c>
    </row>
    <row r="4200" ht="15.75" customHeight="1">
      <c r="A4200" s="1">
        <v>4469.0</v>
      </c>
      <c r="B4200" s="3" t="s">
        <v>4064</v>
      </c>
      <c r="C4200" s="3" t="str">
        <f>IFERROR(__xludf.DUMMYFUNCTION("GOOGLETRANSLATE(B4200,""id"",""en"")"),"['Try', 'Understand']")</f>
        <v>['Try', 'Understand']</v>
      </c>
      <c r="D4200" s="3">
        <v>5.0</v>
      </c>
    </row>
    <row r="4201" ht="15.75" customHeight="1">
      <c r="A4201" s="1">
        <v>4470.0</v>
      </c>
      <c r="B4201" s="3" t="s">
        <v>3580</v>
      </c>
      <c r="C4201" s="3" t="str">
        <f>IFERROR(__xludf.DUMMYFUNCTION("GOOGLETRANSLATE(B4201,""id"",""en"")"),"['The application', 'good']")</f>
        <v>['The application', 'good']</v>
      </c>
      <c r="D4201" s="3">
        <v>5.0</v>
      </c>
    </row>
    <row r="4202" ht="15.75" customHeight="1">
      <c r="A4202" s="1">
        <v>4472.0</v>
      </c>
      <c r="B4202" s="3" t="s">
        <v>4065</v>
      </c>
      <c r="C4202" s="3" t="str">
        <f>IFERROR(__xludf.DUMMYFUNCTION("GOOGLETRANSLATE(B4202,""id"",""en"")"),"['Prizes', 'yaaaa', '']")</f>
        <v>['Prizes', 'yaaaa', '']</v>
      </c>
      <c r="D4202" s="3">
        <v>5.0</v>
      </c>
    </row>
    <row r="4203" ht="15.75" customHeight="1">
      <c r="A4203" s="1">
        <v>4473.0</v>
      </c>
      <c r="B4203" s="3" t="s">
        <v>4066</v>
      </c>
      <c r="C4203" s="3" t="str">
        <f>IFERROR(__xludf.DUMMYFUNCTION("GOOGLETRANSLATE(B4203,""id"",""en"")"),"['price', 'package', 'expensive']")</f>
        <v>['price', 'package', 'expensive']</v>
      </c>
      <c r="D4203" s="3">
        <v>1.0</v>
      </c>
    </row>
    <row r="4204" ht="15.75" customHeight="1">
      <c r="A4204" s="1">
        <v>4474.0</v>
      </c>
      <c r="B4204" s="3" t="s">
        <v>4067</v>
      </c>
      <c r="C4204" s="3" t="str">
        <f>IFERROR(__xludf.DUMMYFUNCTION("GOOGLETRANSLATE(B4204,""id"",""en"")"),"['choice', 'package', 'internet', 'expensive']")</f>
        <v>['choice', 'package', 'internet', 'expensive']</v>
      </c>
      <c r="D4204" s="3">
        <v>1.0</v>
      </c>
    </row>
    <row r="4205" ht="15.75" customHeight="1">
      <c r="A4205" s="1">
        <v>4475.0</v>
      </c>
      <c r="B4205" s="3" t="s">
        <v>4068</v>
      </c>
      <c r="C4205" s="3" t="str">
        <f>IFERROR(__xludf.DUMMYFUNCTION("GOOGLETRANSLATE(B4205,""id"",""en"")"),"['quota', 'ajh', 'expensive', 'network', 'rich', 'maen', 'game', 'ngeleg', 'trs',' network ',' urusin ',' quota ',' Expensive ',' GPP ',' Ngeleg ',' ']")</f>
        <v>['quota', 'ajh', 'expensive', 'network', 'rich', 'maen', 'game', 'ngeleg', 'trs',' network ',' urusin ',' quota ',' Expensive ',' GPP ',' Ngeleg ',' ']</v>
      </c>
      <c r="D4205" s="3">
        <v>1.0</v>
      </c>
    </row>
    <row r="4206" ht="15.75" customHeight="1">
      <c r="A4206" s="1">
        <v>4476.0</v>
      </c>
      <c r="B4206" s="3" t="s">
        <v>4069</v>
      </c>
      <c r="C4206" s="3" t="str">
        <f>IFERROR(__xludf.DUMMYFUNCTION("GOOGLETRANSLATE(B4206,""id"",""en"")"),"['App', 'opened', 'GMN', 'Nich', 'Permanent', 'Install', 'Install', 'Application', 'Opened', '']")</f>
        <v>['App', 'opened', 'GMN', 'Nich', 'Permanent', 'Install', 'Install', 'Application', 'Opened', '']</v>
      </c>
      <c r="D4206" s="3">
        <v>1.0</v>
      </c>
    </row>
    <row r="4207" ht="15.75" customHeight="1">
      <c r="A4207" s="1">
        <v>4477.0</v>
      </c>
      <c r="B4207" s="3" t="s">
        <v>4070</v>
      </c>
      <c r="C4207" s="3" t="str">
        <f>IFERROR(__xludf.DUMMYFUNCTION("GOOGLETRANSLATE(B4207,""id"",""en"")"),"['pulses', 'ilang', 'subscription', 'anything', ""]")</f>
        <v>['pulses', 'ilang', 'subscription', 'anything', "]</v>
      </c>
      <c r="D4207" s="3">
        <v>1.0</v>
      </c>
    </row>
    <row r="4208" ht="15.75" customHeight="1">
      <c r="A4208" s="1">
        <v>4478.0</v>
      </c>
      <c r="B4208" s="3" t="s">
        <v>4071</v>
      </c>
      <c r="C4208" s="3" t="str">
        <f>IFERROR(__xludf.DUMMYFUNCTION("GOOGLETRANSLATE(B4208,""id"",""en"")"),"['Severe', 'Login', 'Application', 'Error', 'Nie', 'Telkomsel', 'Please', 'Respont', 'Donk', 'Complaints', 'Tenguna', 'Telkomsel']")</f>
        <v>['Severe', 'Login', 'Application', 'Error', 'Nie', 'Telkomsel', 'Please', 'Respont', 'Donk', 'Complaints', 'Tenguna', 'Telkomsel']</v>
      </c>
      <c r="D4208" s="3">
        <v>1.0</v>
      </c>
    </row>
    <row r="4209" ht="15.75" customHeight="1">
      <c r="A4209" s="1">
        <v>4480.0</v>
      </c>
      <c r="B4209" s="3" t="s">
        <v>4072</v>
      </c>
      <c r="C4209" s="3" t="str">
        <f>IFERROR(__xludf.DUMMYFUNCTION("GOOGLETRANSLATE(B4209,""id"",""en"")"),"['already', 'network', 'internet', 'Telkomsel', 'broken', 'stable', '']")</f>
        <v>['already', 'network', 'internet', 'Telkomsel', 'broken', 'stable', '']</v>
      </c>
      <c r="D4209" s="3">
        <v>1.0</v>
      </c>
    </row>
    <row r="4210" ht="15.75" customHeight="1">
      <c r="A4210" s="1">
        <v>4481.0</v>
      </c>
      <c r="B4210" s="3" t="s">
        <v>2023</v>
      </c>
      <c r="C4210" s="3" t="str">
        <f>IFERROR(__xludf.DUMMYFUNCTION("GOOGLETRANSLATE(B4210,""id"",""en"")"),"['Open', 'The application', '']")</f>
        <v>['Open', 'The application', '']</v>
      </c>
      <c r="D4210" s="3">
        <v>1.0</v>
      </c>
    </row>
    <row r="4211" ht="15.75" customHeight="1">
      <c r="A4211" s="1">
        <v>4482.0</v>
      </c>
      <c r="B4211" s="3" t="s">
        <v>4073</v>
      </c>
      <c r="C4211" s="3" t="str">
        <f>IFERROR(__xludf.DUMMYFUNCTION("GOOGLETRANSLATE(B4211,""id"",""en"")"),"['Good', 'makes it easy', 'user']")</f>
        <v>['Good', 'makes it easy', 'user']</v>
      </c>
      <c r="D4211" s="3">
        <v>5.0</v>
      </c>
    </row>
    <row r="4212" ht="15.75" customHeight="1">
      <c r="A4212" s="1">
        <v>4483.0</v>
      </c>
      <c r="B4212" s="3" t="s">
        <v>4074</v>
      </c>
      <c r="C4212" s="3" t="str">
        <f>IFERROR(__xludf.DUMMYFUNCTION("GOOGLETRANSLATE(B4212,""id"",""en"")"),"['Telkom', 'Sakti']")</f>
        <v>['Telkom', 'Sakti']</v>
      </c>
      <c r="D4212" s="3">
        <v>5.0</v>
      </c>
    </row>
    <row r="4213" ht="15.75" customHeight="1">
      <c r="A4213" s="1">
        <v>4484.0</v>
      </c>
      <c r="B4213" s="3" t="s">
        <v>4075</v>
      </c>
      <c r="C4213" s="3" t="str">
        <f>IFERROR(__xludf.DUMMYFUNCTION("GOOGLETRANSLATE(B4213,""id"",""en"")"),"['times', 'login', 'buy', 'package']")</f>
        <v>['times', 'login', 'buy', 'package']</v>
      </c>
      <c r="D4213" s="3">
        <v>2.0</v>
      </c>
    </row>
    <row r="4214" ht="15.75" customHeight="1">
      <c r="A4214" s="1">
        <v>4485.0</v>
      </c>
      <c r="B4214" s="3" t="s">
        <v>4076</v>
      </c>
      <c r="C4214" s="3" t="str">
        <f>IFERROR(__xludf.DUMMYFUNCTION("GOOGLETRANSLATE(B4214,""id"",""en"")"),"['Open', 'Telkomsel', 'Try', 'TEL', 'Delete', 'Download', 'TEL', 'Open', 'Star', 'Open', 'Open', 'Stress',' ']")</f>
        <v>['Open', 'Telkomsel', 'Try', 'TEL', 'Delete', 'Download', 'TEL', 'Open', 'Star', 'Open', 'Open', 'Stress',' ']</v>
      </c>
      <c r="D4214" s="3">
        <v>1.0</v>
      </c>
    </row>
    <row r="4215" ht="15.75" customHeight="1">
      <c r="A4215" s="1">
        <v>4486.0</v>
      </c>
      <c r="B4215" s="3" t="s">
        <v>4077</v>
      </c>
      <c r="C4215" s="3" t="str">
        <f>IFERROR(__xludf.DUMMYFUNCTION("GOOGLETRANSLATE(B4215,""id"",""en"")"),"['Touch', 'App', 'Sensinya']")</f>
        <v>['Touch', 'App', 'Sensinya']</v>
      </c>
      <c r="D4215" s="3">
        <v>4.0</v>
      </c>
    </row>
    <row r="4216" ht="15.75" customHeight="1">
      <c r="A4216" s="1">
        <v>4487.0</v>
      </c>
      <c r="B4216" s="3" t="s">
        <v>4078</v>
      </c>
      <c r="C4216" s="3" t="str">
        <f>IFERROR(__xludf.DUMMYFUNCTION("GOOGLETRANSLATE(B4216,""id"",""en"")"),"['Meu', 'use it']")</f>
        <v>['Meu', 'use it']</v>
      </c>
      <c r="D4216" s="3">
        <v>4.0</v>
      </c>
    </row>
    <row r="4217" ht="15.75" customHeight="1">
      <c r="A4217" s="1">
        <v>4488.0</v>
      </c>
      <c r="B4217" s="3" t="s">
        <v>4079</v>
      </c>
      <c r="C4217" s="3" t="str">
        <f>IFERROR(__xludf.DUMMYFUNCTION("GOOGLETRANSLATE(B4217,""id"",""en"")"),"['sekarg', 'signalny', 'ugly', 'lose', 'im', 'good', 'bnget', 'signalny', 'please', 'fix', 'already', 'pke', ' Telkomsel ',' ugly ',' signalny ',' mndingan ',' replace ',' im ', ""]")</f>
        <v>['sekarg', 'signalny', 'ugly', 'lose', 'im', 'good', 'bnget', 'signalny', 'please', 'fix', 'already', 'pke', ' Telkomsel ',' ugly ',' signalny ',' mndingan ',' replace ',' im ', "]</v>
      </c>
      <c r="D4217" s="3">
        <v>1.0</v>
      </c>
    </row>
    <row r="4218" ht="15.75" customHeight="1">
      <c r="A4218" s="1">
        <v>4489.0</v>
      </c>
      <c r="B4218" s="3" t="s">
        <v>4080</v>
      </c>
      <c r="C4218" s="3" t="str">
        <f>IFERROR(__xludf.DUMMYFUNCTION("GOOGLETRANSLATE(B4218,""id"",""en"")"),"['Bug', 'enter']")</f>
        <v>['Bug', 'enter']</v>
      </c>
      <c r="D4218" s="3">
        <v>2.0</v>
      </c>
    </row>
    <row r="4219" ht="15.75" customHeight="1">
      <c r="A4219" s="1">
        <v>4490.0</v>
      </c>
      <c r="B4219" s="3" t="s">
        <v>4081</v>
      </c>
      <c r="C4219" s="3" t="str">
        <f>IFERROR(__xludf.DUMMYFUNCTION("GOOGLETRANSLATE(B4219,""id"",""en"")"),"['update', 'update', 'screen', 'white', 'application', 'open']")</f>
        <v>['update', 'update', 'screen', 'white', 'application', 'open']</v>
      </c>
      <c r="D4219" s="3">
        <v>1.0</v>
      </c>
    </row>
    <row r="4220" ht="15.75" customHeight="1">
      <c r="A4220" s="1">
        <v>4491.0</v>
      </c>
      <c r="B4220" s="3" t="s">
        <v>4082</v>
      </c>
      <c r="C4220" s="3" t="str">
        <f>IFERROR(__xludf.DUMMYFUNCTION("GOOGLETRANSLATE(B4220,""id"",""en"")"),"['package', 'Inter', 'expensive', 'comparable', 'quality', 'network', 'Telkomsel', 'evenly', 'internet', 'slow', 'lose', 'provider', ' signal ',' invite ',' kmna ',' good ',' connection ',' internet ',' good ',' package ',' internet ',' cheap ',' ']")</f>
        <v>['package', 'Inter', 'expensive', 'comparable', 'quality', 'network', 'Telkomsel', 'evenly', 'internet', 'slow', 'lose', 'provider', ' signal ',' invite ',' kmna ',' good ',' connection ',' internet ',' good ',' package ',' internet ',' cheap ',' ']</v>
      </c>
      <c r="D4220" s="3">
        <v>1.0</v>
      </c>
    </row>
    <row r="4221" ht="15.75" customHeight="1">
      <c r="A4221" s="1">
        <v>4492.0</v>
      </c>
      <c r="B4221" s="3" t="s">
        <v>4083</v>
      </c>
      <c r="C4221" s="3" t="str">
        <f>IFERROR(__xludf.DUMMYFUNCTION("GOOGLETRANSLATE(B4221,""id"",""en"")"),"['Credit', 'Cut', 'SWDANG', 'Data', 'Package', 'Operator', 'Credit', 'Sympathy', 'Cut', 'Strange', ""]")</f>
        <v>['Credit', 'Cut', 'SWDANG', 'Data', 'Package', 'Operator', 'Credit', 'Sympathy', 'Cut', 'Strange', "]</v>
      </c>
      <c r="D4221" s="3">
        <v>1.0</v>
      </c>
    </row>
    <row r="4222" ht="15.75" customHeight="1">
      <c r="A4222" s="1">
        <v>4493.0</v>
      </c>
      <c r="B4222" s="3" t="s">
        <v>846</v>
      </c>
      <c r="C4222" s="3" t="str">
        <f>IFERROR(__xludf.DUMMYFUNCTION("GOOGLETRANSLATE(B4222,""id"",""en"")"),"['application', 'good']")</f>
        <v>['application', 'good']</v>
      </c>
      <c r="D4222" s="3">
        <v>1.0</v>
      </c>
    </row>
    <row r="4223" ht="15.75" customHeight="1">
      <c r="A4223" s="1">
        <v>4494.0</v>
      </c>
      <c r="B4223" s="3" t="s">
        <v>4084</v>
      </c>
      <c r="C4223" s="3" t="str">
        <f>IFERROR(__xludf.DUMMYFUNCTION("GOOGLETRANSLATE(B4223,""id"",""en"")"),"['benefits', 'crowd', '']")</f>
        <v>['benefits', 'crowd', '']</v>
      </c>
      <c r="D4223" s="3">
        <v>5.0</v>
      </c>
    </row>
    <row r="4224" ht="15.75" customHeight="1">
      <c r="A4224" s="1">
        <v>4495.0</v>
      </c>
      <c r="B4224" s="3" t="s">
        <v>4085</v>
      </c>
      <c r="C4224" s="3" t="str">
        <f>IFERROR(__xludf.DUMMYFUNCTION("GOOGLETRANSLATE(B4224,""id"",""en"")"),"['Peket', 'expensive', 'network', 'ngelek', 'World', '']")</f>
        <v>['Peket', 'expensive', 'network', 'ngelek', 'World', '']</v>
      </c>
      <c r="D4224" s="3">
        <v>1.0</v>
      </c>
    </row>
    <row r="4225" ht="15.75" customHeight="1">
      <c r="A4225" s="1">
        <v>4496.0</v>
      </c>
      <c r="B4225" s="3" t="s">
        <v>4086</v>
      </c>
      <c r="C4225" s="3" t="str">
        <f>IFERROR(__xludf.DUMMYFUNCTION("GOOGLETRANSLATE(B4225,""id"",""en"")"),"['Enhanced', 'sector', 'service', 'public']")</f>
        <v>['Enhanced', 'sector', 'service', 'public']</v>
      </c>
      <c r="D4225" s="3">
        <v>4.0</v>
      </c>
    </row>
    <row r="4226" ht="15.75" customHeight="1">
      <c r="A4226" s="1">
        <v>4497.0</v>
      </c>
      <c r="B4226" s="3" t="s">
        <v>4087</v>
      </c>
      <c r="C4226" s="3" t="str">
        <f>IFERROR(__xludf.DUMMYFUNCTION("GOOGLETRANSLATE(B4226,""id"",""en"")"),"['The application', 'good', 'already', 'pakenya', 'sorry', 'love', 'star', '']")</f>
        <v>['The application', 'good', 'already', 'pakenya', 'sorry', 'love', 'star', '']</v>
      </c>
      <c r="D4226" s="3">
        <v>1.0</v>
      </c>
    </row>
    <row r="4227" ht="15.75" customHeight="1">
      <c r="A4227" s="1">
        <v>4498.0</v>
      </c>
      <c r="B4227" s="3" t="s">
        <v>4088</v>
      </c>
      <c r="C4227" s="3" t="str">
        <f>IFERROR(__xludf.DUMMYFUNCTION("GOOGLETRANSLATE(B4227,""id"",""en"")"),"['damn', 'already', 'buy', 'package', 'a month', 'network', 'internet', 'no', 'road', 'stay', 'KB', 'network', ' ']")</f>
        <v>['damn', 'already', 'buy', 'package', 'a month', 'network', 'internet', 'no', 'road', 'stay', 'KB', 'network', ' ']</v>
      </c>
      <c r="D4227" s="3">
        <v>1.0</v>
      </c>
    </row>
    <row r="4228" ht="15.75" customHeight="1">
      <c r="A4228" s="1">
        <v>4501.0</v>
      </c>
      <c r="B4228" s="3" t="s">
        <v>4089</v>
      </c>
      <c r="C4228" s="3" t="str">
        <f>IFERROR(__xludf.DUMMYFUNCTION("GOOGLETRANSLATE(B4228,""id"",""en"")"),"['satisfying', 'good', 'promo', 'cheap', '']")</f>
        <v>['satisfying', 'good', 'promo', 'cheap', '']</v>
      </c>
      <c r="D4228" s="3">
        <v>5.0</v>
      </c>
    </row>
    <row r="4229" ht="15.75" customHeight="1">
      <c r="A4229" s="1">
        <v>4502.0</v>
      </c>
      <c r="B4229" s="3" t="s">
        <v>4090</v>
      </c>
      <c r="C4229" s="3" t="str">
        <f>IFERROR(__xludf.DUMMYFUNCTION("GOOGLETRANSLATE(B4229,""id"",""en"")"),"['Application', 'Open', 'Content', 'Package', 'Opened', 'Sudab', 'Delete', 'Downlod', 'Tetep', 'Hadeee']")</f>
        <v>['Application', 'Open', 'Content', 'Package', 'Opened', 'Sudab', 'Delete', 'Downlod', 'Tetep', 'Hadeee']</v>
      </c>
      <c r="D4229" s="3">
        <v>1.0</v>
      </c>
    </row>
    <row r="4230" ht="15.75" customHeight="1">
      <c r="A4230" s="1">
        <v>4503.0</v>
      </c>
      <c r="B4230" s="3" t="s">
        <v>4091</v>
      </c>
      <c r="C4230" s="3" t="str">
        <f>IFERROR(__xludf.DUMMYFUNCTION("GOOGLETRANSLATE(B4230,""id"",""en"")"),"['quota', 'expensive', 'network', 'bad']")</f>
        <v>['quota', 'expensive', 'network', 'bad']</v>
      </c>
      <c r="D4230" s="3">
        <v>1.0</v>
      </c>
    </row>
    <row r="4231" ht="15.75" customHeight="1">
      <c r="A4231" s="1">
        <v>4504.0</v>
      </c>
      <c r="B4231" s="3" t="s">
        <v>4092</v>
      </c>
      <c r="C4231" s="3" t="str">
        <f>IFERROR(__xludf.DUMMYFUNCTION("GOOGLETRANSLATE(B4231,""id"",""en"")"),"['Try', 'good', 'star', '']")</f>
        <v>['Try', 'good', 'star', '']</v>
      </c>
      <c r="D4231" s="3">
        <v>3.0</v>
      </c>
    </row>
    <row r="4232" ht="15.75" customHeight="1">
      <c r="A4232" s="1">
        <v>4505.0</v>
      </c>
      <c r="B4232" s="3" t="s">
        <v>4093</v>
      </c>
      <c r="C4232" s="3" t="str">
        <f>IFERROR(__xludf.DUMMYFUNCTION("GOOGLETRANSLATE(B4232,""id"",""en"")"),"['Good', 'fast', 'steady']")</f>
        <v>['Good', 'fast', 'steady']</v>
      </c>
      <c r="D4232" s="3">
        <v>5.0</v>
      </c>
    </row>
    <row r="4233" ht="15.75" customHeight="1">
      <c r="A4233" s="1">
        <v>4506.0</v>
      </c>
      <c r="B4233" s="3" t="s">
        <v>4094</v>
      </c>
      <c r="C4233" s="3" t="str">
        <f>IFERROR(__xludf.DUMMYFUNCTION("GOOGLETRANSLATE(B4233,""id"",""en"")"),"['price', 'package', 'expensive', 'buy', 'rb', 'contents',' GB ',' paid ',' price ',' change ',' rb ',' sometimes', ' signal ',' slow ',' location ',' center ',' city ']")</f>
        <v>['price', 'package', 'expensive', 'buy', 'rb', 'contents',' GB ',' paid ',' price ',' change ',' rb ',' sometimes', ' signal ',' slow ',' location ',' center ',' city ']</v>
      </c>
      <c r="D4233" s="3">
        <v>1.0</v>
      </c>
    </row>
    <row r="4234" ht="15.75" customHeight="1">
      <c r="A4234" s="1">
        <v>4507.0</v>
      </c>
      <c r="B4234" s="3" t="s">
        <v>4095</v>
      </c>
      <c r="C4234" s="3" t="str">
        <f>IFERROR(__xludf.DUMMYFUNCTION("GOOGLETRANSLATE(B4234,""id"",""en"")"),"['love', '']")</f>
        <v>['love', '']</v>
      </c>
      <c r="D4234" s="3">
        <v>2.0</v>
      </c>
    </row>
    <row r="4235" ht="15.75" customHeight="1">
      <c r="A4235" s="1">
        <v>4508.0</v>
      </c>
      <c r="B4235" s="3" t="s">
        <v>4096</v>
      </c>
      <c r="C4235" s="3" t="str">
        <f>IFERROR(__xludf.DUMMYFUNCTION("GOOGLETRANSLATE(B4235,""id"",""en"")"),"['understood', 'easy']")</f>
        <v>['understood', 'easy']</v>
      </c>
      <c r="D4235" s="3">
        <v>5.0</v>
      </c>
    </row>
    <row r="4236" ht="15.75" customHeight="1">
      <c r="A4236" s="1">
        <v>4509.0</v>
      </c>
      <c r="B4236" s="3" t="s">
        <v>1425</v>
      </c>
      <c r="C4236" s="3" t="str">
        <f>IFERROR(__xludf.DUMMYFUNCTION("GOOGLETRANSLATE(B4236,""id"",""en"")"),"['Help', 'application']")</f>
        <v>['Help', 'application']</v>
      </c>
      <c r="D4236" s="3">
        <v>5.0</v>
      </c>
    </row>
    <row r="4237" ht="15.75" customHeight="1">
      <c r="A4237" s="1">
        <v>4510.0</v>
      </c>
      <c r="B4237" s="3" t="s">
        <v>4097</v>
      </c>
      <c r="C4237" s="3" t="str">
        <f>IFERROR(__xludf.DUMMYFUNCTION("GOOGLETRANSLATE(B4237,""id"",""en"")"),"['TELKOM', 'KNP', 'Download', 'Open', 'The Network', 'Good', 'Anjj']")</f>
        <v>['TELKOM', 'KNP', 'Download', 'Open', 'The Network', 'Good', 'Anjj']</v>
      </c>
      <c r="D4237" s="3">
        <v>1.0</v>
      </c>
    </row>
    <row r="4238" ht="15.75" customHeight="1">
      <c r="A4238" s="1">
        <v>4511.0</v>
      </c>
      <c r="B4238" s="3" t="s">
        <v>4098</v>
      </c>
      <c r="C4238" s="3" t="str">
        <f>IFERROR(__xludf.DUMMYFUNCTION("GOOGLETRANSLATE(B4238,""id"",""en"")"),"['quota', 'mxtreem', 'mending', 'remove', 'boss']")</f>
        <v>['quota', 'mxtreem', 'mending', 'remove', 'boss']</v>
      </c>
      <c r="D4238" s="3">
        <v>5.0</v>
      </c>
    </row>
    <row r="4239" ht="15.75" customHeight="1">
      <c r="A4239" s="1">
        <v>4512.0</v>
      </c>
      <c r="B4239" s="3" t="s">
        <v>4099</v>
      </c>
      <c r="C4239" s="3" t="str">
        <f>IFERROR(__xludf.DUMMYFUNCTION("GOOGLETRANSLATE(B4239,""id"",""en"")"),"['price', 'quota', 'expensive', 'network', 'slow', 'please', 'fix', 'quality', 'network']")</f>
        <v>['price', 'quota', 'expensive', 'network', 'slow', 'please', 'fix', 'quality', 'network']</v>
      </c>
      <c r="D4239" s="3">
        <v>3.0</v>
      </c>
    </row>
    <row r="4240" ht="15.75" customHeight="1">
      <c r="A4240" s="1">
        <v>4513.0</v>
      </c>
      <c r="B4240" s="3" t="s">
        <v>4100</v>
      </c>
      <c r="C4240" s="3" t="str">
        <f>IFERROR(__xludf.DUMMYFUNCTION("GOOGLETRANSLATE(B4240,""id"",""en"")"),"['signal', 'smakin', 'bad']")</f>
        <v>['signal', 'smakin', 'bad']</v>
      </c>
      <c r="D4240" s="3">
        <v>3.0</v>
      </c>
    </row>
    <row r="4241" ht="15.75" customHeight="1">
      <c r="A4241" s="1">
        <v>4514.0</v>
      </c>
      <c r="B4241" s="3" t="s">
        <v>4101</v>
      </c>
      <c r="C4241" s="3" t="str">
        <f>IFERROR(__xludf.DUMMYFUNCTION("GOOGLETRANSLATE(B4241,""id"",""en"")"),"['Good', 'application', 'steady']")</f>
        <v>['Good', 'application', 'steady']</v>
      </c>
      <c r="D4241" s="3">
        <v>5.0</v>
      </c>
    </row>
    <row r="4242" ht="15.75" customHeight="1">
      <c r="A4242" s="1">
        <v>4515.0</v>
      </c>
      <c r="B4242" s="3" t="s">
        <v>4102</v>
      </c>
      <c r="C4242" s="3" t="str">
        <f>IFERROR(__xludf.DUMMYFUNCTION("GOOGLETRANSLATE(B4242,""id"",""en"")"),"['My APK', 'Gamau', 'open', ""]")</f>
        <v>['My APK', 'Gamau', 'open', "]</v>
      </c>
      <c r="D4242" s="3">
        <v>1.0</v>
      </c>
    </row>
    <row r="4243" ht="15.75" customHeight="1">
      <c r="A4243" s="1">
        <v>4516.0</v>
      </c>
      <c r="B4243" s="3" t="s">
        <v>4103</v>
      </c>
      <c r="C4243" s="3" t="str">
        <f>IFERROR(__xludf.DUMMYFUNCTION("GOOGLETRANSLATE(B4243,""id"",""en"")"),"['Lally', 'promo', 'package', 'cheap']")</f>
        <v>['Lally', 'promo', 'package', 'cheap']</v>
      </c>
      <c r="D4243" s="3">
        <v>5.0</v>
      </c>
    </row>
    <row r="4244" ht="15.75" customHeight="1">
      <c r="A4244" s="1">
        <v>4517.0</v>
      </c>
      <c r="B4244" s="3" t="s">
        <v>4104</v>
      </c>
      <c r="C4244" s="3" t="str">
        <f>IFERROR(__xludf.DUMMYFUNCTION("GOOGLETRANSLATE(B4244,""id"",""en"")"),"['Region', 'Bukit', 'Region', 'Blora', 'Village', 'Bleboh', 'Signal', 'Lost', 'Hasilis', 'Maximum']")</f>
        <v>['Region', 'Bukit', 'Region', 'Blora', 'Village', 'Bleboh', 'Signal', 'Lost', 'Hasilis', 'Maximum']</v>
      </c>
      <c r="D4244" s="3">
        <v>5.0</v>
      </c>
    </row>
    <row r="4245" ht="15.75" customHeight="1">
      <c r="A4245" s="1">
        <v>4518.0</v>
      </c>
      <c r="B4245" s="3" t="s">
        <v>3222</v>
      </c>
      <c r="C4245" s="3" t="str">
        <f>IFERROR(__xludf.DUMMYFUNCTION("GOOGLETRANSLATE(B4245,""id"",""en"")"),"['satisfying', '']")</f>
        <v>['satisfying', '']</v>
      </c>
      <c r="D4245" s="3">
        <v>5.0</v>
      </c>
    </row>
    <row r="4246" ht="15.75" customHeight="1">
      <c r="A4246" s="1">
        <v>4519.0</v>
      </c>
      <c r="B4246" s="3" t="s">
        <v>4105</v>
      </c>
      <c r="C4246" s="3" t="str">
        <f>IFERROR(__xludf.DUMMYFUNCTION("GOOGLETRANSLATE(B4246,""id"",""en"")"),"['', 'Network', 'ugly', 'really', 'good', 'rather than', 'card', 'bagusan', 'smatfren', 'card', 'hello', 'slow', 'really ',' ']")</f>
        <v>['', 'Network', 'ugly', 'really', 'good', 'rather than', 'card', 'bagusan', 'smatfren', 'card', 'hello', 'slow', 'really ',' ']</v>
      </c>
      <c r="D4246" s="3">
        <v>2.0</v>
      </c>
    </row>
    <row r="4247" ht="15.75" customHeight="1">
      <c r="A4247" s="1">
        <v>4520.0</v>
      </c>
      <c r="B4247" s="3" t="s">
        <v>4106</v>
      </c>
      <c r="C4247" s="3" t="str">
        <f>IFERROR(__xludf.DUMMYFUNCTION("GOOGLETRANSLATE(B4247,""id"",""en"")"),"['application', '']")</f>
        <v>['application', '']</v>
      </c>
      <c r="D4247" s="3">
        <v>5.0</v>
      </c>
    </row>
    <row r="4248" ht="15.75" customHeight="1">
      <c r="A4248" s="1">
        <v>4521.0</v>
      </c>
      <c r="B4248" s="3" t="s">
        <v>4107</v>
      </c>
      <c r="C4248" s="3" t="str">
        <f>IFERROR(__xludf.DUMMYFUNCTION("GOOGLETRANSLATE(B4248,""id"",""en"")"),"['hope', 'car', 'road', 'taun']")</f>
        <v>['hope', 'car', 'road', 'taun']</v>
      </c>
      <c r="D4248" s="3">
        <v>5.0</v>
      </c>
    </row>
    <row r="4249" ht="15.75" customHeight="1">
      <c r="A4249" s="1">
        <v>4522.0</v>
      </c>
      <c r="B4249" s="3" t="s">
        <v>4108</v>
      </c>
      <c r="C4249" s="3" t="str">
        <f>IFERROR(__xludf.DUMMYFUNCTION("GOOGLETRANSLATE(B4249,""id"",""en"")"),"['Login', 'picture', 'white']")</f>
        <v>['Login', 'picture', 'white']</v>
      </c>
      <c r="D4249" s="3">
        <v>1.0</v>
      </c>
    </row>
    <row r="4250" ht="15.75" customHeight="1">
      <c r="A4250" s="1">
        <v>4523.0</v>
      </c>
      <c r="B4250" s="3" t="s">
        <v>4109</v>
      </c>
      <c r="C4250" s="3" t="str">
        <f>IFERROR(__xludf.DUMMYFUNCTION("GOOGLETRANSLATE(B4250,""id"",""en"")"),"['Congratulations', 'Christmas', 'Hopefully', 'Gift', 'Christmas', 'Telkomsel', '']")</f>
        <v>['Congratulations', 'Christmas', 'Hopefully', 'Gift', 'Christmas', 'Telkomsel', '']</v>
      </c>
      <c r="D4250" s="3">
        <v>5.0</v>
      </c>
    </row>
    <row r="4251" ht="15.75" customHeight="1">
      <c r="A4251" s="1">
        <v>4524.0</v>
      </c>
      <c r="B4251" s="3" t="s">
        <v>4110</v>
      </c>
      <c r="C4251" s="3" t="str">
        <f>IFERROR(__xludf.DUMMYFUNCTION("GOOGLETRANSLATE(B4251,""id"",""en"")"),"['Come', 'Lemott', 'Demand', 'Telkom']")</f>
        <v>['Come', 'Lemott', 'Demand', 'Telkom']</v>
      </c>
      <c r="D4251" s="3">
        <v>1.0</v>
      </c>
    </row>
    <row r="4252" ht="15.75" customHeight="1">
      <c r="A4252" s="1">
        <v>4526.0</v>
      </c>
      <c r="B4252" s="3" t="s">
        <v>4111</v>
      </c>
      <c r="C4252" s="3" t="str">
        <f>IFERROR(__xludf.DUMMYFUNCTION("GOOGLETRANSLATE(B4252,""id"",""en"")"),"['application', 'no', 'opened', '']")</f>
        <v>['application', 'no', 'opened', '']</v>
      </c>
      <c r="D4252" s="3">
        <v>2.0</v>
      </c>
    </row>
    <row r="4253" ht="15.75" customHeight="1">
      <c r="A4253" s="1">
        <v>4527.0</v>
      </c>
      <c r="B4253" s="3" t="s">
        <v>1167</v>
      </c>
      <c r="C4253" s="3" t="str">
        <f>IFERROR(__xludf.DUMMYFUNCTION("GOOGLETRANSLATE(B4253,""id"",""en"")"),"['help']")</f>
        <v>['help']</v>
      </c>
      <c r="D4253" s="3">
        <v>5.0</v>
      </c>
    </row>
    <row r="4254" ht="15.75" customHeight="1">
      <c r="A4254" s="1">
        <v>4528.0</v>
      </c>
      <c r="B4254" s="3" t="s">
        <v>4112</v>
      </c>
      <c r="C4254" s="3" t="str">
        <f>IFERROR(__xludf.DUMMYFUNCTION("GOOGLETRANSLATE(B4254,""id"",""en"")"),"['Network', 'like', 'stable', 'lag']")</f>
        <v>['Network', 'like', 'stable', 'lag']</v>
      </c>
      <c r="D4254" s="3">
        <v>5.0</v>
      </c>
    </row>
    <row r="4255" ht="15.75" customHeight="1">
      <c r="A4255" s="1">
        <v>4529.0</v>
      </c>
      <c r="B4255" s="3" t="s">
        <v>4113</v>
      </c>
      <c r="C4255" s="3" t="str">
        <f>IFERROR(__xludf.DUMMYFUNCTION("GOOGLETRANSLATE(B4255,""id"",""en"")"),"['buy', 'Package']")</f>
        <v>['buy', 'Package']</v>
      </c>
      <c r="D4255" s="3">
        <v>3.0</v>
      </c>
    </row>
    <row r="4256" ht="15.75" customHeight="1">
      <c r="A4256" s="1">
        <v>4531.0</v>
      </c>
      <c r="B4256" s="3" t="s">
        <v>4114</v>
      </c>
      <c r="C4256" s="3" t="str">
        <f>IFERROR(__xludf.DUMMYFUNCTION("GOOGLETRANSLATE(B4256,""id"",""en"")"),"['Hopefully', 'Lucky', 'Win', 'Lottery', 'Points']")</f>
        <v>['Hopefully', 'Lucky', 'Win', 'Lottery', 'Points']</v>
      </c>
      <c r="D4256" s="3">
        <v>5.0</v>
      </c>
    </row>
    <row r="4257" ht="15.75" customHeight="1">
      <c r="A4257" s="1">
        <v>4532.0</v>
      </c>
      <c r="B4257" s="3" t="s">
        <v>4115</v>
      </c>
      <c r="C4257" s="3" t="str">
        <f>IFERROR(__xludf.DUMMYFUNCTION("GOOGLETRANSLATE(B4257,""id"",""en"")"),"['UDH', 'signal', 'ugly', 'corruption', 'pulse', 'lgi', 'hadeh', ""]")</f>
        <v>['UDH', 'signal', 'ugly', 'corruption', 'pulse', 'lgi', 'hadeh', "]</v>
      </c>
      <c r="D4257" s="3">
        <v>1.0</v>
      </c>
    </row>
    <row r="4258" ht="15.75" customHeight="1">
      <c r="A4258" s="1">
        <v>4533.0</v>
      </c>
      <c r="B4258" s="3" t="s">
        <v>4116</v>
      </c>
      <c r="C4258" s="3" t="str">
        <f>IFERROR(__xludf.DUMMYFUNCTION("GOOGLETRANSLATE(B4258,""id"",""en"")"),"['Save', 'really', 'Thanks', 'Telkomsel', 'Heart']")</f>
        <v>['Save', 'really', 'Thanks', 'Telkomsel', 'Heart']</v>
      </c>
      <c r="D4258" s="3">
        <v>5.0</v>
      </c>
    </row>
    <row r="4259" ht="15.75" customHeight="1">
      <c r="A4259" s="1">
        <v>4534.0</v>
      </c>
      <c r="B4259" s="3" t="s">
        <v>4117</v>
      </c>
      <c r="C4259" s="3" t="str">
        <f>IFERROR(__xludf.DUMMYFUNCTION("GOOGLETRANSLATE(B4259,""id"",""en"")"),"['reason', 'information']")</f>
        <v>['reason', 'information']</v>
      </c>
      <c r="D4259" s="3">
        <v>4.0</v>
      </c>
    </row>
    <row r="4260" ht="15.75" customHeight="1">
      <c r="A4260" s="1">
        <v>4535.0</v>
      </c>
      <c r="B4260" s="3" t="s">
        <v>4118</v>
      </c>
      <c r="C4260" s="3" t="str">
        <f>IFERROR(__xludf.DUMMYFUNCTION("GOOGLETRANSLATE(B4260,""id"",""en"")"),"['signal', 'sometimes', 'sometimes', 'tension']")</f>
        <v>['signal', 'sometimes', 'sometimes', 'tension']</v>
      </c>
      <c r="D4260" s="3">
        <v>5.0</v>
      </c>
    </row>
    <row r="4261" ht="15.75" customHeight="1">
      <c r="A4261" s="1">
        <v>4536.0</v>
      </c>
      <c r="B4261" s="3" t="s">
        <v>4119</v>
      </c>
      <c r="C4261" s="3" t="str">
        <f>IFERROR(__xludf.DUMMYFUNCTION("GOOGLETRANSLATE(B4261,""id"",""en"")"),"['Good', 'sometimes', 'obstacles']")</f>
        <v>['Good', 'sometimes', 'obstacles']</v>
      </c>
      <c r="D4261" s="3">
        <v>5.0</v>
      </c>
    </row>
    <row r="4262" ht="15.75" customHeight="1">
      <c r="A4262" s="1">
        <v>4537.0</v>
      </c>
      <c r="B4262" s="3" t="s">
        <v>4120</v>
      </c>
      <c r="C4262" s="3" t="str">
        <f>IFERROR(__xludf.DUMMYFUNCTION("GOOGLETRANSLATE(B4262,""id"",""en"")"),"['Disappointed', 'application', 'error', 'buy', 'package', 'failed', 'network', 'internet', 'smooth', 'buy', 'package', 'mi', ' Telkomsel ',' failed ',' please ',' really ',' repaired ',' as soon as possible ',' thank you ']")</f>
        <v>['Disappointed', 'application', 'error', 'buy', 'package', 'failed', 'network', 'internet', 'smooth', 'buy', 'package', 'mi', ' Telkomsel ',' failed ',' please ',' really ',' repaired ',' as soon as possible ',' thank you ']</v>
      </c>
      <c r="D4262" s="3">
        <v>3.0</v>
      </c>
    </row>
    <row r="4263" ht="15.75" customHeight="1">
      <c r="A4263" s="1">
        <v>4538.0</v>
      </c>
      <c r="B4263" s="3" t="s">
        <v>4121</v>
      </c>
      <c r="C4263" s="3" t="str">
        <f>IFERROR(__xludf.DUMMYFUNCTION("GOOGLETRANSLATE(B4263,""id"",""en"")"),"['Wooyyy', 'Telkomsel', 'already', 'Wrong', 'Diem', 'NOT', 'MANTAKIN', 'DOICE', 'DIEM', 'TERVE', 'HADUUUEEHHH', 'PEAH']")</f>
        <v>['Wooyyy', 'Telkomsel', 'already', 'Wrong', 'Diem', 'NOT', 'MANTAKIN', 'DOICE', 'DIEM', 'TERVE', 'HADUUUEEHHH', 'PEAH']</v>
      </c>
      <c r="D4263" s="3">
        <v>2.0</v>
      </c>
    </row>
    <row r="4264" ht="15.75" customHeight="1">
      <c r="A4264" s="1">
        <v>4539.0</v>
      </c>
      <c r="B4264" s="3" t="s">
        <v>4122</v>
      </c>
      <c r="C4264" s="3" t="str">
        <f>IFERROR(__xludf.DUMMYFUNCTION("GOOGLETRANSLATE(B4264,""id"",""en"")"),"['', 'good', 'plusin', 'star']")</f>
        <v>['', 'good', 'plusin', 'star']</v>
      </c>
      <c r="D4264" s="3">
        <v>2.0</v>
      </c>
    </row>
    <row r="4265" ht="15.75" customHeight="1">
      <c r="A4265" s="1">
        <v>4540.0</v>
      </c>
      <c r="B4265" s="3" t="s">
        <v>4123</v>
      </c>
      <c r="C4265" s="3" t="str">
        <f>IFERROR(__xludf.DUMMYFUNCTION("GOOGLETRANSLATE(B4265,""id"",""en"")"),"['Telkomsel', 'healthy', 'slow', 'severe', 'please', 'fix', 'thank', 'love']")</f>
        <v>['Telkomsel', 'healthy', 'slow', 'severe', 'please', 'fix', 'thank', 'love']</v>
      </c>
      <c r="D4265" s="3">
        <v>1.0</v>
      </c>
    </row>
    <row r="4266" ht="15.75" customHeight="1">
      <c r="A4266" s="1">
        <v>4541.0</v>
      </c>
      <c r="B4266" s="3" t="s">
        <v>4124</v>
      </c>
      <c r="C4266" s="3" t="str">
        <f>IFERROR(__xludf.DUMMYFUNCTION("GOOGLETRANSLATE(B4266,""id"",""en"")"),"['', 'forgiveness', 'play', 'game', 'TB', 'reconnect', 'gajelas', 'signal', 'connection', 'safe', 'safe', ""]")</f>
        <v>['', 'forgiveness', 'play', 'game', 'TB', 'reconnect', 'gajelas', 'signal', 'connection', 'safe', 'safe', "]</v>
      </c>
      <c r="D4266" s="3">
        <v>1.0</v>
      </c>
    </row>
    <row r="4267" ht="15.75" customHeight="1">
      <c r="A4267" s="1">
        <v>4542.0</v>
      </c>
      <c r="B4267" s="3" t="s">
        <v>4125</v>
      </c>
      <c r="C4267" s="3" t="str">
        <f>IFERROR(__xludf.DUMMYFUNCTION("GOOGLETRANSLATE(B4267,""id"",""en"")"),"['min', 'what', 'a month', 'bjsa', 'open', 'application', 'alternating', 'balek', 'delete', 'tetao', 'min', 'please', ' Help ',' Donk ',' ']")</f>
        <v>['min', 'what', 'a month', 'bjsa', 'open', 'application', 'alternating', 'balek', 'delete', 'tetao', 'min', 'please', ' Help ',' Donk ',' ']</v>
      </c>
      <c r="D4267" s="3">
        <v>5.0</v>
      </c>
    </row>
    <row r="4268" ht="15.75" customHeight="1">
      <c r="A4268" s="1">
        <v>4543.0</v>
      </c>
      <c r="B4268" s="3" t="s">
        <v>4126</v>
      </c>
      <c r="C4268" s="3" t="str">
        <f>IFERROR(__xludf.DUMMYFUNCTION("GOOGLETRANSLATE(B4268,""id"",""en"")"),"['Telkomsel', 'expensive', 'Males', 'deh']")</f>
        <v>['Telkomsel', 'expensive', 'Males', 'deh']</v>
      </c>
      <c r="D4268" s="3">
        <v>3.0</v>
      </c>
    </row>
    <row r="4269" ht="15.75" customHeight="1">
      <c r="A4269" s="1">
        <v>4544.0</v>
      </c>
      <c r="B4269" s="3" t="s">
        <v>4127</v>
      </c>
      <c r="C4269" s="3" t="str">
        <f>IFERROR(__xludf.DUMMYFUNCTION("GOOGLETRANSLATE(B4269,""id"",""en"")"),"['petrified', 'purchase', 'kouta', 'data']")</f>
        <v>['petrified', 'purchase', 'kouta', 'data']</v>
      </c>
      <c r="D4269" s="3">
        <v>4.0</v>
      </c>
    </row>
    <row r="4270" ht="15.75" customHeight="1">
      <c r="A4270" s="1">
        <v>4546.0</v>
      </c>
      <c r="B4270" s="3" t="s">
        <v>4128</v>
      </c>
      <c r="C4270" s="3" t="str">
        <f>IFERROR(__xludf.DUMMYFUNCTION("GOOGLETRANSLATE(B4270,""id"",""en"")"),"['Use', 'Telkomsel', 'Network', 'ugly', 'really', ""]")</f>
        <v>['Use', 'Telkomsel', 'Network', 'ugly', 'really', "]</v>
      </c>
      <c r="D4270" s="3">
        <v>1.0</v>
      </c>
    </row>
    <row r="4271" ht="15.75" customHeight="1">
      <c r="A4271" s="1">
        <v>4547.0</v>
      </c>
      <c r="B4271" s="3" t="s">
        <v>4129</v>
      </c>
      <c r="C4271" s="3" t="str">
        <f>IFERROR(__xludf.DUMMYFUNCTION("GOOGLETRANSLATE(B4271,""id"",""en"")"),"['serious', 'Telkomsel', 'child', 'boarding', 'need', 'package', 'cheap', 'package', 'above', '']")</f>
        <v>['serious', 'Telkomsel', 'child', 'boarding', 'need', 'package', 'cheap', 'package', 'above', '']</v>
      </c>
      <c r="D4271" s="3">
        <v>1.0</v>
      </c>
    </row>
    <row r="4272" ht="15.75" customHeight="1">
      <c r="A4272" s="1">
        <v>4548.0</v>
      </c>
      <c r="B4272" s="3" t="s">
        <v>4130</v>
      </c>
      <c r="C4272" s="3" t="str">
        <f>IFERROR(__xludf.DUMMYFUNCTION("GOOGLETRANSLATE(B4272,""id"",""en"")"),"['open', 'network', 'smooth', 'room', 'white', 'screen', 'mulu']")</f>
        <v>['open', 'network', 'smooth', 'room', 'white', 'screen', 'mulu']</v>
      </c>
      <c r="D4272" s="3">
        <v>2.0</v>
      </c>
    </row>
    <row r="4273" ht="15.75" customHeight="1">
      <c r="A4273" s="1">
        <v>4549.0</v>
      </c>
      <c r="B4273" s="3" t="s">
        <v>4131</v>
      </c>
      <c r="C4273" s="3" t="str">
        <f>IFERROR(__xludf.DUMMYFUNCTION("GOOGLETRANSLATE(B4273,""id"",""en"")"),"['open', 'application', 'Telkomsel', 'loading', 'really', 'white', 'please', 'solution', 'thank you', ""]")</f>
        <v>['open', 'application', 'Telkomsel', 'loading', 'really', 'white', 'please', 'solution', 'thank you', "]</v>
      </c>
      <c r="D4273" s="3">
        <v>5.0</v>
      </c>
    </row>
    <row r="4274" ht="15.75" customHeight="1">
      <c r="A4274" s="1">
        <v>4550.0</v>
      </c>
      <c r="B4274" s="3" t="s">
        <v>4132</v>
      </c>
      <c r="C4274" s="3" t="str">
        <f>IFERROR(__xludf.DUMMYFUNCTION("GOOGLETRANSLATE(B4274,""id"",""en"")"),"['Telkomsel', 'Affordable', 'Location', 'Network', 'Clear', '']")</f>
        <v>['Telkomsel', 'Affordable', 'Location', 'Network', 'Clear', '']</v>
      </c>
      <c r="D4274" s="3">
        <v>5.0</v>
      </c>
    </row>
    <row r="4275" ht="15.75" customHeight="1">
      <c r="A4275" s="1">
        <v>4551.0</v>
      </c>
      <c r="B4275" s="3" t="s">
        <v>4133</v>
      </c>
      <c r="C4275" s="3" t="str">
        <f>IFERROR(__xludf.DUMMYFUNCTION("GOOGLETRANSLATE(B4275,""id"",""en"")"),"['Gaisss', 'ugly', 'kmrn', 'aesthan', 'server', 'deh', 'ples', 'deh', 'chat', 'friend', 'gabisa', ""]")</f>
        <v>['Gaisss', 'ugly', 'kmrn', 'aesthan', 'server', 'deh', 'ples', 'deh', 'chat', 'friend', 'gabisa', "]</v>
      </c>
      <c r="D4275" s="3">
        <v>1.0</v>
      </c>
    </row>
    <row r="4276" ht="15.75" customHeight="1">
      <c r="A4276" s="1">
        <v>4552.0</v>
      </c>
      <c r="B4276" s="3" t="s">
        <v>4134</v>
      </c>
      <c r="C4276" s="3" t="str">
        <f>IFERROR(__xludf.DUMMYFUNCTION("GOOGLETRANSLATE(B4276,""id"",""en"")"),"['User', 'Candidate', 'User', 'Telkomsel', 'Domicile', 'Babelan', 'Telkomsel', 'Bad', 'Network', 'Hope', 'Read', 'Review', ' Subscribe ',' regret ']")</f>
        <v>['User', 'Candidate', 'User', 'Telkomsel', 'Domicile', 'Babelan', 'Telkomsel', 'Bad', 'Network', 'Hope', 'Read', 'Review', ' Subscribe ',' regret ']</v>
      </c>
      <c r="D4276" s="3">
        <v>1.0</v>
      </c>
    </row>
    <row r="4277" ht="15.75" customHeight="1">
      <c r="A4277" s="1">
        <v>4553.0</v>
      </c>
      <c r="B4277" s="3" t="s">
        <v>4135</v>
      </c>
      <c r="C4277" s="3" t="str">
        <f>IFERROR(__xludf.DUMMYFUNCTION("GOOGLETRANSLATE(B4277,""id"",""en"")"),"['package', 'internet', 'sucking', 'pulse', 'remains', 'severe', 'miriss', 'application', 'update', 'open', 'why', '']")</f>
        <v>['package', 'internet', 'sucking', 'pulse', 'remains', 'severe', 'miriss', 'application', 'update', 'open', 'why', '']</v>
      </c>
      <c r="D4277" s="3">
        <v>1.0</v>
      </c>
    </row>
    <row r="4278" ht="15.75" customHeight="1">
      <c r="A4278" s="1">
        <v>4554.0</v>
      </c>
      <c r="B4278" s="3" t="s">
        <v>4136</v>
      </c>
      <c r="C4278" s="3" t="str">
        <f>IFERROR(__xludf.DUMMYFUNCTION("GOOGLETRANSLATE(B4278,""id"",""en"")"),"['Package', 'data', 'run out', 'leaves',' package ',' unlimited ',' activity ',' slow ',' because ',' speed ',' package ',' limited ',' Forgot ',' error ',' do ',' Please ',' explanation ',' hope ',' turn ',' card ', ""]")</f>
        <v>['Package', 'data', 'run out', 'leaves',' package ',' unlimited ',' activity ',' slow ',' because ',' speed ',' package ',' limited ',' Forgot ',' error ',' do ',' Please ',' explanation ',' hope ',' turn ',' card ', "]</v>
      </c>
      <c r="D4278" s="3">
        <v>1.0</v>
      </c>
    </row>
    <row r="4279" ht="15.75" customHeight="1">
      <c r="A4279" s="1">
        <v>4555.0</v>
      </c>
      <c r="B4279" s="3" t="s">
        <v>4137</v>
      </c>
      <c r="C4279" s="3" t="str">
        <f>IFERROR(__xludf.DUMMYFUNCTION("GOOGLETRANSLATE(B4279,""id"",""en"")"),"['Telkomsel', 'opened', 'boss']")</f>
        <v>['Telkomsel', 'opened', 'boss']</v>
      </c>
      <c r="D4279" s="3">
        <v>5.0</v>
      </c>
    </row>
    <row r="4280" ht="15.75" customHeight="1">
      <c r="A4280" s="1">
        <v>4556.0</v>
      </c>
      <c r="B4280" s="3" t="s">
        <v>4138</v>
      </c>
      <c r="C4280" s="3" t="str">
        <f>IFERROR(__xludf.DUMMYFUNCTION("GOOGLETRANSLATE(B4280,""id"",""en"")"),"['Addin', 'promo', 'woy']")</f>
        <v>['Addin', 'promo', 'woy']</v>
      </c>
      <c r="D4280" s="3">
        <v>4.0</v>
      </c>
    </row>
    <row r="4281" ht="15.75" customHeight="1">
      <c r="A4281" s="1">
        <v>4557.0</v>
      </c>
      <c r="B4281" s="3" t="s">
        <v>4139</v>
      </c>
      <c r="C4281" s="3" t="str">
        <f>IFERROR(__xludf.DUMMYFUNCTION("GOOGLETRANSLATE(B4281,""id"",""en"")"),"['applicationx']")</f>
        <v>['applicationx']</v>
      </c>
      <c r="D4281" s="3">
        <v>5.0</v>
      </c>
    </row>
    <row r="4282" ht="15.75" customHeight="1">
      <c r="A4282" s="1">
        <v>4558.0</v>
      </c>
      <c r="B4282" s="3" t="s">
        <v>4140</v>
      </c>
      <c r="C4282" s="3" t="str">
        <f>IFERROR(__xludf.DUMMYFUNCTION("GOOGLETRANSLATE(B4282,""id"",""en"")"),"['feeling', 'already', 'week', 'APK', 'opened', 'right', 'entered', 'APK', 'screen', 'white', 'Please', 'repaired', ' ']")</f>
        <v>['feeling', 'already', 'week', 'APK', 'opened', 'right', 'entered', 'APK', 'screen', 'white', 'Please', 'repaired', ' ']</v>
      </c>
      <c r="D4282" s="3">
        <v>1.0</v>
      </c>
    </row>
    <row r="4283" ht="15.75" customHeight="1">
      <c r="A4283" s="1">
        <v>4559.0</v>
      </c>
      <c r="B4283" s="3" t="s">
        <v>4141</v>
      </c>
      <c r="C4283" s="3" t="str">
        <f>IFERROR(__xludf.DUMMYFUNCTION("GOOGLETRANSLATE(B4283,""id"",""en"")"),"['Come', 'Application', 'Emotion', 'Display', 'White', 'Screen', 'Mulu', 'Bapuk', 'Kayak', 'Move', 'Provider', 'Service']")</f>
        <v>['Come', 'Application', 'Emotion', 'Display', 'White', 'Screen', 'Mulu', 'Bapuk', 'Kayak', 'Move', 'Provider', 'Service']</v>
      </c>
      <c r="D4283" s="3">
        <v>1.0</v>
      </c>
    </row>
    <row r="4284" ht="15.75" customHeight="1">
      <c r="A4284" s="1">
        <v>4560.0</v>
      </c>
      <c r="B4284" s="3" t="s">
        <v>4142</v>
      </c>
      <c r="C4284" s="3" t="str">
        <f>IFERROR(__xludf.DUMMYFUNCTION("GOOGLETRANSLATE(B4284,""id"",""en"")"),"['Helpful', 'Surprise', 'Lottery', 'Various']")</f>
        <v>['Helpful', 'Surprise', 'Lottery', 'Various']</v>
      </c>
      <c r="D4284" s="3">
        <v>5.0</v>
      </c>
    </row>
    <row r="4285" ht="15.75" customHeight="1">
      <c r="A4285" s="1">
        <v>4561.0</v>
      </c>
      <c r="B4285" s="3" t="s">
        <v>4143</v>
      </c>
      <c r="C4285" s="3" t="str">
        <f>IFERROR(__xludf.DUMMYFUNCTION("GOOGLETRANSLATE(B4285,""id"",""en"")"),"['Good', 'easy', 'transaction', 'package', 'data']")</f>
        <v>['Good', 'easy', 'transaction', 'package', 'data']</v>
      </c>
      <c r="D4285" s="3">
        <v>3.0</v>
      </c>
    </row>
    <row r="4286" ht="15.75" customHeight="1">
      <c r="A4286" s="1">
        <v>4563.0</v>
      </c>
      <c r="B4286" s="3" t="s">
        <v>4144</v>
      </c>
      <c r="C4286" s="3" t="str">
        <f>IFERROR(__xludf.DUMMYFUNCTION("GOOGLETRANSLATE(B4286,""id"",""en"")"),"['Congratulations', 'noon', 'Telkomsel', 'access', 'Please', 'help', 'thank', 'love']")</f>
        <v>['Congratulations', 'noon', 'Telkomsel', 'access', 'Please', 'help', 'thank', 'love']</v>
      </c>
      <c r="D4286" s="3">
        <v>5.0</v>
      </c>
    </row>
    <row r="4287" ht="15.75" customHeight="1">
      <c r="A4287" s="1">
        <v>4564.0</v>
      </c>
      <c r="B4287" s="3" t="s">
        <v>4145</v>
      </c>
      <c r="C4287" s="3" t="str">
        <f>IFERROR(__xludf.DUMMYFUNCTION("GOOGLETRANSLATE(B4287,""id"",""en"")"),"['APL', 'Open', 'Exchange', 'Points', 'Exchange', 'Points', 'Eee', 'DPAT', 'Coupon', 'Points', 'Coupon']")</f>
        <v>['APL', 'Open', 'Exchange', 'Points', 'Exchange', 'Points', 'Eee', 'DPAT', 'Coupon', 'Points', 'Coupon']</v>
      </c>
      <c r="D4287" s="3">
        <v>3.0</v>
      </c>
    </row>
    <row r="4288" ht="15.75" customHeight="1">
      <c r="A4288" s="1">
        <v>4565.0</v>
      </c>
      <c r="B4288" s="3" t="s">
        <v>4146</v>
      </c>
      <c r="C4288" s="3" t="str">
        <f>IFERROR(__xludf.DUMMYFUNCTION("GOOGLETRANSLATE(B4288,""id"",""en"")"),"['Points', 'exchanged', 'balance', 'link', 'behavior', 'point', 'exchanged', 'leftover', 'point', 'exchanged', ""]")</f>
        <v>['Points', 'exchanged', 'balance', 'link', 'behavior', 'point', 'exchanged', 'leftover', 'point', 'exchanged', "]</v>
      </c>
      <c r="D4288" s="3">
        <v>4.0</v>
      </c>
    </row>
    <row r="4289" ht="15.75" customHeight="1">
      <c r="A4289" s="1">
        <v>4566.0</v>
      </c>
      <c r="B4289" s="3" t="s">
        <v>4147</v>
      </c>
      <c r="C4289" s="3" t="str">
        <f>IFERROR(__xludf.DUMMYFUNCTION("GOOGLETRANSLATE(B4289,""id"",""en"")"),"['Try', 'Good', 'Search', 'Nye', '']")</f>
        <v>['Try', 'Good', 'Search', 'Nye', '']</v>
      </c>
      <c r="D4289" s="3">
        <v>5.0</v>
      </c>
    </row>
    <row r="4290" ht="15.75" customHeight="1">
      <c r="A4290" s="1">
        <v>4567.0</v>
      </c>
      <c r="B4290" s="3" t="s">
        <v>471</v>
      </c>
      <c r="C4290" s="3" t="str">
        <f>IFERROR(__xludf.DUMMYFUNCTION("GOOGLETRANSLATE(B4290,""id"",""en"")"),"['']")</f>
        <v>['']</v>
      </c>
      <c r="D4290" s="3">
        <v>5.0</v>
      </c>
    </row>
    <row r="4291" ht="15.75" customHeight="1">
      <c r="A4291" s="1">
        <v>4568.0</v>
      </c>
      <c r="B4291" s="3" t="s">
        <v>4148</v>
      </c>
      <c r="C4291" s="3" t="str">
        <f>IFERROR(__xludf.DUMMYFUNCTION("GOOGLETRANSLATE(B4291,""id"",""en"")"),"['finished', 'download', 'right', 'open', 'appears', 'screen', 'white', 'doang', '']")</f>
        <v>['finished', 'download', 'right', 'open', 'appears', 'screen', 'white', 'doang', '']</v>
      </c>
      <c r="D4291" s="3">
        <v>1.0</v>
      </c>
    </row>
    <row r="4292" ht="15.75" customHeight="1">
      <c r="A4292" s="1">
        <v>4569.0</v>
      </c>
      <c r="B4292" s="3" t="s">
        <v>4149</v>
      </c>
      <c r="C4292" s="3" t="str">
        <f>IFERROR(__xludf.DUMMYFUNCTION("GOOGLETRANSLATE(B4292,""id"",""en"")"),"['Application', 'Cool', 'Login', 'Hadia', 'Download', 'Disted']")</f>
        <v>['Application', 'Cool', 'Login', 'Hadia', 'Download', 'Disted']</v>
      </c>
      <c r="D4292" s="3">
        <v>5.0</v>
      </c>
    </row>
    <row r="4293" ht="15.75" customHeight="1">
      <c r="A4293" s="1">
        <v>4570.0</v>
      </c>
      <c r="B4293" s="3" t="s">
        <v>4150</v>
      </c>
      <c r="C4293" s="3" t="str">
        <f>IFERROR(__xludf.DUMMYFUNCTION("GOOGLETRANSLATE(B4293,""id"",""en"")"),"['convenience', 'in', 'use', 'promo', 'confusing', 'Indosat', 'promo', 'Tipu', '']")</f>
        <v>['convenience', 'in', 'use', 'promo', 'confusing', 'Indosat', 'promo', 'Tipu', '']</v>
      </c>
      <c r="D4293" s="3">
        <v>5.0</v>
      </c>
    </row>
    <row r="4294" ht="15.75" customHeight="1">
      <c r="A4294" s="1">
        <v>4571.0</v>
      </c>
      <c r="B4294" s="3" t="s">
        <v>4151</v>
      </c>
      <c r="C4294" s="3" t="str">
        <f>IFERROR(__xludf.DUMMYFUNCTION("GOOGLETRANSLATE(B4294,""id"",""en"")"),"['Use', 'Gopay', 'Purchase', 'Package', 'Thinking', 'Main', 'Skrg', 'HRS', 'Filling', 'Credit', 'ugly', 'Application', ' Lemot ',' slow ',' ']")</f>
        <v>['Use', 'Gopay', 'Purchase', 'Package', 'Thinking', 'Main', 'Skrg', 'HRS', 'Filling', 'Credit', 'ugly', 'Application', ' Lemot ',' slow ',' ']</v>
      </c>
      <c r="D4294" s="3">
        <v>1.0</v>
      </c>
    </row>
    <row r="4295" ht="15.75" customHeight="1">
      <c r="A4295" s="1">
        <v>4573.0</v>
      </c>
      <c r="B4295" s="3" t="s">
        <v>4152</v>
      </c>
      <c r="C4295" s="3" t="str">
        <f>IFERROR(__xludf.DUMMYFUNCTION("GOOGLETRANSLATE(B4295,""id"",""en"")"),"['Nukar', 'Points', 'Diamond', '']")</f>
        <v>['Nukar', 'Points', 'Diamond', '']</v>
      </c>
      <c r="D4295" s="3">
        <v>1.0</v>
      </c>
    </row>
    <row r="4296" ht="15.75" customHeight="1">
      <c r="A4296" s="1">
        <v>4574.0</v>
      </c>
      <c r="B4296" s="3" t="s">
        <v>4153</v>
      </c>
      <c r="C4296" s="3" t="str">
        <f>IFERROR(__xludf.DUMMYFUNCTION("GOOGLETRANSLATE(B4296,""id"",""en"")"),"['Shop']")</f>
        <v>['Shop']</v>
      </c>
      <c r="D4296" s="3">
        <v>4.0</v>
      </c>
    </row>
    <row r="4297" ht="15.75" customHeight="1">
      <c r="A4297" s="1">
        <v>4575.0</v>
      </c>
      <c r="B4297" s="3" t="s">
        <v>4154</v>
      </c>
      <c r="C4297" s="3" t="str">
        <f>IFERROR(__xludf.DUMMYFUNCTION("GOOGLETRANSLATE(B4297,""id"",""en"")"),"['Mhon', 'Fix', 'Network', 'Tembagapurs']")</f>
        <v>['Mhon', 'Fix', 'Network', 'Tembagapurs']</v>
      </c>
      <c r="D4297" s="3">
        <v>3.0</v>
      </c>
    </row>
    <row r="4298" ht="15.75" customHeight="1">
      <c r="A4298" s="1">
        <v>4576.0</v>
      </c>
      <c r="B4298" s="3" t="s">
        <v>4155</v>
      </c>
      <c r="C4298" s="3" t="str">
        <f>IFERROR(__xludf.DUMMYFUNCTION("GOOGLETRANSLATE(B4298,""id"",""en"")"),"['ivent', 'chasbck', 'already', 'joined', 'regulation', 'chatbck', 'belom', 'masup', 'already', 'chasbck', 'chasbck', ' already ',' belom ',' masup ',' disappointed ',' fraud ',' hadeuh ']")</f>
        <v>['ivent', 'chasbck', 'already', 'joined', 'regulation', 'chatbck', 'belom', 'masup', 'already', 'chasbck', 'chasbck', ' already ',' belom ',' masup ',' disappointed ',' fraud ',' hadeuh ']</v>
      </c>
      <c r="D4298" s="3">
        <v>3.0</v>
      </c>
    </row>
    <row r="4299" ht="15.75" customHeight="1">
      <c r="A4299" s="1">
        <v>4577.0</v>
      </c>
      <c r="B4299" s="3" t="s">
        <v>4156</v>
      </c>
      <c r="C4299" s="3" t="str">
        <f>IFERROR(__xludf.DUMMYFUNCTION("GOOGLETRANSLATE(B4299,""id"",""en"")"),"['Thanks', 'MyTelkomsel', 'Mantap', '']")</f>
        <v>['Thanks', 'MyTelkomsel', 'Mantap', '']</v>
      </c>
      <c r="D4299" s="3">
        <v>5.0</v>
      </c>
    </row>
    <row r="4300" ht="15.75" customHeight="1">
      <c r="A4300" s="1">
        <v>4578.0</v>
      </c>
      <c r="B4300" s="3" t="s">
        <v>4157</v>
      </c>
      <c r="C4300" s="3" t="str">
        <f>IFERROR(__xludf.DUMMYFUNCTION("GOOGLETRANSLATE(B4300,""id"",""en"")"),"['See', 'leftover', 'quota', 'buy', 'quota', 'application', 'MyTelkomsel', '']")</f>
        <v>['See', 'leftover', 'quota', 'buy', 'quota', 'application', 'MyTelkomsel', '']</v>
      </c>
      <c r="D4300" s="3">
        <v>1.0</v>
      </c>
    </row>
    <row r="4301" ht="15.75" customHeight="1">
      <c r="A4301" s="1">
        <v>4579.0</v>
      </c>
      <c r="B4301" s="3" t="s">
        <v>4158</v>
      </c>
      <c r="C4301" s="3" t="str">
        <f>IFERROR(__xludf.DUMMYFUNCTION("GOOGLETRANSLATE(B4301,""id"",""en"")"),"['Satisfied', 'experience', 'lag', 'Maen', 'game', 'home', 'home', 'stable', 'fast']")</f>
        <v>['Satisfied', 'experience', 'lag', 'Maen', 'game', 'home', 'home', 'stable', 'fast']</v>
      </c>
      <c r="D4301" s="3">
        <v>1.0</v>
      </c>
    </row>
    <row r="4302" ht="15.75" customHeight="1">
      <c r="A4302" s="1">
        <v>4582.0</v>
      </c>
      <c r="B4302" s="3" t="s">
        <v>4159</v>
      </c>
      <c r="C4302" s="3" t="str">
        <f>IFERROR(__xludf.DUMMYFUNCTION("GOOGLETRANSLATE(B4302,""id"",""en"")"),"['Sya', 'open', 'Telkomsel', 'stuck', 'screen', 'white', 'hufffff']")</f>
        <v>['Sya', 'open', 'Telkomsel', 'stuck', 'screen', 'white', 'hufffff']</v>
      </c>
      <c r="D4302" s="3">
        <v>1.0</v>
      </c>
    </row>
    <row r="4303" ht="15.75" customHeight="1">
      <c r="A4303" s="1">
        <v>4583.0</v>
      </c>
      <c r="B4303" s="3" t="s">
        <v>4160</v>
      </c>
      <c r="C4303" s="3" t="str">
        <f>IFERROR(__xludf.DUMMYFUNCTION("GOOGLETRANSLATE(B4303,""id"",""en"")"),"['easy', 'love', 'star', 'application', 'open', 'ngeblang', 'white', ""]")</f>
        <v>['easy', 'love', 'star', 'application', 'open', 'ngeblang', 'white', "]</v>
      </c>
      <c r="D4303" s="3">
        <v>1.0</v>
      </c>
    </row>
    <row r="4304" ht="15.75" customHeight="1">
      <c r="A4304" s="1">
        <v>4584.0</v>
      </c>
      <c r="B4304" s="3" t="s">
        <v>4161</v>
      </c>
      <c r="C4304" s="3" t="str">
        <f>IFERROR(__xludf.DUMMYFUNCTION("GOOGLETRANSLATE(B4304,""id"",""en"")"),"['Promo', 'Exchange', 'Points', 'Diamond', 'Free', 'Fire', ""]")</f>
        <v>['Promo', 'Exchange', 'Points', 'Diamond', 'Free', 'Fire', "]</v>
      </c>
      <c r="D4304" s="3">
        <v>2.0</v>
      </c>
    </row>
    <row r="4305" ht="15.75" customHeight="1">
      <c r="A4305" s="1">
        <v>4585.0</v>
      </c>
      <c r="B4305" s="3" t="s">
        <v>4162</v>
      </c>
      <c r="C4305" s="3" t="str">
        <f>IFERROR(__xludf.DUMMYFUNCTION("GOOGLETRANSLATE(B4305,""id"",""en"")"),"['application', 'buy', 'package', 'disorder']")</f>
        <v>['application', 'buy', 'package', 'disorder']</v>
      </c>
      <c r="D4305" s="3">
        <v>1.0</v>
      </c>
    </row>
    <row r="4306" ht="15.75" customHeight="1">
      <c r="A4306" s="1">
        <v>4586.0</v>
      </c>
      <c r="B4306" s="3" t="s">
        <v>4163</v>
      </c>
      <c r="C4306" s="3" t="str">
        <f>IFERROR(__xludf.DUMMYFUNCTION("GOOGLETRANSLATE(B4306,""id"",""en"")"),"['Telkomsel', 'service', 'bad', 'please', 'fix', 'teljomsel']")</f>
        <v>['Telkomsel', 'service', 'bad', 'please', 'fix', 'teljomsel']</v>
      </c>
      <c r="D4306" s="3">
        <v>1.0</v>
      </c>
    </row>
    <row r="4307" ht="15.75" customHeight="1">
      <c r="A4307" s="1">
        <v>4587.0</v>
      </c>
      <c r="B4307" s="3" t="s">
        <v>4164</v>
      </c>
      <c r="C4307" s="3" t="str">
        <f>IFERROR(__xludf.DUMMYFUNCTION("GOOGLETRANSLATE(B4307,""id"",""en"")"),"['Kah']")</f>
        <v>['Kah']</v>
      </c>
      <c r="D4307" s="3">
        <v>1.0</v>
      </c>
    </row>
    <row r="4308" ht="15.75" customHeight="1">
      <c r="A4308" s="1">
        <v>4588.0</v>
      </c>
      <c r="B4308" s="3" t="s">
        <v>4165</v>
      </c>
      <c r="C4308" s="3" t="str">
        <f>IFERROR(__xludf.DUMMYFUNCTION("GOOGLETRANSLATE(B4308,""id"",""en"")"),"['Want', 'got', 'City', 'additional', 'buy']")</f>
        <v>['Want', 'got', 'City', 'additional', 'buy']</v>
      </c>
      <c r="D4308" s="3">
        <v>1.0</v>
      </c>
    </row>
    <row r="4309" ht="15.75" customHeight="1">
      <c r="A4309" s="1">
        <v>4589.0</v>
      </c>
      <c r="B4309" s="3" t="s">
        <v>4166</v>
      </c>
      <c r="C4309" s="3" t="str">
        <f>IFERROR(__xludf.DUMMYFUNCTION("GOOGLETRANSLATE(B4309,""id"",""en"")"),"['entry', 'page', 'voucher', 'bonus', 'game', 'mobile', 'legend', 'reedem', 'error', 'how', '']")</f>
        <v>['entry', 'page', 'voucher', 'bonus', 'game', 'mobile', 'legend', 'reedem', 'error', 'how', '']</v>
      </c>
      <c r="D4309" s="3">
        <v>5.0</v>
      </c>
    </row>
    <row r="4310" ht="15.75" customHeight="1">
      <c r="A4310" s="1">
        <v>4590.0</v>
      </c>
      <c r="B4310" s="3" t="s">
        <v>4167</v>
      </c>
      <c r="C4310" s="3" t="str">
        <f>IFERROR(__xludf.DUMMYFUNCTION("GOOGLETRANSLATE(B4310,""id"",""en"")"),"['Telkomsel', 'disappointing', 'moved', 'provider', 'card', 'Karna', 'quota', 'internet', 'cheap', 'network', 'good', 'udh', ' Quota ',' expensive ',' network ',' Tempaku ',' slow ',' disappointing ',' ']")</f>
        <v>['Telkomsel', 'disappointing', 'moved', 'provider', 'card', 'Karna', 'quota', 'internet', 'cheap', 'network', 'good', 'udh', ' Quota ',' expensive ',' network ',' Tempaku ',' slow ',' disappointing ',' ']</v>
      </c>
      <c r="D4310" s="3">
        <v>1.0</v>
      </c>
    </row>
    <row r="4311" ht="15.75" customHeight="1">
      <c r="A4311" s="1">
        <v>4591.0</v>
      </c>
      <c r="B4311" s="3" t="s">
        <v>4168</v>
      </c>
      <c r="C4311" s="3" t="str">
        <f>IFERROR(__xludf.DUMMYFUNCTION("GOOGLETRANSLATE(B4311,""id"",""en"")"),"['Price', 'Most expensive', 'network', 'weak', 'what']]")</f>
        <v>['Price', 'Most expensive', 'network', 'weak', 'what']]</v>
      </c>
      <c r="D4311" s="3">
        <v>1.0</v>
      </c>
    </row>
    <row r="4312" ht="15.75" customHeight="1">
      <c r="A4312" s="1">
        <v>4592.0</v>
      </c>
      <c r="B4312" s="3" t="s">
        <v>4169</v>
      </c>
      <c r="C4312" s="3" t="str">
        <f>IFERROR(__xludf.DUMMYFUNCTION("GOOGLETRANSLATE(B4312,""id"",""en"")"),"['Network', 'strong', 'wherever', 'sip', 'jos']")</f>
        <v>['Network', 'strong', 'wherever', 'sip', 'jos']</v>
      </c>
      <c r="D4312" s="3">
        <v>5.0</v>
      </c>
    </row>
    <row r="4313" ht="15.75" customHeight="1">
      <c r="A4313" s="1">
        <v>4594.0</v>
      </c>
      <c r="B4313" s="3" t="s">
        <v>4170</v>
      </c>
      <c r="C4313" s="3" t="str">
        <f>IFERROR(__xludf.DUMMYFUNCTION("GOOGLETRANSLATE(B4313,""id"",""en"")"),"['Performance', 'sympathy', 'sya', 'buy', 'package', 'call', 'until', 'pulse', 'regular', 'sya', 'out', 'suck', ' klu ',' emg ',' love ',' package ',' love ',' promotion ',' package ',' detrimental ',' user ',' class', 'sympathy', 'performance', 'like' , "&amp;"'vendor', 'abal', 'shy', 'sided', 'consistent', 'promo', ""]")</f>
        <v>['Performance', 'sympathy', 'sya', 'buy', 'package', 'call', 'until', 'pulse', 'regular', 'sya', 'out', 'suck', ' klu ',' emg ',' love ',' package ',' love ',' promotion ',' package ',' detrimental ',' user ',' class', 'sympathy', 'performance', 'like' , 'vendor', 'abal', 'shy', 'sided', 'consistent', 'promo', "]</v>
      </c>
      <c r="D4313" s="3">
        <v>1.0</v>
      </c>
    </row>
    <row r="4314" ht="15.75" customHeight="1">
      <c r="A4314" s="1">
        <v>4595.0</v>
      </c>
      <c r="B4314" s="3" t="s">
        <v>4171</v>
      </c>
      <c r="C4314" s="3" t="str">
        <f>IFERROR(__xludf.DUMMYFUNCTION("GOOGLETRANSLATE(B4314,""id"",""en"")"),"['It's easy', 'purchase', 'pulses']")</f>
        <v>['It's easy', 'purchase', 'pulses']</v>
      </c>
      <c r="D4314" s="3">
        <v>5.0</v>
      </c>
    </row>
    <row r="4315" ht="15.75" customHeight="1">
      <c r="A4315" s="1">
        <v>4596.0</v>
      </c>
      <c r="B4315" s="3" t="s">
        <v>4172</v>
      </c>
      <c r="C4315" s="3" t="str">
        <f>IFERROR(__xludf.DUMMYFUNCTION("GOOGLETRANSLATE(B4315,""id"",""en"")"),"['Package', 'Gamemax', 'mobile', 'Legend', 'buy', 'package', 'GB', 'played', '']")</f>
        <v>['Package', 'Gamemax', 'mobile', 'Legend', 'buy', 'package', 'GB', 'played', '']</v>
      </c>
      <c r="D4315" s="3">
        <v>1.0</v>
      </c>
    </row>
    <row r="4316" ht="15.75" customHeight="1">
      <c r="A4316" s="1">
        <v>4597.0</v>
      </c>
      <c r="B4316" s="3" t="s">
        <v>4173</v>
      </c>
      <c r="C4316" s="3" t="str">
        <f>IFERROR(__xludf.DUMMYFUNCTION("GOOGLETRANSLATE(B4316,""id"",""en"")"),"['Good', 'useful', 'loding', 'late', 'influence', 'signal']")</f>
        <v>['Good', 'useful', 'loding', 'late', 'influence', 'signal']</v>
      </c>
      <c r="D4316" s="3">
        <v>5.0</v>
      </c>
    </row>
    <row r="4317" ht="15.75" customHeight="1">
      <c r="A4317" s="1">
        <v>4598.0</v>
      </c>
      <c r="B4317" s="3" t="s">
        <v>4174</v>
      </c>
      <c r="C4317" s="3" t="str">
        <f>IFERROR(__xludf.DUMMYFUNCTION("GOOGLETRANSLATE(B4317,""id"",""en"")"),"['Telkom', 'Morning', 'Signal', 'Gonta', 'Change', 'Disturbs', 'Bet']")</f>
        <v>['Telkom', 'Morning', 'Signal', 'Gonta', 'Change', 'Disturbs', 'Bet']</v>
      </c>
      <c r="D4317" s="3">
        <v>1.0</v>
      </c>
    </row>
    <row r="4318" ht="15.75" customHeight="1">
      <c r="A4318" s="1">
        <v>4599.0</v>
      </c>
      <c r="B4318" s="3" t="s">
        <v>4175</v>
      </c>
      <c r="C4318" s="3" t="str">
        <f>IFERROR(__xludf.DUMMYFUNCTION("GOOGLETRANSLATE(B4318,""id"",""en"")"),"['Contents',' pulse ',' thousand ',' buy ',' package ',' internet ',' application ',' Telkomsel ',' open ',' stuck ',' screen ',' white ',' SMS ',' access', 'internet', 'rates',' non ',' package ',' wifi ',' check ',' pulse ',' credit ',' reduced ',' disa"&amp;"ppointed ',' kayak ' , 'gini', 'mah', 'events', 'already', 'pulse', 'run out', 'open', 'the application']")</f>
        <v>['Contents',' pulse ',' thousand ',' buy ',' package ',' internet ',' application ',' Telkomsel ',' open ',' stuck ',' screen ',' white ',' SMS ',' access', 'internet', 'rates',' non ',' package ',' wifi ',' check ',' pulse ',' credit ',' reduced ',' disappointed ',' kayak ' , 'gini', 'mah', 'events', 'already', 'pulse', 'run out', 'open', 'the application']</v>
      </c>
      <c r="D4318" s="3">
        <v>1.0</v>
      </c>
    </row>
    <row r="4319" ht="15.75" customHeight="1">
      <c r="A4319" s="1">
        <v>4600.0</v>
      </c>
      <c r="B4319" s="3" t="s">
        <v>4176</v>
      </c>
      <c r="C4319" s="3" t="str">
        <f>IFERROR(__xludf.DUMMYFUNCTION("GOOGLETRANSLATE(B4319,""id"",""en"")"),"['Application', 'help', ""]")</f>
        <v>['Application', 'help', "]</v>
      </c>
      <c r="D4319" s="3">
        <v>4.0</v>
      </c>
    </row>
    <row r="4320" ht="15.75" customHeight="1">
      <c r="A4320" s="1">
        <v>4601.0</v>
      </c>
      <c r="B4320" s="3" t="s">
        <v>4177</v>
      </c>
      <c r="C4320" s="3" t="str">
        <f>IFERROR(__xludf.DUMMYFUNCTION("GOOGLETRANSLATE(B4320,""id"",""en"")"),"['Elor', 'Sunday', 'Open']")</f>
        <v>['Elor', 'Sunday', 'Open']</v>
      </c>
      <c r="D4320" s="3">
        <v>2.0</v>
      </c>
    </row>
    <row r="4321" ht="15.75" customHeight="1">
      <c r="A4321" s="1">
        <v>4602.0</v>
      </c>
      <c r="B4321" s="3" t="s">
        <v>4178</v>
      </c>
      <c r="C4321" s="3" t="str">
        <f>IFERROR(__xludf.DUMMYFUNCTION("GOOGLETRANSLATE(B4321,""id"",""en"")"),"['Telkomsel', 'anjig', 'slow', 'sekli', 'taikkkk', 'nhapaen']")</f>
        <v>['Telkomsel', 'anjig', 'slow', 'sekli', 'taikkkk', 'nhapaen']</v>
      </c>
      <c r="D4321" s="3">
        <v>1.0</v>
      </c>
    </row>
    <row r="4322" ht="15.75" customHeight="1">
      <c r="A4322" s="1">
        <v>4603.0</v>
      </c>
      <c r="B4322" s="3" t="s">
        <v>4179</v>
      </c>
      <c r="C4322" s="3" t="str">
        <f>IFERROR(__xludf.DUMMYFUNCTION("GOOGLETRANSLATE(B4322,""id"",""en"")"),"['Love', 'dlu', 'klu', '']")</f>
        <v>['Love', 'dlu', 'klu', '']</v>
      </c>
      <c r="D4322" s="3">
        <v>3.0</v>
      </c>
    </row>
    <row r="4323" ht="15.75" customHeight="1">
      <c r="A4323" s="1">
        <v>4604.0</v>
      </c>
      <c r="B4323" s="3" t="s">
        <v>2730</v>
      </c>
      <c r="C4323" s="3" t="str">
        <f>IFERROR(__xludf.DUMMYFUNCTION("GOOGLETRANSLATE(B4323,""id"",""en"")"),"['Promo', 'interesting']")</f>
        <v>['Promo', 'interesting']</v>
      </c>
      <c r="D4323" s="3">
        <v>5.0</v>
      </c>
    </row>
    <row r="4324" ht="15.75" customHeight="1">
      <c r="A4324" s="1">
        <v>4605.0</v>
      </c>
      <c r="B4324" s="3" t="s">
        <v>4180</v>
      </c>
      <c r="C4324" s="3" t="str">
        <f>IFERROR(__xludf.DUMMYFUNCTION("GOOGLETRANSLATE(B4324,""id"",""en"")"),"['steady', 'like', 'choice', 'package', 'combo', 'Sakti', 'unlimited', 'affordable', 'ability', 'thankful', 'keep', 'service', ' ']")</f>
        <v>['steady', 'like', 'choice', 'package', 'combo', 'Sakti', 'unlimited', 'affordable', 'ability', 'thankful', 'keep', 'service', ' ']</v>
      </c>
      <c r="D4324" s="3">
        <v>5.0</v>
      </c>
    </row>
    <row r="4325" ht="15.75" customHeight="1">
      <c r="A4325" s="1">
        <v>4606.0</v>
      </c>
      <c r="B4325" s="3" t="s">
        <v>4181</v>
      </c>
      <c r="C4325" s="3" t="str">
        <f>IFERROR(__xludf.DUMMYFUNCTION("GOOGLETRANSLATE(B4325,""id"",""en"")"),"['Disappointed', 'Telkomsel', 'Plz', 'Cut', 'Like', 'Out', 'Purpose', 'Notification', 'Plz', 'Cut', 'Application', 'Busuuuuuuuuukkkkkkkkkkkkkkkkkkkkkkkkkkkkkkkkkk")</f>
        <v>['Disappointed', 'Telkomsel', 'Plz', 'Cut', 'Like', 'Out', 'Purpose', 'Notification', 'Plz', 'Cut', 'Application', 'Busuuuuuuuuukkkkkkkkkkkkkkkkkkkkkkkkkkkkkkkkkk</v>
      </c>
      <c r="D4325" s="3">
        <v>1.0</v>
      </c>
    </row>
    <row r="4326" ht="15.75" customHeight="1">
      <c r="A4326" s="1">
        <v>4607.0</v>
      </c>
      <c r="B4326" s="3" t="s">
        <v>4182</v>
      </c>
      <c r="C4326" s="3" t="str">
        <f>IFERROR(__xludf.DUMMYFUNCTION("GOOGLETRANSLATE(B4326,""id"",""en"")"),"['Please', 'Increase', 'Network', 'Area', 'NTT', 'County', 'Sabu', 'Raijua', 'Inland', 'Village', 'Ramedue', 'Signal', ' ']")</f>
        <v>['Please', 'Increase', 'Network', 'Area', 'NTT', 'County', 'Sabu', 'Raijua', 'Inland', 'Village', 'Ramedue', 'Signal', ' ']</v>
      </c>
      <c r="D4326" s="3">
        <v>5.0</v>
      </c>
    </row>
    <row r="4327" ht="15.75" customHeight="1">
      <c r="A4327" s="1">
        <v>4608.0</v>
      </c>
      <c r="B4327" s="3" t="s">
        <v>4183</v>
      </c>
      <c r="C4327" s="3" t="str">
        <f>IFERROR(__xludf.DUMMYFUNCTION("GOOGLETRANSLATE(B4327,""id"",""en"")"),"['Mintk', 'please', 'signal', 'repaired', 'slow', ""]")</f>
        <v>['Mintk', 'please', 'signal', 'repaired', 'slow', "]</v>
      </c>
      <c r="D4327" s="3">
        <v>5.0</v>
      </c>
    </row>
    <row r="4328" ht="15.75" customHeight="1">
      <c r="A4328" s="1">
        <v>4609.0</v>
      </c>
      <c r="B4328" s="3" t="s">
        <v>4184</v>
      </c>
      <c r="C4328" s="3" t="str">
        <f>IFERROR(__xludf.DUMMYFUNCTION("GOOGLETRANSLATE(B4328,""id"",""en"")"),"['Progress', 'repairs', 'Thank you', 'MyTelkomsel']")</f>
        <v>['Progress', 'repairs', 'Thank you', 'MyTelkomsel']</v>
      </c>
      <c r="D4328" s="3">
        <v>5.0</v>
      </c>
    </row>
    <row r="4329" ht="15.75" customHeight="1">
      <c r="A4329" s="1">
        <v>4611.0</v>
      </c>
      <c r="B4329" s="3" t="s">
        <v>4185</v>
      </c>
      <c r="C4329" s="3" t="str">
        <f>IFERROR(__xludf.DUMMYFUNCTION("GOOGLETRANSLATE(B4329,""id"",""en"")"),"['Login', 'Link', 'sent', 'SMS', 'valid', 'expiration', 'Try', 'Berulng', 'Valid', ""]")</f>
        <v>['Login', 'Link', 'sent', 'SMS', 'valid', 'expiration', 'Try', 'Berulng', 'Valid', "]</v>
      </c>
      <c r="D4329" s="3">
        <v>1.0</v>
      </c>
    </row>
    <row r="4330" ht="15.75" customHeight="1">
      <c r="A4330" s="1">
        <v>4612.0</v>
      </c>
      <c r="B4330" s="3" t="s">
        <v>4186</v>
      </c>
      <c r="C4330" s="3" t="str">
        <f>IFERROR(__xludf.DUMMYFUNCTION("GOOGLETRANSLATE(B4330,""id"",""en"")"),"['buy', 'Kouta', 'Ganguan', 'Please', 'Try', 'then', 'Udh', 'brpa', 'Kali', 'Nii', 'Gimna', 'Appsih', ' Gunaa ']")</f>
        <v>['buy', 'Kouta', 'Ganguan', 'Please', 'Try', 'then', 'Udh', 'brpa', 'Kali', 'Nii', 'Gimna', 'Appsih', ' Gunaa ']</v>
      </c>
      <c r="D4330" s="3">
        <v>1.0</v>
      </c>
    </row>
    <row r="4331" ht="15.75" customHeight="1">
      <c r="A4331" s="1">
        <v>4613.0</v>
      </c>
      <c r="B4331" s="3" t="s">
        <v>4187</v>
      </c>
      <c r="C4331" s="3" t="str">
        <f>IFERROR(__xludf.DUMMYFUNCTION("GOOGLETRANSLATE(B4331,""id"",""en"")"),"['Open', 'Realme', 'poor']")</f>
        <v>['Open', 'Realme', 'poor']</v>
      </c>
      <c r="D4331" s="3">
        <v>1.0</v>
      </c>
    </row>
    <row r="4332" ht="15.75" customHeight="1">
      <c r="A4332" s="1">
        <v>4615.0</v>
      </c>
      <c r="B4332" s="3" t="s">
        <v>4188</v>
      </c>
      <c r="C4332" s="3" t="str">
        <f>IFERROR(__xludf.DUMMYFUNCTION("GOOGLETRANSLATE(B4332,""id"",""en"")"),"['Telkomsel', 'Network', 'Rich', 'Ajing']")</f>
        <v>['Telkomsel', 'Network', 'Rich', 'Ajing']</v>
      </c>
      <c r="D4332" s="3">
        <v>1.0</v>
      </c>
    </row>
    <row r="4333" ht="15.75" customHeight="1">
      <c r="A4333" s="1">
        <v>4616.0</v>
      </c>
      <c r="B4333" s="3" t="s">
        <v>4189</v>
      </c>
      <c r="C4333" s="3" t="str">
        <f>IFERROR(__xludf.DUMMYFUNCTION("GOOGLETRANSLATE(B4333,""id"",""en"")"),"['', 'Honest', 'disappointing', 'Ribet', 'looks', 'simple', 'offer', 'provided', ""]")</f>
        <v>['', 'Honest', 'disappointing', 'Ribet', 'looks', 'simple', 'offer', 'provided', "]</v>
      </c>
      <c r="D4333" s="3">
        <v>1.0</v>
      </c>
    </row>
    <row r="4334" ht="15.75" customHeight="1">
      <c r="A4334" s="1">
        <v>4618.0</v>
      </c>
      <c r="B4334" s="3" t="s">
        <v>4190</v>
      </c>
      <c r="C4334" s="3" t="str">
        <f>IFERROR(__xludf.DUMMYFUNCTION("GOOGLETRANSLATE(B4334,""id"",""en"")"),"['Update', 'Ancur', 'Application', 'Cook', 'Enter', 'Delete', 'Data', 'Stiap', 'Times', 'Enter', ""]")</f>
        <v>['Update', 'Ancur', 'Application', 'Cook', 'Enter', 'Delete', 'Data', 'Stiap', 'Times', 'Enter', "]</v>
      </c>
      <c r="D4334" s="3">
        <v>1.0</v>
      </c>
    </row>
    <row r="4335" ht="15.75" customHeight="1">
      <c r="A4335" s="1">
        <v>4619.0</v>
      </c>
      <c r="B4335" s="3" t="s">
        <v>4191</v>
      </c>
      <c r="C4335" s="3" t="str">
        <f>IFERROR(__xludf.DUMMYFUNCTION("GOOGLETRANSLATE(B4335,""id"",""en"")"),"['Application', 'PEKOK', 'Signal', 'Full', 'Network', 'zero']")</f>
        <v>['Application', 'PEKOK', 'Signal', 'Full', 'Network', 'zero']</v>
      </c>
      <c r="D4335" s="3">
        <v>1.0</v>
      </c>
    </row>
    <row r="4336" ht="15.75" customHeight="1">
      <c r="A4336" s="1">
        <v>4620.0</v>
      </c>
      <c r="B4336" s="3" t="s">
        <v>4192</v>
      </c>
      <c r="C4336" s="3" t="str">
        <f>IFERROR(__xludf.DUMMYFUNCTION("GOOGLETRANSLATE(B4336,""id"",""en"")"),"['Melomotan', 'essential', 'boss', 'Open', 'Telkomsel', '']")</f>
        <v>['Melomotan', 'essential', 'boss', 'Open', 'Telkomsel', '']</v>
      </c>
      <c r="D4336" s="3">
        <v>1.0</v>
      </c>
    </row>
    <row r="4337" ht="15.75" customHeight="1">
      <c r="A4337" s="1">
        <v>4621.0</v>
      </c>
      <c r="B4337" s="3" t="s">
        <v>4193</v>
      </c>
      <c r="C4337" s="3" t="str">
        <f>IFERROR(__xludf.DUMMYFUNCTION("GOOGLETRANSLATE(B4337,""id"",""en"")"),"['Out', 'update', 'open', 'Telkomsel', 'please', 'explanation']")</f>
        <v>['Out', 'update', 'open', 'Telkomsel', 'please', 'explanation']</v>
      </c>
      <c r="D4337" s="3">
        <v>3.0</v>
      </c>
    </row>
    <row r="4338" ht="15.75" customHeight="1">
      <c r="A4338" s="1">
        <v>4622.0</v>
      </c>
      <c r="B4338" s="3" t="s">
        <v>4194</v>
      </c>
      <c r="C4338" s="3" t="str">
        <f>IFERROR(__xludf.DUMMYFUNCTION("GOOGLETRANSLATE(B4338,""id"",""en"")"),"['', 'Telkomsel', 'steady', 'manpaat']")</f>
        <v>['', 'Telkomsel', 'steady', 'manpaat']</v>
      </c>
      <c r="D4338" s="3">
        <v>5.0</v>
      </c>
    </row>
    <row r="4339" ht="15.75" customHeight="1">
      <c r="A4339" s="1">
        <v>4623.0</v>
      </c>
      <c r="B4339" s="3" t="s">
        <v>4195</v>
      </c>
      <c r="C4339" s="3" t="str">
        <f>IFERROR(__xludf.DUMMYFUNCTION("GOOGLETRANSLATE(B4339,""id"",""en"")"),"['Telkomsel', 'updated', 'opened', 'screen', 'white', 'disappointed', 'sya', 'already', 'subscription', 'belin', 'peket', 'data', ' Ditelkomsel ',' Kayak ',' Gini ',' how ',' solutionaa ']")</f>
        <v>['Telkomsel', 'updated', 'opened', 'screen', 'white', 'disappointed', 'sya', 'already', 'subscription', 'belin', 'peket', 'data', ' Ditelkomsel ',' Kayak ',' Gini ',' how ',' solutionaa ']</v>
      </c>
      <c r="D4339" s="3">
        <v>1.0</v>
      </c>
    </row>
    <row r="4340" ht="15.75" customHeight="1">
      <c r="A4340" s="1">
        <v>4625.0</v>
      </c>
      <c r="B4340" s="3" t="s">
        <v>4196</v>
      </c>
      <c r="C4340" s="3" t="str">
        <f>IFERROR(__xludf.DUMMYFUNCTION("GOOGLETRANSLATE(B4340,""id"",""en"")"),"['Application', 'Telkomsel', 'go', 'Please', 'explanation']")</f>
        <v>['Application', 'Telkomsel', 'go', 'Please', 'explanation']</v>
      </c>
      <c r="D4340" s="3">
        <v>2.0</v>
      </c>
    </row>
    <row r="4341" ht="15.75" customHeight="1">
      <c r="A4341" s="1">
        <v>4626.0</v>
      </c>
      <c r="B4341" s="3" t="s">
        <v>4197</v>
      </c>
      <c r="C4341" s="3" t="str">
        <f>IFERROR(__xludf.DUMMYFUNCTION("GOOGLETRANSLATE(B4341,""id"",""en"")"),"['Love', 'Star', 'Signal', 'Old', 'Minutes', 'Error', 'Main', 'Game', 'Ancur', 'Patah', ""]")</f>
        <v>['Love', 'Star', 'Signal', 'Old', 'Minutes', 'Error', 'Main', 'Game', 'Ancur', 'Patah', "]</v>
      </c>
      <c r="D4341" s="3">
        <v>1.0</v>
      </c>
    </row>
    <row r="4342" ht="15.75" customHeight="1">
      <c r="A4342" s="1">
        <v>4627.0</v>
      </c>
      <c r="B4342" s="3" t="s">
        <v>4198</v>
      </c>
      <c r="C4342" s="3" t="str">
        <f>IFERROR(__xludf.DUMMYFUNCTION("GOOGLETRANSLATE(B4342,""id"",""en"")"),"['application', 'bagua']")</f>
        <v>['application', 'bagua']</v>
      </c>
      <c r="D4342" s="3">
        <v>5.0</v>
      </c>
    </row>
    <row r="4343" ht="15.75" customHeight="1">
      <c r="A4343" s="1">
        <v>4628.0</v>
      </c>
      <c r="B4343" s="3" t="s">
        <v>4199</v>
      </c>
      <c r="C4343" s="3" t="str">
        <f>IFERROR(__xludf.DUMMYFUNCTION("GOOGLETRANSLATE(B4343,""id"",""en"")"),"['oath', 'Season', 'really', 'Telkomsel', 'application', 'Telkomsel', 'Sunday', 'kagak', 'opened']")</f>
        <v>['oath', 'Season', 'really', 'Telkomsel', 'application', 'Telkomsel', 'Sunday', 'kagak', 'opened']</v>
      </c>
      <c r="D4343" s="3">
        <v>1.0</v>
      </c>
    </row>
    <row r="4344" ht="15.75" customHeight="1">
      <c r="A4344" s="1">
        <v>4629.0</v>
      </c>
      <c r="B4344" s="3" t="s">
        <v>4200</v>
      </c>
      <c r="C4344" s="3" t="str">
        <f>IFERROR(__xludf.DUMMYFUNCTION("GOOGLETRANSLATE(B4344,""id"",""en"")"),"['Application', 'Open', 'UDH', 'Times', 'Dowload', 'Tetep']")</f>
        <v>['Application', 'Open', 'UDH', 'Times', 'Dowload', 'Tetep']</v>
      </c>
      <c r="D4344" s="3">
        <v>1.0</v>
      </c>
    </row>
    <row r="4345" ht="15.75" customHeight="1">
      <c r="A4345" s="1">
        <v>4630.0</v>
      </c>
      <c r="B4345" s="3" t="s">
        <v>4201</v>
      </c>
      <c r="C4345" s="3" t="str">
        <f>IFERROR(__xludf.DUMMYFUNCTION("GOOGLETRANSLATE(B4345,""id"",""en"")"),"['Update', 'TRSSS', 'TPI', 'Signal', 'Tmbh', 'ugly']")</f>
        <v>['Update', 'TRSSS', 'TPI', 'Signal', 'Tmbh', 'ugly']</v>
      </c>
      <c r="D4345" s="3">
        <v>1.0</v>
      </c>
    </row>
    <row r="4346" ht="15.75" customHeight="1">
      <c r="A4346" s="1">
        <v>4631.0</v>
      </c>
      <c r="B4346" s="3" t="s">
        <v>4202</v>
      </c>
      <c r="C4346" s="3" t="str">
        <f>IFERROR(__xludf.DUMMYFUNCTION("GOOGLETRANSLATE(B4346,""id"",""en"")"),"['signal', 'kek', 'taik', 'njirrr', 'price', 'doang', 'expensive', 'quality', 'signal', 'jakekkkkkk', 'fakkkk']")</f>
        <v>['signal', 'kek', 'taik', 'njirrr', 'price', 'doang', 'expensive', 'quality', 'signal', 'jakekkkkkk', 'fakkkk']</v>
      </c>
      <c r="D4346" s="3">
        <v>1.0</v>
      </c>
    </row>
    <row r="4347" ht="15.75" customHeight="1">
      <c r="A4347" s="1">
        <v>4632.0</v>
      </c>
      <c r="B4347" s="3" t="s">
        <v>4203</v>
      </c>
      <c r="C4347" s="3" t="str">
        <f>IFERROR(__xludf.DUMMYFUNCTION("GOOGLETRANSLATE(B4347,""id"",""en"")"),"['Hello', 'Telkomsel', 'application', 'opened', 'Nge', 'blank', 'white', 'week']")</f>
        <v>['Hello', 'Telkomsel', 'application', 'opened', 'Nge', 'blank', 'white', 'week']</v>
      </c>
      <c r="D4347" s="3">
        <v>3.0</v>
      </c>
    </row>
    <row r="4348" ht="15.75" customHeight="1">
      <c r="A4348" s="1">
        <v>4633.0</v>
      </c>
      <c r="B4348" s="3" t="s">
        <v>4204</v>
      </c>
      <c r="C4348" s="3" t="str">
        <f>IFERROR(__xludf.DUMMYFUNCTION("GOOGLETRANSLATE(B4348,""id"",""en"")"),"['', 'hard', 'already', 'umpleness',' time ',' install ',' app ',' telkomsel ',' change ',' check ',' quota ',' expensive ',' good ',' quota ',' height ',' until ',' January ',' already ',' abis', 'min', 'GB', 'yesterday', 'buy', 'GB', 'leftover', 'please"&amp;"', 'min', 'fix', 'use', 'Telkomsel', 'dozens', 'min', 'increased', 'decline', 'quality']")</f>
        <v>['', 'hard', 'already', 'umpleness',' time ',' install ',' app ',' telkomsel ',' change ',' check ',' quota ',' expensive ',' good ',' quota ',' height ',' until ',' January ',' already ',' abis', 'min', 'GB', 'yesterday', 'buy', 'GB', 'leftover', 'please', 'min', 'fix', 'use', 'Telkomsel', 'dozens', 'min', 'increased', 'decline', 'quality']</v>
      </c>
      <c r="D4348" s="3">
        <v>1.0</v>
      </c>
    </row>
    <row r="4349" ht="15.75" customHeight="1">
      <c r="A4349" s="1">
        <v>4634.0</v>
      </c>
      <c r="B4349" s="3" t="s">
        <v>4205</v>
      </c>
      <c r="C4349" s="3" t="str">
        <f>IFERROR(__xludf.DUMMYFUNCTION("GOOGLETRANSLATE(B4349,""id"",""en"")"),"['', 'App', 'Telkomsel', 'easy', 'information', 'pulse', 'package', 'quota', 'choice', 'package', 'relative', 'affordable', 'receive ',' Love ',' Telkomsel ',' ']")</f>
        <v>['', 'App', 'Telkomsel', 'easy', 'information', 'pulse', 'package', 'quota', 'choice', 'package', 'relative', 'affordable', 'receive ',' Love ',' Telkomsel ',' ']</v>
      </c>
      <c r="D4349" s="3">
        <v>5.0</v>
      </c>
    </row>
    <row r="4350" ht="15.75" customHeight="1">
      <c r="A4350" s="1">
        <v>4635.0</v>
      </c>
      <c r="B4350" s="3" t="s">
        <v>4206</v>
      </c>
      <c r="C4350" s="3" t="str">
        <f>IFERROR(__xludf.DUMMYFUNCTION("GOOGLETRANSLATE(B4350,""id"",""en"")"),"['Honey', 'buy', 'Package', 'Disaui']")</f>
        <v>['Honey', 'buy', 'Package', 'Disaui']</v>
      </c>
      <c r="D4350" s="3">
        <v>4.0</v>
      </c>
    </row>
    <row r="4351" ht="15.75" customHeight="1">
      <c r="A4351" s="1">
        <v>4636.0</v>
      </c>
      <c r="B4351" s="3" t="s">
        <v>4207</v>
      </c>
      <c r="C4351" s="3" t="str">
        <f>IFERROR(__xludf.DUMMYFUNCTION("GOOGLETRANSLATE(B4351,""id"",""en"")"),"['Bgus']")</f>
        <v>['Bgus']</v>
      </c>
      <c r="D4351" s="3">
        <v>5.0</v>
      </c>
    </row>
    <row r="4352" ht="15.75" customHeight="1">
      <c r="A4352" s="1">
        <v>4637.0</v>
      </c>
      <c r="B4352" s="3" t="s">
        <v>4208</v>
      </c>
      <c r="C4352" s="3" t="str">
        <f>IFERROR(__xludf.DUMMYFUNCTION("GOOGLETRANSLATE(B4352,""id"",""en"")"),"['SMS', 'code', 'OTP', 'late', 'carnakan', 'signal', 'weak']")</f>
        <v>['SMS', 'code', 'OTP', 'late', 'carnakan', 'signal', 'weak']</v>
      </c>
      <c r="D4352" s="3">
        <v>1.0</v>
      </c>
    </row>
    <row r="4353" ht="15.75" customHeight="1">
      <c r="A4353" s="1">
        <v>4638.0</v>
      </c>
      <c r="B4353" s="3" t="s">
        <v>4209</v>
      </c>
      <c r="C4353" s="3" t="str">
        <f>IFERROR(__xludf.DUMMYFUNCTION("GOOGLETRANSLATE(B4353,""id"",""en"")"),"['Application', 'Telkomsel', 'Open', 'Try', 'Delete', 'Donlot', ""]")</f>
        <v>['Application', 'Telkomsel', 'Open', 'Try', 'Delete', 'Donlot', "]</v>
      </c>
      <c r="D4353" s="3">
        <v>2.0</v>
      </c>
    </row>
    <row r="4354" ht="15.75" customHeight="1">
      <c r="A4354" s="1">
        <v>4640.0</v>
      </c>
      <c r="B4354" s="3" t="s">
        <v>4210</v>
      </c>
      <c r="C4354" s="3" t="str">
        <f>IFERROR(__xludf.DUMMYFUNCTION("GOOGLETRANSLATE(B4354,""id"",""en"")"),"['Good', 'Region', 'Rame', 'Region', 'Kmapung', 'Network', 'Adequate', '']")</f>
        <v>['Good', 'Region', 'Rame', 'Region', 'Kmapung', 'Network', 'Adequate', '']</v>
      </c>
      <c r="D4354" s="3">
        <v>5.0</v>
      </c>
    </row>
    <row r="4355" ht="15.75" customHeight="1">
      <c r="A4355" s="1">
        <v>4641.0</v>
      </c>
      <c r="B4355" s="3" t="s">
        <v>4211</v>
      </c>
      <c r="C4355" s="3" t="str">
        <f>IFERROR(__xludf.DUMMYFUNCTION("GOOGLETRANSLATE(B4355,""id"",""en"")"),"['apk', 'Telkomsel', 'right', 'open', 'appears', 'screen', 'white', 'subscription', 'Telkomsel', 'drop', ""]")</f>
        <v>['apk', 'Telkomsel', 'right', 'open', 'appears', 'screen', 'white', 'subscription', 'Telkomsel', 'drop', "]</v>
      </c>
      <c r="D4355" s="3">
        <v>1.0</v>
      </c>
    </row>
    <row r="4356" ht="15.75" customHeight="1">
      <c r="A4356" s="1">
        <v>4642.0</v>
      </c>
      <c r="B4356" s="3" t="s">
        <v>4212</v>
      </c>
      <c r="C4356" s="3" t="str">
        <f>IFERROR(__xludf.DUMMYFUNCTION("GOOGLETRANSLATE(B4356,""id"",""en"")"),"['difficult', 'open', 'application', 'pulse', 'cut', 'status',' position ',' use ',' package ',' data ',' concerned ',' belongs', ' government', '']")</f>
        <v>['difficult', 'open', 'application', 'pulse', 'cut', 'status',' position ',' use ',' package ',' data ',' concerned ',' belongs', ' government', '']</v>
      </c>
      <c r="D4356" s="3">
        <v>3.0</v>
      </c>
    </row>
    <row r="4357" ht="15.75" customHeight="1">
      <c r="A4357" s="1">
        <v>4643.0</v>
      </c>
      <c r="B4357" s="3" t="s">
        <v>4213</v>
      </c>
      <c r="C4357" s="3" t="str">
        <f>IFERROR(__xludf.DUMMYFUNCTION("GOOGLETRANSLATE(B4357,""id"",""en"")"),"['pulse', 'sucked', 'run out', 'quota', 'run out', 'kabacut']")</f>
        <v>['pulse', 'sucked', 'run out', 'quota', 'run out', 'kabacut']</v>
      </c>
      <c r="D4357" s="3">
        <v>2.0</v>
      </c>
    </row>
    <row r="4358" ht="15.75" customHeight="1">
      <c r="A4358" s="1">
        <v>4644.0</v>
      </c>
      <c r="B4358" s="3" t="s">
        <v>4214</v>
      </c>
      <c r="C4358" s="3" t="str">
        <f>IFERROR(__xludf.DUMMYFUNCTION("GOOGLETRANSLATE(B4358,""id"",""en"")"),"['Good', 'fast', 'send', 'gift', 'skrg', 'pay', 'card', 'hello', 'application', '']")</f>
        <v>['Good', 'fast', 'send', 'gift', 'skrg', 'pay', 'card', 'hello', 'application', '']</v>
      </c>
      <c r="D4358" s="3">
        <v>5.0</v>
      </c>
    </row>
    <row r="4359" ht="15.75" customHeight="1">
      <c r="A4359" s="1">
        <v>4645.0</v>
      </c>
      <c r="B4359" s="3" t="s">
        <v>4215</v>
      </c>
      <c r="C4359" s="3" t="str">
        <f>IFERROR(__xludf.DUMMYFUNCTION("GOOGLETRANSLATE(B4359,""id"",""en"")"),"['Love', 'star', 'because', 'gabisa', 'open', 'upgrate', 'curious',' uninstall ',' then ',' dowload ',' ajja ',' kagak ',' Open ',' Disappointed ']")</f>
        <v>['Love', 'star', 'because', 'gabisa', 'open', 'upgrate', 'curious',' uninstall ',' then ',' dowload ',' ajja ',' kagak ',' Open ',' Disappointed ']</v>
      </c>
      <c r="D4359" s="3">
        <v>1.0</v>
      </c>
    </row>
    <row r="4360" ht="15.75" customHeight="1">
      <c r="A4360" s="1">
        <v>4646.0</v>
      </c>
      <c r="B4360" s="3" t="s">
        <v>4216</v>
      </c>
      <c r="C4360" s="3" t="str">
        <f>IFERROR(__xludf.DUMMYFUNCTION("GOOGLETRANSLATE(B4360,""id"",""en"")"),"['Easy', 'Safe', 'Display', '']")</f>
        <v>['Easy', 'Safe', 'Display', '']</v>
      </c>
      <c r="D4360" s="3">
        <v>5.0</v>
      </c>
    </row>
    <row r="4361" ht="15.75" customHeight="1">
      <c r="A4361" s="1">
        <v>4647.0</v>
      </c>
      <c r="B4361" s="3" t="s">
        <v>4217</v>
      </c>
      <c r="C4361" s="3" t="str">
        <f>IFERROR(__xludf.DUMMYFUNCTION("GOOGLETRANSLATE(B4361,""id"",""en"")"),"['Min', 'blank', 'the application', 'already', '']")</f>
        <v>['Min', 'blank', 'the application', 'already', '']</v>
      </c>
      <c r="D4361" s="3">
        <v>5.0</v>
      </c>
    </row>
    <row r="4362" ht="15.75" customHeight="1">
      <c r="A4362" s="1">
        <v>4648.0</v>
      </c>
      <c r="B4362" s="3" t="s">
        <v>4218</v>
      </c>
      <c r="C4362" s="3" t="str">
        <f>IFERROR(__xludf.DUMMYFUNCTION("GOOGLETRANSLATE(B4362,""id"",""en"")"),"['Sip', 'suggestion', 'Telkomsel', 'Application', 'MyTelkomsel', 'Lock', 'Lock', 'Control', 'Use', 'Credit', 'Deliberate', 'Use', ' Control ',' run out ',' package ',' data ',' thank you ']")</f>
        <v>['Sip', 'suggestion', 'Telkomsel', 'Application', 'MyTelkomsel', 'Lock', 'Lock', 'Control', 'Use', 'Credit', 'Deliberate', 'Use', ' Control ',' run out ',' package ',' data ',' thank you ']</v>
      </c>
      <c r="D4362" s="3">
        <v>5.0</v>
      </c>
    </row>
    <row r="4363" ht="15.75" customHeight="1">
      <c r="A4363" s="1">
        <v>4649.0</v>
      </c>
      <c r="B4363" s="3" t="s">
        <v>4219</v>
      </c>
      <c r="C4363" s="3" t="str">
        <f>IFERROR(__xludf.DUMMYFUNCTION("GOOGLETRANSLATE(B4363,""id"",""en"")"),"['Sya', 'enter', 'application']")</f>
        <v>['Sya', 'enter', 'application']</v>
      </c>
      <c r="D4363" s="3">
        <v>1.0</v>
      </c>
    </row>
    <row r="4364" ht="15.75" customHeight="1">
      <c r="A4364" s="1">
        <v>4650.0</v>
      </c>
      <c r="B4364" s="3" t="s">
        <v>4220</v>
      </c>
      <c r="C4364" s="3" t="str">
        <f>IFERROR(__xludf.DUMMYFUNCTION("GOOGLETRANSLATE(B4364,""id"",""en"")"),"['Good', 'really', 'application', 'help']")</f>
        <v>['Good', 'really', 'application', 'help']</v>
      </c>
      <c r="D4364" s="3">
        <v>5.0</v>
      </c>
    </row>
    <row r="4365" ht="15.75" customHeight="1">
      <c r="A4365" s="1">
        <v>4651.0</v>
      </c>
      <c r="B4365" s="3" t="s">
        <v>4221</v>
      </c>
      <c r="C4365" s="3" t="str">
        <f>IFERROR(__xludf.DUMMYFUNCTION("GOOGLETRANSLATE(B4365,""id"",""en"")"),"['Enter', 'Application', 'Telkomsel', 'Connected', 'Internet', 'Cause', 'Loading', 'Continuous', 'Package', 'Quota', 'Internet', ""]")</f>
        <v>['Enter', 'Application', 'Telkomsel', 'Connected', 'Internet', 'Cause', 'Loading', 'Continuous', 'Package', 'Quota', 'Internet', "]</v>
      </c>
      <c r="D4365" s="3">
        <v>1.0</v>
      </c>
    </row>
    <row r="4366" ht="15.75" customHeight="1">
      <c r="A4366" s="1">
        <v>4652.0</v>
      </c>
      <c r="B4366" s="3" t="s">
        <v>4222</v>
      </c>
      <c r="C4366" s="3" t="str">
        <f>IFERROR(__xludf.DUMMYFUNCTION("GOOGLETRANSLATE(B4366,""id"",""en"")"),"['Sound', 'Link', 'SMS', 'clicked', 'expiration', 'what']]")</f>
        <v>['Sound', 'Link', 'SMS', 'clicked', 'expiration', 'what']]</v>
      </c>
      <c r="D4366" s="3">
        <v>1.0</v>
      </c>
    </row>
    <row r="4367" ht="15.75" customHeight="1">
      <c r="A4367" s="1">
        <v>4653.0</v>
      </c>
      <c r="B4367" s="3" t="s">
        <v>4223</v>
      </c>
      <c r="C4367" s="3" t="str">
        <f>IFERROR(__xludf.DUMMYFUNCTION("GOOGLETRANSLATE(B4367,""id"",""en"")"),"['Parahh', 'enter', 'APK', 'difficult']")</f>
        <v>['Parahh', 'enter', 'APK', 'difficult']</v>
      </c>
      <c r="D4367" s="3">
        <v>1.0</v>
      </c>
    </row>
    <row r="4368" ht="15.75" customHeight="1">
      <c r="A4368" s="1">
        <v>4654.0</v>
      </c>
      <c r="B4368" s="3" t="s">
        <v>312</v>
      </c>
      <c r="C4368" s="3" t="str">
        <f>IFERROR(__xludf.DUMMYFUNCTION("GOOGLETRANSLATE(B4368,""id"",""en"")"),"['best']")</f>
        <v>['best']</v>
      </c>
      <c r="D4368" s="3">
        <v>5.0</v>
      </c>
    </row>
    <row r="4369" ht="15.75" customHeight="1">
      <c r="A4369" s="1">
        <v>4655.0</v>
      </c>
      <c r="B4369" s="3" t="s">
        <v>4224</v>
      </c>
      <c r="C4369" s="3" t="str">
        <f>IFERROR(__xludf.DUMMYFUNCTION("GOOGLETRANSLATE(B4369,""id"",""en"")"),"['buy', 'package', 'promo', 'GB', 'thousand', 'GB', 'thousand', 'Mulu', 'already', 'message', 'forced', 'buy', ' package ',' internet ',' lazy ',' right ',' already ',' buy ',' package ',' appears', 'sms',' pulse ',' sufficient ',' blah ',' sms' , 'appear"&amp;"s',' appears', 'right', 'already', 'buy', 'package', 'already', 'wait', 'minute', 'deliberate', 'really', 'sell', ' Purchases', 'Packages',' ']")</f>
        <v>['buy', 'package', 'promo', 'GB', 'thousand', 'GB', 'thousand', 'Mulu', 'already', 'message', 'forced', 'buy', ' package ',' internet ',' lazy ',' right ',' already ',' buy ',' package ',' appears', 'sms',' pulse ',' sufficient ',' blah ',' sms' , 'appears',' appears', 'right', 'already', 'buy', 'package', 'already', 'wait', 'minute', 'deliberate', 'really', 'sell', ' Purchases', 'Packages',' ']</v>
      </c>
      <c r="D4369" s="3">
        <v>1.0</v>
      </c>
    </row>
    <row r="4370" ht="15.75" customHeight="1">
      <c r="A4370" s="1">
        <v>4656.0</v>
      </c>
      <c r="B4370" s="3" t="s">
        <v>4225</v>
      </c>
      <c r="C4370" s="3" t="str">
        <f>IFERROR(__xludf.DUMMYFUNCTION("GOOGLETRANSLATE(B4370,""id"",""en"")"),"['Disappointed', 'Kerna', 'Buy', 'Package', 'Data', 'Slalu', 'Disruption', 'System', 'Telkomsel', 'Delicious', 'Used']")</f>
        <v>['Disappointed', 'Kerna', 'Buy', 'Package', 'Data', 'Slalu', 'Disruption', 'System', 'Telkomsel', 'Delicious', 'Used']</v>
      </c>
      <c r="D4370" s="3">
        <v>1.0</v>
      </c>
    </row>
    <row r="4371" ht="15.75" customHeight="1">
      <c r="A4371" s="1">
        <v>4657.0</v>
      </c>
      <c r="B4371" s="3" t="s">
        <v>4226</v>
      </c>
      <c r="C4371" s="3" t="str">
        <f>IFERROR(__xludf.DUMMYFUNCTION("GOOGLETRANSLATE(B4371,""id"",""en"")"),"['application', 'help', 'user', 'card', 'Telkomsel', 'very', 'good', ""]")</f>
        <v>['application', 'help', 'user', 'card', 'Telkomsel', 'very', 'good', "]</v>
      </c>
      <c r="D4371" s="3">
        <v>5.0</v>
      </c>
    </row>
    <row r="4372" ht="15.75" customHeight="1">
      <c r="A4372" s="1">
        <v>4658.0</v>
      </c>
      <c r="B4372" s="3" t="s">
        <v>4227</v>
      </c>
      <c r="C4372" s="3" t="str">
        <f>IFERROR(__xludf.DUMMYFUNCTION("GOOGLETRANSLATE(B4372,""id"",""en"")"),"['White', 'Screen', 'Mulu', 'opened']")</f>
        <v>['White', 'Screen', 'Mulu', 'opened']</v>
      </c>
      <c r="D4372" s="3">
        <v>1.0</v>
      </c>
    </row>
    <row r="4373" ht="15.75" customHeight="1">
      <c r="A4373" s="1">
        <v>4659.0</v>
      </c>
      <c r="B4373" s="3" t="s">
        <v>4228</v>
      </c>
      <c r="C4373" s="3" t="str">
        <f>IFERROR(__xludf.DUMMYFUNCTION("GOOGLETRANSLATE(B4373,""id"",""en"")"),"['', 'Telkomsel', 'difficult', 'login', 'poor', 'the application', 'backward', 'advanced', 'help', 'manufacture', 'the application', 'provider', 'read ',' Reviews', 'users',' replied ',' applicator ',' poor ',' poor ',' poor ',' poor ',' poor ',' poor ','"&amp;" poor ',' poor ']")</f>
        <v>['', 'Telkomsel', 'difficult', 'login', 'poor', 'the application', 'backward', 'advanced', 'help', 'manufacture', 'the application', 'provider', 'read ',' Reviews', 'users',' replied ',' applicator ',' poor ',' poor ',' poor ',' poor ',' poor ',' poor ',' poor ',' poor ']</v>
      </c>
      <c r="D4373" s="3">
        <v>1.0</v>
      </c>
    </row>
    <row r="4374" ht="15.75" customHeight="1">
      <c r="A4374" s="1">
        <v>4660.0</v>
      </c>
      <c r="B4374" s="3" t="s">
        <v>4229</v>
      </c>
      <c r="C4374" s="3" t="str">
        <f>IFERROR(__xludf.DUMMYFUNCTION("GOOGLETRANSLATE(B4374,""id"",""en"")"),"['choice']")</f>
        <v>['choice']</v>
      </c>
      <c r="D4374" s="3">
        <v>1.0</v>
      </c>
    </row>
    <row r="4375" ht="15.75" customHeight="1">
      <c r="A4375" s="1">
        <v>4662.0</v>
      </c>
      <c r="B4375" s="3" t="s">
        <v>4230</v>
      </c>
      <c r="C4375" s="3" t="str">
        <f>IFERROR(__xludf.DUMMYFUNCTION("GOOGLETRANSLATE(B4375,""id"",""en"")"),"['package', 'emergency', 'cheats', 'RB', 'Yesterday', 'contents', 'truncated', 'truncated', 'RB', 'written', ""]")</f>
        <v>['package', 'emergency', 'cheats', 'RB', 'Yesterday', 'contents', 'truncated', 'truncated', 'RB', 'written', "]</v>
      </c>
      <c r="D4375" s="3">
        <v>1.0</v>
      </c>
    </row>
    <row r="4376" ht="15.75" customHeight="1">
      <c r="A4376" s="1">
        <v>4663.0</v>
      </c>
      <c r="B4376" s="3" t="s">
        <v>4231</v>
      </c>
      <c r="C4376" s="3" t="str">
        <f>IFERROR(__xludf.DUMMYFUNCTION("GOOGLETRANSLATE(B4376,""id"",""en"")"),"['Service', '']")</f>
        <v>['Service', '']</v>
      </c>
      <c r="D4376" s="3">
        <v>5.0</v>
      </c>
    </row>
    <row r="4377" ht="15.75" customHeight="1">
      <c r="A4377" s="1">
        <v>4664.0</v>
      </c>
      <c r="B4377" s="3" t="s">
        <v>4232</v>
      </c>
      <c r="C4377" s="3" t="str">
        <f>IFERROR(__xludf.DUMMYFUNCTION("GOOGLETRANSLATE(B4377,""id"",""en"")"),"['Package', 'Data', 'right', 'Sinalin', 'Credit', 'Cut', 'Card']")</f>
        <v>['Package', 'Data', 'right', 'Sinalin', 'Credit', 'Cut', 'Card']</v>
      </c>
      <c r="D4377" s="3">
        <v>2.0</v>
      </c>
    </row>
    <row r="4378" ht="15.75" customHeight="1">
      <c r="A4378" s="1">
        <v>4665.0</v>
      </c>
      <c r="B4378" s="3" t="s">
        <v>4233</v>
      </c>
      <c r="C4378" s="3" t="str">
        <f>IFERROR(__xludf.DUMMYFUNCTION("GOOGLETRANSLATE(B4378,""id"",""en"")"),"['Telkomsel', 'access',' appears', 'screen', 'white', 'please', 'dipwrbari', 'dinstall', 'uninstall', 'many', 'times',' change ',' in another', '']")</f>
        <v>['Telkomsel', 'access',' appears', 'screen', 'white', 'please', 'dipwrbari', 'dinstall', 'uninstall', 'many', 'times',' change ',' in another', '']</v>
      </c>
      <c r="D4378" s="3">
        <v>1.0</v>
      </c>
    </row>
    <row r="4379" ht="15.75" customHeight="1">
      <c r="A4379" s="1">
        <v>4667.0</v>
      </c>
      <c r="B4379" s="3" t="s">
        <v>4234</v>
      </c>
      <c r="C4379" s="3" t="str">
        <f>IFERROR(__xludf.DUMMYFUNCTION("GOOGLETRANSLATE(B4379,""id"",""en"")"),"['happy', 'the application']")</f>
        <v>['happy', 'the application']</v>
      </c>
      <c r="D4379" s="3">
        <v>5.0</v>
      </c>
    </row>
    <row r="4380" ht="15.75" customHeight="1">
      <c r="A4380" s="1">
        <v>4668.0</v>
      </c>
      <c r="B4380" s="3" t="s">
        <v>2372</v>
      </c>
      <c r="C4380" s="3" t="str">
        <f>IFERROR(__xludf.DUMMYFUNCTION("GOOGLETRANSLATE(B4380,""id"",""en"")"),"['', '']")</f>
        <v>['', '']</v>
      </c>
      <c r="D4380" s="3">
        <v>1.0</v>
      </c>
    </row>
    <row r="4381" ht="15.75" customHeight="1">
      <c r="A4381" s="1">
        <v>4670.0</v>
      </c>
      <c r="B4381" s="3" t="s">
        <v>4235</v>
      </c>
      <c r="C4381" s="3" t="str">
        <f>IFERROR(__xludf.DUMMYFUNCTION("GOOGLETRANSLATE(B4381,""id"",""en"")"),"['Sorry', 'criticism', 'Sis',' Yesterday ',' Emotion ',' Sorry ',' Sis', 'Application', 'Good', 'Network', 'Sometimes',' ugly ',' MyTelkomsel ',' ']")</f>
        <v>['Sorry', 'criticism', 'Sis',' Yesterday ',' Emotion ',' Sorry ',' Sis', 'Application', 'Good', 'Network', 'Sometimes',' ugly ',' MyTelkomsel ',' ']</v>
      </c>
      <c r="D4381" s="3">
        <v>5.0</v>
      </c>
    </row>
    <row r="4382" ht="15.75" customHeight="1">
      <c r="A4382" s="1">
        <v>4671.0</v>
      </c>
      <c r="B4382" s="3" t="s">
        <v>4236</v>
      </c>
      <c r="C4382" s="3" t="str">
        <f>IFERROR(__xludf.DUMMYFUNCTION("GOOGLETRANSLATE(B4382,""id"",""en"")"),"['Good', 'price']")</f>
        <v>['Good', 'price']</v>
      </c>
      <c r="D4382" s="3">
        <v>3.0</v>
      </c>
    </row>
    <row r="4383" ht="15.75" customHeight="1">
      <c r="A4383" s="1">
        <v>4672.0</v>
      </c>
      <c r="B4383" s="3" t="s">
        <v>4237</v>
      </c>
      <c r="C4383" s="3" t="str">
        <f>IFERROR(__xludf.DUMMYFUNCTION("GOOGLETRANSLATE(B4383,""id"",""en"")"),"['Anyway', 'DWNLD', 'APK']")</f>
        <v>['Anyway', 'DWNLD', 'APK']</v>
      </c>
      <c r="D4383" s="3">
        <v>4.0</v>
      </c>
    </row>
    <row r="4384" ht="15.75" customHeight="1">
      <c r="A4384" s="1">
        <v>4673.0</v>
      </c>
      <c r="B4384" s="3" t="s">
        <v>4238</v>
      </c>
      <c r="C4384" s="3" t="str">
        <f>IFERROR(__xludf.DUMMYFUNCTION("GOOGLETRANSLATE(B4384,""id"",""en"")"),"['That's like', 'for a while', 'buy', 'quota', 'internet']")</f>
        <v>['That's like', 'for a while', 'buy', 'quota', 'internet']</v>
      </c>
      <c r="D4384" s="3">
        <v>4.0</v>
      </c>
    </row>
    <row r="4385" ht="15.75" customHeight="1">
      <c r="A4385" s="1">
        <v>4674.0</v>
      </c>
      <c r="B4385" s="3" t="s">
        <v>4239</v>
      </c>
      <c r="C4385" s="3" t="str">
        <f>IFERROR(__xludf.DUMMYFUNCTION("GOOGLETRANSLATE(B4385,""id"",""en"")"),"['Application', 'Updated', 'Opened', '']")</f>
        <v>['Application', 'Updated', 'Opened', '']</v>
      </c>
      <c r="D4385" s="3">
        <v>1.0</v>
      </c>
    </row>
    <row r="4386" ht="15.75" customHeight="1">
      <c r="A4386" s="1">
        <v>4675.0</v>
      </c>
      <c r="B4386" s="3" t="s">
        <v>3231</v>
      </c>
      <c r="C4386" s="3" t="str">
        <f>IFERROR(__xludf.DUMMYFUNCTION("GOOGLETRANSLATE(B4386,""id"",""en"")"),"['APK', 'Open']")</f>
        <v>['APK', 'Open']</v>
      </c>
      <c r="D4386" s="3">
        <v>1.0</v>
      </c>
    </row>
    <row r="4387" ht="15.75" customHeight="1">
      <c r="A4387" s="1">
        <v>4676.0</v>
      </c>
      <c r="B4387" s="3" t="s">
        <v>4240</v>
      </c>
      <c r="C4387" s="3" t="str">
        <f>IFERROR(__xludf.DUMMYFUNCTION("GOOGLETRANSLATE(B4387,""id"",""en"")"),"['The network', 'please', 'repaired', 'times', 'play', 'game', 'signal', 'LEG']")</f>
        <v>['The network', 'please', 'repaired', 'times', 'play', 'game', 'signal', 'LEG']</v>
      </c>
      <c r="D4387" s="3">
        <v>2.0</v>
      </c>
    </row>
    <row r="4388" ht="15.75" customHeight="1">
      <c r="A4388" s="1">
        <v>4677.0</v>
      </c>
      <c r="B4388" s="3" t="s">
        <v>4241</v>
      </c>
      <c r="C4388" s="3" t="str">
        <f>IFERROR(__xludf.DUMMYFUNCTION("GOOGLETRANSLATE(B4388,""id"",""en"")"),"['difficult', 'really', 'login', 'klau', 'already', 'open', 'APL', '']")</f>
        <v>['difficult', 'really', 'login', 'klau', 'already', 'open', 'APL', '']</v>
      </c>
      <c r="D4388" s="3">
        <v>3.0</v>
      </c>
    </row>
    <row r="4389" ht="15.75" customHeight="1">
      <c r="A4389" s="1">
        <v>4678.0</v>
      </c>
      <c r="B4389" s="3" t="s">
        <v>4242</v>
      </c>
      <c r="C4389" s="3" t="str">
        <f>IFERROR(__xludf.DUMMYFUNCTION("GOOGLETRANSLATE(B4389,""id"",""en"")"),"['signal', 'forgiveness', 'full']")</f>
        <v>['signal', 'forgiveness', 'full']</v>
      </c>
      <c r="D4389" s="3">
        <v>5.0</v>
      </c>
    </row>
    <row r="4390" ht="15.75" customHeight="1">
      <c r="A4390" s="1">
        <v>4679.0</v>
      </c>
      <c r="B4390" s="3" t="s">
        <v>4243</v>
      </c>
      <c r="C4390" s="3" t="str">
        <f>IFERROR(__xludf.DUMMYFUNCTION("GOOGLETRANSLATE(B4390,""id"",""en"")"),"['quota', 'abis', 'pulse', 'sucked', 'severe']")</f>
        <v>['quota', 'abis', 'pulse', 'sucked', 'severe']</v>
      </c>
      <c r="D4390" s="3">
        <v>1.0</v>
      </c>
    </row>
    <row r="4391" ht="15.75" customHeight="1">
      <c r="A4391" s="1">
        <v>4680.0</v>
      </c>
      <c r="B4391" s="3" t="s">
        <v>4244</v>
      </c>
      <c r="C4391" s="3" t="str">
        <f>IFERROR(__xludf.DUMMYFUNCTION("GOOGLETRANSLATE(B4391,""id"",""en"")"),"['LEG', 'SALES', 'price', 'expensive', 'card', 'Telkomsel', 'stable', 'ehh', 'just', 'name', 'trend', 'signal', ' Leet ',' right ',' Rain ',' Ouch ',' Gabisa ',' Skali ', ""]")</f>
        <v>['LEG', 'SALES', 'price', 'expensive', 'card', 'Telkomsel', 'stable', 'ehh', 'just', 'name', 'trend', 'signal', ' Leet ',' right ',' Rain ',' Ouch ',' Gabisa ',' Skali ', "]</v>
      </c>
      <c r="D4391" s="3">
        <v>1.0</v>
      </c>
    </row>
    <row r="4392" ht="15.75" customHeight="1">
      <c r="A4392" s="1">
        <v>4681.0</v>
      </c>
      <c r="B4392" s="3" t="s">
        <v>4245</v>
      </c>
      <c r="C4392" s="3" t="str">
        <f>IFERROR(__xludf.DUMMYFUNCTION("GOOGLETRANSLATE(B4392,""id"",""en"")"),"['update', 'koq', 'difficult', 'opened', 'the application', '']")</f>
        <v>['update', 'koq', 'difficult', 'opened', 'the application', '']</v>
      </c>
      <c r="D4392" s="3">
        <v>1.0</v>
      </c>
    </row>
    <row r="4393" ht="15.75" customHeight="1">
      <c r="A4393" s="1">
        <v>4682.0</v>
      </c>
      <c r="B4393" s="3" t="s">
        <v>4246</v>
      </c>
      <c r="C4393" s="3" t="str">
        <f>IFERROR(__xludf.DUMMYFUNCTION("GOOGLETRANSLATE(B4393,""id"",""en"")"),"['The price', 'Dinaikin', 'Strength', 'Sousal', 'Dinurunin']")</f>
        <v>['The price', 'Dinaikin', 'Strength', 'Sousal', 'Dinurunin']</v>
      </c>
      <c r="D4393" s="3">
        <v>1.0</v>
      </c>
    </row>
    <row r="4394" ht="15.75" customHeight="1">
      <c r="A4394" s="1">
        <v>4683.0</v>
      </c>
      <c r="B4394" s="3" t="s">
        <v>4247</v>
      </c>
      <c r="C4394" s="3" t="str">
        <f>IFERROR(__xludf.DUMMYFUNCTION("GOOGLETRANSLATE(B4394,""id"",""en"")"),"['knp', 'package', 'internet', 'jdi', 'expensive', 'pdhl', 'cheap']")</f>
        <v>['knp', 'package', 'internet', 'jdi', 'expensive', 'pdhl', 'cheap']</v>
      </c>
      <c r="D4394" s="3">
        <v>2.0</v>
      </c>
    </row>
    <row r="4395" ht="15.75" customHeight="1">
      <c r="A4395" s="1">
        <v>4684.0</v>
      </c>
      <c r="B4395" s="3" t="s">
        <v>4248</v>
      </c>
      <c r="C4395" s="3" t="str">
        <f>IFERROR(__xludf.DUMMYFUNCTION("GOOGLETRANSLATE(B4395,""id"",""en"")"),"['Cheap', 'Increase', 'Quality', 'Kceptan', 'internet', 'bad']")</f>
        <v>['Cheap', 'Increase', 'Quality', 'Kceptan', 'internet', 'bad']</v>
      </c>
      <c r="D4395" s="3">
        <v>5.0</v>
      </c>
    </row>
    <row r="4396" ht="15.75" customHeight="1">
      <c r="A4396" s="1">
        <v>4685.0</v>
      </c>
      <c r="B4396" s="3" t="s">
        <v>4249</v>
      </c>
      <c r="C4396" s="3" t="str">
        <f>IFERROR(__xludf.DUMMYFUNCTION("GOOGLETRANSLATE(B4396,""id"",""en"")"),"['package', 'internet', 'expensive', 'signal', 'internet', 'different', 'package', 'different', 'class',' expensive ',' kouta ',' good ',' network ',' internet ',' price ',' package ',' internet ',' distinguish ',' quality ',' network ',' internet ',' aut"&amp;"o ',' replace ',' provider ', ""]")</f>
        <v>['package', 'internet', 'expensive', 'signal', 'internet', 'different', 'package', 'different', 'class',' expensive ',' kouta ',' good ',' network ',' internet ',' price ',' package ',' internet ',' distinguish ',' quality ',' network ',' internet ',' auto ',' replace ',' provider ', "]</v>
      </c>
      <c r="D4396" s="3">
        <v>1.0</v>
      </c>
    </row>
    <row r="4397" ht="15.75" customHeight="1">
      <c r="A4397" s="1">
        <v>4686.0</v>
      </c>
      <c r="B4397" s="3" t="s">
        <v>4250</v>
      </c>
      <c r="C4397" s="3" t="str">
        <f>IFERROR(__xludf.DUMMYFUNCTION("GOOGLETRANSLATE(B4397,""id"",""en"")"),"['crazy', 'APK', 'opened', 'ngeblank', 'color', 'white', 'fix', 'cave', 'love', 'star']")</f>
        <v>['crazy', 'APK', 'opened', 'ngeblank', 'color', 'white', 'fix', 'cave', 'love', 'star']</v>
      </c>
      <c r="D4397" s="3">
        <v>1.0</v>
      </c>
    </row>
    <row r="4398" ht="15.75" customHeight="1">
      <c r="A4398" s="1">
        <v>4687.0</v>
      </c>
      <c r="B4398" s="3" t="s">
        <v>4251</v>
      </c>
      <c r="C4398" s="3" t="str">
        <f>IFERROR(__xludf.DUMMYFUNCTION("GOOGLETRANSLATE(B4398,""id"",""en"")"),"['User', 'JDI', 'Understand', 'Tenthan', 'Telkomsel']")</f>
        <v>['User', 'JDI', 'Understand', 'Tenthan', 'Telkomsel']</v>
      </c>
      <c r="D4398" s="3">
        <v>5.0</v>
      </c>
    </row>
    <row r="4399" ht="15.75" customHeight="1">
      <c r="A4399" s="1">
        <v>4688.0</v>
      </c>
      <c r="B4399" s="3" t="s">
        <v>4252</v>
      </c>
      <c r="C4399" s="3" t="str">
        <f>IFERROR(__xludf.DUMMYFUNCTION("GOOGLETRANSLATE(B4399,""id"",""en"")"),"['Okekali', 'mantul', 'application']")</f>
        <v>['Okekali', 'mantul', 'application']</v>
      </c>
      <c r="D4399" s="3">
        <v>5.0</v>
      </c>
    </row>
    <row r="4400" ht="15.75" customHeight="1">
      <c r="A4400" s="1">
        <v>4689.0</v>
      </c>
      <c r="B4400" s="3" t="s">
        <v>4253</v>
      </c>
      <c r="C4400" s="3" t="str">
        <f>IFERROR(__xludf.DUMMYFUNCTION("GOOGLETRANSLATE(B4400,""id"",""en"")"),"['package', 'gemsmax', 'buy', 'pulse', 'keuang']")</f>
        <v>['package', 'gemsmax', 'buy', 'pulse', 'keuang']</v>
      </c>
      <c r="D4400" s="3">
        <v>3.0</v>
      </c>
    </row>
    <row r="4401" ht="15.75" customHeight="1">
      <c r="A4401" s="1">
        <v>4690.0</v>
      </c>
      <c r="B4401" s="3" t="s">
        <v>4254</v>
      </c>
      <c r="C4401" s="3" t="str">
        <f>IFERROR(__xludf.DUMMYFUNCTION("GOOGLETRANSLATE(B4401,""id"",""en"")"),"['Open', 'The application', 'Please', 'Help']")</f>
        <v>['Open', 'The application', 'Please', 'Help']</v>
      </c>
      <c r="D4401" s="3">
        <v>3.0</v>
      </c>
    </row>
    <row r="4402" ht="15.75" customHeight="1">
      <c r="A4402" s="1">
        <v>4691.0</v>
      </c>
      <c r="B4402" s="3" t="s">
        <v>4255</v>
      </c>
      <c r="C4402" s="3" t="str">
        <f>IFERROR(__xludf.DUMMYFUNCTION("GOOGLETRANSLATE(B4402,""id"",""en"")"),"['Application', 'Ngeblank', 'Open', 'Application', 'Telkomsel']")</f>
        <v>['Application', 'Ngeblank', 'Open', 'Application', 'Telkomsel']</v>
      </c>
      <c r="D4402" s="3">
        <v>1.0</v>
      </c>
    </row>
    <row r="4403" ht="15.75" customHeight="1">
      <c r="A4403" s="1">
        <v>4692.0</v>
      </c>
      <c r="B4403" s="3" t="s">
        <v>4256</v>
      </c>
      <c r="C4403" s="3" t="str">
        <f>IFERROR(__xludf.DUMMYFUNCTION("GOOGLETRANSLATE(B4403,""id"",""en"")"),"['Application', 'Cool', 'really']")</f>
        <v>['Application', 'Cool', 'really']</v>
      </c>
      <c r="D4403" s="3">
        <v>5.0</v>
      </c>
    </row>
    <row r="4404" ht="15.75" customHeight="1">
      <c r="A4404" s="1">
        <v>4693.0</v>
      </c>
      <c r="B4404" s="3" t="s">
        <v>4257</v>
      </c>
      <c r="C4404" s="3" t="str">
        <f>IFERROR(__xludf.DUMMYFUNCTION("GOOGLETRANSLATE(B4404,""id"",""en"")"),"['APO', 'Berman', 'faat', ""]")</f>
        <v>['APO', 'Berman', 'faat', "]</v>
      </c>
      <c r="D4404" s="3">
        <v>5.0</v>
      </c>
    </row>
    <row r="4405" ht="15.75" customHeight="1">
      <c r="A4405" s="1">
        <v>4694.0</v>
      </c>
      <c r="B4405" s="3" t="s">
        <v>4258</v>
      </c>
      <c r="C4405" s="3" t="str">
        <f>IFERROR(__xludf.DUMMYFUNCTION("GOOGLETRANSLATE(B4405,""id"",""en"")"),"['Good', 'get', 'gift']")</f>
        <v>['Good', 'get', 'gift']</v>
      </c>
      <c r="D4405" s="3">
        <v>5.0</v>
      </c>
    </row>
    <row r="4406" ht="15.75" customHeight="1">
      <c r="A4406" s="1">
        <v>4695.0</v>
      </c>
      <c r="B4406" s="3" t="s">
        <v>4259</v>
      </c>
      <c r="C4406" s="3" t="str">
        <f>IFERROR(__xludf.DUMMYFUNCTION("GOOGLETRANSLATE(B4406,""id"",""en"")"),"['Price', 'expensive', 'signal', 'ngilance', 'ngilani', 'quality', 'beg', 'fix']")</f>
        <v>['Price', 'expensive', 'signal', 'ngilance', 'ngilani', 'quality', 'beg', 'fix']</v>
      </c>
      <c r="D4406" s="3">
        <v>3.0</v>
      </c>
    </row>
    <row r="4407" ht="15.75" customHeight="1">
      <c r="A4407" s="1">
        <v>4696.0</v>
      </c>
      <c r="B4407" s="3" t="s">
        <v>4260</v>
      </c>
      <c r="C4407" s="3" t="str">
        <f>IFERROR(__xludf.DUMMYFUNCTION("GOOGLETRANSLATE(B4407,""id"",""en"")"),"['APK', 'Playstore', 'difficult', 'opened', 'forced', 'Download', 'Link', 'APK', 'Playstore', '']")</f>
        <v>['APK', 'Playstore', 'difficult', 'opened', 'forced', 'Download', 'Link', 'APK', 'Playstore', '']</v>
      </c>
      <c r="D4407" s="3">
        <v>2.0</v>
      </c>
    </row>
    <row r="4408" ht="15.75" customHeight="1">
      <c r="A4408" s="1">
        <v>4697.0</v>
      </c>
      <c r="B4408" s="3" t="s">
        <v>4261</v>
      </c>
      <c r="C4408" s="3" t="str">
        <f>IFERROR(__xludf.DUMMYFUNCTION("GOOGLETRANSLATE(B4408,""id"",""en"")"),"['package', 'internet', 'unlimited', 'cheap', 'please', 'held']")</f>
        <v>['package', 'internet', 'unlimited', 'cheap', 'please', 'held']</v>
      </c>
      <c r="D4408" s="3">
        <v>5.0</v>
      </c>
    </row>
    <row r="4409" ht="15.75" customHeight="1">
      <c r="A4409" s="1">
        <v>4698.0</v>
      </c>
      <c r="B4409" s="3" t="s">
        <v>4262</v>
      </c>
      <c r="C4409" s="3" t="str">
        <f>IFERROR(__xludf.DUMMYFUNCTION("GOOGLETRANSLATE(B4409,""id"",""en"")"),"['Switch', 'Points', 'Internet']")</f>
        <v>['Switch', 'Points', 'Internet']</v>
      </c>
      <c r="D4409" s="3">
        <v>1.0</v>
      </c>
    </row>
    <row r="4410" ht="15.75" customHeight="1">
      <c r="A4410" s="1">
        <v>4699.0</v>
      </c>
      <c r="B4410" s="3" t="s">
        <v>4263</v>
      </c>
      <c r="C4410" s="3" t="str">
        <f>IFERROR(__xludf.DUMMYFUNCTION("GOOGLETRANSLATE(B4410,""id"",""en"")"),"['Alhamdulillah', 'easy']")</f>
        <v>['Alhamdulillah', 'easy']</v>
      </c>
      <c r="D4410" s="3">
        <v>4.0</v>
      </c>
    </row>
    <row r="4411" ht="15.75" customHeight="1">
      <c r="A4411" s="1">
        <v>4700.0</v>
      </c>
      <c r="B4411" s="3" t="s">
        <v>4264</v>
      </c>
      <c r="C4411" s="3" t="str">
        <f>IFERROR(__xludf.DUMMYFUNCTION("GOOGLETRANSLATE(B4411,""id"",""en"")"),"['MyTelkomsel', 'open', 'Ngehank', 'knapa', ""]")</f>
        <v>['MyTelkomsel', 'open', 'Ngehank', 'knapa', "]</v>
      </c>
      <c r="D4411" s="3">
        <v>1.0</v>
      </c>
    </row>
    <row r="4412" ht="15.75" customHeight="1">
      <c r="A4412" s="1">
        <v>4701.0</v>
      </c>
      <c r="B4412" s="3" t="s">
        <v>4265</v>
      </c>
      <c r="C4412" s="3" t="str">
        <f>IFERROR(__xludf.DUMMYFUNCTION("GOOGLETRANSLATE(B4412,""id"",""en"")"),"['Telkomsel', 'Gini', 'Data', 'Internet', 'Credit', 'Cut', 'Please', 'Beat', 'Keut "",' let stand ',' Loss ',' Please ',' repair', '']")</f>
        <v>['Telkomsel', 'Gini', 'Data', 'Internet', 'Credit', 'Cut', 'Please', 'Beat', 'Keut ",' let stand ',' Loss ',' Please ',' repair', '']</v>
      </c>
      <c r="D4412" s="3">
        <v>1.0</v>
      </c>
    </row>
    <row r="4413" ht="15.75" customHeight="1">
      <c r="A4413" s="1">
        <v>4702.0</v>
      </c>
      <c r="B4413" s="3" t="s">
        <v>4266</v>
      </c>
      <c r="C4413" s="3" t="str">
        <f>IFERROR(__xludf.DUMMYFUNCTION("GOOGLETRANSLATE(B4413,""id"",""en"")"),"['Telkomsel', 'signal', 'JLK', 'Fix', 'BLI', 'Kouta', 'Money', 'Anjirrrr']")</f>
        <v>['Telkomsel', 'signal', 'JLK', 'Fix', 'BLI', 'Kouta', 'Money', 'Anjirrrr']</v>
      </c>
      <c r="D4413" s="3">
        <v>1.0</v>
      </c>
    </row>
    <row r="4414" ht="15.75" customHeight="1">
      <c r="A4414" s="1">
        <v>4703.0</v>
      </c>
      <c r="B4414" s="3" t="s">
        <v>4267</v>
      </c>
      <c r="C4414" s="3" t="str">
        <f>IFERROR(__xludf.DUMMYFUNCTION("GOOGLETRANSLATE(B4414,""id"",""en"")"),"['hope', 'quota', 'cheap', 'really']")</f>
        <v>['hope', 'quota', 'cheap', 'really']</v>
      </c>
      <c r="D4414" s="3">
        <v>5.0</v>
      </c>
    </row>
    <row r="4415" ht="15.75" customHeight="1">
      <c r="A4415" s="1">
        <v>4704.0</v>
      </c>
      <c r="B4415" s="3" t="s">
        <v>4268</v>
      </c>
      <c r="C4415" s="3" t="str">
        <f>IFERROR(__xludf.DUMMYFUNCTION("GOOGLETRANSLATE(B4415,""id"",""en"")"),"['easy', 'choice', 'package', 'expensive', '']")</f>
        <v>['easy', 'choice', 'package', 'expensive', '']</v>
      </c>
      <c r="D4415" s="3">
        <v>5.0</v>
      </c>
    </row>
    <row r="4416" ht="15.75" customHeight="1">
      <c r="A4416" s="1">
        <v>4705.0</v>
      </c>
      <c r="B4416" s="3" t="s">
        <v>4269</v>
      </c>
      <c r="C4416" s="3" t="str">
        <f>IFERROR(__xludf.DUMMYFUNCTION("GOOGLETRANSLATE(B4416,""id"",""en"")"),"['Telkomsel', 'satisfying']")</f>
        <v>['Telkomsel', 'satisfying']</v>
      </c>
      <c r="D4416" s="3">
        <v>5.0</v>
      </c>
    </row>
    <row r="4417" ht="15.75" customHeight="1">
      <c r="A4417" s="1">
        <v>4706.0</v>
      </c>
      <c r="B4417" s="3" t="s">
        <v>4270</v>
      </c>
      <c r="C4417" s="3" t="str">
        <f>IFERROR(__xludf.DUMMYFUNCTION("GOOGLETRANSLATE(B4417,""id"",""en"")"),"['Good', 'KLI', 'application', 'like']")</f>
        <v>['Good', 'KLI', 'application', 'like']</v>
      </c>
      <c r="D4417" s="3">
        <v>5.0</v>
      </c>
    </row>
    <row r="4418" ht="15.75" customHeight="1">
      <c r="A4418" s="1">
        <v>4707.0</v>
      </c>
      <c r="B4418" s="3" t="s">
        <v>4271</v>
      </c>
      <c r="C4418" s="3" t="str">
        <f>IFERROR(__xludf.DUMMYFUNCTION("GOOGLETRANSLATE(B4418,""id"",""en"")"),"['Please', 'Telkomsel', 'Package', 'LIVE']")</f>
        <v>['Please', 'Telkomsel', 'Package', 'LIVE']</v>
      </c>
      <c r="D4418" s="3">
        <v>1.0</v>
      </c>
    </row>
    <row r="4419" ht="15.75" customHeight="1">
      <c r="A4419" s="1">
        <v>4708.0</v>
      </c>
      <c r="B4419" s="3" t="s">
        <v>4272</v>
      </c>
      <c r="C4419" s="3" t="str">
        <f>IFERROR(__xludf.DUMMYFUNCTION("GOOGLETRANSLATE(B4419,""id"",""en"")"),"['Loading', 'tralalu']")</f>
        <v>['Loading', 'tralalu']</v>
      </c>
      <c r="D4419" s="3">
        <v>3.0</v>
      </c>
    </row>
    <row r="4420" ht="15.75" customHeight="1">
      <c r="A4420" s="1">
        <v>4709.0</v>
      </c>
      <c r="B4420" s="3" t="s">
        <v>4273</v>
      </c>
      <c r="C4420" s="3" t="str">
        <f>IFERROR(__xludf.DUMMYFUNCTION("GOOGLETRANSLATE(B4420,""id"",""en"")"),"['updated', 'application', 'No.', 'opened', 'Try', 'times', 'opened', 'updated', 'NOT', 'Threat', 'disappointing', '']")</f>
        <v>['updated', 'application', 'No.', 'opened', 'Try', 'times', 'opened', 'updated', 'NOT', 'Threat', 'disappointing', '']</v>
      </c>
      <c r="D4420" s="3">
        <v>1.0</v>
      </c>
    </row>
    <row r="4421" ht="15.75" customHeight="1">
      <c r="A4421" s="1">
        <v>4711.0</v>
      </c>
      <c r="B4421" s="3" t="s">
        <v>4274</v>
      </c>
      <c r="C4421" s="3" t="str">
        <f>IFERROR(__xludf.DUMMYFUNCTION("GOOGLETRANSLATE(B4421,""id"",""en"")"),"['Bagussss', 'Times', 'bah']")</f>
        <v>['Bagussss', 'Times', 'bah']</v>
      </c>
      <c r="D4421" s="3">
        <v>5.0</v>
      </c>
    </row>
    <row r="4422" ht="15.75" customHeight="1">
      <c r="A4422" s="1">
        <v>4713.0</v>
      </c>
      <c r="B4422" s="3" t="s">
        <v>4275</v>
      </c>
      <c r="C4422" s="3" t="str">
        <f>IFERROR(__xludf.DUMMYFUNCTION("GOOGLETRANSLATE(B4422,""id"",""en"")"),"['Easy', 'get', 'Lottery', 'Car', 'Tuker', 'Points', 'Karen', 'sister', 'child', 'card', 'Telkomsel', 'Aamin']")</f>
        <v>['Easy', 'get', 'Lottery', 'Car', 'Tuker', 'Points', 'Karen', 'sister', 'child', 'card', 'Telkomsel', 'Aamin']</v>
      </c>
      <c r="D4422" s="3">
        <v>5.0</v>
      </c>
    </row>
    <row r="4423" ht="15.75" customHeight="1">
      <c r="A4423" s="1">
        <v>4714.0</v>
      </c>
      <c r="B4423" s="3" t="s">
        <v>4276</v>
      </c>
      <c r="C4423" s="3" t="str">
        <f>IFERROR(__xludf.DUMMYFUNCTION("GOOGLETRANSLATE(B4423,""id"",""en"")"),"['', 'open', 'app', 'kanpa', 'sich']")</f>
        <v>['', 'open', 'app', 'kanpa', 'sich']</v>
      </c>
      <c r="D4423" s="3">
        <v>5.0</v>
      </c>
    </row>
    <row r="4424" ht="15.75" customHeight="1">
      <c r="A4424" s="1">
        <v>4715.0</v>
      </c>
      <c r="B4424" s="3" t="s">
        <v>4277</v>
      </c>
      <c r="C4424" s="3" t="str">
        <f>IFERROR(__xludf.DUMMYFUNCTION("GOOGLETRANSLATE(B4424,""id"",""en"")"),"['', 'BSA', 'Open', 'Disappointed', 'Useful', '']")</f>
        <v>['', 'BSA', 'Open', 'Disappointed', 'Useful', '']</v>
      </c>
      <c r="D4424" s="3">
        <v>1.0</v>
      </c>
    </row>
    <row r="4425" ht="15.75" customHeight="1">
      <c r="A4425" s="1">
        <v>4716.0</v>
      </c>
      <c r="B4425" s="3" t="s">
        <v>4278</v>
      </c>
      <c r="C4425" s="3" t="str">
        <f>IFERROR(__xludf.DUMMYFUNCTION("GOOGLETRANSLATE(B4425,""id"",""en"")"),"['The application', 'Cool', 'unique', 'promo', 'prize', ""]")</f>
        <v>['The application', 'Cool', 'unique', 'promo', 'prize', "]</v>
      </c>
      <c r="D4425" s="3">
        <v>5.0</v>
      </c>
    </row>
    <row r="4426" ht="15.75" customHeight="1">
      <c r="A4426" s="1">
        <v>4717.0</v>
      </c>
      <c r="B4426" s="3" t="s">
        <v>4279</v>
      </c>
      <c r="C4426" s="3" t="str">
        <f>IFERROR(__xludf.DUMMYFUNCTION("GOOGLETRANSLATE(B4426,""id"",""en"")"),"['Telkom', 'The', 'Best', 'expensive', 'network', 'kayak', 'network', 'next door', 'good', 'deh']")</f>
        <v>['Telkom', 'The', 'Best', 'expensive', 'network', 'kayak', 'network', 'next door', 'good', 'deh']</v>
      </c>
      <c r="D4426" s="3">
        <v>5.0</v>
      </c>
    </row>
    <row r="4427" ht="15.75" customHeight="1">
      <c r="A4427" s="1">
        <v>4718.0</v>
      </c>
      <c r="B4427" s="3" t="s">
        <v>4280</v>
      </c>
      <c r="C4427" s="3" t="str">
        <f>IFERROR(__xludf.DUMMYFUNCTION("GOOGLETRANSLATE(B4427,""id"",""en"")"),"['network', 'Telkomsel', 'special', 'area', 'Garut', 'bad', 'really', 'area', 'city', 'bad', 'home', 'city', ' The area ',' Speed ​​',' Internet ',' Nyampe ',' Mbps', 'Rich', 'Region', 'Garut']")</f>
        <v>['network', 'Telkomsel', 'special', 'area', 'Garut', 'bad', 'really', 'area', 'city', 'bad', 'home', 'city', ' The area ',' Speed ​​',' Internet ',' Nyampe ',' Mbps', 'Rich', 'Region', 'Garut']</v>
      </c>
      <c r="D4427" s="3">
        <v>4.0</v>
      </c>
    </row>
    <row r="4428" ht="15.75" customHeight="1">
      <c r="A4428" s="1">
        <v>4719.0</v>
      </c>
      <c r="B4428" s="3" t="s">
        <v>4281</v>
      </c>
      <c r="C4428" s="3" t="str">
        <f>IFERROR(__xludf.DUMMYFUNCTION("GOOGLETRANSLATE(B4428,""id"",""en"")"),"['Telkomsel', 'bonus', '']")</f>
        <v>['Telkomsel', 'bonus', '']</v>
      </c>
      <c r="D4428" s="3">
        <v>5.0</v>
      </c>
    </row>
    <row r="4429" ht="15.75" customHeight="1">
      <c r="A4429" s="1">
        <v>4720.0</v>
      </c>
      <c r="B4429" s="3" t="s">
        <v>4282</v>
      </c>
      <c r="C4429" s="3" t="str">
        <f>IFERROR(__xludf.DUMMYFUNCTION("GOOGLETRANSLATE(B4429,""id"",""en"")"),"['Release', 'Update', 'Latest', 'Version', 'Error', 'Android', '']")</f>
        <v>['Release', 'Update', 'Latest', 'Version', 'Error', 'Android', '']</v>
      </c>
      <c r="D4429" s="3">
        <v>3.0</v>
      </c>
    </row>
    <row r="4430" ht="15.75" customHeight="1">
      <c r="A4430" s="1">
        <v>4721.0</v>
      </c>
      <c r="B4430" s="3" t="s">
        <v>4283</v>
      </c>
      <c r="C4430" s="3" t="str">
        <f>IFERROR(__xludf.DUMMYFUNCTION("GOOGLETRANSLATE(B4430,""id"",""en"")"),"['Please', 'Fupnya', 'automatic', 'missing', 'purchase', 'package', '']")</f>
        <v>['Please', 'Fupnya', 'automatic', 'missing', 'purchase', 'package', '']</v>
      </c>
      <c r="D4430" s="3">
        <v>3.0</v>
      </c>
    </row>
    <row r="4431" ht="15.75" customHeight="1">
      <c r="A4431" s="1">
        <v>4722.0</v>
      </c>
      <c r="B4431" s="3" t="s">
        <v>4284</v>
      </c>
      <c r="C4431" s="3" t="str">
        <f>IFERROR(__xludf.DUMMYFUNCTION("GOOGLETRANSLATE(B4431,""id"",""en"")"),"['idiot', 'awk', 'play', 'MLA', 'dikasi', 'COD', 'high school', 'MCA', 'MNA', 'Have', 'Points',' application ',' bad']")</f>
        <v>['idiot', 'awk', 'play', 'MLA', 'dikasi', 'COD', 'high school', 'MCA', 'MNA', 'Have', 'Points',' application ',' bad']</v>
      </c>
      <c r="D4431" s="3">
        <v>1.0</v>
      </c>
    </row>
    <row r="4432" ht="15.75" customHeight="1">
      <c r="A4432" s="1">
        <v>4723.0</v>
      </c>
      <c r="B4432" s="3" t="s">
        <v>4285</v>
      </c>
      <c r="C4432" s="3" t="str">
        <f>IFERROR(__xludf.DUMMYFUNCTION("GOOGLETRANSLATE(B4432,""id"",""en"")"),"['mantaaap', 'useful', 'application', 'share', 'sustenance', '']")</f>
        <v>['mantaaap', 'useful', 'application', 'share', 'sustenance', '']</v>
      </c>
      <c r="D4432" s="3">
        <v>5.0</v>
      </c>
    </row>
    <row r="4433" ht="15.75" customHeight="1">
      <c r="A4433" s="1">
        <v>4724.0</v>
      </c>
      <c r="B4433" s="3" t="s">
        <v>4286</v>
      </c>
      <c r="C4433" s="3" t="str">
        <f>IFERROR(__xludf.DUMMYFUNCTION("GOOGLETRANSLATE(B4433,""id"",""en"")"),"['Kasi', 'solution', 'donk', 'min', 'my apk', 'open', 'udh', 'download', 'reset', 'kasi', 'suggestion', 'min', ' ']")</f>
        <v>['Kasi', 'solution', 'donk', 'min', 'my apk', 'open', 'udh', 'download', 'reset', 'kasi', 'suggestion', 'min', ' ']</v>
      </c>
      <c r="D4433" s="3">
        <v>1.0</v>
      </c>
    </row>
    <row r="4434" ht="15.75" customHeight="1">
      <c r="A4434" s="1">
        <v>4725.0</v>
      </c>
      <c r="B4434" s="3" t="s">
        <v>4287</v>
      </c>
      <c r="C4434" s="3" t="str">
        <f>IFERROR(__xludf.DUMMYFUNCTION("GOOGLETRANSLATE(B4434,""id"",""en"")"),"['Satisfied', 'Gays', 'Mantap']")</f>
        <v>['Satisfied', 'Gays', 'Mantap']</v>
      </c>
      <c r="D4434" s="3">
        <v>5.0</v>
      </c>
    </row>
    <row r="4435" ht="15.75" customHeight="1">
      <c r="A4435" s="1">
        <v>4726.0</v>
      </c>
      <c r="B4435" s="3" t="s">
        <v>4288</v>
      </c>
      <c r="C4435" s="3" t="str">
        <f>IFERROR(__xludf.DUMMYFUNCTION("GOOGLETRANSLATE(B4435,""id"",""en"")"),"['update', 'gabisa', 'open', 'application']")</f>
        <v>['update', 'gabisa', 'open', 'application']</v>
      </c>
      <c r="D4435" s="3">
        <v>1.0</v>
      </c>
    </row>
    <row r="4436" ht="15.75" customHeight="1">
      <c r="A4436" s="1">
        <v>4727.0</v>
      </c>
      <c r="B4436" s="3" t="s">
        <v>4289</v>
      </c>
      <c r="C4436" s="3" t="str">
        <f>IFERROR(__xludf.DUMMYFUNCTION("GOOGLETRANSLATE(B4436,""id"",""en"")"),"['Bangus', 'ALIH']")</f>
        <v>['Bangus', 'ALIH']</v>
      </c>
      <c r="D4436" s="3">
        <v>5.0</v>
      </c>
    </row>
    <row r="4437" ht="15.75" customHeight="1">
      <c r="A4437" s="1">
        <v>4728.0</v>
      </c>
      <c r="B4437" s="3" t="s">
        <v>1425</v>
      </c>
      <c r="C4437" s="3" t="str">
        <f>IFERROR(__xludf.DUMMYFUNCTION("GOOGLETRANSLATE(B4437,""id"",""en"")"),"['Help', 'application']")</f>
        <v>['Help', 'application']</v>
      </c>
      <c r="D4437" s="3">
        <v>5.0</v>
      </c>
    </row>
    <row r="4438" ht="15.75" customHeight="1">
      <c r="A4438" s="1">
        <v>4729.0</v>
      </c>
      <c r="B4438" s="3" t="s">
        <v>4290</v>
      </c>
      <c r="C4438" s="3" t="str">
        <f>IFERROR(__xludf.DUMMYFUNCTION("GOOGLETRANSLATE(B4438,""id"",""en"")"),"['Telkomsel', 'Network', 'stable', 'already', 'that's', 'expensive']")</f>
        <v>['Telkomsel', 'Network', 'stable', 'already', 'that's', 'expensive']</v>
      </c>
      <c r="D4438" s="3">
        <v>1.0</v>
      </c>
    </row>
    <row r="4439" ht="15.75" customHeight="1">
      <c r="A4439" s="1">
        <v>4730.0</v>
      </c>
      <c r="B4439" s="3" t="s">
        <v>4291</v>
      </c>
      <c r="C4439" s="3" t="str">
        <f>IFERROR(__xludf.DUMMYFUNCTION("GOOGLETRANSLATE(B4439,""id"",""en"")"),"['Napa', 'account', 'tekomselq', 'open', 'yesterday', 'Come here', 'ganguan', 'kah', 'telkomsel', 'please', 'telkomsel']")</f>
        <v>['Napa', 'account', 'tekomselq', 'open', 'yesterday', 'Come here', 'ganguan', 'kah', 'telkomsel', 'please', 'telkomsel']</v>
      </c>
      <c r="D4439" s="3">
        <v>1.0</v>
      </c>
    </row>
    <row r="4440" ht="15.75" customHeight="1">
      <c r="A4440" s="1">
        <v>4731.0</v>
      </c>
      <c r="B4440" s="3" t="s">
        <v>4292</v>
      </c>
      <c r="C4440" s="3" t="str">
        <f>IFERROR(__xludf.DUMMYFUNCTION("GOOGLETRANSLATE(B4440,""id"",""en"")"),"['Open', 'Application', 'MyTelkomsel']")</f>
        <v>['Open', 'Application', 'MyTelkomsel']</v>
      </c>
      <c r="D4440" s="3">
        <v>5.0</v>
      </c>
    </row>
    <row r="4441" ht="15.75" customHeight="1">
      <c r="A4441" s="1">
        <v>4732.0</v>
      </c>
      <c r="B4441" s="3" t="s">
        <v>4293</v>
      </c>
      <c r="C4441" s="3" t="str">
        <f>IFERROR(__xludf.DUMMYFUNCTION("GOOGLETRANSLATE(B4441,""id"",""en"")"),"['Apasilas', 'Gajelas', 'Bet', 'Main', 'Cringe', 'Severe', 'Telkomto']")</f>
        <v>['Apasilas', 'Gajelas', 'Bet', 'Main', 'Cringe', 'Severe', 'Telkomto']</v>
      </c>
      <c r="D4441" s="3">
        <v>1.0</v>
      </c>
    </row>
    <row r="4442" ht="15.75" customHeight="1">
      <c r="A4442" s="1">
        <v>4733.0</v>
      </c>
      <c r="B4442" s="3" t="s">
        <v>4294</v>
      </c>
      <c r="C4442" s="3" t="str">
        <f>IFERROR(__xludf.DUMMYFUNCTION("GOOGLETRANSLATE(B4442,""id"",""en"")"),"['Package', 'limited', 'deleted', '']")</f>
        <v>['Package', 'limited', 'deleted', '']</v>
      </c>
      <c r="D4442" s="3">
        <v>5.0</v>
      </c>
    </row>
    <row r="4443" ht="15.75" customHeight="1">
      <c r="A4443" s="1">
        <v>4735.0</v>
      </c>
      <c r="B4443" s="3" t="s">
        <v>4295</v>
      </c>
      <c r="C4443" s="3" t="str">
        <f>IFERROR(__xludf.DUMMYFUNCTION("GOOGLETRANSLATE(B4443,""id"",""en"")"),"['Application', 'Helpful', 'like', 'like']")</f>
        <v>['Application', 'Helpful', 'like', 'like']</v>
      </c>
      <c r="D4443" s="3">
        <v>5.0</v>
      </c>
    </row>
    <row r="4444" ht="15.75" customHeight="1">
      <c r="A4444" s="1">
        <v>4736.0</v>
      </c>
      <c r="B4444" s="3" t="s">
        <v>4296</v>
      </c>
      <c r="C4444" s="3" t="str">
        <f>IFERROR(__xludf.DUMMYFUNCTION("GOOGLETRANSLATE(B4444,""id"",""en"")"),"['Signal', 'Telkomsel', 'Good', '']")</f>
        <v>['Signal', 'Telkomsel', 'Good', '']</v>
      </c>
      <c r="D4444" s="3">
        <v>4.0</v>
      </c>
    </row>
    <row r="4445" ht="15.75" customHeight="1">
      <c r="A4445" s="1">
        <v>4737.0</v>
      </c>
      <c r="B4445" s="3" t="s">
        <v>4297</v>
      </c>
      <c r="C4445" s="3" t="str">
        <f>IFERROR(__xludf.DUMMYFUNCTION("GOOGLETRANSLATE(B4445,""id"",""en"")"),"['signal', 'ugly', 'slow', 'klau', 'gini', 'then', 'replace', 'card']")</f>
        <v>['signal', 'ugly', 'slow', 'klau', 'gini', 'then', 'replace', 'card']</v>
      </c>
      <c r="D4445" s="3">
        <v>2.0</v>
      </c>
    </row>
    <row r="4446" ht="15.75" customHeight="1">
      <c r="A4446" s="1">
        <v>4738.0</v>
      </c>
      <c r="B4446" s="3" t="s">
        <v>4298</v>
      </c>
      <c r="C4446" s="3" t="str">
        <f>IFERROR(__xludf.DUMMYFUNCTION("GOOGLETRANSLATE(B4446,""id"",""en"")"),"['quota', 'expensive', 'signal', 'rotten', 'anjeeennnkkk', '']")</f>
        <v>['quota', 'expensive', 'signal', 'rotten', 'anjeeennnkkk', '']</v>
      </c>
      <c r="D4446" s="3">
        <v>1.0</v>
      </c>
    </row>
    <row r="4447" ht="15.75" customHeight="1">
      <c r="A4447" s="1">
        <v>4739.0</v>
      </c>
      <c r="B4447" s="3" t="s">
        <v>4299</v>
      </c>
      <c r="C4447" s="3" t="str">
        <f>IFERROR(__xludf.DUMMYFUNCTION("GOOGLETRANSLATE(B4447,""id"",""en"")"),"['The application', 'Telkomsel', 'Not bad', 'hope', 'lucky', '']")</f>
        <v>['The application', 'Telkomsel', 'Not bad', 'hope', 'lucky', '']</v>
      </c>
      <c r="D4447" s="3">
        <v>3.0</v>
      </c>
    </row>
    <row r="4448" ht="15.75" customHeight="1">
      <c r="A4448" s="1">
        <v>4740.0</v>
      </c>
      <c r="B4448" s="3" t="s">
        <v>4300</v>
      </c>
      <c r="C4448" s="3" t="str">
        <f>IFERROR(__xludf.DUMMYFUNCTION("GOOGLETRANSLATE(B4448,""id"",""en"")"),"['Open', 'Telekomsel', 'Check', 'Quota', 'PKE', 'Quota', 'Quota', 'Out', 'Mending', 'Free']")</f>
        <v>['Open', 'Telekomsel', 'Check', 'Quota', 'PKE', 'Quota', 'Quota', 'Out', 'Mending', 'Free']</v>
      </c>
      <c r="D4448" s="3">
        <v>3.0</v>
      </c>
    </row>
    <row r="4449" ht="15.75" customHeight="1">
      <c r="A4449" s="1">
        <v>4741.0</v>
      </c>
      <c r="B4449" s="3" t="s">
        <v>4301</v>
      </c>
      <c r="C4449" s="3" t="str">
        <f>IFERROR(__xludf.DUMMYFUNCTION("GOOGLETRANSLATE(B4449,""id"",""en"")"),"['Price', 'Quota', 'Network', 'Trobe', 'Mulu', 'Quality', 'Improved', 'Price', 'Quota', 'Increases',' Hadeh ',' Severe ',' Moving ',' Haluan ',' Next to ',' Cheap ',' Quality ',' Network ',' LBH ',' Make ',' Provider ',' Customer ',' Disappointed ',' Telk"&amp;"omnyet ' , 'SKR', '']")</f>
        <v>['Price', 'Quota', 'Network', 'Trobe', 'Mulu', 'Quality', 'Improved', 'Price', 'Quota', 'Increases',' Hadeh ',' Severe ',' Moving ',' Haluan ',' Next to ',' Cheap ',' Quality ',' Network ',' LBH ',' Make ',' Provider ',' Customer ',' Disappointed ',' Telkomnyet ' , 'SKR', '']</v>
      </c>
      <c r="D4449" s="3">
        <v>1.0</v>
      </c>
    </row>
    <row r="4450" ht="15.75" customHeight="1">
      <c r="A4450" s="1">
        <v>4742.0</v>
      </c>
      <c r="B4450" s="3" t="s">
        <v>4302</v>
      </c>
      <c r="C4450" s="3" t="str">
        <f>IFERROR(__xludf.DUMMYFUNCTION("GOOGLETRANSLATE(B4450,""id"",""en"")"),"['Open', 'Severe', 'Telkomsel', 'Application', 'Gabisa', 'Open', 'Severe', 'Severe']")</f>
        <v>['Open', 'Severe', 'Telkomsel', 'Application', 'Gabisa', 'Open', 'Severe', 'Severe']</v>
      </c>
      <c r="D4450" s="3">
        <v>1.0</v>
      </c>
    </row>
    <row r="4451" ht="15.75" customHeight="1">
      <c r="A4451" s="1">
        <v>4743.0</v>
      </c>
      <c r="B4451" s="3" t="s">
        <v>4303</v>
      </c>
      <c r="C4451" s="3" t="str">
        <f>IFERROR(__xludf.DUMMYFUNCTION("GOOGLETRANSLATE(B4451,""id"",""en"")"),"['Price', 'Package', 'Unlimeted', 'Network', 'Sorry', 'Lost', 'Lost', 'Head', 'Stress',' Already ',' Price ',' Package ',' expensive ',' network ',' bins ',' network ',' obstacles ',' please ',' tell ',' through ',' because 'is like', 'users', 'Telkomsel'"&amp;", 'complaining' , 'network']")</f>
        <v>['Price', 'Package', 'Unlimeted', 'Network', 'Sorry', 'Lost', 'Lost', 'Head', 'Stress',' Already ',' Price ',' Package ',' expensive ',' network ',' bins ',' network ',' obstacles ',' please ',' tell ',' through ',' because 'is like', 'users', 'Telkomsel', 'complaining' , 'network']</v>
      </c>
      <c r="D4451" s="3">
        <v>1.0</v>
      </c>
    </row>
    <row r="4452" ht="15.75" customHeight="1">
      <c r="A4452" s="1">
        <v>4744.0</v>
      </c>
      <c r="B4452" s="3" t="s">
        <v>4304</v>
      </c>
      <c r="C4452" s="3" t="str">
        <f>IFERROR(__xludf.DUMMYFUNCTION("GOOGLETRANSLATE(B4452,""id"",""en"")"),"['Help', 'pandemic', 'covid', 'tks', 'Telkomsel', '']")</f>
        <v>['Help', 'pandemic', 'covid', 'tks', 'Telkomsel', '']</v>
      </c>
      <c r="D4452" s="3">
        <v>5.0</v>
      </c>
    </row>
    <row r="4453" ht="15.75" customHeight="1">
      <c r="A4453" s="1">
        <v>4745.0</v>
      </c>
      <c r="B4453" s="3" t="s">
        <v>4305</v>
      </c>
      <c r="C4453" s="3" t="str">
        <f>IFERROR(__xludf.DUMMYFUNCTION("GOOGLETRANSLATE(B4453,""id"",""en"")"),"['Thanks', 'ksih', 'Telkomsel']")</f>
        <v>['Thanks', 'ksih', 'Telkomsel']</v>
      </c>
      <c r="D4453" s="3">
        <v>5.0</v>
      </c>
    </row>
    <row r="4454" ht="15.75" customHeight="1">
      <c r="A4454" s="1">
        <v>4746.0</v>
      </c>
      <c r="B4454" s="3" t="s">
        <v>4306</v>
      </c>
      <c r="C4454" s="3" t="str">
        <f>IFERROR(__xludf.DUMMYFUNCTION("GOOGLETRANSLATE(B4454,""id"",""en"")"),"['heavy', 'try', '']")</f>
        <v>['heavy', 'try', '']</v>
      </c>
      <c r="D4454" s="3">
        <v>2.0</v>
      </c>
    </row>
    <row r="4455" ht="15.75" customHeight="1">
      <c r="A4455" s="1">
        <v>4747.0</v>
      </c>
      <c r="B4455" s="3" t="s">
        <v>4307</v>
      </c>
      <c r="C4455" s="3" t="str">
        <f>IFERROR(__xludf.DUMMYFUNCTION("GOOGLETRANSLATE(B4455,""id"",""en"")"),"['Help', 'bonus']")</f>
        <v>['Help', 'bonus']</v>
      </c>
      <c r="D4455" s="3">
        <v>4.0</v>
      </c>
    </row>
    <row r="4456" ht="15.75" customHeight="1">
      <c r="A4456" s="1">
        <v>4749.0</v>
      </c>
      <c r="B4456" s="3" t="s">
        <v>4308</v>
      </c>
      <c r="C4456" s="3" t="str">
        <f>IFERROR(__xludf.DUMMYFUNCTION("GOOGLETRANSLATE(B4456,""id"",""en"")"),"['like']")</f>
        <v>['like']</v>
      </c>
      <c r="D4456" s="3">
        <v>5.0</v>
      </c>
    </row>
    <row r="4457" ht="15.75" customHeight="1">
      <c r="A4457" s="1">
        <v>4750.0</v>
      </c>
      <c r="B4457" s="3" t="s">
        <v>4309</v>
      </c>
      <c r="C4457" s="3" t="str">
        <f>IFERROR(__xludf.DUMMYFUNCTION("GOOGLETRANSLATE(B4457,""id"",""en"")"),"['Nukerin']")</f>
        <v>['Nukerin']</v>
      </c>
      <c r="D4457" s="3">
        <v>1.0</v>
      </c>
    </row>
    <row r="4458" ht="15.75" customHeight="1">
      <c r="A4458" s="1">
        <v>4751.0</v>
      </c>
      <c r="B4458" s="3" t="s">
        <v>4310</v>
      </c>
      <c r="C4458" s="3" t="str">
        <f>IFERROR(__xludf.DUMMYFUNCTION("GOOGLETRANSLATE(B4458,""id"",""en"")"),"['ugly', 'garbage', 'network']")</f>
        <v>['ugly', 'garbage', 'network']</v>
      </c>
      <c r="D4458" s="3">
        <v>1.0</v>
      </c>
    </row>
    <row r="4459" ht="15.75" customHeight="1">
      <c r="A4459" s="1">
        <v>4752.0</v>
      </c>
      <c r="B4459" s="3" t="s">
        <v>4311</v>
      </c>
      <c r="C4459" s="3" t="str">
        <f>IFERROR(__xludf.DUMMYFUNCTION("GOOGLETRANSLATE(B4459,""id"",""en"")"),"['Wherever', 'use', 'Telkomsel', 'Safe', 'signal']")</f>
        <v>['Wherever', 'use', 'Telkomsel', 'Safe', 'signal']</v>
      </c>
      <c r="D4459" s="3">
        <v>5.0</v>
      </c>
    </row>
    <row r="4460" ht="15.75" customHeight="1">
      <c r="A4460" s="1">
        <v>4755.0</v>
      </c>
      <c r="B4460" s="3" t="s">
        <v>4312</v>
      </c>
      <c r="C4460" s="3" t="str">
        <f>IFERROR(__xludf.DUMMYFUNCTION("GOOGLETRANSLATE(B4460,""id"",""en"")"),"['application', 'already', 'good', 'satisfied', 'Telkomsel']")</f>
        <v>['application', 'already', 'good', 'satisfied', 'Telkomsel']</v>
      </c>
      <c r="D4460" s="3">
        <v>5.0</v>
      </c>
    </row>
    <row r="4461" ht="15.75" customHeight="1">
      <c r="A4461" s="1">
        <v>4756.0</v>
      </c>
      <c r="B4461" s="3" t="s">
        <v>4313</v>
      </c>
      <c r="C4461" s="3" t="str">
        <f>IFERROR(__xludf.DUMMYFUNCTION("GOOGLETRANSLATE(B4461,""id"",""en"")"),"['Network', 'internet', 'please', 'fix']")</f>
        <v>['Network', 'internet', 'please', 'fix']</v>
      </c>
      <c r="D4461" s="3">
        <v>3.0</v>
      </c>
    </row>
    <row r="4462" ht="15.75" customHeight="1">
      <c r="A4462" s="1">
        <v>4757.0</v>
      </c>
      <c r="B4462" s="3" t="s">
        <v>4314</v>
      </c>
      <c r="C4462" s="3" t="str">
        <f>IFERROR(__xludf.DUMMYFUNCTION("GOOGLETRANSLATE(B4462,""id"",""en"")"),"['stop', 'subscription', 'package', 'emergency', 'sudh', 'try', 'TPI', 'nil', 'harm', 'contents',' pulse ',' cut ',' Sya ',' debt ',' credit ',' emergency ',' please ',' solution ', ""]")</f>
        <v>['stop', 'subscription', 'package', 'emergency', 'sudh', 'try', 'TPI', 'nil', 'harm', 'contents',' pulse ',' cut ',' Sya ',' debt ',' credit ',' emergency ',' please ',' solution ', "]</v>
      </c>
      <c r="D4462" s="3">
        <v>1.0</v>
      </c>
    </row>
    <row r="4463" ht="15.75" customHeight="1">
      <c r="A4463" s="1">
        <v>4758.0</v>
      </c>
      <c r="B4463" s="3" t="s">
        <v>4315</v>
      </c>
      <c r="C4463" s="3" t="str">
        <f>IFERROR(__xludf.DUMMYFUNCTION("GOOGLETRANSLATE(B4463,""id"",""en"")"),"['Price', 'Data', 'expensive', '']")</f>
        <v>['Price', 'Data', 'expensive', '']</v>
      </c>
      <c r="D4463" s="3">
        <v>1.0</v>
      </c>
    </row>
    <row r="4464" ht="15.75" customHeight="1">
      <c r="A4464" s="1">
        <v>4759.0</v>
      </c>
      <c r="B4464" s="3" t="s">
        <v>4316</v>
      </c>
      <c r="C4464" s="3" t="str">
        <f>IFERROR(__xludf.DUMMYFUNCTION("GOOGLETRANSLATE(B4464,""id"",""en"")"),"['The application', 'help', 'users', 'Telkomsel', 'hope', 'in the future', 'solid']")</f>
        <v>['The application', 'help', 'users', 'Telkomsel', 'hope', 'in the future', 'solid']</v>
      </c>
      <c r="D4464" s="3">
        <v>5.0</v>
      </c>
    </row>
    <row r="4465" ht="15.75" customHeight="1">
      <c r="A4465" s="1">
        <v>4760.0</v>
      </c>
      <c r="B4465" s="3" t="s">
        <v>4317</v>
      </c>
      <c r="C4465" s="3" t="str">
        <f>IFERROR(__xludf.DUMMYFUNCTION("GOOGLETRANSLATE(B4465,""id"",""en"")"),"['Lemot', 'Application']")</f>
        <v>['Lemot', 'Application']</v>
      </c>
      <c r="D4465" s="3">
        <v>1.0</v>
      </c>
    </row>
    <row r="4466" ht="15.75" customHeight="1">
      <c r="A4466" s="1">
        <v>4761.0</v>
      </c>
      <c r="B4466" s="3" t="s">
        <v>4318</v>
      </c>
      <c r="C4466" s="3" t="str">
        <f>IFERROR(__xludf.DUMMYFUNCTION("GOOGLETRANSLATE(B4466,""id"",""en"")"),"['', 'Telkomsel', 'already', 'open']")</f>
        <v>['', 'Telkomsel', 'already', 'open']</v>
      </c>
      <c r="D4466" s="3">
        <v>5.0</v>
      </c>
    </row>
    <row r="4467" ht="15.75" customHeight="1">
      <c r="A4467" s="1">
        <v>4762.0</v>
      </c>
      <c r="B4467" s="3" t="s">
        <v>4319</v>
      </c>
      <c r="C4467" s="3" t="str">
        <f>IFERROR(__xludf.DUMMYFUNCTION("GOOGLETRANSLATE(B4467,""id"",""en"")"),"['The application', 'bad', 'opened', '']")</f>
        <v>['The application', 'bad', 'opened', '']</v>
      </c>
      <c r="D4467" s="3">
        <v>1.0</v>
      </c>
    </row>
    <row r="4468" ht="15.75" customHeight="1">
      <c r="A4468" s="1">
        <v>4763.0</v>
      </c>
      <c r="B4468" s="3" t="s">
        <v>4320</v>
      </c>
      <c r="C4468" s="3" t="str">
        <f>IFERROR(__xludf.DUMMYFUNCTION("GOOGLETRANSLATE(B4468,""id"",""en"")"),"['Mncoba']")</f>
        <v>['Mncoba']</v>
      </c>
      <c r="D4468" s="3">
        <v>5.0</v>
      </c>
    </row>
    <row r="4469" ht="15.75" customHeight="1">
      <c r="A4469" s="1">
        <v>4764.0</v>
      </c>
      <c r="B4469" s="3" t="s">
        <v>4321</v>
      </c>
      <c r="C4469" s="3" t="str">
        <f>IFERROR(__xludf.DUMMYFUNCTION("GOOGLETRANSLATE(B4469,""id"",""en"")"),"['', 'Region', 'Stay', 'Network', 'Good']")</f>
        <v>['', 'Region', 'Stay', 'Network', 'Good']</v>
      </c>
      <c r="D4469" s="3">
        <v>5.0</v>
      </c>
    </row>
    <row r="4470" ht="15.75" customHeight="1">
      <c r="A4470" s="1">
        <v>4765.0</v>
      </c>
      <c r="B4470" s="3" t="s">
        <v>4322</v>
      </c>
      <c r="C4470" s="3" t="str">
        <f>IFERROR(__xludf.DUMMYFUNCTION("GOOGLETRANSLATE(B4470,""id"",""en"")"),"['', 'entered', 'yesterday', 'yesterday', 'already', 'forced', 'stop', 'clear', 'cache', 'delete', 'data', 'uninstall', 'tetep ', 'can not', '']")</f>
        <v>['', 'entered', 'yesterday', 'yesterday', 'already', 'forced', 'stop', 'clear', 'cache', 'delete', 'data', 'uninstall', 'tetep ', 'can not', '']</v>
      </c>
      <c r="D4470" s="3">
        <v>5.0</v>
      </c>
    </row>
    <row r="4471" ht="15.75" customHeight="1">
      <c r="A4471" s="1">
        <v>4766.0</v>
      </c>
      <c r="B4471" s="3" t="s">
        <v>4323</v>
      </c>
      <c r="C4471" s="3" t="str">
        <f>IFERROR(__xludf.DUMMYFUNCTION("GOOGLETRANSLATE(B4471,""id"",""en"")"),"['Hopefully', 'Helpful', 'Download']")</f>
        <v>['Hopefully', 'Helpful', 'Download']</v>
      </c>
      <c r="D4471" s="3">
        <v>4.0</v>
      </c>
    </row>
    <row r="4472" ht="15.75" customHeight="1">
      <c r="A4472" s="1">
        <v>4767.0</v>
      </c>
      <c r="B4472" s="3" t="s">
        <v>4324</v>
      </c>
      <c r="C4472" s="3" t="str">
        <f>IFERROR(__xludf.DUMMYFUNCTION("GOOGLETRANSLATE(B4472,""id"",""en"")"),"['Noba', 'Open', '']")</f>
        <v>['Noba', 'Open', '']</v>
      </c>
      <c r="D4472" s="3">
        <v>1.0</v>
      </c>
    </row>
    <row r="4473" ht="15.75" customHeight="1">
      <c r="A4473" s="1">
        <v>4768.0</v>
      </c>
      <c r="B4473" s="3" t="s">
        <v>4325</v>
      </c>
      <c r="C4473" s="3" t="str">
        <f>IFERROR(__xludf.DUMMYFUNCTION("GOOGLETRANSLATE(B4473,""id"",""en"")"),"['Plit', 'pket', 'expensive', 'all']")</f>
        <v>['Plit', 'pket', 'expensive', 'all']</v>
      </c>
      <c r="D4473" s="3">
        <v>5.0</v>
      </c>
    </row>
    <row r="4474" ht="15.75" customHeight="1">
      <c r="A4474" s="1">
        <v>4769.0</v>
      </c>
      <c r="B4474" s="3" t="s">
        <v>4326</v>
      </c>
      <c r="C4474" s="3" t="str">
        <f>IFERROR(__xludf.DUMMYFUNCTION("GOOGLETRANSLATE(B4474,""id"",""en"")"),"['Open', 'Application', 'already', 'Wait', 'Open', 'Likea', 'APK', ""]")</f>
        <v>['Open', 'Application', 'already', 'Wait', 'Open', 'Likea', 'APK', "]</v>
      </c>
      <c r="D4474" s="3">
        <v>1.0</v>
      </c>
    </row>
    <row r="4475" ht="15.75" customHeight="1">
      <c r="A4475" s="1">
        <v>4770.0</v>
      </c>
      <c r="B4475" s="3" t="s">
        <v>4327</v>
      </c>
      <c r="C4475" s="3" t="str">
        <f>IFERROR(__xludf.DUMMYFUNCTION("GOOGLETRANSLATE(B4475,""id"",""en"")"),"['', 'skrang', 'network', 'Telkomsel', 'Nge', 'lag', 'really', 'smph', 'boong', 'buy', 'quota', 'network', 'nge ',' lag ',' really ',' before ',' mayan ',' right ',' buy ',' quota ',' big ',' nge ',' lag ',' severe ',' disappointed ', 'Liat', 'please', 'T"&amp;"elkomsel', 'Overcome']")</f>
        <v>['', 'skrang', 'network', 'Telkomsel', 'Nge', 'lag', 'really', 'smph', 'boong', 'buy', 'quota', 'network', 'nge ',' lag ',' really ',' before ',' mayan ',' right ',' buy ',' quota ',' big ',' nge ',' lag ',' severe ',' disappointed ', 'Liat', 'please', 'Telkomsel', 'Overcome']</v>
      </c>
      <c r="D4475" s="3">
        <v>1.0</v>
      </c>
    </row>
    <row r="4476" ht="15.75" customHeight="1">
      <c r="A4476" s="1">
        <v>4771.0</v>
      </c>
      <c r="B4476" s="3" t="s">
        <v>4328</v>
      </c>
      <c r="C4476" s="3" t="str">
        <f>IFERROR(__xludf.DUMMYFUNCTION("GOOGLETRANSLATE(B4476,""id"",""en"")"),"['purpose', 'package', 'extra', '']")</f>
        <v>['purpose', 'package', 'extra', '']</v>
      </c>
      <c r="D4476" s="3">
        <v>5.0</v>
      </c>
    </row>
    <row r="4477" ht="15.75" customHeight="1">
      <c r="A4477" s="1">
        <v>4772.0</v>
      </c>
      <c r="B4477" s="3" t="s">
        <v>4329</v>
      </c>
      <c r="C4477" s="3" t="str">
        <f>IFERROR(__xludf.DUMMYFUNCTION("GOOGLETRANSLATE(B4477,""id"",""en"")"),"['ugly', 'signal', 'stable', 'reach', 'broad', 'bad', '']")</f>
        <v>['ugly', 'signal', 'stable', 'reach', 'broad', 'bad', '']</v>
      </c>
      <c r="D4477" s="3">
        <v>1.0</v>
      </c>
    </row>
    <row r="4478" ht="15.75" customHeight="1">
      <c r="A4478" s="1">
        <v>4773.0</v>
      </c>
      <c r="B4478" s="3" t="s">
        <v>4330</v>
      </c>
      <c r="C4478" s="3" t="str">
        <f>IFERROR(__xludf.DUMMYFUNCTION("GOOGLETRANSLATE(B4478,""id"",""en"")"),"['Disappointed', 'Telkomsel', 'pulse', 'quota', 'internet', 'price', 'expensive', 'signal', 'network', 'slow', 'please', 'fix', ' signal ',' area ',' BEKASI ',' KARAWANG ',' Hopefully ',' fast ',' bankrupt ',' Telkomsel ', ""]")</f>
        <v>['Disappointed', 'Telkomsel', 'pulse', 'quota', 'internet', 'price', 'expensive', 'signal', 'network', 'slow', 'please', 'fix', ' signal ',' area ',' BEKASI ',' KARAWANG ',' Hopefully ',' fast ',' bankrupt ',' Telkomsel ', "]</v>
      </c>
      <c r="D4478" s="3">
        <v>1.0</v>
      </c>
    </row>
    <row r="4479" ht="15.75" customHeight="1">
      <c r="A4479" s="1">
        <v>4774.0</v>
      </c>
      <c r="B4479" s="3" t="s">
        <v>4331</v>
      </c>
      <c r="C4479" s="3" t="str">
        <f>IFERROR(__xludf.DUMMYFUNCTION("GOOGLETRANSLATE(B4479,""id"",""en"")"),"['Hopefully', 'Telkomsel', 'Best', 'Customer', 'Setia', 'Telkomsel', 'MyTelkomsel', 'Help', ""]")</f>
        <v>['Hopefully', 'Telkomsel', 'Best', 'Customer', 'Setia', 'Telkomsel', 'MyTelkomsel', 'Help', "]</v>
      </c>
      <c r="D4479" s="3">
        <v>5.0</v>
      </c>
    </row>
    <row r="4480" ht="15.75" customHeight="1">
      <c r="A4480" s="1">
        <v>4775.0</v>
      </c>
      <c r="B4480" s="3" t="s">
        <v>4332</v>
      </c>
      <c r="C4480" s="3" t="str">
        <f>IFERROR(__xludf.DUMMYFUNCTION("GOOGLETRANSLATE(B4480,""id"",""en"")"),"['White', 'Doank', 'Uninstall', 'Uninstall', 'then' Dowliad ',' Tetep ',' GTU ',' What's ',' Kirain ',' Support ',' Ampe ',' Download ',' reset ',' tetep ']")</f>
        <v>['White', 'Doank', 'Uninstall', 'Uninstall', 'then' Dowliad ',' Tetep ',' GTU ',' What's ',' Kirain ',' Support ',' Ampe ',' Download ',' reset ',' tetep ']</v>
      </c>
      <c r="D4480" s="3">
        <v>1.0</v>
      </c>
    </row>
    <row r="4481" ht="15.75" customHeight="1">
      <c r="A4481" s="1">
        <v>4776.0</v>
      </c>
      <c r="B4481" s="3" t="s">
        <v>4333</v>
      </c>
      <c r="C4481" s="3" t="str">
        <f>IFERROR(__xludf.DUMMYFUNCTION("GOOGLETRANSLATE(B4481,""id"",""en"")"),"['Alhmdulillah', 'Thank you', 'Telkomsel', 'Releases', 'Application', 'Useful', 'Customer', 'Telkom', ""]")</f>
        <v>['Alhmdulillah', 'Thank you', 'Telkomsel', 'Releases', 'Application', 'Useful', 'Customer', 'Telkom', "]</v>
      </c>
      <c r="D4481" s="3">
        <v>5.0</v>
      </c>
    </row>
    <row r="4482" ht="15.75" customHeight="1">
      <c r="A4482" s="1">
        <v>4777.0</v>
      </c>
      <c r="B4482" s="3" t="s">
        <v>4334</v>
      </c>
      <c r="C4482" s="3" t="str">
        <f>IFERROR(__xludf.DUMMYFUNCTION("GOOGLETRANSLATE(B4482,""id"",""en"")"),"['Darling', 'sa', 'opened']")</f>
        <v>['Darling', 'sa', 'opened']</v>
      </c>
      <c r="D4482" s="3">
        <v>4.0</v>
      </c>
    </row>
    <row r="4483" ht="15.75" customHeight="1">
      <c r="A4483" s="1">
        <v>4778.0</v>
      </c>
      <c r="B4483" s="3" t="s">
        <v>4335</v>
      </c>
      <c r="C4483" s="3" t="str">
        <f>IFERROR(__xludf.DUMMYFUNCTION("GOOGLETRANSLATE(B4483,""id"",""en"")"),"['already', 'renewal', 'open', 'the application']")</f>
        <v>['already', 'renewal', 'open', 'the application']</v>
      </c>
      <c r="D4483" s="3">
        <v>2.0</v>
      </c>
    </row>
    <row r="4484" ht="15.75" customHeight="1">
      <c r="A4484" s="1">
        <v>4779.0</v>
      </c>
      <c r="B4484" s="3" t="s">
        <v>4336</v>
      </c>
      <c r="C4484" s="3" t="str">
        <f>IFERROR(__xludf.DUMMYFUNCTION("GOOGLETRANSLATE(B4484,""id"",""en"")"),"['signal', 'good']")</f>
        <v>['signal', 'good']</v>
      </c>
      <c r="D4484" s="3">
        <v>3.0</v>
      </c>
    </row>
    <row r="4485" ht="15.75" customHeight="1">
      <c r="A4485" s="1">
        <v>4781.0</v>
      </c>
      <c r="B4485" s="3" t="s">
        <v>4337</v>
      </c>
      <c r="C4485" s="3" t="str">
        <f>IFERROR(__xludf.DUMMYFUNCTION("GOOGLETRANSLATE(B4485,""id"",""en"")"),"['', 'People', 'Exchange', 'Points', 'JDI', 'Package', 'Data', 'Busy', '']")</f>
        <v>['', 'People', 'Exchange', 'Points', 'JDI', 'Package', 'Data', 'Busy', '']</v>
      </c>
      <c r="D4485" s="3">
        <v>1.0</v>
      </c>
    </row>
    <row r="4486" ht="15.75" customHeight="1">
      <c r="A4486" s="1">
        <v>4782.0</v>
      </c>
      <c r="B4486" s="3" t="s">
        <v>4338</v>
      </c>
      <c r="C4486" s="3" t="str">
        <f>IFERROR(__xludf.DUMMYFUNCTION("GOOGLETRANSLATE(B4486,""id"",""en"")"),"['quota', 'miantimedia', 'no', 'see', 'loading', 'then', 'see', 'halah']")</f>
        <v>['quota', 'miantimedia', 'no', 'see', 'loading', 'then', 'see', 'halah']</v>
      </c>
      <c r="D4486" s="3">
        <v>1.0</v>
      </c>
    </row>
    <row r="4487" ht="15.75" customHeight="1">
      <c r="A4487" s="1">
        <v>4783.0</v>
      </c>
      <c r="B4487" s="3" t="s">
        <v>4339</v>
      </c>
      <c r="C4487" s="3" t="str">
        <f>IFERROR(__xludf.DUMMYFUNCTION("GOOGLETRANSLATE(B4487,""id"",""en"")"),"['Telkomsel', 'ugly', 'network', 'buy', 'package', 'Telkomsel', 'expensive', 'gapapa', 'reach', 'Telkomsel', 'emang', 'dlo', ' ugly ',' really ',' network ',' sometimes', 'tomorrow', 'network', 'business',' boss', 'network', 'influential', 'system', 'sale"&amp;"s',' diLINOnline ' , '']")</f>
        <v>['Telkomsel', 'ugly', 'network', 'buy', 'package', 'Telkomsel', 'expensive', 'gapapa', 'reach', 'Telkomsel', 'emang', 'dlo', ' ugly ',' really ',' network ',' sometimes', 'tomorrow', 'network', 'business',' boss', 'network', 'influential', 'system', 'sales',' diLINOnline ' , '']</v>
      </c>
      <c r="D4487" s="3">
        <v>1.0</v>
      </c>
    </row>
    <row r="4488" ht="15.75" customHeight="1">
      <c r="A4488" s="1">
        <v>4784.0</v>
      </c>
      <c r="B4488" s="3" t="s">
        <v>4340</v>
      </c>
      <c r="C4488" s="3" t="str">
        <f>IFERROR(__xludf.DUMMYFUNCTION("GOOGLETRANSLATE(B4488,""id"",""en"")"),"['', 'update', 'difficult', 'open', 'weak']")</f>
        <v>['', 'update', 'difficult', 'open', 'weak']</v>
      </c>
      <c r="D4488" s="3">
        <v>2.0</v>
      </c>
    </row>
    <row r="4489" ht="15.75" customHeight="1">
      <c r="A4489" s="1">
        <v>4785.0</v>
      </c>
      <c r="B4489" s="3" t="s">
        <v>4341</v>
      </c>
      <c r="C4489" s="3" t="str">
        <f>IFERROR(__xludf.DUMMYFUNCTION("GOOGLETRANSLATE(B4489,""id"",""en"")"),"['As if', 'lag', 'raises', 'discomfort', 'users', 'Telkomsel']")</f>
        <v>['As if', 'lag', 'raises', 'discomfort', 'users', 'Telkomsel']</v>
      </c>
      <c r="D4489" s="3">
        <v>1.0</v>
      </c>
    </row>
    <row r="4490" ht="15.75" customHeight="1">
      <c r="A4490" s="1">
        <v>4786.0</v>
      </c>
      <c r="B4490" s="3" t="s">
        <v>4342</v>
      </c>
      <c r="C4490" s="3" t="str">
        <f>IFERROR(__xludf.DUMMYFUNCTION("GOOGLETRANSLATE(B4490,""id"",""en"")"),"['update', 'application', 'mulu', 'network', 'lost', 'slow', 'package', 'expensive', 'quality', 'network', 'different', 'make', ' Make ',' slow ',' move ',' Ajalah ', ""]")</f>
        <v>['update', 'application', 'mulu', 'network', 'lost', 'slow', 'package', 'expensive', 'quality', 'network', 'different', 'make', ' Make ',' slow ',' move ',' Ajalah ', "]</v>
      </c>
      <c r="D4490" s="3">
        <v>1.0</v>
      </c>
    </row>
    <row r="4491" ht="15.75" customHeight="1">
      <c r="A4491" s="1">
        <v>4787.0</v>
      </c>
      <c r="B4491" s="3" t="s">
        <v>4343</v>
      </c>
      <c r="C4491" s="3" t="str">
        <f>IFERROR(__xludf.DUMMYFUNCTION("GOOGLETRANSLATE(B4491,""id"",""en"")"),"['garbage', 'network', 'jammed', ""]")</f>
        <v>['garbage', 'network', 'jammed', "]</v>
      </c>
      <c r="D4491" s="3">
        <v>1.0</v>
      </c>
    </row>
    <row r="4492" ht="15.75" customHeight="1">
      <c r="A4492" s="1">
        <v>4788.0</v>
      </c>
      <c r="B4492" s="3" t="s">
        <v>4344</v>
      </c>
      <c r="C4492" s="3" t="str">
        <f>IFERROR(__xludf.DUMMYFUNCTION("GOOGLETRANSLATE(B4492,""id"",""en"")"),"['need', 'stability', 'network', 'speed', 'network', 'professional']")</f>
        <v>['need', 'stability', 'network', 'speed', 'network', 'professional']</v>
      </c>
      <c r="D4492" s="3">
        <v>1.0</v>
      </c>
    </row>
    <row r="4493" ht="15.75" customHeight="1">
      <c r="A4493" s="1">
        <v>4789.0</v>
      </c>
      <c r="B4493" s="3" t="s">
        <v>4345</v>
      </c>
      <c r="C4493" s="3" t="str">
        <f>IFERROR(__xludf.DUMMYFUNCTION("GOOGLETRANSLATE(B4493,""id"",""en"")"),"['Please', 'Good', 'Network', 'Boss']")</f>
        <v>['Please', 'Good', 'Network', 'Boss']</v>
      </c>
      <c r="D4493" s="3">
        <v>5.0</v>
      </c>
    </row>
    <row r="4494" ht="15.75" customHeight="1">
      <c r="A4494" s="1">
        <v>4790.0</v>
      </c>
      <c r="B4494" s="3" t="s">
        <v>4346</v>
      </c>
      <c r="C4494" s="3" t="str">
        <f>IFERROR(__xludf.DUMMYFUNCTION("GOOGLETRANSLATE(B4494,""id"",""en"")"),"['Increases', 'Service', '']")</f>
        <v>['Increases', 'Service', '']</v>
      </c>
      <c r="D4494" s="3">
        <v>5.0</v>
      </c>
    </row>
    <row r="4495" ht="15.75" customHeight="1">
      <c r="A4495" s="1">
        <v>4791.0</v>
      </c>
      <c r="B4495" s="3" t="s">
        <v>4347</v>
      </c>
      <c r="C4495" s="3" t="str">
        <f>IFERROR(__xludf.DUMMYFUNCTION("GOOGLETRANSLATE(B4495,""id"",""en"")"),"['Increase', 'signal', 'Tower', 'BTS', 'Region', 'TKS']")</f>
        <v>['Increase', 'signal', 'Tower', 'BTS', 'Region', 'TKS']</v>
      </c>
      <c r="D4495" s="3">
        <v>5.0</v>
      </c>
    </row>
    <row r="4496" ht="15.75" customHeight="1">
      <c r="A4496" s="1">
        <v>4792.0</v>
      </c>
      <c r="B4496" s="3" t="s">
        <v>4348</v>
      </c>
      <c r="C4496" s="3" t="str">
        <f>IFERROR(__xludf.DUMMYFUNCTION("GOOGLETRANSLATE(B4496,""id"",""en"")"),"['Anyway', 'steady', 'pisan', 'euy', ""]")</f>
        <v>['Anyway', 'steady', 'pisan', 'euy', "]</v>
      </c>
      <c r="D4496" s="3">
        <v>5.0</v>
      </c>
    </row>
    <row r="4497" ht="15.75" customHeight="1">
      <c r="A4497" s="1">
        <v>4793.0</v>
      </c>
      <c r="B4497" s="3" t="s">
        <v>4349</v>
      </c>
      <c r="C4497" s="3" t="str">
        <f>IFERROR(__xludf.DUMMYFUNCTION("GOOGLETRANSLATE(B4497,""id"",""en"")"),"['Price', 'Package', 'Change']")</f>
        <v>['Price', 'Package', 'Change']</v>
      </c>
      <c r="D4497" s="3">
        <v>1.0</v>
      </c>
    </row>
    <row r="4498" ht="15.75" customHeight="1">
      <c r="A4498" s="1">
        <v>4794.0</v>
      </c>
      <c r="B4498" s="3" t="s">
        <v>4350</v>
      </c>
      <c r="C4498" s="3" t="str">
        <f>IFERROR(__xludf.DUMMYFUNCTION("GOOGLETRANSLATE(B4498,""id"",""en"")"),"['happy', 'application', 'Telkomsel']")</f>
        <v>['happy', 'application', 'Telkomsel']</v>
      </c>
      <c r="D4498" s="3">
        <v>5.0</v>
      </c>
    </row>
    <row r="4499" ht="15.75" customHeight="1">
      <c r="A4499" s="1">
        <v>4795.0</v>
      </c>
      <c r="B4499" s="3" t="s">
        <v>4351</v>
      </c>
      <c r="C4499" s="3" t="str">
        <f>IFERROR(__xludf.DUMMYFUNCTION("GOOGLETRANSLATE(B4499,""id"",""en"")"),"['The application', 'blank', 'white', 'plain']")</f>
        <v>['The application', 'blank', 'white', 'plain']</v>
      </c>
      <c r="D4499" s="3">
        <v>3.0</v>
      </c>
    </row>
    <row r="4500" ht="15.75" customHeight="1">
      <c r="A4500" s="1">
        <v>4796.0</v>
      </c>
      <c r="B4500" s="3" t="s">
        <v>4352</v>
      </c>
      <c r="C4500" s="3" t="str">
        <f>IFERROR(__xludf.DUMMYFUNCTION("GOOGLETRANSLATE(B4500,""id"",""en"")"),"['updete', 'opened', 'blank', 'netting', 'stable', 'complain', 'email', 'massenger', 'responded']")</f>
        <v>['updete', 'opened', 'blank', 'netting', 'stable', 'complain', 'email', 'massenger', 'responded']</v>
      </c>
      <c r="D4500" s="3">
        <v>1.0</v>
      </c>
    </row>
    <row r="4501" ht="15.75" customHeight="1">
      <c r="A4501" s="1">
        <v>4797.0</v>
      </c>
      <c r="B4501" s="3" t="s">
        <v>4353</v>
      </c>
      <c r="C4501" s="3" t="str">
        <f>IFERROR(__xludf.DUMMYFUNCTION("GOOGLETRANSLATE(B4501,""id"",""en"")"),"['YTH', 'Telkomsel', 'Bandar', 'Lampung', 'Try', 'Fix', 'Service', 'Network', 'Signal', 'Think', 'Telkomsel', 'Bad', ' Stars', 'annoyed', 'disappointed', 'city', 'Bandar', 'Lampung', 'signal', 'internet', 'Telkomsel', 'bad', 'use', 'quota', 'internet' , '"&amp;"Telkomsel', 'times', 'quota', 'internet', 'three', 'indosat', 'use', 'wifi', 'telkomsel', 'no', '']")</f>
        <v>['YTH', 'Telkomsel', 'Bandar', 'Lampung', 'Try', 'Fix', 'Service', 'Network', 'Signal', 'Think', 'Telkomsel', 'Bad', ' Stars', 'annoyed', 'disappointed', 'city', 'Bandar', 'Lampung', 'signal', 'internet', 'Telkomsel', 'bad', 'use', 'quota', 'internet' , 'Telkomsel', 'times', 'quota', 'internet', 'three', 'indosat', 'use', 'wifi', 'telkomsel', 'no', '']</v>
      </c>
      <c r="D4501" s="3">
        <v>1.0</v>
      </c>
    </row>
    <row r="4502" ht="15.75" customHeight="1">
      <c r="A4502" s="1">
        <v>4798.0</v>
      </c>
      <c r="B4502" s="3" t="s">
        <v>4354</v>
      </c>
      <c r="C4502" s="3" t="str">
        <f>IFERROR(__xludf.DUMMYFUNCTION("GOOGLETRANSLATE(B4502,""id"",""en"")"),"['Signal', 'Belin', 'Asuu', 'Tolgulala', 'Gorontalo', ""]")</f>
        <v>['Signal', 'Belin', 'Asuu', 'Tolgulala', 'Gorontalo', "]</v>
      </c>
      <c r="D4502" s="3">
        <v>1.0</v>
      </c>
    </row>
    <row r="4503" ht="15.75" customHeight="1">
      <c r="A4503" s="1">
        <v>4799.0</v>
      </c>
      <c r="B4503" s="3" t="s">
        <v>4355</v>
      </c>
      <c r="C4503" s="3" t="str">
        <f>IFERROR(__xludf.DUMMYFUNCTION("GOOGLETRANSLATE(B4503,""id"",""en"")"),"['Hello', 'napa', 'slow', 'really', 'open', 'app', 'doank']")</f>
        <v>['Hello', 'napa', 'slow', 'really', 'open', 'app', 'doank']</v>
      </c>
      <c r="D4503" s="3">
        <v>1.0</v>
      </c>
    </row>
    <row r="4504" ht="15.75" customHeight="1">
      <c r="A4504" s="1">
        <v>4800.0</v>
      </c>
      <c r="B4504" s="3" t="s">
        <v>4356</v>
      </c>
      <c r="C4504" s="3" t="str">
        <f>IFERROR(__xludf.DUMMYFUNCTION("GOOGLETRANSLATE(B4504,""id"",""en"")"),"['Sorry', 'Application', 'Telkoomsel', 'Handphon', 'No', 'Open']")</f>
        <v>['Sorry', 'Application', 'Telkoomsel', 'Handphon', 'No', 'Open']</v>
      </c>
      <c r="D4504" s="3">
        <v>1.0</v>
      </c>
    </row>
    <row r="4505" ht="15.75" customHeight="1">
      <c r="A4505" s="1">
        <v>4801.0</v>
      </c>
      <c r="B4505" s="3" t="s">
        <v>4357</v>
      </c>
      <c r="C4505" s="3" t="str">
        <f>IFERROR(__xludf.DUMMYFUNCTION("GOOGLETRANSLATE(B4505,""id"",""en"")"),"['package', 'expensive', 'expensive']")</f>
        <v>['package', 'expensive', 'expensive']</v>
      </c>
      <c r="D4505" s="3">
        <v>5.0</v>
      </c>
    </row>
    <row r="4506" ht="15.75" customHeight="1">
      <c r="A4506" s="1">
        <v>4802.0</v>
      </c>
      <c r="B4506" s="3" t="s">
        <v>4358</v>
      </c>
      <c r="C4506" s="3" t="str">
        <f>IFERROR(__xludf.DUMMYFUNCTION("GOOGLETRANSLATE(B4506,""id"",""en"")"),"['Price', 'Package', 'Expensive', 'Network', 'ugly', 'Ryesel', 'cave', 'net', 'in town', 'good', 'im', ""]]")</f>
        <v>['Price', 'Package', 'Expensive', 'Network', 'ugly', 'Ryesel', 'cave', 'net', 'in town', 'good', 'im', "]]</v>
      </c>
      <c r="D4506" s="3">
        <v>1.0</v>
      </c>
    </row>
    <row r="4507" ht="15.75" customHeight="1">
      <c r="A4507" s="1">
        <v>4803.0</v>
      </c>
      <c r="B4507" s="3" t="s">
        <v>4359</v>
      </c>
      <c r="C4507" s="3" t="str">
        <f>IFERROR(__xludf.DUMMYFUNCTION("GOOGLETRANSLATE(B4507,""id"",""en"")"),"['fast', 'easy']")</f>
        <v>['fast', 'easy']</v>
      </c>
      <c r="D4507" s="3">
        <v>5.0</v>
      </c>
    </row>
    <row r="4508" ht="15.75" customHeight="1">
      <c r="A4508" s="1">
        <v>4804.0</v>
      </c>
      <c r="B4508" s="3" t="s">
        <v>4360</v>
      </c>
      <c r="C4508" s="3" t="str">
        <f>IFERROR(__xludf.DUMMYFUNCTION("GOOGLETRANSLATE(B4508,""id"",""en"")"),"['package', 'data', 'expensive', 'network', 'cheap', 'cuihhh', 'tower', 'telkomsel', 'side', 'rmh', 'gaguna']")</f>
        <v>['package', 'data', 'expensive', 'network', 'cheap', 'cuihhh', 'tower', 'telkomsel', 'side', 'rmh', 'gaguna']</v>
      </c>
      <c r="D4508" s="3">
        <v>1.0</v>
      </c>
    </row>
    <row r="4509" ht="15.75" customHeight="1">
      <c r="A4509" s="1">
        <v>4805.0</v>
      </c>
      <c r="B4509" s="3" t="s">
        <v>4361</v>
      </c>
      <c r="C4509" s="3" t="str">
        <f>IFERROR(__xludf.DUMMYFUNCTION("GOOGLETRANSLATE(B4509,""id"",""en"")"),"['Telkomsel', 'The network', 'missing', 'Muluu', 'Gaje', 'Telkomsel', ""]")</f>
        <v>['Telkomsel', 'The network', 'missing', 'Muluu', 'Gaje', 'Telkomsel', "]</v>
      </c>
      <c r="D4509" s="3">
        <v>1.0</v>
      </c>
    </row>
    <row r="4510" ht="15.75" customHeight="1">
      <c r="A4510" s="1">
        <v>4807.0</v>
      </c>
      <c r="B4510" s="3" t="s">
        <v>4362</v>
      </c>
      <c r="C4510" s="3" t="str">
        <f>IFERROR(__xludf.DUMMYFUNCTION("GOOGLETRANSLATE(B4510,""id"",""en"")"),"['price', 'package', 'then', 'every time', 'then', 'it's like', 'card']")</f>
        <v>['price', 'package', 'then', 'every time', 'then', 'it's like', 'card']</v>
      </c>
      <c r="D4510" s="3">
        <v>1.0</v>
      </c>
    </row>
    <row r="4511" ht="15.75" customHeight="1">
      <c r="A4511" s="1">
        <v>4808.0</v>
      </c>
      <c r="B4511" s="3" t="s">
        <v>4363</v>
      </c>
      <c r="C4511" s="3" t="str">
        <f>IFERROR(__xludf.DUMMYFUNCTION("GOOGLETRANSLATE(B4511,""id"",""en"")"),"['quota', 'expensive', 'all-round', 'expensive', 'child', 'learn', 'difficult']")</f>
        <v>['quota', 'expensive', 'all-round', 'expensive', 'child', 'learn', 'difficult']</v>
      </c>
      <c r="D4511" s="3">
        <v>1.0</v>
      </c>
    </row>
    <row r="4512" ht="15.75" customHeight="1">
      <c r="A4512" s="1">
        <v>4809.0</v>
      </c>
      <c r="B4512" s="3" t="s">
        <v>4364</v>
      </c>
      <c r="C4512" s="3" t="str">
        <f>IFERROR(__xludf.DUMMYFUNCTION("GOOGLETRANSLATE(B4512,""id"",""en"")"),"['Help', 'settlement', ""]")</f>
        <v>['Help', 'settlement', "]</v>
      </c>
      <c r="D4512" s="3">
        <v>5.0</v>
      </c>
    </row>
    <row r="4513" ht="15.75" customHeight="1">
      <c r="A4513" s="1">
        <v>4810.0</v>
      </c>
      <c r="B4513" s="3" t="s">
        <v>4365</v>
      </c>
      <c r="C4513" s="3" t="str">
        <f>IFERROR(__xludf.DUMMYFUNCTION("GOOGLETRANSLATE(B4513,""id"",""en"")"),"['times', 'Switch', 'Points', 'Hopefully', 'Win', 'Gift', 'Car', 'Amin', ""]")</f>
        <v>['times', 'Switch', 'Points', 'Hopefully', 'Win', 'Gift', 'Car', 'Amin', "]</v>
      </c>
      <c r="D4513" s="3">
        <v>5.0</v>
      </c>
    </row>
    <row r="4514" ht="15.75" customHeight="1">
      <c r="A4514" s="1">
        <v>4811.0</v>
      </c>
      <c r="B4514" s="3" t="s">
        <v>4366</v>
      </c>
      <c r="C4514" s="3" t="str">
        <f>IFERROR(__xludf.DUMMYFUNCTION("GOOGLETRANSLATE(B4514,""id"",""en"")"),"['signal', 'ugly', 'maen', 'game', 'ping', 'red', 'mulu', 'severe', 'Telkomsel', 'disappointed', 'bnget', 'recommended']")</f>
        <v>['signal', 'ugly', 'maen', 'game', 'ping', 'red', 'mulu', 'severe', 'Telkomsel', 'disappointed', 'bnget', 'recommended']</v>
      </c>
      <c r="D4514" s="3">
        <v>1.0</v>
      </c>
    </row>
    <row r="4515" ht="15.75" customHeight="1">
      <c r="A4515" s="1">
        <v>4812.0</v>
      </c>
      <c r="B4515" s="3" t="s">
        <v>4367</v>
      </c>
      <c r="C4515" s="3" t="str">
        <f>IFERROR(__xludf.DUMMYFUNCTION("GOOGLETRANSLATE(B4515,""id"",""en"")"),"['Disappointed', 'Application', 'Ngeblank', 'White', 'Opened', 'UDH', 'Restart', 'TRS', 'Application', 'UDH', 'Uninstall', 'TRS', ' dwonload ',' reset ',' ttp ',' open ']")</f>
        <v>['Disappointed', 'Application', 'Ngeblank', 'White', 'Opened', 'UDH', 'Restart', 'TRS', 'Application', 'UDH', 'Uninstall', 'TRS', ' dwonload ',' reset ',' ttp ',' open ']</v>
      </c>
      <c r="D4515" s="3">
        <v>3.0</v>
      </c>
    </row>
    <row r="4516" ht="15.75" customHeight="1">
      <c r="A4516" s="1">
        <v>4813.0</v>
      </c>
      <c r="B4516" s="3" t="s">
        <v>4368</v>
      </c>
      <c r="C4516" s="3" t="str">
        <f>IFERROR(__xludf.DUMMYFUNCTION("GOOGLETRANSLATE(B4516,""id"",""en"")"),"['update', 'network', 'signal', 'slow', 'dilapidated', 'Telkomsel', 'thank you', ""]")</f>
        <v>['update', 'network', 'signal', 'slow', 'dilapidated', 'Telkomsel', 'thank you', "]</v>
      </c>
      <c r="D4516" s="3">
        <v>1.0</v>
      </c>
    </row>
    <row r="4517" ht="15.75" customHeight="1">
      <c r="A4517" s="1">
        <v>4814.0</v>
      </c>
      <c r="B4517" s="3" t="s">
        <v>4369</v>
      </c>
      <c r="C4517" s="3" t="str">
        <f>IFERROR(__xludf.DUMMYFUNCTION("GOOGLETRANSLATE(B4517,""id"",""en"")"),"['Signal', 'Telkomsel', 'ugly', 'Lovers', 'Games', 'use', 'Telkomsel', '']")</f>
        <v>['Signal', 'Telkomsel', 'ugly', 'Lovers', 'Games', 'use', 'Telkomsel', '']</v>
      </c>
      <c r="D4517" s="3">
        <v>1.0</v>
      </c>
    </row>
    <row r="4518" ht="15.75" customHeight="1">
      <c r="A4518" s="1">
        <v>4816.0</v>
      </c>
      <c r="B4518" s="3" t="s">
        <v>4370</v>
      </c>
      <c r="C4518" s="3" t="str">
        <f>IFERROR(__xludf.DUMMYFUNCTION("GOOGLETRANSLATE(B4518,""id"",""en"")"),"['LHO', 'The application', 'Open', 'Uda', 'Update', 'Veri', 'Masi', 'HandPhone', 'Wrong', ""]")</f>
        <v>['LHO', 'The application', 'Open', 'Uda', 'Update', 'Veri', 'Masi', 'HandPhone', 'Wrong', "]</v>
      </c>
      <c r="D4518" s="3">
        <v>5.0</v>
      </c>
    </row>
    <row r="4519" ht="15.75" customHeight="1">
      <c r="A4519" s="1">
        <v>4817.0</v>
      </c>
      <c r="B4519" s="3" t="s">
        <v>4371</v>
      </c>
      <c r="C4519" s="3" t="str">
        <f>IFERROR(__xludf.DUMMYFUNCTION("GOOGLETRANSLATE(B4519,""id"",""en"")"),"['Application', 'MyTelkomsel', 'help', 'makes it easy', 'transact']")</f>
        <v>['Application', 'MyTelkomsel', 'help', 'makes it easy', 'transact']</v>
      </c>
      <c r="D4519" s="3">
        <v>5.0</v>
      </c>
    </row>
    <row r="4520" ht="15.75" customHeight="1">
      <c r="A4520" s="1">
        <v>4818.0</v>
      </c>
      <c r="B4520" s="3" t="s">
        <v>4372</v>
      </c>
      <c r="C4520" s="3" t="str">
        <f>IFERROR(__xludf.DUMMYFUNCTION("GOOGLETRANSLATE(B4520,""id"",""en"")"),"['steady', 'network', 'smooth', 'pig']")</f>
        <v>['steady', 'network', 'smooth', 'pig']</v>
      </c>
      <c r="D4520" s="3">
        <v>5.0</v>
      </c>
    </row>
    <row r="4521" ht="15.75" customHeight="1">
      <c r="A4521" s="1">
        <v>4819.0</v>
      </c>
      <c r="B4521" s="3" t="s">
        <v>4373</v>
      </c>
      <c r="C4521" s="3" t="str">
        <f>IFERROR(__xludf.DUMMYFUNCTION("GOOGLETRANSLATE(B4521,""id"",""en"")"),"['Since', 'Update', 'Application', 'Open', 'Samsung', 'Please', 'Fix', 'Bug']")</f>
        <v>['Since', 'Update', 'Application', 'Open', 'Samsung', 'Please', 'Fix', 'Bug']</v>
      </c>
      <c r="D4521" s="3">
        <v>1.0</v>
      </c>
    </row>
    <row r="4522" ht="15.75" customHeight="1">
      <c r="A4522" s="1">
        <v>4820.0</v>
      </c>
      <c r="B4522" s="3" t="s">
        <v>4374</v>
      </c>
      <c r="C4522" s="3" t="str">
        <f>IFERROR(__xludf.DUMMYFUNCTION("GOOGLETRANSLATE(B4522,""id"",""en"")"),"['times',' contents', 'pulse', 'nyimpen', 'pulse', 'sumps',' run out ',' until ',' package ',' already ',' that's', 'signal', ' is lost']")</f>
        <v>['times',' contents', 'pulse', 'nyimpen', 'pulse', 'sumps',' run out ',' until ',' package ',' already ',' that's', 'signal', ' is lost']</v>
      </c>
      <c r="D4522" s="3">
        <v>1.0</v>
      </c>
    </row>
    <row r="4523" ht="15.75" customHeight="1">
      <c r="A4523" s="1">
        <v>4821.0</v>
      </c>
      <c r="B4523" s="3" t="s">
        <v>4375</v>
      </c>
      <c r="C4523" s="3" t="str">
        <f>IFERROR(__xludf.DUMMYFUNCTION("GOOGLETRANSLATE(B4523,""id"",""en"")"),"['Package', 'Internet', 'expensive', 'times', 'cheap']")</f>
        <v>['Package', 'Internet', 'expensive', 'times', 'cheap']</v>
      </c>
      <c r="D4523" s="3">
        <v>3.0</v>
      </c>
    </row>
    <row r="4524" ht="15.75" customHeight="1">
      <c r="A4524" s="1">
        <v>4822.0</v>
      </c>
      <c r="B4524" s="3" t="s">
        <v>4376</v>
      </c>
      <c r="C4524" s="3" t="str">
        <f>IFERROR(__xludf.DUMMYFUNCTION("GOOGLETRANSLATE(B4524,""id"",""en"")"),"['already', 'expensive', 'network', 'kayak', 'taikkkkkk']")</f>
        <v>['already', 'expensive', 'network', 'kayak', 'taikkkkkk']</v>
      </c>
      <c r="D4524" s="3">
        <v>1.0</v>
      </c>
    </row>
    <row r="4525" ht="15.75" customHeight="1">
      <c r="A4525" s="1">
        <v>4823.0</v>
      </c>
      <c r="B4525" s="3" t="s">
        <v>4377</v>
      </c>
      <c r="C4525" s="3" t="str">
        <f>IFERROR(__xludf.DUMMYFUNCTION("GOOGLETRANSLATE(B4525,""id"",""en"")"),"['Enter', 'Application', 'Telkomsel']")</f>
        <v>['Enter', 'Application', 'Telkomsel']</v>
      </c>
      <c r="D4525" s="3">
        <v>1.0</v>
      </c>
    </row>
    <row r="4526" ht="15.75" customHeight="1">
      <c r="A4526" s="1">
        <v>4824.0</v>
      </c>
      <c r="B4526" s="3" t="s">
        <v>4378</v>
      </c>
      <c r="C4526" s="3" t="str">
        <f>IFERROR(__xludf.DUMMYFUNCTION("GOOGLETRANSLATE(B4526,""id"",""en"")"),"['signal', 'min', 'please', 'min', 'hope', 'fast', 'fix']")</f>
        <v>['signal', 'min', 'please', 'min', 'hope', 'fast', 'fix']</v>
      </c>
      <c r="D4526" s="3">
        <v>2.0</v>
      </c>
    </row>
    <row r="4527" ht="15.75" customHeight="1">
      <c r="A4527" s="1">
        <v>4825.0</v>
      </c>
      <c r="B4527" s="3" t="s">
        <v>619</v>
      </c>
      <c r="C4527" s="3" t="str">
        <f>IFERROR(__xludf.DUMMYFUNCTION("GOOGLETRANSLATE(B4527,""id"",""en"")"),"['Good', 'help']")</f>
        <v>['Good', 'help']</v>
      </c>
      <c r="D4527" s="3">
        <v>5.0</v>
      </c>
    </row>
    <row r="4528" ht="15.75" customHeight="1">
      <c r="A4528" s="1">
        <v>4826.0</v>
      </c>
      <c r="B4528" s="3" t="s">
        <v>4379</v>
      </c>
      <c r="C4528" s="3" t="str">
        <f>IFERROR(__xludf.DUMMYFUNCTION("GOOGLETRANSLATE(B4528,""id"",""en"")"),"['Signal', 'ugly', 'then', 'Tlong', 'Telkomsel', 'repay', 'special', 'area', 'Sya', 'shy', 'ad', 'kliiiiaaaaannnnnnnnnnnn' ']")</f>
        <v>['Signal', 'ugly', 'then', 'Tlong', 'Telkomsel', 'repay', 'special', 'area', 'Sya', 'shy', 'ad', 'kliiiiaaaaannnnnnnnnnnn' ']</v>
      </c>
      <c r="D4528" s="3">
        <v>1.0</v>
      </c>
    </row>
    <row r="4529" ht="15.75" customHeight="1">
      <c r="A4529" s="1">
        <v>4827.0</v>
      </c>
      <c r="B4529" s="3" t="s">
        <v>4380</v>
      </c>
      <c r="C4529" s="3" t="str">
        <f>IFERROR(__xludf.DUMMYFUNCTION("GOOGLETRANSLATE(B4529,""id"",""en"")"),"['Package', 'Internet', 'Telkomsel', 'Severe', 'expensive', '']")</f>
        <v>['Package', 'Internet', 'Telkomsel', 'Severe', 'expensive', '']</v>
      </c>
      <c r="D4529" s="3">
        <v>1.0</v>
      </c>
    </row>
    <row r="4530" ht="15.75" customHeight="1">
      <c r="A4530" s="1">
        <v>4828.0</v>
      </c>
      <c r="B4530" s="3" t="s">
        <v>4381</v>
      </c>
      <c r="C4530" s="3" t="str">
        <f>IFERROR(__xludf.DUMMYFUNCTION("GOOGLETRANSLATE(B4530,""id"",""en"")"),"['strange', 'sometimes',' Seberaoa ',' people ',' get ',' quota ',' unlimax ',' no ',' got ',' Best ',' Deal ',' quota ',' Effect ',' Device ',' kah ',' card ',' ']")</f>
        <v>['strange', 'sometimes',' Seberaoa ',' people ',' get ',' quota ',' unlimax ',' no ',' got ',' Best ',' Deal ',' quota ',' Effect ',' Device ',' kah ',' card ',' ']</v>
      </c>
      <c r="D4530" s="3">
        <v>4.0</v>
      </c>
    </row>
    <row r="4531" ht="15.75" customHeight="1">
      <c r="A4531" s="1">
        <v>4829.0</v>
      </c>
      <c r="B4531" s="3" t="s">
        <v>4382</v>
      </c>
      <c r="C4531" s="3" t="str">
        <f>IFERROR(__xludf.DUMMYFUNCTION("GOOGLETRANSLATE(B4531,""id"",""en"")"),"['good', 'provider', 'expensive', 'cave', 'because' emng ',' fast ',' crazy ',' severe ',' really ',' network ',' cave ',' Maen ',' Pabji ',' stuck ',' ping ',' stay ',' cave ',' inland ',' please ',' repay ',' ']")</f>
        <v>['good', 'provider', 'expensive', 'cave', 'because' emng ',' fast ',' crazy ',' severe ',' really ',' network ',' cave ',' Maen ',' Pabji ',' stuck ',' ping ',' stay ',' cave ',' inland ',' please ',' repay ',' ']</v>
      </c>
      <c r="D4531" s="3">
        <v>1.0</v>
      </c>
    </row>
    <row r="4532" ht="15.75" customHeight="1">
      <c r="A4532" s="1">
        <v>4830.0</v>
      </c>
      <c r="B4532" s="3" t="s">
        <v>4383</v>
      </c>
      <c r="C4532" s="3" t="str">
        <f>IFERROR(__xludf.DUMMYFUNCTION("GOOGLETRANSLATE(B4532,""id"",""en"")"),"['many years', 'use', 'Telkomsel', 'felt', 'network', 'destroyed', 'chattingan', 'need', 'network', 'missing', ""]")</f>
        <v>['many years', 'use', 'Telkomsel', 'felt', 'network', 'destroyed', 'chattingan', 'need', 'network', 'missing', "]</v>
      </c>
      <c r="D4532" s="3">
        <v>1.0</v>
      </c>
    </row>
    <row r="4533" ht="15.75" customHeight="1">
      <c r="A4533" s="1">
        <v>4831.0</v>
      </c>
      <c r="B4533" s="3" t="s">
        <v>4384</v>
      </c>
      <c r="C4533" s="3" t="str">
        <f>IFERROR(__xludf.DUMMYFUNCTION("GOOGLETRANSLATE(B4533,""id"",""en"")"),"['Buy', 'Package', 'payment', 'Ovo', 'UDH', 'Cutting', 'Package', 'Enter', 'Severe']")</f>
        <v>['Buy', 'Package', 'payment', 'Ovo', 'UDH', 'Cutting', 'Package', 'Enter', 'Severe']</v>
      </c>
      <c r="D4533" s="3">
        <v>1.0</v>
      </c>
    </row>
    <row r="4534" ht="15.75" customHeight="1">
      <c r="A4534" s="1">
        <v>4832.0</v>
      </c>
      <c r="B4534" s="3" t="s">
        <v>4385</v>
      </c>
      <c r="C4534" s="3" t="str">
        <f>IFERROR(__xludf.DUMMYFUNCTION("GOOGLETRANSLATE(B4534,""id"",""en"")"),"['Good', 'promo']")</f>
        <v>['Good', 'promo']</v>
      </c>
      <c r="D4534" s="3">
        <v>5.0</v>
      </c>
    </row>
    <row r="4535" ht="15.75" customHeight="1">
      <c r="A4535" s="1">
        <v>4833.0</v>
      </c>
      <c r="B4535" s="3" t="s">
        <v>4386</v>
      </c>
      <c r="C4535" s="3" t="str">
        <f>IFERROR(__xludf.DUMMYFUNCTION("GOOGLETRANSLATE(B4535,""id"",""en"")"),"['', 'Telkomsel', 'Sya', 'Need', 'CEX', 'quota', 'manual', 'slow', 'blly', 'purchase', 'internet', 'atu', 'pulses ',' high school ',' ajh ',' promo ',' expensive ',' ']")</f>
        <v>['', 'Telkomsel', 'Sya', 'Need', 'CEX', 'quota', 'manual', 'slow', 'blly', 'purchase', 'internet', 'atu', 'pulses ',' high school ',' ajh ',' promo ',' expensive ',' ']</v>
      </c>
      <c r="D4535" s="3">
        <v>4.0</v>
      </c>
    </row>
    <row r="4536" ht="15.75" customHeight="1">
      <c r="A4536" s="1">
        <v>4834.0</v>
      </c>
      <c r="B4536" s="3" t="s">
        <v>846</v>
      </c>
      <c r="C4536" s="3" t="str">
        <f>IFERROR(__xludf.DUMMYFUNCTION("GOOGLETRANSLATE(B4536,""id"",""en"")"),"['application', 'good']")</f>
        <v>['application', 'good']</v>
      </c>
      <c r="D4536" s="3">
        <v>5.0</v>
      </c>
    </row>
    <row r="4537" ht="15.75" customHeight="1">
      <c r="A4537" s="1">
        <v>4835.0</v>
      </c>
      <c r="B4537" s="3" t="s">
        <v>4387</v>
      </c>
      <c r="C4537" s="3" t="str">
        <f>IFERROR(__xludf.DUMMYFUNCTION("GOOGLETRANSLATE(B4537,""id"",""en"")"),"['easy', 'complicated', 'haya', 'expect', 'promo', 'package', 'Telkomsel', 'user', 'center', 'complaint', 'whatsapp', 'call']")</f>
        <v>['easy', 'complicated', 'haya', 'expect', 'promo', 'package', 'Telkomsel', 'user', 'center', 'complaint', 'whatsapp', 'call']</v>
      </c>
      <c r="D4537" s="3">
        <v>5.0</v>
      </c>
    </row>
    <row r="4538" ht="15.75" customHeight="1">
      <c r="A4538" s="1">
        <v>4836.0</v>
      </c>
      <c r="B4538" s="3" t="s">
        <v>4388</v>
      </c>
      <c r="C4538" s="3" t="str">
        <f>IFERROR(__xludf.DUMMYFUNCTION("GOOGLETRANSLATE(B4538,""id"",""en"")"),"['Out', 'update', 'opened', 'screen', 'white', 'doang']")</f>
        <v>['Out', 'update', 'opened', 'screen', 'white', 'doang']</v>
      </c>
      <c r="D4538" s="3">
        <v>2.0</v>
      </c>
    </row>
    <row r="4539" ht="15.75" customHeight="1">
      <c r="A4539" s="1">
        <v>4838.0</v>
      </c>
      <c r="B4539" s="3" t="s">
        <v>4389</v>
      </c>
      <c r="C4539" s="3" t="str">
        <f>IFERROR(__xludf.DUMMYFUNCTION("GOOGLETRANSLATE(B4539,""id"",""en"")"),"['thank you', 'listen', 'complaints', 'already', 'old', 'settlement', 'fast', 'because', 'application', 'Samsung', ""]")</f>
        <v>['thank you', 'listen', 'complaints', 'already', 'old', 'settlement', 'fast', 'because', 'application', 'Samsung', "]</v>
      </c>
      <c r="D4539" s="3">
        <v>5.0</v>
      </c>
    </row>
    <row r="4540" ht="15.75" customHeight="1">
      <c r="A4540" s="1">
        <v>4839.0</v>
      </c>
      <c r="B4540" s="3" t="s">
        <v>4390</v>
      </c>
      <c r="C4540" s="3" t="str">
        <f>IFERROR(__xludf.DUMMYFUNCTION("GOOGLETRANSLATE(B4540,""id"",""en"")"),"['', 'Telkomsel', 'steady', 'quality', 'cheap', 'really', '']")</f>
        <v>['', 'Telkomsel', 'steady', 'quality', 'cheap', 'really', '']</v>
      </c>
      <c r="D4540" s="3">
        <v>5.0</v>
      </c>
    </row>
    <row r="4541" ht="15.75" customHeight="1">
      <c r="A4541" s="1">
        <v>4840.0</v>
      </c>
      <c r="B4541" s="3" t="s">
        <v>4391</v>
      </c>
      <c r="C4541" s="3" t="str">
        <f>IFERROR(__xludf.DUMMYFUNCTION("GOOGLETRANSLATE(B4541,""id"",""en"")"),"['Help', 'Installation', 'Package']")</f>
        <v>['Help', 'Installation', 'Package']</v>
      </c>
      <c r="D4541" s="3">
        <v>4.0</v>
      </c>
    </row>
    <row r="4542" ht="15.75" customHeight="1">
      <c r="A4542" s="1">
        <v>4841.0</v>
      </c>
      <c r="B4542" s="3" t="s">
        <v>4392</v>
      </c>
      <c r="C4542" s="3" t="str">
        <f>IFERROR(__xludf.DUMMYFUNCTION("GOOGLETRANSLATE(B4542,""id"",""en"")"),"['signal', 'smooth', 'me', 'play', 'game', 'mobile', 'legend', 'pound', 'difficult', 'network', 'ugly', 'really', ' ']")</f>
        <v>['signal', 'smooth', 'me', 'play', 'game', 'mobile', 'legend', 'pound', 'difficult', 'network', 'ugly', 'really', ' ']</v>
      </c>
      <c r="D4542" s="3">
        <v>1.0</v>
      </c>
    </row>
    <row r="4543" ht="15.75" customHeight="1">
      <c r="A4543" s="1">
        <v>4842.0</v>
      </c>
      <c r="B4543" s="3" t="s">
        <v>4393</v>
      </c>
      <c r="C4543" s="3" t="str">
        <f>IFERROR(__xludf.DUMMYFUNCTION("GOOGLETRANSLATE(B4543,""id"",""en"")"),"['upgrade', 'jdi', 'difficult', 'enter', 'mah', 'nge', 'blank', 'strange', 'good', 'version']")</f>
        <v>['upgrade', 'jdi', 'difficult', 'enter', 'mah', 'nge', 'blank', 'strange', 'good', 'version']</v>
      </c>
      <c r="D4543" s="3">
        <v>1.0</v>
      </c>
    </row>
    <row r="4544" ht="15.75" customHeight="1">
      <c r="A4544" s="1">
        <v>4843.0</v>
      </c>
      <c r="B4544" s="3" t="s">
        <v>4394</v>
      </c>
      <c r="C4544" s="3" t="str">
        <f>IFERROR(__xludf.DUMMYFUNCTION("GOOGLETRANSLATE(B4544,""id"",""en"")"),"['week', 'application', 'Severe', 'either', 'downloaded', 'pressed', 'screen', 'white', 'Telkomsel', 'fix', ""]")</f>
        <v>['week', 'application', 'Severe', 'either', 'downloaded', 'pressed', 'screen', 'white', 'Telkomsel', 'fix', "]</v>
      </c>
      <c r="D4544" s="3">
        <v>1.0</v>
      </c>
    </row>
    <row r="4545" ht="15.75" customHeight="1">
      <c r="A4545" s="1">
        <v>4844.0</v>
      </c>
      <c r="B4545" s="3" t="s">
        <v>4395</v>
      </c>
      <c r="C4545" s="3" t="str">
        <f>IFERROR(__xludf.DUMMYFUNCTION("GOOGLETRANSLATE(B4545,""id"",""en"")"),"['uda', 'week', 'network', 'Kampungku', 'Buriq', 'times',' uda ',' contents', 'pulses',' buy ',' package ',' data ',' Ngellag ',' No ',' MAIN ',' MOBILE ',' LEGENDS ',' Telkomsel ',' Reason ',' friend ',' AXIS ',' Current ',' Telkomsel ',' expensive ',' N"&amp;"ge ' , 'lag', 'fix', 'otw', 'pindh', 'card', 'next door']")</f>
        <v>['uda', 'week', 'network', 'Kampungku', 'Buriq', 'times',' uda ',' contents', 'pulses',' buy ',' package ',' data ',' Ngellag ',' No ',' MAIN ',' MOBILE ',' LEGENDS ',' Telkomsel ',' Reason ',' friend ',' AXIS ',' Current ',' Telkomsel ',' expensive ',' Nge ' , 'lag', 'fix', 'otw', 'pindh', 'card', 'next door']</v>
      </c>
      <c r="D4545" s="3">
        <v>1.0</v>
      </c>
    </row>
    <row r="4546" ht="15.75" customHeight="1">
      <c r="A4546" s="1">
        <v>4845.0</v>
      </c>
      <c r="B4546" s="3" t="s">
        <v>4396</v>
      </c>
      <c r="C4546" s="3" t="str">
        <f>IFERROR(__xludf.DUMMYFUNCTION("GOOGLETRANSLATE(B4546,""id"",""en"")"),"['users',' Telkomsel ',' TPI ',' While ',' Satisfied ',' BNOY ',' BNGET ',' CONSTRACT ',' Signal ',' Like ',' Kmaren ',' Package ',' expensive ',' TPI ',' signal ',' msalah ',' connection ',' ugly ',' hope ',' tlong ',' level ',' connection ',' network ',"&amp;"' kmi ',' slaku ' , 'users',' satisfied ',' replace ',' dri ',' Telkomsel ',' like ',' then ',' comfortable ',' package ',' expensive ',' signal ',' severe ',' every time, 'open', 'sosmed', 'like', 'mrah', 'sndiri', 'krena', 'msalah', 'network', 'slaku', "&amp;"'user', 'telkomsel', 'complain' , '']")</f>
        <v>['users',' Telkomsel ',' TPI ',' While ',' Satisfied ',' BNOY ',' BNGET ',' CONSTRACT ',' Signal ',' Like ',' Kmaren ',' Package ',' expensive ',' TPI ',' signal ',' msalah ',' connection ',' ugly ',' hope ',' tlong ',' level ',' connection ',' network ',' kmi ',' slaku ' , 'users',' satisfied ',' replace ',' dri ',' Telkomsel ',' like ',' then ',' comfortable ',' package ',' expensive ',' signal ',' severe ',' every time, 'open', 'sosmed', 'like', 'mrah', 'sndiri', 'krena', 'msalah', 'network', 'slaku', 'user', 'telkomsel', 'complain' , '']</v>
      </c>
      <c r="D4546" s="3">
        <v>3.0</v>
      </c>
    </row>
    <row r="4547" ht="15.75" customHeight="1">
      <c r="A4547" s="1">
        <v>4846.0</v>
      </c>
      <c r="B4547" s="3" t="s">
        <v>4397</v>
      </c>
      <c r="C4547" s="3" t="str">
        <f>IFERROR(__xludf.DUMMYFUNCTION("GOOGLETRANSLATE(B4547,""id"",""en"")"),"['Knp', 'buy', 'pulse', 'indomaret', 'alfamaret', 'description', 'managed', 'appears',' pulsany ',' loss', 'pulse', 'thousand', ' Nomers', 'Telkom', 'negligent', 'Degan', 'Taskny', 'Sejuwwa', 'Eat', 'a month', ""]")</f>
        <v>['Knp', 'buy', 'pulse', 'indomaret', 'alfamaret', 'description', 'managed', 'appears',' pulsany ',' loss', 'pulse', 'thousand', ' Nomers', 'Telkom', 'negligent', 'Degan', 'Taskny', 'Sejuwwa', 'Eat', 'a month', "]</v>
      </c>
      <c r="D4547" s="3">
        <v>3.0</v>
      </c>
    </row>
    <row r="4548" ht="15.75" customHeight="1">
      <c r="A4548" s="1">
        <v>4847.0</v>
      </c>
      <c r="B4548" s="3" t="s">
        <v>4398</v>
      </c>
      <c r="C4548" s="3" t="str">
        <f>IFERROR(__xludf.DUMMYFUNCTION("GOOGLETRANSLATE(B4548,""id"",""en"")"),"['Practical', 'Simple', 'Process', 'Easy']")</f>
        <v>['Practical', 'Simple', 'Process', 'Easy']</v>
      </c>
      <c r="D4548" s="3">
        <v>5.0</v>
      </c>
    </row>
    <row r="4549" ht="15.75" customHeight="1">
      <c r="A4549" s="1">
        <v>4848.0</v>
      </c>
      <c r="B4549" s="3" t="s">
        <v>4399</v>
      </c>
      <c r="C4549" s="3" t="str">
        <f>IFERROR(__xludf.DUMMYFUNCTION("GOOGLETRANSLATE(B4549,""id"",""en"")"),"['Telkomsel', 'slow', 'network', 'really', 'right', 'play', 'game', 'network', 'red', 'right', 'smooth', 'watch', ' Video ',' please ',' corrected ', ""]")</f>
        <v>['Telkomsel', 'slow', 'network', 'really', 'right', 'play', 'game', 'network', 'red', 'right', 'smooth', 'watch', ' Video ',' please ',' corrected ', "]</v>
      </c>
      <c r="D4549" s="3">
        <v>1.0</v>
      </c>
    </row>
    <row r="4550" ht="15.75" customHeight="1">
      <c r="A4550" s="1">
        <v>4849.0</v>
      </c>
      <c r="B4550" s="3" t="s">
        <v>4400</v>
      </c>
      <c r="C4550" s="3" t="str">
        <f>IFERROR(__xludf.DUMMYFUNCTION("GOOGLETRANSLATE(B4550,""id"",""en"")"),"['', 'Telkomsel', 'Kasi', 'Bonoss', 'Napa', 'Pliss']")</f>
        <v>['', 'Telkomsel', 'Kasi', 'Bonoss', 'Napa', 'Pliss']</v>
      </c>
      <c r="D4550" s="3">
        <v>5.0</v>
      </c>
    </row>
    <row r="4551" ht="15.75" customHeight="1">
      <c r="A4551" s="1">
        <v>4850.0</v>
      </c>
      <c r="B4551" s="3" t="s">
        <v>4401</v>
      </c>
      <c r="C4551" s="3" t="str">
        <f>IFERROR(__xludf.DUMMYFUNCTION("GOOGLETRANSLATE(B4551,""id"",""en"")"),"['Network', 'worst', 'application', 'open', 'package', 'expensive', 'complete', 'application', 'worst', 'me', 'pakek']")</f>
        <v>['Network', 'worst', 'application', 'open', 'package', 'expensive', 'complete', 'application', 'worst', 'me', 'pakek']</v>
      </c>
      <c r="D4551" s="3">
        <v>1.0</v>
      </c>
    </row>
    <row r="4552" ht="15.75" customHeight="1">
      <c r="A4552" s="1">
        <v>4851.0</v>
      </c>
      <c r="B4552" s="3" t="s">
        <v>2603</v>
      </c>
      <c r="C4552" s="3" t="str">
        <f>IFERROR(__xludf.DUMMYFUNCTION("GOOGLETRANSLATE(B4552,""id"",""en"")"),"['Help', 'MyTelkomsel']")</f>
        <v>['Help', 'MyTelkomsel']</v>
      </c>
      <c r="D4552" s="3">
        <v>5.0</v>
      </c>
    </row>
    <row r="4553" ht="15.75" customHeight="1">
      <c r="A4553" s="1">
        <v>4852.0</v>
      </c>
      <c r="B4553" s="3" t="s">
        <v>4402</v>
      </c>
      <c r="C4553" s="3" t="str">
        <f>IFERROR(__xludf.DUMMYFUNCTION("GOOGLETRANSLATE(B4553,""id"",""en"")"),"['size', 'application', 'version', 'Lite', 'application', 'failed', 'increase']")</f>
        <v>['size', 'application', 'version', 'Lite', 'application', 'failed', 'increase']</v>
      </c>
      <c r="D4553" s="3">
        <v>1.0</v>
      </c>
    </row>
    <row r="4554" ht="15.75" customHeight="1">
      <c r="A4554" s="1">
        <v>4853.0</v>
      </c>
      <c r="B4554" s="3" t="s">
        <v>4403</v>
      </c>
      <c r="C4554" s="3" t="str">
        <f>IFERROR(__xludf.DUMMYFUNCTION("GOOGLETRANSLATE(B4554,""id"",""en"")"),"['already', 'normal', 'thx']")</f>
        <v>['already', 'normal', 'thx']</v>
      </c>
      <c r="D4554" s="3">
        <v>5.0</v>
      </c>
    </row>
    <row r="4555" ht="15.75" customHeight="1">
      <c r="A4555" s="1">
        <v>4854.0</v>
      </c>
      <c r="B4555" s="3" t="s">
        <v>4404</v>
      </c>
      <c r="C4555" s="3" t="str">
        <f>IFERROR(__xludf.DUMMYFUNCTION("GOOGLETRANSLATE(B4555,""id"",""en"")"),"['MNTP', 'BNYK', 'BONUS']")</f>
        <v>['MNTP', 'BNYK', 'BONUS']</v>
      </c>
      <c r="D4555" s="3">
        <v>5.0</v>
      </c>
    </row>
    <row r="4556" ht="15.75" customHeight="1">
      <c r="A4556" s="1">
        <v>4855.0</v>
      </c>
      <c r="B4556" s="3" t="s">
        <v>4405</v>
      </c>
      <c r="C4556" s="3" t="str">
        <f>IFERROR(__xludf.DUMMYFUNCTION("GOOGLETRANSLATE(B4556,""id"",""en"")"),"['network', 'Taii', 'clock', 'signal', 'slow', 'really', 'play', 'game', 'taii', 'regret', 'Telkomsel', 'package', ' Ajh ',' expensive ',' signal ',' kek ',' Anying ',' ']")</f>
        <v>['network', 'Taii', 'clock', 'signal', 'slow', 'really', 'play', 'game', 'taii', 'regret', 'Telkomsel', 'package', ' Ajh ',' expensive ',' signal ',' kek ',' Anying ',' ']</v>
      </c>
      <c r="D4556" s="3">
        <v>2.0</v>
      </c>
    </row>
    <row r="4557" ht="15.75" customHeight="1">
      <c r="A4557" s="1">
        <v>4856.0</v>
      </c>
      <c r="B4557" s="3" t="s">
        <v>4406</v>
      </c>
      <c r="C4557" s="3" t="str">
        <f>IFERROR(__xludf.DUMMYFUNCTION("GOOGLETRANSLATE(B4557,""id"",""en"")"),"['rotten', 'buy', 'package', 'internet', 'pulse', 'Embat', 'rampok']")</f>
        <v>['rotten', 'buy', 'package', 'internet', 'pulse', 'Embat', 'rampok']</v>
      </c>
      <c r="D4557" s="3">
        <v>1.0</v>
      </c>
    </row>
    <row r="4558" ht="15.75" customHeight="1">
      <c r="A4558" s="1">
        <v>4857.0</v>
      </c>
      <c r="B4558" s="3" t="s">
        <v>4407</v>
      </c>
      <c r="C4558" s="3" t="str">
        <f>IFERROR(__xludf.DUMMYFUNCTION("GOOGLETRANSLATE(B4558,""id"",""en"")"),"['here', 'like', 'break up', 'connection', 'kouta']")</f>
        <v>['here', 'like', 'break up', 'connection', 'kouta']</v>
      </c>
      <c r="D4558" s="3">
        <v>1.0</v>
      </c>
    </row>
    <row r="4559" ht="15.75" customHeight="1">
      <c r="A4559" s="1">
        <v>4858.0</v>
      </c>
      <c r="B4559" s="3" t="s">
        <v>2962</v>
      </c>
      <c r="C4559" s="3" t="str">
        <f>IFERROR(__xludf.DUMMYFUNCTION("GOOGLETRANSLATE(B4559,""id"",""en"")"),"['Make it easier']")</f>
        <v>['Make it easier']</v>
      </c>
      <c r="D4559" s="3">
        <v>5.0</v>
      </c>
    </row>
    <row r="4560" ht="15.75" customHeight="1">
      <c r="A4560" s="1">
        <v>4859.0</v>
      </c>
      <c r="B4560" s="3" t="s">
        <v>4408</v>
      </c>
      <c r="C4560" s="3" t="str">
        <f>IFERROR(__xludf.DUMMYFUNCTION("GOOGLETRANSLATE(B4560,""id"",""en"")"),"['screen', 'white', 'enter', 'application']")</f>
        <v>['screen', 'white', 'enter', 'application']</v>
      </c>
      <c r="D4560" s="3">
        <v>1.0</v>
      </c>
    </row>
    <row r="4561" ht="15.75" customHeight="1">
      <c r="A4561" s="1">
        <v>4860.0</v>
      </c>
      <c r="B4561" s="3" t="s">
        <v>4409</v>
      </c>
      <c r="C4561" s="3" t="str">
        <f>IFERROR(__xludf.DUMMYFUNCTION("GOOGLETRANSLATE(B4561,""id"",""en"")"),"['The network', 'ugly', 'price', 'comparable', 'network']")</f>
        <v>['The network', 'ugly', 'price', 'comparable', 'network']</v>
      </c>
      <c r="D4561" s="3">
        <v>1.0</v>
      </c>
    </row>
    <row r="4562" ht="15.75" customHeight="1">
      <c r="A4562" s="1">
        <v>4861.0</v>
      </c>
      <c r="B4562" s="3" t="s">
        <v>4410</v>
      </c>
      <c r="C4562" s="3" t="str">
        <f>IFERROR(__xludf.DUMMYFUNCTION("GOOGLETRANSLATE(B4562,""id"",""en"")"),"['Help', 'Price', 'Friendly']")</f>
        <v>['Help', 'Price', 'Friendly']</v>
      </c>
      <c r="D4562" s="3">
        <v>5.0</v>
      </c>
    </row>
    <row r="4563" ht="15.75" customHeight="1">
      <c r="A4563" s="1">
        <v>4862.0</v>
      </c>
      <c r="B4563" s="3" t="s">
        <v>4411</v>
      </c>
      <c r="C4563" s="3" t="str">
        <f>IFERROR(__xludf.DUMMYFUNCTION("GOOGLETRANSLATE(B4563,""id"",""en"")"),"['Use', 'APL', 'TELKOM', 'KLU', 'APPLICATION', 'SHARE', 'friend', 'updet']")</f>
        <v>['Use', 'APL', 'TELKOM', 'KLU', 'APPLICATION', 'SHARE', 'friend', 'updet']</v>
      </c>
      <c r="D4563" s="3">
        <v>2.0</v>
      </c>
    </row>
    <row r="4564" ht="15.75" customHeight="1">
      <c r="A4564" s="1">
        <v>4863.0</v>
      </c>
      <c r="B4564" s="3" t="s">
        <v>4412</v>
      </c>
      <c r="C4564" s="3" t="str">
        <f>IFERROR(__xludf.DUMMYFUNCTION("GOOGLETRANSLATE(B4564,""id"",""en"")"),"['signal', 'severe', 'really', 'slow', 'expensive', 'rich', 'kenceng', 'expensive']")</f>
        <v>['signal', 'severe', 'really', 'slow', 'expensive', 'rich', 'kenceng', 'expensive']</v>
      </c>
      <c r="D4564" s="3">
        <v>1.0</v>
      </c>
    </row>
    <row r="4565" ht="15.75" customHeight="1">
      <c r="A4565" s="1">
        <v>4864.0</v>
      </c>
      <c r="B4565" s="3" t="s">
        <v>4413</v>
      </c>
      <c r="C4565" s="3" t="str">
        <f>IFERROR(__xludf.DUMMYFUNCTION("GOOGLETRANSLATE(B4565,""id"",""en"")"),"['Current', 'Jaya', 'Honey', 'Package', 'Divided', 'Mubasir']")</f>
        <v>['Current', 'Jaya', 'Honey', 'Package', 'Divided', 'Mubasir']</v>
      </c>
      <c r="D4565" s="3">
        <v>5.0</v>
      </c>
    </row>
    <row r="4566" ht="15.75" customHeight="1">
      <c r="A4566" s="1">
        <v>4865.0</v>
      </c>
      <c r="B4566" s="3" t="s">
        <v>4414</v>
      </c>
      <c r="C4566" s="3" t="str">
        <f>IFERROR(__xludf.DUMMYFUNCTION("GOOGLETRANSLATE(B4566,""id"",""en"")"),"['Love', 'star', 'hope', 'Telkomsel', 'glancing', 'number', ""]")</f>
        <v>['Love', 'star', 'hope', 'Telkomsel', 'glancing', 'number', "]</v>
      </c>
      <c r="D4566" s="3">
        <v>5.0</v>
      </c>
    </row>
    <row r="4567" ht="15.75" customHeight="1">
      <c r="A4567" s="1">
        <v>4866.0</v>
      </c>
      <c r="B4567" s="3" t="s">
        <v>4415</v>
      </c>
      <c r="C4567" s="3" t="str">
        <f>IFERROR(__xludf.DUMMYFUNCTION("GOOGLETRANSLATE(B4567,""id"",""en"")"),"['a month', 'screen', 'white', 'many', 'reinstall', ""]")</f>
        <v>['a month', 'screen', 'white', 'many', 'reinstall', "]</v>
      </c>
      <c r="D4567" s="3">
        <v>1.0</v>
      </c>
    </row>
    <row r="4568" ht="15.75" customHeight="1">
      <c r="A4568" s="1">
        <v>4867.0</v>
      </c>
      <c r="B4568" s="3" t="s">
        <v>4416</v>
      </c>
      <c r="C4568" s="3" t="str">
        <f>IFERROR(__xludf.DUMMYFUNCTION("GOOGLETRANSLATE(B4568,""id"",""en"")"),"['branch', 'bad', 'quality', 'hurry', 'network', 'move', 'slow']")</f>
        <v>['branch', 'bad', 'quality', 'hurry', 'network', 'move', 'slow']</v>
      </c>
      <c r="D4568" s="3">
        <v>4.0</v>
      </c>
    </row>
    <row r="4569" ht="15.75" customHeight="1">
      <c r="A4569" s="1">
        <v>4868.0</v>
      </c>
      <c r="B4569" s="3" t="s">
        <v>4417</v>
      </c>
      <c r="C4569" s="3" t="str">
        <f>IFERROR(__xludf.DUMMYFUNCTION("GOOGLETRANSLATE(B4569,""id"",""en"")"),"['Benerin', 'Loading', 'Screen', 'GBLG', 'Bet', 'Taik']")</f>
        <v>['Benerin', 'Loading', 'Screen', 'GBLG', 'Bet', 'Taik']</v>
      </c>
      <c r="D4569" s="3">
        <v>2.0</v>
      </c>
    </row>
    <row r="4570" ht="15.75" customHeight="1">
      <c r="A4570" s="1">
        <v>4869.0</v>
      </c>
      <c r="B4570" s="3" t="s">
        <v>4418</v>
      </c>
      <c r="C4570" s="3" t="str">
        <f>IFERROR(__xludf.DUMMYFUNCTION("GOOGLETRANSLATE(B4570,""id"",""en"")"),"['Want', 'Kasi', 'cheap', 'buy', 'qouta']")</f>
        <v>['Want', 'Kasi', 'cheap', 'buy', 'qouta']</v>
      </c>
      <c r="D4570" s="3">
        <v>5.0</v>
      </c>
    </row>
    <row r="4571" ht="15.75" customHeight="1">
      <c r="A4571" s="1">
        <v>4870.0</v>
      </c>
      <c r="B4571" s="3" t="s">
        <v>4419</v>
      </c>
      <c r="C4571" s="3" t="str">
        <f>IFERROR(__xludf.DUMMYFUNCTION("GOOGLETRANSLATE(B4571,""id"",""en"")"),"['bad', 'application', 'update', 'opened', 'screen', 'white', '']")</f>
        <v>['bad', 'application', 'update', 'opened', 'screen', 'white', '']</v>
      </c>
      <c r="D4571" s="3">
        <v>1.0</v>
      </c>
    </row>
    <row r="4572" ht="15.75" customHeight="1">
      <c r="A4572" s="1">
        <v>4871.0</v>
      </c>
      <c r="B4572" s="3" t="s">
        <v>4420</v>
      </c>
      <c r="C4572" s="3" t="str">
        <f>IFERROR(__xludf.DUMMYFUNCTION("GOOGLETRANSLATE(B4572,""id"",""en"")"),"['already', 'Pay', 'expensive', 'expensive', 'network', 'kek', 'pepek']")</f>
        <v>['already', 'Pay', 'expensive', 'expensive', 'network', 'kek', 'pepek']</v>
      </c>
      <c r="D4572" s="3">
        <v>1.0</v>
      </c>
    </row>
    <row r="4573" ht="15.75" customHeight="1">
      <c r="A4573" s="1">
        <v>4872.0</v>
      </c>
      <c r="B4573" s="3" t="s">
        <v>4421</v>
      </c>
      <c r="C4573" s="3" t="str">
        <f>IFERROR(__xludf.DUMMYFUNCTION("GOOGLETRANSLATE(B4573,""id"",""en"")"),"['Fill', 'pulse', 'ilang', 'Abis', 'Download', 'APK']")</f>
        <v>['Fill', 'pulse', 'ilang', 'Abis', 'Download', 'APK']</v>
      </c>
      <c r="D4573" s="3">
        <v>1.0</v>
      </c>
    </row>
    <row r="4574" ht="15.75" customHeight="1">
      <c r="A4574" s="1">
        <v>4873.0</v>
      </c>
      <c r="B4574" s="3" t="s">
        <v>4422</v>
      </c>
      <c r="C4574" s="3" t="str">
        <f>IFERROR(__xludf.DUMMYFUNCTION("GOOGLETRANSLATE(B4574,""id"",""en"")"),"['Network', 'Telokomsel', 'Rain', 'Often', 'Error']")</f>
        <v>['Network', 'Telokomsel', 'Rain', 'Often', 'Error']</v>
      </c>
      <c r="D4574" s="3">
        <v>5.0</v>
      </c>
    </row>
    <row r="4575" ht="15.75" customHeight="1">
      <c r="A4575" s="1">
        <v>4874.0</v>
      </c>
      <c r="B4575" s="3" t="s">
        <v>4423</v>
      </c>
      <c r="C4575" s="3" t="str">
        <f>IFERROR(__xludf.DUMMYFUNCTION("GOOGLETRANSLATE(B4575,""id"",""en"")"),"['Likes', 'Bangat']")</f>
        <v>['Likes', 'Bangat']</v>
      </c>
      <c r="D4575" s="3">
        <v>5.0</v>
      </c>
    </row>
    <row r="4576" ht="15.75" customHeight="1">
      <c r="A4576" s="1">
        <v>4875.0</v>
      </c>
      <c r="B4576" s="3" t="s">
        <v>4424</v>
      </c>
      <c r="C4576" s="3" t="str">
        <f>IFERROR(__xludf.DUMMYFUNCTION("GOOGLETRANSLATE(B4576,""id"",""en"")"),"['users',' Telkomsel ',' quality ',' Telkomsel ',' in the area ',' good ',' bad ',' really ',' name ',' dead ',' many years', 'Telkomsel', ' Times', 'gives',' reviews', 'negative', '']")</f>
        <v>['users',' Telkomsel ',' quality ',' Telkomsel ',' in the area ',' good ',' bad ',' really ',' name ',' dead ',' many years', 'Telkomsel', ' Times', 'gives',' reviews', 'negative', '']</v>
      </c>
      <c r="D4576" s="3">
        <v>1.0</v>
      </c>
    </row>
    <row r="4577" ht="15.75" customHeight="1">
      <c r="A4577" s="1">
        <v>4876.0</v>
      </c>
      <c r="B4577" s="3" t="s">
        <v>4425</v>
      </c>
      <c r="C4577" s="3" t="str">
        <f>IFERROR(__xludf.DUMMYFUNCTION("GOOGLETRANSLATE(B4577,""id"",""en"")"),"['already', 'expensive', 'disorder', 'comfortable', '']")</f>
        <v>['already', 'expensive', 'disorder', 'comfortable', '']</v>
      </c>
      <c r="D4577" s="3">
        <v>1.0</v>
      </c>
    </row>
    <row r="4578" ht="15.75" customHeight="1">
      <c r="A4578" s="1">
        <v>4877.0</v>
      </c>
      <c r="B4578" s="3" t="s">
        <v>3222</v>
      </c>
      <c r="C4578" s="3" t="str">
        <f>IFERROR(__xludf.DUMMYFUNCTION("GOOGLETRANSLATE(B4578,""id"",""en"")"),"['satisfying', '']")</f>
        <v>['satisfying', '']</v>
      </c>
      <c r="D4578" s="3">
        <v>5.0</v>
      </c>
    </row>
    <row r="4579" ht="15.75" customHeight="1">
      <c r="A4579" s="1">
        <v>4878.0</v>
      </c>
      <c r="B4579" s="3" t="s">
        <v>4426</v>
      </c>
      <c r="C4579" s="3" t="str">
        <f>IFERROR(__xludf.DUMMYFUNCTION("GOOGLETRANSLATE(B4579,""id"",""en"")"),"['The network', 'destroyed', 'disappointed', 'buy', 'package', 'data', 'expensive', 'expensive', 'losing', 'operator', 'developing', 'strong', ' The network ',' Auto ',' Change ',' GSM ',' Kayak ',' Gini ', ""]")</f>
        <v>['The network', 'destroyed', 'disappointed', 'buy', 'package', 'data', 'expensive', 'expensive', 'losing', 'operator', 'developing', 'strong', ' The network ',' Auto ',' Change ',' GSM ',' Kayak ',' Gini ', "]</v>
      </c>
      <c r="D4579" s="3">
        <v>1.0</v>
      </c>
    </row>
    <row r="4580" ht="15.75" customHeight="1">
      <c r="A4580" s="1">
        <v>4880.0</v>
      </c>
      <c r="B4580" s="3" t="s">
        <v>4427</v>
      </c>
      <c r="C4580" s="3" t="str">
        <f>IFERROR(__xludf.DUMMYFUNCTION("GOOGLETRANSLATE(B4580,""id"",""en"")"),"['Change', 'Error']")</f>
        <v>['Change', 'Error']</v>
      </c>
      <c r="D4580" s="3">
        <v>1.0</v>
      </c>
    </row>
    <row r="4581" ht="15.75" customHeight="1">
      <c r="A4581" s="1">
        <v>4881.0</v>
      </c>
      <c r="B4581" s="3" t="s">
        <v>4428</v>
      </c>
      <c r="C4581" s="3" t="str">
        <f>IFERROR(__xludf.DUMMYFUNCTION("GOOGLETRANSLATE(B4581,""id"",""en"")"),"['Signal', 'Telkomsel', 'slow', 'Please', 'Consider']")</f>
        <v>['Signal', 'Telkomsel', 'slow', 'Please', 'Consider']</v>
      </c>
      <c r="D4581" s="3">
        <v>1.0</v>
      </c>
    </row>
    <row r="4582" ht="15.75" customHeight="1">
      <c r="A4582" s="1">
        <v>4883.0</v>
      </c>
      <c r="B4582" s="3" t="s">
        <v>4429</v>
      </c>
      <c r="C4582" s="3" t="str">
        <f>IFERROR(__xludf.DUMMYFUNCTION("GOOGLETRANSLATE(B4582,""id"",""en"")"),"['Easy', 'buy', 'package']")</f>
        <v>['Easy', 'buy', 'package']</v>
      </c>
      <c r="D4582" s="3">
        <v>5.0</v>
      </c>
    </row>
    <row r="4583" ht="15.75" customHeight="1">
      <c r="A4583" s="1">
        <v>4884.0</v>
      </c>
      <c r="B4583" s="3" t="s">
        <v>4430</v>
      </c>
      <c r="C4583" s="3" t="str">
        <f>IFERROR(__xludf.DUMMYFUNCTION("GOOGLETRANSLATE(B4583,""id"",""en"")"),"['quality', 'network', 'according to', 'price']")</f>
        <v>['quality', 'network', 'according to', 'price']</v>
      </c>
      <c r="D4583" s="3">
        <v>5.0</v>
      </c>
    </row>
    <row r="4584" ht="15.75" customHeight="1">
      <c r="A4584" s="1">
        <v>4885.0</v>
      </c>
      <c r="B4584" s="3" t="s">
        <v>4431</v>
      </c>
      <c r="C4584" s="3" t="str">
        <f>IFERROR(__xludf.DUMMYFUNCTION("GOOGLETRANSLATE(B4584,""id"",""en"")"),"['Honey', 'quota', 'expensive', 'rare', 'promo', 'network', 'lost', 'sometimes',' road ',' internet ',' play ',' game ',' Mending ',' Switch ',' City ',' Cheap ',' Promo ',' Network ',' Signal ',' Fix ',' Provide ',' Quota ',' Quota ',' Give ',' Bonus' , "&amp;"'Additional', 'City', 'Package', 'Call', 'Pakek', 'Event', 'Bonus', 'Hostar', 'Disney', 'Jaugak', ""]")</f>
        <v>['Honey', 'quota', 'expensive', 'rare', 'promo', 'network', 'lost', 'sometimes',' road ',' internet ',' play ',' game ',' Mending ',' Switch ',' City ',' Cheap ',' Promo ',' Network ',' Signal ',' Fix ',' Provide ',' Quota ',' Quota ',' Give ',' Bonus' , 'Additional', 'City', 'Package', 'Call', 'Pakek', 'Event', 'Bonus', 'Hostar', 'Disney', 'Jaugak', "]</v>
      </c>
      <c r="D4584" s="3">
        <v>1.0</v>
      </c>
    </row>
    <row r="4585" ht="15.75" customHeight="1">
      <c r="A4585" s="1">
        <v>4886.0</v>
      </c>
      <c r="B4585" s="3" t="s">
        <v>4432</v>
      </c>
      <c r="C4585" s="3" t="str">
        <f>IFERROR(__xludf.DUMMYFUNCTION("GOOGLETRANSLATE(B4585,""id"",""en"")"),"['Please', 'package', 'internet', 'cheap', 'little']")</f>
        <v>['Please', 'package', 'internet', 'cheap', 'little']</v>
      </c>
      <c r="D4585" s="3">
        <v>5.0</v>
      </c>
    </row>
    <row r="4586" ht="15.75" customHeight="1">
      <c r="A4586" s="1">
        <v>4887.0</v>
      </c>
      <c r="B4586" s="3" t="s">
        <v>4433</v>
      </c>
      <c r="C4586" s="3" t="str">
        <f>IFERROR(__xludf.DUMMYFUNCTION("GOOGLETRANSLATE(B4586,""id"",""en"")"),"['Okay', '']")</f>
        <v>['Okay', '']</v>
      </c>
      <c r="D4586" s="3">
        <v>5.0</v>
      </c>
    </row>
    <row r="4587" ht="15.75" customHeight="1">
      <c r="A4587" s="1">
        <v>4888.0</v>
      </c>
      <c r="B4587" s="3" t="s">
        <v>4434</v>
      </c>
      <c r="C4587" s="3" t="str">
        <f>IFERROR(__xludf.DUMMYFUNCTION("GOOGLETRANSLATE(B4587,""id"",""en"")"),"['Application', 'opened', '']")</f>
        <v>['Application', 'opened', '']</v>
      </c>
      <c r="D4587" s="3">
        <v>5.0</v>
      </c>
    </row>
    <row r="4588" ht="15.75" customHeight="1">
      <c r="A4588" s="1">
        <v>4889.0</v>
      </c>
      <c r="B4588" s="3" t="s">
        <v>4435</v>
      </c>
      <c r="C4588" s="3" t="str">
        <f>IFERROR(__xludf.DUMMYFUNCTION("GOOGLETRANSLATE(B4588,""id"",""en"")"),"['Increase', 'promo', 'quality', 'signal']")</f>
        <v>['Increase', 'promo', 'quality', 'signal']</v>
      </c>
      <c r="D4588" s="3">
        <v>4.0</v>
      </c>
    </row>
    <row r="4589" ht="15.75" customHeight="1">
      <c r="A4589" s="1">
        <v>4890.0</v>
      </c>
      <c r="B4589" s="3" t="s">
        <v>4436</v>
      </c>
      <c r="C4589" s="3" t="str">
        <f>IFERROR(__xludf.DUMMYFUNCTION("GOOGLETRANSLATE(B4589,""id"",""en"")"),"['package', 'expensive', 'network', 'ugly', 'really', 'box', 'network', 'full', 'slow', 'bamet']")</f>
        <v>['package', 'expensive', 'network', 'ugly', 'really', 'box', 'network', 'full', 'slow', 'bamet']</v>
      </c>
      <c r="D4589" s="3">
        <v>2.0</v>
      </c>
    </row>
    <row r="4590" ht="15.75" customHeight="1">
      <c r="A4590" s="1">
        <v>4891.0</v>
      </c>
      <c r="B4590" s="3" t="s">
        <v>4437</v>
      </c>
      <c r="C4590" s="3" t="str">
        <f>IFERROR(__xludf.DUMMYFUNCTION("GOOGLETRANSLATE(B4590,""id"",""en"")"),"['Credit', 'Cut', 'Please', 'Fix', '']")</f>
        <v>['Credit', 'Cut', 'Please', 'Fix', '']</v>
      </c>
      <c r="D4590" s="3">
        <v>2.0</v>
      </c>
    </row>
    <row r="4591" ht="15.75" customHeight="1">
      <c r="A4591" s="1">
        <v>4892.0</v>
      </c>
      <c r="B4591" s="3" t="s">
        <v>4438</v>
      </c>
      <c r="C4591" s="3" t="str">
        <f>IFERROR(__xludf.DUMMYFUNCTION("GOOGLETRANSLATE(B4591,""id"",""en"")"),"['sucked', 'pulse', 'diem', 'apk', 'open', 'written', 'apk', 'problematic', 'broken', 'try', '']")</f>
        <v>['sucked', 'pulse', 'diem', 'apk', 'open', 'written', 'apk', 'problematic', 'broken', 'try', '']</v>
      </c>
      <c r="D4591" s="3">
        <v>1.0</v>
      </c>
    </row>
    <row r="4592" ht="15.75" customHeight="1">
      <c r="A4592" s="1">
        <v>4893.0</v>
      </c>
      <c r="B4592" s="3" t="s">
        <v>4439</v>
      </c>
      <c r="C4592" s="3" t="str">
        <f>IFERROR(__xludf.DUMMYFUNCTION("GOOGLETRANSLATE(B4592,""id"",""en"")"),"['Network', 'ugly', 'severe', 'like', 'ilang', 'rigi', 'packetan', 'expensive', 'tasty', 'Telkomsel', 'if', 'the network', ' ugly ',' worth ',' price ',' package ',' ']")</f>
        <v>['Network', 'ugly', 'severe', 'like', 'ilang', 'rigi', 'packetan', 'expensive', 'tasty', 'Telkomsel', 'if', 'the network', ' ugly ',' worth ',' price ',' package ',' ']</v>
      </c>
      <c r="D4592" s="3">
        <v>1.0</v>
      </c>
    </row>
    <row r="4593" ht="15.75" customHeight="1">
      <c r="A4593" s="1">
        <v>4894.0</v>
      </c>
      <c r="B4593" s="3" t="s">
        <v>4440</v>
      </c>
      <c r="C4593" s="3" t="str">
        <f>IFERROR(__xludf.DUMMYFUNCTION("GOOGLETRANSLATE(B4593,""id"",""en"")"),"['Price', 'Collapin']")</f>
        <v>['Price', 'Collapin']</v>
      </c>
      <c r="D4593" s="3">
        <v>5.0</v>
      </c>
    </row>
    <row r="4594" ht="15.75" customHeight="1">
      <c r="A4594" s="1">
        <v>4895.0</v>
      </c>
      <c r="B4594" s="3" t="s">
        <v>4441</v>
      </c>
      <c r="C4594" s="3" t="str">
        <f>IFERROR(__xludf.DUMMYFUNCTION("GOOGLETRANSLATE(B4594,""id"",""en"")"),"['rukuk', 'the application', 'setting', 'already', 'allow']")</f>
        <v>['rukuk', 'the application', 'setting', 'already', 'allow']</v>
      </c>
      <c r="D4594" s="3">
        <v>4.0</v>
      </c>
    </row>
    <row r="4595" ht="15.75" customHeight="1">
      <c r="A4595" s="1">
        <v>4896.0</v>
      </c>
      <c r="B4595" s="3" t="s">
        <v>4442</v>
      </c>
      <c r="C4595" s="3" t="str">
        <f>IFERROR(__xludf.DUMMYFUNCTION("GOOGLETRANSLATE(B4595,""id"",""en"")"),"['', 'Telkomsel', 'Good']")</f>
        <v>['', 'Telkomsel', 'Good']</v>
      </c>
      <c r="D4595" s="3">
        <v>5.0</v>
      </c>
    </row>
    <row r="4596" ht="15.75" customHeight="1">
      <c r="A4596" s="1">
        <v>4897.0</v>
      </c>
      <c r="B4596" s="3" t="s">
        <v>4443</v>
      </c>
      <c r="C4596" s="3" t="str">
        <f>IFERROR(__xludf.DUMMYFUNCTION("GOOGLETRANSLATE(B4596,""id"",""en"")"),"['Network', 'ilang', 'Nilagan', 'Anjeeng', 'GOBLOook', 'Think', 'Card', 'Good', 'Denpasar', 'Masah', 'Signal', 'ilang', ' Data ',' on ',' Kek ',' Pakeran ',' Cook ',' Mode ',' Plane ',' Normal ',' Suitable ',' Maen ',' Game ',' Activity ',' Cepet ' ]")</f>
        <v>['Network', 'ilang', 'Nilagan', 'Anjeeng', 'GOBLOook', 'Think', 'Card', 'Good', 'Denpasar', 'Masah', 'Signal', 'ilang', ' Data ',' on ',' Kek ',' Pakeran ',' Cook ',' Mode ',' Plane ',' Normal ',' Suitable ',' Maen ',' Game ',' Activity ',' Cepet ' ]</v>
      </c>
      <c r="D4596" s="3">
        <v>1.0</v>
      </c>
    </row>
    <row r="4597" ht="15.75" customHeight="1">
      <c r="A4597" s="1">
        <v>4898.0</v>
      </c>
      <c r="B4597" s="3" t="s">
        <v>4444</v>
      </c>
      <c r="C4597" s="3" t="str">
        <f>IFERROR(__xludf.DUMMYFUNCTION("GOOGLETRANSLATE(B4597,""id"",""en"")"),"['star', '']")</f>
        <v>['star', '']</v>
      </c>
      <c r="D4597" s="3">
        <v>3.0</v>
      </c>
    </row>
    <row r="4598" ht="15.75" customHeight="1">
      <c r="A4598" s="1">
        <v>4899.0</v>
      </c>
      <c r="B4598" s="3" t="s">
        <v>4445</v>
      </c>
      <c r="C4598" s="3" t="str">
        <f>IFERROR(__xludf.DUMMYFUNCTION("GOOGLETRANSLATE(B4598,""id"",""en"")"),"['Good', 'bet']")</f>
        <v>['Good', 'bet']</v>
      </c>
      <c r="D4598" s="3">
        <v>3.0</v>
      </c>
    </row>
    <row r="4599" ht="15.75" customHeight="1">
      <c r="A4599" s="1">
        <v>4900.0</v>
      </c>
      <c r="B4599" s="3" t="s">
        <v>4446</v>
      </c>
      <c r="C4599" s="3" t="str">
        <f>IFERROR(__xludf.DUMMYFUNCTION("GOOGLETRANSLATE(B4599,""id"",""en"")"),"['min', 'please', 'application', 'Telkomsel', 'gatau', 'gabisa', 'opened', 'already', 'uninstall', 'install', 'tetep', 'gabisa', ' The picture is', 'White', 'Doang', 'Please', 'Min']")</f>
        <v>['min', 'please', 'application', 'Telkomsel', 'gatau', 'gabisa', 'opened', 'already', 'uninstall', 'install', 'tetep', 'gabisa', ' The picture is', 'White', 'Doang', 'Please', 'Min']</v>
      </c>
      <c r="D4599" s="3">
        <v>4.0</v>
      </c>
    </row>
    <row r="4600" ht="15.75" customHeight="1">
      <c r="A4600" s="1">
        <v>4901.0</v>
      </c>
      <c r="B4600" s="3" t="s">
        <v>4447</v>
      </c>
      <c r="C4600" s="3" t="str">
        <f>IFERROR(__xludf.DUMMYFUNCTION("GOOGLETRANSLATE(B4600,""id"",""en"")"),"['what', 'application', 'promo', 'satisfying', 'cheap', 'then', 'application', 'error', 'please', 'donk', 'consistent', 'lgi', ' inwardly ',' lgi ',' klau ',' kek ',' gini ',' pkai ',' application ']")</f>
        <v>['what', 'application', 'promo', 'satisfying', 'cheap', 'then', 'application', 'error', 'please', 'donk', 'consistent', 'lgi', ' inwardly ',' lgi ',' klau ',' kek ',' gini ',' pkai ',' application ']</v>
      </c>
      <c r="D4600" s="3">
        <v>1.0</v>
      </c>
    </row>
    <row r="4601" ht="15.75" customHeight="1">
      <c r="A4601" s="1">
        <v>4902.0</v>
      </c>
      <c r="B4601" s="3" t="s">
        <v>4448</v>
      </c>
      <c r="C4601" s="3" t="str">
        <f>IFERROR(__xludf.DUMMYFUNCTION("GOOGLETRANSLATE(B4601,""id"",""en"")"),"['steady', 'package', 'buy', 'price', 'raise', 'pity', 'person', ""]")</f>
        <v>['steady', 'package', 'buy', 'price', 'raise', 'pity', 'person', "]</v>
      </c>
      <c r="D4601" s="3">
        <v>3.0</v>
      </c>
    </row>
    <row r="4602" ht="15.75" customHeight="1">
      <c r="A4602" s="1">
        <v>4903.0</v>
      </c>
      <c r="B4602" s="3" t="s">
        <v>4449</v>
      </c>
      <c r="C4602" s="3" t="str">
        <f>IFERROR(__xludf.DUMMYFUNCTION("GOOGLETRANSLATE(B4602,""id"",""en"")"),"['knp', 'open', 'application', 'background', 'white', 'please', 'application', 'good', 'please', '']")</f>
        <v>['knp', 'open', 'application', 'background', 'white', 'please', 'application', 'good', 'please', '']</v>
      </c>
      <c r="D4602" s="3">
        <v>1.0</v>
      </c>
    </row>
    <row r="4603" ht="15.75" customHeight="1">
      <c r="A4603" s="1">
        <v>4904.0</v>
      </c>
      <c r="B4603" s="3" t="s">
        <v>1044</v>
      </c>
      <c r="C4603" s="3" t="str">
        <f>IFERROR(__xludf.DUMMYFUNCTION("GOOGLETRANSLATE(B4603,""id"",""en"")"),"['good', '']")</f>
        <v>['good', '']</v>
      </c>
      <c r="D4603" s="3">
        <v>4.0</v>
      </c>
    </row>
    <row r="4604" ht="15.75" customHeight="1">
      <c r="A4604" s="1">
        <v>4905.0</v>
      </c>
      <c r="B4604" s="3" t="s">
        <v>4450</v>
      </c>
      <c r="C4604" s="3" t="str">
        <f>IFERROR(__xludf.DUMMYFUNCTION("GOOGLETRANSLATE(B4604,""id"",""en"")"),"['interesting', 'help', 'Points', 'quota', 'free']")</f>
        <v>['interesting', 'help', 'Points', 'quota', 'free']</v>
      </c>
      <c r="D4604" s="3">
        <v>5.0</v>
      </c>
    </row>
    <row r="4605" ht="15.75" customHeight="1">
      <c r="A4605" s="1">
        <v>4906.0</v>
      </c>
      <c r="B4605" s="3" t="s">
        <v>4451</v>
      </c>
      <c r="C4605" s="3" t="str">
        <f>IFERROR(__xludf.DUMMYFUNCTION("GOOGLETRANSLATE(B4605,""id"",""en"")"),"['quota', 'government', 'cpt', 'really', 'run out', 'please', 'test', ""]")</f>
        <v>['quota', 'government', 'cpt', 'really', 'run out', 'please', 'test', "]</v>
      </c>
      <c r="D4605" s="3">
        <v>5.0</v>
      </c>
    </row>
    <row r="4606" ht="15.75" customHeight="1">
      <c r="A4606" s="1">
        <v>4907.0</v>
      </c>
      <c r="B4606" s="3" t="s">
        <v>4452</v>
      </c>
      <c r="C4606" s="3" t="str">
        <f>IFERROR(__xludf.DUMMYFUNCTION("GOOGLETRANSLATE(B4606,""id"",""en"")"),"['Lawak', 'Tekomsel', 'Vacuum', 'Credit', 'Bintang', '']")</f>
        <v>['Lawak', 'Tekomsel', 'Vacuum', 'Credit', 'Bintang', '']</v>
      </c>
      <c r="D4606" s="3">
        <v>1.0</v>
      </c>
    </row>
    <row r="4607" ht="15.75" customHeight="1">
      <c r="A4607" s="1">
        <v>4908.0</v>
      </c>
      <c r="B4607" s="3" t="s">
        <v>4453</v>
      </c>
      <c r="C4607" s="3" t="str">
        <f>IFERROR(__xludf.DUMMYFUNCTION("GOOGLETRANSLATE(B4607,""id"",""en"")"),"['GMN', 'Telkomsel', 'Application', 'Buluk', 'Open']")</f>
        <v>['GMN', 'Telkomsel', 'Application', 'Buluk', 'Open']</v>
      </c>
      <c r="D4607" s="3">
        <v>1.0</v>
      </c>
    </row>
    <row r="4608" ht="15.75" customHeight="1">
      <c r="A4608" s="1">
        <v>4909.0</v>
      </c>
      <c r="B4608" s="3" t="s">
        <v>4454</v>
      </c>
      <c r="C4608" s="3" t="str">
        <f>IFERROR(__xludf.DUMMYFUNCTION("GOOGLETRANSLATE(B4608,""id"",""en"")"),"['Temkonsel', 'enjoy', 'Temmonsel']")</f>
        <v>['Temkonsel', 'enjoy', 'Temmonsel']</v>
      </c>
      <c r="D4608" s="3">
        <v>5.0</v>
      </c>
    </row>
    <row r="4609" ht="15.75" customHeight="1">
      <c r="A4609" s="1">
        <v>4911.0</v>
      </c>
      <c r="B4609" s="3" t="s">
        <v>4455</v>
      </c>
      <c r="C4609" s="3" t="str">
        <f>IFERROR(__xludf.DUMMYFUNCTION("GOOGLETRANSLATE(B4609,""id"",""en"")"),"['Open', 'Install', 'Uninstall', 'Uninstall', 'Uninstall', 'Disappointed', 'Issh']")</f>
        <v>['Open', 'Install', 'Uninstall', 'Uninstall', 'Uninstall', 'Disappointed', 'Issh']</v>
      </c>
      <c r="D4609" s="3">
        <v>1.0</v>
      </c>
    </row>
    <row r="4610" ht="15.75" customHeight="1">
      <c r="A4610" s="1">
        <v>4912.0</v>
      </c>
      <c r="B4610" s="3" t="s">
        <v>2693</v>
      </c>
      <c r="C4610" s="3" t="str">
        <f>IFERROR(__xludf.DUMMYFUNCTION("GOOGLETRANSLATE(B4610,""id"",""en"")"),"['application', 'good', 'really']")</f>
        <v>['application', 'good', 'really']</v>
      </c>
      <c r="D4610" s="3">
        <v>5.0</v>
      </c>
    </row>
    <row r="4611" ht="15.75" customHeight="1">
      <c r="A4611" s="1">
        <v>4913.0</v>
      </c>
      <c r="B4611" s="3" t="s">
        <v>4456</v>
      </c>
      <c r="C4611" s="3" t="str">
        <f>IFERROR(__xludf.DUMMYFUNCTION("GOOGLETRANSLATE(B4611,""id"",""en"")"),"['Telkomsel', 'Good', 'Package', 'Jga', 'Cheap', 'TPI', 'BLM', 'Lucky', 'Gift', 'Lottery', ""]")</f>
        <v>['Telkomsel', 'Good', 'Package', 'Jga', 'Cheap', 'TPI', 'BLM', 'Lucky', 'Gift', 'Lottery', "]</v>
      </c>
      <c r="D4611" s="3">
        <v>5.0</v>
      </c>
    </row>
    <row r="4612" ht="15.75" customHeight="1">
      <c r="A4612" s="1">
        <v>4914.0</v>
      </c>
      <c r="B4612" s="3" t="s">
        <v>312</v>
      </c>
      <c r="C4612" s="3" t="str">
        <f>IFERROR(__xludf.DUMMYFUNCTION("GOOGLETRANSLATE(B4612,""id"",""en"")"),"['best']")</f>
        <v>['best']</v>
      </c>
      <c r="D4612" s="3">
        <v>5.0</v>
      </c>
    </row>
    <row r="4613" ht="15.75" customHeight="1">
      <c r="A4613" s="1">
        <v>4915.0</v>
      </c>
      <c r="B4613" s="3" t="s">
        <v>4457</v>
      </c>
      <c r="C4613" s="3" t="str">
        <f>IFERROR(__xludf.DUMMYFUNCTION("GOOGLETRANSLATE(B4613,""id"",""en"")"),"['Gorgeak', 'Mulu']")</f>
        <v>['Gorgeak', 'Mulu']</v>
      </c>
      <c r="D4613" s="3">
        <v>1.0</v>
      </c>
    </row>
    <row r="4614" ht="15.75" customHeight="1">
      <c r="A4614" s="1">
        <v>4916.0</v>
      </c>
      <c r="B4614" s="3" t="s">
        <v>4458</v>
      </c>
      <c r="C4614" s="3" t="str">
        <f>IFERROR(__xludf.DUMMYFUNCTION("GOOGLETRANSLATE(B4614,""id"",""en"")"),"['Credit', 'Cut', 'Buy', 'Package', 'Data', 'Package', 'TLP', 'WiFi', 'Credit', 'Reduced', 'Please', 'Telkomsel', ' Cut ',' Credit ',' People ',' Loss', 'Mail', 'BKN', 'Cut', 'Credit', 'TGL', 'Fill', 'Credit', 'date', 'PulsaTinggal' , 'use']")</f>
        <v>['Credit', 'Cut', 'Buy', 'Package', 'Data', 'Package', 'TLP', 'WiFi', 'Credit', 'Reduced', 'Please', 'Telkomsel', ' Cut ',' Credit ',' People ',' Loss', 'Mail', 'BKN', 'Cut', 'Credit', 'TGL', 'Fill', 'Credit', 'date', 'PulsaTinggal' , 'use']</v>
      </c>
      <c r="D4614" s="3">
        <v>1.0</v>
      </c>
    </row>
    <row r="4615" ht="15.75" customHeight="1">
      <c r="A4615" s="1">
        <v>4917.0</v>
      </c>
      <c r="B4615" s="3" t="s">
        <v>4459</v>
      </c>
      <c r="C4615" s="3" t="str">
        <f>IFERROR(__xludf.DUMMYFUNCTION("GOOGLETRANSLATE(B4615,""id"",""en"")"),"['fun', 'fun']")</f>
        <v>['fun', 'fun']</v>
      </c>
      <c r="D4615" s="3">
        <v>4.0</v>
      </c>
    </row>
    <row r="4616" ht="15.75" customHeight="1">
      <c r="A4616" s="1">
        <v>4918.0</v>
      </c>
      <c r="B4616" s="3" t="s">
        <v>4460</v>
      </c>
      <c r="C4616" s="3" t="str">
        <f>IFERROR(__xludf.DUMMYFUNCTION("GOOGLETRANSLATE(B4616,""id"",""en"")"),"['Help', 'at the time', 'urgent', 'charging', 'pulse', 'data', 'emergency']")</f>
        <v>['Help', 'at the time', 'urgent', 'charging', 'pulse', 'data', 'emergency']</v>
      </c>
      <c r="D4616" s="3">
        <v>5.0</v>
      </c>
    </row>
    <row r="4617" ht="15.75" customHeight="1">
      <c r="A4617" s="1">
        <v>4919.0</v>
      </c>
      <c r="B4617" s="3" t="s">
        <v>4461</v>
      </c>
      <c r="C4617" s="3" t="str">
        <f>IFERROR(__xludf.DUMMYFUNCTION("GOOGLETRANSLATE(B4617,""id"",""en"")"),"['Abdate', 'then', 'gan']")</f>
        <v>['Abdate', 'then', 'gan']</v>
      </c>
      <c r="D4617" s="3">
        <v>4.0</v>
      </c>
    </row>
    <row r="4618" ht="15.75" customHeight="1">
      <c r="A4618" s="1">
        <v>4920.0</v>
      </c>
      <c r="B4618" s="3" t="s">
        <v>4462</v>
      </c>
      <c r="C4618" s="3" t="str">
        <f>IFERROR(__xludf.DUMMYFUNCTION("GOOGLETRANSLATE(B4618,""id"",""en"")"),"['The application', 'good', 'hope', 'promo', 'thank you']")</f>
        <v>['The application', 'good', 'hope', 'promo', 'thank you']</v>
      </c>
      <c r="D4618" s="3">
        <v>5.0</v>
      </c>
    </row>
    <row r="4619" ht="15.75" customHeight="1">
      <c r="A4619" s="1">
        <v>4921.0</v>
      </c>
      <c r="B4619" s="3" t="s">
        <v>4463</v>
      </c>
      <c r="C4619" s="3" t="str">
        <f>IFERROR(__xludf.DUMMYFUNCTION("GOOGLETRANSLATE(B4619,""id"",""en"")"),"['Network', 'Ngellag', 'Mulu', 'toloooolllllllll']")</f>
        <v>['Network', 'Ngellag', 'Mulu', 'toloooolllllllll']</v>
      </c>
      <c r="D4619" s="3">
        <v>1.0</v>
      </c>
    </row>
    <row r="4620" ht="15.75" customHeight="1">
      <c r="A4620" s="1">
        <v>4922.0</v>
      </c>
      <c r="B4620" s="3" t="s">
        <v>4464</v>
      </c>
      <c r="C4620" s="3" t="str">
        <f>IFERROR(__xludf.DUMMYFUNCTION("GOOGLETRANSLATE(B4620,""id"",""en"")"),"['Good', 'satisfying']")</f>
        <v>['Good', 'satisfying']</v>
      </c>
      <c r="D4620" s="3">
        <v>5.0</v>
      </c>
    </row>
    <row r="4621" ht="15.75" customHeight="1">
      <c r="A4621" s="1">
        <v>4923.0</v>
      </c>
      <c r="B4621" s="3" t="s">
        <v>4465</v>
      </c>
      <c r="C4621" s="3" t="str">
        <f>IFERROR(__xludf.DUMMYFUNCTION("GOOGLETRANSLATE(B4621,""id"",""en"")"),"['The cause', 'open', 'Samsung', 'gabisa']")</f>
        <v>['The cause', 'open', 'Samsung', 'gabisa']</v>
      </c>
      <c r="D4621" s="3">
        <v>1.0</v>
      </c>
    </row>
    <row r="4622" ht="15.75" customHeight="1">
      <c r="A4622" s="1">
        <v>4924.0</v>
      </c>
      <c r="B4622" s="3" t="s">
        <v>4466</v>
      </c>
      <c r="C4622" s="3" t="str">
        <f>IFERROR(__xludf.DUMMYFUNCTION("GOOGLETRANSLATE(B4622,""id"",""en"")"),"['ugly', 'signal', 'package', 'expensive', 'signal', 'ugly']")</f>
        <v>['ugly', 'signal', 'package', 'expensive', 'signal', 'ugly']</v>
      </c>
      <c r="D4622" s="3">
        <v>1.0</v>
      </c>
    </row>
    <row r="4623" ht="15.75" customHeight="1">
      <c r="A4623" s="1">
        <v>4926.0</v>
      </c>
      <c r="B4623" s="3" t="s">
        <v>4467</v>
      </c>
      <c r="C4623" s="3" t="str">
        <f>IFERROR(__xludf.DUMMYFUNCTION("GOOGLETRANSLATE(B4623,""id"",""en"")"),"['Hopefully', 'Win', 'Lottery', 'Car', 'Motor', 'Amien']")</f>
        <v>['Hopefully', 'Win', 'Lottery', 'Car', 'Motor', 'Amien']</v>
      </c>
      <c r="D4623" s="3">
        <v>5.0</v>
      </c>
    </row>
    <row r="4624" ht="15.75" customHeight="1">
      <c r="A4624" s="1">
        <v>4927.0</v>
      </c>
      <c r="B4624" s="3" t="s">
        <v>4468</v>
      </c>
      <c r="C4624" s="3" t="str">
        <f>IFERROR(__xludf.DUMMYFUNCTION("GOOGLETRANSLATE(B4624,""id"",""en"")"),"['Out', 'update', 'login', 'poor', 'Neh', 'Telkomsel']")</f>
        <v>['Out', 'update', 'login', 'poor', 'Neh', 'Telkomsel']</v>
      </c>
      <c r="D4624" s="3">
        <v>5.0</v>
      </c>
    </row>
    <row r="4625" ht="15.75" customHeight="1">
      <c r="A4625" s="1">
        <v>4928.0</v>
      </c>
      <c r="B4625" s="3" t="s">
        <v>1816</v>
      </c>
      <c r="C4625" s="3" t="str">
        <f>IFERROR(__xludf.DUMMYFUNCTION("GOOGLETRANSLATE(B4625,""id"",""en"")"),"['', 'Telkomsel', 'best']")</f>
        <v>['', 'Telkomsel', 'best']</v>
      </c>
      <c r="D4625" s="3">
        <v>5.0</v>
      </c>
    </row>
    <row r="4626" ht="15.75" customHeight="1">
      <c r="A4626" s="1">
        <v>4929.0</v>
      </c>
      <c r="B4626" s="3" t="s">
        <v>4469</v>
      </c>
      <c r="C4626" s="3" t="str">
        <f>IFERROR(__xludf.DUMMYFUNCTION("GOOGLETRANSLATE(B4626,""id"",""en"")"),"['Telkomsel', 'card', 'Ajgyg', 'use', 'already', 'expensive', 'network', 'slow', 'maen', 'game', 'mnding', 'no', ' Telkomsel ',' Rewel ',' lag ',' severe ',' game ',' UDH ',' price ',' quota ',' expensive ',' month ',' price ',' quota ',' add it ' , 'That"&amp;" way', 'Tetep', 'Doly "",' Nambah ',' Otu ',' Saranin ',' Mending ',' Telkomsel ']")</f>
        <v>['Telkomsel', 'card', 'Ajgyg', 'use', 'already', 'expensive', 'network', 'slow', 'maen', 'game', 'mnding', 'no', ' Telkomsel ',' Rewel ',' lag ',' severe ',' game ',' UDH ',' price ',' quota ',' expensive ',' month ',' price ',' quota ',' add it ' , 'That way', 'Tetep', 'Doly ",' Nambah ',' Otu ',' Saranin ',' Mending ',' Telkomsel ']</v>
      </c>
      <c r="D4626" s="3">
        <v>1.0</v>
      </c>
    </row>
    <row r="4627" ht="15.75" customHeight="1">
      <c r="A4627" s="1">
        <v>4930.0</v>
      </c>
      <c r="B4627" s="3" t="s">
        <v>4470</v>
      </c>
      <c r="C4627" s="3" t="str">
        <f>IFERROR(__xludf.DUMMYFUNCTION("GOOGLETRANSLATE(B4627,""id"",""en"")"),"['machine', 'answering', 'robot', 'try', 'response', 'complaints',' customer ',' user ',' poor ',' rich ',' king ',' customer ',' users', 'Klu', 'go', 'Switch', 'operator', 'guarantee', 'next', 'Telkomsel', 'think', 'think', 'use', 'your brain', 'brain' ,"&amp;" 'shrink', ""]")</f>
        <v>['machine', 'answering', 'robot', 'try', 'response', 'complaints',' customer ',' user ',' poor ',' rich ',' king ',' customer ',' users', 'Klu', 'go', 'Switch', 'operator', 'guarantee', 'next', 'Telkomsel', 'think', 'think', 'use', 'your brain', 'brain' , 'shrink', "]</v>
      </c>
      <c r="D4627" s="3">
        <v>1.0</v>
      </c>
    </row>
    <row r="4628" ht="15.75" customHeight="1">
      <c r="A4628" s="1">
        <v>4931.0</v>
      </c>
      <c r="B4628" s="3" t="s">
        <v>4471</v>
      </c>
      <c r="C4628" s="3" t="str">
        <f>IFERROR(__xludf.DUMMYFUNCTION("GOOGLETRANSLATE(B4628,""id"",""en"")"),"['Like', 'application']")</f>
        <v>['Like', 'application']</v>
      </c>
      <c r="D4628" s="3">
        <v>5.0</v>
      </c>
    </row>
    <row r="4629" ht="15.75" customHeight="1">
      <c r="A4629" s="1">
        <v>4932.0</v>
      </c>
      <c r="B4629" s="3" t="s">
        <v>4472</v>
      </c>
      <c r="C4629" s="3" t="str">
        <f>IFERROR(__xludf.DUMMYFUNCTION("GOOGLETRANSLATE(B4629,""id"",""en"")"),"['AFK', 'Slow', 'Sometimes', 'Bleng', 'White', 'RAM', 'Adequate', 'UDH', 'UFGRADE', 'MSI', 'annoyed']")</f>
        <v>['AFK', 'Slow', 'Sometimes', 'Bleng', 'White', 'RAM', 'Adequate', 'UDH', 'UFGRADE', 'MSI', 'annoyed']</v>
      </c>
      <c r="D4629" s="3">
        <v>1.0</v>
      </c>
    </row>
    <row r="4630" ht="15.75" customHeight="1">
      <c r="A4630" s="1">
        <v>4933.0</v>
      </c>
      <c r="B4630" s="3" t="s">
        <v>4473</v>
      </c>
      <c r="C4630" s="3" t="str">
        <f>IFERROR(__xludf.DUMMYFUNCTION("GOOGLETRANSLATE(B4630,""id"",""en"")"),"['Network', 'Telkomsel', 'ugly']")</f>
        <v>['Network', 'Telkomsel', 'ugly']</v>
      </c>
      <c r="D4630" s="3">
        <v>1.0</v>
      </c>
    </row>
    <row r="4631" ht="15.75" customHeight="1">
      <c r="A4631" s="1">
        <v>4934.0</v>
      </c>
      <c r="B4631" s="3" t="s">
        <v>4474</v>
      </c>
      <c r="C4631" s="3" t="str">
        <f>IFERROR(__xludf.DUMMYFUNCTION("GOOGLETRANSLATE(B4631,""id"",""en"")"),"['Ngebleng', 'white', 'go']")</f>
        <v>['Ngebleng', 'white', 'go']</v>
      </c>
      <c r="D4631" s="3">
        <v>1.0</v>
      </c>
    </row>
    <row r="4632" ht="15.75" customHeight="1">
      <c r="A4632" s="1">
        <v>4935.0</v>
      </c>
      <c r="B4632" s="3" t="s">
        <v>4475</v>
      </c>
      <c r="C4632" s="3" t="str">
        <f>IFERROR(__xludf.DUMMYFUNCTION("GOOGLETRANSLATE(B4632,""id"",""en"")"),"['network', 'internet', 'slow', 'disorder', 'solution', 'leave', 'feature', 'Telkomsel', 'leave', 'shift', 'as soon as possible,' card ',' prime ',' provider ',' recommended ',' user ',' urgent ',' etc. ',' pokonya ',' disappointing ',' kemkomsel ',' Telk"&amp;"omsel ',' thank you ', ""]")</f>
        <v>['network', 'internet', 'slow', 'disorder', 'solution', 'leave', 'feature', 'Telkomsel', 'leave', 'shift', 'as soon as possible,' card ',' prime ',' provider ',' recommended ',' user ',' urgent ',' etc. ',' pokonya ',' disappointing ',' kemkomsel ',' Telkomsel ',' thank you ', "]</v>
      </c>
      <c r="D4632" s="3">
        <v>1.0</v>
      </c>
    </row>
    <row r="4633" ht="15.75" customHeight="1">
      <c r="A4633" s="1">
        <v>4936.0</v>
      </c>
      <c r="B4633" s="3" t="s">
        <v>4476</v>
      </c>
      <c r="C4633" s="3" t="str">
        <f>IFERROR(__xludf.DUMMYFUNCTION("GOOGLETRANSLATE(B4633,""id"",""en"")"),"['Cheap', 'festive', 'package', 'internet']")</f>
        <v>['Cheap', 'festive', 'package', 'internet']</v>
      </c>
      <c r="D4633" s="3">
        <v>4.0</v>
      </c>
    </row>
    <row r="4634" ht="15.75" customHeight="1">
      <c r="A4634" s="1">
        <v>4937.0</v>
      </c>
      <c r="B4634" s="3" t="s">
        <v>4477</v>
      </c>
      <c r="C4634" s="3" t="str">
        <f>IFERROR(__xludf.DUMMYFUNCTION("GOOGLETRANSLATE(B4634,""id"",""en"")"),"['package', 'internet', 'expensive', 'expensive', 'love', 'bid', 'package', 'alimitid', 'no', 'bid', 'full', 'package', ' Free ',' please ',' love ',' change ',' bid ',' package ',' comfortable ',' ']")</f>
        <v>['package', 'internet', 'expensive', 'expensive', 'love', 'bid', 'package', 'alimitid', 'no', 'bid', 'full', 'package', ' Free ',' please ',' love ',' change ',' bid ',' package ',' comfortable ',' ']</v>
      </c>
      <c r="D4634" s="3">
        <v>2.0</v>
      </c>
    </row>
    <row r="4635" ht="15.75" customHeight="1">
      <c r="A4635" s="1">
        <v>4938.0</v>
      </c>
      <c r="B4635" s="3" t="s">
        <v>4478</v>
      </c>
      <c r="C4635" s="3" t="str">
        <f>IFERROR(__xludf.DUMMYFUNCTION("GOOGLETRANSLATE(B4635,""id"",""en"")"),"['Telkomsel', 'home', 'Region', 'Jogosatru', 'Sukodono', 'Sidoarjo', 'Sousal', 'ugly', 'Game', 'Sosmed', 'YouTube', 'Current', ' Jaya ',' moved ',' location ',' village ',' next door ',' signal ',' normal ',' please ',' fix ',' Telkomsel ',' remote ',' ho"&amp;"me ']")</f>
        <v>['Telkomsel', 'home', 'Region', 'Jogosatru', 'Sukodono', 'Sidoarjo', 'Sousal', 'ugly', 'Game', 'Sosmed', 'YouTube', 'Current', ' Jaya ',' moved ',' location ',' village ',' next door ',' signal ',' normal ',' please ',' fix ',' Telkomsel ',' remote ',' home ']</v>
      </c>
      <c r="D4635" s="3">
        <v>2.0</v>
      </c>
    </row>
    <row r="4636" ht="15.75" customHeight="1">
      <c r="A4636" s="1">
        <v>4939.0</v>
      </c>
      <c r="B4636" s="3" t="s">
        <v>4479</v>
      </c>
      <c r="C4636" s="3" t="str">
        <f>IFERROR(__xludf.DUMMYFUNCTION("GOOGLETRANSLATE(B4636,""id"",""en"")"),"['problematic', 'Telkomsel', 'application', 'bad', '']")</f>
        <v>['problematic', 'Telkomsel', 'application', 'bad', '']</v>
      </c>
      <c r="D4636" s="3">
        <v>1.0</v>
      </c>
    </row>
    <row r="4637" ht="15.75" customHeight="1">
      <c r="A4637" s="1">
        <v>4940.0</v>
      </c>
      <c r="B4637" s="3" t="s">
        <v>4480</v>
      </c>
      <c r="C4637" s="3" t="str">
        <f>IFERROR(__xludf.DUMMYFUNCTION("GOOGLETRANSLATE(B4637,""id"",""en"")"),"['kerren', 'helped', 'communicates', 'get', 'info', 'info', 'medsos', 'signal', 'strong', 'Where', '']")</f>
        <v>['kerren', 'helped', 'communicates', 'get', 'info', 'info', 'medsos', 'signal', 'strong', 'Where', '']</v>
      </c>
      <c r="D4637" s="3">
        <v>5.0</v>
      </c>
    </row>
    <row r="4638" ht="15.75" customHeight="1">
      <c r="A4638" s="1">
        <v>4941.0</v>
      </c>
      <c r="B4638" s="3" t="s">
        <v>4481</v>
      </c>
      <c r="C4638" s="3" t="str">
        <f>IFERROR(__xludf.DUMMYFUNCTION("GOOGLETRANSLATE(B4638,""id"",""en"")"),"['stable', 'signal', 'area', 'signal', 'ugly', 'really', 'kirain', 'good', 'signal']")</f>
        <v>['stable', 'signal', 'area', 'signal', 'ugly', 'really', 'kirain', 'good', 'signal']</v>
      </c>
      <c r="D4638" s="3">
        <v>2.0</v>
      </c>
    </row>
    <row r="4639" ht="15.75" customHeight="1">
      <c r="A4639" s="1">
        <v>4942.0</v>
      </c>
      <c r="B4639" s="3" t="s">
        <v>4482</v>
      </c>
      <c r="C4639" s="3" t="str">
        <f>IFERROR(__xludf.DUMMYFUNCTION("GOOGLETRANSLATE(B4639,""id"",""en"")"),"['Nuker', 'Point', 'Game', 'Call', 'Duty', 'Point', 'Cut', 'Enter']")</f>
        <v>['Nuker', 'Point', 'Game', 'Call', 'Duty', 'Point', 'Cut', 'Enter']</v>
      </c>
      <c r="D4639" s="3">
        <v>1.0</v>
      </c>
    </row>
    <row r="4640" ht="15.75" customHeight="1">
      <c r="A4640" s="1">
        <v>4943.0</v>
      </c>
      <c r="B4640" s="3" t="s">
        <v>4483</v>
      </c>
      <c r="C4640" s="3" t="str">
        <f>IFERROR(__xludf.DUMMYFUNCTION("GOOGLETRANSLATE(B4640,""id"",""en"")"),"['Set', 'number', 'phone', 'member', 'family', 'package', 'quota', 'family', 'damaged', 'the application', '']")</f>
        <v>['Set', 'number', 'phone', 'member', 'family', 'package', 'quota', 'family', 'damaged', 'the application', '']</v>
      </c>
      <c r="D4640" s="3">
        <v>1.0</v>
      </c>
    </row>
    <row r="4641" ht="15.75" customHeight="1">
      <c r="A4641" s="1">
        <v>4944.0</v>
      </c>
      <c r="B4641" s="3" t="s">
        <v>4484</v>
      </c>
      <c r="C4641" s="3" t="str">
        <f>IFERROR(__xludf.DUMMYFUNCTION("GOOGLETRANSLATE(B4641,""id"",""en"")"),"['signal', 'ugly', 'sie', 'knp', 'telkom', 'buy', 'kouta', 'expensive', 'expensive', 'knp', 'network', 'ugly', ' Send ',' Chat ',' Knp ',' Loading ',' Clock ',' Wall ']")</f>
        <v>['signal', 'ugly', 'sie', 'knp', 'telkom', 'buy', 'kouta', 'expensive', 'expensive', 'knp', 'network', 'ugly', ' Send ',' Chat ',' Knp ',' Loading ',' Clock ',' Wall ']</v>
      </c>
      <c r="D4641" s="3">
        <v>1.0</v>
      </c>
    </row>
    <row r="4642" ht="15.75" customHeight="1">
      <c r="A4642" s="1">
        <v>4945.0</v>
      </c>
      <c r="B4642" s="3" t="s">
        <v>4485</v>
      </c>
      <c r="C4642" s="3" t="str">
        <f>IFERROR(__xludf.DUMMYFUNCTION("GOOGLETRANSLATE(B4642,""id"",""en"")"),"['Help', 'really', 'mAh', 'operator', 'Telkomsel', 'Dear', 'Network', 'area', 'Caringin', 'Bogor', 'ugly', 'really', ' network ',' card ',' Telkomsel ',' father ',' ugly ',' difficult ',' urgent ',' send ',' task ',' college ',' is difficult ',' that's' ,"&amp;" 'Please', 'Fix', 'Network', 'Telkomsel', 'Region', 'Review', 'Bintang', 'Disappointed', 'A Month', 'Network', 'Fix', 'Love', ' ',' Bintang ',' all ',' ']")</f>
        <v>['Help', 'really', 'mAh', 'operator', 'Telkomsel', 'Dear', 'Network', 'area', 'Caringin', 'Bogor', 'ugly', 'really', ' network ',' card ',' Telkomsel ',' father ',' ugly ',' difficult ',' urgent ',' send ',' task ',' college ',' is difficult ',' that's' , 'Please', 'Fix', 'Network', 'Telkomsel', 'Region', 'Review', 'Bintang', 'Disappointed', 'A Month', 'Network', 'Fix', 'Love', ' ',' Bintang ',' all ',' ']</v>
      </c>
      <c r="D4642" s="3">
        <v>1.0</v>
      </c>
    </row>
    <row r="4643" ht="15.75" customHeight="1">
      <c r="A4643" s="1">
        <v>4946.0</v>
      </c>
      <c r="B4643" s="3" t="s">
        <v>4486</v>
      </c>
      <c r="C4643" s="3" t="str">
        <f>IFERROR(__xludf.DUMMYFUNCTION("GOOGLETRANSLATE(B4643,""id"",""en"")"),"['jammed', 'heeeeeh', 'disorder', 'system', '']")</f>
        <v>['jammed', 'heeeeeh', 'disorder', 'system', '']</v>
      </c>
      <c r="D4643" s="3">
        <v>1.0</v>
      </c>
    </row>
    <row r="4644" ht="15.75" customHeight="1">
      <c r="A4644" s="1">
        <v>4947.0</v>
      </c>
      <c r="B4644" s="3" t="s">
        <v>4487</v>
      </c>
      <c r="C4644" s="3" t="str">
        <f>IFERROR(__xludf.DUMMYFUNCTION("GOOGLETRANSLATE(B4644,""id"",""en"")"),"['Disappointed', 'Telkomsel', 'Network', 'Leet', 'Price', 'Package', 'Internet', 'Alleged']")</f>
        <v>['Disappointed', 'Telkomsel', 'Network', 'Leet', 'Price', 'Package', 'Internet', 'Alleged']</v>
      </c>
      <c r="D4644" s="3">
        <v>1.0</v>
      </c>
    </row>
    <row r="4645" ht="15.75" customHeight="1">
      <c r="A4645" s="1">
        <v>4948.0</v>
      </c>
      <c r="B4645" s="3" t="s">
        <v>4488</v>
      </c>
      <c r="C4645" s="3" t="str">
        <f>IFERROR(__xludf.DUMMYFUNCTION("GOOGLETRANSLATE(B4645,""id"",""en"")"),"['Waiting', 'prize', 'interesting', 'Telkomsel', '']")</f>
        <v>['Waiting', 'prize', 'interesting', 'Telkomsel', '']</v>
      </c>
      <c r="D4645" s="3">
        <v>5.0</v>
      </c>
    </row>
    <row r="4646" ht="15.75" customHeight="1">
      <c r="A4646" s="1">
        <v>4949.0</v>
      </c>
      <c r="B4646" s="3" t="s">
        <v>4489</v>
      </c>
      <c r="C4646" s="3" t="str">
        <f>IFERROR(__xludf.DUMMYFUNCTION("GOOGLETRANSLATE(B4646,""id"",""en"")"),"['mantep', 'staple', ""]")</f>
        <v>['mantep', 'staple', "]</v>
      </c>
      <c r="D4646" s="3">
        <v>4.0</v>
      </c>
    </row>
    <row r="4647" ht="15.75" customHeight="1">
      <c r="A4647" s="1">
        <v>4950.0</v>
      </c>
      <c r="B4647" s="3" t="s">
        <v>4490</v>
      </c>
      <c r="C4647" s="3" t="str">
        <f>IFERROR(__xludf.DUMMYFUNCTION("GOOGLETRANSLATE(B4647,""id"",""en"")"),"['Good', 'useful', 'help', 'information', 'consumer', 'thank', 'love']")</f>
        <v>['Good', 'useful', 'help', 'information', 'consumer', 'thank', 'love']</v>
      </c>
      <c r="D4647" s="3">
        <v>5.0</v>
      </c>
    </row>
    <row r="4648" ht="15.75" customHeight="1">
      <c r="A4648" s="1">
        <v>4951.0</v>
      </c>
      <c r="B4648" s="3" t="s">
        <v>4491</v>
      </c>
      <c r="C4648" s="3" t="str">
        <f>IFERROR(__xludf.DUMMYFUNCTION("GOOGLETRANSLATE(B4648,""id"",""en"")"),"['Telkomsel', 'Taik', 'price', 'package', 'brain']")</f>
        <v>['Telkomsel', 'Taik', 'price', 'package', 'brain']</v>
      </c>
      <c r="D4648" s="3">
        <v>1.0</v>
      </c>
    </row>
    <row r="4649" ht="15.75" customHeight="1">
      <c r="A4649" s="1">
        <v>4953.0</v>
      </c>
      <c r="B4649" s="3" t="s">
        <v>4492</v>
      </c>
      <c r="C4649" s="3" t="str">
        <f>IFERROR(__xludf.DUMMYFUNCTION("GOOGLETRANSLATE(B4649,""id"",""en"")"),"['Pas', 'Open', 'White', 'Judgment', 'Dancok']")</f>
        <v>['Pas', 'Open', 'White', 'Judgment', 'Dancok']</v>
      </c>
      <c r="D4649" s="3">
        <v>1.0</v>
      </c>
    </row>
    <row r="4650" ht="15.75" customHeight="1">
      <c r="A4650" s="1">
        <v>4954.0</v>
      </c>
      <c r="B4650" s="3" t="s">
        <v>4493</v>
      </c>
      <c r="C4650" s="3" t="str">
        <f>IFERROR(__xludf.DUMMYFUNCTION("GOOGLETRANSLATE(B4650,""id"",""en"")"),"['come here', 'signal', 'dizziness',' work ',' mess', 'Cilegon', 'signal', 'rich', 'candle', 'inflatable', 'wind', 'kelepkelip', ' Please, 'Fix', '']")</f>
        <v>['come here', 'signal', 'dizziness',' work ',' mess', 'Cilegon', 'signal', 'rich', 'candle', 'inflatable', 'wind', 'kelepkelip', ' Please, 'Fix', '']</v>
      </c>
      <c r="D4650" s="3">
        <v>2.0</v>
      </c>
    </row>
    <row r="4651" ht="15.75" customHeight="1">
      <c r="A4651" s="1">
        <v>4955.0</v>
      </c>
      <c r="B4651" s="3" t="s">
        <v>4494</v>
      </c>
      <c r="C4651" s="3" t="str">
        <f>IFERROR(__xludf.DUMMYFUNCTION("GOOGLETRANSLATE(B4651,""id"",""en"")"),"['knapa', 'Bukak']")</f>
        <v>['knapa', 'Bukak']</v>
      </c>
      <c r="D4651" s="3">
        <v>5.0</v>
      </c>
    </row>
    <row r="4652" ht="15.75" customHeight="1">
      <c r="A4652" s="1">
        <v>4956.0</v>
      </c>
      <c r="B4652" s="3" t="s">
        <v>4495</v>
      </c>
      <c r="C4652" s="3" t="str">
        <f>IFERROR(__xludf.DUMMYFUNCTION("GOOGLETRANSLATE(B4652,""id"",""en"")"),"['Telkomsel', 'call', 'Reasons',' Telkomsel ',' offer ',' Lottery ',' Prize ',' Iming ',' Exchange ',' Point ',' Vocer ',' Shopping ',' etc. ',' tip ',' tip ',' fraud ',' Telkomsel ',' bisaberindind ',' ngeblok ',' nomer ']")</f>
        <v>['Telkomsel', 'call', 'Reasons',' Telkomsel ',' offer ',' Lottery ',' Prize ',' Iming ',' Exchange ',' Point ',' Vocer ',' Shopping ',' etc. ',' tip ',' tip ',' fraud ',' Telkomsel ',' bisaberindind ',' ngeblok ',' nomer ']</v>
      </c>
      <c r="D4652" s="3">
        <v>1.0</v>
      </c>
    </row>
    <row r="4653" ht="15.75" customHeight="1">
      <c r="A4653" s="1">
        <v>4957.0</v>
      </c>
      <c r="B4653" s="3" t="s">
        <v>4496</v>
      </c>
      <c r="C4653" s="3" t="str">
        <f>IFERROR(__xludf.DUMMYFUNCTION("GOOGLETRANSLATE(B4653,""id"",""en"")"),"['update', 'opened', 'the application', 'please', 'fix']")</f>
        <v>['update', 'opened', 'the application', 'please', 'fix']</v>
      </c>
      <c r="D4653" s="3">
        <v>3.0</v>
      </c>
    </row>
    <row r="4654" ht="15.75" customHeight="1">
      <c r="A4654" s="1">
        <v>4958.0</v>
      </c>
      <c r="B4654" s="3" t="s">
        <v>4497</v>
      </c>
      <c r="C4654" s="3" t="str">
        <f>IFERROR(__xludf.DUMMYFUNCTION("GOOGLETRANSLATE(B4654,""id"",""en"")"),"['Bernguna', 'Bangi', 'users']")</f>
        <v>['Bernguna', 'Bangi', 'users']</v>
      </c>
      <c r="D4654" s="3">
        <v>5.0</v>
      </c>
    </row>
    <row r="4655" ht="15.75" customHeight="1">
      <c r="A4655" s="1">
        <v>4959.0</v>
      </c>
      <c r="B4655" s="3" t="s">
        <v>4498</v>
      </c>
      <c r="C4655" s="3" t="str">
        <f>IFERROR(__xludf.DUMMYFUNCTION("GOOGLETRANSLATE(B4655,""id"",""en"")"),"['expensive', 'expensive', 'package']")</f>
        <v>['expensive', 'expensive', 'package']</v>
      </c>
      <c r="D4655" s="3">
        <v>1.0</v>
      </c>
    </row>
    <row r="4656" ht="15.75" customHeight="1">
      <c r="A4656" s="1">
        <v>4960.0</v>
      </c>
      <c r="B4656" s="3" t="s">
        <v>355</v>
      </c>
      <c r="C4656" s="3" t="str">
        <f>IFERROR(__xludf.DUMMYFUNCTION("GOOGLETRANSLATE(B4656,""id"",""en"")"),"['open', '']")</f>
        <v>['open', '']</v>
      </c>
      <c r="D4656" s="3">
        <v>5.0</v>
      </c>
    </row>
    <row r="4657" ht="15.75" customHeight="1">
      <c r="A4657" s="1">
        <v>4961.0</v>
      </c>
      <c r="B4657" s="3" t="s">
        <v>4499</v>
      </c>
      <c r="C4657" s="3" t="str">
        <f>IFERROR(__xludf.DUMMYFUNCTION("GOOGLETRANSLATE(B4657,""id"",""en"")"),"['', 'Telkomsel', 'information', 'uptidate', 'package', 'affordable', 'enjoyed', 'circles']")</f>
        <v>['', 'Telkomsel', 'information', 'uptidate', 'package', 'affordable', 'enjoyed', 'circles']</v>
      </c>
      <c r="D4657" s="3">
        <v>5.0</v>
      </c>
    </row>
    <row r="4658" ht="15.75" customHeight="1">
      <c r="A4658" s="1">
        <v>4962.0</v>
      </c>
      <c r="B4658" s="3" t="s">
        <v>4500</v>
      </c>
      <c r="C4658" s="3" t="str">
        <f>IFERROR(__xludf.DUMMYFUNCTION("GOOGLETRANSLATE(B4658,""id"",""en"")"),"['Thanks', 'Love', 'Telkomsel', 'Progress', 'Increase', 'Period']")</f>
        <v>['Thanks', 'Love', 'Telkomsel', 'Progress', 'Increase', 'Period']</v>
      </c>
      <c r="D4658" s="3">
        <v>5.0</v>
      </c>
    </row>
    <row r="4659" ht="15.75" customHeight="1">
      <c r="A4659" s="1">
        <v>4963.0</v>
      </c>
      <c r="B4659" s="3" t="s">
        <v>4501</v>
      </c>
      <c r="C4659" s="3" t="str">
        <f>IFERROR(__xludf.DUMMYFUNCTION("GOOGLETRANSLATE(B4659,""id"",""en"")"),"['Good', 'service', 'nya']")</f>
        <v>['Good', 'service', 'nya']</v>
      </c>
      <c r="D4659" s="3">
        <v>5.0</v>
      </c>
    </row>
    <row r="4660" ht="15.75" customHeight="1">
      <c r="A4660" s="1">
        <v>4964.0</v>
      </c>
      <c r="B4660" s="3" t="s">
        <v>4502</v>
      </c>
      <c r="C4660" s="3" t="str">
        <f>IFERROR(__xludf.DUMMYFUNCTION("GOOGLETRANSLATE(B4660,""id"",""en"")"),"['', 'open', 'Samsung', 'just', 'screen', 'white']")</f>
        <v>['', 'open', 'Samsung', 'just', 'screen', 'white']</v>
      </c>
      <c r="D4660" s="3">
        <v>1.0</v>
      </c>
    </row>
    <row r="4661" ht="15.75" customHeight="1">
      <c r="A4661" s="1">
        <v>4965.0</v>
      </c>
      <c r="B4661" s="3" t="s">
        <v>4503</v>
      </c>
      <c r="C4661" s="3" t="str">
        <f>IFERROR(__xludf.DUMMYFUNCTION("GOOGLETRANSLATE(B4661,""id"",""en"")"),"['expensive', 'quota']")</f>
        <v>['expensive', 'quota']</v>
      </c>
      <c r="D4661" s="3">
        <v>1.0</v>
      </c>
    </row>
    <row r="4662" ht="15.75" customHeight="1">
      <c r="A4662" s="1">
        <v>4966.0</v>
      </c>
      <c r="B4662" s="3" t="s">
        <v>4504</v>
      </c>
      <c r="C4662" s="3" t="str">
        <f>IFERROR(__xludf.DUMMYFUNCTION("GOOGLETRANSLATE(B4662,""id"",""en"")"),"['Not bad', 'satisfied', 'promo']")</f>
        <v>['Not bad', 'satisfied', 'promo']</v>
      </c>
      <c r="D4662" s="3">
        <v>4.0</v>
      </c>
    </row>
    <row r="4663" ht="15.75" customHeight="1">
      <c r="A4663" s="1">
        <v>4967.0</v>
      </c>
      <c r="B4663" s="3" t="s">
        <v>4505</v>
      </c>
      <c r="C4663" s="3" t="str">
        <f>IFERROR(__xludf.DUMMYFUNCTION("GOOGLETRANSLATE(B4663,""id"",""en"")"),"['SNGT', 'JLK', 'BNGT', 'MSK', 'HARD', 'BNGT', 'HBS', 'Quota', 'JLK', 'Plyn', 'Tlg', 'Update', ' Kmnl ']")</f>
        <v>['SNGT', 'JLK', 'BNGT', 'MSK', 'HARD', 'BNGT', 'HBS', 'Quota', 'JLK', 'Plyn', 'Tlg', 'Update', ' Kmnl ']</v>
      </c>
      <c r="D4663" s="3">
        <v>2.0</v>
      </c>
    </row>
    <row r="4664" ht="15.75" customHeight="1">
      <c r="A4664" s="1">
        <v>4969.0</v>
      </c>
      <c r="B4664" s="3" t="s">
        <v>4506</v>
      </c>
      <c r="C4664" s="3" t="str">
        <f>IFERROR(__xludf.DUMMYFUNCTION("GOOGLETRANSLATE(B4664,""id"",""en"")"),"['era', 'use', 'card', 'Telkomsel']")</f>
        <v>['era', 'use', 'card', 'Telkomsel']</v>
      </c>
      <c r="D4664" s="3">
        <v>5.0</v>
      </c>
    </row>
    <row r="4665" ht="15.75" customHeight="1">
      <c r="A4665" s="1">
        <v>4970.0</v>
      </c>
      <c r="B4665" s="3" t="s">
        <v>4507</v>
      </c>
      <c r="C4665" s="3" t="str">
        <f>IFERROR(__xludf.DUMMYFUNCTION("GOOGLETRANSLATE(B4665,""id"",""en"")"),"['package', 'internet', 'most', 'internet', 'local', 'use', 'buy', 'package', 'expensive', 'quota', 'internet', 'a little', ' Local ',' Haaii ',' users', 'Telkomsel', 'People', 'Kayak', 'Negeri', 'Regions',' Rare ',' Ngepain ',' Adin ',' Internet ',' Loca"&amp;"l ' , 'Telkomsel', 'here', 'expensive', 'please', 'Ngertiin', 'people', 'rich', 'mulu', 'hope', 'kebaca', 'repair', ""]")</f>
        <v>['package', 'internet', 'most', 'internet', 'local', 'use', 'buy', 'package', 'expensive', 'quota', 'internet', 'a little', ' Local ',' Haaii ',' users', 'Telkomsel', 'People', 'Kayak', 'Negeri', 'Regions',' Rare ',' Ngepain ',' Adin ',' Internet ',' Local ' , 'Telkomsel', 'here', 'expensive', 'please', 'Ngertiin', 'people', 'rich', 'mulu', 'hope', 'kebaca', 'repair', "]</v>
      </c>
      <c r="D4665" s="3">
        <v>1.0</v>
      </c>
    </row>
    <row r="4666" ht="15.75" customHeight="1">
      <c r="A4666" s="1">
        <v>4971.0</v>
      </c>
      <c r="B4666" s="3" t="s">
        <v>4508</v>
      </c>
      <c r="C4666" s="3" t="str">
        <f>IFERROR(__xludf.DUMMYFUNCTION("GOOGLETRANSLATE(B4666,""id"",""en"")"),"['Telkomsel', 'Open', 'please', 'confirm']")</f>
        <v>['Telkomsel', 'Open', 'please', 'confirm']</v>
      </c>
      <c r="D4666" s="3">
        <v>1.0</v>
      </c>
    </row>
    <row r="4667" ht="15.75" customHeight="1">
      <c r="A4667" s="1">
        <v>4972.0</v>
      </c>
      <c r="B4667" s="3" t="s">
        <v>1754</v>
      </c>
      <c r="C4667" s="3" t="str">
        <f>IFERROR(__xludf.DUMMYFUNCTION("GOOGLETRANSLATE(B4667,""id"",""en"")"),"['', 'open']")</f>
        <v>['', 'open']</v>
      </c>
      <c r="D4667" s="3">
        <v>5.0</v>
      </c>
    </row>
    <row r="4668" ht="15.75" customHeight="1">
      <c r="A4668" s="1">
        <v>4973.0</v>
      </c>
      <c r="B4668" s="3" t="s">
        <v>4509</v>
      </c>
      <c r="C4668" s="3" t="str">
        <f>IFERROR(__xludf.DUMMYFUNCTION("GOOGLETRANSLATE(B4668,""id"",""en"")"),"['Out', 'update', 'used', 'opened', 'screen', 'white', 'disappointed']")</f>
        <v>['Out', 'update', 'used', 'opened', 'screen', 'white', 'disappointed']</v>
      </c>
      <c r="D4668" s="3">
        <v>1.0</v>
      </c>
    </row>
    <row r="4669" ht="15.75" customHeight="1">
      <c r="A4669" s="1">
        <v>4974.0</v>
      </c>
      <c r="B4669" s="3" t="s">
        <v>4510</v>
      </c>
      <c r="C4669" s="3" t="str">
        <f>IFERROR(__xludf.DUMMYFUNCTION("GOOGLETRANSLATE(B4669,""id"",""en"")"),"['The application', 'heavy', 'help']")</f>
        <v>['The application', 'heavy', 'help']</v>
      </c>
      <c r="D4669" s="3">
        <v>5.0</v>
      </c>
    </row>
    <row r="4670" ht="15.75" customHeight="1">
      <c r="A4670" s="1">
        <v>4975.0</v>
      </c>
      <c r="B4670" s="3" t="s">
        <v>4511</v>
      </c>
      <c r="C4670" s="3" t="str">
        <f>IFERROR(__xludf.DUMMYFUNCTION("GOOGLETRANSLATE(B4670,""id"",""en"")"),"['Help', 'informing', 'package', 'promo']")</f>
        <v>['Help', 'informing', 'package', 'promo']</v>
      </c>
      <c r="D4670" s="3">
        <v>5.0</v>
      </c>
    </row>
    <row r="4671" ht="15.75" customHeight="1">
      <c r="A4671" s="1">
        <v>4976.0</v>
      </c>
      <c r="B4671" s="3" t="s">
        <v>4512</v>
      </c>
      <c r="C4671" s="3" t="str">
        <f>IFERROR(__xludf.DUMMYFUNCTION("GOOGLETRANSLATE(B4671,""id"",""en"")"),"['complains',' signal ',' Where ',' Sinyal ',' ugly ',' Kenceng ',' Down ',' Edge ',' ilang ',' Network ',' Live ',' City ',' Providers', 'Direct', 'Kenceng', 'Stable', 'Temen', 'Telkomsel', 'Rich', 'That's',' Read ',' Please ',' Fix ',' User ',' Comment "&amp;"' , 'Acting', 'Tetep', 'Provider', 'Thank you']")</f>
        <v>['complains',' signal ',' Where ',' Sinyal ',' ugly ',' Kenceng ',' Down ',' Edge ',' ilang ',' Network ',' Live ',' City ',' Providers', 'Direct', 'Kenceng', 'Stable', 'Temen', 'Telkomsel', 'Rich', 'That's',' Read ',' Please ',' Fix ',' User ',' Comment ' , 'Acting', 'Tetep', 'Provider', 'Thank you']</v>
      </c>
      <c r="D4671" s="3">
        <v>1.0</v>
      </c>
    </row>
    <row r="4672" ht="15.75" customHeight="1">
      <c r="A4672" s="1">
        <v>4977.0</v>
      </c>
      <c r="B4672" s="3" t="s">
        <v>4513</v>
      </c>
      <c r="C4672" s="3" t="str">
        <f>IFERROR(__xludf.DUMMYFUNCTION("GOOGLETRANSLATE(B4672,""id"",""en"")"),"['Since', 'Update', 'Login']")</f>
        <v>['Since', 'Update', 'Login']</v>
      </c>
      <c r="D4672" s="3">
        <v>3.0</v>
      </c>
    </row>
    <row r="4673" ht="15.75" customHeight="1">
      <c r="A4673" s="1">
        <v>4978.0</v>
      </c>
      <c r="B4673" s="3" t="s">
        <v>4514</v>
      </c>
      <c r="C4673" s="3" t="str">
        <f>IFERROR(__xludf.DUMMYFUNCTION("GOOGLETRANSLATE(B4673,""id"",""en"")"),"['Alhamdulillah', 'MyTelkomsel', 'helped', 'package', 'data', 'cheap', 'points', 'styled', 'APK', 'MyTelkomsel']")</f>
        <v>['Alhamdulillah', 'MyTelkomsel', 'helped', 'package', 'data', 'cheap', 'points', 'styled', 'APK', 'MyTelkomsel']</v>
      </c>
      <c r="D4673" s="3">
        <v>5.0</v>
      </c>
    </row>
    <row r="4674" ht="15.75" customHeight="1">
      <c r="A4674" s="1">
        <v>4979.0</v>
      </c>
      <c r="B4674" s="3" t="s">
        <v>4515</v>
      </c>
      <c r="C4674" s="3" t="str">
        <f>IFERROR(__xludf.DUMMYFUNCTION("GOOGLETRANSLATE(B4674,""id"",""en"")"),"['', 'update', 'Android', 'use', 'application', 'screen', 'white']")</f>
        <v>['', 'update', 'Android', 'use', 'application', 'screen', 'white']</v>
      </c>
      <c r="D4674" s="3">
        <v>1.0</v>
      </c>
    </row>
    <row r="4675" ht="15.75" customHeight="1">
      <c r="A4675" s="1">
        <v>4980.0</v>
      </c>
      <c r="B4675" s="3" t="s">
        <v>4516</v>
      </c>
      <c r="C4675" s="3" t="str">
        <f>IFERROR(__xludf.DUMMYFUNCTION("GOOGLETRANSLATE(B4675,""id"",""en"")"),"['Application', 'Telkomsel', 'DPT', 'Credit', 'Internet', 'apply', ""]")</f>
        <v>['Application', 'Telkomsel', 'DPT', 'Credit', 'Internet', 'apply', "]</v>
      </c>
      <c r="D4675" s="3">
        <v>5.0</v>
      </c>
    </row>
    <row r="4676" ht="15.75" customHeight="1">
      <c r="A4676" s="1">
        <v>4981.0</v>
      </c>
      <c r="B4676" s="3" t="s">
        <v>4517</v>
      </c>
      <c r="C4676" s="3" t="str">
        <f>IFERROR(__xludf.DUMMYFUNCTION("GOOGLETRANSLATE(B4676,""id"",""en"")"),"['opened', 'Clear', 'cache', 'Close', 'Delete', 'Memory', 'Tetep', 'NDK', 'Samsung', ""]")</f>
        <v>['opened', 'Clear', 'cache', 'Close', 'Delete', 'Memory', 'Tetep', 'NDK', 'Samsung', "]</v>
      </c>
      <c r="D4676" s="3">
        <v>1.0</v>
      </c>
    </row>
    <row r="4677" ht="15.75" customHeight="1">
      <c r="A4677" s="1">
        <v>4982.0</v>
      </c>
      <c r="B4677" s="3" t="s">
        <v>4518</v>
      </c>
      <c r="C4677" s="3" t="str">
        <f>IFERROR(__xludf.DUMMYFUNCTION("GOOGLETRANSLATE(B4677,""id"",""en"")"),"['Exchange', 'Points', 'Trapping', '']")</f>
        <v>['Exchange', 'Points', 'Trapping', '']</v>
      </c>
      <c r="D4677" s="3">
        <v>3.0</v>
      </c>
    </row>
    <row r="4678" ht="15.75" customHeight="1">
      <c r="A4678" s="1">
        <v>4983.0</v>
      </c>
      <c r="B4678" s="3" t="s">
        <v>4519</v>
      </c>
      <c r="C4678" s="3" t="str">
        <f>IFERROR(__xludf.DUMMYFUNCTION("GOOGLETRANSLATE(B4678,""id"",""en"")"),"['thank', 'love', 'application', 'Telkomsel', 'cave', 'buy', 'package', 'cheap', 'additional', 'quota', 'omg', 'code', ' diamond ',' free ',' quota ',' free ',' login ',' application ',' Telkomsel ',' ']")</f>
        <v>['thank', 'love', 'application', 'Telkomsel', 'cave', 'buy', 'package', 'cheap', 'additional', 'quota', 'omg', 'code', ' diamond ',' free ',' quota ',' free ',' login ',' application ',' Telkomsel ',' ']</v>
      </c>
      <c r="D4678" s="3">
        <v>4.0</v>
      </c>
    </row>
    <row r="4679" ht="15.75" customHeight="1">
      <c r="A4679" s="1">
        <v>4984.0</v>
      </c>
      <c r="B4679" s="3" t="s">
        <v>4520</v>
      </c>
      <c r="C4679" s="3" t="str">
        <f>IFERROR(__xludf.DUMMYFUNCTION("GOOGLETRANSLATE(B4679,""id"",""en"")"),"['', 'Recommendation', 'Anyway']")</f>
        <v>['', 'Recommendation', 'Anyway']</v>
      </c>
      <c r="D4679" s="3">
        <v>5.0</v>
      </c>
    </row>
    <row r="4680" ht="15.75" customHeight="1">
      <c r="A4680" s="1">
        <v>4985.0</v>
      </c>
      <c r="B4680" s="3" t="s">
        <v>4521</v>
      </c>
      <c r="C4680" s="3" t="str">
        <f>IFERROR(__xludf.DUMMYFUNCTION("GOOGLETRANSLATE(B4680,""id"",""en"")"),"['The network', 'slow', 'area', 'Cibitung', 'Cikarang', 'West', 'Bekasi', 'please', 'fix', ""]")</f>
        <v>['The network', 'slow', 'area', 'Cibitung', 'Cikarang', 'West', 'Bekasi', 'please', 'fix', "]</v>
      </c>
      <c r="D4680" s="3">
        <v>1.0</v>
      </c>
    </row>
    <row r="4681" ht="15.75" customHeight="1">
      <c r="A4681" s="1">
        <v>4986.0</v>
      </c>
      <c r="B4681" s="3" t="s">
        <v>4522</v>
      </c>
      <c r="C4681" s="3" t="str">
        <f>IFERROR(__xludf.DUMMYFUNCTION("GOOGLETRANSLATE(B4681,""id"",""en"")"),"['Service', 'satisfying', 'practical', 'purchase']")</f>
        <v>['Service', 'satisfying', 'practical', 'purchase']</v>
      </c>
      <c r="D4681" s="3">
        <v>5.0</v>
      </c>
    </row>
    <row r="4682" ht="15.75" customHeight="1">
      <c r="A4682" s="1">
        <v>4987.0</v>
      </c>
      <c r="B4682" s="3" t="s">
        <v>4523</v>
      </c>
      <c r="C4682" s="3" t="str">
        <f>IFERROR(__xludf.DUMMYFUNCTION("GOOGLETRANSLATE(B4682,""id"",""en"")"),"['Terimaksih', 'Telkomsel', 'Application', 'Need', 'Sorry', 'comment', '']")</f>
        <v>['Terimaksih', 'Telkomsel', 'Application', 'Need', 'Sorry', 'comment', '']</v>
      </c>
      <c r="D4682" s="3">
        <v>5.0</v>
      </c>
    </row>
    <row r="4683" ht="15.75" customHeight="1">
      <c r="A4683" s="1">
        <v>4988.0</v>
      </c>
      <c r="B4683" s="3" t="s">
        <v>4524</v>
      </c>
      <c r="C4683" s="3" t="str">
        <f>IFERROR(__xludf.DUMMYFUNCTION("GOOGLETRANSLATE(B4683,""id"",""en"")"),"['already', 'apk', 'open', 'nge', 'stuck', 'screen', 'white', 'doang', 'already', 'try', 'clean', 'chache', ' Already ',' many ',' Delete ',' Open ',' Please ',' Attention ',' Dri ',' Admin ',' Telkomsel ']")</f>
        <v>['already', 'apk', 'open', 'nge', 'stuck', 'screen', 'white', 'doang', 'already', 'try', 'clean', 'chache', ' Already ',' many ',' Delete ',' Open ',' Please ',' Attention ',' Dri ',' Admin ',' Telkomsel ']</v>
      </c>
      <c r="D4683" s="3">
        <v>1.0</v>
      </c>
    </row>
    <row r="4684" ht="15.75" customHeight="1">
      <c r="A4684" s="1">
        <v>4989.0</v>
      </c>
      <c r="B4684" s="3" t="s">
        <v>4525</v>
      </c>
      <c r="C4684" s="3" t="str">
        <f>IFERROR(__xludf.DUMMYFUNCTION("GOOGLETRANSLATE(B4684,""id"",""en"")"),"['package', 'quota', '']")</f>
        <v>['package', 'quota', '']</v>
      </c>
      <c r="D4684" s="3">
        <v>3.0</v>
      </c>
    </row>
    <row r="4685" ht="15.75" customHeight="1">
      <c r="A4685" s="1">
        <v>4990.0</v>
      </c>
      <c r="B4685" s="3" t="s">
        <v>4526</v>
      </c>
      <c r="C4685" s="3" t="str">
        <f>IFERROR(__xludf.DUMMYFUNCTION("GOOGLETRANSLATE(B4685,""id"",""en"")"),"['card', 'crazy', 'use', 'buy', 'quota', 'unlimited', 'youtube', 'get', 'free', 'quota', 'internet', 'GB', ' fitting ',' quota ',' internet ',' abis', 'quota', 'unlimited', 'gnimna', 'regret', 'me', 'donlod', 'application', 'bangts',' bangtt ' , 'Lahh', "&amp;"""]")</f>
        <v>['card', 'crazy', 'use', 'buy', 'quota', 'unlimited', 'youtube', 'get', 'free', 'quota', 'internet', 'GB', ' fitting ',' quota ',' internet ',' abis', 'quota', 'unlimited', 'gnimna', 'regret', 'me', 'donlod', 'application', 'bangts',' bangtt ' , 'Lahh', "]</v>
      </c>
      <c r="D4685" s="3">
        <v>1.0</v>
      </c>
    </row>
    <row r="4686" ht="15.75" customHeight="1">
      <c r="A4686" s="1">
        <v>4992.0</v>
      </c>
      <c r="B4686" s="3" t="s">
        <v>4527</v>
      </c>
      <c r="C4686" s="3" t="str">
        <f>IFERROR(__xludf.DUMMYFUNCTION("GOOGLETRANSLATE(B4686,""id"",""en"")"),"['signal', 'evenly', 'lined', 'upgrade', 'sometimes', 'signal', 'weak', ""]")</f>
        <v>['signal', 'evenly', 'lined', 'upgrade', 'sometimes', 'signal', 'weak', "]</v>
      </c>
      <c r="D4686" s="3">
        <v>5.0</v>
      </c>
    </row>
    <row r="4687" ht="15.75" customHeight="1">
      <c r="A4687" s="1">
        <v>4993.0</v>
      </c>
      <c r="B4687" s="3" t="s">
        <v>4528</v>
      </c>
      <c r="C4687" s="3" t="str">
        <f>IFERROR(__xludf.DUMMYFUNCTION("GOOGLETRANSLATE(B4687,""id"",""en"")"),"['Excuse', 'please', 'Telkomsel', 'fix', 'application', 'Telkomsel', 'Application', 'Telkomsel', 'right', 'entry', 'screen', 'liberty', ' white ',' doang ',' please ',' repaired ']")</f>
        <v>['Excuse', 'please', 'Telkomsel', 'fix', 'application', 'Telkomsel', 'Application', 'Telkomsel', 'right', 'entry', 'screen', 'liberty', ' white ',' doang ',' please ',' repaired ']</v>
      </c>
      <c r="D4687" s="3">
        <v>2.0</v>
      </c>
    </row>
    <row r="4688" ht="15.75" customHeight="1">
      <c r="A4688" s="1">
        <v>4994.0</v>
      </c>
      <c r="B4688" s="3" t="s">
        <v>4529</v>
      </c>
      <c r="C4688" s="3" t="str">
        <f>IFERROR(__xludf.DUMMYFUNCTION("GOOGLETRANSLATE(B4688,""id"",""en"")"),"['Telkomsel', 'busy', 'really', 'yes',' Telkomsel ',' improved ',' bad ',' dead ',' lights', 'signal', 'sampek', 'okay', ' Telkomsel ',' so many ',' Reviews', 'people', 'jember', 'south']")</f>
        <v>['Telkomsel', 'busy', 'really', 'yes',' Telkomsel ',' improved ',' bad ',' dead ',' lights', 'signal', 'sampek', 'okay', ' Telkomsel ',' so many ',' Reviews', 'people', 'jember', 'south']</v>
      </c>
      <c r="D4688" s="3">
        <v>1.0</v>
      </c>
    </row>
    <row r="4689" ht="15.75" customHeight="1">
      <c r="A4689" s="1">
        <v>4995.0</v>
      </c>
      <c r="B4689" s="3" t="s">
        <v>4530</v>
      </c>
      <c r="C4689" s="3" t="str">
        <f>IFERROR(__xludf.DUMMYFUNCTION("GOOGLETRANSLATE(B4689,""id"",""en"")"),"['Boongin', 'Price']")</f>
        <v>['Boongin', 'Price']</v>
      </c>
      <c r="D4689" s="3">
        <v>1.0</v>
      </c>
    </row>
    <row r="4690" ht="15.75" customHeight="1">
      <c r="A4690" s="1">
        <v>4996.0</v>
      </c>
      <c r="B4690" s="3" t="s">
        <v>4531</v>
      </c>
      <c r="C4690" s="3" t="str">
        <f>IFERROR(__xludf.DUMMYFUNCTION("GOOGLETRANSLATE(B4690,""id"",""en"")"),"['already', 'network', 'slow', 'package', 'expensive', 'Stop', 'subscribe', 'Telkomsel', 'subscribe', 'harm', 'slow', 'expensive', ' ']")</f>
        <v>['already', 'network', 'slow', 'package', 'expensive', 'Stop', 'subscribe', 'Telkomsel', 'subscribe', 'harm', 'slow', 'expensive', ' ']</v>
      </c>
      <c r="D4690" s="3">
        <v>1.0</v>
      </c>
    </row>
    <row r="4691" ht="15.75" customHeight="1">
      <c r="A4691" s="1">
        <v>4997.0</v>
      </c>
      <c r="B4691" s="3" t="s">
        <v>4532</v>
      </c>
      <c r="C4691" s="3" t="str">
        <f>IFERROR(__xludf.DUMMYFUNCTION("GOOGLETRANSLATE(B4691,""id"",""en"")"),"['suitable']")</f>
        <v>['suitable']</v>
      </c>
      <c r="D4691" s="3">
        <v>5.0</v>
      </c>
    </row>
    <row r="4692" ht="15.75" customHeight="1">
      <c r="A4692" s="1">
        <v>4998.0</v>
      </c>
      <c r="B4692" s="3" t="s">
        <v>4533</v>
      </c>
      <c r="C4692" s="3" t="str">
        <f>IFERROR(__xludf.DUMMYFUNCTION("GOOGLETRANSLATE(B4692,""id"",""en"")"),"['Telkomsel', 'here', 'BURIK', 'Network', 'Maen', 'Game', 'Slalu', 'Smooth', 'Ping', 'Drop', 'Nggk', 'times',' Please ',' Repaired ',' Network ',' Karna ',' Network ',' Best ',' Tsel ', ""]")</f>
        <v>['Telkomsel', 'here', 'BURIK', 'Network', 'Maen', 'Game', 'Slalu', 'Smooth', 'Ping', 'Drop', 'Nggk', 'times',' Please ',' Repaired ',' Network ',' Karna ',' Network ',' Best ',' Tsel ', "]</v>
      </c>
      <c r="D4692" s="3">
        <v>1.0</v>
      </c>
    </row>
    <row r="4693" ht="15.75" customHeight="1">
      <c r="A4693" s="1">
        <v>4999.0</v>
      </c>
      <c r="B4693" s="3" t="s">
        <v>4534</v>
      </c>
      <c r="C4693" s="3" t="str">
        <f>IFERROR(__xludf.DUMMYFUNCTION("GOOGLETRANSLATE(B4693,""id"",""en"")"),"['Open', 'Telkomsel', 'Nge', 'Stuck', 'White', 'Enter', 'Please', 'Fix', '']")</f>
        <v>['Open', 'Telkomsel', 'Nge', 'Stuck', 'White', 'Enter', 'Please', 'Fix', '']</v>
      </c>
      <c r="D4693" s="3">
        <v>5.0</v>
      </c>
    </row>
    <row r="4694" ht="15.75" customHeight="1">
      <c r="A4694" s="1">
        <v>5000.0</v>
      </c>
      <c r="B4694" s="3" t="s">
        <v>4535</v>
      </c>
      <c r="C4694" s="3" t="str">
        <f>IFERROR(__xludf.DUMMYFUNCTION("GOOGLETRANSLATE(B4694,""id"",""en"")"),"['Please', 'Fix', 'Network', 'Internet', 'TLP', 'SMS', 'NLP', 'Operator', 'Kayak', 'People', 'Budek', 'Can', ' SMS ',' area ',' ehh ',' turn ',' activated ',' lift ',' ']")</f>
        <v>['Please', 'Fix', 'Network', 'Internet', 'TLP', 'SMS', 'NLP', 'Operator', 'Kayak', 'People', 'Budek', 'Can', ' SMS ',' area ',' ehh ',' turn ',' activated ',' lift ',' ']</v>
      </c>
      <c r="D4694" s="3">
        <v>2.0</v>
      </c>
    </row>
    <row r="4695" ht="15.75" customHeight="1">
      <c r="A4695" s="1">
        <v>5001.0</v>
      </c>
      <c r="B4695" s="3" t="s">
        <v>4536</v>
      </c>
      <c r="C4695" s="3" t="str">
        <f>IFERROR(__xludf.DUMMYFUNCTION("GOOGLETRANSLATE(B4695,""id"",""en"")"),"['transaction', 'purchase', 'package', 'data', 'please', 'repair', 'description', 'application', 'sorry', 'disorder', 'system', 'transaction', ' Telkomsel ',' Delete ',' Install ',' Application ',' Many "", 'Please', 'Improvement', 'Thank you']")</f>
        <v>['transaction', 'purchase', 'package', 'data', 'please', 'repair', 'description', 'application', 'sorry', 'disorder', 'system', 'transaction', ' Telkomsel ',' Delete ',' Install ',' Application ',' Many ", 'Please', 'Improvement', 'Thank you']</v>
      </c>
      <c r="D4695" s="3">
        <v>1.0</v>
      </c>
    </row>
    <row r="4696" ht="15.75" customHeight="1">
      <c r="A4696" s="1">
        <v>5002.0</v>
      </c>
      <c r="B4696" s="3" t="s">
        <v>4537</v>
      </c>
      <c r="C4696" s="3" t="str">
        <f>IFERROR(__xludf.DUMMYFUNCTION("GOOGLETRANSLATE(B4696,""id"",""en"")"),"['tulung', 'promo', 'internet', '']")</f>
        <v>['tulung', 'promo', 'internet', '']</v>
      </c>
      <c r="D4696" s="3">
        <v>5.0</v>
      </c>
    </row>
    <row r="4697" ht="15.75" customHeight="1">
      <c r="A4697" s="1">
        <v>5003.0</v>
      </c>
      <c r="B4697" s="3" t="s">
        <v>4538</v>
      </c>
      <c r="C4697" s="3" t="str">
        <f>IFERROR(__xludf.DUMMYFUNCTION("GOOGLETRANSLATE(B4697,""id"",""en"")"),"['Bangus', 'help']")</f>
        <v>['Bangus', 'help']</v>
      </c>
      <c r="D4697" s="3">
        <v>5.0</v>
      </c>
    </row>
    <row r="4698" ht="15.75" customHeight="1">
      <c r="A4698" s="1">
        <v>5006.0</v>
      </c>
      <c r="B4698" s="3" t="s">
        <v>4539</v>
      </c>
      <c r="C4698" s="3" t="str">
        <f>IFERROR(__xludf.DUMMYFUNCTION("GOOGLETRANSLATE(B4698,""id"",""en"")"),"['Good', 'apk', 'package', 'cheap', 'in it', 'download', 'enjoy', 'promo', 'classy', 'in it']")</f>
        <v>['Good', 'apk', 'package', 'cheap', 'in it', 'download', 'enjoy', 'promo', 'classy', 'in it']</v>
      </c>
      <c r="D4698" s="3">
        <v>5.0</v>
      </c>
    </row>
    <row r="4699" ht="15.75" customHeight="1">
      <c r="A4699" s="1">
        <v>5008.0</v>
      </c>
      <c r="B4699" s="3" t="s">
        <v>4540</v>
      </c>
      <c r="C4699" s="3" t="str">
        <f>IFERROR(__xludf.DUMMYFUNCTION("GOOGLETRANSLATE(B4699,""id"",""en"")"),"['Aduhhh', 'APK', 'Idio', 'I', 'already', 'buy', 'quota', 'tolo', 'XXL']")</f>
        <v>['Aduhhh', 'APK', 'Idio', 'I', 'already', 'buy', 'quota', 'tolo', 'XXL']</v>
      </c>
      <c r="D4699" s="3">
        <v>1.0</v>
      </c>
    </row>
    <row r="4700" ht="15.75" customHeight="1">
      <c r="A4700" s="1">
        <v>5010.0</v>
      </c>
      <c r="B4700" s="3" t="s">
        <v>4541</v>
      </c>
      <c r="C4700" s="3" t="str">
        <f>IFERROR(__xludf.DUMMYFUNCTION("GOOGLETRANSLATE(B4700,""id"",""en"")"),"['open', 'application', 'appears', 'application', 'how', 'update', 'then', 'unisntall', 'install', 'tetep', 'so']")</f>
        <v>['open', 'application', 'appears', 'application', 'how', 'update', 'then', 'unisntall', 'install', 'tetep', 'so']</v>
      </c>
      <c r="D4700" s="3">
        <v>3.0</v>
      </c>
    </row>
    <row r="4701" ht="15.75" customHeight="1">
      <c r="A4701" s="1">
        <v>5011.0</v>
      </c>
      <c r="B4701" s="3" t="s">
        <v>4542</v>
      </c>
      <c r="C4701" s="3" t="str">
        <f>IFERROR(__xludf.DUMMYFUNCTION("GOOGLETRANSLATE(B4701,""id"",""en"")"),"['Date', 'Kouta', 'unlimitedmax', 'no', 'me', 'buy', 'kouta', 'application', 'mytelkomsel', 'no', 'please', 'repair']")</f>
        <v>['Date', 'Kouta', 'unlimitedmax', 'no', 'me', 'buy', 'kouta', 'application', 'mytelkomsel', 'no', 'please', 'repair']</v>
      </c>
      <c r="D4701" s="3">
        <v>1.0</v>
      </c>
    </row>
    <row r="4702" ht="15.75" customHeight="1">
      <c r="A4702" s="1">
        <v>5012.0</v>
      </c>
      <c r="B4702" s="3" t="s">
        <v>4543</v>
      </c>
      <c r="C4702" s="3" t="str">
        <f>IFERROR(__xludf.DUMMYFUNCTION("GOOGLETRANSLATE(B4702,""id"",""en"")"),"['', 'APK', 'good', 'hope', 'in the future', 'good']")</f>
        <v>['', 'APK', 'good', 'hope', 'in the future', 'good']</v>
      </c>
      <c r="D4702" s="3">
        <v>5.0</v>
      </c>
    </row>
    <row r="4703" ht="15.75" customHeight="1">
      <c r="A4703" s="1">
        <v>5013.0</v>
      </c>
      <c r="B4703" s="3" t="s">
        <v>4544</v>
      </c>
      <c r="C4703" s="3" t="str">
        <f>IFERROR(__xludf.DUMMYFUNCTION("GOOGLETRANSLATE(B4703,""id"",""en"")"),"['Try', 'buwat', 'package', 'tan', 'expensive', 'kasiyan', 'ama', 'misik', 'a day', 'poor', 'need', 'mean', ' good ',' leftover ',' buy ',' package ',' buy ',' eat ',' Tapa ',' Telkomsel ',' mah ',' cheap ']")</f>
        <v>['Try', 'buwat', 'package', 'tan', 'expensive', 'kasiyan', 'ama', 'misik', 'a day', 'poor', 'need', 'mean', ' good ',' leftover ',' buy ',' package ',' buy ',' eat ',' Tapa ',' Telkomsel ',' mah ',' cheap ']</v>
      </c>
      <c r="D4703" s="3">
        <v>1.0</v>
      </c>
    </row>
    <row r="4704" ht="15.75" customHeight="1">
      <c r="A4704" s="1">
        <v>5014.0</v>
      </c>
      <c r="B4704" s="3" t="s">
        <v>4545</v>
      </c>
      <c r="C4704" s="3" t="str">
        <f>IFERROR(__xludf.DUMMYFUNCTION("GOOGLETRANSLATE(B4704,""id"",""en"")"),"['APK', 'ugly', 'Uda', 'Points',' Redeem ',' Credit ',' Take ',' Already ',' Move ',' Card ',' APK ',' KoN ',' ']")</f>
        <v>['APK', 'ugly', 'Uda', 'Points',' Redeem ',' Credit ',' Take ',' Already ',' Move ',' Card ',' APK ',' KoN ',' ']</v>
      </c>
      <c r="D4704" s="3">
        <v>1.0</v>
      </c>
    </row>
    <row r="4705" ht="15.75" customHeight="1">
      <c r="A4705" s="1">
        <v>5015.0</v>
      </c>
      <c r="B4705" s="3" t="s">
        <v>4546</v>
      </c>
      <c r="C4705" s="3" t="str">
        <f>IFERROR(__xludf.DUMMYFUNCTION("GOOGLETRANSLATE(B4705,""id"",""en"")"),"['satisfied']")</f>
        <v>['satisfied']</v>
      </c>
      <c r="D4705" s="3">
        <v>5.0</v>
      </c>
    </row>
    <row r="4706" ht="15.75" customHeight="1">
      <c r="A4706" s="1">
        <v>5016.0</v>
      </c>
      <c r="B4706" s="3" t="s">
        <v>4547</v>
      </c>
      <c r="C4706" s="3" t="str">
        <f>IFERROR(__xludf.DUMMYFUNCTION("GOOGLETRANSLATE(B4706,""id"",""en"")"),"['', 'try']")</f>
        <v>['', 'try']</v>
      </c>
      <c r="D4706" s="3">
        <v>4.0</v>
      </c>
    </row>
    <row r="4707" ht="15.75" customHeight="1">
      <c r="A4707" s="1">
        <v>5017.0</v>
      </c>
      <c r="B4707" s="3" t="s">
        <v>2110</v>
      </c>
      <c r="C4707" s="3" t="str">
        <f>IFERROR(__xludf.DUMMYFUNCTION("GOOGLETRANSLATE(B4707,""id"",""en"")"),"['Telkomsel', '']")</f>
        <v>['Telkomsel', '']</v>
      </c>
      <c r="D4707" s="3">
        <v>1.0</v>
      </c>
    </row>
    <row r="4708" ht="15.75" customHeight="1">
      <c r="A4708" s="1">
        <v>5018.0</v>
      </c>
      <c r="B4708" s="3" t="s">
        <v>4548</v>
      </c>
      <c r="C4708" s="3" t="str">
        <f>IFERROR(__xludf.DUMMYFUNCTION("GOOGLETRANSLATE(B4708,""id"",""en"")"),"['Helping', 'Activities', 'See', 'Kouta', 'Internet', '']")</f>
        <v>['Helping', 'Activities', 'See', 'Kouta', 'Internet', '']</v>
      </c>
      <c r="D4708" s="3">
        <v>5.0</v>
      </c>
    </row>
    <row r="4709" ht="15.75" customHeight="1">
      <c r="A4709" s="1">
        <v>5019.0</v>
      </c>
      <c r="B4709" s="3" t="s">
        <v>2141</v>
      </c>
      <c r="C4709" s="3" t="str">
        <f>IFERROR(__xludf.DUMMYFUNCTION("GOOGLETRANSLATE(B4709,""id"",""en"")"),"['Enhanced']")</f>
        <v>['Enhanced']</v>
      </c>
      <c r="D4709" s="3">
        <v>5.0</v>
      </c>
    </row>
    <row r="4710" ht="15.75" customHeight="1">
      <c r="A4710" s="1">
        <v>5020.0</v>
      </c>
      <c r="B4710" s="3" t="s">
        <v>2727</v>
      </c>
      <c r="C4710" s="3" t="str">
        <f>IFERROR(__xludf.DUMMYFUNCTION("GOOGLETRANSLATE(B4710,""id"",""en"")"),"['Opened', '']")</f>
        <v>['Opened', '']</v>
      </c>
      <c r="D4710" s="3">
        <v>2.0</v>
      </c>
    </row>
    <row r="4711" ht="15.75" customHeight="1">
      <c r="A4711" s="1">
        <v>5021.0</v>
      </c>
      <c r="B4711" s="3" t="s">
        <v>4549</v>
      </c>
      <c r="C4711" s="3" t="str">
        <f>IFERROR(__xludf.DUMMYFUNCTION("GOOGLETRANSLATE(B4711,""id"",""en"")"),"['Telkomsel', 'poor', 'like', 'robbing', 'pulses',' ndak ',' uda ',' quota ',' internet ',' quota ',' call ',' cut ',' pulses', 'access',' internet ',' non ',' package ',' tomorrow ',' cut ',' pulse ',' explanation ',' cutting ',' base ',' robber ',' puls"&amp;"es' , 'Friends', 'Select', 'Provider', 'Select', 'Provider', 'Severe', '']")</f>
        <v>['Telkomsel', 'poor', 'like', 'robbing', 'pulses',' ndak ',' uda ',' quota ',' internet ',' quota ',' call ',' cut ',' pulses', 'access',' internet ',' non ',' package ',' tomorrow ',' cut ',' pulse ',' explanation ',' cutting ',' base ',' robber ',' pulses' , 'Friends', 'Select', 'Provider', 'Select', 'Provider', 'Severe', '']</v>
      </c>
      <c r="D4711" s="3">
        <v>1.0</v>
      </c>
    </row>
    <row r="4712" ht="15.75" customHeight="1">
      <c r="A4712" s="1">
        <v>5022.0</v>
      </c>
      <c r="B4712" s="3" t="s">
        <v>4550</v>
      </c>
      <c r="C4712" s="3" t="str">
        <f>IFERROR(__xludf.DUMMYFUNCTION("GOOGLETRANSLATE(B4712,""id"",""en"")"),"['Application', 'Good', 'Helpful']")</f>
        <v>['Application', 'Good', 'Helpful']</v>
      </c>
      <c r="D4712" s="3">
        <v>5.0</v>
      </c>
    </row>
    <row r="4713" ht="15.75" customHeight="1">
      <c r="A4713" s="1">
        <v>5023.0</v>
      </c>
      <c r="B4713" s="3" t="s">
        <v>4551</v>
      </c>
      <c r="C4713" s="3" t="str">
        <f>IFERROR(__xludf.DUMMYFUNCTION("GOOGLETRANSLATE(B4713,""id"",""en"")"),"['Increase', 'Quality', 'Sousal']")</f>
        <v>['Increase', 'Quality', 'Sousal']</v>
      </c>
      <c r="D4713" s="3">
        <v>5.0</v>
      </c>
    </row>
    <row r="4714" ht="15.75" customHeight="1">
      <c r="A4714" s="1">
        <v>5024.0</v>
      </c>
      <c r="B4714" s="3" t="s">
        <v>4552</v>
      </c>
      <c r="C4714" s="3" t="str">
        <f>IFERROR(__xludf.DUMMYFUNCTION("GOOGLETRANSLATE(B4714,""id"",""en"")"),"['', 'opened', 'opened', 'appears', 'just', 'white', 'screen', 'doank', 'pdhl']")</f>
        <v>['', 'opened', 'opened', 'appears', 'just', 'white', 'screen', 'doank', 'pdhl']</v>
      </c>
      <c r="D4714" s="3">
        <v>4.0</v>
      </c>
    </row>
    <row r="4715" ht="15.75" customHeight="1">
      <c r="A4715" s="1">
        <v>5025.0</v>
      </c>
      <c r="B4715" s="3" t="s">
        <v>4553</v>
      </c>
      <c r="C4715" s="3" t="str">
        <f>IFERROR(__xludf.DUMMYFUNCTION("GOOGLETRANSLATE(B4715,""id"",""en"")"),"['Sinyall', 'Ngelag', 'Please', 'repaired', 'signal', 'Zoom', 'Ngelag', 'Nge', 'lag', 'emng', 'relickel', 'ngelag', ' Change ',' card ',' Indosat ',' ']")</f>
        <v>['Sinyall', 'Ngelag', 'Please', 'repaired', 'signal', 'Zoom', 'Ngelag', 'Nge', 'lag', 'emng', 'relickel', 'ngelag', ' Change ',' card ',' Indosat ',' ']</v>
      </c>
      <c r="D4715" s="3">
        <v>1.0</v>
      </c>
    </row>
    <row r="4716" ht="15.75" customHeight="1">
      <c r="A4716" s="1">
        <v>5026.0</v>
      </c>
      <c r="B4716" s="3" t="s">
        <v>4554</v>
      </c>
      <c r="C4716" s="3" t="str">
        <f>IFERROR(__xludf.DUMMYFUNCTION("GOOGLETRANSLATE(B4716,""id"",""en"")"),"['Update', 'opened', 'Open', 'Recommended', 'Update', '']")</f>
        <v>['Update', 'opened', 'Open', 'Recommended', 'Update', '']</v>
      </c>
      <c r="D4716" s="3">
        <v>5.0</v>
      </c>
    </row>
    <row r="4717" ht="15.75" customHeight="1">
      <c r="A4717" s="1">
        <v>5027.0</v>
      </c>
      <c r="B4717" s="3" t="s">
        <v>4555</v>
      </c>
      <c r="C4717" s="3" t="str">
        <f>IFERROR(__xludf.DUMMYFUNCTION("GOOGLETRANSLATE(B4717,""id"",""en"")"),"['Application', 'Accurate', 'Mending', 'Delete']")</f>
        <v>['Application', 'Accurate', 'Mending', 'Delete']</v>
      </c>
      <c r="D4717" s="3">
        <v>1.0</v>
      </c>
    </row>
    <row r="4718" ht="15.75" customHeight="1">
      <c r="A4718" s="1">
        <v>5028.0</v>
      </c>
      <c r="B4718" s="3" t="s">
        <v>4556</v>
      </c>
      <c r="C4718" s="3" t="str">
        <f>IFERROR(__xludf.DUMMYFUNCTION("GOOGLETRANSLATE(B4718,""id"",""en"")"),"['signal', 'rotten', 'rain', 'might', 'hncurr', 'price', 'doang', 'expensive']")</f>
        <v>['signal', 'rotten', 'rain', 'might', 'hncurr', 'price', 'doang', 'expensive']</v>
      </c>
      <c r="D4718" s="3">
        <v>1.0</v>
      </c>
    </row>
    <row r="4719" ht="15.75" customHeight="1">
      <c r="A4719" s="1">
        <v>5029.0</v>
      </c>
      <c r="B4719" s="3" t="s">
        <v>4557</v>
      </c>
      <c r="C4719" s="3" t="str">
        <f>IFERROR(__xludf.DUMMYFUNCTION("GOOGLETRANSLATE(B4719,""id"",""en"")"),"['The network', 'enhanced', 'ubtuk', 'price', 'expected', 'affordable', 'groups', 'community', 'Telkomsel', 'best', 'Yess', ""]")</f>
        <v>['The network', 'enhanced', 'ubtuk', 'price', 'expected', 'affordable', 'groups', 'community', 'Telkomsel', 'best', 'Yess', "]</v>
      </c>
      <c r="D4719" s="3">
        <v>5.0</v>
      </c>
    </row>
    <row r="4720" ht="15.75" customHeight="1">
      <c r="A4720" s="1">
        <v>5030.0</v>
      </c>
      <c r="B4720" s="3" t="s">
        <v>4558</v>
      </c>
      <c r="C4720" s="3" t="str">
        <f>IFERROR(__xludf.DUMMYFUNCTION("GOOGLETRANSLATE(B4720,""id"",""en"")"),"['fraud', 'his writing', 'quota', 'unlimited', 'application', 'right', 'limit', 'quota', 'GB', 'Tiktok', 'games',' disappointed ',' Telkomsel ']")</f>
        <v>['fraud', 'his writing', 'quota', 'unlimited', 'application', 'right', 'limit', 'quota', 'GB', 'Tiktok', 'games',' disappointed ',' Telkomsel ']</v>
      </c>
      <c r="D4720" s="3">
        <v>1.0</v>
      </c>
    </row>
    <row r="4721" ht="15.75" customHeight="1">
      <c r="A4721" s="1">
        <v>5033.0</v>
      </c>
      <c r="B4721" s="3" t="s">
        <v>4559</v>
      </c>
      <c r="C4721" s="3" t="str">
        <f>IFERROR(__xludf.DUMMYFUNCTION("GOOGLETRANSLATE(B4721,""id"",""en"")"),"['extraordinary', 'mantul']")</f>
        <v>['extraordinary', 'mantul']</v>
      </c>
      <c r="D4721" s="3">
        <v>5.0</v>
      </c>
    </row>
    <row r="4722" ht="15.75" customHeight="1">
      <c r="A4722" s="1">
        <v>5034.0</v>
      </c>
      <c r="B4722" s="3" t="s">
        <v>4560</v>
      </c>
      <c r="C4722" s="3" t="str">
        <f>IFERROR(__xludf.DUMMYFUNCTION("GOOGLETRANSLATE(B4722,""id"",""en"")"),"['Contents',' reset ',' credit ',' buy ',' package ',' data ',' price ',' pulse ',' transaction ',' finished ',' missing ',' pulses', ' package ',' data ',' proof ',' transaction ']")</f>
        <v>['Contents',' reset ',' credit ',' buy ',' package ',' data ',' price ',' pulse ',' transaction ',' finished ',' missing ',' pulses', ' package ',' data ',' proof ',' transaction ']</v>
      </c>
      <c r="D4722" s="3">
        <v>1.0</v>
      </c>
    </row>
    <row r="4723" ht="15.75" customHeight="1">
      <c r="A4723" s="1">
        <v>5035.0</v>
      </c>
      <c r="B4723" s="3" t="s">
        <v>4561</v>
      </c>
      <c r="C4723" s="3" t="str">
        <f>IFERROR(__xludf.DUMMYFUNCTION("GOOGLETRANSLATE(B4723,""id"",""en"")"),"['easy', 'stay', 'level']")</f>
        <v>['easy', 'stay', 'level']</v>
      </c>
      <c r="D4723" s="3">
        <v>5.0</v>
      </c>
    </row>
    <row r="4724" ht="15.75" customHeight="1">
      <c r="A4724" s="1">
        <v>5036.0</v>
      </c>
      <c r="B4724" s="3" t="s">
        <v>4562</v>
      </c>
      <c r="C4724" s="3" t="str">
        <f>IFERROR(__xludf.DUMMYFUNCTION("GOOGLETRANSLATE(B4724,""id"",""en"")"),"['Krnapa', 'Open', '']")</f>
        <v>['Krnapa', 'Open', '']</v>
      </c>
      <c r="D4724" s="3">
        <v>1.0</v>
      </c>
    </row>
    <row r="4725" ht="15.75" customHeight="1">
      <c r="A4725" s="1">
        <v>5037.0</v>
      </c>
      <c r="B4725" s="3" t="s">
        <v>4563</v>
      </c>
      <c r="C4725" s="3" t="str">
        <f>IFERROR(__xludf.DUMMYFUNCTION("GOOGLETRANSLATE(B4725,""id"",""en"")"),"['Opened', 'APP']")</f>
        <v>['Opened', 'APP']</v>
      </c>
      <c r="D4725" s="3">
        <v>1.0</v>
      </c>
    </row>
    <row r="4726" ht="15.75" customHeight="1">
      <c r="A4726" s="1">
        <v>5038.0</v>
      </c>
      <c r="B4726" s="3" t="s">
        <v>4564</v>
      </c>
      <c r="C4726" s="3" t="str">
        <f>IFERROR(__xludf.DUMMYFUNCTION("GOOGLETRANSLATE(B4726,""id"",""en"")"),"['woii', 'mimin', 'mending', 'help', 'open', 'apk', 'Telkomsel', 'cave', 'apk', 'Hancurr', 'kek', 'heart', ' cave', '']")</f>
        <v>['woii', 'mimin', 'mending', 'help', 'open', 'apk', 'Telkomsel', 'cave', 'apk', 'Hancurr', 'kek', 'heart', ' cave', '']</v>
      </c>
      <c r="D4726" s="3">
        <v>1.0</v>
      </c>
    </row>
    <row r="4727" ht="15.75" customHeight="1">
      <c r="A4727" s="1">
        <v>5039.0</v>
      </c>
      <c r="B4727" s="3" t="s">
        <v>4565</v>
      </c>
      <c r="C4727" s="3" t="str">
        <f>IFERROR(__xludf.DUMMYFUNCTION("GOOGLETRANSLATE(B4727,""id"",""en"")"),"['Telkomsel', 'Please', 'Give', 'Choice', 'Purchase', 'Package', 'Gede', 'Kasih', 'Pilhan', 'TPI', 'Akti', 'Your Peling', ' buy ',' kauta ',' jmbh ',' kya ']")</f>
        <v>['Telkomsel', 'Please', 'Give', 'Choice', 'Purchase', 'Package', 'Gede', 'Kasih', 'Pilhan', 'TPI', 'Akti', 'Your Peling', ' buy ',' kauta ',' jmbh ',' kya ']</v>
      </c>
      <c r="D4727" s="3">
        <v>1.0</v>
      </c>
    </row>
    <row r="4728" ht="15.75" customHeight="1">
      <c r="A4728" s="1">
        <v>5040.0</v>
      </c>
      <c r="B4728" s="3" t="s">
        <v>4566</v>
      </c>
      <c r="C4728" s="3" t="str">
        <f>IFERROR(__xludf.DUMMYFUNCTION("GOOGLETRANSLATE(B4728,""id"",""en"")"),"['Pay', 'expensive', 'signal', 'ugly', 'really']")</f>
        <v>['Pay', 'expensive', 'signal', 'ugly', 'really']</v>
      </c>
      <c r="D4728" s="3">
        <v>1.0</v>
      </c>
    </row>
    <row r="4729" ht="15.75" customHeight="1">
      <c r="A4729" s="1">
        <v>5041.0</v>
      </c>
      <c r="B4729" s="3" t="s">
        <v>4567</v>
      </c>
      <c r="C4729" s="3" t="str">
        <f>IFERROR(__xludf.DUMMYFUNCTION("GOOGLETRANSLATE(B4729,""id"",""en"")"),"['The screen', 'white', 'already', 'unistal', 'install', 'alternating', 'msh', 'white']")</f>
        <v>['The screen', 'white', 'already', 'unistal', 'install', 'alternating', 'msh', 'white']</v>
      </c>
      <c r="D4729" s="3">
        <v>1.0</v>
      </c>
    </row>
    <row r="4730" ht="15.75" customHeight="1">
      <c r="A4730" s="1">
        <v>5042.0</v>
      </c>
      <c r="B4730" s="3" t="s">
        <v>4568</v>
      </c>
      <c r="C4730" s="3" t="str">
        <f>IFERROR(__xludf.DUMMYFUNCTION("GOOGLETRANSLATE(B4730,""id"",""en"")"),"['The application', 'ngak', 'open', '']")</f>
        <v>['The application', 'ngak', 'open', '']</v>
      </c>
      <c r="D4730" s="3">
        <v>2.0</v>
      </c>
    </row>
    <row r="4731" ht="15.75" customHeight="1">
      <c r="A4731" s="1">
        <v>5043.0</v>
      </c>
      <c r="B4731" s="3" t="s">
        <v>4569</v>
      </c>
      <c r="C4731" s="3" t="str">
        <f>IFERROR(__xludf.DUMMYFUNCTION("GOOGLETRANSLATE(B4731,""id"",""en"")"),"['hopefully', 'smooth', 'network']")</f>
        <v>['hopefully', 'smooth', 'network']</v>
      </c>
      <c r="D4731" s="3">
        <v>5.0</v>
      </c>
    </row>
    <row r="4732" ht="15.75" customHeight="1">
      <c r="A4732" s="1">
        <v>5044.0</v>
      </c>
      <c r="B4732" s="3" t="s">
        <v>4570</v>
      </c>
      <c r="C4732" s="3" t="str">
        <f>IFERROR(__xludf.DUMMYFUNCTION("GOOGLETRANSLATE(B4732,""id"",""en"")"),"['buy', 'package', 'expensive', 'expensive', 'network', 'lost', 'provider', 'package', 'internet', 'decent', 'drain', 'consideration', ' The network is', 'strong', 'losing']")</f>
        <v>['buy', 'package', 'expensive', 'expensive', 'network', 'lost', 'provider', 'package', 'internet', 'decent', 'drain', 'consideration', ' The network is', 'strong', 'losing']</v>
      </c>
      <c r="D4732" s="3">
        <v>2.0</v>
      </c>
    </row>
    <row r="4733" ht="15.75" customHeight="1">
      <c r="A4733" s="1">
        <v>5045.0</v>
      </c>
      <c r="B4733" s="3" t="s">
        <v>4571</v>
      </c>
      <c r="C4733" s="3" t="str">
        <f>IFERROR(__xludf.DUMMYFUNCTION("GOOGLETRANSLATE(B4733,""id"",""en"")"),"['TOP', 'pulse', 'belom', 'clock', 'already', 'ajah', 'belom', 'disappointed', 'really', 'telkomsel', 'fix', 'replace', ' Sajah ']")</f>
        <v>['TOP', 'pulse', 'belom', 'clock', 'already', 'ajah', 'belom', 'disappointed', 'really', 'telkomsel', 'fix', 'replace', ' Sajah ']</v>
      </c>
      <c r="D4733" s="3">
        <v>1.0</v>
      </c>
    </row>
    <row r="4734" ht="15.75" customHeight="1">
      <c r="A4734" s="1">
        <v>5046.0</v>
      </c>
      <c r="B4734" s="3" t="s">
        <v>4572</v>
      </c>
      <c r="C4734" s="3" t="str">
        <f>IFERROR(__xludf.DUMMYFUNCTION("GOOGLETRANSLATE(B4734,""id"",""en"")"),"['Satisfied', 'application', 'difficult', 'open']")</f>
        <v>['Satisfied', 'application', 'difficult', 'open']</v>
      </c>
      <c r="D4734" s="3">
        <v>2.0</v>
      </c>
    </row>
    <row r="4735" ht="15.75" customHeight="1">
      <c r="A4735" s="1">
        <v>5047.0</v>
      </c>
      <c r="B4735" s="3" t="s">
        <v>4573</v>
      </c>
      <c r="C4735" s="3" t="str">
        <f>IFERROR(__xludf.DUMMYFUNCTION("GOOGLETRANSLATE(B4735,""id"",""en"")"),"['disappointed', 'apk', 'bgs',' skrg ',' update ',' opened ',' knpppppp ',' bankrupt ',' bumn ',' hrs', 'replace', 'card', ' ',' use ',' Telkomsel ',' lbh ',' th ',' skrg ',' mkn ',' ugly ',' server ',' ']")</f>
        <v>['disappointed', 'apk', 'bgs',' skrg ',' update ',' opened ',' knpppppp ',' bankrupt ',' bumn ',' hrs', 'replace', 'card', ' ',' use ',' Telkomsel ',' lbh ',' th ',' skrg ',' mkn ',' ugly ',' server ',' ']</v>
      </c>
      <c r="D4735" s="3">
        <v>1.0</v>
      </c>
    </row>
    <row r="4736" ht="15.75" customHeight="1">
      <c r="A4736" s="1">
        <v>5048.0</v>
      </c>
      <c r="B4736" s="3" t="s">
        <v>644</v>
      </c>
      <c r="C4736" s="3" t="str">
        <f>IFERROR(__xludf.DUMMYFUNCTION("GOOGLETRANSLATE(B4736,""id"",""en"")"),"['Promo']")</f>
        <v>['Promo']</v>
      </c>
      <c r="D4736" s="3">
        <v>5.0</v>
      </c>
    </row>
    <row r="4737" ht="15.75" customHeight="1">
      <c r="A4737" s="1">
        <v>5049.0</v>
      </c>
      <c r="B4737" s="3" t="s">
        <v>4574</v>
      </c>
      <c r="C4737" s="3" t="str">
        <f>IFERROR(__xludf.DUMMYFUNCTION("GOOGLETRANSLATE(B4737,""id"",""en"")"),"['Please', 'Sorry', 'APK', 'Telkomsel', 'Open', '']")</f>
        <v>['Please', 'Sorry', 'APK', 'Telkomsel', 'Open', '']</v>
      </c>
      <c r="D4737" s="3">
        <v>4.0</v>
      </c>
    </row>
    <row r="4738" ht="15.75" customHeight="1">
      <c r="A4738" s="1">
        <v>5050.0</v>
      </c>
      <c r="B4738" s="3" t="s">
        <v>4575</v>
      </c>
      <c r="C4738" s="3" t="str">
        <f>IFERROR(__xludf.DUMMYFUNCTION("GOOGLETRANSLATE(B4738,""id"",""en"")"),"['Telkomsel', 'evenly', 'purchase', 'quota', 'Telkomsel', 'influence', 'new', '']")</f>
        <v>['Telkomsel', 'evenly', 'purchase', 'quota', 'Telkomsel', 'influence', 'new', '']</v>
      </c>
      <c r="D4738" s="3">
        <v>1.0</v>
      </c>
    </row>
    <row r="4739" ht="15.75" customHeight="1">
      <c r="A4739" s="1">
        <v>5051.0</v>
      </c>
      <c r="B4739" s="3" t="s">
        <v>4576</v>
      </c>
      <c r="C4739" s="3" t="str">
        <f>IFERROR(__xludf.DUMMYFUNCTION("GOOGLETRANSLATE(B4739,""id"",""en"")"),"['application', 'bgs']")</f>
        <v>['application', 'bgs']</v>
      </c>
      <c r="D4739" s="3">
        <v>5.0</v>
      </c>
    </row>
    <row r="4740" ht="15.75" customHeight="1">
      <c r="A4740" s="1">
        <v>5052.0</v>
      </c>
      <c r="B4740" s="3" t="s">
        <v>4577</v>
      </c>
      <c r="C4740" s="3" t="str">
        <f>IFERROR(__xludf.DUMMYFUNCTION("GOOGLETRANSLATE(B4740,""id"",""en"")"),"['good', 'buy', 'package', 'dis', 'kon', 'dionlot']")</f>
        <v>['good', 'buy', 'package', 'dis', 'kon', 'dionlot']</v>
      </c>
      <c r="D4740" s="3">
        <v>5.0</v>
      </c>
    </row>
    <row r="4741" ht="15.75" customHeight="1">
      <c r="A4741" s="1">
        <v>5053.0</v>
      </c>
      <c r="B4741" s="3" t="s">
        <v>4578</v>
      </c>
      <c r="C4741" s="3" t="str">
        <f>IFERROR(__xludf.DUMMYFUNCTION("GOOGLETRANSLATE(B4741,""id"",""en"")"),"['user', 'card', 'Hello', 'Disappointed', 'Privileges',' Customer ',' Post ',' Pay ',' Telkomsel ',' Price ',' Package ',' Expensive ',' late ',' pay ',' bills', 'internet', 'direct', 'distop', 'banking', 'pulse', 'limit', 'use', 'direct', 'run out', 'hou"&amp;"r' , 'Cycle', 'monthly', 'voucher', 'bonus',' data ',' program ',' daily ',' check ',' daily ',' claimed ',' pay ',' pulses', ' Like ',' users', 'postpaid', 'gabisa', 'get', '']")</f>
        <v>['user', 'card', 'Hello', 'Disappointed', 'Privileges',' Customer ',' Post ',' Pay ',' Telkomsel ',' Price ',' Package ',' Expensive ',' late ',' pay ',' bills', 'internet', 'direct', 'distop', 'banking', 'pulse', 'limit', 'use', 'direct', 'run out', 'hour' , 'Cycle', 'monthly', 'voucher', 'bonus',' data ',' program ',' daily ',' check ',' daily ',' claimed ',' pay ',' pulses', ' Like ',' users', 'postpaid', 'gabisa', 'get', '']</v>
      </c>
      <c r="D4741" s="3">
        <v>2.0</v>
      </c>
    </row>
    <row r="4742" ht="15.75" customHeight="1">
      <c r="A4742" s="1">
        <v>5054.0</v>
      </c>
      <c r="B4742" s="3" t="s">
        <v>4579</v>
      </c>
      <c r="C4742" s="3" t="str">
        <f>IFERROR(__xludf.DUMMYFUNCTION("GOOGLETRANSLATE(B4742,""id"",""en"")"),"['Please', 'Repaired', 'Samsung', 'Galaxy', 'Opened', 'Blank', 'White', 'Version', 'Version', 'The Application', 'Opened', ""]")</f>
        <v>['Please', 'Repaired', 'Samsung', 'Galaxy', 'Opened', 'Blank', 'White', 'Version', 'Version', 'The Application', 'Opened', "]</v>
      </c>
      <c r="D4742" s="3">
        <v>2.0</v>
      </c>
    </row>
    <row r="4743" ht="15.75" customHeight="1">
      <c r="A4743" s="1">
        <v>5055.0</v>
      </c>
      <c r="B4743" s="3" t="s">
        <v>4580</v>
      </c>
      <c r="C4743" s="3" t="str">
        <f>IFERROR(__xludf.DUMMYFUNCTION("GOOGLETRANSLATE(B4743,""id"",""en"")"),"['The application', 'Bosa', 'Open', 'Kek']")</f>
        <v>['The application', 'Bosa', 'Open', 'Kek']</v>
      </c>
      <c r="D4743" s="3">
        <v>1.0</v>
      </c>
    </row>
    <row r="4744" ht="15.75" customHeight="1">
      <c r="A4744" s="1">
        <v>5056.0</v>
      </c>
      <c r="B4744" s="3" t="s">
        <v>4581</v>
      </c>
      <c r="C4744" s="3" t="str">
        <f>IFERROR(__xludf.DUMMYFUNCTION("GOOGLETRANSLATE(B4744,""id"",""en"")"),"['', 'APK', 'Knp', 'Login', 'Wait', 'Tetep', 'Screen', 'White', 'Ber', 'Change', ""]")</f>
        <v>['', 'APK', 'Knp', 'Login', 'Wait', 'Tetep', 'Screen', 'White', 'Ber', 'Change', "]</v>
      </c>
      <c r="D4744" s="3">
        <v>1.0</v>
      </c>
    </row>
    <row r="4745" ht="15.75" customHeight="1">
      <c r="A4745" s="1">
        <v>5057.0</v>
      </c>
      <c r="B4745" s="3" t="s">
        <v>4582</v>
      </c>
      <c r="C4745" s="3" t="str">
        <f>IFERROR(__xludf.DUMMYFUNCTION("GOOGLETRANSLATE(B4745,""id"",""en"")"),"['Out', 'update', 'open', 'apk', 'slow', 'please', 'fix']")</f>
        <v>['Out', 'update', 'open', 'apk', 'slow', 'please', 'fix']</v>
      </c>
      <c r="D4745" s="3">
        <v>1.0</v>
      </c>
    </row>
    <row r="4746" ht="15.75" customHeight="1">
      <c r="A4746" s="1">
        <v>5058.0</v>
      </c>
      <c r="B4746" s="3" t="s">
        <v>4583</v>
      </c>
      <c r="C4746" s="3" t="str">
        <f>IFERROR(__xludf.DUMMYFUNCTION("GOOGLETRANSLATE(B4746,""id"",""en"")"),"['Open', 'The application', 'Yesterday', 'Update', 'Already', 'Delete', 'Install', 'Tetep', 'Ngebleng', 'White', ""]")</f>
        <v>['Open', 'The application', 'Yesterday', 'Update', 'Already', 'Delete', 'Install', 'Tetep', 'Ngebleng', 'White', "]</v>
      </c>
      <c r="D4746" s="3">
        <v>1.0</v>
      </c>
    </row>
    <row r="4747" ht="15.75" customHeight="1">
      <c r="A4747" s="1">
        <v>5059.0</v>
      </c>
      <c r="B4747" s="3" t="s">
        <v>4584</v>
      </c>
      <c r="C4747" s="3" t="str">
        <f>IFERROR(__xludf.DUMMYFUNCTION("GOOGLETRANSLATE(B4747,""id"",""en"")"),"['application', 'ugly', 'send', 'link', 'verification']")</f>
        <v>['application', 'ugly', 'send', 'link', 'verification']</v>
      </c>
      <c r="D4747" s="3">
        <v>1.0</v>
      </c>
    </row>
    <row r="4748" ht="15.75" customHeight="1">
      <c r="A4748" s="1">
        <v>5060.0</v>
      </c>
      <c r="B4748" s="3" t="s">
        <v>4585</v>
      </c>
      <c r="C4748" s="3" t="str">
        <f>IFERROR(__xludf.DUMMYFUNCTION("GOOGLETRANSLATE(B4748,""id"",""en"")"),"['Severe', 'Application', 'open', 'already', 'Try', 'Many', 'Delete', 'Application', 'Download', 'Tetep', 'color', 'White', ' Checkin ',' Get ',' Points', 'Enter', 'Game', 'Checkin', 'Points', ""]")</f>
        <v>['Severe', 'Application', 'open', 'already', 'Try', 'Many', 'Delete', 'Application', 'Download', 'Tetep', 'color', 'White', ' Checkin ',' Get ',' Points', 'Enter', 'Game', 'Checkin', 'Points', "]</v>
      </c>
      <c r="D4748" s="3">
        <v>1.0</v>
      </c>
    </row>
    <row r="4749" ht="15.75" customHeight="1">
      <c r="A4749" s="1">
        <v>5062.0</v>
      </c>
      <c r="B4749" s="3" t="s">
        <v>4586</v>
      </c>
      <c r="C4749" s="3" t="str">
        <f>IFERROR(__xludf.DUMMYFUNCTION("GOOGLETRANSLATE(B4749,""id"",""en"")"),"['Application', 'jammed', ""]")</f>
        <v>['Application', 'jammed', "]</v>
      </c>
      <c r="D4749" s="3">
        <v>1.0</v>
      </c>
    </row>
    <row r="4750" ht="15.75" customHeight="1">
      <c r="A4750" s="1">
        <v>5063.0</v>
      </c>
      <c r="B4750" s="3" t="s">
        <v>4587</v>
      </c>
      <c r="C4750" s="3" t="str">
        <f>IFERROR(__xludf.DUMMYFUNCTION("GOOGLETRANSLATE(B4750,""id"",""en"")"),"['application', 'help', 'menu', 'choice', 'package', 'buy', 'application', 'cheap', 'buy', 'monitor', 'leftover', 'quota', ' etc ',' help ',' thank ',' love ', ""]")</f>
        <v>['application', 'help', 'menu', 'choice', 'package', 'buy', 'application', 'cheap', 'buy', 'monitor', 'leftover', 'quota', ' etc ',' help ',' thank ',' love ', "]</v>
      </c>
      <c r="D4750" s="3">
        <v>5.0</v>
      </c>
    </row>
    <row r="4751" ht="15.75" customHeight="1">
      <c r="A4751" s="1">
        <v>5064.0</v>
      </c>
      <c r="B4751" s="3" t="s">
        <v>4588</v>
      </c>
      <c r="C4751" s="3" t="str">
        <f>IFERROR(__xludf.DUMMYFUNCTION("GOOGLETRANSLATE(B4751,""id"",""en"")"),"['signal', 'good', 'really', '']")</f>
        <v>['signal', 'good', 'really', '']</v>
      </c>
      <c r="D4751" s="3">
        <v>5.0</v>
      </c>
    </row>
    <row r="4752" ht="15.75" customHeight="1">
      <c r="A4752" s="1">
        <v>5065.0</v>
      </c>
      <c r="B4752" s="3" t="s">
        <v>4589</v>
      </c>
      <c r="C4752" s="3" t="str">
        <f>IFERROR(__xludf.DUMMYFUNCTION("GOOGLETRANSLATE(B4752,""id"",""en"")"),"['account', 'log', 'out', 'checked', 'log', 'troublesome', 'hurry', 'hurry']")</f>
        <v>['account', 'log', 'out', 'checked', 'log', 'troublesome', 'hurry', 'hurry']</v>
      </c>
      <c r="D4752" s="3">
        <v>2.0</v>
      </c>
    </row>
    <row r="4753" ht="15.75" customHeight="1">
      <c r="A4753" s="1">
        <v>5066.0</v>
      </c>
      <c r="B4753" s="3" t="s">
        <v>4590</v>
      </c>
      <c r="C4753" s="3" t="str">
        <f>IFERROR(__xludf.DUMMYFUNCTION("GOOGLETRANSLATE(B4753,""id"",""en"")"),"['promo', 'cheap', 'cheap']")</f>
        <v>['promo', 'cheap', 'cheap']</v>
      </c>
      <c r="D4753" s="3">
        <v>3.0</v>
      </c>
    </row>
    <row r="4754" ht="15.75" customHeight="1">
      <c r="A4754" s="1">
        <v>5067.0</v>
      </c>
      <c r="B4754" s="3" t="s">
        <v>4591</v>
      </c>
      <c r="C4754" s="3" t="str">
        <f>IFERROR(__xludf.DUMMYFUNCTION("GOOGLETRANSLATE(B4754,""id"",""en"")"),"['GMNA', 'MyTelkomsel', '']")</f>
        <v>['GMNA', 'MyTelkomsel', '']</v>
      </c>
      <c r="D4754" s="3">
        <v>1.0</v>
      </c>
    </row>
    <row r="4755" ht="15.75" customHeight="1">
      <c r="A4755" s="1">
        <v>5068.0</v>
      </c>
      <c r="B4755" s="3" t="s">
        <v>4592</v>
      </c>
      <c r="C4755" s="3" t="str">
        <f>IFERROR(__xludf.DUMMYFUNCTION("GOOGLETRANSLATE(B4755,""id"",""en"")"),"['beloved', 'bonus']")</f>
        <v>['beloved', 'bonus']</v>
      </c>
      <c r="D4755" s="3">
        <v>4.0</v>
      </c>
    </row>
    <row r="4756" ht="15.75" customHeight="1">
      <c r="A4756" s="1">
        <v>5069.0</v>
      </c>
      <c r="B4756" s="3" t="s">
        <v>4593</v>
      </c>
      <c r="C4756" s="3" t="str">
        <f>IFERROR(__xludf.DUMMYFUNCTION("GOOGLETRANSLATE(B4756,""id"",""en"")"),"['Gara', 'Gara', 'Telkomsel', 'broken', 'slamming', 'emotion', 'because', 'network', 'Telkomsel', ""]")</f>
        <v>['Gara', 'Gara', 'Telkomsel', 'broken', 'slamming', 'emotion', 'because', 'network', 'Telkomsel', "]</v>
      </c>
      <c r="D4756" s="3">
        <v>1.0</v>
      </c>
    </row>
    <row r="4757" ht="15.75" customHeight="1">
      <c r="A4757" s="1">
        <v>5070.0</v>
      </c>
      <c r="B4757" s="3" t="s">
        <v>4594</v>
      </c>
      <c r="C4757" s="3" t="str">
        <f>IFERROR(__xludf.DUMMYFUNCTION("GOOGLETRANSLATE(B4757,""id"",""en"")"),"['Even though', 'BLM', 'update', 'mntaplh', 'business',' fix ',' quality ',' siqnal ',' smpai ',' cheating ',' indonesia ',' msh ',' BLM ',' affordable ',' maximum ',' trim ', ""]")</f>
        <v>['Even though', 'BLM', 'update', 'mntaplh', 'business',' fix ',' quality ',' siqnal ',' smpai ',' cheating ',' indonesia ',' msh ',' BLM ',' affordable ',' maximum ',' trim ', "]</v>
      </c>
      <c r="D4757" s="3">
        <v>2.0</v>
      </c>
    </row>
    <row r="4758" ht="15.75" customHeight="1">
      <c r="A4758" s="1">
        <v>5071.0</v>
      </c>
      <c r="B4758" s="3" t="s">
        <v>4595</v>
      </c>
      <c r="C4758" s="3" t="str">
        <f>IFERROR(__xludf.DUMMYFUNCTION("GOOGLETRANSLATE(B4758,""id"",""en"")"),"['The application', 'opened', 'already', 'Install', 'reset', 'Tetep', 'Ajah', 'open']")</f>
        <v>['The application', 'opened', 'already', 'Install', 'reset', 'Tetep', 'Ajah', 'open']</v>
      </c>
      <c r="D4758" s="3">
        <v>1.0</v>
      </c>
    </row>
    <row r="4759" ht="15.75" customHeight="1">
      <c r="A4759" s="1">
        <v>5072.0</v>
      </c>
      <c r="B4759" s="3" t="s">
        <v>4596</v>
      </c>
      <c r="C4759" s="3" t="str">
        <f>IFERROR(__xludf.DUMMYFUNCTION("GOOGLETRANSLATE(B4759,""id"",""en"")"),"['Help', 'really', 'Thanks', 'Telkomsel', ""]")</f>
        <v>['Help', 'really', 'Thanks', 'Telkomsel', "]</v>
      </c>
      <c r="D4759" s="3">
        <v>5.0</v>
      </c>
    </row>
    <row r="4760" ht="15.75" customHeight="1">
      <c r="A4760" s="1">
        <v>5073.0</v>
      </c>
      <c r="B4760" s="3" t="s">
        <v>4597</v>
      </c>
      <c r="C4760" s="3" t="str">
        <f>IFERROR(__xludf.DUMMYFUNCTION("GOOGLETRANSLATE(B4760,""id"",""en"")"),"['Knpa', 'Telkomsel', 'Open', '']")</f>
        <v>['Knpa', 'Telkomsel', 'Open', '']</v>
      </c>
      <c r="D4760" s="3">
        <v>5.0</v>
      </c>
    </row>
    <row r="4761" ht="15.75" customHeight="1">
      <c r="A4761" s="1">
        <v>5074.0</v>
      </c>
      <c r="B4761" s="3" t="s">
        <v>4598</v>
      </c>
      <c r="C4761" s="3" t="str">
        <f>IFERROR(__xludf.DUMMYFUNCTION("GOOGLETRANSLATE(B4761,""id"",""en"")"),"['less',' star ',' because 'maximum', 'sometimes',' slow ',' sometimes', 'kenceng', 'right', 'mlm', ""]")</f>
        <v>['less',' star ',' because 'maximum', 'sometimes',' slow ',' sometimes', 'kenceng', 'right', 'mlm', "]</v>
      </c>
      <c r="D4761" s="3">
        <v>4.0</v>
      </c>
    </row>
    <row r="4762" ht="15.75" customHeight="1">
      <c r="A4762" s="1">
        <v>5075.0</v>
      </c>
      <c r="B4762" s="3" t="s">
        <v>4599</v>
      </c>
      <c r="C4762" s="3" t="str">
        <f>IFERROR(__xludf.DUMMYFUNCTION("GOOGLETRANSLATE(B4762,""id"",""en"")"),"['Thank "",' Love ',' Telkomsel ',' Success']")</f>
        <v>['Thank ",' Love ',' Telkomsel ',' Success']</v>
      </c>
      <c r="D4762" s="3">
        <v>5.0</v>
      </c>
    </row>
    <row r="4763" ht="15.75" customHeight="1">
      <c r="A4763" s="1">
        <v>5076.0</v>
      </c>
      <c r="B4763" s="3" t="s">
        <v>4600</v>
      </c>
      <c r="C4763" s="3" t="str">
        <f>IFERROR(__xludf.DUMMYFUNCTION("GOOGLETRANSLATE(B4763,""id"",""en"")"),"['use', 'Telkomsel', 'obstacles', 'enter', 'Telkomsel', 'screen', 'white', 'wrong', ""]")</f>
        <v>['use', 'Telkomsel', 'obstacles', 'enter', 'Telkomsel', 'screen', 'white', 'wrong', "]</v>
      </c>
      <c r="D4763" s="3">
        <v>3.0</v>
      </c>
    </row>
    <row r="4764" ht="15.75" customHeight="1">
      <c r="A4764" s="1">
        <v>5077.0</v>
      </c>
      <c r="B4764" s="3" t="s">
        <v>4601</v>
      </c>
      <c r="C4764" s="3" t="str">
        <f>IFERROR(__xludf.DUMMYFUNCTION("GOOGLETRANSLATE(B4764,""id"",""en"")"),"['Network', 'Baguank']")</f>
        <v>['Network', 'Baguank']</v>
      </c>
      <c r="D4764" s="3">
        <v>5.0</v>
      </c>
    </row>
    <row r="4765" ht="15.75" customHeight="1">
      <c r="A4765" s="1">
        <v>5078.0</v>
      </c>
      <c r="B4765" s="3" t="s">
        <v>4602</v>
      </c>
      <c r="C4765" s="3" t="str">
        <f>IFERROR(__xludf.DUMMYFUNCTION("GOOGLETRANSLATE(B4765,""id"",""en"")"),"['Open', 'App', 'Gabisa', 'appears', ""]")</f>
        <v>['Open', 'App', 'Gabisa', 'appears', "]</v>
      </c>
      <c r="D4765" s="3">
        <v>2.0</v>
      </c>
    </row>
    <row r="4766" ht="15.75" customHeight="1">
      <c r="A4766" s="1">
        <v>5079.0</v>
      </c>
      <c r="B4766" s="3" t="s">
        <v>4603</v>
      </c>
      <c r="C4766" s="3" t="str">
        <f>IFERROR(__xludf.DUMMYFUNCTION("GOOGLETRANSLATE(B4766,""id"",""en"")"),"['Bad', 'signal', 'Telkomsel', 'buy', 'quota', 'expensive', 'quality', 'signal', 'kayak', 'gini', 'ajghhhhh']")</f>
        <v>['Bad', 'signal', 'Telkomsel', 'buy', 'quota', 'expensive', 'quality', 'signal', 'kayak', 'gini', 'ajghhhhh']</v>
      </c>
      <c r="D4766" s="3">
        <v>1.0</v>
      </c>
    </row>
    <row r="4767" ht="15.75" customHeight="1">
      <c r="A4767" s="1">
        <v>5080.0</v>
      </c>
      <c r="B4767" s="3" t="s">
        <v>4604</v>
      </c>
      <c r="C4767" s="3" t="str">
        <f>IFERROR(__xludf.DUMMYFUNCTION("GOOGLETRANSLATE(B4767,""id"",""en"")"),"['bad', 'card', 'Hello', 'priority', 'bad', 'upgrade', 'solution', 'help', 'replace', 'operator', 'Please', 'sorry', ' The rating is 'star', 'disappointing', '']")</f>
        <v>['bad', 'card', 'Hello', 'priority', 'bad', 'upgrade', 'solution', 'help', 'replace', 'operator', 'Please', 'sorry', ' The rating is 'star', 'disappointing', '']</v>
      </c>
      <c r="D4767" s="3">
        <v>1.0</v>
      </c>
    </row>
    <row r="4768" ht="15.75" customHeight="1">
      <c r="A4768" s="1">
        <v>5081.0</v>
      </c>
      <c r="B4768" s="3" t="s">
        <v>4605</v>
      </c>
      <c r="C4768" s="3" t="str">
        <f>IFERROR(__xludf.DUMMYFUNCTION("GOOGLETRANSLATE(B4768,""id"",""en"")"),"['just', 'card', 'Telkomsel', 'like', 'culuced', 'contents',' quata ',' directly ',' Abis', 'then', 'buy', 'package', ' Available ',' right ',' Packagein ',' Available ',' Pulse ',' Tetep ',' Take ',' Already ',' Signal ',' ugly ',' artisan ',' Tipu ',' c"&amp;"ard ' , 'Telkomsel', 'mending', 'waste', 'replace', 'this is', 'card', 'like', 'cheat', 'orng', 'get', 'friend']")</f>
        <v>['just', 'card', 'Telkomsel', 'like', 'culuced', 'contents',' quata ',' directly ',' Abis', 'then', 'buy', 'package', ' Available ',' right ',' Packagein ',' Available ',' Pulse ',' Tetep ',' Take ',' Already ',' Signal ',' ugly ',' artisan ',' Tipu ',' card ' , 'Telkomsel', 'mending', 'waste', 'replace', 'this is', 'card', 'like', 'cheat', 'orng', 'get', 'friend']</v>
      </c>
      <c r="D4768" s="3">
        <v>1.0</v>
      </c>
    </row>
    <row r="4769" ht="15.75" customHeight="1">
      <c r="A4769" s="1">
        <v>5082.0</v>
      </c>
      <c r="B4769" s="3" t="s">
        <v>4606</v>
      </c>
      <c r="C4769" s="3" t="str">
        <f>IFERROR(__xludf.DUMMYFUNCTION("GOOGLETRANSLATE(B4769,""id"",""en"")"),"['quality', 'service', 'Telkomsel', 'serving', 'complaints', 'response', 'fast', 'success', 'slaluu', 'Telkomsel']")</f>
        <v>['quality', 'service', 'Telkomsel', 'serving', 'complaints', 'response', 'fast', 'success', 'slaluu', 'Telkomsel']</v>
      </c>
      <c r="D4769" s="3">
        <v>5.0</v>
      </c>
    </row>
    <row r="4770" ht="15.75" customHeight="1">
      <c r="A4770" s="1">
        <v>5083.0</v>
      </c>
      <c r="B4770" s="3" t="s">
        <v>311</v>
      </c>
      <c r="C4770" s="3" t="str">
        <f>IFERROR(__xludf.DUMMYFUNCTION("GOOGLETRANSLATE(B4770,""id"",""en"")"),"['expensive']")</f>
        <v>['expensive']</v>
      </c>
      <c r="D4770" s="3">
        <v>1.0</v>
      </c>
    </row>
    <row r="4771" ht="15.75" customHeight="1">
      <c r="A4771" s="1">
        <v>5084.0</v>
      </c>
      <c r="B4771" s="3" t="s">
        <v>4607</v>
      </c>
      <c r="C4771" s="3" t="str">
        <f>IFERROR(__xludf.DUMMYFUNCTION("GOOGLETRANSLATE(B4771,""id"",""en"")"),"['Dri', 'Star', 'Collapse', 'Star', 'stingy', 'AMT', 'Tlong', 'kmblikn', 'Sprti', 'price', 'Kyk', 'Udh', ' Meras', 'bnget', 'org', 'difficult', 'buy', 'package', 'Rbu', 'crazy', ""]")</f>
        <v>['Dri', 'Star', 'Collapse', 'Star', 'stingy', 'AMT', 'Tlong', 'kmblikn', 'Sprti', 'price', 'Kyk', 'Udh', ' Meras', 'bnget', 'org', 'difficult', 'buy', 'package', 'Rbu', 'crazy', "]</v>
      </c>
      <c r="D4771" s="3">
        <v>1.0</v>
      </c>
    </row>
    <row r="4772" ht="15.75" customHeight="1">
      <c r="A4772" s="1">
        <v>5085.0</v>
      </c>
      <c r="B4772" s="3" t="s">
        <v>4608</v>
      </c>
      <c r="C4772" s="3" t="str">
        <f>IFERROR(__xludf.DUMMYFUNCTION("GOOGLETRANSLATE(B4772,""id"",""en"")"),"['already', 'a week', 'kga', 'open', 'application', 'screen', 'white', '']")</f>
        <v>['already', 'a week', 'kga', 'open', 'application', 'screen', 'white', '']</v>
      </c>
      <c r="D4772" s="3">
        <v>2.0</v>
      </c>
    </row>
    <row r="4773" ht="15.75" customHeight="1">
      <c r="A4773" s="1">
        <v>5086.0</v>
      </c>
      <c r="B4773" s="3" t="s">
        <v>1191</v>
      </c>
      <c r="C4773" s="3" t="str">
        <f>IFERROR(__xludf.DUMMYFUNCTION("GOOGLETRANSLATE(B4773,""id"",""en"")"),"['APK']")</f>
        <v>['APK']</v>
      </c>
      <c r="D4773" s="3">
        <v>5.0</v>
      </c>
    </row>
    <row r="4774" ht="15.75" customHeight="1">
      <c r="A4774" s="1">
        <v>5087.0</v>
      </c>
      <c r="B4774" s="3" t="s">
        <v>4609</v>
      </c>
      <c r="C4774" s="3" t="str">
        <f>IFERROR(__xludf.DUMMYFUNCTION("GOOGLETRANSLATE(B4774,""id"",""en"")"),"['application', 'no', 'open', 'appears', 'white']")</f>
        <v>['application', 'no', 'open', 'appears', 'white']</v>
      </c>
      <c r="D4774" s="3">
        <v>3.0</v>
      </c>
    </row>
    <row r="4775" ht="15.75" customHeight="1">
      <c r="A4775" s="1">
        <v>5088.0</v>
      </c>
      <c r="B4775" s="3" t="s">
        <v>4610</v>
      </c>
      <c r="C4775" s="3" t="str">
        <f>IFERROR(__xludf.DUMMYFUNCTION("GOOGLETRANSLATE(B4775,""id"",""en"")"),"['Sis', 'Ngga', 'Enter', 'Application', 'Telkomsel', '']")</f>
        <v>['Sis', 'Ngga', 'Enter', 'Application', 'Telkomsel', '']</v>
      </c>
      <c r="D4775" s="3">
        <v>1.0</v>
      </c>
    </row>
    <row r="4776" ht="15.75" customHeight="1">
      <c r="A4776" s="1">
        <v>5089.0</v>
      </c>
      <c r="B4776" s="3" t="s">
        <v>4611</v>
      </c>
      <c r="C4776" s="3" t="str">
        <f>IFERROR(__xludf.DUMMYFUNCTION("GOOGLETRANSLATE(B4776,""id"",""en"")"),"['Increases', 'Ivent', 'Point', 'Telkom', '']")</f>
        <v>['Increases', 'Ivent', 'Point', 'Telkom', '']</v>
      </c>
      <c r="D4776" s="3">
        <v>5.0</v>
      </c>
    </row>
    <row r="4777" ht="15.75" customHeight="1">
      <c r="A4777" s="1">
        <v>5090.0</v>
      </c>
      <c r="B4777" s="3" t="s">
        <v>4612</v>
      </c>
      <c r="C4777" s="3" t="str">
        <f>IFERROR(__xludf.DUMMYFUNCTION("GOOGLETRANSLATE(B4777,""id"",""en"")"),"['easy', 'fast', 'simple']")</f>
        <v>['easy', 'fast', 'simple']</v>
      </c>
      <c r="D4777" s="3">
        <v>5.0</v>
      </c>
    </row>
    <row r="4778" ht="15.75" customHeight="1">
      <c r="A4778" s="1">
        <v>5091.0</v>
      </c>
      <c r="B4778" s="3" t="s">
        <v>4613</v>
      </c>
      <c r="C4778" s="3" t="str">
        <f>IFERROR(__xludf.DUMMYFUNCTION("GOOGLETRANSLATE(B4778,""id"",""en"")"),"['Payment', 'Shopeepay', 'Sis', ""]")</f>
        <v>['Payment', 'Shopeepay', 'Sis', "]</v>
      </c>
      <c r="D4778" s="3">
        <v>4.0</v>
      </c>
    </row>
    <row r="4779" ht="15.75" customHeight="1">
      <c r="A4779" s="1">
        <v>5092.0</v>
      </c>
      <c r="B4779" s="3" t="s">
        <v>4614</v>
      </c>
      <c r="C4779" s="3" t="str">
        <f>IFERROR(__xludf.DUMMYFUNCTION("GOOGLETRANSLATE(B4779,""id"",""en"")"),"['Read', 'APK', 'Use', 'Application', 'Safe', 'just', 'why', 'kgak', 'kebaca', 'screen', 'white', 'plain', ' M4am ',' ']")</f>
        <v>['Read', 'APK', 'Use', 'Application', 'Safe', 'just', 'why', 'kgak', 'kebaca', 'screen', 'white', 'plain', ' M4am ',' ']</v>
      </c>
      <c r="D4779" s="3">
        <v>3.0</v>
      </c>
    </row>
    <row r="4780" ht="15.75" customHeight="1">
      <c r="A4780" s="1">
        <v>5093.0</v>
      </c>
      <c r="B4780" s="3" t="s">
        <v>4615</v>
      </c>
      <c r="C4780" s="3" t="str">
        <f>IFERROR(__xludf.DUMMYFUNCTION("GOOGLETRANSLATE(B4780,""id"",""en"")"),"['buy', 'card', 'Telkomsel', 'network', 'down', 'regret', 'price', 'exorbitant', 'network', 'kek', 'gada', 'brain']")</f>
        <v>['buy', 'card', 'Telkomsel', 'network', 'down', 'regret', 'price', 'exorbitant', 'network', 'kek', 'gada', 'brain']</v>
      </c>
      <c r="D4780" s="3">
        <v>1.0</v>
      </c>
    </row>
    <row r="4781" ht="15.75" customHeight="1">
      <c r="A4781" s="1">
        <v>5097.0</v>
      </c>
      <c r="B4781" s="3" t="s">
        <v>4616</v>
      </c>
      <c r="C4781" s="3" t="str">
        <f>IFERROR(__xludf.DUMMYFUNCTION("GOOGLETRANSLATE(B4781,""id"",""en"")"),"['Please', 'Keep', 'Network', 'Internet', 'Personal', 'Change', 'Card', 'Thank "",' Love ']")</f>
        <v>['Please', 'Keep', 'Network', 'Internet', 'Personal', 'Change', 'Card', 'Thank ",' Love ']</v>
      </c>
      <c r="D4781" s="3">
        <v>5.0</v>
      </c>
    </row>
    <row r="4782" ht="15.75" customHeight="1">
      <c r="A4782" s="1">
        <v>5099.0</v>
      </c>
      <c r="B4782" s="3" t="s">
        <v>4617</v>
      </c>
      <c r="C4782" s="3" t="str">
        <f>IFERROR(__xludf.DUMMYFUNCTION("GOOGLETRANSLATE(B4782,""id"",""en"")"),"['It's easier for', 'Nasaba']")</f>
        <v>['It's easier for', 'Nasaba']</v>
      </c>
      <c r="D4782" s="3">
        <v>5.0</v>
      </c>
    </row>
    <row r="4783" ht="15.75" customHeight="1">
      <c r="A4783" s="1">
        <v>5100.0</v>
      </c>
      <c r="B4783" s="3" t="s">
        <v>4618</v>
      </c>
      <c r="C4783" s="3" t="str">
        <f>IFERROR(__xludf.DUMMYFUNCTION("GOOGLETRANSLATE(B4783,""id"",""en"")"),"['APK', 'Mantab']")</f>
        <v>['APK', 'Mantab']</v>
      </c>
      <c r="D4783" s="3">
        <v>5.0</v>
      </c>
    </row>
    <row r="4784" ht="15.75" customHeight="1">
      <c r="A4784" s="1">
        <v>5101.0</v>
      </c>
      <c r="B4784" s="3" t="s">
        <v>4619</v>
      </c>
      <c r="C4784" s="3" t="str">
        <f>IFERROR(__xludf.DUMMYFUNCTION("GOOGLETRANSLATE(B4784,""id"",""en"")"),"['package', 'expensive']")</f>
        <v>['package', 'expensive']</v>
      </c>
      <c r="D4784" s="3">
        <v>5.0</v>
      </c>
    </row>
    <row r="4785" ht="15.75" customHeight="1">
      <c r="A4785" s="1">
        <v>5103.0</v>
      </c>
      <c r="B4785" s="3" t="s">
        <v>4620</v>
      </c>
      <c r="C4785" s="3" t="str">
        <f>IFERROR(__xludf.DUMMYFUNCTION("GOOGLETRANSLATE(B4785,""id"",""en"")"),"['send', 'email', 'related', 'complaints', 'application', 'opened', '']")</f>
        <v>['send', 'email', 'related', 'complaints', 'application', 'opened', '']</v>
      </c>
      <c r="D4785" s="3">
        <v>1.0</v>
      </c>
    </row>
    <row r="4786" ht="15.75" customHeight="1">
      <c r="A4786" s="1">
        <v>5104.0</v>
      </c>
      <c r="B4786" s="3" t="s">
        <v>4621</v>
      </c>
      <c r="C4786" s="3" t="str">
        <f>IFERROR(__xludf.DUMMYFUNCTION("GOOGLETRANSLATE(B4786,""id"",""en"")"),"['Quality', 'Signal', 'Bad']")</f>
        <v>['Quality', 'Signal', 'Bad']</v>
      </c>
      <c r="D4786" s="3">
        <v>1.0</v>
      </c>
    </row>
    <row r="4787" ht="15.75" customHeight="1">
      <c r="A4787" s="1">
        <v>5105.0</v>
      </c>
      <c r="B4787" s="3" t="s">
        <v>4622</v>
      </c>
      <c r="C4787" s="3" t="str">
        <f>IFERROR(__xludf.DUMMYFUNCTION("GOOGLETRANSLATE(B4787,""id"",""en"")"),"['Need it']")</f>
        <v>['Need it']</v>
      </c>
      <c r="D4787" s="3">
        <v>5.0</v>
      </c>
    </row>
    <row r="4788" ht="15.75" customHeight="1">
      <c r="A4788" s="1">
        <v>5106.0</v>
      </c>
      <c r="B4788" s="3" t="s">
        <v>4623</v>
      </c>
      <c r="C4788" s="3" t="str">
        <f>IFERROR(__xludf.DUMMYFUNCTION("GOOGLETRANSLATE(B4788,""id"",""en"")"),"['Telkomsel', 'TOP', 'Markotop']")</f>
        <v>['Telkomsel', 'TOP', 'Markotop']</v>
      </c>
      <c r="D4788" s="3">
        <v>5.0</v>
      </c>
    </row>
    <row r="4789" ht="15.75" customHeight="1">
      <c r="A4789" s="1">
        <v>5107.0</v>
      </c>
      <c r="B4789" s="3" t="s">
        <v>4624</v>
      </c>
      <c r="C4789" s="3" t="str">
        <f>IFERROR(__xludf.DUMMYFUNCTION("GOOGLETRANSLATE(B4789,""id"",""en"")"),"['Love', 'looks', 'Physical', '']")</f>
        <v>['Love', 'looks', 'Physical', '']</v>
      </c>
      <c r="D4789" s="3">
        <v>5.0</v>
      </c>
    </row>
    <row r="4790" ht="15.75" customHeight="1">
      <c r="A4790" s="1">
        <v>5108.0</v>
      </c>
      <c r="B4790" s="3" t="s">
        <v>4625</v>
      </c>
      <c r="C4790" s="3" t="str">
        <f>IFERROR(__xludf.DUMMYFUNCTION("GOOGLETRANSLATE(B4790,""id"",""en"")"),"['Rare', 'opened', 'PAS', 'CLAIM', 'POINT', 'GBS']")</f>
        <v>['Rare', 'opened', 'PAS', 'CLAIM', 'POINT', 'GBS']</v>
      </c>
      <c r="D4790" s="3">
        <v>1.0</v>
      </c>
    </row>
    <row r="4791" ht="15.75" customHeight="1">
      <c r="A4791" s="1">
        <v>5109.0</v>
      </c>
      <c r="B4791" s="3" t="s">
        <v>4626</v>
      </c>
      <c r="C4791" s="3" t="str">
        <f>IFERROR(__xludf.DUMMYFUNCTION("GOOGLETRANSLATE(B4791,""id"",""en"")"),"['Sya', 'Try', 'Application', 'Telkomsel', 'MDH', 'AJH', 'Suitable', 'Good', 'Signal', ""]")</f>
        <v>['Sya', 'Try', 'Application', 'Telkomsel', 'MDH', 'AJH', 'Suitable', 'Good', 'Signal', "]</v>
      </c>
      <c r="D4791" s="3">
        <v>4.0</v>
      </c>
    </row>
    <row r="4792" ht="15.75" customHeight="1">
      <c r="A4792" s="1">
        <v>5110.0</v>
      </c>
      <c r="B4792" s="3" t="s">
        <v>4627</v>
      </c>
      <c r="C4792" s="3" t="str">
        <f>IFERROR(__xludf.DUMMYFUNCTION("GOOGLETRANSLATE(B4792,""id"",""en"")"),"['unlmtd', 'network', 'good', 'Bukak', 'Instagram', 'smooth', 'slow', 'really']")</f>
        <v>['unlmtd', 'network', 'good', 'Bukak', 'Instagram', 'smooth', 'slow', 'really']</v>
      </c>
      <c r="D4792" s="3">
        <v>3.0</v>
      </c>
    </row>
    <row r="4793" ht="15.75" customHeight="1">
      <c r="A4793" s="1">
        <v>5111.0</v>
      </c>
      <c r="B4793" s="3" t="s">
        <v>4628</v>
      </c>
      <c r="C4793" s="3" t="str">
        <f>IFERROR(__xludf.DUMMYFUNCTION("GOOGLETRANSLATE(B4793,""id"",""en"")"),"['signal', 'los', 'fussy']")</f>
        <v>['signal', 'los', 'fussy']</v>
      </c>
      <c r="D4793" s="3">
        <v>5.0</v>
      </c>
    </row>
    <row r="4794" ht="15.75" customHeight="1">
      <c r="A4794" s="1">
        <v>5112.0</v>
      </c>
      <c r="B4794" s="3" t="s">
        <v>4629</v>
      </c>
      <c r="C4794" s="3" t="str">
        <f>IFERROR(__xludf.DUMMYFUNCTION("GOOGLETRANSLATE(B4794,""id"",""en"")"),"['buy', 'package', 'promo', 'gopay', 'please', 'repair']")</f>
        <v>['buy', 'package', 'promo', 'gopay', 'please', 'repair']</v>
      </c>
      <c r="D4794" s="3">
        <v>4.0</v>
      </c>
    </row>
    <row r="4795" ht="15.75" customHeight="1">
      <c r="A4795" s="1">
        <v>5113.0</v>
      </c>
      <c r="B4795" s="3" t="s">
        <v>4630</v>
      </c>
      <c r="C4795" s="3" t="str">
        <f>IFERROR(__xludf.DUMMYFUNCTION("GOOGLETRANSLATE(B4795,""id"",""en"")"),"['Telkomsel', 'open', 'Telkomselnya', 'open', 'please', 'info', 'bgmana', 'sudab', 'delete', 'donwload', 'reset', 'repeated', ' times', 'turn off', 'many', 'times',' Telkomsel ',' open ',' mhn ',' confirm ',' Telkomsel ',' thank ',' love ', ""]")</f>
        <v>['Telkomsel', 'open', 'Telkomselnya', 'open', 'please', 'info', 'bgmana', 'sudab', 'delete', 'donwload', 'reset', 'repeated', ' times', 'turn off', 'many', 'times',' Telkomsel ',' open ',' mhn ',' confirm ',' Telkomsel ',' thank ',' love ', "]</v>
      </c>
      <c r="D4795" s="3">
        <v>5.0</v>
      </c>
    </row>
    <row r="4796" ht="15.75" customHeight="1">
      <c r="A4796" s="1">
        <v>5114.0</v>
      </c>
      <c r="B4796" s="3" t="s">
        <v>4631</v>
      </c>
      <c r="C4796" s="3" t="str">
        <f>IFERROR(__xludf.DUMMYFUNCTION("GOOGLETRANSLATE(B4796,""id"",""en"")"),"['application', 'difficult', 'open', 'delete', 'data', 'enter', 'disappointing']")</f>
        <v>['application', 'difficult', 'open', 'delete', 'data', 'enter', 'disappointing']</v>
      </c>
      <c r="D4796" s="3">
        <v>1.0</v>
      </c>
    </row>
    <row r="4797" ht="15.75" customHeight="1">
      <c r="A4797" s="1">
        <v>5115.0</v>
      </c>
      <c r="B4797" s="3" t="s">
        <v>4632</v>
      </c>
      <c r="C4797" s="3" t="str">
        <f>IFERROR(__xludf.DUMMYFUNCTION("GOOGLETRANSLATE(B4797,""id"",""en"")"),"['Open', 'screen', 'white', '']")</f>
        <v>['Open', 'screen', 'white', '']</v>
      </c>
      <c r="D4797" s="3">
        <v>1.0</v>
      </c>
    </row>
    <row r="4798" ht="15.75" customHeight="1">
      <c r="A4798" s="1">
        <v>5116.0</v>
      </c>
      <c r="B4798" s="3" t="s">
        <v>4633</v>
      </c>
      <c r="C4798" s="3" t="str">
        <f>IFERROR(__xludf.DUMMYFUNCTION("GOOGLETRANSLATE(B4798,""id"",""en"")"),"['just', 'love', 'suggestion', 'kalu', 'package', 'internet', 'out', 'beg', 'pulse', 'cut', 'times',' quota ',' run out ',' pulse ',' cut ',' automatic ',' detrimental ',' maxh ']")</f>
        <v>['just', 'love', 'suggestion', 'kalu', 'package', 'internet', 'out', 'beg', 'pulse', 'cut', 'times',' quota ',' run out ',' pulse ',' cut ',' automatic ',' detrimental ',' maxh ']</v>
      </c>
      <c r="D4798" s="3">
        <v>4.0</v>
      </c>
    </row>
    <row r="4799" ht="15.75" customHeight="1">
      <c r="A4799" s="1">
        <v>5117.0</v>
      </c>
      <c r="B4799" s="3" t="s">
        <v>4634</v>
      </c>
      <c r="C4799" s="3" t="str">
        <f>IFERROR(__xludf.DUMMYFUNCTION("GOOGLETRANSLATE(B4799,""id"",""en"")"),"['package', 'expensive', 'divided', 'clock', 'divided', 'sosmed', 'ribet']")</f>
        <v>['package', 'expensive', 'divided', 'clock', 'divided', 'sosmed', 'ribet']</v>
      </c>
      <c r="D4799" s="3">
        <v>3.0</v>
      </c>
    </row>
    <row r="4800" ht="15.75" customHeight="1">
      <c r="A4800" s="1">
        <v>5118.0</v>
      </c>
      <c r="B4800" s="3" t="s">
        <v>4635</v>
      </c>
      <c r="C4800" s="3" t="str">
        <f>IFERROR(__xludf.DUMMYFUNCTION("GOOGLETRANSLATE(B4800,""id"",""en"")"),"['steady', 'help', 'easy', 'access']")</f>
        <v>['steady', 'help', 'easy', 'access']</v>
      </c>
      <c r="D4800" s="3">
        <v>5.0</v>
      </c>
    </row>
    <row r="4801" ht="15.75" customHeight="1">
      <c r="A4801" s="1">
        <v>5119.0</v>
      </c>
      <c r="B4801" s="3" t="s">
        <v>4636</v>
      </c>
      <c r="C4801" s="3" t="str">
        <f>IFERROR(__xludf.DUMMYFUNCTION("GOOGLETRANSLATE(B4801,""id"",""en"")"),"['Not bad', 'good', 'buy', 'quota', 'easy']")</f>
        <v>['Not bad', 'good', 'buy', 'quota', 'easy']</v>
      </c>
      <c r="D4801" s="3">
        <v>4.0</v>
      </c>
    </row>
    <row r="4802" ht="15.75" customHeight="1">
      <c r="A4802" s="1">
        <v>5120.0</v>
      </c>
      <c r="B4802" s="3" t="s">
        <v>4546</v>
      </c>
      <c r="C4802" s="3" t="str">
        <f>IFERROR(__xludf.DUMMYFUNCTION("GOOGLETRANSLATE(B4802,""id"",""en"")"),"['satisfied']")</f>
        <v>['satisfied']</v>
      </c>
      <c r="D4802" s="3">
        <v>5.0</v>
      </c>
    </row>
    <row r="4803" ht="15.75" customHeight="1">
      <c r="A4803" s="1">
        <v>5121.0</v>
      </c>
      <c r="B4803" s="3" t="s">
        <v>4637</v>
      </c>
      <c r="C4803" s="3" t="str">
        <f>IFERROR(__xludf.DUMMYFUNCTION("GOOGLETRANSLATE(B4803,""id"",""en"")"),"['Star', 'Application', 'My country', 'Do', 'times',' experience ',' difficulty ',' open it ',' difficult ',' loding ',' it hurts', 'understand', ' aspects', 'use', 'effective', 'jago', 'presents',' bid ',' sales', 'quota', 'selected', 'like', 'Telkomsel'"&amp;", 'criticism', 'Telkomsel' , '']")</f>
        <v>['Star', 'Application', 'My country', 'Do', 'times',' experience ',' difficulty ',' open it ',' difficult ',' loding ',' it hurts', 'understand', ' aspects', 'use', 'effective', 'jago', 'presents',' bid ',' sales', 'quota', 'selected', 'like', 'Telkomsel', 'criticism', 'Telkomsel' , '']</v>
      </c>
      <c r="D4803" s="3">
        <v>1.0</v>
      </c>
    </row>
    <row r="4804" ht="15.75" customHeight="1">
      <c r="A4804" s="1">
        <v>5122.0</v>
      </c>
      <c r="B4804" s="3" t="s">
        <v>4638</v>
      </c>
      <c r="C4804" s="3" t="str">
        <f>IFERROR(__xludf.DUMMYFUNCTION("GOOGLETRANSLATE(B4804,""id"",""en"")"),"['Helpful', 'Communication', 'Progress', 'Field']")</f>
        <v>['Helpful', 'Communication', 'Progress', 'Field']</v>
      </c>
      <c r="D4804" s="3">
        <v>5.0</v>
      </c>
    </row>
    <row r="4805" ht="15.75" customHeight="1">
      <c r="A4805" s="1">
        <v>5123.0</v>
      </c>
      <c r="B4805" s="3" t="s">
        <v>4639</v>
      </c>
      <c r="C4805" s="3" t="str">
        <f>IFERROR(__xludf.DUMMYFUNCTION("GOOGLETRANSLATE(B4805,""id"",""en"")"),"['Network', 'Telkomsel', 'Area', 'Blora', 'Javanese', 'Dead', 'WiFi', 'Dead']")</f>
        <v>['Network', 'Telkomsel', 'Area', 'Blora', 'Javanese', 'Dead', 'WiFi', 'Dead']</v>
      </c>
      <c r="D4805" s="3">
        <v>1.0</v>
      </c>
    </row>
    <row r="4806" ht="15.75" customHeight="1">
      <c r="A4806" s="1">
        <v>5124.0</v>
      </c>
      <c r="B4806" s="3" t="s">
        <v>4640</v>
      </c>
      <c r="C4806" s="3" t="str">
        <f>IFERROR(__xludf.DUMMYFUNCTION("GOOGLETRANSLATE(B4806,""id"",""en"")"),"['Disappointed', 'Network', 'Telkomsel', 'Ngelag', 'yes', 'network', 'error', 'yes', 'house', 'city']")</f>
        <v>['Disappointed', 'Network', 'Telkomsel', 'Ngelag', 'yes', 'network', 'error', 'yes', 'house', 'city']</v>
      </c>
      <c r="D4806" s="3">
        <v>1.0</v>
      </c>
    </row>
    <row r="4807" ht="15.75" customHeight="1">
      <c r="A4807" s="1">
        <v>5125.0</v>
      </c>
      <c r="B4807" s="3" t="s">
        <v>4641</v>
      </c>
      <c r="C4807" s="3" t="str">
        <f>IFERROR(__xludf.DUMMYFUNCTION("GOOGLETRANSLATE(B4807,""id"",""en"")"),"['Information', 'Call', 'Center', 'GraPARI', 'according to', 'especially', 'Telkomsel', 'Hello', 'Cause', 'Loss', 'User', 'Disappointed']")</f>
        <v>['Information', 'Call', 'Center', 'GraPARI', 'according to', 'especially', 'Telkomsel', 'Hello', 'Cause', 'Loss', 'User', 'Disappointed']</v>
      </c>
      <c r="D4807" s="3">
        <v>1.0</v>
      </c>
    </row>
    <row r="4808" ht="15.75" customHeight="1">
      <c r="A4808" s="1">
        <v>5126.0</v>
      </c>
      <c r="B4808" s="3" t="s">
        <v>4642</v>
      </c>
      <c r="C4808" s="3" t="str">
        <f>IFERROR(__xludf.DUMMYFUNCTION("GOOGLETRANSLATE(B4808,""id"",""en"")"),"['Yesterday', 'open', 'Iishhh', 'already', 'uninstall', 'install', 'jelekkkkkkkkkkkkkkkkkk']")</f>
        <v>['Yesterday', 'open', 'Iishhh', 'already', 'uninstall', 'install', 'jelekkkkkkkkkkkkkkkkkk']</v>
      </c>
      <c r="D4808" s="3">
        <v>1.0</v>
      </c>
    </row>
    <row r="4809" ht="15.75" customHeight="1">
      <c r="A4809" s="1">
        <v>5127.0</v>
      </c>
      <c r="B4809" s="3" t="s">
        <v>4643</v>
      </c>
      <c r="C4809" s="3" t="str">
        <f>IFERROR(__xludf.DUMMYFUNCTION("GOOGLETRANSLATE(B4809,""id"",""en"")"),"['Activate', 'Package', 'Easy']")</f>
        <v>['Activate', 'Package', 'Easy']</v>
      </c>
      <c r="D4809" s="3">
        <v>5.0</v>
      </c>
    </row>
    <row r="4810" ht="15.75" customHeight="1">
      <c r="A4810" s="1">
        <v>5128.0</v>
      </c>
      <c r="B4810" s="3" t="s">
        <v>4644</v>
      </c>
      <c r="C4810" s="3" t="str">
        <f>IFERROR(__xludf.DUMMYFUNCTION("GOOGLETRANSLATE(B4810,""id"",""en"")"),"['entry', 'application', 'week', 'msh', 'entered', 'application', 'Telkomsel', '']")</f>
        <v>['entry', 'application', 'week', 'msh', 'entered', 'application', 'Telkomsel', '']</v>
      </c>
      <c r="D4810" s="3">
        <v>3.0</v>
      </c>
    </row>
    <row r="4811" ht="15.75" customHeight="1">
      <c r="A4811" s="1">
        <v>5129.0</v>
      </c>
      <c r="B4811" s="3" t="s">
        <v>4645</v>
      </c>
      <c r="C4811" s="3" t="str">
        <f>IFERROR(__xludf.DUMMYFUNCTION("GOOGLETRANSLATE(B4811,""id"",""en"")"),"['Description', 'Pay', 'Use', 'Gopay', 'Click', 'Nidak', 'Have', 'Update', 'APK', 'Gojek', 'Update', 'TTP', ' Ngak ',' children ',' use ',' Gopay ']")</f>
        <v>['Description', 'Pay', 'Use', 'Gopay', 'Click', 'Nidak', 'Have', 'Update', 'APK', 'Gojek', 'Update', 'TTP', ' Ngak ',' children ',' use ',' Gopay ']</v>
      </c>
      <c r="D4811" s="3">
        <v>1.0</v>
      </c>
    </row>
    <row r="4812" ht="15.75" customHeight="1">
      <c r="A4812" s="1">
        <v>5131.0</v>
      </c>
      <c r="B4812" s="3" t="s">
        <v>4646</v>
      </c>
      <c r="C4812" s="3" t="str">
        <f>IFERROR(__xludf.DUMMYFUNCTION("GOOGLETRANSLATE(B4812,""id"",""en"")"),"['Cool', 'easy']")</f>
        <v>['Cool', 'easy']</v>
      </c>
      <c r="D4812" s="3">
        <v>5.0</v>
      </c>
    </row>
    <row r="4813" ht="15.75" customHeight="1">
      <c r="A4813" s="1">
        <v>5132.0</v>
      </c>
      <c r="B4813" s="3" t="s">
        <v>4647</v>
      </c>
      <c r="C4813" s="3" t="str">
        <f>IFERROR(__xludf.DUMMYFUNCTION("GOOGLETRANSLATE(B4813,""id"",""en"")"),"['The application', 'good', 'makes it easy', 'buy', 'package', 'internet', 'promo', 'cheap', 'see', 'no', 'lamakdetan', 'application', ' review ',' oiya ',' application ',' sangaaaaaaaaaaaaaaaaaaaaaaaaaaaaaaaaaaaaaaaaaaaaaaaaaaaaaaaaaaaaaaaaaaaaaaaaaaaaaa"&amp;"aaaaaaaaaaaaaaaaaaaaaattt ',' help ',' ']")</f>
        <v>['The application', 'good', 'makes it easy', 'buy', 'package', 'internet', 'promo', 'cheap', 'see', 'no', 'lamakdetan', 'application', ' review ',' oiya ',' application ',' sangaaaaaaaaaaaaaaaaaaaaaaaaaaaaaaaaaaaaaaaaaaaaaaaaaaaaaaaaaaaaaaaaaaaaaaaaaaaaaaaaaaaaaaaaaaaaaaaaaaaattt ',' help ',' ']</v>
      </c>
      <c r="D4813" s="3">
        <v>5.0</v>
      </c>
    </row>
    <row r="4814" ht="15.75" customHeight="1">
      <c r="A4814" s="1">
        <v>5133.0</v>
      </c>
      <c r="B4814" s="3" t="s">
        <v>4648</v>
      </c>
      <c r="C4814" s="3" t="str">
        <f>IFERROR(__xludf.DUMMYFUNCTION("GOOGLETRANSLATE(B4814,""id"",""en"")"),"['Please', 'Enhanced', 'Quality', 'Post', 'Pay', 'Different', 'Pre', 'Pay', 'Thank you']")</f>
        <v>['Please', 'Enhanced', 'Quality', 'Post', 'Pay', 'Different', 'Pre', 'Pay', 'Thank you']</v>
      </c>
      <c r="D4814" s="3">
        <v>4.0</v>
      </c>
    </row>
    <row r="4815" ht="15.75" customHeight="1">
      <c r="A4815" s="1">
        <v>5134.0</v>
      </c>
      <c r="B4815" s="3" t="s">
        <v>4649</v>
      </c>
      <c r="C4815" s="3" t="str">
        <f>IFERROR(__xludf.DUMMYFUNCTION("GOOGLETRANSLATE(B4815,""id"",""en"")"),"['Please', 'explanation', 'the application', 'opened', '']")</f>
        <v>['Please', 'explanation', 'the application', 'opened', '']</v>
      </c>
      <c r="D4815" s="3">
        <v>2.0</v>
      </c>
    </row>
    <row r="4816" ht="15.75" customHeight="1">
      <c r="A4816" s="1">
        <v>5135.0</v>
      </c>
      <c r="B4816" s="3" t="s">
        <v>4650</v>
      </c>
      <c r="C4816" s="3" t="str">
        <f>IFERROR(__xludf.DUMMYFUNCTION("GOOGLETRANSLATE(B4816,""id"",""en"")"),"['signal', 'kayak', 'taik', 'package', 'expensive', 'signal', 'down', 'signal', 'Telkomsel', 'rotten']")</f>
        <v>['signal', 'kayak', 'taik', 'package', 'expensive', 'signal', 'down', 'signal', 'Telkomsel', 'rotten']</v>
      </c>
      <c r="D4816" s="3">
        <v>1.0</v>
      </c>
    </row>
    <row r="4817" ht="15.75" customHeight="1">
      <c r="A4817" s="1">
        <v>5136.0</v>
      </c>
      <c r="B4817" s="3" t="s">
        <v>4651</v>
      </c>
      <c r="C4817" s="3" t="str">
        <f>IFERROR(__xludf.DUMMYFUNCTION("GOOGLETRANSLATE(B4817,""id"",""en"")"),"['Imformation', 'convenience', 'help']")</f>
        <v>['Imformation', 'convenience', 'help']</v>
      </c>
      <c r="D4817" s="3">
        <v>5.0</v>
      </c>
    </row>
    <row r="4818" ht="15.75" customHeight="1">
      <c r="A4818" s="1">
        <v>5137.0</v>
      </c>
      <c r="B4818" s="3" t="s">
        <v>4652</v>
      </c>
      <c r="C4818" s="3" t="str">
        <f>IFERROR(__xludf.DUMMYFUNCTION("GOOGLETRANSLATE(B4818,""id"",""en"")"),"['Kanapa', 'After', 'Upgrade', 'Open', 'Ngablank', 'White', 'Open', '']")</f>
        <v>['Kanapa', 'After', 'Upgrade', 'Open', 'Ngablank', 'White', 'Open', '']</v>
      </c>
      <c r="D4818" s="3">
        <v>1.0</v>
      </c>
    </row>
    <row r="4819" ht="15.75" customHeight="1">
      <c r="A4819" s="1">
        <v>5138.0</v>
      </c>
      <c r="B4819" s="3" t="s">
        <v>1257</v>
      </c>
      <c r="C4819" s="3" t="str">
        <f>IFERROR(__xludf.DUMMYFUNCTION("GOOGLETRANSLATE(B4819,""id"",""en"")"),"['Opened']")</f>
        <v>['Opened']</v>
      </c>
      <c r="D4819" s="3">
        <v>1.0</v>
      </c>
    </row>
    <row r="4820" ht="15.75" customHeight="1">
      <c r="A4820" s="1">
        <v>5139.0</v>
      </c>
      <c r="B4820" s="3" t="s">
        <v>4653</v>
      </c>
      <c r="C4820" s="3" t="str">
        <f>IFERROR(__xludf.DUMMYFUNCTION("GOOGLETRANSLATE(B4820,""id"",""en"")"),"['Please', 'Fix', 'Application', 'Costumer', 'Comfortable']")</f>
        <v>['Please', 'Fix', 'Application', 'Costumer', 'Comfortable']</v>
      </c>
      <c r="D4820" s="3">
        <v>2.0</v>
      </c>
    </row>
    <row r="4821" ht="15.75" customHeight="1">
      <c r="A4821" s="1">
        <v>5140.0</v>
      </c>
      <c r="B4821" s="3" t="s">
        <v>4654</v>
      </c>
      <c r="C4821" s="3" t="str">
        <f>IFERROR(__xludf.DUMMYFUNCTION("GOOGLETRANSLATE(B4821,""id"",""en"")"),"['Jngan', 'texting', 'tros', 'nying', 'contents', 'signal', 'slow', 'msuk', 'dlm', 'house', 'ngilan']")</f>
        <v>['Jngan', 'texting', 'tros', 'nying', 'contents', 'signal', 'slow', 'msuk', 'dlm', 'house', 'ngilan']</v>
      </c>
      <c r="D4821" s="3">
        <v>1.0</v>
      </c>
    </row>
    <row r="4822" ht="15.75" customHeight="1">
      <c r="A4822" s="1">
        <v>5141.0</v>
      </c>
      <c r="B4822" s="3" t="s">
        <v>4655</v>
      </c>
      <c r="C4822" s="3" t="str">
        <f>IFERROR(__xludf.DUMMYFUNCTION("GOOGLETRANSLATE(B4822,""id"",""en"")"),"['Please', 'Increase', 'Quality', 'Network', 'Road', 'Beji', 'Coral', 'Greetings',' Banyumas', 'Purwokerto', 'Javanese', 'Lag', ' Severe ',' Telkomsel ',' signal ',' browsing ',' quota ']")</f>
        <v>['Please', 'Increase', 'Quality', 'Network', 'Road', 'Beji', 'Coral', 'Greetings',' Banyumas', 'Purwokerto', 'Javanese', 'Lag', ' Severe ',' Telkomsel ',' signal ',' browsing ',' quota ']</v>
      </c>
      <c r="D4822" s="3">
        <v>1.0</v>
      </c>
    </row>
    <row r="4823" ht="15.75" customHeight="1">
      <c r="A4823" s="1">
        <v>5142.0</v>
      </c>
      <c r="B4823" s="3" t="s">
        <v>4656</v>
      </c>
      <c r="C4823" s="3" t="str">
        <f>IFERROR(__xludf.DUMMYFUNCTION("GOOGLETRANSLATE(B4823,""id"",""en"")"),"['Belik', 'package', 'expensive']")</f>
        <v>['Belik', 'package', 'expensive']</v>
      </c>
      <c r="D4823" s="3">
        <v>2.0</v>
      </c>
    </row>
    <row r="4824" ht="15.75" customHeight="1">
      <c r="A4824" s="1">
        <v>5143.0</v>
      </c>
      <c r="B4824" s="3" t="s">
        <v>4657</v>
      </c>
      <c r="C4824" s="3" t="str">
        <f>IFERROR(__xludf.DUMMYFUNCTION("GOOGLETRANSLATE(B4824,""id"",""en"")"),"['already', 'week', 'Application', 'Telkomsel', 'Open', 'Display', 'Blank', 'White', 'Doank', 'Delete', 'Application', 'Trus',' Download ',' Tetep ',' Application ',' PDHAL ',' CURRENT ',' ']")</f>
        <v>['already', 'week', 'Application', 'Telkomsel', 'Open', 'Display', 'Blank', 'White', 'Doank', 'Delete', 'Application', 'Trus',' Download ',' Tetep ',' Application ',' PDHAL ',' CURRENT ',' ']</v>
      </c>
      <c r="D4824" s="3">
        <v>1.0</v>
      </c>
    </row>
    <row r="4825" ht="15.75" customHeight="1">
      <c r="A4825" s="1">
        <v>5144.0</v>
      </c>
      <c r="B4825" s="3" t="s">
        <v>4658</v>
      </c>
      <c r="C4825" s="3" t="str">
        <f>IFERROR(__xludf.DUMMYFUNCTION("GOOGLETRANSLATE(B4825,""id"",""en"")"),"['Recommendation', 'Telkomsel', 'Sousal', 'ugly', 'right', 'play', 'Game', 'telvon']")</f>
        <v>['Recommendation', 'Telkomsel', 'Sousal', 'ugly', 'right', 'play', 'Game', 'telvon']</v>
      </c>
      <c r="D4825" s="3">
        <v>1.0</v>
      </c>
    </row>
    <row r="4826" ht="15.75" customHeight="1">
      <c r="A4826" s="1">
        <v>5145.0</v>
      </c>
      <c r="B4826" s="3" t="s">
        <v>4659</v>
      </c>
      <c r="C4826" s="3" t="str">
        <f>IFERROR(__xludf.DUMMYFUNCTION("GOOGLETRANSLATE(B4826,""id"",""en"")"),"['Telkomsel', 'here', 'signal', 'ugly', 'package', 'expensive', 'TPI', 'lead', 'disappointed', 'users',' Telkomsel ',' please ',' repair']")</f>
        <v>['Telkomsel', 'here', 'signal', 'ugly', 'package', 'expensive', 'TPI', 'lead', 'disappointed', 'users',' Telkomsel ',' please ',' repair']</v>
      </c>
      <c r="D4826" s="3">
        <v>1.0</v>
      </c>
    </row>
    <row r="4827" ht="15.75" customHeight="1">
      <c r="A4827" s="1">
        <v>5146.0</v>
      </c>
      <c r="B4827" s="3" t="s">
        <v>4660</v>
      </c>
      <c r="C4827" s="3" t="str">
        <f>IFERROR(__xludf.DUMMYFUNCTION("GOOGLETRANSLATE(B4827,""id"",""en"")"),"['Open', 'menu', 'look']")</f>
        <v>['Open', 'menu', 'look']</v>
      </c>
      <c r="D4827" s="3">
        <v>5.0</v>
      </c>
    </row>
    <row r="4828" ht="15.75" customHeight="1">
      <c r="A4828" s="1">
        <v>5147.0</v>
      </c>
      <c r="B4828" s="3" t="s">
        <v>4661</v>
      </c>
      <c r="C4828" s="3" t="str">
        <f>IFERROR(__xludf.DUMMYFUNCTION("GOOGLETRANSLATE(B4828,""id"",""en"")"),"['Hopefully', 'Telkomsel', 'Lose', 'Operators',' Sexitations', 'Signal', 'Network', 'County', 'Holored', 'Parungseah', 'Sukabumi', 'Mksh', ' ']")</f>
        <v>['Hopefully', 'Telkomsel', 'Lose', 'Operators',' Sexitations', 'Signal', 'Network', 'County', 'Holored', 'Parungseah', 'Sukabumi', 'Mksh', ' ']</v>
      </c>
      <c r="D4828" s="3">
        <v>4.0</v>
      </c>
    </row>
    <row r="4829" ht="15.75" customHeight="1">
      <c r="A4829" s="1">
        <v>5148.0</v>
      </c>
      <c r="B4829" s="3" t="s">
        <v>4662</v>
      </c>
      <c r="C4829" s="3" t="str">
        <f>IFERROR(__xludf.DUMMYFUNCTION("GOOGLETRANSLATE(B4829,""id"",""en"")"),"['skrng', 'signal', 'Telkom', 'ugly', 'asw']")</f>
        <v>['skrng', 'signal', 'Telkom', 'ugly', 'asw']</v>
      </c>
      <c r="D4829" s="3">
        <v>1.0</v>
      </c>
    </row>
    <row r="4830" ht="15.75" customHeight="1">
      <c r="A4830" s="1">
        <v>5149.0</v>
      </c>
      <c r="B4830" s="3" t="s">
        <v>4663</v>
      </c>
      <c r="C4830" s="3" t="str">
        <f>IFERROR(__xludf.DUMMYFUNCTION("GOOGLETRANSLATE(B4830,""id"",""en"")"),"['pulse', 'right', 'buy', 'package', 'pulse', 'sufficient', 'then', 'pulses', 'sumps', ""]")</f>
        <v>['pulse', 'right', 'buy', 'package', 'pulse', 'sufficient', 'then', 'pulses', 'sumps', "]</v>
      </c>
      <c r="D4830" s="3">
        <v>2.0</v>
      </c>
    </row>
    <row r="4831" ht="15.75" customHeight="1">
      <c r="A4831" s="1">
        <v>5151.0</v>
      </c>
      <c r="B4831" s="3" t="s">
        <v>4664</v>
      </c>
      <c r="C4831" s="3" t="str">
        <f>IFERROR(__xludf.DUMMYFUNCTION("GOOGLETRANSLATE(B4831,""id"",""en"")"),"['love', 'star', 'network', 'sometimes',' ugly ',' pending ',' yesterday ',' Khu ',' buy ',' quota ',' telkomsel ',' akhu ',' Kuotaa ',' Hbiss', 'Knp', 'Cana', 'That's',' Please ',' Fix ',' Yaa ',' Price ',' Expensive ',' Quota ']")</f>
        <v>['love', 'star', 'network', 'sometimes',' ugly ',' pending ',' yesterday ',' Khu ',' buy ',' quota ',' telkomsel ',' akhu ',' Kuotaa ',' Hbiss', 'Knp', 'Cana', 'That's',' Please ',' Fix ',' Yaa ',' Price ',' Expensive ',' Quota ']</v>
      </c>
      <c r="D4831" s="3">
        <v>3.0</v>
      </c>
    </row>
    <row r="4832" ht="15.75" customHeight="1">
      <c r="A4832" s="1">
        <v>5152.0</v>
      </c>
      <c r="B4832" s="3" t="s">
        <v>4665</v>
      </c>
      <c r="C4832" s="3" t="str">
        <f>IFERROR(__xludf.DUMMYFUNCTION("GOOGLETRANSLATE(B4832,""id"",""en"")"),"['Telkomsel', 'good', 'signal', 'Where']")</f>
        <v>['Telkomsel', 'good', 'signal', 'Where']</v>
      </c>
      <c r="D4832" s="3">
        <v>5.0</v>
      </c>
    </row>
    <row r="4833" ht="15.75" customHeight="1">
      <c r="A4833" s="1">
        <v>5153.0</v>
      </c>
      <c r="B4833" s="3" t="s">
        <v>4666</v>
      </c>
      <c r="C4833" s="3" t="str">
        <f>IFERROR(__xludf.DUMMYFUNCTION("GOOGLETRANSLATE(B4833,""id"",""en"")"),"['signal', 'smooth', 'please', 'repaired', '']")</f>
        <v>['signal', 'smooth', 'please', 'repaired', '']</v>
      </c>
      <c r="D4833" s="3">
        <v>1.0</v>
      </c>
    </row>
    <row r="4834" ht="15.75" customHeight="1">
      <c r="A4834" s="1">
        <v>5154.0</v>
      </c>
      <c r="B4834" s="3" t="s">
        <v>4667</v>
      </c>
      <c r="C4834" s="3" t="str">
        <f>IFERROR(__xludf.DUMMYFUNCTION("GOOGLETRANSLATE(B4834,""id"",""en"")"),"['signal', 'stable', 'according to', 'price', 'package', 'internet', 'price', 'lost', 'subscribe', 'expensive']")</f>
        <v>['signal', 'stable', 'according to', 'price', 'package', 'internet', 'price', 'lost', 'subscribe', 'expensive']</v>
      </c>
      <c r="D4834" s="3">
        <v>1.0</v>
      </c>
    </row>
    <row r="4835" ht="15.75" customHeight="1">
      <c r="A4835" s="1">
        <v>5155.0</v>
      </c>
      <c r="B4835" s="3" t="s">
        <v>4668</v>
      </c>
      <c r="C4835" s="3" t="str">
        <f>IFERROR(__xludf.DUMMYFUNCTION("GOOGLETRANSLATE(B4835,""id"",""en"")"),"['Try', 'Download', 'Login', 'Easy', 'Ribet', 'Hopefully', 'Give', 'Rewards', ""]")</f>
        <v>['Try', 'Download', 'Login', 'Easy', 'Ribet', 'Hopefully', 'Give', 'Rewards', "]</v>
      </c>
      <c r="D4835" s="3">
        <v>5.0</v>
      </c>
    </row>
    <row r="4836" ht="15.75" customHeight="1">
      <c r="A4836" s="1">
        <v>5156.0</v>
      </c>
      <c r="B4836" s="3" t="s">
        <v>4669</v>
      </c>
      <c r="C4836" s="3" t="str">
        <f>IFERROR(__xludf.DUMMYFUNCTION("GOOGLETRANSLATE(B4836,""id"",""en"")"),"['APK', 'good', 'difficult', 'problem', 'exchange', 'Points',' Wait ',' Padah ',' Sinya ',' Network ',' Good ',' Kasi ',' Bitang ',' Good ',' Add ',' Star ',' Thank you ', ""]")</f>
        <v>['APK', 'good', 'difficult', 'problem', 'exchange', 'Points',' Wait ',' Padah ',' Sinya ',' Network ',' Good ',' Kasi ',' Bitang ',' Good ',' Add ',' Star ',' Thank you ', "]</v>
      </c>
      <c r="D4836" s="3">
        <v>3.0</v>
      </c>
    </row>
    <row r="4837" ht="15.75" customHeight="1">
      <c r="A4837" s="1">
        <v>5157.0</v>
      </c>
      <c r="B4837" s="3" t="s">
        <v>4670</v>
      </c>
      <c r="C4837" s="3" t="str">
        <f>IFERROR(__xludf.DUMMYFUNCTION("GOOGLETRANSLATE(B4837,""id"",""en"")"),"['Application', 'MyTelkomsel', 'makes it easier', 'buy', 'package', 'data', 'according to', 'ability', 'user', 'turn', 'decent', 'cheap']")</f>
        <v>['Application', 'MyTelkomsel', 'makes it easier', 'buy', 'package', 'data', 'according to', 'ability', 'user', 'turn', 'decent', 'cheap']</v>
      </c>
      <c r="D4837" s="3">
        <v>5.0</v>
      </c>
    </row>
    <row r="4838" ht="15.75" customHeight="1">
      <c r="A4838" s="1">
        <v>5158.0</v>
      </c>
      <c r="B4838" s="3" t="s">
        <v>4671</v>
      </c>
      <c r="C4838" s="3" t="str">
        <f>IFERROR(__xludf.DUMMYFUNCTION("GOOGLETRANSLATE(B4838,""id"",""en"")"),"['koq', 'applicationx', 'bsa', 'open', 'kykx', 'a month', 'blm', 'probe', '']")</f>
        <v>['koq', 'applicationx', 'bsa', 'open', 'kykx', 'a month', 'blm', 'probe', '']</v>
      </c>
      <c r="D4838" s="3">
        <v>1.0</v>
      </c>
    </row>
    <row r="4839" ht="15.75" customHeight="1">
      <c r="A4839" s="1">
        <v>5159.0</v>
      </c>
      <c r="B4839" s="3" t="s">
        <v>4672</v>
      </c>
      <c r="C4839" s="3" t="str">
        <f>IFERROR(__xludf.DUMMYFUNCTION("GOOGLETRANSLATE(B4839,""id"",""en"")"),"['min', 'application', 'why', 'min', 'update', 'opened', 'update', 'fast', 'nakya', 'after', 'update', 'gabisa', ' open', '']")</f>
        <v>['min', 'application', 'why', 'min', 'update', 'opened', 'update', 'fast', 'nakya', 'after', 'update', 'gabisa', ' open', '']</v>
      </c>
      <c r="D4839" s="3">
        <v>1.0</v>
      </c>
    </row>
    <row r="4840" ht="15.75" customHeight="1">
      <c r="A4840" s="1">
        <v>5160.0</v>
      </c>
      <c r="B4840" s="3" t="s">
        <v>4673</v>
      </c>
      <c r="C4840" s="3" t="str">
        <f>IFERROR(__xludf.DUMMYFUNCTION("GOOGLETRANSLATE(B4840,""id"",""en"")"),"['application', 'good', 'check', 'package', 'data', 'speech', 'package', 'data', 'application', 'functions',' issuing ',' screen ',' White ',' has', 'network', 'Lam', 'disappointed', 'application', 'hope', 'Telkomsel', 'fix', 'application', ""]")</f>
        <v>['application', 'good', 'check', 'package', 'data', 'speech', 'package', 'data', 'application', 'functions',' issuing ',' screen ',' White ',' has', 'network', 'Lam', 'disappointed', 'application', 'hope', 'Telkomsel', 'fix', 'application', "]</v>
      </c>
      <c r="D4840" s="3">
        <v>1.0</v>
      </c>
    </row>
    <row r="4841" ht="15.75" customHeight="1">
      <c r="A4841" s="1">
        <v>5161.0</v>
      </c>
      <c r="B4841" s="3" t="s">
        <v>4674</v>
      </c>
      <c r="C4841" s="3" t="str">
        <f>IFERROR(__xludf.DUMMYFUNCTION("GOOGLETRANSLATE(B4841,""id"",""en"")"),"['', 'understand', 'expensive', 'Telkomsel', 'already', 'expensive', 'network', 'error', 'understand', 'complain', 'Patahin', 'card', 'replace ',' Network ',' White ',' ']")</f>
        <v>['', 'understand', 'expensive', 'Telkomsel', 'already', 'expensive', 'network', 'error', 'understand', 'complain', 'Patahin', 'card', 'replace ',' Network ',' White ',' ']</v>
      </c>
      <c r="D4841" s="3">
        <v>1.0</v>
      </c>
    </row>
    <row r="4842" ht="15.75" customHeight="1">
      <c r="A4842" s="1">
        <v>5162.0</v>
      </c>
      <c r="B4842" s="3" t="s">
        <v>4675</v>
      </c>
      <c r="C4842" s="3" t="str">
        <f>IFERROR(__xludf.DUMMYFUNCTION("GOOGLETRANSLATE(B4842,""id"",""en"")"),"['Come here', 'hrg', 'package', 'smakin', 'suffocating', 'neck', 'package', 'expensive', 'bonus',' internet ',' bnyk ',' requirements', ' Emples', 'related', 'work', 'Leave', 'Telkomsel', 'Dri', ""]")</f>
        <v>['Come here', 'hrg', 'package', 'smakin', 'suffocating', 'neck', 'package', 'expensive', 'bonus',' internet ',' bnyk ',' requirements', ' Emples', 'related', 'work', 'Leave', 'Telkomsel', 'Dri', "]</v>
      </c>
      <c r="D4842" s="3">
        <v>4.0</v>
      </c>
    </row>
    <row r="4843" ht="15.75" customHeight="1">
      <c r="A4843" s="1">
        <v>5163.0</v>
      </c>
      <c r="B4843" s="3" t="s">
        <v>4676</v>
      </c>
      <c r="C4843" s="3" t="str">
        <f>IFERROR(__xludf.DUMMYFUNCTION("GOOGLETRANSLATE(B4843,""id"",""en"")"),"['good', 'practical', 'use', 'application', 'data', 'according to', 'transaction', 'see', 'exp', 'card', 'easy', 'see', ' Easy ',' Control ',' On ',' Card ',' ']")</f>
        <v>['good', 'practical', 'use', 'application', 'data', 'according to', 'transaction', 'see', 'exp', 'card', 'easy', 'see', ' Easy ',' Control ',' On ',' Card ',' ']</v>
      </c>
      <c r="D4843" s="3">
        <v>5.0</v>
      </c>
    </row>
    <row r="4844" ht="15.75" customHeight="1">
      <c r="A4844" s="1">
        <v>5164.0</v>
      </c>
      <c r="B4844" s="3" t="s">
        <v>4677</v>
      </c>
      <c r="C4844" s="3" t="str">
        <f>IFERROR(__xludf.DUMMYFUNCTION("GOOGLETRANSLATE(B4844,""id"",""en"")"),"['Star', 'hope', 'Package', 'Telkomsel', 'please', 'expensive', 'a month', 'admin', ""]")</f>
        <v>['Star', 'hope', 'Package', 'Telkomsel', 'please', 'expensive', 'a month', 'admin', "]</v>
      </c>
      <c r="D4844" s="3">
        <v>5.0</v>
      </c>
    </row>
    <row r="4845" ht="15.75" customHeight="1">
      <c r="A4845" s="1">
        <v>5165.0</v>
      </c>
      <c r="B4845" s="3" t="s">
        <v>4678</v>
      </c>
      <c r="C4845" s="3" t="str">
        <f>IFERROR(__xludf.DUMMYFUNCTION("GOOGLETRANSLATE(B4845,""id"",""en"")"),"['Paketan', 'open', 'App']")</f>
        <v>['Paketan', 'open', 'App']</v>
      </c>
      <c r="D4845" s="3">
        <v>1.0</v>
      </c>
    </row>
    <row r="4846" ht="15.75" customHeight="1">
      <c r="A4846" s="1">
        <v>5166.0</v>
      </c>
      <c r="B4846" s="3" t="s">
        <v>4679</v>
      </c>
      <c r="C4846" s="3" t="str">
        <f>IFERROR(__xludf.DUMMYFUNCTION("GOOGLETRANSLATE(B4846,""id"",""en"")"),"['apk', 'mantaf', 'help']")</f>
        <v>['apk', 'mantaf', 'help']</v>
      </c>
      <c r="D4846" s="3">
        <v>4.0</v>
      </c>
    </row>
    <row r="4847" ht="15.75" customHeight="1">
      <c r="A4847" s="1">
        <v>5167.0</v>
      </c>
      <c r="B4847" s="3" t="s">
        <v>4680</v>
      </c>
      <c r="C4847" s="3" t="str">
        <f>IFERROR(__xludf.DUMMYFUNCTION("GOOGLETRANSLATE(B4847,""id"",""en"")"),"['Activate', 'Look', 'pls',' because ',' PLS ',' Sumpot ',' Gegara ',' Forgot ',' Matiin ',' Package ',' Data ',' example ',' operator ',' sympathy ',' semiskin ',' yaa ',' emng ',' deliberate ',' look ',' pls', '']")</f>
        <v>['Activate', 'Look', 'pls',' because ',' PLS ',' Sumpot ',' Gegara ',' Forgot ',' Matiin ',' Package ',' Data ',' example ',' operator ',' sympathy ',' semiskin ',' yaa ',' emng ',' deliberate ',' look ',' pls', '']</v>
      </c>
      <c r="D4847" s="3">
        <v>1.0</v>
      </c>
    </row>
    <row r="4848" ht="15.75" customHeight="1">
      <c r="A4848" s="1">
        <v>5168.0</v>
      </c>
      <c r="B4848" s="3" t="s">
        <v>4681</v>
      </c>
      <c r="C4848" s="3" t="str">
        <f>IFERROR(__xludf.DUMMYFUNCTION("GOOGLETRANSLATE(B4848,""id"",""en"")"),"['Update', 'Open', 'Regret', '']")</f>
        <v>['Update', 'Open', 'Regret', '']</v>
      </c>
      <c r="D4848" s="3">
        <v>3.0</v>
      </c>
    </row>
    <row r="4849" ht="15.75" customHeight="1">
      <c r="A4849" s="1">
        <v>5169.0</v>
      </c>
      <c r="B4849" s="3" t="s">
        <v>4682</v>
      </c>
      <c r="C4849" s="3" t="str">
        <f>IFERROR(__xludf.DUMMYFUNCTION("GOOGLETRANSLATE(B4849,""id"",""en"")"),"['Package', 'Hello', 'GB', 'Fast', 'Out', 'Purpose', 'Package', 'Dayli', ""]")</f>
        <v>['Package', 'Hello', 'GB', 'Fast', 'Out', 'Purpose', 'Package', 'Dayli', "]</v>
      </c>
      <c r="D4849" s="3">
        <v>3.0</v>
      </c>
    </row>
    <row r="4850" ht="15.75" customHeight="1">
      <c r="A4850" s="1">
        <v>5170.0</v>
      </c>
      <c r="B4850" s="3" t="s">
        <v>4683</v>
      </c>
      <c r="C4850" s="3" t="str">
        <f>IFERROR(__xludf.DUMMYFUNCTION("GOOGLETRANSLATE(B4850,""id"",""en"")"),"['gabisa', 'open', 'already', 'try', 'tetep', 'gabisa', ""]")</f>
        <v>['gabisa', 'open', 'already', 'try', 'tetep', 'gabisa', "]</v>
      </c>
      <c r="D4850" s="3">
        <v>1.0</v>
      </c>
    </row>
    <row r="4851" ht="15.75" customHeight="1">
      <c r="A4851" s="1">
        <v>5171.0</v>
      </c>
      <c r="B4851" s="3" t="s">
        <v>4684</v>
      </c>
      <c r="C4851" s="3" t="str">
        <f>IFERROR(__xludf.DUMMYFUNCTION("GOOGLETRANSLATE(B4851,""id"",""en"")"),"['Event', 'TOP', 'KNPA', 'access', 'Min', '']")</f>
        <v>['Event', 'TOP', 'KNPA', 'access', 'Min', '']</v>
      </c>
      <c r="D4851" s="3">
        <v>1.0</v>
      </c>
    </row>
    <row r="4852" ht="15.75" customHeight="1">
      <c r="A4852" s="1">
        <v>5172.0</v>
      </c>
      <c r="B4852" s="3" t="s">
        <v>4685</v>
      </c>
      <c r="C4852" s="3" t="str">
        <f>IFERROR(__xludf.DUMMYFUNCTION("GOOGLETRANSLATE(B4852,""id"",""en"")"),"['monmaap', 'disappointed', 'comfortable', 'bankrupt', 'increase', 'price', 'just', 'doang', 'sometimes',' because ',' subscribe ',' Package ',' Ehh ',' Disaidin ',' Package ',' Gamau ',' Buy ',' Package ',' Gede ']")</f>
        <v>['monmaap', 'disappointed', 'comfortable', 'bankrupt', 'increase', 'price', 'just', 'doang', 'sometimes',' because ',' subscribe ',' Package ',' Ehh ',' Disaidin ',' Package ',' Gamau ',' Buy ',' Package ',' Gede ']</v>
      </c>
      <c r="D4852" s="3">
        <v>1.0</v>
      </c>
    </row>
    <row r="4853" ht="15.75" customHeight="1">
      <c r="A4853" s="1">
        <v>5173.0</v>
      </c>
      <c r="B4853" s="3" t="s">
        <v>4686</v>
      </c>
      <c r="C4853" s="3" t="str">
        <f>IFERROR(__xludf.DUMMYFUNCTION("GOOGLETRANSLATE(B4853,""id"",""en"")"),"['Please', 'Increase', 'Signal', 'Application', 'Operator', 'Sucking', 'Credit', 'Delete', 'Unangered']")</f>
        <v>['Please', 'Increase', 'Signal', 'Application', 'Operator', 'Sucking', 'Credit', 'Delete', 'Unangered']</v>
      </c>
      <c r="D4853" s="3">
        <v>3.0</v>
      </c>
    </row>
    <row r="4854" ht="15.75" customHeight="1">
      <c r="A4854" s="1">
        <v>5174.0</v>
      </c>
      <c r="B4854" s="3" t="s">
        <v>4687</v>
      </c>
      <c r="C4854" s="3" t="str">
        <f>IFERROR(__xludf.DUMMYFUNCTION("GOOGLETRANSLATE(B4854,""id"",""en"")"),"['application', 'knp', 'msih', 'picture', 'white', 'right', 'msuk', 'application', 'blan', 'sya', 'use', 'application', ' Telkomsel ',' Many ',' times', 'Sya', 'Install', 'Uninstall', 'Msih', 'screen', 'white', 'right', 'msuk', 'Telkomsel']")</f>
        <v>['application', 'knp', 'msih', 'picture', 'white', 'right', 'msuk', 'application', 'blan', 'sya', 'use', 'application', ' Telkomsel ',' Many ',' times', 'Sya', 'Install', 'Uninstall', 'Msih', 'screen', 'white', 'right', 'msuk', 'Telkomsel']</v>
      </c>
      <c r="D4854" s="3">
        <v>1.0</v>
      </c>
    </row>
    <row r="4855" ht="15.75" customHeight="1">
      <c r="A4855" s="1">
        <v>5175.0</v>
      </c>
      <c r="B4855" s="3" t="s">
        <v>633</v>
      </c>
      <c r="C4855" s="3" t="str">
        <f>IFERROR(__xludf.DUMMYFUNCTION("GOOGLETRANSLATE(B4855,""id"",""en"")"),"['Good', 'easy']")</f>
        <v>['Good', 'easy']</v>
      </c>
      <c r="D4855" s="3">
        <v>5.0</v>
      </c>
    </row>
    <row r="4856" ht="15.75" customHeight="1">
      <c r="A4856" s="1">
        <v>5177.0</v>
      </c>
      <c r="B4856" s="3" t="s">
        <v>4688</v>
      </c>
      <c r="C4856" s="3" t="str">
        <f>IFERROR(__xludf.DUMMYFUNCTION("GOOGLETRANSLATE(B4856,""id"",""en"")"),"['Easy', 'LEG']")</f>
        <v>['Easy', 'LEG']</v>
      </c>
      <c r="D4856" s="3">
        <v>1.0</v>
      </c>
    </row>
    <row r="4857" ht="15.75" customHeight="1">
      <c r="A4857" s="1">
        <v>5178.0</v>
      </c>
      <c r="B4857" s="3" t="s">
        <v>4689</v>
      </c>
      <c r="C4857" s="3" t="str">
        <f>IFERROR(__xludf.DUMMYFUNCTION("GOOGLETRANSLATE(B4857,""id"",""en"")"),"['Network', 'Telkomsel', 'Kayak', 'Good', 'Network', 'Jelekkkkk', 'Good']")</f>
        <v>['Network', 'Telkomsel', 'Kayak', 'Good', 'Network', 'Jelekkkkk', 'Good']</v>
      </c>
      <c r="D4857" s="3">
        <v>1.0</v>
      </c>
    </row>
    <row r="4858" ht="15.75" customHeight="1">
      <c r="A4858" s="1">
        <v>5179.0</v>
      </c>
      <c r="B4858" s="3" t="s">
        <v>4690</v>
      </c>
      <c r="C4858" s="3" t="str">
        <f>IFERROR(__xludf.DUMMYFUNCTION("GOOGLETRANSLATE(B4858,""id"",""en"")"),"['Awikwok', 'Claim', 'Data', 'Free', 'Credit', 'Suck']")</f>
        <v>['Awikwok', 'Claim', 'Data', 'Free', 'Credit', 'Suck']</v>
      </c>
      <c r="D4858" s="3">
        <v>1.0</v>
      </c>
    </row>
    <row r="4859" ht="15.75" customHeight="1">
      <c r="A4859" s="1">
        <v>5180.0</v>
      </c>
      <c r="B4859" s="3" t="s">
        <v>4691</v>
      </c>
      <c r="C4859" s="3" t="str">
        <f>IFERROR(__xludf.DUMMYFUNCTION("GOOGLETRANSLATE(B4859,""id"",""en"")"),"['find', 'bug', 'application', 'purchase', 'package', 'data', 'login', 'application', 'down', 'update', 'application', 'version', ' latest']")</f>
        <v>['find', 'bug', 'application', 'purchase', 'package', 'data', 'login', 'application', 'down', 'update', 'application', 'version', ' latest']</v>
      </c>
      <c r="D4859" s="3">
        <v>1.0</v>
      </c>
    </row>
    <row r="4860" ht="15.75" customHeight="1">
      <c r="A4860" s="1">
        <v>5181.0</v>
      </c>
      <c r="B4860" s="3" t="s">
        <v>4692</v>
      </c>
      <c r="C4860" s="3" t="str">
        <f>IFERROR(__xludf.DUMMYFUNCTION("GOOGLETRANSLATE(B4860,""id"",""en"")"),"['Network', 'Internet', 'enhanced']")</f>
        <v>['Network', 'Internet', 'enhanced']</v>
      </c>
      <c r="D4860" s="3">
        <v>5.0</v>
      </c>
    </row>
    <row r="4861" ht="15.75" customHeight="1">
      <c r="A4861" s="1">
        <v>5182.0</v>
      </c>
      <c r="B4861" s="3" t="s">
        <v>4693</v>
      </c>
      <c r="C4861" s="3" t="str">
        <f>IFERROR(__xludf.DUMMYFUNCTION("GOOGLETRANSLATE(B4861,""id"",""en"")"),"['Telkomsel', 'can', 'quota', 'free', 'claim', 'point', 'check out', 'udh', 'tuker', 'point', 'udh', 'can', ' SMS ',' Congratulations', 'right', 'turn on', 'data', 'laah', 'pulses',' Cut ',' quota ',' kagak ',' pulses', 'pulses',' abis' , 'quota', 'hr', '"&amp;"kagak', 'kepake', 'kagak', 'signal', 'wkwkwk', 'uninstall', 'ajadah', 'cape', 'claim', 'Telkomsell', ' The service is', 'Gini', 'Its',' Edit ',' Blsan ',' Bls', 'yak', 'emooh', 'mles',' neats', 'it's up', 'Telkomsel', 'Udh' , 'Uninstall', 'bother', '']")</f>
        <v>['Telkomsel', 'can', 'quota', 'free', 'claim', 'point', 'check out', 'udh', 'tuker', 'point', 'udh', 'can', ' SMS ',' Congratulations', 'right', 'turn on', 'data', 'laah', 'pulses',' Cut ',' quota ',' kagak ',' pulses', 'pulses',' abis' , 'quota', 'hr', 'kagak', 'kepake', 'kagak', 'signal', 'wkwkwk', 'uninstall', 'ajadah', 'cape', 'claim', 'Telkomsell', ' The service is', 'Gini', 'Its',' Edit ',' Blsan ',' Bls', 'yak', 'emooh', 'mles',' neats', 'it's up', 'Telkomsel', 'Udh' , 'Uninstall', 'bother', '']</v>
      </c>
      <c r="D4861" s="3">
        <v>1.0</v>
      </c>
    </row>
    <row r="4862" ht="15.75" customHeight="1">
      <c r="A4862" s="1">
        <v>5183.0</v>
      </c>
      <c r="B4862" s="3" t="s">
        <v>4694</v>
      </c>
      <c r="C4862" s="3" t="str">
        <f>IFERROR(__xludf.DUMMYFUNCTION("GOOGLETRANSLATE(B4862,""id"",""en"")"),"['', 'love', 'star', 'promo', 'mytelkomsel', 'card', 'contents', 'pouch', ""]")</f>
        <v>['', 'love', 'star', 'promo', 'mytelkomsel', 'card', 'contents', 'pouch', "]</v>
      </c>
      <c r="D4862" s="3">
        <v>4.0</v>
      </c>
    </row>
    <row r="4863" ht="15.75" customHeight="1">
      <c r="A4863" s="1">
        <v>5184.0</v>
      </c>
      <c r="B4863" s="3" t="s">
        <v>4695</v>
      </c>
      <c r="C4863" s="3" t="str">
        <f>IFERROR(__xludf.DUMMYFUNCTION("GOOGLETRANSLATE(B4863,""id"",""en"")"),"['Sis', 'Liat', 'Tik', 'Tok', 'Nuker', 'Free', 'Fire', 'account', 'Gaada', 'Sis', ""]")</f>
        <v>['Sis', 'Liat', 'Tik', 'Tok', 'Nuker', 'Free', 'Fire', 'account', 'Gaada', 'Sis', "]</v>
      </c>
      <c r="D4863" s="3">
        <v>3.0</v>
      </c>
    </row>
    <row r="4864" ht="15.75" customHeight="1">
      <c r="A4864" s="1">
        <v>5186.0</v>
      </c>
      <c r="B4864" s="3" t="s">
        <v>4696</v>
      </c>
      <c r="C4864" s="3" t="str">
        <f>IFERROR(__xludf.DUMMYFUNCTION("GOOGLETRANSLATE(B4864,""id"",""en"")"),"['Download', 'open', 'steady']")</f>
        <v>['Download', 'open', 'steady']</v>
      </c>
      <c r="D4864" s="3">
        <v>2.0</v>
      </c>
    </row>
    <row r="4865" ht="15.75" customHeight="1">
      <c r="A4865" s="1">
        <v>5187.0</v>
      </c>
      <c r="B4865" s="3" t="s">
        <v>4697</v>
      </c>
      <c r="C4865" s="3" t="str">
        <f>IFERROR(__xludf.DUMMYFUNCTION("GOOGLETRANSLATE(B4865,""id"",""en"")"),"['Sedigit', 'KNP', 'APK', 'Telkomsel', 'Sudden', 'Open', 'Support', 'Tolonh', 'Fix', 'Telkomsel', 'Symptoms', 'Disturbed']")</f>
        <v>['Sedigit', 'KNP', 'APK', 'Telkomsel', 'Sudden', 'Open', 'Support', 'Tolonh', 'Fix', 'Telkomsel', 'Symptoms', 'Disturbed']</v>
      </c>
      <c r="D4865" s="3">
        <v>1.0</v>
      </c>
    </row>
    <row r="4866" ht="15.75" customHeight="1">
      <c r="A4866" s="1">
        <v>5188.0</v>
      </c>
      <c r="B4866" s="3" t="s">
        <v>31</v>
      </c>
      <c r="C4866" s="3" t="str">
        <f>IFERROR(__xludf.DUMMYFUNCTION("GOOGLETRANSLATE(B4866,""id"",""en"")"),"['Application', 'Open', '']")</f>
        <v>['Application', 'Open', '']</v>
      </c>
      <c r="D4866" s="3">
        <v>1.0</v>
      </c>
    </row>
    <row r="4867" ht="15.75" customHeight="1">
      <c r="A4867" s="1">
        <v>5190.0</v>
      </c>
      <c r="B4867" s="3" t="s">
        <v>4698</v>
      </c>
      <c r="C4867" s="3" t="str">
        <f>IFERROR(__xludf.DUMMYFUNCTION("GOOGLETRANSLATE(B4867,""id"",""en"")"),"['times', 'use', 'application', 'obstacles', 'renewal', 'application', 'application', 'application', 'open', '']")</f>
        <v>['times', 'use', 'application', 'obstacles', 'renewal', 'application', 'application', 'application', 'open', '']</v>
      </c>
      <c r="D4867" s="3">
        <v>3.0</v>
      </c>
    </row>
    <row r="4868" ht="15.75" customHeight="1">
      <c r="A4868" s="1">
        <v>5191.0</v>
      </c>
      <c r="B4868" s="3" t="s">
        <v>4699</v>
      </c>
      <c r="C4868" s="3" t="str">
        <f>IFERROR(__xludf.DUMMYFUNCTION("GOOGLETRANSLATE(B4868,""id"",""en"")"),"['Telkomsel', 'taikk', 'disappointed', 'really', 'oath', 'times',' contents', 'pulse', 'Rp', 'entry', 'Rp', 'activate', ' mode ',' data ',' take ',' gift ',' check ',' ama ',' use ',' rp ',' ama ',' point ',' message ',' managed ',' check ' , 'quota', 'en"&amp;"ter', 'pulse', 'oath', 'regret', 'really', 'move', 'Telkomsel', 'mending', 'yellow', 'quota', 'relative', ' cheap ',' stingy ',' gift ',' exchange ',' gift ',' check ',' sain ',' kek ',' rating ',' below ',' star ',' love ',' sick ' , 'Heart', 'failed', '"&amp;"pulse', 'missing', '']")</f>
        <v>['Telkomsel', 'taikk', 'disappointed', 'really', 'oath', 'times',' contents', 'pulse', 'Rp', 'entry', 'Rp', 'activate', ' mode ',' data ',' take ',' gift ',' check ',' ama ',' use ',' rp ',' ama ',' point ',' message ',' managed ',' check ' , 'quota', 'enter', 'pulse', 'oath', 'regret', 'really', 'move', 'Telkomsel', 'mending', 'yellow', 'quota', 'relative', ' cheap ',' stingy ',' gift ',' exchange ',' gift ',' check ',' sain ',' kek ',' rating ',' below ',' star ',' love ',' sick ' , 'Heart', 'failed', 'pulse', 'missing', '']</v>
      </c>
      <c r="D4868" s="3">
        <v>1.0</v>
      </c>
    </row>
    <row r="4869" ht="15.75" customHeight="1">
      <c r="A4869" s="1">
        <v>5192.0</v>
      </c>
      <c r="B4869" s="3" t="s">
        <v>4700</v>
      </c>
      <c r="C4869" s="3" t="str">
        <f>IFERROR(__xludf.DUMMYFUNCTION("GOOGLETRANSLATE(B4869,""id"",""en"")"),"['waduhhh', 'koq', 'white', 'minguan']")</f>
        <v>['waduhhh', 'koq', 'white', 'minguan']</v>
      </c>
      <c r="D4869" s="3">
        <v>3.0</v>
      </c>
    </row>
    <row r="4870" ht="15.75" customHeight="1">
      <c r="A4870" s="1">
        <v>5194.0</v>
      </c>
      <c r="B4870" s="3" t="s">
        <v>4701</v>
      </c>
      <c r="C4870" s="3" t="str">
        <f>IFERROR(__xludf.DUMMYFUNCTION("GOOGLETRANSLATE(B4870,""id"",""en"")"),"['It's', 'Severe', 'Bln', 'fill', 'quota', 'used', 'signal']")</f>
        <v>['It's', 'Severe', 'Bln', 'fill', 'quota', 'used', 'signal']</v>
      </c>
      <c r="D4870" s="3">
        <v>2.0</v>
      </c>
    </row>
    <row r="4871" ht="15.75" customHeight="1">
      <c r="A4871" s="1">
        <v>5195.0</v>
      </c>
      <c r="B4871" s="3" t="s">
        <v>4702</v>
      </c>
      <c r="C4871" s="3" t="str">
        <f>IFERROR(__xludf.DUMMYFUNCTION("GOOGLETRANSLATE(B4871,""id"",""en"")"),"['Update', 'Application', 'Force', 'Close', 'Update', 'Opened', 'Blank', 'Screen', 'White']")</f>
        <v>['Update', 'Application', 'Force', 'Close', 'Update', 'Opened', 'Blank', 'Screen', 'White']</v>
      </c>
      <c r="D4871" s="3">
        <v>1.0</v>
      </c>
    </row>
    <row r="4872" ht="15.75" customHeight="1">
      <c r="A4872" s="1">
        <v>5196.0</v>
      </c>
      <c r="B4872" s="3" t="s">
        <v>4703</v>
      </c>
      <c r="C4872" s="3" t="str">
        <f>IFERROR(__xludf.DUMMYFUNCTION("GOOGLETRANSLATE(B4872,""id"",""en"")"),"['Good', 'beneerrrr', 'applicationx', 'makes it easy', 'skali', '']")</f>
        <v>['Good', 'beneerrrr', 'applicationx', 'makes it easy', 'skali', '']</v>
      </c>
      <c r="D4872" s="3">
        <v>5.0</v>
      </c>
    </row>
    <row r="4873" ht="15.75" customHeight="1">
      <c r="A4873" s="1">
        <v>5197.0</v>
      </c>
      <c r="B4873" s="3" t="s">
        <v>4704</v>
      </c>
      <c r="C4873" s="3" t="str">
        <f>IFERROR(__xludf.DUMMYFUNCTION("GOOGLETRANSLATE(B4873,""id"",""en"")"),"['signal', 'stable', 'used', 'game', 'online', 'Jump', 'ping', 'package', 'expensive', 'quality', 'labile', 'canggu']")</f>
        <v>['signal', 'stable', 'used', 'game', 'online', 'Jump', 'ping', 'package', 'expensive', 'quality', 'labile', 'canggu']</v>
      </c>
      <c r="D4873" s="3">
        <v>1.0</v>
      </c>
    </row>
    <row r="4874" ht="15.75" customHeight="1">
      <c r="A4874" s="1">
        <v>5198.0</v>
      </c>
      <c r="B4874" s="3" t="s">
        <v>4705</v>
      </c>
      <c r="C4874" s="3" t="str">
        <f>IFERROR(__xludf.DUMMYFUNCTION("GOOGLETRANSLATE(B4874,""id"",""en"")"),"['Star', 'talk', 'UDH', 'THN', 'LBH', 'use', 'Telkomsel', ""]")</f>
        <v>['Star', 'talk', 'UDH', 'THN', 'LBH', 'use', 'Telkomsel', "]</v>
      </c>
      <c r="D4874" s="3">
        <v>5.0</v>
      </c>
    </row>
    <row r="4875" ht="15.75" customHeight="1">
      <c r="A4875" s="1">
        <v>5199.0</v>
      </c>
      <c r="B4875" s="3" t="s">
        <v>4706</v>
      </c>
      <c r="C4875" s="3" t="str">
        <f>IFERROR(__xludf.DUMMYFUNCTION("GOOGLETRANSLATE(B4875,""id"",""en"")"),"['heart', 'heart', 'people', 'Dalem', 'destroy', 'Telkomsel', 'eyes',' eyes', 'competition', 'market', 'ferocious',' people ',' You're ',' believes', 'traitor', 'heart', 'heart', 'destroyed', 'slowly', 'realize', 'comment', 'ugly', 'Telkomsel', 'watch out"&amp;"', ""]")</f>
        <v>['heart', 'heart', 'people', 'Dalem', 'destroy', 'Telkomsel', 'eyes',' eyes', 'competition', 'market', 'ferocious',' people ',' You're ',' believes', 'traitor', 'heart', 'heart', 'destroyed', 'slowly', 'realize', 'comment', 'ugly', 'Telkomsel', 'watch out', "]</v>
      </c>
      <c r="D4875" s="3">
        <v>1.0</v>
      </c>
    </row>
    <row r="4876" ht="15.75" customHeight="1">
      <c r="A4876" s="1">
        <v>5200.0</v>
      </c>
      <c r="B4876" s="3" t="s">
        <v>4707</v>
      </c>
      <c r="C4876" s="3" t="str">
        <f>IFERROR(__xludf.DUMMYFUNCTION("GOOGLETRANSLATE(B4876,""id"",""en"")"),"['signal', 'ugly', 'HRUS', 'Pindh', 'dlu', 'dpet', 'dlem', 'room', 'psti', 'sucks']")</f>
        <v>['signal', 'ugly', 'HRUS', 'Pindh', 'dlu', 'dpet', 'dlem', 'room', 'psti', 'sucks']</v>
      </c>
      <c r="D4876" s="3">
        <v>1.0</v>
      </c>
    </row>
    <row r="4877" ht="15.75" customHeight="1">
      <c r="A4877" s="1">
        <v>5201.0</v>
      </c>
      <c r="B4877" s="3" t="s">
        <v>4708</v>
      </c>
      <c r="C4877" s="3" t="str">
        <f>IFERROR(__xludf.DUMMYFUNCTION("GOOGLETRANSLATE(B4877,""id"",""en"")"),"['', 'update', 'update', 'can', 'blang', 'mere', 'mean', 'what', 'klau', 'update', 'nga', 'update', 'difficult ',' Pelaggan ',' complaints', 'computer', 'sorry', 'kaka', 'blah', 'Please', 'sorry', 'imperfect', 'comfortable', 'wkwkwkwkwk', 'team', 'Telkoms"&amp;"el', 'Klau', 'Blm', 'Jago', 'Nga', 'told', 'Update', ""]")</f>
        <v>['', 'update', 'update', 'can', 'blang', 'mere', 'mean', 'what', 'klau', 'update', 'nga', 'update', 'difficult ',' Pelaggan ',' complaints', 'computer', 'sorry', 'kaka', 'blah', 'Please', 'sorry', 'imperfect', 'comfortable', 'wkwkwkwkwk', 'team', 'Telkomsel', 'Klau', 'Blm', 'Jago', 'Nga', 'told', 'Update', "]</v>
      </c>
      <c r="D4877" s="3">
        <v>1.0</v>
      </c>
    </row>
    <row r="4878" ht="15.75" customHeight="1">
      <c r="A4878" s="1">
        <v>5202.0</v>
      </c>
      <c r="B4878" s="3" t="s">
        <v>4709</v>
      </c>
      <c r="C4878" s="3" t="str">
        <f>IFERROR(__xludf.DUMMYFUNCTION("GOOGLETRANSLATE(B4878,""id"",""en"")"),"['Application', 'Help', 'Easy', 'Operation', 'Jaya', 'MyTelkomsel', '']")</f>
        <v>['Application', 'Help', 'Easy', 'Operation', 'Jaya', 'MyTelkomsel', '']</v>
      </c>
      <c r="D4878" s="3">
        <v>5.0</v>
      </c>
    </row>
    <row r="4879" ht="15.75" customHeight="1">
      <c r="A4879" s="1">
        <v>5203.0</v>
      </c>
      <c r="B4879" s="3" t="s">
        <v>4710</v>
      </c>
      <c r="C4879" s="3" t="str">
        <f>IFERROR(__xludf.DUMMYFUNCTION("GOOGLETRANSLATE(B4879,""id"",""en"")"),"['pulse', 'brkurang', 'pdahal', 'pkai', 'internet', 'sim', ""]")</f>
        <v>['pulse', 'brkurang', 'pdahal', 'pkai', 'internet', 'sim', "]</v>
      </c>
      <c r="D4879" s="3">
        <v>1.0</v>
      </c>
    </row>
    <row r="4880" ht="15.75" customHeight="1">
      <c r="A4880" s="1">
        <v>5204.0</v>
      </c>
      <c r="B4880" s="3" t="s">
        <v>4711</v>
      </c>
      <c r="C4880" s="3" t="str">
        <f>IFERROR(__xludf.DUMMYFUNCTION("GOOGLETRANSLATE(B4880,""id"",""en"")"),"['Applate', 'Gelo', 'Difficult', 'opened', 'person', 'check', 'quota', 'pulse', 'bother']")</f>
        <v>['Applate', 'Gelo', 'Difficult', 'opened', 'person', 'check', 'quota', 'pulse', 'bother']</v>
      </c>
      <c r="D4880" s="3">
        <v>2.0</v>
      </c>
    </row>
    <row r="4881" ht="15.75" customHeight="1">
      <c r="A4881" s="1">
        <v>5205.0</v>
      </c>
      <c r="B4881" s="3" t="s">
        <v>4712</v>
      </c>
      <c r="C4881" s="3" t="str">
        <f>IFERROR(__xludf.DUMMYFUNCTION("GOOGLETRANSLATE(B4881,""id"",""en"")"),"['Sis',' activation ',' Card ',' Telkomsel ',' Try ',' No ',' What ',' Udh ',' Contact ',' Media ',' Social ',' Telkomsel ',' No ',' please ',' help ',' kak ',' date ',' card ',' no ',' dead ']")</f>
        <v>['Sis',' activation ',' Card ',' Telkomsel ',' Try ',' No ',' What ',' Udh ',' Contact ',' Media ',' Social ',' Telkomsel ',' No ',' please ',' help ',' kak ',' date ',' card ',' no ',' dead ']</v>
      </c>
      <c r="D4881" s="3">
        <v>5.0</v>
      </c>
    </row>
    <row r="4882" ht="15.75" customHeight="1">
      <c r="A4882" s="1">
        <v>5206.0</v>
      </c>
      <c r="B4882" s="3" t="s">
        <v>4713</v>
      </c>
      <c r="C4882" s="3" t="str">
        <f>IFERROR(__xludf.DUMMYFUNCTION("GOOGLETRANSLATE(B4882,""id"",""en"")"),"['poetry', 'Telkomsell', 'Telkommm', 'healthy', 'ad', 'signal', 'strongest', 'emotion', 'right', 'telkom', 'hope', 'you', ' Ngilake ',' quota ',' mahalin ',' signal ',' urgent ',' hope ',' suffering ',' soon ',' improved ',' TelkomTll ', ""]")</f>
        <v>['poetry', 'Telkomsell', 'Telkommm', 'healthy', 'ad', 'signal', 'strongest', 'emotion', 'right', 'telkom', 'hope', 'you', ' Ngilake ',' quota ',' mahalin ',' signal ',' urgent ',' hope ',' suffering ',' soon ',' improved ',' TelkomTll ', "]</v>
      </c>
      <c r="D4882" s="3">
        <v>1.0</v>
      </c>
    </row>
    <row r="4883" ht="15.75" customHeight="1">
      <c r="A4883" s="1">
        <v>5207.0</v>
      </c>
      <c r="B4883" s="3" t="s">
        <v>4714</v>
      </c>
      <c r="C4883" s="3" t="str">
        <f>IFERROR(__xludf.DUMMYFUNCTION("GOOGLETRANSLATE(B4883,""id"",""en"")"),"['Download', 'APK', 'fast', 'Loading', 'UDH', 'MUTER', 'Mulu', 'Download']")</f>
        <v>['Download', 'APK', 'fast', 'Loading', 'UDH', 'MUTER', 'Mulu', 'Download']</v>
      </c>
      <c r="D4883" s="3">
        <v>2.0</v>
      </c>
    </row>
    <row r="4884" ht="15.75" customHeight="1">
      <c r="A4884" s="1">
        <v>5208.0</v>
      </c>
      <c r="B4884" s="3" t="s">
        <v>4715</v>
      </c>
      <c r="C4884" s="3" t="str">
        <f>IFERROR(__xludf.DUMMYFUNCTION("GOOGLETRANSLATE(B4884,""id"",""en"")"),"['Good', 'simple']")</f>
        <v>['Good', 'simple']</v>
      </c>
      <c r="D4884" s="3">
        <v>5.0</v>
      </c>
    </row>
    <row r="4885" ht="15.75" customHeight="1">
      <c r="A4885" s="1">
        <v>5209.0</v>
      </c>
      <c r="B4885" s="3" t="s">
        <v>4716</v>
      </c>
      <c r="C4885" s="3" t="str">
        <f>IFERROR(__xludf.DUMMYFUNCTION("GOOGLETRANSLATE(B4885,""id"",""en"")"),"['Perfect', 'best', 'Telkomsel']")</f>
        <v>['Perfect', 'best', 'Telkomsel']</v>
      </c>
      <c r="D4885" s="3">
        <v>5.0</v>
      </c>
    </row>
    <row r="4886" ht="15.75" customHeight="1">
      <c r="A4886" s="1">
        <v>5210.0</v>
      </c>
      <c r="B4886" s="3" t="s">
        <v>4717</v>
      </c>
      <c r="C4886" s="3" t="str">
        <f>IFERROR(__xludf.DUMMYFUNCTION("GOOGLETRANSLATE(B4886,""id"",""en"")"),"['Close', 'Bottle', 'Telkomsel', 'Kek', 'KoP', 'Quota', 'Combo', 'Sakti', 'Select', 'sincere', 'Operator']")</f>
        <v>['Close', 'Bottle', 'Telkomsel', 'Kek', 'KoP', 'Quota', 'Combo', 'Sakti', 'Select', 'sincere', 'Operator']</v>
      </c>
      <c r="D4886" s="3">
        <v>1.0</v>
      </c>
    </row>
    <row r="4887" ht="15.75" customHeight="1">
      <c r="A4887" s="1">
        <v>5211.0</v>
      </c>
      <c r="B4887" s="3" t="s">
        <v>4718</v>
      </c>
      <c r="C4887" s="3" t="str">
        <f>IFERROR(__xludf.DUMMYFUNCTION("GOOGLETRANSLATE(B4887,""id"",""en"")"),"['Normal', 'TPI', 'KNP', 'Dri', 'Kemren', 'APK', 'Telkomsel', 'Open', 'pdhal', 'network', 'please', 'prbaik', ' Laah ',' min ']")</f>
        <v>['Normal', 'TPI', 'KNP', 'Dri', 'Kemren', 'APK', 'Telkomsel', 'Open', 'pdhal', 'network', 'please', 'prbaik', ' Laah ',' min ']</v>
      </c>
      <c r="D4887" s="3">
        <v>2.0</v>
      </c>
    </row>
    <row r="4888" ht="15.75" customHeight="1">
      <c r="A4888" s="1">
        <v>5212.0</v>
      </c>
      <c r="B4888" s="3" t="s">
        <v>4719</v>
      </c>
      <c r="C4888" s="3" t="str">
        <f>IFERROR(__xludf.DUMMYFUNCTION("GOOGLETRANSLATE(B4888,""id"",""en"")"),"['Please', 'gmn', 'fill', 'pktannya']")</f>
        <v>['Please', 'gmn', 'fill', 'pktannya']</v>
      </c>
      <c r="D4888" s="3">
        <v>1.0</v>
      </c>
    </row>
    <row r="4889" ht="15.75" customHeight="1">
      <c r="A4889" s="1">
        <v>5213.0</v>
      </c>
      <c r="B4889" s="3" t="s">
        <v>859</v>
      </c>
      <c r="C4889" s="3" t="str">
        <f>IFERROR(__xludf.DUMMYFUNCTION("GOOGLETRANSLATE(B4889,""id"",""en"")"),"['help', '']")</f>
        <v>['help', '']</v>
      </c>
      <c r="D4889" s="3">
        <v>5.0</v>
      </c>
    </row>
    <row r="4890" ht="15.75" customHeight="1">
      <c r="A4890" s="1">
        <v>5214.0</v>
      </c>
      <c r="B4890" s="3" t="s">
        <v>4720</v>
      </c>
      <c r="C4890" s="3" t="str">
        <f>IFERROR(__xludf.DUMMYFUNCTION("GOOGLETRANSLATE(B4890,""id"",""en"")"),"['Not bad', 'deh', 'sometimes', 'sometimes', 'error', 'dead', 'lights', 'rain', 'deres', 'rain', 'wind']")</f>
        <v>['Not bad', 'deh', 'sometimes', 'sometimes', 'error', 'dead', 'lights', 'rain', 'deres', 'rain', 'wind']</v>
      </c>
      <c r="D4890" s="3">
        <v>3.0</v>
      </c>
    </row>
    <row r="4891" ht="15.75" customHeight="1">
      <c r="A4891" s="1">
        <v>5215.0</v>
      </c>
      <c r="B4891" s="3" t="s">
        <v>4721</v>
      </c>
      <c r="C4891" s="3" t="str">
        <f>IFERROR(__xludf.DUMMYFUNCTION("GOOGLETRANSLATE(B4891,""id"",""en"")"),"['Price', 'Package', 'NGK', 'Improved', 'Service', 'Change', 'Provider', 'Deh']")</f>
        <v>['Price', 'Package', 'NGK', 'Improved', 'Service', 'Change', 'Provider', 'Deh']</v>
      </c>
      <c r="D4891" s="3">
        <v>1.0</v>
      </c>
    </row>
    <row r="4892" ht="15.75" customHeight="1">
      <c r="A4892" s="1">
        <v>5216.0</v>
      </c>
      <c r="B4892" s="3" t="s">
        <v>4722</v>
      </c>
      <c r="C4892" s="3" t="str">
        <f>IFERROR(__xludf.DUMMYFUNCTION("GOOGLETRANSLATE(B4892,""id"",""en"")"),"['Hello', 'min', 'buy', 'package', 'enter']]")</f>
        <v>['Hello', 'min', 'buy', 'package', 'enter']]</v>
      </c>
      <c r="D4892" s="3">
        <v>2.0</v>
      </c>
    </row>
    <row r="4893" ht="15.75" customHeight="1">
      <c r="A4893" s="1">
        <v>5217.0</v>
      </c>
      <c r="B4893" s="3" t="s">
        <v>4723</v>
      </c>
      <c r="C4893" s="3" t="str">
        <f>IFERROR(__xludf.DUMMYFUNCTION("GOOGLETRANSLATE(B4893,""id"",""en"")"),"['Dear', 'Telkomsel', 'package', 'emergency', 'bills', 'package', 'emergency', 'tks']")</f>
        <v>['Dear', 'Telkomsel', 'package', 'emergency', 'bills', 'package', 'emergency', 'tks']</v>
      </c>
      <c r="D4893" s="3">
        <v>5.0</v>
      </c>
    </row>
    <row r="4894" ht="15.75" customHeight="1">
      <c r="A4894" s="1">
        <v>5218.0</v>
      </c>
      <c r="B4894" s="3" t="s">
        <v>4724</v>
      </c>
      <c r="C4894" s="3" t="str">
        <f>IFERROR(__xludf.DUMMYFUNCTION("GOOGLETRANSLATE(B4894,""id"",""en"")"),"['Good', 'hope', 'lbih', 'best', '']")</f>
        <v>['Good', 'hope', 'lbih', 'best', '']</v>
      </c>
      <c r="D4894" s="3">
        <v>5.0</v>
      </c>
    </row>
    <row r="4895" ht="15.75" customHeight="1">
      <c r="A4895" s="1">
        <v>5219.0</v>
      </c>
      <c r="B4895" s="3" t="s">
        <v>4725</v>
      </c>
      <c r="C4895" s="3" t="str">
        <f>IFERROR(__xludf.DUMMYFUNCTION("GOOGLETRANSLATE(B4895,""id"",""en"")"),"['Bug', 'That's', 'APK', 'Sometimes', 'Enter', 'Sometimes', 'Ngk', ""]")</f>
        <v>['Bug', 'That's', 'APK', 'Sometimes', 'Enter', 'Sometimes', 'Ngk', "]</v>
      </c>
      <c r="D4895" s="3">
        <v>1.0</v>
      </c>
    </row>
    <row r="4896" ht="15.75" customHeight="1">
      <c r="A4896" s="1">
        <v>5220.0</v>
      </c>
      <c r="B4896" s="3" t="s">
        <v>4726</v>
      </c>
      <c r="C4896" s="3" t="str">
        <f>IFERROR(__xludf.DUMMYFUNCTION("GOOGLETRANSLATE(B4896,""id"",""en"")"),"['APK', 'get', 'Points', 'Tuker', 'Mending', 'Delete', 'Ajah', 'Heavy', 'Doang']")</f>
        <v>['APK', 'get', 'Points', 'Tuker', 'Mending', 'Delete', 'Ajah', 'Heavy', 'Doang']</v>
      </c>
      <c r="D4896" s="3">
        <v>1.0</v>
      </c>
    </row>
    <row r="4897" ht="15.75" customHeight="1">
      <c r="A4897" s="1">
        <v>5221.0</v>
      </c>
      <c r="B4897" s="3" t="s">
        <v>4727</v>
      </c>
      <c r="C4897" s="3" t="str">
        <f>IFERROR(__xludf.DUMMYFUNCTION("GOOGLETRANSLATE(B4897,""id"",""en"")"),"['Knp', 'Price', '']")</f>
        <v>['Knp', 'Price', '']</v>
      </c>
      <c r="D4897" s="3">
        <v>5.0</v>
      </c>
    </row>
    <row r="4898" ht="15.75" customHeight="1">
      <c r="A4898" s="1">
        <v>5222.0</v>
      </c>
      <c r="B4898" s="3" t="s">
        <v>4728</v>
      </c>
      <c r="C4898" s="3" t="str">
        <f>IFERROR(__xludf.DUMMYFUNCTION("GOOGLETRANSLATE(B4898,""id"",""en"")"),"['application', 'useful', 'makes it easier', 'complete', 'activity', 'a day']")</f>
        <v>['application', 'useful', 'makes it easier', 'complete', 'activity', 'a day']</v>
      </c>
      <c r="D4898" s="3">
        <v>5.0</v>
      </c>
    </row>
    <row r="4899" ht="15.75" customHeight="1">
      <c r="A4899" s="1">
        <v>5223.0</v>
      </c>
      <c r="B4899" s="3" t="s">
        <v>4729</v>
      </c>
      <c r="C4899" s="3" t="str">
        <f>IFERROR(__xludf.DUMMYFUNCTION("GOOGLETRANSLATE(B4899,""id"",""en"")"),"['deh']")</f>
        <v>['deh']</v>
      </c>
      <c r="D4899" s="3">
        <v>1.0</v>
      </c>
    </row>
    <row r="4900" ht="15.75" customHeight="1">
      <c r="A4900" s="1">
        <v>5224.0</v>
      </c>
      <c r="B4900" s="3" t="s">
        <v>4730</v>
      </c>
      <c r="C4900" s="3" t="str">
        <f>IFERROR(__xludf.DUMMYFUNCTION("GOOGLETRANSLATE(B4900,""id"",""en"")"),"['', 'skrg', 'signal', 'reduced', 'yaa', 'ugly', 'bnyk', 'disorder', 'smooth']")</f>
        <v>['', 'skrg', 'signal', 'reduced', 'yaa', 'ugly', 'bnyk', 'disorder', 'smooth']</v>
      </c>
      <c r="D4900" s="3">
        <v>3.0</v>
      </c>
    </row>
    <row r="4901" ht="15.75" customHeight="1">
      <c r="A4901" s="1">
        <v>5225.0</v>
      </c>
      <c r="B4901" s="3" t="s">
        <v>4731</v>
      </c>
      <c r="C4901" s="3" t="str">
        <f>IFERROR(__xludf.DUMMYFUNCTION("GOOGLETRANSLATE(B4901,""id"",""en"")"),"['Sayings', 'Best', 'Telcomsel', 'Hopefully', 'Success', 'Service', 'Best', ""]")</f>
        <v>['Sayings', 'Best', 'Telcomsel', 'Hopefully', 'Success', 'Service', 'Best', "]</v>
      </c>
      <c r="D4901" s="3">
        <v>5.0</v>
      </c>
    </row>
    <row r="4902" ht="15.75" customHeight="1">
      <c r="A4902" s="1">
        <v>5226.0</v>
      </c>
      <c r="B4902" s="3" t="s">
        <v>4732</v>
      </c>
      <c r="C4902" s="3" t="str">
        <f>IFERROR(__xludf.DUMMYFUNCTION("GOOGLETRANSLATE(B4902,""id"",""en"")"),"['Love', 'discount', 'bang']")</f>
        <v>['Love', 'discount', 'bang']</v>
      </c>
      <c r="D4902" s="3">
        <v>5.0</v>
      </c>
    </row>
    <row r="4903" ht="15.75" customHeight="1">
      <c r="A4903" s="1">
        <v>5227.0</v>
      </c>
      <c r="B4903" s="3" t="s">
        <v>4733</v>
      </c>
      <c r="C4903" s="3" t="str">
        <f>IFERROR(__xludf.DUMMYFUNCTION("GOOGLETRANSLATE(B4903,""id"",""en"")"),"['open', 'application', 'appears', 'white', ""]")</f>
        <v>['open', 'application', 'appears', 'white', "]</v>
      </c>
      <c r="D4903" s="3">
        <v>1.0</v>
      </c>
    </row>
    <row r="4904" ht="15.75" customHeight="1">
      <c r="A4904" s="1">
        <v>5228.0</v>
      </c>
      <c r="B4904" s="3" t="s">
        <v>4734</v>
      </c>
      <c r="C4904" s="3" t="str">
        <f>IFERROR(__xludf.DUMMYFUNCTION("GOOGLETRANSLATE(B4904,""id"",""en"")"),"['sting', 'petrified', ""]")</f>
        <v>['sting', 'petrified', "]</v>
      </c>
      <c r="D4904" s="3">
        <v>3.0</v>
      </c>
    </row>
    <row r="4905" ht="15.75" customHeight="1">
      <c r="A4905" s="1">
        <v>5229.0</v>
      </c>
      <c r="B4905" s="3" t="s">
        <v>4735</v>
      </c>
      <c r="C4905" s="3" t="str">
        <f>IFERROR(__xludf.DUMMYFUNCTION("GOOGLETRANSLATE(B4905,""id"",""en"")"),"['Satisfied', 'shopping', 'Telkomsel']")</f>
        <v>['Satisfied', 'shopping', 'Telkomsel']</v>
      </c>
      <c r="D4905" s="3">
        <v>5.0</v>
      </c>
    </row>
    <row r="4906" ht="15.75" customHeight="1">
      <c r="A4906" s="1">
        <v>5230.0</v>
      </c>
      <c r="B4906" s="3" t="s">
        <v>1601</v>
      </c>
      <c r="C4906" s="3" t="str">
        <f>IFERROR(__xludf.DUMMYFUNCTION("GOOGLETRANSLATE(B4906,""id"",""en"")"),"['open']")</f>
        <v>['open']</v>
      </c>
      <c r="D4906" s="3">
        <v>1.0</v>
      </c>
    </row>
    <row r="4907" ht="15.75" customHeight="1">
      <c r="A4907" s="1">
        <v>5231.0</v>
      </c>
      <c r="B4907" s="3" t="s">
        <v>4736</v>
      </c>
      <c r="C4907" s="3" t="str">
        <f>IFERROR(__xludf.DUMMYFUNCTION("GOOGLETRANSLATE(B4907,""id"",""en"")"),"['just', 'giving', 'suggestion', 'right', 'quota', 'run out', 'direct', 'eat', 'pulse', 'strange', 'data', 'lived', ' Appearing ',' SMS ',' Access', 'Internet', 'Rates',' Non ',' Package ',' Credit ',' Pulled ',' Deferred ',' Content ',' Credit ',' Conten"&amp;"t ' , 'sucked']")</f>
        <v>['just', 'giving', 'suggestion', 'right', 'quota', 'run out', 'direct', 'eat', 'pulse', 'strange', 'data', 'lived', ' Appearing ',' SMS ',' Access', 'Internet', 'Rates',' Non ',' Package ',' Credit ',' Pulled ',' Deferred ',' Content ',' Credit ',' Content ' , 'sucked']</v>
      </c>
      <c r="D4907" s="3">
        <v>1.0</v>
      </c>
    </row>
    <row r="4908" ht="15.75" customHeight="1">
      <c r="A4908" s="1">
        <v>5232.0</v>
      </c>
      <c r="B4908" s="3" t="s">
        <v>4737</v>
      </c>
      <c r="C4908" s="3" t="str">
        <f>IFERROR(__xludf.DUMMYFUNCTION("GOOGLETRANSLATE(B4908,""id"",""en"")"),"['hi', 'min', 'UDH', 'a week', 'gabisa', 'open', 'app', 'mytelkomsel', 'solution', 'tks']")</f>
        <v>['hi', 'min', 'UDH', 'a week', 'gabisa', 'open', 'app', 'mytelkomsel', 'solution', 'tks']</v>
      </c>
      <c r="D4908" s="3">
        <v>4.0</v>
      </c>
    </row>
    <row r="4909" ht="15.75" customHeight="1">
      <c r="A4909" s="1">
        <v>5233.0</v>
      </c>
      <c r="B4909" s="3" t="s">
        <v>4738</v>
      </c>
      <c r="C4909" s="3" t="str">
        <f>IFERROR(__xludf.DUMMYFUNCTION("GOOGLETRANSLATE(B4909,""id"",""en"")"),"['Pay', 'Package', 'Internet', 'Use', 'Shopeepay', '']")</f>
        <v>['Pay', 'Package', 'Internet', 'Use', 'Shopeepay', '']</v>
      </c>
      <c r="D4909" s="3">
        <v>4.0</v>
      </c>
    </row>
    <row r="4910" ht="15.75" customHeight="1">
      <c r="A4910" s="1">
        <v>5234.0</v>
      </c>
      <c r="B4910" s="3" t="s">
        <v>4739</v>
      </c>
      <c r="C4910" s="3" t="str">
        <f>IFERROR(__xludf.DUMMYFUNCTION("GOOGLETRANSLATE(B4910,""id"",""en"")"),"['apk', 'idiot', 'quality']")</f>
        <v>['apk', 'idiot', 'quality']</v>
      </c>
      <c r="D4910" s="3">
        <v>1.0</v>
      </c>
    </row>
    <row r="4911" ht="15.75" customHeight="1">
      <c r="A4911" s="1">
        <v>5235.0</v>
      </c>
      <c r="B4911" s="3" t="s">
        <v>4740</v>
      </c>
      <c r="C4911" s="3" t="str">
        <f>IFERROR(__xludf.DUMMYFUNCTION("GOOGLETRANSLATE(B4911,""id"",""en"")"),"['Network', 'wasteful', 'skrg', 'mggu']")</f>
        <v>['Network', 'wasteful', 'skrg', 'mggu']</v>
      </c>
      <c r="D4911" s="3">
        <v>4.0</v>
      </c>
    </row>
    <row r="4912" ht="15.75" customHeight="1">
      <c r="A4912" s="1">
        <v>5236.0</v>
      </c>
      <c r="B4912" s="3" t="s">
        <v>4741</v>
      </c>
      <c r="C4912" s="3" t="str">
        <f>IFERROR(__xludf.DUMMYFUNCTION("GOOGLETRANSLATE(B4912,""id"",""en"")"),"['apk', 'difficult', 'open', '']")</f>
        <v>['apk', 'difficult', 'open', '']</v>
      </c>
      <c r="D4912" s="3">
        <v>2.0</v>
      </c>
    </row>
    <row r="4913" ht="15.75" customHeight="1">
      <c r="A4913" s="1">
        <v>5237.0</v>
      </c>
      <c r="B4913" s="3" t="s">
        <v>4742</v>
      </c>
      <c r="C4913" s="3" t="str">
        <f>IFERROR(__xludf.DUMMYFUNCTION("GOOGLETRANSLATE(B4913,""id"",""en"")"),"['complicated', 'multiply', 'promo', 'interesting', 'power', 'buy', 'person', 'style', 'multiply']")</f>
        <v>['complicated', 'multiply', 'promo', 'interesting', 'power', 'buy', 'person', 'style', 'multiply']</v>
      </c>
      <c r="D4913" s="3">
        <v>1.0</v>
      </c>
    </row>
    <row r="4914" ht="15.75" customHeight="1">
      <c r="A4914" s="1">
        <v>5239.0</v>
      </c>
      <c r="B4914" s="3" t="s">
        <v>4743</v>
      </c>
      <c r="C4914" s="3" t="str">
        <f>IFERROR(__xludf.DUMMYFUNCTION("GOOGLETRANSLATE(B4914,""id"",""en"")"),"['right', 'donlod', 'loginn', 'nyesell', 'donlod']")</f>
        <v>['right', 'donlod', 'loginn', 'nyesell', 'donlod']</v>
      </c>
      <c r="D4914" s="3">
        <v>1.0</v>
      </c>
    </row>
    <row r="4915" ht="15.75" customHeight="1">
      <c r="A4915" s="1">
        <v>5240.0</v>
      </c>
      <c r="B4915" s="3" t="s">
        <v>4744</v>
      </c>
      <c r="C4915" s="3" t="str">
        <f>IFERROR(__xludf.DUMMYFUNCTION("GOOGLETRANSLATE(B4915,""id"",""en"")"),"['Application', 'slow', 'opened']")</f>
        <v>['Application', 'slow', 'opened']</v>
      </c>
      <c r="D4915" s="3">
        <v>1.0</v>
      </c>
    </row>
    <row r="4916" ht="15.75" customHeight="1">
      <c r="A4916" s="1">
        <v>5242.0</v>
      </c>
      <c r="B4916" s="3" t="s">
        <v>4745</v>
      </c>
      <c r="C4916" s="3" t="str">
        <f>IFERROR(__xludf.DUMMYFUNCTION("GOOGLETRANSLATE(B4916,""id"",""en"")"),"['enter', 'account']")</f>
        <v>['enter', 'account']</v>
      </c>
      <c r="D4916" s="3">
        <v>5.0</v>
      </c>
    </row>
    <row r="4917" ht="15.75" customHeight="1">
      <c r="A4917" s="1">
        <v>5243.0</v>
      </c>
      <c r="B4917" s="3" t="s">
        <v>4746</v>
      </c>
      <c r="C4917" s="3" t="str">
        <f>IFERROR(__xludf.DUMMYFUNCTION("GOOGLETRANSLATE(B4917,""id"",""en"")"),"['Thank you', 'Telkomsel', 'makes it easy', 'network', 'information', 'quality']")</f>
        <v>['Thank you', 'Telkomsel', 'makes it easy', 'network', 'information', 'quality']</v>
      </c>
      <c r="D4917" s="3">
        <v>5.0</v>
      </c>
    </row>
    <row r="4918" ht="15.75" customHeight="1">
      <c r="A4918" s="1">
        <v>5244.0</v>
      </c>
      <c r="B4918" s="3" t="s">
        <v>4747</v>
      </c>
      <c r="C4918" s="3" t="str">
        <f>IFERROR(__xludf.DUMMYFUNCTION("GOOGLETRANSLATE(B4918,""id"",""en"")"),"['BYK', 'Untungnyo', 'PKK', 'Telkomsel']")</f>
        <v>['BYK', 'Untungnyo', 'PKK', 'Telkomsel']</v>
      </c>
      <c r="D4918" s="3">
        <v>5.0</v>
      </c>
    </row>
    <row r="4919" ht="15.75" customHeight="1">
      <c r="A4919" s="1">
        <v>5245.0</v>
      </c>
      <c r="B4919" s="3" t="s">
        <v>4748</v>
      </c>
      <c r="C4919" s="3" t="str">
        <f>IFERROR(__xludf.DUMMYFUNCTION("GOOGLETRANSLATE(B4919,""id"",""en"")"),"['Good', 'features', 'easy']")</f>
        <v>['Good', 'features', 'easy']</v>
      </c>
      <c r="D4919" s="3">
        <v>5.0</v>
      </c>
    </row>
    <row r="4920" ht="15.75" customHeight="1">
      <c r="A4920" s="1">
        <v>5246.0</v>
      </c>
      <c r="B4920" s="3" t="s">
        <v>4749</v>
      </c>
      <c r="C4920" s="3" t="str">
        <f>IFERROR(__xludf.DUMMYFUNCTION("GOOGLETRANSLATE(B4920,""id"",""en"")"),"['already', 'update', 'open']")</f>
        <v>['already', 'update', 'open']</v>
      </c>
      <c r="D4920" s="3">
        <v>3.0</v>
      </c>
    </row>
    <row r="4921" ht="15.75" customHeight="1">
      <c r="A4921" s="1">
        <v>5248.0</v>
      </c>
      <c r="B4921" s="3" t="s">
        <v>4750</v>
      </c>
      <c r="C4921" s="3" t="str">
        <f>IFERROR(__xludf.DUMMYFUNCTION("GOOGLETRANSLATE(B4921,""id"",""en"")"),"['The application', 'opened']")</f>
        <v>['The application', 'opened']</v>
      </c>
      <c r="D4921" s="3">
        <v>2.0</v>
      </c>
    </row>
    <row r="4922" ht="15.75" customHeight="1">
      <c r="A4922" s="1">
        <v>5249.0</v>
      </c>
      <c r="B4922" s="3" t="s">
        <v>4751</v>
      </c>
      <c r="C4922" s="3" t="str">
        <f>IFERROR(__xludf.DUMMYFUNCTION("GOOGLETRANSLATE(B4922,""id"",""en"")"),"['Good', 'choice', 'package', 'affordable', 'hope', 'promo', 'trs', 'thanks', 'Telkomsel', ""]")</f>
        <v>['Good', 'choice', 'package', 'affordable', 'hope', 'promo', 'trs', 'thanks', 'Telkomsel', "]</v>
      </c>
      <c r="D4922" s="3">
        <v>5.0</v>
      </c>
    </row>
    <row r="4923" ht="15.75" customHeight="1">
      <c r="A4923" s="1">
        <v>5251.0</v>
      </c>
      <c r="B4923" s="3" t="s">
        <v>4752</v>
      </c>
      <c r="C4923" s="3" t="str">
        <f>IFERROR(__xludf.DUMMYFUNCTION("GOOGLETRANSLATE(B4923,""id"",""en"")"),"['expensive', 'slow']")</f>
        <v>['expensive', 'slow']</v>
      </c>
      <c r="D4923" s="3">
        <v>2.0</v>
      </c>
    </row>
    <row r="4924" ht="15.75" customHeight="1">
      <c r="A4924" s="1">
        <v>5252.0</v>
      </c>
      <c r="B4924" s="3" t="s">
        <v>4753</v>
      </c>
      <c r="C4924" s="3" t="str">
        <f>IFERROR(__xludf.DUMMYFUNCTION("GOOGLETRANSLATE(B4924,""id"",""en"")"),"['Taik', 'really', 'network']")</f>
        <v>['Taik', 'really', 'network']</v>
      </c>
      <c r="D4924" s="3">
        <v>1.0</v>
      </c>
    </row>
    <row r="4925" ht="15.75" customHeight="1">
      <c r="A4925" s="1">
        <v>5253.0</v>
      </c>
      <c r="B4925" s="3" t="s">
        <v>4434</v>
      </c>
      <c r="C4925" s="3" t="str">
        <f>IFERROR(__xludf.DUMMYFUNCTION("GOOGLETRANSLATE(B4925,""id"",""en"")"),"['Application', 'opened', '']")</f>
        <v>['Application', 'opened', '']</v>
      </c>
      <c r="D4925" s="3">
        <v>1.0</v>
      </c>
    </row>
    <row r="4926" ht="15.75" customHeight="1">
      <c r="A4926" s="1">
        <v>5255.0</v>
      </c>
      <c r="B4926" s="3" t="s">
        <v>4754</v>
      </c>
      <c r="C4926" s="3" t="str">
        <f>IFERROR(__xludf.DUMMYFUNCTION("GOOGLETRANSLATE(B4926,""id"",""en"")"),"['Package', 'expensive', 'Telkomsel', '']")</f>
        <v>['Package', 'expensive', 'Telkomsel', '']</v>
      </c>
      <c r="D4926" s="3">
        <v>2.0</v>
      </c>
    </row>
    <row r="4927" ht="15.75" customHeight="1">
      <c r="A4927" s="1">
        <v>5256.0</v>
      </c>
      <c r="B4927" s="3" t="s">
        <v>4755</v>
      </c>
      <c r="C4927" s="3" t="str">
        <f>IFERROR(__xludf.DUMMYFUNCTION("GOOGLETRANSLATE(B4927,""id"",""en"")"),"['Plusher', 'Pelangement', 'Profitable', 'Telkomsel', '']")</f>
        <v>['Plusher', 'Pelangement', 'Profitable', 'Telkomsel', '']</v>
      </c>
      <c r="D4927" s="3">
        <v>1.0</v>
      </c>
    </row>
    <row r="4928" ht="15.75" customHeight="1">
      <c r="A4928" s="1">
        <v>5257.0</v>
      </c>
      <c r="B4928" s="3" t="s">
        <v>4756</v>
      </c>
      <c r="C4928" s="3" t="str">
        <f>IFERROR(__xludf.DUMMYFUNCTION("GOOGLETRANSLATE(B4928,""id"",""en"")"),"['Price', 'Package', 'Tel', 'Expensive', 'Application', 'Mending', 'Type', 'Register', 'Package']")</f>
        <v>['Price', 'Package', 'Tel', 'Expensive', 'Application', 'Mending', 'Type', 'Register', 'Package']</v>
      </c>
      <c r="D4928" s="3">
        <v>1.0</v>
      </c>
    </row>
    <row r="4929" ht="15.75" customHeight="1">
      <c r="A4929" s="1">
        <v>5258.0</v>
      </c>
      <c r="B4929" s="3" t="s">
        <v>4757</v>
      </c>
      <c r="C4929" s="3" t="str">
        <f>IFERROR(__xludf.DUMMYFUNCTION("GOOGLETRANSLATE(B4929,""id"",""en"")"),"['', 'Telkomsel', 'Help', 'HRG', 'Package', 'Cheap', 'Purchase', 'Ribet', 'Success', 'SLL']")</f>
        <v>['', 'Telkomsel', 'Help', 'HRG', 'Package', 'Cheap', 'Purchase', 'Ribet', 'Success', 'SLL']</v>
      </c>
      <c r="D4929" s="3">
        <v>5.0</v>
      </c>
    </row>
    <row r="4930" ht="15.75" customHeight="1">
      <c r="A4930" s="1">
        <v>5259.0</v>
      </c>
      <c r="B4930" s="3" t="s">
        <v>4758</v>
      </c>
      <c r="C4930" s="3" t="str">
        <f>IFERROR(__xludf.DUMMYFUNCTION("GOOGLETRANSLATE(B4930,""id"",""en"")"),"['application', 'good', 'Bangat', 'call', 'price', '']")</f>
        <v>['application', 'good', 'Bangat', 'call', 'price', '']</v>
      </c>
      <c r="D4930" s="3">
        <v>5.0</v>
      </c>
    </row>
    <row r="4931" ht="15.75" customHeight="1">
      <c r="A4931" s="1">
        <v>5260.0</v>
      </c>
      <c r="B4931" s="3" t="s">
        <v>4759</v>
      </c>
      <c r="C4931" s="3" t="str">
        <f>IFERROR(__xludf.DUMMYFUNCTION("GOOGLETRANSLATE(B4931,""id"",""en"")"),"['Mantepp']")</f>
        <v>['Mantepp']</v>
      </c>
      <c r="D4931" s="3">
        <v>5.0</v>
      </c>
    </row>
    <row r="4932" ht="15.75" customHeight="1">
      <c r="A4932" s="1">
        <v>5261.0</v>
      </c>
      <c r="B4932" s="3" t="s">
        <v>4760</v>
      </c>
      <c r="C4932" s="3" t="str">
        <f>IFERROR(__xludf.DUMMYFUNCTION("GOOGLETRANSLATE(B4932,""id"",""en"")"),"['Steady', 'Slalu', '']")</f>
        <v>['Steady', 'Slalu', '']</v>
      </c>
      <c r="D4932" s="3">
        <v>5.0</v>
      </c>
    </row>
    <row r="4933" ht="15.75" customHeight="1">
      <c r="A4933" s="1">
        <v>5262.0</v>
      </c>
      <c r="B4933" s="3" t="s">
        <v>4761</v>
      </c>
      <c r="C4933" s="3" t="str">
        <f>IFERROR(__xludf.DUMMYFUNCTION("GOOGLETRANSLATE(B4933,""id"",""en"")"),"['The application', 'upgraded', 'update', 'ugly', 'updated', 'open', 'ehhh', 'sudh', 'updated', 'open', 'hnya', 'screen', ' White ',' Doang ',' Telkomsel ',' here ',' ugly ',' layannx ',' Jagn ',' application ',' disappointed ',' heavy ',' ']")</f>
        <v>['The application', 'upgraded', 'update', 'ugly', 'updated', 'open', 'ehhh', 'sudh', 'updated', 'open', 'hnya', 'screen', ' White ',' Doang ',' Telkomsel ',' here ',' ugly ',' layannx ',' Jagn ',' application ',' disappointed ',' heavy ',' ']</v>
      </c>
      <c r="D4933" s="3">
        <v>1.0</v>
      </c>
    </row>
    <row r="4934" ht="15.75" customHeight="1">
      <c r="A4934" s="1">
        <v>5263.0</v>
      </c>
      <c r="B4934" s="3" t="s">
        <v>4762</v>
      </c>
      <c r="C4934" s="3" t="str">
        <f>IFERROR(__xludf.DUMMYFUNCTION("GOOGLETRANSLATE(B4934,""id"",""en"")"),"['satisfying', 'help']")</f>
        <v>['satisfying', 'help']</v>
      </c>
      <c r="D4934" s="3">
        <v>5.0</v>
      </c>
    </row>
    <row r="4935" ht="15.75" customHeight="1">
      <c r="A4935" s="1">
        <v>5264.0</v>
      </c>
      <c r="B4935" s="3" t="s">
        <v>4763</v>
      </c>
      <c r="C4935" s="3" t="str">
        <f>IFERROR(__xludf.DUMMYFUNCTION("GOOGLETRANSLATE(B4935,""id"",""en"")"),"['Login', 'Telkomsel']")</f>
        <v>['Login', 'Telkomsel']</v>
      </c>
      <c r="D4935" s="3">
        <v>2.0</v>
      </c>
    </row>
    <row r="4936" ht="15.75" customHeight="1">
      <c r="A4936" s="1">
        <v>5265.0</v>
      </c>
      <c r="B4936" s="3" t="s">
        <v>4764</v>
      </c>
      <c r="C4936" s="3" t="str">
        <f>IFERROR(__xludf.DUMMYFUNCTION("GOOGLETRANSLATE(B4936,""id"",""en"")"),"['Guarded', 'Service', 'Prima']")</f>
        <v>['Guarded', 'Service', 'Prima']</v>
      </c>
      <c r="D4936" s="3">
        <v>5.0</v>
      </c>
    </row>
    <row r="4937" ht="15.75" customHeight="1">
      <c r="A4937" s="1">
        <v>5266.0</v>
      </c>
      <c r="B4937" s="3" t="s">
        <v>4765</v>
      </c>
      <c r="C4937" s="3" t="str">
        <f>IFERROR(__xludf.DUMMYFUNCTION("GOOGLETRANSLATE(B4937,""id"",""en"")"),"['Internet', 'slow', 'Please', 'enhanced', 'quality']")</f>
        <v>['Internet', 'slow', 'Please', 'enhanced', 'quality']</v>
      </c>
      <c r="D4937" s="3">
        <v>3.0</v>
      </c>
    </row>
    <row r="4938" ht="15.75" customHeight="1">
      <c r="A4938" s="1">
        <v>5267.0</v>
      </c>
      <c r="B4938" s="3" t="s">
        <v>4766</v>
      </c>
      <c r="C4938" s="3" t="str">
        <f>IFERROR(__xludf.DUMMYFUNCTION("GOOGLETRANSLATE(B4938,""id"",""en"")"),"['easy', 'fast', 'safe']")</f>
        <v>['easy', 'fast', 'safe']</v>
      </c>
      <c r="D4938" s="3">
        <v>5.0</v>
      </c>
    </row>
    <row r="4939" ht="15.75" customHeight="1">
      <c r="A4939" s="1">
        <v>5268.0</v>
      </c>
      <c r="B4939" s="3" t="s">
        <v>4767</v>
      </c>
      <c r="C4939" s="3" t="str">
        <f>IFERROR(__xludf.DUMMYFUNCTION("GOOGLETRANSLATE(B4939,""id"",""en"")"),"['Network', 'repaired']")</f>
        <v>['Network', 'repaired']</v>
      </c>
      <c r="D4939" s="3">
        <v>5.0</v>
      </c>
    </row>
    <row r="4940" ht="15.75" customHeight="1">
      <c r="A4940" s="1">
        <v>5269.0</v>
      </c>
      <c r="B4940" s="3" t="s">
        <v>4768</v>
      </c>
      <c r="C4940" s="3" t="str">
        <f>IFERROR(__xludf.DUMMYFUNCTION("GOOGLETRANSLATE(B4940,""id"",""en"")"),"['suggestion', 'Telkomsel', 'love', 'feature', 'pulse', 'save', 'right', 'quota', 'pulse', 'tetep', 'take', 'quota', ' Masi ',' then ',' contents ',' pulse ',' pulse ',' run out ',' rating ',' application ',' because 'really', 'experiencing', 'disappointe"&amp;"d', 'card' , 'classy', 'spent', 'credit', 'mulu', 'please', 'read', 'complaints', 'me', '']")</f>
        <v>['suggestion', 'Telkomsel', 'love', 'feature', 'pulse', 'save', 'right', 'quota', 'pulse', 'tetep', 'take', 'quota', ' Masi ',' then ',' contents ',' pulse ',' pulse ',' run out ',' rating ',' application ',' because 'really', 'experiencing', 'disappointed', 'card' , 'classy', 'spent', 'credit', 'mulu', 'please', 'read', 'complaints', 'me', '']</v>
      </c>
      <c r="D4940" s="3">
        <v>1.0</v>
      </c>
    </row>
    <row r="4941" ht="15.75" customHeight="1">
      <c r="A4941" s="1">
        <v>5270.0</v>
      </c>
      <c r="B4941" s="3" t="s">
        <v>4769</v>
      </c>
      <c r="C4941" s="3" t="str">
        <f>IFERROR(__xludf.DUMMYFUNCTION("GOOGLETRANSLATE(B4941,""id"",""en"")"),"['Network', 'bad', 'Telkomse']")</f>
        <v>['Network', 'bad', 'Telkomse']</v>
      </c>
      <c r="D4941" s="3">
        <v>2.0</v>
      </c>
    </row>
    <row r="4942" ht="15.75" customHeight="1">
      <c r="A4942" s="1">
        <v>5271.0</v>
      </c>
      <c r="B4942" s="3" t="s">
        <v>4770</v>
      </c>
      <c r="C4942" s="3" t="str">
        <f>IFERROR(__xludf.DUMMYFUNCTION("GOOGLETRANSLATE(B4942,""id"",""en"")"),"['Download', 'application', 'difficult', '']")</f>
        <v>['Download', 'application', 'difficult', '']</v>
      </c>
      <c r="D4942" s="3">
        <v>5.0</v>
      </c>
    </row>
    <row r="4943" ht="15.75" customHeight="1">
      <c r="A4943" s="1">
        <v>5272.0</v>
      </c>
      <c r="B4943" s="3" t="s">
        <v>4771</v>
      </c>
      <c r="C4943" s="3" t="str">
        <f>IFERROR(__xludf.DUMMYFUNCTION("GOOGLETRANSLATE(B4943,""id"",""en"")"),"['Jagan', 'expensive', 'expensive', 'package']")</f>
        <v>['Jagan', 'expensive', 'expensive', 'package']</v>
      </c>
      <c r="D4943" s="3">
        <v>5.0</v>
      </c>
    </row>
    <row r="4944" ht="15.75" customHeight="1">
      <c r="A4944" s="1">
        <v>5273.0</v>
      </c>
      <c r="B4944" s="3" t="s">
        <v>4772</v>
      </c>
      <c r="C4944" s="3" t="str">
        <f>IFERROR(__xludf.DUMMYFUNCTION("GOOGLETRANSLATE(B4944,""id"",""en"")"),"['Certain', 'good']")</f>
        <v>['Certain', 'good']</v>
      </c>
      <c r="D4944" s="3">
        <v>5.0</v>
      </c>
    </row>
    <row r="4945" ht="15.75" customHeight="1">
      <c r="A4945" s="1">
        <v>5274.0</v>
      </c>
      <c r="B4945" s="3" t="s">
        <v>4773</v>
      </c>
      <c r="C4945" s="3" t="str">
        <f>IFERROR(__xludf.DUMMYFUNCTION("GOOGLETRANSLATE(B4945,""id"",""en"")"),"['card', 'bangse', 'dipake', 'maen', 'game', 'ngelag', 'mulu', 'quota', 'network', 'widest', '']")</f>
        <v>['card', 'bangse', 'dipake', 'maen', 'game', 'ngelag', 'mulu', 'quota', 'network', 'widest', '']</v>
      </c>
      <c r="D4945" s="3">
        <v>1.0</v>
      </c>
    </row>
    <row r="4946" ht="15.75" customHeight="1">
      <c r="A4946" s="1">
        <v>5275.0</v>
      </c>
      <c r="B4946" s="3" t="s">
        <v>4774</v>
      </c>
      <c r="C4946" s="3" t="str">
        <f>IFERROR(__xludf.DUMMYFUNCTION("GOOGLETRANSLATE(B4946,""id"",""en"")"),"['application', 'whisper']")</f>
        <v>['application', 'whisper']</v>
      </c>
      <c r="D4946" s="3">
        <v>3.0</v>
      </c>
    </row>
    <row r="4947" ht="15.75" customHeight="1">
      <c r="A4947" s="1">
        <v>5277.0</v>
      </c>
      <c r="B4947" s="3" t="s">
        <v>4775</v>
      </c>
      <c r="C4947" s="3" t="str">
        <f>IFERROR(__xludf.DUMMYFUNCTION("GOOGLETRANSLATE(B4947,""id"",""en"")"),"['Thanks',' love ',' APL ',' SONGAT ',' MMBTU ',' I'M, 'TLG', 'Level', 'Cra', 'Krjax', ""]")</f>
        <v>['Thanks',' love ',' APL ',' SONGAT ',' MMBTU ',' I'M, 'TLG', 'Level', 'Cra', 'Krjax', "]</v>
      </c>
      <c r="D4947" s="3">
        <v>5.0</v>
      </c>
    </row>
    <row r="4948" ht="15.75" customHeight="1">
      <c r="A4948" s="1">
        <v>5278.0</v>
      </c>
      <c r="B4948" s="3" t="s">
        <v>4776</v>
      </c>
      <c r="C4948" s="3" t="str">
        <f>IFERROR(__xludf.DUMMYFUNCTION("GOOGLETRANSLATE(B4948,""id"",""en"")"),"['Uda', 'a month', 'application', 'open', 'opened', 'screen', 'white', 'doank', 'annoyed', '']")</f>
        <v>['Uda', 'a month', 'application', 'open', 'opened', 'screen', 'white', 'doank', 'annoyed', '']</v>
      </c>
      <c r="D4948" s="3">
        <v>1.0</v>
      </c>
    </row>
    <row r="4949" ht="15.75" customHeight="1">
      <c r="A4949" s="1">
        <v>5279.0</v>
      </c>
      <c r="B4949" s="3" t="s">
        <v>4777</v>
      </c>
      <c r="C4949" s="3" t="str">
        <f>IFERROR(__xludf.DUMMYFUNCTION("GOOGLETRANSLATE(B4949,""id"",""en"")"),"['Application', 'Jelek', 'opened', '']")</f>
        <v>['Application', 'Jelek', 'opened', '']</v>
      </c>
      <c r="D4949" s="3">
        <v>1.0</v>
      </c>
    </row>
    <row r="4950" ht="15.75" customHeight="1">
      <c r="A4950" s="1">
        <v>5280.0</v>
      </c>
      <c r="B4950" s="3" t="s">
        <v>4778</v>
      </c>
      <c r="C4950" s="3" t="str">
        <f>IFERROR(__xludf.DUMMYFUNCTION("GOOGLETRANSLATE(B4950,""id"",""en"")"),"['Ngetest', '']")</f>
        <v>['Ngetest', '']</v>
      </c>
      <c r="D4950" s="3">
        <v>3.0</v>
      </c>
    </row>
    <row r="4951" ht="15.75" customHeight="1">
      <c r="A4951" s="1">
        <v>5281.0</v>
      </c>
      <c r="B4951" s="3" t="s">
        <v>4779</v>
      </c>
      <c r="C4951" s="3" t="str">
        <f>IFERROR(__xludf.DUMMYFUNCTION("GOOGLETRANSLATE(B4951,""id"",""en"")"),"['Napa', 'White', 'Screen', 'Mulu']")</f>
        <v>['Napa', 'White', 'Screen', 'Mulu']</v>
      </c>
      <c r="D4951" s="3">
        <v>1.0</v>
      </c>
    </row>
    <row r="4952" ht="15.75" customHeight="1">
      <c r="A4952" s="1">
        <v>5282.0</v>
      </c>
      <c r="B4952" s="3" t="s">
        <v>4780</v>
      </c>
      <c r="C4952" s="3" t="str">
        <f>IFERROR(__xludf.DUMMYFUNCTION("GOOGLETRANSLATE(B4952,""id"",""en"")"),"['application', 'no', 'emotion', 'udh', 'buy', 'package', 'no', 'send', 'lahi', 'download', 'apk', 'update', ' No ',' likes', 'work', 'APK', 'strange', 'really', 'Srius',' Mending ',' no ',' Ush ',' Download ']")</f>
        <v>['application', 'no', 'emotion', 'udh', 'buy', 'package', 'no', 'send', 'lahi', 'download', 'apk', 'update', ' No ',' likes', 'work', 'APK', 'strange', 'really', 'Srius',' Mending ',' no ',' Ush ',' Download ']</v>
      </c>
      <c r="D4952" s="3">
        <v>1.0</v>
      </c>
    </row>
    <row r="4953" ht="15.75" customHeight="1">
      <c r="A4953" s="1">
        <v>5283.0</v>
      </c>
      <c r="B4953" s="3" t="s">
        <v>4781</v>
      </c>
      <c r="C4953" s="3" t="str">
        <f>IFERROR(__xludf.DUMMYFUNCTION("GOOGLETRANSLATE(B4953,""id"",""en"")"),"['Bgus', 'bnget', 'application', '']")</f>
        <v>['Bgus', 'bnget', 'application', '']</v>
      </c>
      <c r="D4953" s="3">
        <v>5.0</v>
      </c>
    </row>
    <row r="4954" ht="15.75" customHeight="1">
      <c r="A4954" s="1">
        <v>5284.0</v>
      </c>
      <c r="B4954" s="3" t="s">
        <v>4782</v>
      </c>
      <c r="C4954" s="3" t="str">
        <f>IFERROR(__xludf.DUMMYFUNCTION("GOOGLETRANSLATE(B4954,""id"",""en"")"),"['Telkomsel', 'signal', 'like', 'missing', 'knepa', 'skrng', 'the network', 'sometimes',' like ',' missing ',' game ',' Padhal ',' Package ',' SLL ',' FULL ']")</f>
        <v>['Telkomsel', 'signal', 'like', 'missing', 'knepa', 'skrng', 'the network', 'sometimes',' like ',' missing ',' game ',' Padhal ',' Package ',' SLL ',' FULL ']</v>
      </c>
      <c r="D4954" s="3">
        <v>3.0</v>
      </c>
    </row>
    <row r="4955" ht="15.75" customHeight="1">
      <c r="A4955" s="1">
        <v>5285.0</v>
      </c>
      <c r="B4955" s="3" t="s">
        <v>4783</v>
      </c>
      <c r="C4955" s="3" t="str">
        <f>IFERROR(__xludf.DUMMYFUNCTION("GOOGLETRANSLATE(B4955,""id"",""en"")"),"['', 'Update', 'Login', 'Lemot']")</f>
        <v>['', 'Update', 'Login', 'Lemot']</v>
      </c>
      <c r="D4955" s="3">
        <v>1.0</v>
      </c>
    </row>
    <row r="4956" ht="15.75" customHeight="1">
      <c r="A4956" s="1">
        <v>5286.0</v>
      </c>
      <c r="B4956" s="3" t="s">
        <v>4784</v>
      </c>
      <c r="C4956" s="3" t="str">
        <f>IFERROR(__xludf.DUMMYFUNCTION("GOOGLETRANSLATE(B4956,""id"",""en"")"),"['Bus', 'Open', 'APL', 'Try', 'Many', 'Times', 'Open', 'APL', 'Telkomsel']")</f>
        <v>['Bus', 'Open', 'APL', 'Try', 'Many', 'Times', 'Open', 'APL', 'Telkomsel']</v>
      </c>
      <c r="D4956" s="3">
        <v>1.0</v>
      </c>
    </row>
    <row r="4957" ht="15.75" customHeight="1">
      <c r="A4957" s="1">
        <v>5287.0</v>
      </c>
      <c r="B4957" s="3" t="s">
        <v>4785</v>
      </c>
      <c r="C4957" s="3" t="str">
        <f>IFERROR(__xludf.DUMMYFUNCTION("GOOGLETRANSLATE(B4957,""id"",""en"")"),"['Dikasi', 'bonus']")</f>
        <v>['Dikasi', 'bonus']</v>
      </c>
      <c r="D4957" s="3">
        <v>5.0</v>
      </c>
    </row>
    <row r="4958" ht="15.75" customHeight="1">
      <c r="A4958" s="1">
        <v>5288.0</v>
      </c>
      <c r="B4958" s="3" t="s">
        <v>4786</v>
      </c>
      <c r="C4958" s="3" t="str">
        <f>IFERROR(__xludf.DUMMYFUNCTION("GOOGLETRANSLATE(B4958,""id"",""en"")"),"['Bigs', 'Bangettt', 'Useful', 'bngett']")</f>
        <v>['Bigs', 'Bangettt', 'Useful', 'bngett']</v>
      </c>
      <c r="D4958" s="3">
        <v>5.0</v>
      </c>
    </row>
    <row r="4959" ht="15.75" customHeight="1">
      <c r="A4959" s="1">
        <v>5289.0</v>
      </c>
      <c r="B4959" s="3" t="s">
        <v>4787</v>
      </c>
      <c r="C4959" s="3" t="str">
        <f>IFERROR(__xludf.DUMMYFUNCTION("GOOGLETRANSLATE(B4959,""id"",""en"")"),"['Please', 'admin', 'Telkomsel', 'already', 'week', 'knpa', 'blm', 'apk', 'use', 'please', 'action']")</f>
        <v>['Please', 'admin', 'Telkomsel', 'already', 'week', 'knpa', 'blm', 'apk', 'use', 'please', 'action']</v>
      </c>
      <c r="D4959" s="3">
        <v>1.0</v>
      </c>
    </row>
    <row r="4960" ht="15.75" customHeight="1">
      <c r="A4960" s="1">
        <v>5290.0</v>
      </c>
      <c r="B4960" s="3" t="s">
        <v>4788</v>
      </c>
      <c r="C4960" s="3" t="str">
        <f>IFERROR(__xludf.DUMMYFUNCTION("GOOGLETRANSLATE(B4960,""id"",""en"")"),"['Sousiny', 'Good', 'Dipepay']")</f>
        <v>['Sousiny', 'Good', 'Dipepay']</v>
      </c>
      <c r="D4960" s="3">
        <v>5.0</v>
      </c>
    </row>
    <row r="4961" ht="15.75" customHeight="1">
      <c r="A4961" s="1">
        <v>5291.0</v>
      </c>
      <c r="B4961" s="3" t="s">
        <v>4789</v>
      </c>
      <c r="C4961" s="3" t="str">
        <f>IFERROR(__xludf.DUMMYFUNCTION("GOOGLETRANSLATE(B4961,""id"",""en"")"),"['Service', 'good', 'prime', 'hope', 'Jaya', '']")</f>
        <v>['Service', 'good', 'prime', 'hope', 'Jaya', '']</v>
      </c>
      <c r="D4961" s="3">
        <v>5.0</v>
      </c>
    </row>
    <row r="4962" ht="15.75" customHeight="1">
      <c r="A4962" s="1">
        <v>5292.0</v>
      </c>
      <c r="B4962" s="3" t="s">
        <v>4790</v>
      </c>
      <c r="C4962" s="3" t="str">
        <f>IFERROR(__xludf.DUMMYFUNCTION("GOOGLETRANSLATE(B4962,""id"",""en"")"),"['Help', 'check', 'data', 'buy', 'quota']")</f>
        <v>['Help', 'check', 'data', 'buy', 'quota']</v>
      </c>
      <c r="D4962" s="3">
        <v>5.0</v>
      </c>
    </row>
    <row r="4963" ht="15.75" customHeight="1">
      <c r="A4963" s="1">
        <v>5293.0</v>
      </c>
      <c r="B4963" s="3" t="s">
        <v>4791</v>
      </c>
      <c r="C4963" s="3" t="str">
        <f>IFERROR(__xludf.DUMMYFUNCTION("GOOGLETRANSLATE(B4963,""id"",""en"")"),"['Hopefully', 'prize', 'Aamiin', 'loyal', 'Telkomsel']")</f>
        <v>['Hopefully', 'prize', 'Aamiin', 'loyal', 'Telkomsel']</v>
      </c>
      <c r="D4963" s="3">
        <v>5.0</v>
      </c>
    </row>
    <row r="4964" ht="15.75" customHeight="1">
      <c r="A4964" s="1">
        <v>5294.0</v>
      </c>
      <c r="B4964" s="3" t="s">
        <v>4792</v>
      </c>
      <c r="C4964" s="3" t="str">
        <f>IFERROR(__xludf.DUMMYFUNCTION("GOOGLETRANSLATE(B4964,""id"",""en"")"),"['Package', 'Credit', 'Reduced', 'Out', 'Used', '']")</f>
        <v>['Package', 'Credit', 'Reduced', 'Out', 'Used', '']</v>
      </c>
      <c r="D4964" s="3">
        <v>1.0</v>
      </c>
    </row>
    <row r="4965" ht="15.75" customHeight="1">
      <c r="A4965" s="1">
        <v>5295.0</v>
      </c>
      <c r="B4965" s="3" t="s">
        <v>4793</v>
      </c>
      <c r="C4965" s="3" t="str">
        <f>IFERROR(__xludf.DUMMYFUNCTION("GOOGLETRANSLATE(B4965,""id"",""en"")"),"['steady', 'signal', 'steady', 'speed', 'steady', 'package', 'darling', 'expensive', 'like', 'steal', 'pulse', 'package', ' run out ',' apply ',' use ',' balance ',' play ',' take ',' number ',' rb ',' stay ',' rb ',' try ',' multiplied ',' population ' ,"&amp;" 'Indonesia', 'Rupiah', 'Results',' steal "",""]")</f>
        <v>['steady', 'signal', 'steady', 'speed', 'steady', 'package', 'darling', 'expensive', 'like', 'steal', 'pulse', 'package', ' run out ',' apply ',' use ',' balance ',' play ',' take ',' number ',' rb ',' stay ',' rb ',' try ',' multiplied ',' population ' , 'Indonesia', 'Rupiah', 'Results',' steal ","]</v>
      </c>
      <c r="D4965" s="3">
        <v>1.0</v>
      </c>
    </row>
    <row r="4966" ht="15.75" customHeight="1">
      <c r="A4966" s="1">
        <v>5296.0</v>
      </c>
      <c r="B4966" s="3" t="s">
        <v>4794</v>
      </c>
      <c r="C4966" s="3" t="str">
        <f>IFERROR(__xludf.DUMMYFUNCTION("GOOGLETRANSLATE(B4966,""id"",""en"")"),"['Please', 'discount', 'percent']")</f>
        <v>['Please', 'discount', 'percent']</v>
      </c>
      <c r="D4966" s="3">
        <v>5.0</v>
      </c>
    </row>
    <row r="4967" ht="15.75" customHeight="1">
      <c r="A4967" s="1">
        <v>5297.0</v>
      </c>
      <c r="B4967" s="3" t="s">
        <v>4795</v>
      </c>
      <c r="C4967" s="3" t="str">
        <f>IFERROR(__xludf.DUMMYFUNCTION("GOOGLETRANSLATE(B4967,""id"",""en"")"),"['Please', 'min', 'signal', 'ugly', 'activity', 'online', 'maen', 'game', 'army', 'signal', 'ngelag']")</f>
        <v>['Please', 'min', 'signal', 'ugly', 'activity', 'online', 'maen', 'game', 'army', 'signal', 'ngelag']</v>
      </c>
      <c r="D4967" s="3">
        <v>2.0</v>
      </c>
    </row>
    <row r="4968" ht="15.75" customHeight="1">
      <c r="A4968" s="1">
        <v>5298.0</v>
      </c>
      <c r="B4968" s="3" t="s">
        <v>4796</v>
      </c>
      <c r="C4968" s="3" t="str">
        <f>IFERROR(__xludf.DUMMYFUNCTION("GOOGLETRANSLATE(B4968,""id"",""en"")"),"['Star', 'APL', 'Products',' Telkomsel ',' Disappointed ',' Service ',' Package ',' Internet ',' Combo ',' Shop ',' Unlimited ',' Restricted ',' Gaa ',' Litu ',' Gaa ',' given ',' taste ',' Kek ',' get ',' fraud ', ""]")</f>
        <v>['Star', 'APL', 'Products',' Telkomsel ',' Disappointed ',' Service ',' Package ',' Internet ',' Combo ',' Shop ',' Unlimited ',' Restricted ',' Gaa ',' Litu ',' Gaa ',' given ',' taste ',' Kek ',' get ',' fraud ', "]</v>
      </c>
      <c r="D4968" s="3">
        <v>4.0</v>
      </c>
    </row>
    <row r="4969" ht="15.75" customHeight="1">
      <c r="A4969" s="1">
        <v>5299.0</v>
      </c>
      <c r="B4969" s="3" t="s">
        <v>4797</v>
      </c>
      <c r="C4969" s="3" t="str">
        <f>IFERROR(__xludf.DUMMYFUNCTION("GOOGLETRANSLATE(B4969,""id"",""en"")"),"['Open', 'HP', 'Error']")</f>
        <v>['Open', 'HP', 'Error']</v>
      </c>
      <c r="D4969" s="3">
        <v>2.0</v>
      </c>
    </row>
    <row r="4970" ht="15.75" customHeight="1">
      <c r="A4970" s="1">
        <v>5300.0</v>
      </c>
      <c r="B4970" s="3" t="s">
        <v>1310</v>
      </c>
      <c r="C4970" s="3" t="str">
        <f>IFERROR(__xludf.DUMMYFUNCTION("GOOGLETRANSLATE(B4970,""id"",""en"")"),"['Open', 'the application']")</f>
        <v>['Open', 'the application']</v>
      </c>
      <c r="D4970" s="3">
        <v>1.0</v>
      </c>
    </row>
    <row r="4971" ht="15.75" customHeight="1">
      <c r="A4971" s="1">
        <v>5301.0</v>
      </c>
      <c r="B4971" s="3" t="s">
        <v>4798</v>
      </c>
      <c r="C4971" s="3" t="str">
        <f>IFERROR(__xludf.DUMMYFUNCTION("GOOGLETRANSLATE(B4971,""id"",""en"")"),"['like', 'suck', 'pulses', ""]")</f>
        <v>['like', 'suck', 'pulses', "]</v>
      </c>
      <c r="D4971" s="3">
        <v>5.0</v>
      </c>
    </row>
    <row r="4972" ht="15.75" customHeight="1">
      <c r="A4972" s="1">
        <v>5302.0</v>
      </c>
      <c r="B4972" s="3" t="s">
        <v>4799</v>
      </c>
      <c r="C4972" s="3" t="str">
        <f>IFERROR(__xludf.DUMMYFUNCTION("GOOGLETRANSLATE(B4972,""id"",""en"")"),"['Steady', 'APK', 'buy', 'use', 'GB', 'Cool', 'staple']")</f>
        <v>['Steady', 'APK', 'buy', 'use', 'GB', 'Cool', 'staple']</v>
      </c>
      <c r="D4972" s="3">
        <v>5.0</v>
      </c>
    </row>
    <row r="4973" ht="15.75" customHeight="1">
      <c r="A4973" s="1">
        <v>5303.0</v>
      </c>
      <c r="B4973" s="3" t="s">
        <v>4800</v>
      </c>
      <c r="C4973" s="3" t="str">
        <f>IFERROR(__xludf.DUMMYFUNCTION("GOOGLETRANSLATE(B4973,""id"",""en"")"),"['purchase']")</f>
        <v>['purchase']</v>
      </c>
      <c r="D4973" s="3">
        <v>1.0</v>
      </c>
    </row>
    <row r="4974" ht="15.75" customHeight="1">
      <c r="A4974" s="1">
        <v>5304.0</v>
      </c>
      <c r="B4974" s="3" t="s">
        <v>4801</v>
      </c>
      <c r="C4974" s="3" t="str">
        <f>IFERROR(__xludf.DUMMYFUNCTION("GOOGLETRANSLATE(B4974,""id"",""en"")"),"['Pakae', 'Telkomsel', 'The network', 'Baguswalau', 'Rural', 'sleek']")</f>
        <v>['Pakae', 'Telkomsel', 'The network', 'Baguswalau', 'Rural', 'sleek']</v>
      </c>
      <c r="D4974" s="3">
        <v>5.0</v>
      </c>
    </row>
    <row r="4975" ht="15.75" customHeight="1">
      <c r="A4975" s="1">
        <v>5305.0</v>
      </c>
      <c r="B4975" s="3" t="s">
        <v>4802</v>
      </c>
      <c r="C4975" s="3" t="str">
        <f>IFERROR(__xludf.DUMMYFUNCTION("GOOGLETRANSLATE(B4975,""id"",""en"")"),"['application', 'easy']")</f>
        <v>['application', 'easy']</v>
      </c>
      <c r="D4975" s="3">
        <v>5.0</v>
      </c>
    </row>
    <row r="4976" ht="15.75" customHeight="1">
      <c r="A4976" s="1">
        <v>5306.0</v>
      </c>
      <c r="B4976" s="3" t="s">
        <v>4803</v>
      </c>
      <c r="C4976" s="3" t="str">
        <f>IFERROR(__xludf.DUMMYFUNCTION("GOOGLETRANSLATE(B4976,""id"",""en"")"),"['Application', 'Open', 'Please', 'Help', 'Use', 'Samsung', 'Galaxy', 'Thank you', ""]")</f>
        <v>['Application', 'Open', 'Please', 'Help', 'Use', 'Samsung', 'Galaxy', 'Thank you', "]</v>
      </c>
      <c r="D4976" s="3">
        <v>5.0</v>
      </c>
    </row>
    <row r="4977" ht="15.75" customHeight="1">
      <c r="A4977" s="1">
        <v>5307.0</v>
      </c>
      <c r="B4977" s="3" t="s">
        <v>4804</v>
      </c>
      <c r="C4977" s="3" t="str">
        <f>IFERROR(__xludf.DUMMYFUNCTION("GOOGLETRANSLATE(B4977,""id"",""en"")"),"['annoyed']")</f>
        <v>['annoyed']</v>
      </c>
      <c r="D4977" s="3">
        <v>1.0</v>
      </c>
    </row>
    <row r="4978" ht="15.75" customHeight="1">
      <c r="A4978" s="1">
        <v>5308.0</v>
      </c>
      <c r="B4978" s="3" t="s">
        <v>4805</v>
      </c>
      <c r="C4978" s="3" t="str">
        <f>IFERROR(__xludf.DUMMYFUNCTION("GOOGLETRANSLATE(B4978,""id"",""en"")"),"['Promo', 'Lovers', 'Telkomsel', 'Karna', 'Telkomsel', 'Heart', ""]")</f>
        <v>['Promo', 'Lovers', 'Telkomsel', 'Karna', 'Telkomsel', 'Heart', "]</v>
      </c>
      <c r="D4978" s="3">
        <v>5.0</v>
      </c>
    </row>
    <row r="4979" ht="15.75" customHeight="1">
      <c r="A4979" s="1">
        <v>5309.0</v>
      </c>
      <c r="B4979" s="3" t="s">
        <v>4806</v>
      </c>
      <c r="C4979" s="3" t="str">
        <f>IFERROR(__xludf.DUMMYFUNCTION("GOOGLETRANSLATE(B4979,""id"",""en"")"),"['Sorry', 'mimin', 'application', 'NGK', 'access']")</f>
        <v>['Sorry', 'mimin', 'application', 'NGK', 'access']</v>
      </c>
      <c r="D4979" s="3">
        <v>1.0</v>
      </c>
    </row>
    <row r="4980" ht="15.75" customHeight="1">
      <c r="A4980" s="1">
        <v>5310.0</v>
      </c>
      <c r="B4980" s="3" t="s">
        <v>4807</v>
      </c>
      <c r="C4980" s="3" t="str">
        <f>IFERROR(__xludf.DUMMYFUNCTION("GOOGLETRANSLATE(B4980,""id"",""en"")"),"['subscribe', 'Telkomsel', 'use', 'package', 'GB', 'OMG', 'beforemya', 'regretting', 'Paketan', 'Telkomsel', 'package', 'accompanied', ' SMS ',' Minutes', 'Telephone', 'Telkomsel', 'How good', 'good', 'replace', 'internet', 'sms',' call ',' era ',' skrng "&amp;"',' effective ' , 'Darling', 'used', 'SMS', 'call', 'fees', 'package', '']")</f>
        <v>['subscribe', 'Telkomsel', 'use', 'package', 'GB', 'OMG', 'beforemya', 'regretting', 'Paketan', 'Telkomsel', 'package', 'accompanied', ' SMS ',' Minutes', 'Telephone', 'Telkomsel', 'How good', 'good', 'replace', 'internet', 'sms',' call ',' era ',' skrng ',' effective ' , 'Darling', 'used', 'SMS', 'call', 'fees', 'package', '']</v>
      </c>
      <c r="D4980" s="3">
        <v>4.0</v>
      </c>
    </row>
    <row r="4981" ht="15.75" customHeight="1">
      <c r="A4981" s="1">
        <v>5311.0</v>
      </c>
      <c r="B4981" s="3" t="s">
        <v>777</v>
      </c>
      <c r="C4981" s="3" t="str">
        <f>IFERROR(__xludf.DUMMYFUNCTION("GOOGLETRANSLATE(B4981,""id"",""en"")"),"['Application', 'Good', '']")</f>
        <v>['Application', 'Good', '']</v>
      </c>
      <c r="D4981" s="3">
        <v>5.0</v>
      </c>
    </row>
    <row r="4982" ht="15.75" customHeight="1">
      <c r="A4982" s="1">
        <v>5312.0</v>
      </c>
      <c r="B4982" s="3" t="s">
        <v>4808</v>
      </c>
      <c r="C4982" s="3" t="str">
        <f>IFERROR(__xludf.DUMMYFUNCTION("GOOGLETRANSLATE(B4982,""id"",""en"")"),"['Good', 'service', 'Nice', 'trmksh', 'Telkomsel', 'service']")</f>
        <v>['Good', 'service', 'Nice', 'trmksh', 'Telkomsel', 'service']</v>
      </c>
      <c r="D4982" s="3">
        <v>5.0</v>
      </c>
    </row>
    <row r="4983" ht="15.75" customHeight="1">
      <c r="A4983" s="1">
        <v>5313.0</v>
      </c>
      <c r="B4983" s="3" t="s">
        <v>4809</v>
      </c>
      <c r="C4983" s="3" t="str">
        <f>IFERROR(__xludf.DUMMYFUNCTION("GOOGLETRANSLATE(B4983,""id"",""en"")"),"['fun', 'app']")</f>
        <v>['fun', 'app']</v>
      </c>
      <c r="D4983" s="3">
        <v>5.0</v>
      </c>
    </row>
    <row r="4984" ht="15.75" customHeight="1">
      <c r="A4984" s="1">
        <v>5314.0</v>
      </c>
      <c r="B4984" s="3" t="s">
        <v>4810</v>
      </c>
      <c r="C4984" s="3" t="str">
        <f>IFERROR(__xludf.DUMMYFUNCTION("GOOGLETRANSLATE(B4984,""id"",""en"")"),"['Burik', 'expensive', 'expensive']")</f>
        <v>['Burik', 'expensive', 'expensive']</v>
      </c>
      <c r="D4984" s="3">
        <v>1.0</v>
      </c>
    </row>
    <row r="4985" ht="15.75" customHeight="1">
      <c r="A4985" s="1">
        <v>5315.0</v>
      </c>
      <c r="B4985" s="3" t="s">
        <v>4811</v>
      </c>
      <c r="C4985" s="3" t="str">
        <f>IFERROR(__xludf.DUMMYFUNCTION("GOOGLETRANSLATE(B4985,""id"",""en"")"),"['Helping', 'Controlling', 'Quota', 'Package', 'Package', 'Love', 'Cheap', 'People', 'Landing', 'Enjoyed it', ""]")</f>
        <v>['Helping', 'Controlling', 'Quota', 'Package', 'Package', 'Love', 'Cheap', 'People', 'Landing', 'Enjoyed it', "]</v>
      </c>
      <c r="D4985" s="3">
        <v>5.0</v>
      </c>
    </row>
    <row r="4986" ht="15.75" customHeight="1">
      <c r="A4986" s="1">
        <v>5316.0</v>
      </c>
      <c r="B4986" s="3" t="s">
        <v>4812</v>
      </c>
      <c r="C4986" s="3" t="str">
        <f>IFERROR(__xludf.DUMMYFUNCTION("GOOGLETRANSLATE(B4986,""id"",""en"")"),"['PEETULA', 'alminitid', 'daily']")</f>
        <v>['PEETULA', 'alminitid', 'daily']</v>
      </c>
      <c r="D4986" s="3">
        <v>5.0</v>
      </c>
    </row>
    <row r="4987" ht="15.75" customHeight="1">
      <c r="A4987" s="1">
        <v>5317.0</v>
      </c>
      <c r="B4987" s="3" t="s">
        <v>4813</v>
      </c>
      <c r="C4987" s="3" t="str">
        <f>IFERROR(__xludf.DUMMYFUNCTION("GOOGLETRANSLATE(B4987,""id"",""en"")"),"['knapa', 'open', 'application', 'min', '']")</f>
        <v>['knapa', 'open', 'application', 'min', '']</v>
      </c>
      <c r="D4987" s="3">
        <v>4.0</v>
      </c>
    </row>
    <row r="4988" ht="15.75" customHeight="1">
      <c r="A4988" s="1">
        <v>5318.0</v>
      </c>
      <c r="B4988" s="3" t="s">
        <v>4814</v>
      </c>
      <c r="C4988" s="3" t="str">
        <f>IFERROR(__xludf.DUMMYFUNCTION("GOOGLETRANSLATE(B4988,""id"",""en"")"),"['buy', 'package', 'method', 'wallet', 'failure', 'just', 'wallet', 'already', 'contents',' balance ',' Linkaja ',' Gopay ',' Ovo ',' shopee ',' garbage ',' Ribet ',' ']")</f>
        <v>['buy', 'package', 'method', 'wallet', 'failure', 'just', 'wallet', 'already', 'contents',' balance ',' Linkaja ',' Gopay ',' Ovo ',' shopee ',' garbage ',' Ribet ',' ']</v>
      </c>
      <c r="D4988" s="3">
        <v>1.0</v>
      </c>
    </row>
    <row r="4989" ht="15.75" customHeight="1">
      <c r="A4989" s="1">
        <v>5319.0</v>
      </c>
      <c r="B4989" s="3" t="s">
        <v>4815</v>
      </c>
      <c r="C4989" s="3" t="str">
        <f>IFERROR(__xludf.DUMMYFUNCTION("GOOGLETRANSLATE(B4989,""id"",""en"")"),"['Application', 'Open', 'Difficult', 'Control', 'Quota', '']")</f>
        <v>['Application', 'Open', 'Difficult', 'Control', 'Quota', '']</v>
      </c>
      <c r="D4989" s="3">
        <v>1.0</v>
      </c>
    </row>
    <row r="4990" ht="15.75" customHeight="1">
      <c r="A4990" s="1">
        <v>5320.0</v>
      </c>
      <c r="B4990" s="3" t="s">
        <v>4816</v>
      </c>
      <c r="C4990" s="3" t="str">
        <f>IFERROR(__xludf.DUMMYFUNCTION("GOOGLETRANSLATE(B4990,""id"",""en"")"),"['Direct', 'kkkkkk']")</f>
        <v>['Direct', 'kkkkkk']</v>
      </c>
      <c r="D4990" s="3">
        <v>5.0</v>
      </c>
    </row>
    <row r="4991" ht="15.75" customHeight="1">
      <c r="A4991" s="1">
        <v>5321.0</v>
      </c>
      <c r="B4991" s="3" t="s">
        <v>4817</v>
      </c>
      <c r="C4991" s="3" t="str">
        <f>IFERROR(__xludf.DUMMYFUNCTION("GOOGLETRANSLATE(B4991,""id"",""en"")"),"['Telkomsel', 'bad', 'card', 'use', 'internet', 'get', 'sms',' access', 'internet', 'tariff', 'non', 'package', ' Check ',' pulse ',' auto ',' thousand ',' claim ',' gift ',' check ',' buy ',' package ',' expensive ',' sorry ',' telkomsel ',' kayak ' , 'g"&amp;"ini', 'card', 'display']")</f>
        <v>['Telkomsel', 'bad', 'card', 'use', 'internet', 'get', 'sms',' access', 'internet', 'tariff', 'non', 'package', ' Check ',' pulse ',' auto ',' thousand ',' claim ',' gift ',' check ',' buy ',' package ',' expensive ',' sorry ',' telkomsel ',' kayak ' , 'gini', 'card', 'display']</v>
      </c>
      <c r="D4991" s="3">
        <v>1.0</v>
      </c>
    </row>
    <row r="4992" ht="15.75" customHeight="1">
      <c r="A4992" s="1">
        <v>5322.0</v>
      </c>
      <c r="B4992" s="3" t="s">
        <v>4818</v>
      </c>
      <c r="C4992" s="3" t="str">
        <f>IFERROR(__xludf.DUMMYFUNCTION("GOOGLETRANSLATE(B4992,""id"",""en"")"),"['Application', 'Cacaaaaattttttt', 'Open', 'Application', 'Blank', 'White', 'Uninstall', 'Uninstall', 'Many', 'Tetep', 'No', 'Disabled', ' critical', '']")</f>
        <v>['Application', 'Cacaaaaattttttt', 'Open', 'Application', 'Blank', 'White', 'Uninstall', 'Uninstall', 'Many', 'Tetep', 'No', 'Disabled', ' critical', '']</v>
      </c>
      <c r="D4992" s="3">
        <v>1.0</v>
      </c>
    </row>
    <row r="4993" ht="15.75" customHeight="1">
      <c r="A4993" s="1">
        <v>5323.0</v>
      </c>
      <c r="B4993" s="3" t="s">
        <v>4819</v>
      </c>
      <c r="C4993" s="3" t="str">
        <f>IFERROR(__xludf.DUMMYFUNCTION("GOOGLETRANSLATE(B4993,""id"",""en"")"),"['Please', 'Sorry', 'Born', 'Inner', 'Recommendation', 'Network', 'Telkomsel', 'Bad', 'Mintak', 'Tolo', 'Network', 'Telkomsel', ' Fix ',' Change ',' card ']")</f>
        <v>['Please', 'Sorry', 'Born', 'Inner', 'Recommendation', 'Network', 'Telkomsel', 'Bad', 'Mintak', 'Tolo', 'Network', 'Telkomsel', ' Fix ',' Change ',' card ']</v>
      </c>
      <c r="D4993" s="3">
        <v>1.0</v>
      </c>
    </row>
    <row r="4994" ht="15.75" customHeight="1">
      <c r="A4994" s="1">
        <v>5324.0</v>
      </c>
      <c r="B4994" s="3" t="s">
        <v>4820</v>
      </c>
      <c r="C4994" s="3" t="str">
        <f>IFERROR(__xludf.DUMMYFUNCTION("GOOGLETRANSLATE(B4994,""id"",""en"")"),"['', 'Telkomsel', 'steady']")</f>
        <v>['', 'Telkomsel', 'steady']</v>
      </c>
      <c r="D4994" s="3">
        <v>5.0</v>
      </c>
    </row>
    <row r="4995" ht="15.75" customHeight="1">
      <c r="A4995" s="1">
        <v>5325.0</v>
      </c>
      <c r="B4995" s="3" t="s">
        <v>4821</v>
      </c>
      <c r="C4995" s="3" t="str">
        <f>IFERROR(__xludf.DUMMYFUNCTION("GOOGLETRANSLATE(B4995,""id"",""en"")"),"['Wait', 'Hurry', 'Download']")</f>
        <v>['Wait', 'Hurry', 'Download']</v>
      </c>
      <c r="D4995" s="3">
        <v>4.0</v>
      </c>
    </row>
    <row r="4996" ht="15.75" customHeight="1">
      <c r="A4996" s="1">
        <v>5326.0</v>
      </c>
      <c r="B4996" s="3" t="s">
        <v>4822</v>
      </c>
      <c r="C4996" s="3" t="str">
        <f>IFERROR(__xludf.DUMMYFUNCTION("GOOGLETRANSLATE(B4996,""id"",""en"")"),"['Sgt', 'satisfying']")</f>
        <v>['Sgt', 'satisfying']</v>
      </c>
      <c r="D4996" s="3">
        <v>5.0</v>
      </c>
    </row>
    <row r="4997" ht="15.75" customHeight="1">
      <c r="A4997" s="1">
        <v>5327.0</v>
      </c>
      <c r="B4997" s="3" t="s">
        <v>4823</v>
      </c>
      <c r="C4997" s="3" t="str">
        <f>IFERROR(__xludf.DUMMYFUNCTION("GOOGLETRANSLATE(B4997,""id"",""en"")"),"['Good', 'user', 'thank', 'love']")</f>
        <v>['Good', 'user', 'thank', 'love']</v>
      </c>
      <c r="D4997" s="3">
        <v>5.0</v>
      </c>
    </row>
    <row r="4998" ht="15.75" customHeight="1">
      <c r="A4998" s="1">
        <v>5328.0</v>
      </c>
      <c r="B4998" s="3" t="s">
        <v>4824</v>
      </c>
      <c r="C4998" s="3" t="str">
        <f>IFERROR(__xludf.DUMMYFUNCTION("GOOGLETRANSLATE(B4998,""id"",""en"")"),"['swear', 'disappointed', 'Telkomsel', 'purchase', 'extra', 'quota', 'daily', 'description', 'hours',' eh ',' right ',' clock ',' night ',' quota ',' udh ',' lost ',' lossii ',' price ',' buy ',' extra ',' quota ',' daily ',' run out ',' that way ',' disa"&amp;"ppointed ' , 'critical']")</f>
        <v>['swear', 'disappointed', 'Telkomsel', 'purchase', 'extra', 'quota', 'daily', 'description', 'hours',' eh ',' right ',' clock ',' night ',' quota ',' udh ',' lost ',' lossii ',' price ',' buy ',' extra ',' quota ',' daily ',' run out ',' that way ',' disappointed ' , 'critical']</v>
      </c>
      <c r="D4998" s="3">
        <v>1.0</v>
      </c>
    </row>
    <row r="4999" ht="15.75" customHeight="1">
      <c r="A4999" s="1">
        <v>5329.0</v>
      </c>
      <c r="B4999" s="3" t="s">
        <v>4825</v>
      </c>
      <c r="C4999" s="3" t="str">
        <f>IFERROR(__xludf.DUMMYFUNCTION("GOOGLETRANSLATE(B4999,""id"",""en"")"),"['Skadj', 'easy']")</f>
        <v>['Skadj', 'easy']</v>
      </c>
      <c r="D4999" s="3">
        <v>5.0</v>
      </c>
    </row>
    <row r="5000" ht="15.75" customHeight="1">
      <c r="A5000" s="1">
        <v>5330.0</v>
      </c>
      <c r="B5000" s="3" t="s">
        <v>4826</v>
      </c>
      <c r="C5000" s="3" t="str">
        <f>IFERROR(__xludf.DUMMYFUNCTION("GOOGLETRANSLATE(B5000,""id"",""en"")"),"['Comfortable', 'use', 'apk', 'already', 'entered', 'apk', 'enter', 'just', 'white', 'doang', 'screen']")</f>
        <v>['Comfortable', 'use', 'apk', 'already', 'entered', 'apk', 'enter', 'just', 'white', 'doang', 'screen']</v>
      </c>
      <c r="D5000" s="3">
        <v>2.0</v>
      </c>
    </row>
    <row r="5001" ht="15.75" customHeight="1">
      <c r="A5001" s="1">
        <v>5331.0</v>
      </c>
      <c r="B5001" s="3" t="s">
        <v>4827</v>
      </c>
      <c r="C5001" s="3" t="str">
        <f>IFERROR(__xludf.DUMMYFUNCTION("GOOGLETRANSLATE(B5001,""id"",""en"")"),"['boss', 'tlg', 'Telkomsel', 'open', '']")</f>
        <v>['boss', 'tlg', 'Telkomsel', 'open', '']</v>
      </c>
      <c r="D5001" s="3">
        <v>1.0</v>
      </c>
    </row>
    <row r="5002" ht="15.75" customHeight="1">
      <c r="A5002" s="1">
        <v>5332.0</v>
      </c>
      <c r="B5002" s="3" t="s">
        <v>4828</v>
      </c>
      <c r="C5002" s="3" t="str">
        <f>IFERROR(__xludf.DUMMYFUNCTION("GOOGLETRANSLATE(B5002,""id"",""en"")"),"['learn', '']")</f>
        <v>['learn', '']</v>
      </c>
      <c r="D5002" s="3">
        <v>1.0</v>
      </c>
    </row>
    <row r="5003" ht="15.75" customHeight="1">
      <c r="A5003" s="1">
        <v>5333.0</v>
      </c>
      <c r="B5003" s="3" t="s">
        <v>4829</v>
      </c>
      <c r="C5003" s="3" t="str">
        <f>IFERROR(__xludf.DUMMYFUNCTION("GOOGLETRANSLATE(B5003,""id"",""en"")"),"['Application', 'Open', 'Severe']")</f>
        <v>['Application', 'Open', 'Severe']</v>
      </c>
      <c r="D5003" s="3">
        <v>2.0</v>
      </c>
    </row>
    <row r="5004" ht="15.75" customHeight="1">
      <c r="A5004" s="1">
        <v>5334.0</v>
      </c>
      <c r="B5004" s="3" t="s">
        <v>4830</v>
      </c>
      <c r="C5004" s="3" t="str">
        <f>IFERROR(__xludf.DUMMYFUNCTION("GOOGLETRANSLATE(B5004,""id"",""en"")"),"['It's easy', 'in', 'work', '']")</f>
        <v>['It's easy', 'in', 'work', '']</v>
      </c>
      <c r="D5004" s="3">
        <v>5.0</v>
      </c>
    </row>
    <row r="5005" ht="15.75" customHeight="1">
      <c r="A5005" s="1">
        <v>5335.0</v>
      </c>
      <c r="B5005" s="3" t="s">
        <v>846</v>
      </c>
      <c r="C5005" s="3" t="str">
        <f>IFERROR(__xludf.DUMMYFUNCTION("GOOGLETRANSLATE(B5005,""id"",""en"")"),"['application', 'good']")</f>
        <v>['application', 'good']</v>
      </c>
      <c r="D5005" s="3">
        <v>5.0</v>
      </c>
    </row>
    <row r="5006" ht="15.75" customHeight="1">
      <c r="A5006" s="1">
        <v>5336.0</v>
      </c>
      <c r="B5006" s="3" t="s">
        <v>4831</v>
      </c>
      <c r="C5006" s="3" t="str">
        <f>IFERROR(__xludf.DUMMYFUNCTION("GOOGLETRANSLATE(B5006,""id"",""en"")"),"['', 'APK', '']")</f>
        <v>['', 'APK', '']</v>
      </c>
      <c r="D5006" s="3">
        <v>3.0</v>
      </c>
    </row>
    <row r="5007" ht="15.75" customHeight="1">
      <c r="A5007" s="1">
        <v>5337.0</v>
      </c>
      <c r="B5007" s="3" t="s">
        <v>4832</v>
      </c>
      <c r="C5007" s="3" t="str">
        <f>IFERROR(__xludf.DUMMYFUNCTION("GOOGLETRANSLATE(B5007,""id"",""en"")"),"['expensive', 'according to', 'information', 'quota', 'package']")</f>
        <v>['expensive', 'according to', 'information', 'quota', 'package']</v>
      </c>
      <c r="D5007" s="3">
        <v>1.0</v>
      </c>
    </row>
    <row r="5008" ht="15.75" customHeight="1">
      <c r="A5008" s="1">
        <v>5338.0</v>
      </c>
      <c r="B5008" s="3" t="s">
        <v>4833</v>
      </c>
      <c r="C5008" s="3" t="str">
        <f>IFERROR(__xludf.DUMMYFUNCTION("GOOGLETRANSLATE(B5008,""id"",""en"")"),"['Package', 'data', 'TelkomSharga', 'skyrocket', ""]")</f>
        <v>['Package', 'data', 'TelkomSharga', 'skyrocket', "]</v>
      </c>
      <c r="D5008" s="3">
        <v>5.0</v>
      </c>
    </row>
    <row r="5009" ht="15.75" customHeight="1">
      <c r="A5009" s="1">
        <v>5340.0</v>
      </c>
      <c r="B5009" s="3" t="s">
        <v>4834</v>
      </c>
      <c r="C5009" s="3" t="str">
        <f>IFERROR(__xludf.DUMMYFUNCTION("GOOGLETRANSLATE(B5009,""id"",""en"")"),"['Application', 'Error', 'Weve', 'Pakek', 'Opened', 'Application', 'Install', 'ullang', 'Many', 'Tetep', 'Opened', ""]")</f>
        <v>['Application', 'Error', 'Weve', 'Pakek', 'Opened', 'Application', 'Install', 'ullang', 'Many', 'Tetep', 'Opened', "]</v>
      </c>
      <c r="D5009" s="3">
        <v>1.0</v>
      </c>
    </row>
    <row r="5010" ht="15.75" customHeight="1">
      <c r="A5010" s="1">
        <v>5341.0</v>
      </c>
      <c r="B5010" s="3" t="s">
        <v>4835</v>
      </c>
      <c r="C5010" s="3" t="str">
        <f>IFERROR(__xludf.DUMMYFUNCTION("GOOGLETRANSLATE(B5010,""id"",""en"")"),"['open', 'application', 'difficult', 'buy', 'package', 'data', 'Samsung', 'week', 'MyTelkomsel', ""]")</f>
        <v>['open', 'application', 'difficult', 'buy', 'package', 'data', 'Samsung', 'week', 'MyTelkomsel', "]</v>
      </c>
      <c r="D5010" s="3">
        <v>1.0</v>
      </c>
    </row>
    <row r="5011" ht="15.75" customHeight="1">
      <c r="A5011" s="1">
        <v>5342.0</v>
      </c>
      <c r="B5011" s="3" t="s">
        <v>4836</v>
      </c>
      <c r="C5011" s="3" t="str">
        <f>IFERROR(__xludf.DUMMYFUNCTION("GOOGLETRANSLATE(B5011,""id"",""en"")"),"['Install', 'opened', 'The application']")</f>
        <v>['Install', 'opened', 'The application']</v>
      </c>
      <c r="D5011" s="3">
        <v>1.0</v>
      </c>
    </row>
    <row r="5012" ht="15.75" customHeight="1">
      <c r="A5012" s="1">
        <v>5344.0</v>
      </c>
      <c r="B5012" s="3" t="s">
        <v>4837</v>
      </c>
      <c r="C5012" s="3" t="str">
        <f>IFERROR(__xludf.DUMMYFUNCTION("GOOGLETRANSLATE(B5012,""id"",""en"")"),"['Jaya', 'Telkomael']")</f>
        <v>['Jaya', 'Telkomael']</v>
      </c>
      <c r="D5012" s="3">
        <v>5.0</v>
      </c>
    </row>
    <row r="5013" ht="15.75" customHeight="1">
      <c r="A5013" s="1">
        <v>5345.0</v>
      </c>
      <c r="B5013" s="3" t="s">
        <v>4838</v>
      </c>
      <c r="C5013" s="3" t="str">
        <f>IFERROR(__xludf.DUMMYFUNCTION("GOOGLETRANSLATE(B5013,""id"",""en"")"),"['Telkom', 'Heart', '']")</f>
        <v>['Telkom', 'Heart', '']</v>
      </c>
      <c r="D5013" s="3">
        <v>5.0</v>
      </c>
    </row>
    <row r="5014" ht="15.75" customHeight="1">
      <c r="A5014" s="1">
        <v>5347.0</v>
      </c>
      <c r="B5014" s="3" t="s">
        <v>4839</v>
      </c>
      <c r="C5014" s="3" t="str">
        <f>IFERROR(__xludf.DUMMYFUNCTION("GOOGLETRANSLATE(B5014,""id"",""en"")"),"['Help', 'category', 'cave', 'gaptek', '']")</f>
        <v>['Help', 'category', 'cave', 'gaptek', '']</v>
      </c>
      <c r="D5014" s="3">
        <v>5.0</v>
      </c>
    </row>
    <row r="5015" ht="15.75" customHeight="1">
      <c r="A5015" s="1">
        <v>5349.0</v>
      </c>
      <c r="B5015" s="3" t="s">
        <v>4840</v>
      </c>
      <c r="C5015" s="3" t="str">
        <f>IFERROR(__xludf.DUMMYFUNCTION("GOOGLETRANSLATE(B5015,""id"",""en"")"),"['Price', 'Paketan', 'Non', 'Bonus', 'Telkomsel', 'TELKOMSEL', 'Reduced', 'Rates', 'Price', 'Package', 'Package']")</f>
        <v>['Price', 'Paketan', 'Non', 'Bonus', 'Telkomsel', 'TELKOMSEL', 'Reduced', 'Rates', 'Price', 'Package', 'Package']</v>
      </c>
      <c r="D5015" s="3">
        <v>5.0</v>
      </c>
    </row>
    <row r="5016" ht="15.75" customHeight="1">
      <c r="A5016" s="1">
        <v>5350.0</v>
      </c>
      <c r="B5016" s="3" t="s">
        <v>4841</v>
      </c>
      <c r="C5016" s="3" t="str">
        <f>IFERROR(__xludf.DUMMYFUNCTION("GOOGLETRANSLATE(B5016,""id"",""en"")"),"['Trying', 'Star', 'Full', 'Following', 'Hopefully', 'Helpful', 'Satisfying', 'User']")</f>
        <v>['Trying', 'Star', 'Full', 'Following', 'Hopefully', 'Helpful', 'Satisfying', 'User']</v>
      </c>
      <c r="D5016" s="3">
        <v>3.0</v>
      </c>
    </row>
    <row r="5017" ht="15.75" customHeight="1">
      <c r="A5017" s="1">
        <v>5351.0</v>
      </c>
      <c r="B5017" s="3" t="s">
        <v>4842</v>
      </c>
      <c r="C5017" s="3" t="str">
        <f>IFERROR(__xludf.DUMMYFUNCTION("GOOGLETRANSLATE(B5017,""id"",""en"")"),"['The application', 'gabisa', 'open']")</f>
        <v>['The application', 'gabisa', 'open']</v>
      </c>
      <c r="D5017" s="3">
        <v>1.0</v>
      </c>
    </row>
    <row r="5018" ht="15.75" customHeight="1">
      <c r="A5018" s="1">
        <v>5352.0</v>
      </c>
      <c r="B5018" s="3" t="s">
        <v>4843</v>
      </c>
      <c r="C5018" s="3" t="str">
        <f>IFERROR(__xludf.DUMMYFUNCTION("GOOGLETRANSLATE(B5018,""id"",""en"")"),"['Telkomsel', 'Fix', 'Network', 'Halteng', 'Lelilef', 'Network', 'ugly', 'really']")</f>
        <v>['Telkomsel', 'Fix', 'Network', 'Halteng', 'Lelilef', 'Network', 'ugly', 'really']</v>
      </c>
      <c r="D5018" s="3">
        <v>2.0</v>
      </c>
    </row>
    <row r="5019" ht="15.75" customHeight="1">
      <c r="A5019" s="1">
        <v>5353.0</v>
      </c>
      <c r="B5019" s="3" t="s">
        <v>4844</v>
      </c>
      <c r="C5019" s="3" t="str">
        <f>IFERROR(__xludf.DUMMYFUNCTION("GOOGLETRANSLATE(B5019,""id"",""en"")"),"['likes', 'ATIIIIIII', 'Bangssss', 'really', 'application', 'maxh', 'Telkomsel']")</f>
        <v>['likes', 'ATIIIIIII', 'Bangssss', 'really', 'application', 'maxh', 'Telkomsel']</v>
      </c>
      <c r="D5019" s="3">
        <v>5.0</v>
      </c>
    </row>
    <row r="5020" ht="15.75" customHeight="1">
      <c r="A5020" s="1">
        <v>5355.0</v>
      </c>
      <c r="B5020" s="3" t="s">
        <v>4845</v>
      </c>
      <c r="C5020" s="3" t="str">
        <f>IFERROR(__xludf.DUMMYFUNCTION("GOOGLETRANSLATE(B5020,""id"",""en"")"),"['Package', 'expensive']")</f>
        <v>['Package', 'expensive']</v>
      </c>
      <c r="D5020" s="3">
        <v>1.0</v>
      </c>
    </row>
    <row r="5021" ht="15.75" customHeight="1">
      <c r="A5021" s="1">
        <v>5356.0</v>
      </c>
      <c r="B5021" s="3" t="s">
        <v>4846</v>
      </c>
      <c r="C5021" s="3" t="str">
        <f>IFERROR(__xludf.DUMMYFUNCTION("GOOGLETRANSLATE(B5021,""id"",""en"")"),"['Hopefully', 'Solid', 'smooth', 'internet', '']")</f>
        <v>['Hopefully', 'Solid', 'smooth', 'internet', '']</v>
      </c>
      <c r="D5021" s="3">
        <v>5.0</v>
      </c>
    </row>
    <row r="5022" ht="15.75" customHeight="1">
      <c r="A5022" s="1">
        <v>5357.0</v>
      </c>
      <c r="B5022" s="3" t="s">
        <v>4847</v>
      </c>
      <c r="C5022" s="3" t="str">
        <f>IFERROR(__xludf.DUMMYFUNCTION("GOOGLETRANSLATE(B5022,""id"",""en"")"),"['Error', 'Open']")</f>
        <v>['Error', 'Open']</v>
      </c>
      <c r="D5022" s="3">
        <v>1.0</v>
      </c>
    </row>
    <row r="5023" ht="15.75" customHeight="1">
      <c r="A5023" s="1">
        <v>5358.0</v>
      </c>
      <c r="B5023" s="3" t="s">
        <v>4848</v>
      </c>
      <c r="C5023" s="3" t="str">
        <f>IFERROR(__xludf.DUMMYFUNCTION("GOOGLETRANSLATE(B5023,""id"",""en"")"),"['Simple', 'Cool']")</f>
        <v>['Simple', 'Cool']</v>
      </c>
      <c r="D5023" s="3">
        <v>5.0</v>
      </c>
    </row>
    <row r="5024" ht="15.75" customHeight="1">
      <c r="A5024" s="1">
        <v>5360.0</v>
      </c>
      <c r="B5024" s="3" t="s">
        <v>4849</v>
      </c>
      <c r="C5024" s="3" t="str">
        <f>IFERROR(__xludf.DUMMYFUNCTION("GOOGLETRANSLATE(B5024,""id"",""en"")"),"['Application', 'Bukak']")</f>
        <v>['Application', 'Bukak']</v>
      </c>
      <c r="D5024" s="3">
        <v>1.0</v>
      </c>
    </row>
    <row r="5025" ht="15.75" customHeight="1">
      <c r="A5025" s="1">
        <v>5361.0</v>
      </c>
      <c r="B5025" s="3" t="s">
        <v>4850</v>
      </c>
      <c r="C5025" s="3" t="str">
        <f>IFERROR(__xludf.DUMMYFUNCTION("GOOGLETRANSLATE(B5025,""id"",""en"")"),"['Knpa', 'Download', '']")</f>
        <v>['Knpa', 'Download', '']</v>
      </c>
      <c r="D5025" s="3">
        <v>3.0</v>
      </c>
    </row>
    <row r="5026" ht="15.75" customHeight="1">
      <c r="A5026" s="1">
        <v>5362.0</v>
      </c>
      <c r="B5026" s="3" t="s">
        <v>4851</v>
      </c>
      <c r="C5026" s="3" t="str">
        <f>IFERROR(__xludf.DUMMYFUNCTION("GOOGLETRANSLATE(B5026,""id"",""en"")"),"['how', 'already', 'buy', 'quota', 'app', 'disorder', 'system']")</f>
        <v>['how', 'already', 'buy', 'quota', 'app', 'disorder', 'system']</v>
      </c>
      <c r="D5026" s="3">
        <v>1.0</v>
      </c>
    </row>
    <row r="5027" ht="15.75" customHeight="1">
      <c r="A5027" s="1">
        <v>5363.0</v>
      </c>
      <c r="B5027" s="3" t="s">
        <v>4852</v>
      </c>
      <c r="C5027" s="3" t="str">
        <f>IFERROR(__xludf.DUMMYFUNCTION("GOOGLETRANSLATE(B5027,""id"",""en"")"),"['update', 'screen', 'white']")</f>
        <v>['update', 'screen', 'white']</v>
      </c>
      <c r="D5027" s="3">
        <v>1.0</v>
      </c>
    </row>
    <row r="5028" ht="15.75" customHeight="1">
      <c r="A5028" s="1">
        <v>5364.0</v>
      </c>
      <c r="B5028" s="3" t="s">
        <v>4853</v>
      </c>
      <c r="C5028" s="3" t="str">
        <f>IFERROR(__xludf.DUMMYFUNCTION("GOOGLETRANSLATE(B5028,""id"",""en"")"),"['card', 'doang', 'good', 'network', 'kek', 'steep']")</f>
        <v>['card', 'doang', 'good', 'network', 'kek', 'steep']</v>
      </c>
      <c r="D5028" s="3">
        <v>5.0</v>
      </c>
    </row>
    <row r="5029" ht="15.75" customHeight="1">
      <c r="A5029" s="1">
        <v>5365.0</v>
      </c>
      <c r="B5029" s="3" t="s">
        <v>4854</v>
      </c>
      <c r="C5029" s="3" t="str">
        <f>IFERROR(__xludf.DUMMYFUNCTION("GOOGLETRANSLATE(B5029,""id"",""en"")"),"['Hold', 'Snapping', 'Remnant', 'Credit', 'Hold', 'Bonus', 'Quota', 'Intrnet', 'Other', 'Like', 'Application', 'Internet']")</f>
        <v>['Hold', 'Snapping', 'Remnant', 'Credit', 'Hold', 'Bonus', 'Quota', 'Intrnet', 'Other', 'Like', 'Application', 'Internet']</v>
      </c>
      <c r="D5029" s="3">
        <v>1.0</v>
      </c>
    </row>
    <row r="5030" ht="15.75" customHeight="1">
      <c r="A5030" s="1">
        <v>5366.0</v>
      </c>
      <c r="B5030" s="3" t="s">
        <v>4855</v>
      </c>
      <c r="C5030" s="3" t="str">
        <f>IFERROR(__xludf.DUMMYFUNCTION("GOOGLETRANSLATE(B5030,""id"",""en"")"),"['application', 'System', 'Hang', 'crash', 'network', 'use', 'Telkomsel', 'wifi', 'need', 'turn on', 'screen', 'press',' The 'Power' button, 'beg', 'repaired', '']")</f>
        <v>['application', 'System', 'Hang', 'crash', 'network', 'use', 'Telkomsel', 'wifi', 'need', 'turn on', 'screen', 'press',' The 'Power' button, 'beg', 'repaired', '']</v>
      </c>
      <c r="D5030" s="3">
        <v>2.0</v>
      </c>
    </row>
    <row r="5031" ht="15.75" customHeight="1">
      <c r="A5031" s="1">
        <v>5367.0</v>
      </c>
      <c r="B5031" s="3" t="s">
        <v>4856</v>
      </c>
      <c r="C5031" s="3" t="str">
        <f>IFERROR(__xludf.DUMMYFUNCTION("GOOGLETRANSLATE(B5031,""id"",""en"")"),"['', 'Telkomsel', 'makes it easier', 'purchase', 'package', 'choice']")</f>
        <v>['', 'Telkomsel', 'makes it easier', 'purchase', 'package', 'choice']</v>
      </c>
      <c r="D5031" s="3">
        <v>5.0</v>
      </c>
    </row>
    <row r="5032" ht="15.75" customHeight="1">
      <c r="A5032" s="1">
        <v>5368.0</v>
      </c>
      <c r="B5032" s="3" t="s">
        <v>3780</v>
      </c>
      <c r="C5032" s="3" t="str">
        <f>IFERROR(__xludf.DUMMYFUNCTION("GOOGLETRANSLATE(B5032,""id"",""en"")"),"['APK', 'opened', '']")</f>
        <v>['APK', 'opened', '']</v>
      </c>
      <c r="D5032" s="3">
        <v>5.0</v>
      </c>
    </row>
    <row r="5033" ht="15.75" customHeight="1">
      <c r="A5033" s="1">
        <v>5369.0</v>
      </c>
      <c r="B5033" s="3" t="s">
        <v>4857</v>
      </c>
      <c r="C5033" s="3" t="str">
        <f>IFERROR(__xludf.DUMMYFUNCTION("GOOGLETRANSLATE(B5033,""id"",""en"")"),"['Fix', 'signal', 'lose', 'another', 'Telkomsel', 'that's', 'LOOH']")</f>
        <v>['Fix', 'signal', 'lose', 'another', 'Telkomsel', 'that's', 'LOOH']</v>
      </c>
      <c r="D5033" s="3">
        <v>4.0</v>
      </c>
    </row>
    <row r="5034" ht="15.75" customHeight="1">
      <c r="A5034" s="1">
        <v>5370.0</v>
      </c>
      <c r="B5034" s="3" t="s">
        <v>4858</v>
      </c>
      <c r="C5034" s="3" t="str">
        <f>IFERROR(__xludf.DUMMYFUNCTION("GOOGLETRANSLATE(B5034,""id"",""en"")"),"['Kah', 'gift', 'Telkomsel', 'Rich', 'Hadia', 'Motor', 'That's', 'Research', 'Exchange', 'Point']")</f>
        <v>['Kah', 'gift', 'Telkomsel', 'Rich', 'Hadia', 'Motor', 'That's', 'Research', 'Exchange', 'Point']</v>
      </c>
      <c r="D5034" s="3">
        <v>4.0</v>
      </c>
    </row>
    <row r="5035" ht="15.75" customHeight="1">
      <c r="A5035" s="1">
        <v>5371.0</v>
      </c>
      <c r="B5035" s="3" t="s">
        <v>4859</v>
      </c>
      <c r="C5035" s="3" t="str">
        <f>IFERROR(__xludf.DUMMYFUNCTION("GOOGLETRANSLATE(B5035,""id"",""en"")"),"['APK', 'Good', '']")</f>
        <v>['APK', 'Good', '']</v>
      </c>
      <c r="D5035" s="3">
        <v>5.0</v>
      </c>
    </row>
    <row r="5036" ht="15.75" customHeight="1">
      <c r="A5036" s="1">
        <v>5372.0</v>
      </c>
      <c r="B5036" s="3" t="s">
        <v>2174</v>
      </c>
      <c r="C5036" s="3" t="str">
        <f>IFERROR(__xludf.DUMMYFUNCTION("GOOGLETRANSLATE(B5036,""id"",""en"")"),"['Help', 'Thank you', 'Telkomsel']")</f>
        <v>['Help', 'Thank you', 'Telkomsel']</v>
      </c>
      <c r="D5036" s="3">
        <v>5.0</v>
      </c>
    </row>
    <row r="5037" ht="15.75" customHeight="1">
      <c r="A5037" s="1">
        <v>5373.0</v>
      </c>
      <c r="B5037" s="3" t="s">
        <v>1167</v>
      </c>
      <c r="C5037" s="3" t="str">
        <f>IFERROR(__xludf.DUMMYFUNCTION("GOOGLETRANSLATE(B5037,""id"",""en"")"),"['help']")</f>
        <v>['help']</v>
      </c>
      <c r="D5037" s="3">
        <v>5.0</v>
      </c>
    </row>
    <row r="5038" ht="15.75" customHeight="1">
      <c r="A5038" s="1">
        <v>5374.0</v>
      </c>
      <c r="B5038" s="3" t="s">
        <v>4860</v>
      </c>
      <c r="C5038" s="3" t="str">
        <f>IFERROR(__xludf.DUMMYFUNCTION("GOOGLETRANSLATE(B5038,""id"",""en"")"),"['Safety', 'really', 'me']")</f>
        <v>['Safety', 'really', 'me']</v>
      </c>
      <c r="D5038" s="3">
        <v>5.0</v>
      </c>
    </row>
    <row r="5039" ht="15.75" customHeight="1">
      <c r="A5039" s="1">
        <v>5375.0</v>
      </c>
      <c r="B5039" s="3" t="s">
        <v>4861</v>
      </c>
      <c r="C5039" s="3" t="str">
        <f>IFERROR(__xludf.DUMMYFUNCTION("GOOGLETRANSLATE(B5039,""id"",""en"")"),"['The application', 'open', 'already']")</f>
        <v>['The application', 'open', 'already']</v>
      </c>
      <c r="D5039" s="3">
        <v>1.0</v>
      </c>
    </row>
    <row r="5040" ht="15.75" customHeight="1">
      <c r="A5040" s="1">
        <v>5376.0</v>
      </c>
      <c r="B5040" s="3" t="s">
        <v>4862</v>
      </c>
      <c r="C5040" s="3" t="str">
        <f>IFERROR(__xludf.DUMMYFUNCTION("GOOGLETRANSLATE(B5040,""id"",""en"")"),"['card', 'already', 'Alhamdulillah', 'since' since 'list', 'can', 'package', 'cheap', 'lbh', 'yr', 'gb', 'rb', ' network ',' NLPN ',' unlimitid ',' skrg ',' rb ',' package ',' happy ']")</f>
        <v>['card', 'already', 'Alhamdulillah', 'since' since 'list', 'can', 'package', 'cheap', 'lbh', 'yr', 'gb', 'rb', ' network ',' NLPN ',' unlimitid ',' skrg ',' rb ',' package ',' happy ']</v>
      </c>
      <c r="D5040" s="3">
        <v>5.0</v>
      </c>
    </row>
    <row r="5041" ht="15.75" customHeight="1">
      <c r="A5041" s="1">
        <v>5377.0</v>
      </c>
      <c r="B5041" s="3" t="s">
        <v>4863</v>
      </c>
      <c r="C5041" s="3" t="str">
        <f>IFERROR(__xludf.DUMMYFUNCTION("GOOGLETRANSLATE(B5041,""id"",""en"")"),"['Kasi']")</f>
        <v>['Kasi']</v>
      </c>
      <c r="D5041" s="3">
        <v>2.0</v>
      </c>
    </row>
    <row r="5042" ht="15.75" customHeight="1">
      <c r="A5042" s="1">
        <v>5378.0</v>
      </c>
      <c r="B5042" s="3" t="s">
        <v>4864</v>
      </c>
      <c r="C5042" s="3" t="str">
        <f>IFERROR(__xludf.DUMMYFUNCTION("GOOGLETRANSLATE(B5042,""id"",""en"")"),"['Telkomsel', 'remote', 'area', 'mantapp']")</f>
        <v>['Telkomsel', 'remote', 'area', 'mantapp']</v>
      </c>
      <c r="D5042" s="3">
        <v>5.0</v>
      </c>
    </row>
    <row r="5043" ht="15.75" customHeight="1">
      <c r="A5043" s="1">
        <v>5379.0</v>
      </c>
      <c r="B5043" s="3" t="s">
        <v>4865</v>
      </c>
      <c r="C5043" s="3" t="str">
        <f>IFERROR(__xludf.DUMMYFUNCTION("GOOGLETRANSLATE(B5043,""id"",""en"")"),"['yeah', 'like']")</f>
        <v>['yeah', 'like']</v>
      </c>
      <c r="D5043" s="3">
        <v>5.0</v>
      </c>
    </row>
    <row r="5044" ht="15.75" customHeight="1">
      <c r="A5044" s="1">
        <v>5380.0</v>
      </c>
      <c r="B5044" s="3" t="s">
        <v>4866</v>
      </c>
      <c r="C5044" s="3" t="str">
        <f>IFERROR(__xludf.DUMMYFUNCTION("GOOGLETRANSLATE(B5044,""id"",""en"")"),"['Price', 'Package', 'Indonesia', 'Signal', 'NTT', 'Severe', 'Different', 'Java']")</f>
        <v>['Price', 'Package', 'Indonesia', 'Signal', 'NTT', 'Severe', 'Different', 'Java']</v>
      </c>
      <c r="D5044" s="3">
        <v>1.0</v>
      </c>
    </row>
    <row r="5045" ht="15.75" customHeight="1">
      <c r="A5045" s="1">
        <v>5382.0</v>
      </c>
      <c r="B5045" s="3" t="s">
        <v>2110</v>
      </c>
      <c r="C5045" s="3" t="str">
        <f>IFERROR(__xludf.DUMMYFUNCTION("GOOGLETRANSLATE(B5045,""id"",""en"")"),"['Telkomsel', '']")</f>
        <v>['Telkomsel', '']</v>
      </c>
      <c r="D5045" s="3">
        <v>1.0</v>
      </c>
    </row>
    <row r="5046" ht="15.75" customHeight="1">
      <c r="A5046" s="1">
        <v>5383.0</v>
      </c>
      <c r="B5046" s="3" t="s">
        <v>4867</v>
      </c>
      <c r="C5046" s="3" t="str">
        <f>IFERROR(__xludf.DUMMYFUNCTION("GOOGLETRANSLATE(B5046,""id"",""en"")"),"['knapa', 'application', 'open', 'Samsung', '']")</f>
        <v>['knapa', 'application', 'open', 'Samsung', '']</v>
      </c>
      <c r="D5046" s="3">
        <v>5.0</v>
      </c>
    </row>
    <row r="5047" ht="15.75" customHeight="1">
      <c r="A5047" s="1">
        <v>5384.0</v>
      </c>
      <c r="B5047" s="3" t="s">
        <v>4868</v>
      </c>
      <c r="C5047" s="3" t="str">
        <f>IFERROR(__xludf.DUMMYFUNCTION("GOOGLETRANSLATE(B5047,""id"",""en"")"),"['Dipake', 'likuaaaaaaaa']")</f>
        <v>['Dipake', 'likuaaaaaaaa']</v>
      </c>
      <c r="D5047" s="3">
        <v>1.0</v>
      </c>
    </row>
    <row r="5048" ht="15.75" customHeight="1">
      <c r="A5048" s="1">
        <v>5385.0</v>
      </c>
      <c r="B5048" s="3" t="s">
        <v>4869</v>
      </c>
      <c r="C5048" s="3" t="str">
        <f>IFERROR(__xludf.DUMMYFUNCTION("GOOGLETRANSLATE(B5048,""id"",""en"")"),"['easy', 'buy', 'pulse']")</f>
        <v>['easy', 'buy', 'pulse']</v>
      </c>
      <c r="D5048" s="3">
        <v>5.0</v>
      </c>
    </row>
    <row r="5049" ht="15.75" customHeight="1">
      <c r="A5049" s="1">
        <v>5386.0</v>
      </c>
      <c r="B5049" s="3" t="s">
        <v>4870</v>
      </c>
      <c r="C5049" s="3" t="str">
        <f>IFERROR(__xludf.DUMMYFUNCTION("GOOGLETRANSLATE(B5049,""id"",""en"")"),"['promo', 'gift', 'exchange', 'point', 'proven', 'klu', 'service', 'good']")</f>
        <v>['promo', 'gift', 'exchange', 'point', 'proven', 'klu', 'service', 'good']</v>
      </c>
      <c r="D5049" s="3">
        <v>5.0</v>
      </c>
    </row>
    <row r="5050" ht="15.75" customHeight="1">
      <c r="A5050" s="1">
        <v>5387.0</v>
      </c>
      <c r="B5050" s="3" t="s">
        <v>4871</v>
      </c>
      <c r="C5050" s="3" t="str">
        <f>IFERROR(__xludf.DUMMYFUNCTION("GOOGLETRANSLATE(B5050,""id"",""en"")"),"['Application', 'Error', 'Opened', 'Opened', '']")</f>
        <v>['Application', 'Error', 'Opened', 'Opened', '']</v>
      </c>
      <c r="D5050" s="3">
        <v>1.0</v>
      </c>
    </row>
    <row r="5051" ht="15.75" customHeight="1">
      <c r="A5051" s="1">
        <v>5388.0</v>
      </c>
      <c r="B5051" s="3" t="s">
        <v>4872</v>
      </c>
      <c r="C5051" s="3" t="str">
        <f>IFERROR(__xludf.DUMMYFUNCTION("GOOGLETRANSLATE(B5051,""id"",""en"")"),"['knp', 'check', 'pdhl', 'udh', 'apdet', 'udh', 'hmpir', 'week', 'difficult', 'buy', 'kouta', 'jga', ' LWT ',' Application ',' Telkomsel ',' Check ',' Jga ', ""]")</f>
        <v>['knp', 'check', 'pdhl', 'udh', 'apdet', 'udh', 'hmpir', 'week', 'difficult', 'buy', 'kouta', 'jga', ' LWT ',' Application ',' Telkomsel ',' Check ',' Jga ', "]</v>
      </c>
      <c r="D5051" s="3">
        <v>2.0</v>
      </c>
    </row>
    <row r="5052" ht="15.75" customHeight="1">
      <c r="A5052" s="1">
        <v>5389.0</v>
      </c>
      <c r="B5052" s="3" t="s">
        <v>4873</v>
      </c>
      <c r="C5052" s="3" t="str">
        <f>IFERROR(__xludf.DUMMYFUNCTION("GOOGLETRANSLATE(B5052,""id"",""en"")"),"['already', 'update', 'opened', 'how','IIIIIII ',' buy ',' package ',' jadi ',' trashhhh ', ""]")</f>
        <v>['already', 'update', 'opened', 'how','IIIIIII ',' buy ',' package ',' jadi ',' trashhhh ', "]</v>
      </c>
      <c r="D5052" s="3">
        <v>1.0</v>
      </c>
    </row>
    <row r="5053" ht="15.75" customHeight="1">
      <c r="A5053" s="1">
        <v>5390.0</v>
      </c>
      <c r="B5053" s="3" t="s">
        <v>4874</v>
      </c>
      <c r="C5053" s="3" t="str">
        <f>IFERROR(__xludf.DUMMYFUNCTION("GOOGLETRANSLATE(B5053,""id"",""en"")"),"['Application', 'Bagussd']")</f>
        <v>['Application', 'Bagussd']</v>
      </c>
      <c r="D5053" s="3">
        <v>5.0</v>
      </c>
    </row>
    <row r="5054" ht="15.75" customHeight="1">
      <c r="A5054" s="1">
        <v>5391.0</v>
      </c>
      <c r="B5054" s="3" t="s">
        <v>4875</v>
      </c>
      <c r="C5054" s="3" t="str">
        <f>IFERROR(__xludf.DUMMYFUNCTION("GOOGLETRANSLATE(B5054,""id"",""en"")"),"['package', 'emergency', 'contents', 'pulse', 'payment', 'package', 'emergency', 'paid up', 'contents', 'pulse']")</f>
        <v>['package', 'emergency', 'contents', 'pulse', 'payment', 'package', 'emergency', 'paid up', 'contents', 'pulse']</v>
      </c>
      <c r="D5054" s="3">
        <v>5.0</v>
      </c>
    </row>
    <row r="5055" ht="15.75" customHeight="1">
      <c r="A5055" s="1">
        <v>5392.0</v>
      </c>
      <c r="B5055" s="3" t="s">
        <v>4876</v>
      </c>
      <c r="C5055" s="3" t="str">
        <f>IFERROR(__xludf.DUMMYFUNCTION("GOOGLETRANSLATE(B5055,""id"",""en"")"),"['hard', 'apps',' ngeblank ',' white ',' love ',' criticism ',' Disni ',' response ',' contact ',' via ',' email ',' etc. ',' Email ',' response ',' Slow ',' Soft ',' Problem ',' PRANUE ',' PLAYANANS ',' Disappointing ', ""]")</f>
        <v>['hard', 'apps',' ngeblank ',' white ',' love ',' criticism ',' Disni ',' response ',' contact ',' via ',' email ',' etc. ',' Email ',' response ',' Slow ',' Soft ',' Problem ',' PRANUE ',' PLAYANANS ',' Disappointing ', "]</v>
      </c>
      <c r="D5055" s="3">
        <v>3.0</v>
      </c>
    </row>
    <row r="5056" ht="15.75" customHeight="1">
      <c r="A5056" s="1">
        <v>5393.0</v>
      </c>
      <c r="B5056" s="3" t="s">
        <v>4877</v>
      </c>
      <c r="C5056" s="3" t="str">
        <f>IFERROR(__xludf.DUMMYFUNCTION("GOOGLETRANSLATE(B5056,""id"",""en"")"),"['Hopefully', 'Success', 'Jaya', 'Telkomsel', 'System', 'The Network', 'Thank', 'Love']")</f>
        <v>['Hopefully', 'Success', 'Jaya', 'Telkomsel', 'System', 'The Network', 'Thank', 'Love']</v>
      </c>
      <c r="D5056" s="3">
        <v>5.0</v>
      </c>
    </row>
    <row r="5057" ht="15.75" customHeight="1">
      <c r="A5057" s="1">
        <v>5394.0</v>
      </c>
      <c r="B5057" s="3" t="s">
        <v>4878</v>
      </c>
      <c r="C5057" s="3" t="str">
        <f>IFERROR(__xludf.DUMMYFUNCTION("GOOGLETRANSLATE(B5057,""id"",""en"")"),"['strange', 'application', 'opened', 'blank', 'white', 'try', 'uninstall', 'install']")</f>
        <v>['strange', 'application', 'opened', 'blank', 'white', 'try', 'uninstall', 'install']</v>
      </c>
      <c r="D5057" s="3">
        <v>1.0</v>
      </c>
    </row>
    <row r="5058" ht="15.75" customHeight="1">
      <c r="A5058" s="1">
        <v>5395.0</v>
      </c>
      <c r="B5058" s="3" t="s">
        <v>4879</v>
      </c>
      <c r="C5058" s="3" t="str">
        <f>IFERROR(__xludf.DUMMYFUNCTION("GOOGLETRANSLATE(B5058,""id"",""en"")"),"['Install', 'right', 'enter', 'ngak']")</f>
        <v>['Install', 'right', 'enter', 'ngak']</v>
      </c>
      <c r="D5058" s="3">
        <v>1.0</v>
      </c>
    </row>
    <row r="5059" ht="15.75" customHeight="1">
      <c r="A5059" s="1">
        <v>5396.0</v>
      </c>
      <c r="B5059" s="3" t="s">
        <v>4880</v>
      </c>
      <c r="C5059" s="3" t="str">
        <f>IFERROR(__xludf.DUMMYFUNCTION("GOOGLETRANSLATE(B5059,""id"",""en"")"),"['It's easy', 'transaction']")</f>
        <v>['It's easy', 'transaction']</v>
      </c>
      <c r="D5059" s="3">
        <v>5.0</v>
      </c>
    </row>
    <row r="5060" ht="15.75" customHeight="1">
      <c r="A5060" s="1">
        <v>5397.0</v>
      </c>
      <c r="B5060" s="3" t="s">
        <v>4881</v>
      </c>
      <c r="C5060" s="3" t="str">
        <f>IFERROR(__xludf.DUMMYFUNCTION("GOOGLETRANSLATE(B5060,""id"",""en"")"),"['Steady', 'comfortable']")</f>
        <v>['Steady', 'comfortable']</v>
      </c>
      <c r="D5060" s="3">
        <v>5.0</v>
      </c>
    </row>
    <row r="5061" ht="15.75" customHeight="1">
      <c r="A5061" s="1">
        <v>5398.0</v>
      </c>
      <c r="B5061" s="3" t="s">
        <v>4882</v>
      </c>
      <c r="C5061" s="3" t="str">
        <f>IFERROR(__xludf.DUMMYFUNCTION("GOOGLETRANSLATE(B5061,""id"",""en"")"),"['comfortable', 'application', 'Telkomsel', 'update', 'times', 'update', 'open', 'screen', 'white']")</f>
        <v>['comfortable', 'application', 'Telkomsel', 'update', 'times', 'update', 'open', 'screen', 'white']</v>
      </c>
      <c r="D5061" s="3">
        <v>1.0</v>
      </c>
    </row>
    <row r="5062" ht="15.75" customHeight="1">
      <c r="A5062" s="1">
        <v>5399.0</v>
      </c>
      <c r="B5062" s="3" t="s">
        <v>4883</v>
      </c>
      <c r="C5062" s="3" t="str">
        <f>IFERROR(__xludf.DUMMYFUNCTION("GOOGLETRANSLATE(B5062,""id"",""en"")"),"['Application', 'boring', 'open']")</f>
        <v>['Application', 'boring', 'open']</v>
      </c>
      <c r="D5062" s="3">
        <v>1.0</v>
      </c>
    </row>
    <row r="5063" ht="15.75" customHeight="1">
      <c r="A5063" s="1">
        <v>5400.0</v>
      </c>
      <c r="B5063" s="3" t="s">
        <v>4884</v>
      </c>
      <c r="C5063" s="3" t="str">
        <f>IFERROR(__xludf.DUMMYFUNCTION("GOOGLETRANSLATE(B5063,""id"",""en"")"),"['spirit', 'service']")</f>
        <v>['spirit', 'service']</v>
      </c>
      <c r="D5063" s="3">
        <v>4.0</v>
      </c>
    </row>
    <row r="5064" ht="15.75" customHeight="1">
      <c r="A5064" s="1">
        <v>5401.0</v>
      </c>
      <c r="B5064" s="3" t="s">
        <v>4885</v>
      </c>
      <c r="C5064" s="3" t="str">
        <f>IFERROR(__xludf.DUMMYFUNCTION("GOOGLETRANSLATE(B5064,""id"",""en"")"),"['already', 'kapokkkk', 'make', 'Telkomsel', 'network', 'slow', 'parahhhh', 'play', 'game', 'luemooottttt', 'play', 'sosmed', ' Price ',' guarantee ',' Quality ',' ']")</f>
        <v>['already', 'kapokkkk', 'make', 'Telkomsel', 'network', 'slow', 'parahhhh', 'play', 'game', 'luemooottttt', 'play', 'sosmed', ' Price ',' guarantee ',' Quality ',' ']</v>
      </c>
      <c r="D5064" s="3">
        <v>1.0</v>
      </c>
    </row>
    <row r="5065" ht="15.75" customHeight="1">
      <c r="A5065" s="1">
        <v>5402.0</v>
      </c>
      <c r="B5065" s="3" t="s">
        <v>4886</v>
      </c>
      <c r="C5065" s="3" t="str">
        <f>IFERROR(__xludf.DUMMYFUNCTION("GOOGLETRANSLATE(B5065,""id"",""en"")"),"['White', 'Doang', 'Screen', 'I', 'Potato']")</f>
        <v>['White', 'Doang', 'Screen', 'I', 'Potato']</v>
      </c>
      <c r="D5065" s="3">
        <v>1.0</v>
      </c>
    </row>
    <row r="5066" ht="15.75" customHeight="1">
      <c r="A5066" s="1">
        <v>5403.0</v>
      </c>
      <c r="B5066" s="3" t="s">
        <v>4887</v>
      </c>
      <c r="C5066" s="3" t="str">
        <f>IFERROR(__xludf.DUMMYFUNCTION("GOOGLETRANSLATE(B5066,""id"",""en"")"),"['Thanks', 'help', ""]")</f>
        <v>['Thanks', 'help', "]</v>
      </c>
      <c r="D5066" s="3">
        <v>5.0</v>
      </c>
    </row>
    <row r="5067" ht="15.75" customHeight="1">
      <c r="A5067" s="1">
        <v>5404.0</v>
      </c>
      <c r="B5067" s="3" t="s">
        <v>4888</v>
      </c>
      <c r="C5067" s="3" t="str">
        <f>IFERROR(__xludf.DUMMYFUNCTION("GOOGLETRANSLATE(B5067,""id"",""en"")"),"['steady', 'steady', 'cheap', 'package', 'super', 'magic']")</f>
        <v>['steady', 'steady', 'cheap', 'package', 'super', 'magic']</v>
      </c>
      <c r="D5067" s="3">
        <v>5.0</v>
      </c>
    </row>
    <row r="5068" ht="15.75" customHeight="1">
      <c r="A5068" s="1">
        <v>5405.0</v>
      </c>
      <c r="B5068" s="3" t="s">
        <v>4889</v>
      </c>
      <c r="C5068" s="3" t="str">
        <f>IFERROR(__xludf.DUMMYFUNCTION("GOOGLETRANSLATE(B5068,""id"",""en"")"),"['After', 'Update', 'Application', 'Open']")</f>
        <v>['After', 'Update', 'Application', 'Open']</v>
      </c>
      <c r="D5068" s="3">
        <v>3.0</v>
      </c>
    </row>
    <row r="5069" ht="15.75" customHeight="1">
      <c r="A5069" s="1">
        <v>5406.0</v>
      </c>
      <c r="B5069" s="3" t="s">
        <v>4890</v>
      </c>
      <c r="C5069" s="3" t="str">
        <f>IFERROR(__xludf.DUMMYFUNCTION("GOOGLETRANSLATE(B5069,""id"",""en"")"),"['satisfying', 'transact']")</f>
        <v>['satisfying', 'transact']</v>
      </c>
      <c r="D5069" s="3">
        <v>5.0</v>
      </c>
    </row>
    <row r="5070" ht="15.75" customHeight="1">
      <c r="A5070" s="1">
        <v>5407.0</v>
      </c>
      <c r="B5070" s="3" t="s">
        <v>4891</v>
      </c>
      <c r="C5070" s="3" t="str">
        <f>IFERROR(__xludf.DUMMYFUNCTION("GOOGLETRANSLATE(B5070,""id"",""en"")"),"['Service', 'Telkomsel', 'SGT', 'satisfying', 'card', 'Perdana', 'Telkomsel']")</f>
        <v>['Service', 'Telkomsel', 'SGT', 'satisfying', 'card', 'Perdana', 'Telkomsel']</v>
      </c>
      <c r="D5070" s="3">
        <v>5.0</v>
      </c>
    </row>
    <row r="5071" ht="15.75" customHeight="1">
      <c r="A5071" s="1">
        <v>5408.0</v>
      </c>
      <c r="B5071" s="3" t="s">
        <v>4892</v>
      </c>
      <c r="C5071" s="3" t="str">
        <f>IFERROR(__xludf.DUMMYFUNCTION("GOOGLETRANSLATE(B5071,""id"",""en"")"),"['Internet', 'fast']")</f>
        <v>['Internet', 'fast']</v>
      </c>
      <c r="D5071" s="3">
        <v>3.0</v>
      </c>
    </row>
    <row r="5072" ht="15.75" customHeight="1">
      <c r="A5072" s="1">
        <v>5409.0</v>
      </c>
      <c r="B5072" s="3" t="s">
        <v>4893</v>
      </c>
      <c r="C5072" s="3" t="str">
        <f>IFERROR(__xludf.DUMMYFUNCTION("GOOGLETRANSLATE(B5072,""id"",""en"")"),"['Good', 'stingy', 'JNG', 'eliminated', 'reward']")</f>
        <v>['Good', 'stingy', 'JNG', 'eliminated', 'reward']</v>
      </c>
      <c r="D5072" s="3">
        <v>5.0</v>
      </c>
    </row>
    <row r="5073" ht="15.75" customHeight="1">
      <c r="A5073" s="1">
        <v>5410.0</v>
      </c>
      <c r="B5073" s="3" t="s">
        <v>4894</v>
      </c>
      <c r="C5073" s="3" t="str">
        <f>IFERROR(__xludf.DUMMYFUNCTION("GOOGLETRANSLATE(B5073,""id"",""en"")"),"['Opened', 'The application', 'GMN', 'NIHH']")</f>
        <v>['Opened', 'The application', 'GMN', 'NIHH']</v>
      </c>
      <c r="D5073" s="3">
        <v>5.0</v>
      </c>
    </row>
    <row r="5074" ht="15.75" customHeight="1">
      <c r="A5074" s="1">
        <v>5411.0</v>
      </c>
      <c r="B5074" s="3" t="s">
        <v>4895</v>
      </c>
      <c r="C5074" s="3" t="str">
        <f>IFERROR(__xludf.DUMMYFUNCTION("GOOGLETRANSLATE(B5074,""id"",""en"")"),"['hope', 'prize']")</f>
        <v>['hope', 'prize']</v>
      </c>
      <c r="D5074" s="3">
        <v>4.0</v>
      </c>
    </row>
    <row r="5075" ht="15.75" customHeight="1">
      <c r="A5075" s="1">
        <v>5412.0</v>
      </c>
      <c r="B5075" s="3" t="s">
        <v>4896</v>
      </c>
      <c r="C5075" s="3" t="str">
        <f>IFERROR(__xludf.DUMMYFUNCTION("GOOGLETRANSLATE(B5075,""id"",""en"")"),"['steady', 'signal', 'strengthen', 'inland', 'trima', 'love']")</f>
        <v>['steady', 'signal', 'strengthen', 'inland', 'trima', 'love']</v>
      </c>
      <c r="D5075" s="3">
        <v>5.0</v>
      </c>
    </row>
    <row r="5076" ht="15.75" customHeight="1">
      <c r="A5076" s="1">
        <v>5413.0</v>
      </c>
      <c r="B5076" s="3" t="s">
        <v>4897</v>
      </c>
      <c r="C5076" s="3" t="str">
        <f>IFERROR(__xludf.DUMMYFUNCTION("GOOGLETRANSLATE(B5076,""id"",""en"")"),"['Increases', 'Quality', 'Service', 'Min', '']")</f>
        <v>['Increases', 'Quality', 'Service', 'Min', '']</v>
      </c>
      <c r="D5076" s="3">
        <v>5.0</v>
      </c>
    </row>
    <row r="5077" ht="15.75" customHeight="1">
      <c r="A5077" s="1">
        <v>5414.0</v>
      </c>
      <c r="B5077" s="3" t="s">
        <v>4898</v>
      </c>
      <c r="C5077" s="3" t="str">
        <f>IFERROR(__xludf.DUMMYFUNCTION("GOOGLETRANSLATE(B5077,""id"",""en"")"),"['', 'good', 'really', 'sgt', 'help', ""]")</f>
        <v>['', 'good', 'really', 'sgt', 'help', "]</v>
      </c>
      <c r="D5077" s="3">
        <v>5.0</v>
      </c>
    </row>
    <row r="5078" ht="15.75" customHeight="1">
      <c r="A5078" s="1">
        <v>5415.0</v>
      </c>
      <c r="B5078" s="3" t="s">
        <v>4899</v>
      </c>
      <c r="C5078" s="3" t="str">
        <f>IFERROR(__xludf.DUMMYFUNCTION("GOOGLETRANSLATE(B5078,""id"",""en"")"),"['Good', 'TPI', 'Package', 'stingy']")</f>
        <v>['Good', 'TPI', 'Package', 'stingy']</v>
      </c>
      <c r="D5078" s="3">
        <v>5.0</v>
      </c>
    </row>
    <row r="5079" ht="15.75" customHeight="1">
      <c r="A5079" s="1">
        <v>5416.0</v>
      </c>
      <c r="B5079" s="3" t="s">
        <v>4900</v>
      </c>
      <c r="C5079" s="3" t="str">
        <f>IFERROR(__xludf.DUMMYFUNCTION("GOOGLETRANSLATE(B5079,""id"",""en"")"),"['gym', 'internet', 'omg', 'tdinya', 'rb', 'rb', 'hadeh', 'udh', 'promo', 'lie', 'go home', 'rb', ' right ',' kilk ',' jdi ',' rb ',' plis', 'rb', 'and', 'star', 'down', 'jdi', 'udh', 'changed', 'lgi' , 'JDI', '']")</f>
        <v>['gym', 'internet', 'omg', 'tdinya', 'rb', 'rb', 'hadeh', 'udh', 'promo', 'lie', 'go home', 'rb', ' right ',' kilk ',' jdi ',' rb ',' plis', 'rb', 'and', 'star', 'down', 'jdi', 'udh', 'changed', 'lgi' , 'JDI', '']</v>
      </c>
      <c r="D5079" s="3">
        <v>3.0</v>
      </c>
    </row>
    <row r="5080" ht="15.75" customHeight="1">
      <c r="A5080" s="1">
        <v>5417.0</v>
      </c>
      <c r="B5080" s="3" t="s">
        <v>362</v>
      </c>
      <c r="C5080" s="3" t="str">
        <f>IFERROR(__xludf.DUMMYFUNCTION("GOOGLETRANSLATE(B5080,""id"",""en"")"),"['Telkomsel', 'best']")</f>
        <v>['Telkomsel', 'best']</v>
      </c>
      <c r="D5080" s="3">
        <v>5.0</v>
      </c>
    </row>
    <row r="5081" ht="15.75" customHeight="1">
      <c r="A5081" s="1">
        <v>5418.0</v>
      </c>
      <c r="B5081" s="3" t="s">
        <v>4901</v>
      </c>
      <c r="C5081" s="3" t="str">
        <f>IFERROR(__xludf.DUMMYFUNCTION("GOOGLETRANSLATE(B5081,""id"",""en"")"),"['comfortable', 'easy', 'keep', 'satisfaction', 'customer', '']")</f>
        <v>['comfortable', 'easy', 'keep', 'satisfaction', 'customer', '']</v>
      </c>
      <c r="D5081" s="3">
        <v>5.0</v>
      </c>
    </row>
    <row r="5082" ht="15.75" customHeight="1">
      <c r="A5082" s="1">
        <v>5419.0</v>
      </c>
      <c r="B5082" s="3" t="s">
        <v>4902</v>
      </c>
      <c r="C5082" s="3" t="str">
        <f>IFERROR(__xludf.DUMMYFUNCTION("GOOGLETRANSLATE(B5082,""id"",""en"")"),"['Please', 'Sorry', 'Open', 'Application', 'Color', 'White', 'Please']")</f>
        <v>['Please', 'Sorry', 'Open', 'Application', 'Color', 'White', 'Please']</v>
      </c>
      <c r="D5082" s="3">
        <v>1.0</v>
      </c>
    </row>
    <row r="5083" ht="15.75" customHeight="1">
      <c r="A5083" s="1">
        <v>5420.0</v>
      </c>
      <c r="B5083" s="3" t="s">
        <v>4903</v>
      </c>
      <c r="C5083" s="3" t="str">
        <f>IFERROR(__xludf.DUMMYFUNCTION("GOOGLETRANSLATE(B5083,""id"",""en"")"),"['Steady', 'continue', 'bre', 'price', 'Kek', 'Sultan', 'Change', 'card', 'cave', ""]")</f>
        <v>['Steady', 'continue', 'bre', 'price', 'Kek', 'Sultan', 'Change', 'card', 'cave', "]</v>
      </c>
      <c r="D5083" s="3">
        <v>1.0</v>
      </c>
    </row>
    <row r="5084" ht="15.75" customHeight="1">
      <c r="A5084" s="1">
        <v>5421.0</v>
      </c>
      <c r="B5084" s="3" t="s">
        <v>4904</v>
      </c>
      <c r="C5084" s="3" t="str">
        <f>IFERROR(__xludf.DUMMYFUNCTION("GOOGLETRANSLATE(B5084,""id"",""en"")"),"['boss', 'APP', 'SDSH', 'opened', 'contents', 'reset', 'combo', 'Sakti', 'Klau', 'star', ""]")</f>
        <v>['boss', 'APP', 'SDSH', 'opened', 'contents', 'reset', 'combo', 'Sakti', 'Klau', 'star', "]</v>
      </c>
      <c r="D5084" s="3">
        <v>3.0</v>
      </c>
    </row>
    <row r="5085" ht="15.75" customHeight="1">
      <c r="A5085" s="1">
        <v>5422.0</v>
      </c>
      <c r="B5085" s="3" t="s">
        <v>4905</v>
      </c>
      <c r="C5085" s="3" t="str">
        <f>IFERROR(__xludf.DUMMYFUNCTION("GOOGLETRANSLATE(B5085,""id"",""en"")"),"['Learn', 'dlu', 'applicationx', 'good', 'kasi', 'bintan', '']")</f>
        <v>['Learn', 'dlu', 'applicationx', 'good', 'kasi', 'bintan', '']</v>
      </c>
      <c r="D5085" s="3">
        <v>3.0</v>
      </c>
    </row>
    <row r="5086" ht="15.75" customHeight="1">
      <c r="A5086" s="1">
        <v>5423.0</v>
      </c>
      <c r="B5086" s="3" t="s">
        <v>4906</v>
      </c>
      <c r="C5086" s="3" t="str">
        <f>IFERROR(__xludf.DUMMYFUNCTION("GOOGLETRANSLATE(B5086,""id"",""en"")"),"['', 'network', '']")</f>
        <v>['', 'network', '']</v>
      </c>
      <c r="D5086" s="3">
        <v>1.0</v>
      </c>
    </row>
    <row r="5087" ht="15.75" customHeight="1">
      <c r="A5087" s="1">
        <v>5425.0</v>
      </c>
      <c r="B5087" s="3" t="s">
        <v>4907</v>
      </c>
      <c r="C5087" s="3" t="str">
        <f>IFERROR(__xludf.DUMMYFUNCTION("GOOGLETRANSLATE(B5087,""id"",""en"")"),"['Hopefully','yak ',' promotion ',' package ',' data ',' Telkomsel ',' makes it easy ',' user ', ""]")</f>
        <v>['Hopefully','yak ',' promotion ',' package ',' data ',' Telkomsel ',' makes it easy ',' user ', "]</v>
      </c>
      <c r="D5087" s="3">
        <v>5.0</v>
      </c>
    </row>
    <row r="5088" ht="15.75" customHeight="1">
      <c r="A5088" s="1">
        <v>5427.0</v>
      </c>
      <c r="B5088" s="3" t="s">
        <v>4908</v>
      </c>
      <c r="C5088" s="3" t="str">
        <f>IFERROR(__xludf.DUMMYFUNCTION("GOOGLETRANSLATE(B5088,""id"",""en"")"),"['price', 'quota', 'pity', 'lgi', 'covid', '']")</f>
        <v>['price', 'quota', 'pity', 'lgi', 'covid', '']</v>
      </c>
      <c r="D5088" s="3">
        <v>2.0</v>
      </c>
    </row>
    <row r="5089" ht="15.75" customHeight="1">
      <c r="A5089" s="1">
        <v>5428.0</v>
      </c>
      <c r="B5089" s="3" t="s">
        <v>4909</v>
      </c>
      <c r="C5089" s="3" t="str">
        <f>IFERROR(__xludf.DUMMYFUNCTION("GOOGLETRANSLATE(B5089,""id"",""en"")"),"['', 'happy', 'telcomsel']")</f>
        <v>['', 'happy', 'telcomsel']</v>
      </c>
      <c r="D5089" s="3">
        <v>5.0</v>
      </c>
    </row>
    <row r="5090" ht="15.75" customHeight="1">
      <c r="A5090" s="1">
        <v>5429.0</v>
      </c>
      <c r="B5090" s="3" t="s">
        <v>4910</v>
      </c>
      <c r="C5090" s="3" t="str">
        <f>IFERROR(__xludf.DUMMYFUNCTION("GOOGLETRANSLATE(B5090,""id"",""en"")"),"['', 'Download', 'Application', 'Open', '']")</f>
        <v>['', 'Download', 'Application', 'Open', '']</v>
      </c>
      <c r="D5090" s="3">
        <v>1.0</v>
      </c>
    </row>
    <row r="5091" ht="15.75" customHeight="1">
      <c r="A5091" s="1">
        <v>5431.0</v>
      </c>
      <c r="B5091" s="3" t="s">
        <v>4911</v>
      </c>
      <c r="C5091" s="3" t="str">
        <f>IFERROR(__xludf.DUMMYFUNCTION("GOOGLETRANSLATE(B5091,""id"",""en"")"),"['Dipake', '']")</f>
        <v>['Dipake', '']</v>
      </c>
      <c r="D5091" s="3">
        <v>1.0</v>
      </c>
    </row>
    <row r="5092" ht="15.75" customHeight="1">
      <c r="A5092" s="1">
        <v>5432.0</v>
      </c>
      <c r="B5092" s="3" t="s">
        <v>4912</v>
      </c>
      <c r="C5092" s="3" t="str">
        <f>IFERROR(__xludf.DUMMYFUNCTION("GOOGLETRANSLATE(B5092,""id"",""en"")"),"['Benefits', 'Advertising', 'Useful', 'Surely', 'Slander', 'Sleep', 'Lord', 'Memurkai', 'People', 'Wake Him', ""]")</f>
        <v>['Benefits', 'Advertising', 'Useful', 'Surely', 'Slander', 'Sleep', 'Lord', 'Memurkai', 'People', 'Wake Him', "]</v>
      </c>
      <c r="D5092" s="3">
        <v>2.0</v>
      </c>
    </row>
    <row r="5093" ht="15.75" customHeight="1">
      <c r="A5093" s="1">
        <v>5433.0</v>
      </c>
      <c r="B5093" s="3" t="s">
        <v>4913</v>
      </c>
      <c r="C5093" s="3" t="str">
        <f>IFERROR(__xludf.DUMMYFUNCTION("GOOGLETRANSLATE(B5093,""id"",""en"")"),"['Nyesel', 'buy', 'package', 'internet', 'buy', 'expensive', '']")</f>
        <v>['Nyesel', 'buy', 'package', 'internet', 'buy', 'expensive', '']</v>
      </c>
      <c r="D5093" s="3">
        <v>1.0</v>
      </c>
    </row>
    <row r="5094" ht="15.75" customHeight="1">
      <c r="A5094" s="1">
        <v>5434.0</v>
      </c>
      <c r="B5094" s="3" t="s">
        <v>4914</v>
      </c>
      <c r="C5094" s="3" t="str">
        <f>IFERROR(__xludf.DUMMYFUNCTION("GOOGLETRANSLATE(B5094,""id"",""en"")"),"['love', 'star', 'please', 'promo', 'internet', 'at the level']")</f>
        <v>['love', 'star', 'please', 'promo', 'internet', 'at the level']</v>
      </c>
      <c r="D5094" s="3">
        <v>5.0</v>
      </c>
    </row>
    <row r="5095" ht="15.75" customHeight="1">
      <c r="A5095" s="1">
        <v>5435.0</v>
      </c>
      <c r="B5095" s="3" t="s">
        <v>4915</v>
      </c>
      <c r="C5095" s="3" t="str">
        <f>IFERROR(__xludf.DUMMYFUNCTION("GOOGLETRANSLATE(B5095,""id"",""en"")"),"['Keep', 'Quality', 'Network', 'Lost', 'Trust', 'Consumer']")</f>
        <v>['Keep', 'Quality', 'Network', 'Lost', 'Trust', 'Consumer']</v>
      </c>
      <c r="D5095" s="3">
        <v>5.0</v>
      </c>
    </row>
    <row r="5096" ht="15.75" customHeight="1">
      <c r="A5096" s="1">
        <v>5437.0</v>
      </c>
      <c r="B5096" s="3" t="s">
        <v>4916</v>
      </c>
      <c r="C5096" s="3" t="str">
        <f>IFERROR(__xludf.DUMMYFUNCTION("GOOGLETRANSLATE(B5096,""id"",""en"")"),"['Try']")</f>
        <v>['Try']</v>
      </c>
      <c r="D5096" s="3">
        <v>4.0</v>
      </c>
    </row>
    <row r="5097" ht="15.75" customHeight="1">
      <c r="A5097" s="1">
        <v>5438.0</v>
      </c>
      <c r="B5097" s="3" t="s">
        <v>4917</v>
      </c>
      <c r="C5097" s="3" t="str">
        <f>IFERROR(__xludf.DUMMYFUNCTION("GOOGLETRANSLATE(B5097,""id"",""en"")"),"['Minister' Vacation ',' Install ',' Kebuka ',' ']")</f>
        <v>['Minister' Vacation ',' Install ',' Kebuka ',' ']</v>
      </c>
      <c r="D5097" s="3">
        <v>1.0</v>
      </c>
    </row>
    <row r="5098" ht="15.75" customHeight="1">
      <c r="A5098" s="1">
        <v>5439.0</v>
      </c>
      <c r="B5098" s="3" t="s">
        <v>4918</v>
      </c>
      <c r="C5098" s="3" t="str">
        <f>IFERROR(__xludf.DUMMYFUNCTION("GOOGLETRANSLATE(B5098,""id"",""en"")"),"['Telkomsel', 'please', 'fix', 'network', 'price', 'quota', 'signal', 'good', 'ktanya', 'network', 'widest', 'Indonesia', ' Evidence ',' price ',' quota ',' signal ',' ugly ']")</f>
        <v>['Telkomsel', 'please', 'fix', 'network', 'price', 'quota', 'signal', 'good', 'ktanya', 'network', 'widest', 'Indonesia', ' Evidence ',' price ',' quota ',' signal ',' ugly ']</v>
      </c>
      <c r="D5098" s="3">
        <v>1.0</v>
      </c>
    </row>
    <row r="5099" ht="15.75" customHeight="1">
      <c r="A5099" s="1">
        <v>5440.0</v>
      </c>
      <c r="B5099" s="3" t="s">
        <v>4919</v>
      </c>
      <c r="C5099" s="3" t="str">
        <f>IFERROR(__xludf.DUMMYFUNCTION("GOOGLETRANSLATE(B5099,""id"",""en"")"),"['Help', 'really', 'Telkomsel']")</f>
        <v>['Help', 'really', 'Telkomsel']</v>
      </c>
      <c r="D5099" s="3">
        <v>5.0</v>
      </c>
    </row>
    <row r="5100" ht="15.75" customHeight="1">
      <c r="A5100" s="1">
        <v>5441.0</v>
      </c>
      <c r="B5100" s="3" t="s">
        <v>4920</v>
      </c>
      <c r="C5100" s="3" t="str">
        <f>IFERROR(__xludf.DUMMYFUNCTION("GOOGLETRANSLATE(B5100,""id"",""en"")"),"['Out', 'Dowload', 'Application', 'Use', 'Ngeblang', 'Application', '']")</f>
        <v>['Out', 'Dowload', 'Application', 'Use', 'Ngeblang', 'Application', '']</v>
      </c>
      <c r="D5100" s="3">
        <v>1.0</v>
      </c>
    </row>
    <row r="5101" ht="15.75" customHeight="1">
      <c r="A5101" s="1">
        <v>5442.0</v>
      </c>
      <c r="B5101" s="3" t="s">
        <v>4921</v>
      </c>
      <c r="C5101" s="3" t="str">
        <f>IFERROR(__xludf.DUMMYFUNCTION("GOOGLETRANSLATE(B5101,""id"",""en"")"),"['Open', 'Telkomsel']")</f>
        <v>['Open', 'Telkomsel']</v>
      </c>
      <c r="D5101" s="3">
        <v>5.0</v>
      </c>
    </row>
    <row r="5102" ht="15.75" customHeight="1">
      <c r="A5102" s="1">
        <v>5443.0</v>
      </c>
      <c r="B5102" s="3" t="s">
        <v>4922</v>
      </c>
      <c r="C5102" s="3" t="str">
        <f>IFERROR(__xludf.DUMMYFUNCTION("GOOGLETRANSLATE(B5102,""id"",""en"")"),"['application', 'bgus', 'hope', 'depanya', 'bnyak', 'gift', 'interesting', 'aamiin', 'success', 'Telkomsel']")</f>
        <v>['application', 'bgus', 'hope', 'depanya', 'bnyak', 'gift', 'interesting', 'aamiin', 'success', 'Telkomsel']</v>
      </c>
      <c r="D5102" s="3">
        <v>5.0</v>
      </c>
    </row>
    <row r="5103" ht="15.75" customHeight="1">
      <c r="A5103" s="1">
        <v>5444.0</v>
      </c>
      <c r="B5103" s="3" t="s">
        <v>4923</v>
      </c>
      <c r="C5103" s="3" t="str">
        <f>IFERROR(__xludf.DUMMYFUNCTION("GOOGLETRANSLATE(B5103,""id"",""en"")"),"['response', 'activation', 'package', 'quote', 'fast']")</f>
        <v>['response', 'activation', 'package', 'quote', 'fast']</v>
      </c>
      <c r="D5103" s="3">
        <v>5.0</v>
      </c>
    </row>
    <row r="5104" ht="15.75" customHeight="1">
      <c r="A5104" s="1">
        <v>5445.0</v>
      </c>
      <c r="B5104" s="3" t="s">
        <v>4924</v>
      </c>
      <c r="C5104" s="3" t="str">
        <f>IFERROR(__xludf.DUMMYFUNCTION("GOOGLETRANSLATE(B5104,""id"",""en"")"),"['Open', 'blank', 'white']")</f>
        <v>['Open', 'blank', 'white']</v>
      </c>
      <c r="D5104" s="3">
        <v>5.0</v>
      </c>
    </row>
    <row r="5105" ht="15.75" customHeight="1">
      <c r="A5105" s="1">
        <v>5446.0</v>
      </c>
      <c r="B5105" s="3" t="s">
        <v>4925</v>
      </c>
      <c r="C5105" s="3" t="str">
        <f>IFERROR(__xludf.DUMMYFUNCTION("GOOGLETRANSLATE(B5105,""id"",""en"")"),"['users', 'Telkomsel', 'cook', 'package', 'cheap', 'purchase', 'pulse', 'rating', 'already', 'platinum', 'please', 'what' Package ',' expensive ',' ']")</f>
        <v>['users', 'Telkomsel', 'cook', 'package', 'cheap', 'purchase', 'pulse', 'rating', 'already', 'platinum', 'please', 'what' Package ',' expensive ',' ']</v>
      </c>
      <c r="D5105" s="3">
        <v>2.0</v>
      </c>
    </row>
    <row r="5106" ht="15.75" customHeight="1">
      <c r="A5106" s="1">
        <v>5447.0</v>
      </c>
      <c r="B5106" s="3" t="s">
        <v>4926</v>
      </c>
      <c r="C5106" s="3" t="str">
        <f>IFERROR(__xludf.DUMMYFUNCTION("GOOGLETRANSLATE(B5106,""id"",""en"")"),"['Exchange', 'Points', 'FF', 'Points', 'Cave', 'Unemployed', 'Nie', ""]")</f>
        <v>['Exchange', 'Points', 'FF', 'Points', 'Cave', 'Unemployed', 'Nie', "]</v>
      </c>
      <c r="D5106" s="3">
        <v>5.0</v>
      </c>
    </row>
    <row r="5107" ht="15.75" customHeight="1">
      <c r="A5107" s="1">
        <v>5448.0</v>
      </c>
      <c r="B5107" s="3" t="s">
        <v>4927</v>
      </c>
      <c r="C5107" s="3" t="str">
        <f>IFERROR(__xludf.DUMMYFUNCTION("GOOGLETRANSLATE(B5107,""id"",""en"")"),"['application', 'bangse', 'emang', 'buy', 'package', 'data', 'process',' process', 'already', 'an hour', 'bubarin', 'provider', ' Emotions', 'SMA', 'Ngerugin', 'Buyers']")</f>
        <v>['application', 'bangse', 'emang', 'buy', 'package', 'data', 'process',' process', 'already', 'an hour', 'bubarin', 'provider', ' Emotions', 'SMA', 'Ngerugin', 'Buyers']</v>
      </c>
      <c r="D5107" s="3">
        <v>1.0</v>
      </c>
    </row>
    <row r="5108" ht="15.75" customHeight="1">
      <c r="A5108" s="1">
        <v>5449.0</v>
      </c>
      <c r="B5108" s="3" t="s">
        <v>4928</v>
      </c>
      <c r="C5108" s="3" t="str">
        <f>IFERROR(__xludf.DUMMYFUNCTION("GOOGLETRANSLATE(B5108,""id"",""en"")"),"['Please', 'Fix', 'Network', 'Telkomsel', 'Region', 'Boss', 'Internet', 'NGK', 'Taik']")</f>
        <v>['Please', 'Fix', 'Network', 'Telkomsel', 'Region', 'Boss', 'Internet', 'NGK', 'Taik']</v>
      </c>
      <c r="D5108" s="3">
        <v>1.0</v>
      </c>
    </row>
    <row r="5109" ht="15.75" customHeight="1">
      <c r="A5109" s="1">
        <v>5450.0</v>
      </c>
      <c r="B5109" s="3" t="s">
        <v>4929</v>
      </c>
      <c r="C5109" s="3" t="str">
        <f>IFERROR(__xludf.DUMMYFUNCTION("GOOGLETRANSLATE(B5109,""id"",""en"")"),"['Applikai', 'Telkomsel', 'Open']")</f>
        <v>['Applikai', 'Telkomsel', 'Open']</v>
      </c>
      <c r="D5109" s="3">
        <v>2.0</v>
      </c>
    </row>
    <row r="5110" ht="15.75" customHeight="1">
      <c r="A5110" s="1">
        <v>5451.0</v>
      </c>
      <c r="B5110" s="3" t="s">
        <v>4930</v>
      </c>
      <c r="C5110" s="3" t="str">
        <f>IFERROR(__xludf.DUMMYFUNCTION("GOOGLETRANSLATE(B5110,""id"",""en"")"),"['Dismiss', 'Points', 'Diamond', 'Mobile', 'Legends', 'Diamond', 'Accessible', '']")</f>
        <v>['Dismiss', 'Points', 'Diamond', 'Mobile', 'Legends', 'Diamond', 'Accessible', '']</v>
      </c>
      <c r="D5110" s="3">
        <v>1.0</v>
      </c>
    </row>
    <row r="5111" ht="15.75" customHeight="1">
      <c r="A5111" s="1">
        <v>5452.0</v>
      </c>
      <c r="B5111" s="3" t="s">
        <v>4931</v>
      </c>
      <c r="C5111" s="3" t="str">
        <f>IFERROR(__xludf.DUMMYFUNCTION("GOOGLETRANSLATE(B5111,""id"",""en"")"),"['Sorry', 'min', 'prime', 'exchange', 'busy', 'managed', 'love', 'star', 'pul']")</f>
        <v>['Sorry', 'min', 'prime', 'exchange', 'busy', 'managed', 'love', 'star', 'pul']</v>
      </c>
      <c r="D5111" s="3">
        <v>3.0</v>
      </c>
    </row>
    <row r="5112" ht="15.75" customHeight="1">
      <c r="A5112" s="1">
        <v>5453.0</v>
      </c>
      <c r="B5112" s="3" t="s">
        <v>4932</v>
      </c>
      <c r="C5112" s="3" t="str">
        <f>IFERROR(__xludf.DUMMYFUNCTION("GOOGLETRANSLATE(B5112,""id"",""en"")"),"['Disappointed', 'heavy', 'Multimedia', 'Ngeleg', 'Severe', 'Login', 'Game', 'YouTube', 'Sia', 'Buy', 'Package', 'Kouta', ' Unlimited ',' Multimedia ',' Results', 'Zong', '']")</f>
        <v>['Disappointed', 'heavy', 'Multimedia', 'Ngeleg', 'Severe', 'Login', 'Game', 'YouTube', 'Sia', 'Buy', 'Package', 'Kouta', ' Unlimited ',' Multimedia ',' Results', 'Zong', '']</v>
      </c>
      <c r="D5112" s="3">
        <v>1.0</v>
      </c>
    </row>
    <row r="5113" ht="15.75" customHeight="1">
      <c r="A5113" s="1">
        <v>5455.0</v>
      </c>
      <c r="B5113" s="3" t="s">
        <v>4933</v>
      </c>
      <c r="C5113" s="3" t="str">
        <f>IFERROR(__xludf.DUMMYFUNCTION("GOOGLETRANSLATE(B5113,""id"",""en"")"),"['', 'inexpensive']")</f>
        <v>['', 'inexpensive']</v>
      </c>
      <c r="D5113" s="3">
        <v>5.0</v>
      </c>
    </row>
    <row r="5114" ht="15.75" customHeight="1">
      <c r="A5114" s="1">
        <v>5456.0</v>
      </c>
      <c r="B5114" s="3" t="s">
        <v>4934</v>
      </c>
      <c r="C5114" s="3" t="str">
        <f>IFERROR(__xludf.DUMMYFUNCTION("GOOGLETRANSLATE(B5114,""id"",""en"")"),"['tooolloooooollll', 'open', 'ngak', 'application', 'exhaust', 'quota', 'delete', 'application', 'gooobblllooookkk']")</f>
        <v>['tooolloooooollll', 'open', 'ngak', 'application', 'exhaust', 'quota', 'delete', 'application', 'gooobblllooookkk']</v>
      </c>
      <c r="D5114" s="3">
        <v>1.0</v>
      </c>
    </row>
    <row r="5115" ht="15.75" customHeight="1">
      <c r="A5115" s="1">
        <v>5457.0</v>
      </c>
      <c r="B5115" s="3" t="s">
        <v>4935</v>
      </c>
      <c r="C5115" s="3" t="str">
        <f>IFERROR(__xludf.DUMMYFUNCTION("GOOGLETRANSLATE(B5115,""id"",""en"")"),"['Star', 'admin', 'price', 'quota', 'Telkomsel', 'friend', 'Different', 'please', 'Update', 'trimakasih', 'min']")</f>
        <v>['Star', 'admin', 'price', 'quota', 'Telkomsel', 'friend', 'Different', 'please', 'Update', 'trimakasih', 'min']</v>
      </c>
      <c r="D5115" s="3">
        <v>3.0</v>
      </c>
    </row>
    <row r="5116" ht="15.75" customHeight="1">
      <c r="A5116" s="1">
        <v>5458.0</v>
      </c>
      <c r="B5116" s="3" t="s">
        <v>4936</v>
      </c>
      <c r="C5116" s="3" t="str">
        <f>IFERROR(__xludf.DUMMYFUNCTION("GOOGLETRANSLATE(B5116,""id"",""en"")"),"['Good', 'Mejangmuda', 'tuk', 'check', 'pulse', 'data', 'etc.', 'bonus',' promo ',' lottery ',' prize ',' weekly ',' Party ',' gift ',' ']")</f>
        <v>['Good', 'Mejangmuda', 'tuk', 'check', 'pulse', 'data', 'etc.', 'bonus',' promo ',' lottery ',' prize ',' weekly ',' Party ',' gift ',' ']</v>
      </c>
      <c r="D5116" s="3">
        <v>5.0</v>
      </c>
    </row>
    <row r="5117" ht="15.75" customHeight="1">
      <c r="A5117" s="1">
        <v>5459.0</v>
      </c>
      <c r="B5117" s="3" t="s">
        <v>4937</v>
      </c>
      <c r="C5117" s="3" t="str">
        <f>IFERROR(__xludf.DUMMYFUNCTION("GOOGLETRANSLATE(B5117,""id"",""en"")"),"['Please', 'Support', 'Android', '']")</f>
        <v>['Please', 'Support', 'Android', '']</v>
      </c>
      <c r="D5117" s="3">
        <v>1.0</v>
      </c>
    </row>
    <row r="5118" ht="15.75" customHeight="1">
      <c r="A5118" s="1">
        <v>5460.0</v>
      </c>
      <c r="B5118" s="3" t="s">
        <v>4938</v>
      </c>
      <c r="C5118" s="3" t="str">
        <f>IFERROR(__xludf.DUMMYFUNCTION("GOOGLETRANSLATE(B5118,""id"",""en"")"),"['Telkomsel', 'Region', 'Region', 'Plosok', 'Please', 'Fix', 'Quality', 'Sousal', 'Online', 'Shope', 'Satisfied', 'Quality', ' signal ',' Telkomsel ',' reach ',' plungok ',' country ',' reality ',' Telkomsel ',' yes', 'stand', 'tower', 'provider', 'tower'"&amp;", 'provider' , 'operate', 'people', 'Telkomsel', 'moved', 'provider', 'disappointed', '']")</f>
        <v>['Telkomsel', 'Region', 'Region', 'Plosok', 'Please', 'Fix', 'Quality', 'Sousal', 'Online', 'Shope', 'Satisfied', 'Quality', ' signal ',' Telkomsel ',' reach ',' plungok ',' country ',' reality ',' Telkomsel ',' yes', 'stand', 'tower', 'provider', 'tower', 'provider' , 'operate', 'people', 'Telkomsel', 'moved', 'provider', 'disappointed', '']</v>
      </c>
      <c r="D5118" s="3">
        <v>1.0</v>
      </c>
    </row>
    <row r="5119" ht="15.75" customHeight="1">
      <c r="A5119" s="1">
        <v>5461.0</v>
      </c>
      <c r="B5119" s="3" t="s">
        <v>4939</v>
      </c>
      <c r="C5119" s="3" t="str">
        <f>IFERROR(__xludf.DUMMYFUNCTION("GOOGLETRANSLATE(B5119,""id"",""en"")"),"['APK', 'Bagul', 'Vocer', 'Points', 'Tuker', 'Vocer', '']")</f>
        <v>['APK', 'Bagul', 'Vocer', 'Points', 'Tuker', 'Vocer', '']</v>
      </c>
      <c r="D5119" s="3">
        <v>5.0</v>
      </c>
    </row>
    <row r="5120" ht="15.75" customHeight="1">
      <c r="A5120" s="1">
        <v>5462.0</v>
      </c>
      <c r="B5120" s="3" t="s">
        <v>4940</v>
      </c>
      <c r="C5120" s="3" t="str">
        <f>IFERROR(__xludf.DUMMYFUNCTION("GOOGLETRANSLATE(B5120,""id"",""en"")"),"['I hope this helps']")</f>
        <v>['I hope this helps']</v>
      </c>
      <c r="D5120" s="3">
        <v>5.0</v>
      </c>
    </row>
    <row r="5121" ht="15.75" customHeight="1">
      <c r="A5121" s="1">
        <v>5463.0</v>
      </c>
      <c r="B5121" s="3" t="s">
        <v>4941</v>
      </c>
      <c r="C5121" s="3" t="str">
        <f>IFERROR(__xludf.DUMMYFUNCTION("GOOGLETRANSLATE(B5121,""id"",""en"")"),"['application', 'MyTelkomsel', 'open', 'look', 'white', 'plain', ""]")</f>
        <v>['application', 'MyTelkomsel', 'open', 'look', 'white', 'plain', "]</v>
      </c>
      <c r="D5121" s="3">
        <v>1.0</v>
      </c>
    </row>
    <row r="5122" ht="15.75" customHeight="1">
      <c r="A5122" s="1">
        <v>5464.0</v>
      </c>
      <c r="B5122" s="3" t="s">
        <v>4942</v>
      </c>
      <c r="C5122" s="3" t="str">
        <f>IFERROR(__xludf.DUMMYFUNCTION("GOOGLETRANSLATE(B5122,""id"",""en"")"),"['expensive', 'package', 'cheap', 'monthly', 'home', 'wifi', '']")</f>
        <v>['expensive', 'package', 'cheap', 'monthly', 'home', 'wifi', '']</v>
      </c>
      <c r="D5122" s="3">
        <v>2.0</v>
      </c>
    </row>
    <row r="5123" ht="15.75" customHeight="1">
      <c r="A5123" s="1">
        <v>5465.0</v>
      </c>
      <c r="B5123" s="3" t="s">
        <v>4943</v>
      </c>
      <c r="C5123" s="3" t="str">
        <f>IFERROR(__xludf.DUMMYFUNCTION("GOOGLETRANSLATE(B5123,""id"",""en"")"),"['Strengthen', 'signal', 'game', '']")</f>
        <v>['Strengthen', 'signal', 'game', '']</v>
      </c>
      <c r="D5123" s="3">
        <v>3.0</v>
      </c>
    </row>
    <row r="5124" ht="15.75" customHeight="1">
      <c r="A5124" s="1">
        <v>5466.0</v>
      </c>
      <c r="B5124" s="3" t="s">
        <v>4944</v>
      </c>
      <c r="C5124" s="3" t="str">
        <f>IFERROR(__xludf.DUMMYFUNCTION("GOOGLETRANSLATE(B5124,""id"",""en"")"),"['Good', 'application', 'promo']")</f>
        <v>['Good', 'application', 'promo']</v>
      </c>
      <c r="D5124" s="3">
        <v>5.0</v>
      </c>
    </row>
    <row r="5125" ht="15.75" customHeight="1">
      <c r="A5125" s="1">
        <v>5467.0</v>
      </c>
      <c r="B5125" s="3" t="s">
        <v>4945</v>
      </c>
      <c r="C5125" s="3" t="str">
        <f>IFERROR(__xludf.DUMMYFUNCTION("GOOGLETRANSLATE(B5125,""id"",""en"")"),"['App', 'error', 'opened', 'already', 'until', 'uninstall', 'error', 'please', 'fix', 'as soon as possible]")</f>
        <v>['App', 'error', 'opened', 'already', 'until', 'uninstall', 'error', 'please', 'fix', 'as soon as possible]</v>
      </c>
      <c r="D5125" s="3">
        <v>1.0</v>
      </c>
    </row>
    <row r="5126" ht="15.75" customHeight="1">
      <c r="A5126" s="1">
        <v>5468.0</v>
      </c>
      <c r="B5126" s="3" t="s">
        <v>4946</v>
      </c>
      <c r="C5126" s="3" t="str">
        <f>IFERROR(__xludf.DUMMYFUNCTION("GOOGLETRANSLATE(B5126,""id"",""en"")"),"['continued', 'threat', 'company', 'Telkom']")</f>
        <v>['continued', 'threat', 'company', 'Telkom']</v>
      </c>
      <c r="D5126" s="3">
        <v>1.0</v>
      </c>
    </row>
    <row r="5127" ht="15.75" customHeight="1">
      <c r="A5127" s="1">
        <v>5469.0</v>
      </c>
      <c r="B5127" s="3" t="s">
        <v>4947</v>
      </c>
      <c r="C5127" s="3" t="str">
        <f>IFERROR(__xludf.DUMMYFUNCTION("GOOGLETRANSLATE(B5127,""id"",""en"")"),"['Display', 'Changed', 'Look for', 'Menu', 'Choice', 'Package', 'Yesterday', 'Buy', 'Recent', 'Package']")</f>
        <v>['Display', 'Changed', 'Look for', 'Menu', 'Choice', 'Package', 'Yesterday', 'Buy', 'Recent', 'Package']</v>
      </c>
      <c r="D5127" s="3">
        <v>1.0</v>
      </c>
    </row>
    <row r="5128" ht="15.75" customHeight="1">
      <c r="A5128" s="1">
        <v>5470.0</v>
      </c>
      <c r="B5128" s="3" t="s">
        <v>4948</v>
      </c>
      <c r="C5128" s="3" t="str">
        <f>IFERROR(__xludf.DUMMYFUNCTION("GOOGLETRANSLATE(B5128,""id"",""en"")"),"['Buy', 'Pilsa', 'Zrp']")</f>
        <v>['Buy', 'Pilsa', 'Zrp']</v>
      </c>
      <c r="D5128" s="3">
        <v>5.0</v>
      </c>
    </row>
    <row r="5129" ht="15.75" customHeight="1">
      <c r="A5129" s="1">
        <v>5471.0</v>
      </c>
      <c r="B5129" s="3" t="s">
        <v>4949</v>
      </c>
      <c r="C5129" s="3" t="str">
        <f>IFERROR(__xludf.DUMMYFUNCTION("GOOGLETRANSLATE(B5129,""id"",""en"")"),"['Sya', 'ksih', 'suggestion', 'jgm', 'apdate', 'trs',' open ',' sya ',' apdate ',' open ',' TPI ',' Sya ',' LGI ',' SYA ',' APDATE ',' Opened ']")</f>
        <v>['Sya', 'ksih', 'suggestion', 'jgm', 'apdate', 'trs',' open ',' sya ',' apdate ',' open ',' TPI ',' Sya ',' LGI ',' SYA ',' APDATE ',' Opened ']</v>
      </c>
      <c r="D5129" s="3">
        <v>1.0</v>
      </c>
    </row>
    <row r="5130" ht="15.75" customHeight="1">
      <c r="A5130" s="1">
        <v>5472.0</v>
      </c>
      <c r="B5130" s="3" t="s">
        <v>4950</v>
      </c>
      <c r="C5130" s="3" t="str">
        <f>IFERROR(__xludf.DUMMYFUNCTION("GOOGLETRANSLATE(B5130,""id"",""en"")"),"['Have a good fight']")</f>
        <v>['Have a good fight']</v>
      </c>
      <c r="D5130" s="3">
        <v>4.0</v>
      </c>
    </row>
    <row r="5131" ht="15.75" customHeight="1">
      <c r="A5131" s="1">
        <v>5473.0</v>
      </c>
      <c r="B5131" s="3" t="s">
        <v>4951</v>
      </c>
      <c r="C5131" s="3" t="str">
        <f>IFERROR(__xludf.DUMMYFUNCTION("GOOGLETRANSLATE(B5131,""id"",""en"")"),"['Bad', 'APK', 'Access', 'PARAHHHHH']")</f>
        <v>['Bad', 'APK', 'Access', 'PARAHHHHH']</v>
      </c>
      <c r="D5131" s="3">
        <v>1.0</v>
      </c>
    </row>
    <row r="5132" ht="15.75" customHeight="1">
      <c r="A5132" s="1">
        <v>5474.0</v>
      </c>
      <c r="B5132" s="3" t="s">
        <v>4952</v>
      </c>
      <c r="C5132" s="3" t="str">
        <f>IFERROR(__xludf.DUMMYFUNCTION("GOOGLETRANSLATE(B5132,""id"",""en"")"),"['Hallo', 'Operator', 'Telkomsel', 'Constraints',' Application ',' A month ',' Period ',' Opened ',' Open ',' Application ',' MyTelkomsel ',' appears', ' Blankk ',' white ',' continuous', 'like', 'obstacles',' application ',' Please ',' explanation ',' us"&amp;"er ',' loyal ',' Telkomsel ',' sngat ',' difficult ' , 'APL', 'opened', 'Thank you', 'Hopefully', 'Keep', 'Health']")</f>
        <v>['Hallo', 'Operator', 'Telkomsel', 'Constraints',' Application ',' A month ',' Period ',' Opened ',' Open ',' Application ',' MyTelkomsel ',' appears', ' Blankk ',' white ',' continuous', 'like', 'obstacles',' application ',' Please ',' explanation ',' user ',' loyal ',' Telkomsel ',' sngat ',' difficult ' , 'APL', 'opened', 'Thank you', 'Hopefully', 'Keep', 'Health']</v>
      </c>
      <c r="D5132" s="3">
        <v>3.0</v>
      </c>
    </row>
    <row r="5133" ht="15.75" customHeight="1">
      <c r="A5133" s="1">
        <v>5475.0</v>
      </c>
      <c r="B5133" s="3" t="s">
        <v>4953</v>
      </c>
      <c r="C5133" s="3" t="str">
        <f>IFERROR(__xludf.DUMMYFUNCTION("GOOGLETRANSLATE(B5133,""id"",""en"")"),"['Please', 'Murah', 'Signal', 'Kyak', 'Telkomsel', 'Down', 'Signal', 'Telkomsel', 'King', 'King', 'Signal', 'Best', ' Please, 'User', 'Package', 'Data', 'Enter', 'App', 'Telkomsel', 'Free', 'User', 'Faithful', 'Telkomsel', 'Buy', 'Data' , 'pulse', 'etc.',"&amp;" 'app', 'Telkomsel', 'cut', 'pulse', 'position', 'data', 'cellphone', 'dead', 'thank you', 'complaint', ' responded ',' loyal ',' Telkomsel ',' star ', ""]")</f>
        <v>['Please', 'Murah', 'Signal', 'Kyak', 'Telkomsel', 'Down', 'Signal', 'Telkomsel', 'King', 'King', 'Signal', 'Best', ' Please, 'User', 'Package', 'Data', 'Enter', 'App', 'Telkomsel', 'Free', 'User', 'Faithful', 'Telkomsel', 'Buy', 'Data' , 'pulse', 'etc.', 'app', 'Telkomsel', 'cut', 'pulse', 'position', 'data', 'cellphone', 'dead', 'thank you', 'complaint', ' responded ',' loyal ',' Telkomsel ',' star ', "]</v>
      </c>
      <c r="D5133" s="3">
        <v>3.0</v>
      </c>
    </row>
    <row r="5134" ht="15.75" customHeight="1">
      <c r="A5134" s="1">
        <v>5476.0</v>
      </c>
      <c r="B5134" s="3" t="s">
        <v>4954</v>
      </c>
      <c r="C5134" s="3" t="str">
        <f>IFERROR(__xludf.DUMMYFUNCTION("GOOGLETRANSLATE(B5134,""id"",""en"")"),"['quota', 'expensive']")</f>
        <v>['quota', 'expensive']</v>
      </c>
      <c r="D5134" s="3">
        <v>1.0</v>
      </c>
    </row>
    <row r="5135" ht="15.75" customHeight="1">
      <c r="A5135" s="1">
        <v>5478.0</v>
      </c>
      <c r="B5135" s="3" t="s">
        <v>4955</v>
      </c>
      <c r="C5135" s="3" t="str">
        <f>IFERROR(__xludf.DUMMYFUNCTION("GOOGLETRANSLATE(B5135,""id"",""en"")"),"['Tumbang']")</f>
        <v>['Tumbang']</v>
      </c>
      <c r="D5135" s="3">
        <v>2.0</v>
      </c>
    </row>
    <row r="5136" ht="15.75" customHeight="1">
      <c r="A5136" s="1">
        <v>5479.0</v>
      </c>
      <c r="B5136" s="3" t="s">
        <v>4956</v>
      </c>
      <c r="C5136" s="3" t="str">
        <f>IFERROR(__xludf.DUMMYFUNCTION("GOOGLETRANSLATE(B5136,""id"",""en"")"),"['Update', 'Open', 'Update', 'Current', 'Pekah', '']")</f>
        <v>['Update', 'Open', 'Update', 'Current', 'Pekah', '']</v>
      </c>
      <c r="D5136" s="3">
        <v>1.0</v>
      </c>
    </row>
    <row r="5137" ht="15.75" customHeight="1">
      <c r="A5137" s="1">
        <v>5480.0</v>
      </c>
      <c r="B5137" s="3" t="s">
        <v>4957</v>
      </c>
      <c r="C5137" s="3" t="str">
        <f>IFERROR(__xludf.DUMMYFUNCTION("GOOGLETRANSLATE(B5137,""id"",""en"")"),"['application', 'open', 'gmna', 'abis', 'update']")</f>
        <v>['application', 'open', 'gmna', 'abis', 'update']</v>
      </c>
      <c r="D5137" s="3">
        <v>1.0</v>
      </c>
    </row>
    <row r="5138" ht="15.75" customHeight="1">
      <c r="A5138" s="1">
        <v>5481.0</v>
      </c>
      <c r="B5138" s="3" t="s">
        <v>4958</v>
      </c>
      <c r="C5138" s="3" t="str">
        <f>IFERROR(__xludf.DUMMYFUNCTION("GOOGLETRANSLATE(B5138,""id"",""en"")"),"['Reza', 'Fikkri']")</f>
        <v>['Reza', 'Fikkri']</v>
      </c>
      <c r="D5138" s="3">
        <v>5.0</v>
      </c>
    </row>
    <row r="5139" ht="15.75" customHeight="1">
      <c r="A5139" s="1">
        <v>5482.0</v>
      </c>
      <c r="B5139" s="3" t="s">
        <v>4959</v>
      </c>
      <c r="C5139" s="3" t="str">
        <f>IFERROR(__xludf.DUMMYFUNCTION("GOOGLETRANSLATE(B5139,""id"",""en"")"),"['Do', 'improvement', 'network', 'remote', '']")</f>
        <v>['Do', 'improvement', 'network', 'remote', '']</v>
      </c>
      <c r="D5139" s="3">
        <v>3.0</v>
      </c>
    </row>
    <row r="5140" ht="15.75" customHeight="1">
      <c r="A5140" s="1">
        <v>5483.0</v>
      </c>
      <c r="B5140" s="3" t="s">
        <v>4960</v>
      </c>
      <c r="C5140" s="3" t="str">
        <f>IFERROR(__xludf.DUMMYFUNCTION("GOOGLETRANSLATE(B5140,""id"",""en"")"),"['Application', 'Open', 'HandPhone']")</f>
        <v>['Application', 'Open', 'HandPhone']</v>
      </c>
      <c r="D5140" s="3">
        <v>1.0</v>
      </c>
    </row>
    <row r="5141" ht="15.75" customHeight="1">
      <c r="A5141" s="1">
        <v>5484.0</v>
      </c>
      <c r="B5141" s="3" t="s">
        <v>4961</v>
      </c>
      <c r="C5141" s="3" t="str">
        <f>IFERROR(__xludf.DUMMYFUNCTION("GOOGLETRANSLATE(B5141,""id"",""en"")"),"['Install', 'apk', 'uda', 'repeat', 'no', 'opened', 'min']")</f>
        <v>['Install', 'apk', 'uda', 'repeat', 'no', 'opened', 'min']</v>
      </c>
      <c r="D5141" s="3">
        <v>1.0</v>
      </c>
    </row>
    <row r="5142" ht="15.75" customHeight="1">
      <c r="A5142" s="1">
        <v>5485.0</v>
      </c>
      <c r="B5142" s="3" t="s">
        <v>4962</v>
      </c>
      <c r="C5142" s="3" t="str">
        <f>IFERROR(__xludf.DUMMYFUNCTION("GOOGLETRANSLATE(B5142,""id"",""en"")"),"['buy', 'package', 'internet', 'omg', 'watch', 'youtube', 'truncated', 'quota', 'omg', 'quota', 'main', 'pliss',' Please 'repair']")</f>
        <v>['buy', 'package', 'internet', 'omg', 'watch', 'youtube', 'truncated', 'quota', 'omg', 'quota', 'main', 'pliss',' Please 'repair']</v>
      </c>
      <c r="D5142" s="3">
        <v>1.0</v>
      </c>
    </row>
    <row r="5143" ht="15.75" customHeight="1">
      <c r="A5143" s="1">
        <v>5486.0</v>
      </c>
      <c r="B5143" s="3" t="s">
        <v>4963</v>
      </c>
      <c r="C5143" s="3" t="str">
        <f>IFERROR(__xludf.DUMMYFUNCTION("GOOGLETRANSLATE(B5143,""id"",""en"")"),"['Woy', 'aniing', 'Review', 'Delete', 'Liat', 'Delete', 'TTP', 'Review', 'Karna', 'Service', 'Weve', 'Rotten', ' Just now ',' buy ',' PKET ',' Data ',' GB ',' Gopay ',' Error ',' Trpaksa ',' Change ',' Method ',' Payment ',' Pas', 'Change' , 'Ovo', 'balan"&amp;"ce', 'ovo', 'reduced', 'package', 'data', 'enter', 'writing', 'transaction', 'fail', 'balance', 'already', ' Cut ',' COK ',' Staff ',' Kmana ',' Bales', 'Live', 'Chat', 'Slow', 'Response', 'Litu', 'Kasian', 'Bat', 'Graduates' , 'read']")</f>
        <v>['Woy', 'aniing', 'Review', 'Delete', 'Liat', 'Delete', 'TTP', 'Review', 'Karna', 'Service', 'Weve', 'Rotten', ' Just now ',' buy ',' PKET ',' Data ',' GB ',' Gopay ',' Error ',' Trpaksa ',' Change ',' Method ',' Payment ',' Pas', 'Change' , 'Ovo', 'balance', 'ovo', 'reduced', 'package', 'data', 'enter', 'writing', 'transaction', 'fail', 'balance', 'already', ' Cut ',' COK ',' Staff ',' Kmana ',' Bales', 'Live', 'Chat', 'Slow', 'Response', 'Litu', 'Kasian', 'Bat', 'Graduates' , 'read']</v>
      </c>
      <c r="D5143" s="3">
        <v>1.0</v>
      </c>
    </row>
    <row r="5144" ht="15.75" customHeight="1">
      <c r="A5144" s="1">
        <v>5487.0</v>
      </c>
      <c r="B5144" s="3" t="s">
        <v>4964</v>
      </c>
      <c r="C5144" s="3" t="str">
        <f>IFERROR(__xludf.DUMMYFUNCTION("GOOGLETRANSLATE(B5144,""id"",""en"")"),"['The network', 'Please', 'Dragus', ""]")</f>
        <v>['The network', 'Please', 'Dragus', "]</v>
      </c>
      <c r="D5144" s="3">
        <v>4.0</v>
      </c>
    </row>
    <row r="5145" ht="15.75" customHeight="1">
      <c r="A5145" s="1">
        <v>5488.0</v>
      </c>
      <c r="B5145" s="3" t="s">
        <v>4965</v>
      </c>
      <c r="C5145" s="3" t="str">
        <f>IFERROR(__xludf.DUMMYFUNCTION("GOOGLETRANSLATE(B5145,""id"",""en"")"),"['Internet', 'stable', 'foam', 'play', 'game', 'slow', '']")</f>
        <v>['Internet', 'stable', 'foam', 'play', 'game', 'slow', '']</v>
      </c>
      <c r="D5145" s="3">
        <v>1.0</v>
      </c>
    </row>
    <row r="5146" ht="15.75" customHeight="1">
      <c r="A5146" s="1">
        <v>5489.0</v>
      </c>
      <c r="B5146" s="3" t="s">
        <v>4966</v>
      </c>
      <c r="C5146" s="3" t="str">
        <f>IFERROR(__xludf.DUMMYFUNCTION("GOOGLETRANSLATE(B5146,""id"",""en"")"),"['Please', 'Donk', 'Increase', 'Line', 'Klau', 'Level', 'Line', 'Leet', 'Ngak', 'Sampe', 'Sometimes',' tired ',' Wait ',' londing ',' really ',' ']")</f>
        <v>['Please', 'Donk', 'Increase', 'Line', 'Klau', 'Level', 'Line', 'Leet', 'Ngak', 'Sampe', 'Sometimes',' tired ',' Wait ',' londing ',' really ',' ']</v>
      </c>
      <c r="D5146" s="3">
        <v>5.0</v>
      </c>
    </row>
    <row r="5147" ht="15.75" customHeight="1">
      <c r="A5147" s="1">
        <v>5490.0</v>
      </c>
      <c r="B5147" s="3" t="s">
        <v>4967</v>
      </c>
      <c r="C5147" s="3" t="str">
        <f>IFERROR(__xludf.DUMMYFUNCTION("GOOGLETRANSLATE(B5147,""id"",""en"")"),"['hope', 'bnyk', 'promo', 'package', 'clock']")</f>
        <v>['hope', 'bnyk', 'promo', 'package', 'clock']</v>
      </c>
      <c r="D5147" s="3">
        <v>4.0</v>
      </c>
    </row>
    <row r="5148" ht="15.75" customHeight="1">
      <c r="A5148" s="1">
        <v>5491.0</v>
      </c>
      <c r="B5148" s="3" t="s">
        <v>4968</v>
      </c>
      <c r="C5148" s="3" t="str">
        <f>IFERROR(__xludf.DUMMYFUNCTION("GOOGLETRANSLATE(B5148,""id"",""en"")"),"['difficult', 'open']")</f>
        <v>['difficult', 'open']</v>
      </c>
      <c r="D5148" s="3">
        <v>2.0</v>
      </c>
    </row>
    <row r="5149" ht="15.75" customHeight="1">
      <c r="A5149" s="1">
        <v>5492.0</v>
      </c>
      <c r="B5149" s="3" t="s">
        <v>4969</v>
      </c>
      <c r="C5149" s="3" t="str">
        <f>IFERROR(__xludf.DUMMYFUNCTION("GOOGLETRANSLATE(B5149,""id"",""en"")"),"['Samsung', 'Application', 'Telkomsel', 'Open', 'Min', 'Screen', 'White', 'Appear', 'Uninstall', 'Clear', 'Chache']")</f>
        <v>['Samsung', 'Application', 'Telkomsel', 'Open', 'Min', 'Screen', 'White', 'Appear', 'Uninstall', 'Clear', 'Chache']</v>
      </c>
      <c r="D5149" s="3">
        <v>2.0</v>
      </c>
    </row>
    <row r="5150" ht="15.75" customHeight="1">
      <c r="A5150" s="1">
        <v>5494.0</v>
      </c>
      <c r="B5150" s="3" t="s">
        <v>4970</v>
      </c>
      <c r="C5150" s="3" t="str">
        <f>IFERROR(__xludf.DUMMYFUNCTION("GOOGLETRANSLATE(B5150,""id"",""en"")"),"['Try', 'Package', 'Internet', 'MLM', 'TOP']")</f>
        <v>['Try', 'Package', 'Internet', 'MLM', 'TOP']</v>
      </c>
      <c r="D5150" s="3">
        <v>4.0</v>
      </c>
    </row>
    <row r="5151" ht="15.75" customHeight="1">
      <c r="A5151" s="1">
        <v>5495.0</v>
      </c>
      <c r="B5151" s="3" t="s">
        <v>4971</v>
      </c>
      <c r="C5151" s="3" t="str">
        <f>IFERROR(__xludf.DUMMYFUNCTION("GOOGLETRANSLATE(B5151,""id"",""en"")"),"['Posts', 'Lost', 'Solution', '']")</f>
        <v>['Posts', 'Lost', 'Solution', '']</v>
      </c>
      <c r="D5151" s="3">
        <v>1.0</v>
      </c>
    </row>
    <row r="5152" ht="15.75" customHeight="1">
      <c r="A5152" s="1">
        <v>5496.0</v>
      </c>
      <c r="B5152" s="3" t="s">
        <v>4972</v>
      </c>
      <c r="C5152" s="3" t="str">
        <f>IFERROR(__xludf.DUMMYFUNCTION("GOOGLETRANSLATE(B5152,""id"",""en"")"),"['Network', 'Telkomsel', 'bad']")</f>
        <v>['Network', 'Telkomsel', 'bad']</v>
      </c>
      <c r="D5152" s="3">
        <v>1.0</v>
      </c>
    </row>
    <row r="5153" ht="15.75" customHeight="1">
      <c r="A5153" s="1">
        <v>5497.0</v>
      </c>
      <c r="B5153" s="3" t="s">
        <v>4973</v>
      </c>
      <c r="C5153" s="3" t="str">
        <f>IFERROR(__xludf.DUMMYFUNCTION("GOOGLETRANSLATE(B5153,""id"",""en"")"),"['Multimedia', 'Description', 'Game', 'Sosmed', 'Chat', 'TPI', 'BSA', 'Gunain', 'SLLU', 'Buffering', 'Main', 'Open', ' sosmed ',' except ',' chat ',' smooth ',' disappointed ',' use ',' Telkomsel ']")</f>
        <v>['Multimedia', 'Description', 'Game', 'Sosmed', 'Chat', 'TPI', 'BSA', 'Gunain', 'SLLU', 'Buffering', 'Main', 'Open', ' sosmed ',' except ',' chat ',' smooth ',' disappointed ',' use ',' Telkomsel ']</v>
      </c>
      <c r="D5153" s="3">
        <v>1.0</v>
      </c>
    </row>
    <row r="5154" ht="15.75" customHeight="1">
      <c r="A5154" s="1">
        <v>5498.0</v>
      </c>
      <c r="B5154" s="3" t="s">
        <v>4974</v>
      </c>
      <c r="C5154" s="3" t="str">
        <f>IFERROR(__xludf.DUMMYFUNCTION("GOOGLETRANSLATE(B5154,""id"",""en"")"),"['Service', 'simple', 'easy']")</f>
        <v>['Service', 'simple', 'easy']</v>
      </c>
      <c r="D5154" s="3">
        <v>5.0</v>
      </c>
    </row>
    <row r="5155" ht="15.75" customHeight="1">
      <c r="A5155" s="1">
        <v>5499.0</v>
      </c>
      <c r="B5155" s="3" t="s">
        <v>4975</v>
      </c>
      <c r="C5155" s="3" t="str">
        <f>IFERROR(__xludf.DUMMYFUNCTION("GOOGLETRANSLATE(B5155,""id"",""en"")"),"['update', 'blank', 'white', 'go', '']")</f>
        <v>['update', 'blank', 'white', 'go', '']</v>
      </c>
      <c r="D5155" s="3">
        <v>1.0</v>
      </c>
    </row>
    <row r="5156" ht="15.75" customHeight="1">
      <c r="A5156" s="1">
        <v>5500.0</v>
      </c>
      <c r="B5156" s="3" t="s">
        <v>4976</v>
      </c>
      <c r="C5156" s="3" t="str">
        <f>IFERROR(__xludf.DUMMYFUNCTION("GOOGLETRANSLATE(B5156,""id"",""en"")"),"['network', 'broad', 'package', 'internet', 'expensive', 'application', 'Telkomsel', 'Error', 'down', 'star', 'Males',' Mending ',' Move ',' Tri ',' Ajah ',' ']")</f>
        <v>['network', 'broad', 'package', 'internet', 'expensive', 'application', 'Telkomsel', 'Error', 'down', 'star', 'Males',' Mending ',' Move ',' Tri ',' Ajah ',' ']</v>
      </c>
      <c r="D5156" s="3">
        <v>1.0</v>
      </c>
    </row>
    <row r="5157" ht="15.75" customHeight="1">
      <c r="A5157" s="1">
        <v>5502.0</v>
      </c>
      <c r="B5157" s="3" t="s">
        <v>4977</v>
      </c>
      <c r="C5157" s="3" t="str">
        <f>IFERROR(__xludf.DUMMYFUNCTION("GOOGLETRANSLATE(B5157,""id"",""en"")"),"['noob', 'package', 'internet', 'person', 'difficult', 'gmna', 'urgent', 'skli', 'andelin', 'if', 'provider', 'Udh', ' Includes', 'Area', 'UDH', 'Ogah', 'Application', '']")</f>
        <v>['noob', 'package', 'internet', 'person', 'difficult', 'gmna', 'urgent', 'skli', 'andelin', 'if', 'provider', 'Udh', ' Includes', 'Area', 'UDH', 'Ogah', 'Application', '']</v>
      </c>
      <c r="D5157" s="3">
        <v>1.0</v>
      </c>
    </row>
    <row r="5158" ht="15.75" customHeight="1">
      <c r="A5158" s="1">
        <v>5503.0</v>
      </c>
      <c r="B5158" s="3" t="s">
        <v>4978</v>
      </c>
      <c r="C5158" s="3" t="str">
        <f>IFERROR(__xludf.DUMMYFUNCTION("GOOGLETRANSLATE(B5158,""id"",""en"")"),"['Price', 'package', 'internet', 'expensive', '']")</f>
        <v>['Price', 'package', 'internet', 'expensive', '']</v>
      </c>
      <c r="D5158" s="3">
        <v>1.0</v>
      </c>
    </row>
    <row r="5159" ht="15.75" customHeight="1">
      <c r="A5159" s="1">
        <v>5504.0</v>
      </c>
      <c r="B5159" s="3" t="s">
        <v>4979</v>
      </c>
      <c r="C5159" s="3" t="str">
        <f>IFERROR(__xludf.DUMMYFUNCTION("GOOGLETRANSLATE(B5159,""id"",""en"")"),"['Price', 'Package', 'Expensive', 'Takok']")</f>
        <v>['Price', 'Package', 'Expensive', 'Takok']</v>
      </c>
      <c r="D5159" s="3">
        <v>1.0</v>
      </c>
    </row>
    <row r="5160" ht="15.75" customHeight="1">
      <c r="A5160" s="1">
        <v>5505.0</v>
      </c>
      <c r="B5160" s="3" t="s">
        <v>4980</v>
      </c>
      <c r="C5160" s="3" t="str">
        <f>IFERROR(__xludf.DUMMYFUNCTION("GOOGLETRANSLATE(B5160,""id"",""en"")"),"['steady', 'application', 'makes it easy', 'customer', 'complete', 'buy', 'quota', 'pulse', 'package', 'other']")</f>
        <v>['steady', 'application', 'makes it easy', 'customer', 'complete', 'buy', 'quota', 'pulse', 'package', 'other']</v>
      </c>
      <c r="D5160" s="3">
        <v>5.0</v>
      </c>
    </row>
    <row r="5161" ht="15.75" customHeight="1">
      <c r="A5161" s="1">
        <v>5506.0</v>
      </c>
      <c r="B5161" s="3" t="s">
        <v>4981</v>
      </c>
      <c r="C5161" s="3" t="str">
        <f>IFERROR(__xludf.DUMMYFUNCTION("GOOGLETRANSLATE(B5161,""id"",""en"")"),"['signal', 'deteriorating', 'Telkomsel', 'good', 'missing', 'strange', 'lose', 'card', 'qek', 'qek', 'please', 'fix', ' System ',' Network ',' Telkomsel ',' Good ',' ']")</f>
        <v>['signal', 'deteriorating', 'Telkomsel', 'good', 'missing', 'strange', 'lose', 'card', 'qek', 'qek', 'please', 'fix', ' System ',' Network ',' Telkomsel ',' Good ',' ']</v>
      </c>
      <c r="D5161" s="3">
        <v>1.0</v>
      </c>
    </row>
    <row r="5162" ht="15.75" customHeight="1">
      <c r="A5162" s="1">
        <v>5507.0</v>
      </c>
      <c r="B5162" s="3" t="s">
        <v>4982</v>
      </c>
      <c r="C5162" s="3" t="str">
        <f>IFERROR(__xludf.DUMMYFUNCTION("GOOGLETRANSLATE(B5162,""id"",""en"")"),"['Price', 'quota', 'GB', 'thousand', 'down', 'ride']")</f>
        <v>['Price', 'quota', 'GB', 'thousand', 'down', 'ride']</v>
      </c>
      <c r="D5162" s="3">
        <v>2.0</v>
      </c>
    </row>
    <row r="5163" ht="15.75" customHeight="1">
      <c r="A5163" s="1">
        <v>5508.0</v>
      </c>
      <c r="B5163" s="3" t="s">
        <v>4983</v>
      </c>
      <c r="C5163" s="3" t="str">
        <f>IFERROR(__xludf.DUMMYFUNCTION("GOOGLETRANSLATE(B5163,""id"",""en"")"),"['Udh', 'difficult', 'login', '']")</f>
        <v>['Udh', 'difficult', 'login', '']</v>
      </c>
      <c r="D5163" s="3">
        <v>1.0</v>
      </c>
    </row>
    <row r="5164" ht="15.75" customHeight="1">
      <c r="A5164" s="1">
        <v>5509.0</v>
      </c>
      <c r="B5164" s="3" t="s">
        <v>4984</v>
      </c>
      <c r="C5164" s="3" t="str">
        <f>IFERROR(__xludf.DUMMYFUNCTION("GOOGLETRANSLATE(B5164,""id"",""en"")"),"['Fix', 'signal', 'play', 'game', 'lost', 'signal', 'ad', 'play', 'promote', 'like', 'forest', 'can', ' signal ',' area ',' city ',' TPI ',' like ',' lost ',' signal ',' oath ',' satisfying ', ""]")</f>
        <v>['Fix', 'signal', 'play', 'game', 'lost', 'signal', 'ad', 'play', 'promote', 'like', 'forest', 'can', ' signal ',' area ',' city ',' TPI ',' like ',' lost ',' signal ',' oath ',' satisfying ', "]</v>
      </c>
      <c r="D5164" s="3">
        <v>1.0</v>
      </c>
    </row>
    <row r="5165" ht="15.75" customHeight="1">
      <c r="A5165" s="1">
        <v>5510.0</v>
      </c>
      <c r="B5165" s="3" t="s">
        <v>4985</v>
      </c>
      <c r="C5165" s="3" t="str">
        <f>IFERROR(__xludf.DUMMYFUNCTION("GOOGLETRANSLATE(B5165,""id"",""en"")"),"['users',' Telkomsel ',' smooth ',' Speed ​​',' internet ',' connection ',' internet ',' slow ',' price ',' package ',' according to ',' speed ',' internet ',' open ',' Telkomsel ',' slow ',' severe ',' already ',' setting ',' mode ',' anything ',' slow '"&amp;",' run ',' kb ',' mb ' , 'KB', 'KB', 'Open', 'Sosmed', 'Tiktok', 'Lemot', 'Severe', 'Stay', 'City', 'The Network', 'Doang', 'Internet', ' Severe ',' slow ',' ']")</f>
        <v>['users',' Telkomsel ',' smooth ',' Speed ​​',' internet ',' connection ',' internet ',' slow ',' price ',' package ',' according to ',' speed ',' internet ',' open ',' Telkomsel ',' slow ',' severe ',' already ',' setting ',' mode ',' anything ',' slow ',' run ',' kb ',' mb ' , 'KB', 'KB', 'Open', 'Sosmed', 'Tiktok', 'Lemot', 'Severe', 'Stay', 'City', 'The Network', 'Doang', 'Internet', ' Severe ',' slow ',' ']</v>
      </c>
      <c r="D5165" s="3">
        <v>1.0</v>
      </c>
    </row>
    <row r="5166" ht="15.75" customHeight="1">
      <c r="A5166" s="1">
        <v>5511.0</v>
      </c>
      <c r="B5166" s="3" t="s">
        <v>4986</v>
      </c>
      <c r="C5166" s="3" t="str">
        <f>IFERROR(__xludf.DUMMYFUNCTION("GOOGLETRANSLATE(B5166,""id"",""en"")"),"['Gabisa', 'enter', 'White', 'Screen', 'APK', 'Damaged', '']")</f>
        <v>['Gabisa', 'enter', 'White', 'Screen', 'APK', 'Damaged', '']</v>
      </c>
      <c r="D5166" s="3">
        <v>1.0</v>
      </c>
    </row>
    <row r="5167" ht="15.75" customHeight="1">
      <c r="A5167" s="1">
        <v>5512.0</v>
      </c>
      <c r="B5167" s="3" t="s">
        <v>4987</v>
      </c>
      <c r="C5167" s="3" t="str">
        <f>IFERROR(__xludf.DUMMYFUNCTION("GOOGLETRANSLATE(B5167,""id"",""en"")"),"['update', 'apk', 'Telkomsel', 'opened', 'screen', 'color', 'white', 'spec', 'cellphone', 'supports',' essence ',' smga ',' In the future ',' opened ', ""]")</f>
        <v>['update', 'apk', 'Telkomsel', 'opened', 'screen', 'color', 'white', 'spec', 'cellphone', 'supports',' essence ',' smga ',' In the future ',' opened ', "]</v>
      </c>
      <c r="D5167" s="3">
        <v>4.0</v>
      </c>
    </row>
    <row r="5168" ht="15.75" customHeight="1">
      <c r="A5168" s="1">
        <v>5513.0</v>
      </c>
      <c r="B5168" s="3" t="s">
        <v>4988</v>
      </c>
      <c r="C5168" s="3" t="str">
        <f>IFERROR(__xludf.DUMMYFUNCTION("GOOGLETRANSLATE(B5168,""id"",""en"")"),"['Credit', 'Cutting', 'Data', 'Turn Off', 'WiFi', 'Please', 'Gimanasiii', ""]")</f>
        <v>['Credit', 'Cutting', 'Data', 'Turn Off', 'WiFi', 'Please', 'Gimanasiii', "]</v>
      </c>
      <c r="D5168" s="3">
        <v>1.0</v>
      </c>
    </row>
    <row r="5169" ht="15.75" customHeight="1">
      <c r="A5169" s="1">
        <v>5514.0</v>
      </c>
      <c r="B5169" s="3" t="s">
        <v>4989</v>
      </c>
      <c r="C5169" s="3" t="str">
        <f>IFERROR(__xludf.DUMMYFUNCTION("GOOGLETRANSLATE(B5169,""id"",""en"")"),"['How', 'DPT', 'Points', 'Fill', 'Credit', '']")</f>
        <v>['How', 'DPT', 'Points', 'Fill', 'Credit', '']</v>
      </c>
      <c r="D5169" s="3">
        <v>5.0</v>
      </c>
    </row>
    <row r="5170" ht="15.75" customHeight="1">
      <c r="A5170" s="1">
        <v>5517.0</v>
      </c>
      <c r="B5170" s="3" t="s">
        <v>4990</v>
      </c>
      <c r="C5170" s="3" t="str">
        <f>IFERROR(__xludf.DUMMYFUNCTION("GOOGLETRANSLATE(B5170,""id"",""en"")"),"['Abis', 'update', 'opened', 'min', '']")</f>
        <v>['Abis', 'update', 'opened', 'min', '']</v>
      </c>
      <c r="D5170" s="3">
        <v>5.0</v>
      </c>
    </row>
    <row r="5171" ht="15.75" customHeight="1">
      <c r="A5171" s="1">
        <v>5518.0</v>
      </c>
      <c r="B5171" s="3" t="s">
        <v>4991</v>
      </c>
      <c r="C5171" s="3" t="str">
        <f>IFERROR(__xludf.DUMMYFUNCTION("GOOGLETRANSLATE(B5171,""id"",""en"")"),"['', 'Enter', 'see', 'balance', 'complicated', 'really', 'use', 'Link', 'Sgala', ""]")</f>
        <v>['', 'Enter', 'see', 'balance', 'complicated', 'really', 'use', 'Link', 'Sgala', "]</v>
      </c>
      <c r="D5171" s="3">
        <v>1.0</v>
      </c>
    </row>
    <row r="5172" ht="15.75" customHeight="1">
      <c r="A5172" s="1">
        <v>5519.0</v>
      </c>
      <c r="B5172" s="3" t="s">
        <v>4992</v>
      </c>
      <c r="C5172" s="3" t="str">
        <f>IFERROR(__xludf.DUMMYFUNCTION("GOOGLETRANSLATE(B5172,""id"",""en"")"),"['activate', 'SMS', 'Roaming', 'International', 'Non', 'Android', '']")</f>
        <v>['activate', 'SMS', 'Roaming', 'International', 'Non', 'Android', '']</v>
      </c>
      <c r="D5172" s="3">
        <v>3.0</v>
      </c>
    </row>
    <row r="5173" ht="15.75" customHeight="1">
      <c r="A5173" s="1">
        <v>5520.0</v>
      </c>
      <c r="B5173" s="3" t="s">
        <v>4993</v>
      </c>
      <c r="C5173" s="3" t="str">
        <f>IFERROR(__xludf.DUMMYFUNCTION("GOOGLETRANSLATE(B5173,""id"",""en"")"),"['Good', 'leftover', 'leftover', 'quota']")</f>
        <v>['Good', 'leftover', 'leftover', 'quota']</v>
      </c>
      <c r="D5173" s="3">
        <v>5.0</v>
      </c>
    </row>
    <row r="5174" ht="15.75" customHeight="1">
      <c r="A5174" s="1">
        <v>5521.0</v>
      </c>
      <c r="B5174" s="3" t="s">
        <v>4994</v>
      </c>
      <c r="C5174" s="3" t="str">
        <f>IFERROR(__xludf.DUMMYFUNCTION("GOOGLETRANSLATE(B5174,""id"",""en"")"),"['no', 'open', 'the application', '']")</f>
        <v>['no', 'open', 'the application', '']</v>
      </c>
      <c r="D5174" s="3">
        <v>4.0</v>
      </c>
    </row>
    <row r="5175" ht="15.75" customHeight="1">
      <c r="A5175" s="1">
        <v>5524.0</v>
      </c>
      <c r="B5175" s="3" t="s">
        <v>4995</v>
      </c>
      <c r="C5175" s="3" t="str">
        <f>IFERROR(__xludf.DUMMYFUNCTION("GOOGLETRANSLATE(B5175,""id"",""en"")"),"['', 'UDH', 'Download', 'Open']")</f>
        <v>['', 'UDH', 'Download', 'Open']</v>
      </c>
      <c r="D5175" s="3">
        <v>1.0</v>
      </c>
    </row>
    <row r="5176" ht="15.75" customHeight="1">
      <c r="A5176" s="1">
        <v>5525.0</v>
      </c>
      <c r="B5176" s="3" t="s">
        <v>4996</v>
      </c>
      <c r="C5176" s="3" t="str">
        <f>IFERROR(__xludf.DUMMYFUNCTION("GOOGLETRANSLATE(B5176,""id"",""en"")"),"['Open', 'The application', 'please', 'repaired', 'Samsung', 'Galaxy', 'RAM', '']")</f>
        <v>['Open', 'The application', 'please', 'repaired', 'Samsung', 'Galaxy', 'RAM', '']</v>
      </c>
      <c r="D5176" s="3">
        <v>1.0</v>
      </c>
    </row>
    <row r="5177" ht="15.75" customHeight="1">
      <c r="A5177" s="1">
        <v>5526.0</v>
      </c>
      <c r="B5177" s="3" t="s">
        <v>4997</v>
      </c>
      <c r="C5177" s="3" t="str">
        <f>IFERROR(__xludf.DUMMYFUNCTION("GOOGLETRANSLATE(B5177,""id"",""en"")"),"['Best', 'Telkomsel', 'biyar', 'first', 'superior']")</f>
        <v>['Best', 'Telkomsel', 'biyar', 'first', 'superior']</v>
      </c>
      <c r="D5177" s="3">
        <v>3.0</v>
      </c>
    </row>
    <row r="5178" ht="15.75" customHeight="1">
      <c r="A5178" s="1">
        <v>5527.0</v>
      </c>
      <c r="B5178" s="3" t="s">
        <v>4998</v>
      </c>
      <c r="C5178" s="3" t="str">
        <f>IFERROR(__xludf.DUMMYFUNCTION("GOOGLETRANSLATE(B5178,""id"",""en"")"),"['Telkomsel', 'The', 'Best', 'Telkomsel', 'Jamin', 'BNYK', 'Fortunately', ""]")</f>
        <v>['Telkomsel', 'The', 'Best', 'Telkomsel', 'Jamin', 'BNYK', 'Fortunately', "]</v>
      </c>
      <c r="D5178" s="3">
        <v>5.0</v>
      </c>
    </row>
    <row r="5179" ht="15.75" customHeight="1">
      <c r="A5179" s="1">
        <v>5528.0</v>
      </c>
      <c r="B5179" s="3" t="s">
        <v>4999</v>
      </c>
      <c r="C5179" s="3" t="str">
        <f>IFERROR(__xludf.DUMMYFUNCTION("GOOGLETRANSLATE(B5179,""id"",""en"")"),"['Pakel', 'Out', 'Quota', 'Main', 'Quota', 'Game', 'Media', 'Promise', 'Sweet', 'Doang', 'Game', 'Ngk', ' can be able to ',' Blum ',' Blum ',' Game ',' BLI ',' PKET ',' Kasi ',' Bonus', 'PLSA', 'NGK', 'BSA', 'Network', 'Ngk' , 'stable', '']")</f>
        <v>['Pakel', 'Out', 'Quota', 'Main', 'Quota', 'Game', 'Media', 'Promise', 'Sweet', 'Doang', 'Game', 'Ngk', ' can be able to ',' Blum ',' Blum ',' Game ',' BLI ',' PKET ',' Kasi ',' Bonus', 'PLSA', 'NGK', 'BSA', 'Network', 'Ngk' , 'stable', '']</v>
      </c>
      <c r="D5179" s="3">
        <v>1.0</v>
      </c>
    </row>
    <row r="5180" ht="15.75" customHeight="1">
      <c r="A5180" s="1">
        <v>5529.0</v>
      </c>
      <c r="B5180" s="3" t="s">
        <v>5000</v>
      </c>
      <c r="C5180" s="3" t="str">
        <f>IFERROR(__xludf.DUMMYFUNCTION("GOOGLETRANSLATE(B5180,""id"",""en"")"),"['quota', 'mmahal', 'network', 'stable']")</f>
        <v>['quota', 'mmahal', 'network', 'stable']</v>
      </c>
      <c r="D5180" s="3">
        <v>1.0</v>
      </c>
    </row>
    <row r="5181" ht="15.75" customHeight="1">
      <c r="A5181" s="1">
        <v>5530.0</v>
      </c>
      <c r="B5181" s="3" t="s">
        <v>5001</v>
      </c>
      <c r="C5181" s="3" t="str">
        <f>IFERROR(__xludf.DUMMYFUNCTION("GOOGLETRANSLATE(B5181,""id"",""en"")"),"['Telkomsel', 'poor', 'sinynyal', 'smooth', 'apalg', 'area', 'signal', 'open', 'youtube', 'kenda', 'please', 'fix', ' ']")</f>
        <v>['Telkomsel', 'poor', 'sinynyal', 'smooth', 'apalg', 'area', 'signal', 'open', 'youtube', 'kenda', 'please', 'fix', ' ']</v>
      </c>
      <c r="D5181" s="3">
        <v>3.0</v>
      </c>
    </row>
    <row r="5182" ht="15.75" customHeight="1">
      <c r="A5182" s="1">
        <v>5531.0</v>
      </c>
      <c r="B5182" s="3" t="s">
        <v>5002</v>
      </c>
      <c r="C5182" s="3" t="str">
        <f>IFERROR(__xludf.DUMMYFUNCTION("GOOGLETRANSLATE(B5182,""id"",""en"")"),"['Current', 'tasty', 'used']")</f>
        <v>['Current', 'tasty', 'used']</v>
      </c>
      <c r="D5182" s="3">
        <v>5.0</v>
      </c>
    </row>
    <row r="5183" ht="15.75" customHeight="1">
      <c r="A5183" s="1">
        <v>5532.0</v>
      </c>
      <c r="B5183" s="3" t="s">
        <v>5003</v>
      </c>
      <c r="C5183" s="3" t="str">
        <f>IFERROR(__xludf.DUMMYFUNCTION("GOOGLETRANSLATE(B5183,""id"",""en"")"),"['hate', 'really', 'me', 'network', 'kaga', 'karuan', 'fiks', 'replace']")</f>
        <v>['hate', 'really', 'me', 'network', 'kaga', 'karuan', 'fiks', 'replace']</v>
      </c>
      <c r="D5183" s="3">
        <v>1.0</v>
      </c>
    </row>
    <row r="5184" ht="15.75" customHeight="1">
      <c r="A5184" s="1">
        <v>5533.0</v>
      </c>
      <c r="B5184" s="3" t="s">
        <v>5004</v>
      </c>
      <c r="C5184" s="3" t="str">
        <f>IFERROR(__xludf.DUMMYFUNCTION("GOOGLETRANSLATE(B5184,""id"",""en"")"),"['Signal', 'bad', 'price', 'expensive', 'equivalent', 'price', 'Perfoma', 'please', 'min', 'in the city', 'Jambi', 'signal', ' Like it]")</f>
        <v>['Signal', 'bad', 'price', 'expensive', 'equivalent', 'price', 'Perfoma', 'please', 'min', 'in the city', 'Jambi', 'signal', ' Like it]</v>
      </c>
      <c r="D5184" s="3">
        <v>1.0</v>
      </c>
    </row>
    <row r="5185" ht="15.75" customHeight="1">
      <c r="A5185" s="1">
        <v>5534.0</v>
      </c>
      <c r="B5185" s="3" t="s">
        <v>5005</v>
      </c>
      <c r="C5185" s="3" t="str">
        <f>IFERROR(__xludf.DUMMYFUNCTION("GOOGLETRANSLATE(B5185,""id"",""en"")"),"['Sorry', 'mas', 'the application', 'Samsung', 'already', 'install', 'right', 'open', 'ngefreeze', 'the application']")</f>
        <v>['Sorry', 'mas', 'the application', 'Samsung', 'already', 'install', 'right', 'open', 'ngefreeze', 'the application']</v>
      </c>
      <c r="D5185" s="3">
        <v>1.0</v>
      </c>
    </row>
    <row r="5186" ht="15.75" customHeight="1">
      <c r="A5186" s="1">
        <v>5535.0</v>
      </c>
      <c r="B5186" s="3" t="s">
        <v>2929</v>
      </c>
      <c r="C5186" s="3" t="str">
        <f>IFERROR(__xludf.DUMMYFUNCTION("GOOGLETRANSLATE(B5186,""id"",""en"")"),"['Update', 'opened', '']")</f>
        <v>['Update', 'opened', '']</v>
      </c>
      <c r="D5186" s="3">
        <v>2.0</v>
      </c>
    </row>
    <row r="5187" ht="15.75" customHeight="1">
      <c r="A5187" s="1">
        <v>5536.0</v>
      </c>
      <c r="B5187" s="3" t="s">
        <v>5006</v>
      </c>
      <c r="C5187" s="3" t="str">
        <f>IFERROR(__xludf.DUMMYFUNCTION("GOOGLETRANSLATE(B5187,""id"",""en"")"),"['App', 'Telkomsel', 'Braga', 'Display', 'App', 'White', 'blank']")</f>
        <v>['App', 'Telkomsel', 'Braga', 'Display', 'App', 'White', 'blank']</v>
      </c>
      <c r="D5187" s="3">
        <v>1.0</v>
      </c>
    </row>
    <row r="5188" ht="15.75" customHeight="1">
      <c r="A5188" s="1">
        <v>5537.0</v>
      </c>
      <c r="B5188" s="3" t="s">
        <v>5007</v>
      </c>
      <c r="C5188" s="3" t="str">
        <f>IFERROR(__xludf.DUMMYFUNCTION("GOOGLETRANSLATE(B5188,""id"",""en"")"),"['card', 'upgrade', 'card', 'hello', 'pay', 'quota', 'enter', 'call', 'center', 'payment', 'quota', 'increase', ' money ',' Angus']")</f>
        <v>['card', 'upgrade', 'card', 'hello', 'pay', 'quota', 'enter', 'call', 'center', 'payment', 'quota', 'increase', ' money ',' Angus']</v>
      </c>
      <c r="D5188" s="3">
        <v>1.0</v>
      </c>
    </row>
    <row r="5189" ht="15.75" customHeight="1">
      <c r="A5189" s="1">
        <v>5538.0</v>
      </c>
      <c r="B5189" s="3" t="s">
        <v>5008</v>
      </c>
      <c r="C5189" s="3" t="str">
        <f>IFERROR(__xludf.DUMMYFUNCTION("GOOGLETRANSLATE(B5189,""id"",""en"")"),"['Satisfied', 'Service', '']")</f>
        <v>['Satisfied', 'Service', '']</v>
      </c>
      <c r="D5189" s="3">
        <v>5.0</v>
      </c>
    </row>
    <row r="5190" ht="15.75" customHeight="1">
      <c r="A5190" s="1">
        <v>5539.0</v>
      </c>
      <c r="B5190" s="3" t="s">
        <v>5009</v>
      </c>
      <c r="C5190" s="3" t="str">
        <f>IFERROR(__xludf.DUMMYFUNCTION("GOOGLETRANSLATE(B5190,""id"",""en"")"),"['Buy', 'Package', 'Suprise', 'Deal', 'RB', 'GB', 'Payment', 'Enter', 'Package', 'Price', 'Rb', 'Fucked', ' Application ',' Please ',' Help ',' Refund ',' Program ',' Surprise ',' Deal ',' Live ',' Clock ', ""]")</f>
        <v>['Buy', 'Package', 'Suprise', 'Deal', 'RB', 'GB', 'Payment', 'Enter', 'Package', 'Price', 'Rb', 'Fucked', ' Application ',' Please ',' Help ',' Refund ',' Program ',' Surprise ',' Deal ',' Live ',' Clock ', "]</v>
      </c>
      <c r="D5190" s="3">
        <v>1.0</v>
      </c>
    </row>
    <row r="5191" ht="15.75" customHeight="1">
      <c r="A5191" s="1">
        <v>5540.0</v>
      </c>
      <c r="B5191" s="3" t="s">
        <v>5010</v>
      </c>
      <c r="C5191" s="3" t="str">
        <f>IFERROR(__xludf.DUMMYFUNCTION("GOOGLETRANSLATE(B5191,""id"",""en"")"),"['play', 'game', 'signal', 'ilang', 'recover', 'network', 'full', 'user', 'telkom', 'disturb', 'pause', 'signal', ' is lost']")</f>
        <v>['play', 'game', 'signal', 'ilang', 'recover', 'network', 'full', 'user', 'telkom', 'disturb', 'pause', 'signal', ' is lost']</v>
      </c>
      <c r="D5191" s="3">
        <v>2.0</v>
      </c>
    </row>
    <row r="5192" ht="15.75" customHeight="1">
      <c r="A5192" s="1">
        <v>5541.0</v>
      </c>
      <c r="B5192" s="3" t="s">
        <v>5011</v>
      </c>
      <c r="C5192" s="3" t="str">
        <f>IFERROR(__xludf.DUMMYFUNCTION("GOOGLETRANSLATE(B5192,""id"",""en"")"),"['Thinking', 'Asiles', 'Nearulin', 'Network', 'Disruption']")</f>
        <v>['Thinking', 'Asiles', 'Nearulin', 'Network', 'Disruption']</v>
      </c>
      <c r="D5192" s="3">
        <v>1.0</v>
      </c>
    </row>
    <row r="5193" ht="15.75" customHeight="1">
      <c r="A5193" s="1">
        <v>5542.0</v>
      </c>
      <c r="B5193" s="3" t="s">
        <v>5012</v>
      </c>
      <c r="C5193" s="3" t="str">
        <f>IFERROR(__xludf.DUMMYFUNCTION("GOOGLETRANSLATE(B5193,""id"",""en"")"),"['boss', 'application', 'cave', 'kagak', 'opened', 'already', 'a month', 'assisted', 'boss', '']")</f>
        <v>['boss', 'application', 'cave', 'kagak', 'opened', 'already', 'a month', 'assisted', 'boss', '']</v>
      </c>
      <c r="D5193" s="3">
        <v>1.0</v>
      </c>
    </row>
    <row r="5194" ht="15.75" customHeight="1">
      <c r="A5194" s="1">
        <v>5543.0</v>
      </c>
      <c r="B5194" s="3" t="s">
        <v>5013</v>
      </c>
      <c r="C5194" s="3" t="str">
        <f>IFERROR(__xludf.DUMMYFUNCTION("GOOGLETRANSLATE(B5194,""id"",""en"")"),"['use', 'Try', 'Starlink', 'Enter', 'Disband', 'Telkomsel', 'expensive', 'Signal', 'Leet', '']")</f>
        <v>['use', 'Try', 'Starlink', 'Enter', 'Disband', 'Telkomsel', 'expensive', 'Signal', 'Leet', '']</v>
      </c>
      <c r="D5194" s="3">
        <v>1.0</v>
      </c>
    </row>
    <row r="5195" ht="15.75" customHeight="1">
      <c r="A5195" s="1">
        <v>5544.0</v>
      </c>
      <c r="B5195" s="3" t="s">
        <v>5014</v>
      </c>
      <c r="C5195" s="3" t="str">
        <f>IFERROR(__xludf.DUMMYFUNCTION("GOOGLETRANSLATE(B5195,""id"",""en"")"),"['Bagus', '']")</f>
        <v>['Bagus', '']</v>
      </c>
      <c r="D5195" s="3">
        <v>1.0</v>
      </c>
    </row>
    <row r="5196" ht="15.75" customHeight="1">
      <c r="A5196" s="1">
        <v>5545.0</v>
      </c>
      <c r="B5196" s="3" t="s">
        <v>5015</v>
      </c>
      <c r="C5196" s="3" t="str">
        <f>IFERROR(__xludf.DUMMYFUNCTION("GOOGLETRANSLATE(B5196,""id"",""en"")"),"['satisfying', 'steady']")</f>
        <v>['satisfying', 'steady']</v>
      </c>
      <c r="D5196" s="3">
        <v>5.0</v>
      </c>
    </row>
    <row r="5197" ht="15.75" customHeight="1">
      <c r="A5197" s="1">
        <v>5546.0</v>
      </c>
      <c r="B5197" s="3" t="s">
        <v>5016</v>
      </c>
      <c r="C5197" s="3" t="str">
        <f>IFERROR(__xludf.DUMMYFUNCTION("GOOGLETRANSLATE(B5197,""id"",""en"")"),"['Package', 'Divided', 'Regular', 'Sosmet', 'Knp', 'Package', 'Regular', 'Sumpot', 'Trs', 'Abis', 'Open', ""]")</f>
        <v>['Package', 'Divided', 'Regular', 'Sosmet', 'Knp', 'Package', 'Regular', 'Sumpot', 'Trs', 'Abis', 'Open', "]</v>
      </c>
      <c r="D5197" s="3">
        <v>1.0</v>
      </c>
    </row>
    <row r="5198" ht="15.75" customHeight="1">
      <c r="A5198" s="1">
        <v>5547.0</v>
      </c>
      <c r="B5198" s="3" t="s">
        <v>5017</v>
      </c>
      <c r="C5198" s="3" t="str">
        <f>IFERROR(__xludf.DUMMYFUNCTION("GOOGLETRANSLATE(B5198,""id"",""en"")"),"['Update', 'December', 'Apps', 'opened', 'White', 'Screen', 'Direct', 'Force', 'Closed', ""]")</f>
        <v>['Update', 'December', 'Apps', 'opened', 'White', 'Screen', 'Direct', 'Force', 'Closed', "]</v>
      </c>
      <c r="D5198" s="3">
        <v>1.0</v>
      </c>
    </row>
    <row r="5199" ht="15.75" customHeight="1">
      <c r="A5199" s="1">
        <v>5548.0</v>
      </c>
      <c r="B5199" s="3" t="s">
        <v>5018</v>
      </c>
      <c r="C5199" s="3" t="str">
        <f>IFERROR(__xludf.DUMMYFUNCTION("GOOGLETRANSLATE(B5199,""id"",""en"")"),"['Thank you', 'Jaringgan', 'Strong', 'Sangat', 'Helping', 'Activities', 'Work', 'Driver', 'Ojol', 'Online', 'Semangat', ""]")</f>
        <v>['Thank you', 'Jaringgan', 'Strong', 'Sangat', 'Helping', 'Activities', 'Work', 'Driver', 'Ojol', 'Online', 'Semangat', "]</v>
      </c>
      <c r="D5199" s="3">
        <v>5.0</v>
      </c>
    </row>
    <row r="5200" ht="15.75" customHeight="1">
      <c r="A5200" s="1">
        <v>5549.0</v>
      </c>
      <c r="B5200" s="3" t="s">
        <v>5019</v>
      </c>
      <c r="C5200" s="3" t="str">
        <f>IFERROR(__xludf.DUMMYFUNCTION("GOOGLETRANSLATE(B5200,""id"",""en"")"),"['Disappointed', 'card', 'first', 'class',' Telkomsel ',' just ',' open ',' data ',' for a while ',' finished ',' pulse ',' suck ',' Activitation ',' payment ',' package ',' process']")</f>
        <v>['Disappointed', 'card', 'first', 'class',' Telkomsel ',' just ',' open ',' data ',' for a while ',' finished ',' pulse ',' suck ',' Activitation ',' payment ',' package ',' process']</v>
      </c>
      <c r="D5200" s="3">
        <v>1.0</v>
      </c>
    </row>
    <row r="5201" ht="15.75" customHeight="1">
      <c r="A5201" s="1">
        <v>5550.0</v>
      </c>
      <c r="B5201" s="3" t="s">
        <v>5020</v>
      </c>
      <c r="C5201" s="3" t="str">
        <f>IFERROR(__xludf.DUMMYFUNCTION("GOOGLETRANSLATE(B5201,""id"",""en"")"),"['Hopefully', 'cheap', 'smooth', 'network', 'village', 'village', '']")</f>
        <v>['Hopefully', 'cheap', 'smooth', 'network', 'village', 'village', '']</v>
      </c>
      <c r="D5201" s="3">
        <v>5.0</v>
      </c>
    </row>
    <row r="5202" ht="15.75" customHeight="1">
      <c r="A5202" s="1">
        <v>5551.0</v>
      </c>
      <c r="B5202" s="3" t="s">
        <v>5021</v>
      </c>
      <c r="C5202" s="3" t="str">
        <f>IFERROR(__xludf.DUMMYFUNCTION("GOOGLETRANSLATE(B5202,""id"",""en"")"),"['Thank you', 'min', 'package', 'data', 'already', 'cheap']")</f>
        <v>['Thank you', 'min', 'package', 'data', 'already', 'cheap']</v>
      </c>
      <c r="D5202" s="3">
        <v>4.0</v>
      </c>
    </row>
    <row r="5203" ht="15.75" customHeight="1">
      <c r="A5203" s="1">
        <v>5552.0</v>
      </c>
      <c r="B5203" s="3" t="s">
        <v>5022</v>
      </c>
      <c r="C5203" s="3" t="str">
        <f>IFERROR(__xludf.DUMMYFUNCTION("GOOGLETRANSLATE(B5203,""id"",""en"")"),"['Please', 'Network', 'Enhanced']")</f>
        <v>['Please', 'Network', 'Enhanced']</v>
      </c>
      <c r="D5203" s="3">
        <v>5.0</v>
      </c>
    </row>
    <row r="5204" ht="15.75" customHeight="1">
      <c r="A5204" s="1">
        <v>5553.0</v>
      </c>
      <c r="B5204" s="3" t="s">
        <v>5023</v>
      </c>
      <c r="C5204" s="3" t="str">
        <f>IFERROR(__xludf.DUMMYFUNCTION("GOOGLETRANSLATE(B5204,""id"",""en"")"),"['opened', 'depends', 'type', 'HP', '']")</f>
        <v>['opened', 'depends', 'type', 'HP', '']</v>
      </c>
      <c r="D5204" s="3">
        <v>2.0</v>
      </c>
    </row>
    <row r="5205" ht="15.75" customHeight="1">
      <c r="A5205" s="1">
        <v>5554.0</v>
      </c>
      <c r="B5205" s="3" t="s">
        <v>5024</v>
      </c>
      <c r="C5205" s="3" t="str">
        <f>IFERROR(__xludf.DUMMYFUNCTION("GOOGLETRANSLATE(B5205,""id"",""en"")"),"['Please', 'Overcome', 'Cutting', 'Credit', '']")</f>
        <v>['Please', 'Overcome', 'Cutting', 'Credit', '']</v>
      </c>
      <c r="D5205" s="3">
        <v>3.0</v>
      </c>
    </row>
    <row r="5206" ht="15.75" customHeight="1">
      <c r="A5206" s="1">
        <v>5555.0</v>
      </c>
      <c r="B5206" s="3" t="s">
        <v>5025</v>
      </c>
      <c r="C5206" s="3" t="str">
        <f>IFERROR(__xludf.DUMMYFUNCTION("GOOGLETRANSLATE(B5206,""id"",""en"")"),"['Disappointed', 'signal', 'Telkomsel', 'comfortable', 'detrimental', 'customer']")</f>
        <v>['Disappointed', 'signal', 'Telkomsel', 'comfortable', 'detrimental', 'customer']</v>
      </c>
      <c r="D5206" s="3">
        <v>1.0</v>
      </c>
    </row>
    <row r="5207" ht="15.75" customHeight="1">
      <c r="A5207" s="1">
        <v>5556.0</v>
      </c>
      <c r="B5207" s="3" t="s">
        <v>5026</v>
      </c>
      <c r="C5207" s="3" t="str">
        <f>IFERROR(__xludf.DUMMYFUNCTION("GOOGLETRANSLATE(B5207,""id"",""en"")"),"['Easy', 'use', 'Telkomsel']")</f>
        <v>['Easy', 'use', 'Telkomsel']</v>
      </c>
      <c r="D5207" s="3">
        <v>5.0</v>
      </c>
    </row>
    <row r="5208" ht="15.75" customHeight="1">
      <c r="A5208" s="1">
        <v>5557.0</v>
      </c>
      <c r="B5208" s="3" t="s">
        <v>5027</v>
      </c>
      <c r="C5208" s="3" t="str">
        <f>IFERROR(__xludf.DUMMYFUNCTION("GOOGLETRANSLATE(B5208,""id"",""en"")"),"['package', 'expensive', 'signal', 'battered', '']")</f>
        <v>['package', 'expensive', 'signal', 'battered', '']</v>
      </c>
      <c r="D5208" s="3">
        <v>1.0</v>
      </c>
    </row>
    <row r="5209" ht="15.75" customHeight="1">
      <c r="A5209" s="1">
        <v>5558.0</v>
      </c>
      <c r="B5209" s="3" t="s">
        <v>5028</v>
      </c>
      <c r="C5209" s="3" t="str">
        <f>IFERROR(__xludf.DUMMYFUNCTION("GOOGLETRANSLATE(B5209,""id"",""en"")"),"['Ngadat', 'signal', 'data', 'skrng', 'Telkomsel', 'please', 'fix', '']")</f>
        <v>['Ngadat', 'signal', 'data', 'skrng', 'Telkomsel', 'please', 'fix', '']</v>
      </c>
      <c r="D5209" s="3">
        <v>5.0</v>
      </c>
    </row>
    <row r="5210" ht="15.75" customHeight="1">
      <c r="A5210" s="1">
        <v>5559.0</v>
      </c>
      <c r="B5210" s="3" t="s">
        <v>5029</v>
      </c>
      <c r="C5210" s="3" t="str">
        <f>IFERROR(__xludf.DUMMYFUNCTION("GOOGLETRANSLATE(B5210,""id"",""en"")"),"['Enggk', 'pulses', 'owe', 'how']")</f>
        <v>['Enggk', 'pulses', 'owe', 'how']</v>
      </c>
      <c r="D5210" s="3">
        <v>1.0</v>
      </c>
    </row>
    <row r="5211" ht="15.75" customHeight="1">
      <c r="A5211" s="1">
        <v>5560.0</v>
      </c>
      <c r="B5211" s="3" t="s">
        <v>5030</v>
      </c>
      <c r="C5211" s="3" t="str">
        <f>IFERROR(__xludf.DUMMYFUNCTION("GOOGLETRANSLATE(B5211,""id"",""en"")"),"['donlod', 'smooth', 'error']")</f>
        <v>['donlod', 'smooth', 'error']</v>
      </c>
      <c r="D5211" s="3">
        <v>2.0</v>
      </c>
    </row>
    <row r="5212" ht="15.75" customHeight="1">
      <c r="A5212" s="1">
        <v>5561.0</v>
      </c>
      <c r="B5212" s="3" t="s">
        <v>5031</v>
      </c>
      <c r="C5212" s="3" t="str">
        <f>IFERROR(__xludf.DUMMYFUNCTION("GOOGLETRANSLATE(B5212,""id"",""en"")"),"['Knp', 'application', 'ngblank', ""]")</f>
        <v>['Knp', 'application', 'ngblank', "]</v>
      </c>
      <c r="D5212" s="3">
        <v>1.0</v>
      </c>
    </row>
    <row r="5213" ht="15.75" customHeight="1">
      <c r="A5213" s="1">
        <v>5562.0</v>
      </c>
      <c r="B5213" s="3" t="s">
        <v>5032</v>
      </c>
      <c r="C5213" s="3" t="str">
        <f>IFERROR(__xludf.DUMMYFUNCTION("GOOGLETRANSLATE(B5213,""id"",""en"")"),"['Sometimes', 'ugly', 'sometimes', 'good']")</f>
        <v>['Sometimes', 'ugly', 'sometimes', 'good']</v>
      </c>
      <c r="D5213" s="3">
        <v>5.0</v>
      </c>
    </row>
    <row r="5214" ht="15.75" customHeight="1">
      <c r="A5214" s="1">
        <v>5563.0</v>
      </c>
      <c r="B5214" s="3" t="s">
        <v>5033</v>
      </c>
      <c r="C5214" s="3" t="str">
        <f>IFERROR(__xludf.DUMMYFUNCTION("GOOGLETRANSLATE(B5214,""id"",""en"")"),"['Application', 'opened', 'screen', 'white']")</f>
        <v>['Application', 'opened', 'screen', 'white']</v>
      </c>
      <c r="D5214" s="3">
        <v>1.0</v>
      </c>
    </row>
    <row r="5215" ht="15.75" customHeight="1">
      <c r="A5215" s="1">
        <v>5565.0</v>
      </c>
      <c r="B5215" s="3" t="s">
        <v>5034</v>
      </c>
      <c r="C5215" s="3" t="str">
        <f>IFERROR(__xludf.DUMMYFUNCTION("GOOGLETRANSLATE(B5215,""id"",""en"")"),"['Signal', 'Satan', 'Telkomsel', 'ugly']")</f>
        <v>['Signal', 'Satan', 'Telkomsel', 'ugly']</v>
      </c>
      <c r="D5215" s="3">
        <v>1.0</v>
      </c>
    </row>
    <row r="5216" ht="15.75" customHeight="1">
      <c r="A5216" s="1">
        <v>5566.0</v>
      </c>
      <c r="B5216" s="3" t="s">
        <v>5035</v>
      </c>
      <c r="C5216" s="3" t="str">
        <f>IFERROR(__xludf.DUMMYFUNCTION("GOOGLETRANSLATE(B5216,""id"",""en"")"),"['fast', 'responsive', 'hope', 'promo', 'cheap', 'telkomsel']")</f>
        <v>['fast', 'responsive', 'hope', 'promo', 'cheap', 'telkomsel']</v>
      </c>
      <c r="D5216" s="3">
        <v>5.0</v>
      </c>
    </row>
    <row r="5217" ht="15.75" customHeight="1">
      <c r="A5217" s="1">
        <v>5567.0</v>
      </c>
      <c r="B5217" s="3" t="s">
        <v>5036</v>
      </c>
      <c r="C5217" s="3" t="str">
        <f>IFERROR(__xludf.DUMMYFUNCTION("GOOGLETRANSLATE(B5217,""id"",""en"")"),"['Application', 'Easy', 'Accessible', 'Sometimes', 'Application', '']")</f>
        <v>['Application', 'Easy', 'Accessible', 'Sometimes', 'Application', '']</v>
      </c>
      <c r="D5217" s="3">
        <v>5.0</v>
      </c>
    </row>
    <row r="5218" ht="15.75" customHeight="1">
      <c r="A5218" s="1">
        <v>5568.0</v>
      </c>
      <c r="B5218" s="3" t="s">
        <v>5037</v>
      </c>
      <c r="C5218" s="3" t="str">
        <f>IFERROR(__xludf.DUMMYFUNCTION("GOOGLETRANSLATE(B5218,""id"",""en"")"),"['Please', 'network', 'repaired', 'lose', 'provider', 'next door', 'Jakarta', 'Network', 'taste', 'forest', 'wilderness', ""]")</f>
        <v>['Please', 'network', 'repaired', 'lose', 'provider', 'next door', 'Jakarta', 'Network', 'taste', 'forest', 'wilderness', "]</v>
      </c>
      <c r="D5218" s="3">
        <v>1.0</v>
      </c>
    </row>
    <row r="5219" ht="15.75" customHeight="1">
      <c r="A5219" s="1">
        <v>5569.0</v>
      </c>
      <c r="B5219" s="3" t="s">
        <v>5038</v>
      </c>
      <c r="C5219" s="3" t="str">
        <f>IFERROR(__xludf.DUMMYFUNCTION("GOOGLETRANSLATE(B5219,""id"",""en"")"),"['thank you', 'admin', 'Telkomsel', 'bird', 'blue', 'btw', 'hope', 'emot', 'gini', 'serious',' horrified ',' mending ',' Gini ',' Anyway ',' Response ',' Admin ',' TRS ',' Easy ',' Understood ',' Top ', ""]")</f>
        <v>['thank you', 'admin', 'Telkomsel', 'bird', 'blue', 'btw', 'hope', 'emot', 'gini', 'serious',' horrified ',' mending ',' Gini ',' Anyway ',' Response ',' Admin ',' TRS ',' Easy ',' Understood ',' Top ', "]</v>
      </c>
      <c r="D5219" s="3">
        <v>5.0</v>
      </c>
    </row>
    <row r="5220" ht="15.75" customHeight="1">
      <c r="A5220" s="1">
        <v>5570.0</v>
      </c>
      <c r="B5220" s="3" t="s">
        <v>5039</v>
      </c>
      <c r="C5220" s="3" t="str">
        <f>IFERROR(__xludf.DUMMYFUNCTION("GOOGLETRANSLATE(B5220,""id"",""en"")"),"['', 'Upgrade', 'Open']")</f>
        <v>['', 'Upgrade', 'Open']</v>
      </c>
      <c r="D5220" s="3">
        <v>1.0</v>
      </c>
    </row>
    <row r="5221" ht="15.75" customHeight="1">
      <c r="A5221" s="1">
        <v>5571.0</v>
      </c>
      <c r="B5221" s="3" t="s">
        <v>5040</v>
      </c>
      <c r="C5221" s="3" t="str">
        <f>IFERROR(__xludf.DUMMYFUNCTION("GOOGLETRANSLATE(B5221,""id"",""en"")"),"['doubt', ""]")</f>
        <v>['doubt', "]</v>
      </c>
      <c r="D5221" s="3">
        <v>5.0</v>
      </c>
    </row>
    <row r="5222" ht="15.75" customHeight="1">
      <c r="A5222" s="1">
        <v>5572.0</v>
      </c>
      <c r="B5222" s="3" t="s">
        <v>5041</v>
      </c>
      <c r="C5222" s="3" t="str">
        <f>IFERROR(__xludf.DUMMYFUNCTION("GOOGLETRANSLATE(B5222,""id"",""en"")"),"['use', 'ket', 'emergency', 'Preview', 'loan', 'package', 'emergency', 'times',' buy ',' pulse ',' bill ',' package ',' Dareareat ',' Mintak ',' Please ',' Telkomsel ',' Sitem ',' Fix ',' Help ',' Pembgaduan ',' TPI ',' Please ',' Return ',' Credit ',' Bi"&amp;"ll ' , 'Package', 'Emergency', 'Loss', '']")</f>
        <v>['use', 'ket', 'emergency', 'Preview', 'loan', 'package', 'emergency', 'times',' buy ',' pulse ',' bill ',' package ',' Dareareat ',' Mintak ',' Please ',' Telkomsel ',' Sitem ',' Fix ',' Help ',' Pembgaduan ',' TPI ',' Please ',' Return ',' Credit ',' Bill ' , 'Package', 'Emergency', 'Loss', '']</v>
      </c>
      <c r="D5222" s="3">
        <v>1.0</v>
      </c>
    </row>
    <row r="5223" ht="15.75" customHeight="1">
      <c r="A5223" s="1">
        <v>5573.0</v>
      </c>
      <c r="B5223" s="3" t="s">
        <v>5042</v>
      </c>
      <c r="C5223" s="3" t="str">
        <f>IFERROR(__xludf.DUMMYFUNCTION("GOOGLETRANSLATE(B5223,""id"",""en"")"),"['Help', 'darling', 'like', 'slow']")</f>
        <v>['Help', 'darling', 'like', 'slow']</v>
      </c>
      <c r="D5223" s="3">
        <v>5.0</v>
      </c>
    </row>
    <row r="5224" ht="15.75" customHeight="1">
      <c r="A5224" s="1">
        <v>5574.0</v>
      </c>
      <c r="B5224" s="3" t="s">
        <v>5043</v>
      </c>
      <c r="C5224" s="3" t="str">
        <f>IFERROR(__xludf.DUMMYFUNCTION("GOOGLETRANSLATE(B5224,""id"",""en"")"),"['User', 'Telkomsel', 'Application', 'MyTelkomsel', 'opened', 'Uninstall', 'Reinstall', 'complaints', 'user', 'reply', 'ADM', 'solutive']")</f>
        <v>['User', 'Telkomsel', 'Application', 'MyTelkomsel', 'opened', 'Uninstall', 'Reinstall', 'complaints', 'user', 'reply', 'ADM', 'solutive']</v>
      </c>
      <c r="D5224" s="3">
        <v>1.0</v>
      </c>
    </row>
    <row r="5225" ht="15.75" customHeight="1">
      <c r="A5225" s="1">
        <v>5575.0</v>
      </c>
      <c r="B5225" s="3" t="s">
        <v>5044</v>
      </c>
      <c r="C5225" s="3" t="str">
        <f>IFERROR(__xludf.DUMMYFUNCTION("GOOGLETRANSLATE(B5225,""id"",""en"")"),"['Telkomsel', 'Uda', 'bankrupt', 'kah', 'network', 'slow', 'uda', 'price', 'package', 'expensive', 'expensive']")</f>
        <v>['Telkomsel', 'Uda', 'bankrupt', 'kah', 'network', 'slow', 'uda', 'price', 'package', 'expensive', 'expensive']</v>
      </c>
      <c r="D5225" s="3">
        <v>1.0</v>
      </c>
    </row>
    <row r="5226" ht="15.75" customHeight="1">
      <c r="A5226" s="1">
        <v>5576.0</v>
      </c>
      <c r="B5226" s="3" t="s">
        <v>5045</v>
      </c>
      <c r="C5226" s="3" t="str">
        <f>IFERROR(__xludf.DUMMYFUNCTION("GOOGLETRANSLATE(B5226,""id"",""en"")"),"['Telkomsel', 'quality', 'signal', 'good', 'already', 'expensive', 'quota', 'signal', 'good', 'repair', 'try', 'Sake', ' signal ',' Telkomsel ',' PKE ',' Telkomsel ',' Mending ',' PKE ',' Indosat ']")</f>
        <v>['Telkomsel', 'quality', 'signal', 'good', 'already', 'expensive', 'quota', 'signal', 'good', 'repair', 'try', 'Sake', ' signal ',' Telkomsel ',' PKE ',' Telkomsel ',' Mending ',' PKE ',' Indosat ']</v>
      </c>
      <c r="D5226" s="3">
        <v>1.0</v>
      </c>
    </row>
    <row r="5227" ht="15.75" customHeight="1">
      <c r="A5227" s="1">
        <v>5577.0</v>
      </c>
      <c r="B5227" s="3" t="s">
        <v>5046</v>
      </c>
      <c r="C5227" s="3" t="str">
        <f>IFERROR(__xludf.DUMMYFUNCTION("GOOGLETRANSLATE(B5227,""id"",""en"")"),"['discount']")</f>
        <v>['discount']</v>
      </c>
      <c r="D5227" s="3">
        <v>5.0</v>
      </c>
    </row>
    <row r="5228" ht="15.75" customHeight="1">
      <c r="A5228" s="1">
        <v>5578.0</v>
      </c>
      <c r="B5228" s="3" t="s">
        <v>5047</v>
      </c>
      <c r="C5228" s="3" t="str">
        <f>IFERROR(__xludf.DUMMYFUNCTION("GOOGLETRANSLATE(B5228,""id"",""en"")"),"['opened', 'my cellphone', 'screenys', 'white', 'continued', 'pdhl', 'signal', 'Amann']")</f>
        <v>['opened', 'my cellphone', 'screenys', 'white', 'continued', 'pdhl', 'signal', 'Amann']</v>
      </c>
      <c r="D5228" s="3">
        <v>1.0</v>
      </c>
    </row>
    <row r="5229" ht="15.75" customHeight="1">
      <c r="A5229" s="1">
        <v>5579.0</v>
      </c>
      <c r="B5229" s="3" t="s">
        <v>5048</v>
      </c>
      <c r="C5229" s="3" t="str">
        <f>IFERROR(__xludf.DUMMYFUNCTION("GOOGLETRANSLATE(B5229,""id"",""en"")"),"['Please', 'how', 'already', 'Download', 'APK', 'enter']")</f>
        <v>['Please', 'how', 'already', 'Download', 'APK', 'enter']</v>
      </c>
      <c r="D5229" s="3">
        <v>1.0</v>
      </c>
    </row>
    <row r="5230" ht="15.75" customHeight="1">
      <c r="A5230" s="1">
        <v>5580.0</v>
      </c>
      <c r="B5230" s="3" t="s">
        <v>5049</v>
      </c>
      <c r="C5230" s="3" t="str">
        <f>IFERROR(__xludf.DUMMYFUNCTION("GOOGLETRANSLATE(B5230,""id"",""en"")"),"['', 'open', 'just', 'white', 'screen', 'difficult', 'Mao', 'buy', 'kouta', 'aduuhh', 'buy', 'kouta', 'counter ',' expensive ',' boss', 'sympathy', '']")</f>
        <v>['', 'open', 'just', 'white', 'screen', 'difficult', 'Mao', 'buy', 'kouta', 'aduuhh', 'buy', 'kouta', 'counter ',' expensive ',' boss', 'sympathy', '']</v>
      </c>
      <c r="D5230" s="3">
        <v>1.0</v>
      </c>
    </row>
    <row r="5231" ht="15.75" customHeight="1">
      <c r="A5231" s="1">
        <v>5581.0</v>
      </c>
      <c r="B5231" s="3" t="s">
        <v>5050</v>
      </c>
      <c r="C5231" s="3" t="str">
        <f>IFERROR(__xludf.DUMMYFUNCTION("GOOGLETRANSLATE(B5231,""id"",""en"")"),"['Severe', 'price', 'package', 'already', 'expensive', 'times',' economy ',' medium ',' down ',' signal ',' Lost ',' doubt ',' Try ',' buy ',' Telkomsel ',' Nerima ',' telephone ',' internet ',' card ',' Telkomsel ',' recommended ',' ']")</f>
        <v>['Severe', 'price', 'package', 'already', 'expensive', 'times',' economy ',' medium ',' down ',' signal ',' Lost ',' doubt ',' Try ',' buy ',' Telkomsel ',' Nerima ',' telephone ',' internet ',' card ',' Telkomsel ',' recommended ',' ']</v>
      </c>
      <c r="D5231" s="3">
        <v>2.0</v>
      </c>
    </row>
    <row r="5232" ht="15.75" customHeight="1">
      <c r="A5232" s="1">
        <v>5582.0</v>
      </c>
      <c r="B5232" s="3" t="s">
        <v>5051</v>
      </c>
      <c r="C5232" s="3" t="str">
        <f>IFERROR(__xludf.DUMMYFUNCTION("GOOGLETRANSLATE(B5232,""id"",""en"")"),"['happy']")</f>
        <v>['happy']</v>
      </c>
      <c r="D5232" s="3">
        <v>5.0</v>
      </c>
    </row>
    <row r="5233" ht="15.75" customHeight="1">
      <c r="A5233" s="1">
        <v>5585.0</v>
      </c>
      <c r="B5233" s="3" t="s">
        <v>5052</v>
      </c>
      <c r="C5233" s="3" t="str">
        <f>IFERROR(__xludf.DUMMYFUNCTION("GOOGLETRANSLATE(B5233,""id"",""en"")"),"['Steady', 'Hopefully', 'Program', 'Prize', '']")</f>
        <v>['Steady', 'Hopefully', 'Program', 'Prize', '']</v>
      </c>
      <c r="D5233" s="3">
        <v>5.0</v>
      </c>
    </row>
    <row r="5234" ht="15.75" customHeight="1">
      <c r="A5234" s="1">
        <v>5586.0</v>
      </c>
      <c r="B5234" s="3" t="s">
        <v>5053</v>
      </c>
      <c r="C5234" s="3" t="str">
        <f>IFERROR(__xludf.DUMMYFUNCTION("GOOGLETRANSLATE(B5234,""id"",""en"")"),"['Signal', 'Error', 'Telkomsel']")</f>
        <v>['Signal', 'Error', 'Telkomsel']</v>
      </c>
      <c r="D5234" s="3">
        <v>2.0</v>
      </c>
    </row>
    <row r="5235" ht="15.75" customHeight="1">
      <c r="A5235" s="1">
        <v>5587.0</v>
      </c>
      <c r="B5235" s="3" t="s">
        <v>5054</v>
      </c>
      <c r="C5235" s="3" t="str">
        <f>IFERROR(__xludf.DUMMYFUNCTION("GOOGLETRANSLATE(B5235,""id"",""en"")"),"['Application', 'Good', 'Easy', 'Simple']")</f>
        <v>['Application', 'Good', 'Easy', 'Simple']</v>
      </c>
      <c r="D5235" s="3">
        <v>5.0</v>
      </c>
    </row>
    <row r="5236" ht="15.75" customHeight="1">
      <c r="A5236" s="1">
        <v>5588.0</v>
      </c>
      <c r="B5236" s="3" t="s">
        <v>5055</v>
      </c>
      <c r="C5236" s="3" t="str">
        <f>IFERROR(__xludf.DUMMYFUNCTION("GOOGLETRANSLATE(B5236,""id"",""en"")"),"['Disappointed', 'Telkomsel', 'play', 'game', 'network', 'bad', 'no', 'buy', 'anything', 'related', 'Telkomsel', 'Mending', ' Use ',' Disappointed ']")</f>
        <v>['Disappointed', 'Telkomsel', 'play', 'game', 'network', 'bad', 'no', 'buy', 'anything', 'related', 'Telkomsel', 'Mending', ' Use ',' Disappointed ']</v>
      </c>
      <c r="D5236" s="3">
        <v>1.0</v>
      </c>
    </row>
    <row r="5237" ht="15.75" customHeight="1">
      <c r="A5237" s="1">
        <v>5589.0</v>
      </c>
      <c r="B5237" s="3" t="s">
        <v>2198</v>
      </c>
      <c r="C5237" s="3" t="str">
        <f>IFERROR(__xludf.DUMMYFUNCTION("GOOGLETRANSLATE(B5237,""id"",""en"")"),"['easy', 'use']")</f>
        <v>['easy', 'use']</v>
      </c>
      <c r="D5237" s="3">
        <v>5.0</v>
      </c>
    </row>
    <row r="5238" ht="15.75" customHeight="1">
      <c r="A5238" s="1">
        <v>5590.0</v>
      </c>
      <c r="B5238" s="3" t="s">
        <v>5056</v>
      </c>
      <c r="C5238" s="3" t="str">
        <f>IFERROR(__xludf.DUMMYFUNCTION("GOOGLETRANSLATE(B5238,""id"",""en"")"),"['AFK', 'interesting', 'produces', 'Money', 'Boys']")</f>
        <v>['AFK', 'interesting', 'produces', 'Money', 'Boys']</v>
      </c>
      <c r="D5238" s="3">
        <v>5.0</v>
      </c>
    </row>
    <row r="5239" ht="15.75" customHeight="1">
      <c r="A5239" s="1">
        <v>5591.0</v>
      </c>
      <c r="B5239" s="3" t="s">
        <v>5057</v>
      </c>
      <c r="C5239" s="3" t="str">
        <f>IFERROR(__xludf.DUMMYFUNCTION("GOOGLETRANSLATE(B5239,""id"",""en"")"),"['hope', 'gift', 'Telkomsel', '']")</f>
        <v>['hope', 'gift', 'Telkomsel', '']</v>
      </c>
      <c r="D5239" s="3">
        <v>5.0</v>
      </c>
    </row>
    <row r="5240" ht="15.75" customHeight="1">
      <c r="A5240" s="1">
        <v>5592.0</v>
      </c>
      <c r="B5240" s="3" t="s">
        <v>2004</v>
      </c>
      <c r="C5240" s="3" t="str">
        <f>IFERROR(__xludf.DUMMYFUNCTION("GOOGLETRANSLATE(B5240,""id"",""en"")"),"['login']")</f>
        <v>['login']</v>
      </c>
      <c r="D5240" s="3">
        <v>1.0</v>
      </c>
    </row>
    <row r="5241" ht="15.75" customHeight="1">
      <c r="A5241" s="1">
        <v>5593.0</v>
      </c>
      <c r="B5241" s="3" t="s">
        <v>5058</v>
      </c>
      <c r="C5241" s="3" t="str">
        <f>IFERROR(__xludf.DUMMYFUNCTION("GOOGLETRANSLATE(B5241,""id"",""en"")"),"['application', 'already', 'opened', 'screen', 'white', 'entry', 'application', 'Telkomsel', 'Please', 'assisted']")</f>
        <v>['application', 'already', 'opened', 'screen', 'white', 'entry', 'application', 'Telkomsel', 'Please', 'assisted']</v>
      </c>
      <c r="D5241" s="3">
        <v>1.0</v>
      </c>
    </row>
    <row r="5242" ht="15.75" customHeight="1">
      <c r="A5242" s="1">
        <v>5594.0</v>
      </c>
      <c r="B5242" s="3" t="s">
        <v>5059</v>
      </c>
      <c r="C5242" s="3" t="str">
        <f>IFERROR(__xludf.DUMMYFUNCTION("GOOGLETRANSLATE(B5242,""id"",""en"")"),"['Kcewa', 'Jringan', 'Telkomsel', 'BURIK', 'BNGT']")</f>
        <v>['Kcewa', 'Jringan', 'Telkomsel', 'BURIK', 'BNGT']</v>
      </c>
      <c r="D5242" s="3">
        <v>1.0</v>
      </c>
    </row>
    <row r="5243" ht="15.75" customHeight="1">
      <c r="A5243" s="1">
        <v>5595.0</v>
      </c>
      <c r="B5243" s="3" t="s">
        <v>5060</v>
      </c>
      <c r="C5243" s="3" t="str">
        <f>IFERROR(__xludf.DUMMYFUNCTION("GOOGLETRANSLATE(B5243,""id"",""en"")"),"['Telkomsel', 'pulses',' like ',' Cut ',' Notif ',' Access', 'Internet', 'Rates',' Non ',' Package ',' Condition ',' Data ',' cellular ',' dead ',' point ',' run out ',' already ',' check ',' add ',' point ',' claim ',' gift ',' point ',' no ',' ']")</f>
        <v>['Telkomsel', 'pulses',' like ',' Cut ',' Notif ',' Access', 'Internet', 'Rates',' Non ',' Package ',' Condition ',' Data ',' cellular ',' dead ',' point ',' run out ',' already ',' check ',' add ',' point ',' claim ',' gift ',' point ',' no ',' ']</v>
      </c>
      <c r="D5243" s="3">
        <v>1.0</v>
      </c>
    </row>
    <row r="5244" ht="15.75" customHeight="1">
      <c r="A5244" s="1">
        <v>5596.0</v>
      </c>
      <c r="B5244" s="3" t="s">
        <v>5061</v>
      </c>
      <c r="C5244" s="3" t="str">
        <f>IFERROR(__xludf.DUMMYFUNCTION("GOOGLETRANSLATE(B5244,""id"",""en"")"),"['knp', 'application', 'open', '']")</f>
        <v>['knp', 'application', 'open', '']</v>
      </c>
      <c r="D5244" s="3">
        <v>1.0</v>
      </c>
    </row>
    <row r="5245" ht="15.75" customHeight="1">
      <c r="A5245" s="1">
        <v>5597.0</v>
      </c>
      <c r="B5245" s="3" t="s">
        <v>5062</v>
      </c>
      <c r="C5245" s="3" t="str">
        <f>IFERROR(__xludf.DUMMYFUNCTION("GOOGLETRANSLATE(B5245,""id"",""en"")"),"['Good', 'Login', 'night']")</f>
        <v>['Good', 'Login', 'night']</v>
      </c>
      <c r="D5245" s="3">
        <v>1.0</v>
      </c>
    </row>
    <row r="5246" ht="15.75" customHeight="1">
      <c r="A5246" s="1">
        <v>5598.0</v>
      </c>
      <c r="B5246" s="3" t="s">
        <v>5063</v>
      </c>
      <c r="C5246" s="3" t="str">
        <f>IFERROR(__xludf.DUMMYFUNCTION("GOOGLETRANSLATE(B5246,""id"",""en"")"),"['difficult', 'opened', 'difficult', 'enter', 'see', 'data', 'stay', 'click']")</f>
        <v>['difficult', 'opened', 'difficult', 'enter', 'see', 'data', 'stay', 'click']</v>
      </c>
      <c r="D5246" s="3">
        <v>5.0</v>
      </c>
    </row>
    <row r="5247" ht="15.75" customHeight="1">
      <c r="A5247" s="1">
        <v>5599.0</v>
      </c>
      <c r="B5247" s="3" t="s">
        <v>5064</v>
      </c>
      <c r="C5247" s="3" t="str">
        <f>IFERROR(__xludf.DUMMYFUNCTION("GOOGLETRANSLATE(B5247,""id"",""en"")"),"['Knp', 'Application', 'Telkomsel', 'Open', '']")</f>
        <v>['Knp', 'Application', 'Telkomsel', 'Open', '']</v>
      </c>
      <c r="D5247" s="3">
        <v>5.0</v>
      </c>
    </row>
    <row r="5248" ht="15.75" customHeight="1">
      <c r="A5248" s="1">
        <v>5600.0</v>
      </c>
      <c r="B5248" s="3" t="s">
        <v>5065</v>
      </c>
      <c r="C5248" s="3" t="str">
        <f>IFERROR(__xludf.DUMMYFUNCTION("GOOGLETRANSLATE(B5248,""id"",""en"")"),"['', 'dech', 'mantull']")</f>
        <v>['', 'dech', 'mantull']</v>
      </c>
      <c r="D5248" s="3">
        <v>5.0</v>
      </c>
    </row>
    <row r="5249" ht="15.75" customHeight="1">
      <c r="A5249" s="1">
        <v>5602.0</v>
      </c>
      <c r="B5249" s="3" t="s">
        <v>5066</v>
      </c>
      <c r="C5249" s="3" t="str">
        <f>IFERROR(__xludf.DUMMYFUNCTION("GOOGLETRANSLATE(B5249,""id"",""en"")"),"['Kouta', 'expensive', 'getting', 'rain', 'little', 'ancorrrr']")</f>
        <v>['Kouta', 'expensive', 'getting', 'rain', 'little', 'ancorrrr']</v>
      </c>
      <c r="D5249" s="3">
        <v>1.0</v>
      </c>
    </row>
    <row r="5250" ht="15.75" customHeight="1">
      <c r="A5250" s="1">
        <v>5603.0</v>
      </c>
      <c r="B5250" s="3" t="s">
        <v>5067</v>
      </c>
      <c r="C5250" s="3" t="str">
        <f>IFERROR(__xludf.DUMMYFUNCTION("GOOGLETRANSLATE(B5250,""id"",""en"")"),"['sucked', 'pulses', '']")</f>
        <v>['sucked', 'pulses', '']</v>
      </c>
      <c r="D5250" s="3">
        <v>1.0</v>
      </c>
    </row>
    <row r="5251" ht="15.75" customHeight="1">
      <c r="A5251" s="1">
        <v>5604.0</v>
      </c>
      <c r="B5251" s="3" t="s">
        <v>5068</v>
      </c>
      <c r="C5251" s="3" t="str">
        <f>IFERROR(__xludf.DUMMYFUNCTION("GOOGLETRANSLATE(B5251,""id"",""en"")"),"['heavy', 'road', 'application', 'after', 'opened', 'waiting', 'application', 'help', 'really', 'please', 'fix']")</f>
        <v>['heavy', 'road', 'application', 'after', 'opened', 'waiting', 'application', 'help', 'really', 'please', 'fix']</v>
      </c>
      <c r="D5251" s="3">
        <v>2.0</v>
      </c>
    </row>
    <row r="5252" ht="15.75" customHeight="1">
      <c r="A5252" s="1">
        <v>5605.0</v>
      </c>
      <c r="B5252" s="3" t="s">
        <v>4940</v>
      </c>
      <c r="C5252" s="3" t="str">
        <f>IFERROR(__xludf.DUMMYFUNCTION("GOOGLETRANSLATE(B5252,""id"",""en"")"),"['I hope this helps']")</f>
        <v>['I hope this helps']</v>
      </c>
      <c r="D5252" s="3">
        <v>4.0</v>
      </c>
    </row>
    <row r="5253" ht="15.75" customHeight="1">
      <c r="A5253" s="1">
        <v>5606.0</v>
      </c>
      <c r="B5253" s="3" t="s">
        <v>5069</v>
      </c>
      <c r="C5253" s="3" t="str">
        <f>IFERROR(__xludf.DUMMYFUNCTION("GOOGLETRANSLATE(B5253,""id"",""en"")"),"['Signal', 'Telkomsel', 'Good', 'Sousal', 'ugly', 'Bangat', 'Mending', 'card', 'signal', 'good', 'anywhere']")</f>
        <v>['Signal', 'Telkomsel', 'Good', 'Sousal', 'ugly', 'Bangat', 'Mending', 'card', 'signal', 'good', 'anywhere']</v>
      </c>
      <c r="D5253" s="3">
        <v>1.0</v>
      </c>
    </row>
    <row r="5254" ht="15.75" customHeight="1">
      <c r="A5254" s="1">
        <v>5607.0</v>
      </c>
      <c r="B5254" s="3" t="s">
        <v>5070</v>
      </c>
      <c r="C5254" s="3" t="str">
        <f>IFERROR(__xludf.DUMMYFUNCTION("GOOGLETRANSLATE(B5254,""id"",""en"")"),"['Credit', 'Cut', '']")</f>
        <v>['Credit', 'Cut', '']</v>
      </c>
      <c r="D5254" s="3">
        <v>1.0</v>
      </c>
    </row>
    <row r="5255" ht="15.75" customHeight="1">
      <c r="A5255" s="1">
        <v>5608.0</v>
      </c>
      <c r="B5255" s="3" t="s">
        <v>859</v>
      </c>
      <c r="C5255" s="3" t="str">
        <f>IFERROR(__xludf.DUMMYFUNCTION("GOOGLETRANSLATE(B5255,""id"",""en"")"),"['help', '']")</f>
        <v>['help', '']</v>
      </c>
      <c r="D5255" s="3">
        <v>5.0</v>
      </c>
    </row>
    <row r="5256" ht="15.75" customHeight="1">
      <c r="A5256" s="1">
        <v>5609.0</v>
      </c>
      <c r="B5256" s="3" t="s">
        <v>5071</v>
      </c>
      <c r="C5256" s="3" t="str">
        <f>IFERROR(__xludf.DUMMYFUNCTION("GOOGLETRANSLATE(B5256,""id"",""en"")"),"['', 'package', 'promo', 'cheap']")</f>
        <v>['', 'package', 'promo', 'cheap']</v>
      </c>
      <c r="D5256" s="3">
        <v>4.0</v>
      </c>
    </row>
    <row r="5257" ht="15.75" customHeight="1">
      <c r="A5257" s="1">
        <v>5610.0</v>
      </c>
      <c r="B5257" s="3" t="s">
        <v>5072</v>
      </c>
      <c r="C5257" s="3" t="str">
        <f>IFERROR(__xludf.DUMMYFUNCTION("GOOGLETRANSLATE(B5257,""id"",""en"")"),"['strange', 'card', 'list', 'price', 'package', 'Different', 'different', 'bought', 'bought', 'different', 'right', 'contact', ' regional ',' purchase ',' user ',' influential ']")</f>
        <v>['strange', 'card', 'list', 'price', 'package', 'Different', 'different', 'bought', 'bought', 'different', 'right', 'contact', ' regional ',' purchase ',' user ',' influential ']</v>
      </c>
      <c r="D5257" s="3">
        <v>1.0</v>
      </c>
    </row>
    <row r="5258" ht="15.75" customHeight="1">
      <c r="A5258" s="1">
        <v>5611.0</v>
      </c>
      <c r="B5258" s="3" t="s">
        <v>5073</v>
      </c>
      <c r="C5258" s="3" t="str">
        <f>IFERROR(__xludf.DUMMYFUNCTION("GOOGLETRANSLATE(B5258,""id"",""en"")"),"['Koq', 'open', 'blank', 'screen', 'white']")</f>
        <v>['Koq', 'open', 'blank', 'screen', 'white']</v>
      </c>
      <c r="D5258" s="3">
        <v>1.0</v>
      </c>
    </row>
    <row r="5259" ht="15.75" customHeight="1">
      <c r="A5259" s="1">
        <v>5612.0</v>
      </c>
      <c r="B5259" s="3" t="s">
        <v>5074</v>
      </c>
      <c r="C5259" s="3" t="str">
        <f>IFERROR(__xludf.DUMMYFUNCTION("GOOGLETRANSLATE(B5259,""id"",""en"")"),"['Telkomsel', 'Open', '']")</f>
        <v>['Telkomsel', 'Open', '']</v>
      </c>
      <c r="D5259" s="3">
        <v>1.0</v>
      </c>
    </row>
    <row r="5260" ht="15.75" customHeight="1">
      <c r="A5260" s="1">
        <v>5613.0</v>
      </c>
      <c r="B5260" s="3" t="s">
        <v>5075</v>
      </c>
      <c r="C5260" s="3" t="str">
        <f>IFERROR(__xludf.DUMMYFUNCTION("GOOGLETRANSLATE(B5260,""id"",""en"")"),"['Lemot', 'logo']")</f>
        <v>['Lemot', 'logo']</v>
      </c>
      <c r="D5260" s="3">
        <v>1.0</v>
      </c>
    </row>
    <row r="5261" ht="15.75" customHeight="1">
      <c r="A5261" s="1">
        <v>5614.0</v>
      </c>
      <c r="B5261" s="3" t="s">
        <v>5076</v>
      </c>
      <c r="C5261" s="3" t="str">
        <f>IFERROR(__xludf.DUMMYFUNCTION("GOOGLETRANSLATE(B5261,""id"",""en"")"),"['disruption', 'package', 'pulse', 'inedible', 'data', '']")</f>
        <v>['disruption', 'package', 'pulse', 'inedible', 'data', '']</v>
      </c>
      <c r="D5261" s="3">
        <v>1.0</v>
      </c>
    </row>
    <row r="5262" ht="15.75" customHeight="1">
      <c r="A5262" s="1">
        <v>5615.0</v>
      </c>
      <c r="B5262" s="3" t="s">
        <v>5077</v>
      </c>
      <c r="C5262" s="3" t="str">
        <f>IFERROR(__xludf.DUMMYFUNCTION("GOOGLETRANSLATE(B5262,""id"",""en"")"),"['Display', 'Blank', 'White', 'appears', 'Samsung', 'Galaxy', '']")</f>
        <v>['Display', 'Blank', 'White', 'appears', 'Samsung', 'Galaxy', '']</v>
      </c>
      <c r="D5262" s="3">
        <v>1.0</v>
      </c>
    </row>
    <row r="5263" ht="15.75" customHeight="1">
      <c r="A5263" s="1">
        <v>5616.0</v>
      </c>
      <c r="B5263" s="3" t="s">
        <v>5078</v>
      </c>
      <c r="C5263" s="3" t="str">
        <f>IFERROR(__xludf.DUMMYFUNCTION("GOOGLETRANSLATE(B5263,""id"",""en"")"),"['', 'Telkomsel', 'steady', 'good', 'just', 'suggestion', 'package', 'price']")</f>
        <v>['', 'Telkomsel', 'steady', 'good', 'just', 'suggestion', 'package', 'price']</v>
      </c>
      <c r="D5263" s="3">
        <v>5.0</v>
      </c>
    </row>
    <row r="5264" ht="15.75" customHeight="1">
      <c r="A5264" s="1">
        <v>5617.0</v>
      </c>
      <c r="B5264" s="3" t="s">
        <v>5079</v>
      </c>
      <c r="C5264" s="3" t="str">
        <f>IFERROR(__xludf.DUMMYFUNCTION("GOOGLETRANSLATE(B5264,""id"",""en"")"),"['Kenpa', 'yaa', 'please', 'really', 'update', 'mah', 'nggk', 'open', 'already', 'download', 'klo', 'loo', ' The picture is', 'White', 'DANGGG', 'Please', 'BNTU', 'Yaa']")</f>
        <v>['Kenpa', 'yaa', 'please', 'really', 'update', 'mah', 'nggk', 'open', 'already', 'download', 'klo', 'loo', ' The picture is', 'White', 'DANGGG', 'Please', 'BNTU', 'Yaa']</v>
      </c>
      <c r="D5264" s="3">
        <v>2.0</v>
      </c>
    </row>
    <row r="5265" ht="15.75" customHeight="1">
      <c r="A5265" s="1">
        <v>5618.0</v>
      </c>
      <c r="B5265" s="3" t="s">
        <v>5080</v>
      </c>
      <c r="C5265" s="3" t="str">
        <f>IFERROR(__xludf.DUMMYFUNCTION("GOOGLETRANSLATE(B5265,""id"",""en"")"),"['plese', 'love', 'quota', 'cheap', '']")</f>
        <v>['plese', 'love', 'quota', 'cheap', '']</v>
      </c>
      <c r="D5265" s="3">
        <v>5.0</v>
      </c>
    </row>
    <row r="5266" ht="15.75" customHeight="1">
      <c r="A5266" s="1">
        <v>5619.0</v>
      </c>
      <c r="B5266" s="3" t="s">
        <v>5081</v>
      </c>
      <c r="C5266" s="3" t="str">
        <f>IFERROR(__xludf.DUMMYFUNCTION("GOOGLETRANSLATE(B5266,""id"",""en"")"),"['like', 'use', 'application', 'keep', 'service', '']")</f>
        <v>['like', 'use', 'application', 'keep', 'service', '']</v>
      </c>
      <c r="D5266" s="3">
        <v>5.0</v>
      </c>
    </row>
    <row r="5267" ht="15.75" customHeight="1">
      <c r="A5267" s="1">
        <v>5620.0</v>
      </c>
      <c r="B5267" s="3" t="s">
        <v>5082</v>
      </c>
      <c r="C5267" s="3" t="str">
        <f>IFERROR(__xludf.DUMMYFUNCTION("GOOGLETRANSLATE(B5267,""id"",""en"")"),"['signal', 'woooiii', 'actually', 'GPP', 'expensive', 'signal', 'woooiii']")</f>
        <v>['signal', 'woooiii', 'actually', 'GPP', 'expensive', 'signal', 'woooiii']</v>
      </c>
      <c r="D5267" s="3">
        <v>1.0</v>
      </c>
    </row>
    <row r="5268" ht="15.75" customHeight="1">
      <c r="A5268" s="1">
        <v>5621.0</v>
      </c>
      <c r="B5268" s="3" t="s">
        <v>5083</v>
      </c>
      <c r="C5268" s="3" t="str">
        <f>IFERROR(__xludf.DUMMYFUNCTION("GOOGLETRANSLATE(B5268,""id"",""en"")"),"['Miiin', 'open', 'application', 'uninstall', 'trs', 'download', 'delete', 'data', 'tetep', 'open', 'whyaaa']")</f>
        <v>['Miiin', 'open', 'application', 'uninstall', 'trs', 'download', 'delete', 'data', 'tetep', 'open', 'whyaaa']</v>
      </c>
      <c r="D5268" s="3">
        <v>4.0</v>
      </c>
    </row>
    <row r="5269" ht="15.75" customHeight="1">
      <c r="A5269" s="1">
        <v>5622.0</v>
      </c>
      <c r="B5269" s="3" t="s">
        <v>5084</v>
      </c>
      <c r="C5269" s="3" t="str">
        <f>IFERROR(__xludf.DUMMYFUNCTION("GOOGLETRANSLATE(B5269,""id"",""en"")"),"['Application', 'opened', 'Monday', 'December', 'Date', 'December', 'Try', 'Installation', 'reset', 'result', 'Samsung', ""]")</f>
        <v>['Application', 'opened', 'Monday', 'December', 'Date', 'December', 'Try', 'Installation', 'reset', 'result', 'Samsung', "]</v>
      </c>
      <c r="D5269" s="3">
        <v>1.0</v>
      </c>
    </row>
    <row r="5270" ht="15.75" customHeight="1">
      <c r="A5270" s="1">
        <v>5623.0</v>
      </c>
      <c r="B5270" s="3" t="s">
        <v>5085</v>
      </c>
      <c r="C5270" s="3" t="str">
        <f>IFERROR(__xludf.DUMMYFUNCTION("GOOGLETRANSLATE(B5270,""id"",""en"")"),"['Anyway', 'Cool', 'Application']")</f>
        <v>['Anyway', 'Cool', 'Application']</v>
      </c>
      <c r="D5270" s="3">
        <v>5.0</v>
      </c>
    </row>
    <row r="5271" ht="15.75" customHeight="1">
      <c r="A5271" s="1">
        <v>5624.0</v>
      </c>
      <c r="B5271" s="3" t="s">
        <v>5086</v>
      </c>
      <c r="C5271" s="3" t="str">
        <f>IFERROR(__xludf.DUMMYFUNCTION("GOOGLETRANSLATE(B5271,""id"",""en"")"),"['pig', 'buy', 'pulse', 'blm', 'minute', 'cut', '']")</f>
        <v>['pig', 'buy', 'pulse', 'blm', 'minute', 'cut', '']</v>
      </c>
      <c r="D5271" s="3">
        <v>1.0</v>
      </c>
    </row>
    <row r="5272" ht="15.75" customHeight="1">
      <c r="A5272" s="1">
        <v>5625.0</v>
      </c>
      <c r="B5272" s="3" t="s">
        <v>5087</v>
      </c>
      <c r="C5272" s="3" t="str">
        <f>IFERROR(__xludf.DUMMYFUNCTION("GOOGLETRANSLATE(B5272,""id"",""en"")"),"['update', 'open', 'buy', 'pulse', 'like', 'chick', 'Telkomsel', 'disappointed', '']")</f>
        <v>['update', 'open', 'buy', 'pulse', 'like', 'chick', 'Telkomsel', 'disappointed', '']</v>
      </c>
      <c r="D5272" s="3">
        <v>1.0</v>
      </c>
    </row>
    <row r="5273" ht="15.75" customHeight="1">
      <c r="A5273" s="1">
        <v>5626.0</v>
      </c>
      <c r="B5273" s="3" t="s">
        <v>4880</v>
      </c>
      <c r="C5273" s="3" t="str">
        <f>IFERROR(__xludf.DUMMYFUNCTION("GOOGLETRANSLATE(B5273,""id"",""en"")"),"['It's easy', 'transaction']")</f>
        <v>['It's easy', 'transaction']</v>
      </c>
      <c r="D5273" s="3">
        <v>5.0</v>
      </c>
    </row>
    <row r="5274" ht="15.75" customHeight="1">
      <c r="A5274" s="1">
        <v>5627.0</v>
      </c>
      <c r="B5274" s="3" t="s">
        <v>5088</v>
      </c>
      <c r="C5274" s="3" t="str">
        <f>IFERROR(__xludf.DUMMYFUNCTION("GOOGLETRANSLATE(B5274,""id"",""en"")"),"['network', 'Telkomsel', 'slow', 'already', 'package', 'expensive']")</f>
        <v>['network', 'Telkomsel', 'slow', 'already', 'package', 'expensive']</v>
      </c>
      <c r="D5274" s="3">
        <v>1.0</v>
      </c>
    </row>
    <row r="5275" ht="15.75" customHeight="1">
      <c r="A5275" s="1">
        <v>5628.0</v>
      </c>
      <c r="B5275" s="3" t="s">
        <v>5089</v>
      </c>
      <c r="C5275" s="3" t="str">
        <f>IFERROR(__xludf.DUMMYFUNCTION("GOOGLETRANSLATE(B5275,""id"",""en"")"),"['Yesterday', 'Sya', 'buy', 'pulse', 'sya', 'active', 'right', 'pulse', 'sya', 'live', 'what']")</f>
        <v>['Yesterday', 'Sya', 'buy', 'pulse', 'sya', 'active', 'right', 'pulse', 'sya', 'live', 'what']</v>
      </c>
      <c r="D5275" s="3">
        <v>1.0</v>
      </c>
    </row>
    <row r="5276" ht="15.75" customHeight="1">
      <c r="A5276" s="1">
        <v>5629.0</v>
      </c>
      <c r="B5276" s="3" t="s">
        <v>5090</v>
      </c>
      <c r="C5276" s="3" t="str">
        <f>IFERROR(__xludf.DUMMYFUNCTION("GOOGLETRANSLATE(B5276,""id"",""en"")"),"['', 'Telkomsel', 'Jos', 'Gandos']")</f>
        <v>['', 'Telkomsel', 'Jos', 'Gandos']</v>
      </c>
      <c r="D5276" s="3">
        <v>5.0</v>
      </c>
    </row>
    <row r="5277" ht="15.75" customHeight="1">
      <c r="A5277" s="1">
        <v>5630.0</v>
      </c>
      <c r="B5277" s="3" t="s">
        <v>5091</v>
      </c>
      <c r="C5277" s="3" t="str">
        <f>IFERROR(__xludf.DUMMYFUNCTION("GOOGLETRANSLATE(B5277,""id"",""en"")"),"['dick', 'network', 'kek', 'dick']")</f>
        <v>['dick', 'network', 'kek', 'dick']</v>
      </c>
      <c r="D5277" s="3">
        <v>1.0</v>
      </c>
    </row>
    <row r="5278" ht="15.75" customHeight="1">
      <c r="A5278" s="1">
        <v>5631.0</v>
      </c>
      <c r="B5278" s="3" t="s">
        <v>5092</v>
      </c>
      <c r="C5278" s="3" t="str">
        <f>IFERROR(__xludf.DUMMYFUNCTION("GOOGLETRANSLATE(B5278,""id"",""en"")"),"['Application', 'Open', 'Disappointed', '']")</f>
        <v>['Application', 'Open', 'Disappointed', '']</v>
      </c>
      <c r="D5278" s="3">
        <v>1.0</v>
      </c>
    </row>
    <row r="5279" ht="15.75" customHeight="1">
      <c r="A5279" s="1">
        <v>5632.0</v>
      </c>
      <c r="B5279" s="3" t="s">
        <v>5093</v>
      </c>
      <c r="C5279" s="3" t="str">
        <f>IFERROR(__xludf.DUMMYFUNCTION("GOOGLETRANSLATE(B5279,""id"",""en"")"),"['Hape', 'Open', 'Applications',' Install ',' Unistall ',' Many ',' Times', 'Enter', 'Application', 'White', 'Blank', 'Please', ' The solution is']")</f>
        <v>['Hape', 'Open', 'Applications',' Install ',' Unistall ',' Many ',' Times', 'Enter', 'Application', 'White', 'Blank', 'Please', ' The solution is']</v>
      </c>
      <c r="D5279" s="3">
        <v>1.0</v>
      </c>
    </row>
    <row r="5280" ht="15.75" customHeight="1">
      <c r="A5280" s="1">
        <v>5633.0</v>
      </c>
      <c r="B5280" s="3" t="s">
        <v>5094</v>
      </c>
      <c r="C5280" s="3" t="str">
        <f>IFERROR(__xludf.DUMMYFUNCTION("GOOGLETRANSLATE(B5280,""id"",""en"")"),"['Knpa', 'APL', 'BSA', 'Open', '']")</f>
        <v>['Knpa', 'APL', 'BSA', 'Open', '']</v>
      </c>
      <c r="D5280" s="3">
        <v>1.0</v>
      </c>
    </row>
    <row r="5281" ht="15.75" customHeight="1">
      <c r="A5281" s="1">
        <v>5634.0</v>
      </c>
      <c r="B5281" s="3" t="s">
        <v>5095</v>
      </c>
      <c r="C5281" s="3" t="str">
        <f>IFERROR(__xludf.DUMMYFUNCTION("GOOGLETRANSLATE(B5281,""id"",""en"")"),"['Telkomsel', 'lazy', 'price', 'qouta', 'expensive', 'quality', 'reduced', 'buy', 'package', 'combo', 'Sakti', 'unlimited', ' qouta ',' main ',' run out ',' leftover ',' qouta ',' multimedia ',' open ',' waste ',' money ',' really ',' loss', 'qouti', 'mul"&amp;"timedia' , 'GB', 'please', 'fix', 'Telkomsel', '']")</f>
        <v>['Telkomsel', 'lazy', 'price', 'qouta', 'expensive', 'quality', 'reduced', 'buy', 'package', 'combo', 'Sakti', 'unlimited', ' qouta ',' main ',' run out ',' leftover ',' qouta ',' multimedia ',' open ',' waste ',' money ',' really ',' loss', 'qouti', 'multimedia' , 'GB', 'please', 'fix', 'Telkomsel', '']</v>
      </c>
      <c r="D5281" s="3">
        <v>1.0</v>
      </c>
    </row>
    <row r="5282" ht="15.75" customHeight="1">
      <c r="A5282" s="1">
        <v>5635.0</v>
      </c>
      <c r="B5282" s="3" t="s">
        <v>5096</v>
      </c>
      <c r="C5282" s="3" t="str">
        <f>IFERROR(__xludf.DUMMYFUNCTION("GOOGLETRANSLATE(B5282,""id"",""en"")"),"['Display', 'Telkomsel', 'appears', 'repeat', 'installed', 'look']")</f>
        <v>['Display', 'Telkomsel', 'appears', 'repeat', 'installed', 'look']</v>
      </c>
      <c r="D5282" s="3">
        <v>5.0</v>
      </c>
    </row>
    <row r="5283" ht="15.75" customHeight="1">
      <c r="A5283" s="1">
        <v>5636.0</v>
      </c>
      <c r="B5283" s="3" t="s">
        <v>5097</v>
      </c>
      <c r="C5283" s="3" t="str">
        <f>IFERROR(__xludf.DUMMYFUNCTION("GOOGLETRANSLATE(B5283,""id"",""en"")"),"['', 'Position', 'Need', 'Internet', 'Telkomsel', 'Package', 'Emergency', 'GB', 'Turn', 'Service', 'Busy', 'Service', 'Busy ',' ']")</f>
        <v>['', 'Position', 'Need', 'Internet', 'Telkomsel', 'Package', 'Emergency', 'GB', 'Turn', 'Service', 'Busy', 'Service', 'Busy ',' ']</v>
      </c>
      <c r="D5283" s="3">
        <v>1.0</v>
      </c>
    </row>
    <row r="5284" ht="15.75" customHeight="1">
      <c r="A5284" s="1">
        <v>5637.0</v>
      </c>
      <c r="B5284" s="3" t="s">
        <v>5098</v>
      </c>
      <c r="C5284" s="3" t="str">
        <f>IFERROR(__xludf.DUMMYFUNCTION("GOOGLETRANSLATE(B5284,""id"",""en"")"),"['application', 'good', 'easy', 'buy', 'package', 'data']")</f>
        <v>['application', 'good', 'easy', 'buy', 'package', 'data']</v>
      </c>
      <c r="D5284" s="3">
        <v>5.0</v>
      </c>
    </row>
    <row r="5285" ht="15.75" customHeight="1">
      <c r="A5285" s="1">
        <v>5638.0</v>
      </c>
      <c r="B5285" s="3" t="s">
        <v>2299</v>
      </c>
      <c r="C5285" s="3" t="str">
        <f>IFERROR(__xludf.DUMMYFUNCTION("GOOGLETRANSLATE(B5285,""id"",""en"")"),"['Hopefully', 'Telkomsel', 'Jaya']")</f>
        <v>['Hopefully', 'Telkomsel', 'Jaya']</v>
      </c>
      <c r="D5285" s="3">
        <v>4.0</v>
      </c>
    </row>
    <row r="5286" ht="15.75" customHeight="1">
      <c r="A5286" s="1">
        <v>5639.0</v>
      </c>
      <c r="B5286" s="3" t="s">
        <v>5099</v>
      </c>
      <c r="C5286" s="3" t="str">
        <f>IFERROR(__xludf.DUMMYFUNCTION("GOOGLETRANSLATE(B5286,""id"",""en"")"),"['Good', 'application', 'Makunaiai', 'Telkomsel']")</f>
        <v>['Good', 'application', 'Makunaiai', 'Telkomsel']</v>
      </c>
      <c r="D5286" s="3">
        <v>5.0</v>
      </c>
    </row>
    <row r="5287" ht="15.75" customHeight="1">
      <c r="A5287" s="1">
        <v>5640.0</v>
      </c>
      <c r="B5287" s="3" t="s">
        <v>5100</v>
      </c>
      <c r="C5287" s="3" t="str">
        <f>IFERROR(__xludf.DUMMYFUNCTION("GOOGLETRANSLATE(B5287,""id"",""en"")"),"['already', 'exciting', 'Telkomsel', 'enter', 'blank', 'white', 'open', 'open']")</f>
        <v>['already', 'exciting', 'Telkomsel', 'enter', 'blank', 'white', 'open', 'open']</v>
      </c>
      <c r="D5287" s="3">
        <v>5.0</v>
      </c>
    </row>
    <row r="5288" ht="15.75" customHeight="1">
      <c r="A5288" s="1">
        <v>5641.0</v>
      </c>
      <c r="B5288" s="3" t="s">
        <v>5101</v>
      </c>
      <c r="C5288" s="3" t="str">
        <f>IFERROR(__xludf.DUMMYFUNCTION("GOOGLETRANSLATE(B5288,""id"",""en"")"),"['Open', 'APK', 'screen', 'white', ""]")</f>
        <v>['Open', 'APK', 'screen', 'white', "]</v>
      </c>
      <c r="D5288" s="3">
        <v>1.0</v>
      </c>
    </row>
    <row r="5289" ht="15.75" customHeight="1">
      <c r="A5289" s="1">
        <v>5642.0</v>
      </c>
      <c r="B5289" s="3" t="s">
        <v>5102</v>
      </c>
      <c r="C5289" s="3" t="str">
        <f>IFERROR(__xludf.DUMMYFUNCTION("GOOGLETRANSLATE(B5289,""id"",""en"")"),"['', 'Telkomsel', 'Best', 'Customer']")</f>
        <v>['', 'Telkomsel', 'Best', 'Customer']</v>
      </c>
      <c r="D5289" s="3">
        <v>5.0</v>
      </c>
    </row>
    <row r="5290" ht="15.75" customHeight="1">
      <c r="A5290" s="1">
        <v>5643.0</v>
      </c>
      <c r="B5290" s="3" t="s">
        <v>5103</v>
      </c>
      <c r="C5290" s="3" t="str">
        <f>IFERROR(__xludf.DUMMYFUNCTION("GOOGLETRANSLATE(B5290,""id"",""en"")"),"['Help', 'Recommendation']")</f>
        <v>['Help', 'Recommendation']</v>
      </c>
      <c r="D5290" s="3">
        <v>4.0</v>
      </c>
    </row>
    <row r="5291" ht="15.75" customHeight="1">
      <c r="A5291" s="1">
        <v>5644.0</v>
      </c>
      <c r="B5291" s="3" t="s">
        <v>5104</v>
      </c>
      <c r="C5291" s="3" t="str">
        <f>IFERROR(__xludf.DUMMYFUNCTION("GOOGLETRANSLATE(B5291,""id"",""en"")"),"['Voice', 'Notif', 'UDH', 'Denkan', 'Nyala', ""]")</f>
        <v>['Voice', 'Notif', 'UDH', 'Denkan', 'Nyala', "]</v>
      </c>
      <c r="D5291" s="3">
        <v>1.0</v>
      </c>
    </row>
    <row r="5292" ht="15.75" customHeight="1">
      <c r="A5292" s="1">
        <v>5645.0</v>
      </c>
      <c r="B5292" s="3" t="s">
        <v>5105</v>
      </c>
      <c r="C5292" s="3" t="str">
        <f>IFERROR(__xludf.DUMMYFUNCTION("GOOGLETRANSLATE(B5292,""id"",""en"")"),"['Network', 'good', 'promo', 'interesting', 'satisfied', 'use', 'Telkomsel']")</f>
        <v>['Network', 'good', 'promo', 'interesting', 'satisfied', 'use', 'Telkomsel']</v>
      </c>
      <c r="D5292" s="3">
        <v>5.0</v>
      </c>
    </row>
    <row r="5293" ht="15.75" customHeight="1">
      <c r="A5293" s="1">
        <v>5646.0</v>
      </c>
      <c r="B5293" s="3" t="s">
        <v>5106</v>
      </c>
      <c r="C5293" s="3" t="str">
        <f>IFERROR(__xludf.DUMMYFUNCTION("GOOGLETRANSLATE(B5293,""id"",""en"")"),"['Package', 'combo']")</f>
        <v>['Package', 'combo']</v>
      </c>
      <c r="D5293" s="3">
        <v>5.0</v>
      </c>
    </row>
    <row r="5294" ht="15.75" customHeight="1">
      <c r="A5294" s="1">
        <v>5647.0</v>
      </c>
      <c r="B5294" s="3" t="s">
        <v>5107</v>
      </c>
      <c r="C5294" s="3" t="str">
        <f>IFERROR(__xludf.DUMMYFUNCTION("GOOGLETRANSLATE(B5294,""id"",""en"")"),"['Jos', 'difficult', 'Open']")</f>
        <v>['Jos', 'difficult', 'Open']</v>
      </c>
      <c r="D5294" s="3">
        <v>5.0</v>
      </c>
    </row>
    <row r="5295" ht="15.75" customHeight="1">
      <c r="A5295" s="1">
        <v>5648.0</v>
      </c>
      <c r="B5295" s="3" t="s">
        <v>5108</v>
      </c>
      <c r="C5295" s="3" t="str">
        <f>IFERROR(__xludf.DUMMYFUNCTION("GOOGLETRANSLATE(B5295,""id"",""en"")"),"['Mantappp', 'Bangat', 'AKP']")</f>
        <v>['Mantappp', 'Bangat', 'AKP']</v>
      </c>
      <c r="D5295" s="3">
        <v>5.0</v>
      </c>
    </row>
    <row r="5296" ht="15.75" customHeight="1">
      <c r="A5296" s="1">
        <v>5649.0</v>
      </c>
      <c r="B5296" s="3" t="s">
        <v>5109</v>
      </c>
      <c r="C5296" s="3" t="str">
        <f>IFERROR(__xludf.DUMMYFUNCTION("GOOGLETRANSLATE(B5296,""id"",""en"")"),"['Network', 'ugly', 'wanted', 'toxic']")</f>
        <v>['Network', 'ugly', 'wanted', 'toxic']</v>
      </c>
      <c r="D5296" s="3">
        <v>1.0</v>
      </c>
    </row>
    <row r="5297" ht="15.75" customHeight="1">
      <c r="A5297" s="1">
        <v>5651.0</v>
      </c>
      <c r="B5297" s="3" t="s">
        <v>5110</v>
      </c>
      <c r="C5297" s="3" t="str">
        <f>IFERROR(__xludf.DUMMYFUNCTION("GOOGLETRANSLATE(B5297,""id"",""en"")"),"['Difficult', 'enter']")</f>
        <v>['Difficult', 'enter']</v>
      </c>
      <c r="D5297" s="3">
        <v>5.0</v>
      </c>
    </row>
    <row r="5298" ht="15.75" customHeight="1">
      <c r="A5298" s="1">
        <v>5652.0</v>
      </c>
      <c r="B5298" s="3" t="s">
        <v>3208</v>
      </c>
      <c r="C5298" s="3" t="str">
        <f>IFERROR(__xludf.DUMMYFUNCTION("GOOGLETRANSLATE(B5298,""id"",""en"")"),"['try']")</f>
        <v>['try']</v>
      </c>
      <c r="D5298" s="3">
        <v>3.0</v>
      </c>
    </row>
    <row r="5299" ht="15.75" customHeight="1">
      <c r="A5299" s="1">
        <v>5653.0</v>
      </c>
      <c r="B5299" s="3" t="s">
        <v>5111</v>
      </c>
      <c r="C5299" s="3" t="str">
        <f>IFERROR(__xludf.DUMMYFUNCTION("GOOGLETRANSLATE(B5299,""id"",""en"")"),"['expensive', 'slow', 'work', 'serious', 'ngak', ""]")</f>
        <v>['expensive', 'slow', 'work', 'serious', 'ngak', "]</v>
      </c>
      <c r="D5299" s="3">
        <v>1.0</v>
      </c>
    </row>
    <row r="5300" ht="15.75" customHeight="1">
      <c r="A5300" s="1">
        <v>5654.0</v>
      </c>
      <c r="B5300" s="3" t="s">
        <v>5112</v>
      </c>
      <c r="C5300" s="3" t="str">
        <f>IFERROR(__xludf.DUMMYFUNCTION("GOOGLETRANSLATE(B5300,""id"",""en"")"),"['interesting']")</f>
        <v>['interesting']</v>
      </c>
      <c r="D5300" s="3">
        <v>4.0</v>
      </c>
    </row>
    <row r="5301" ht="15.75" customHeight="1">
      <c r="A5301" s="1">
        <v>5655.0</v>
      </c>
      <c r="B5301" s="3" t="s">
        <v>5113</v>
      </c>
      <c r="C5301" s="3" t="str">
        <f>IFERROR(__xludf.DUMMYFUNCTION("GOOGLETRANSLATE(B5301,""id"",""en"")"),"['Enter', 'easy', 'check', 'pulse', 'check', 'data', 'accurate']")</f>
        <v>['Enter', 'easy', 'check', 'pulse', 'check', 'data', 'accurate']</v>
      </c>
      <c r="D5301" s="3">
        <v>5.0</v>
      </c>
    </row>
    <row r="5302" ht="15.75" customHeight="1">
      <c r="A5302" s="1">
        <v>5656.0</v>
      </c>
      <c r="B5302" s="3" t="s">
        <v>5114</v>
      </c>
      <c r="C5302" s="3" t="str">
        <f>IFERROR(__xludf.DUMMYFUNCTION("GOOGLETRANSLATE(B5302,""id"",""en"")"),"['Happy Birthday']")</f>
        <v>['Happy Birthday']</v>
      </c>
      <c r="D5302" s="3">
        <v>5.0</v>
      </c>
    </row>
    <row r="5303" ht="15.75" customHeight="1">
      <c r="A5303" s="1">
        <v>5657.0</v>
      </c>
      <c r="B5303" s="3" t="s">
        <v>5115</v>
      </c>
      <c r="C5303" s="3" t="str">
        <f>IFERROR(__xludf.DUMMYFUNCTION("GOOGLETRANSLATE(B5303,""id"",""en"")"),"['signal', 'difficult', 'times']")</f>
        <v>['signal', 'difficult', 'times']</v>
      </c>
      <c r="D5303" s="3">
        <v>1.0</v>
      </c>
    </row>
    <row r="5304" ht="15.75" customHeight="1">
      <c r="A5304" s="1">
        <v>5658.0</v>
      </c>
      <c r="B5304" s="3" t="s">
        <v>5116</v>
      </c>
      <c r="C5304" s="3" t="str">
        <f>IFERROR(__xludf.DUMMYFUNCTION("GOOGLETRANSLATE(B5304,""id"",""en"")"),"['Anjim', 'already', 'Sunday', 'Application', 'Open', 'Anjim', 'Telkomsel']")</f>
        <v>['Anjim', 'already', 'Sunday', 'Application', 'Open', 'Anjim', 'Telkomsel']</v>
      </c>
      <c r="D5304" s="3">
        <v>1.0</v>
      </c>
    </row>
    <row r="5305" ht="15.75" customHeight="1">
      <c r="A5305" s="1">
        <v>5659.0</v>
      </c>
      <c r="B5305" s="3" t="s">
        <v>5117</v>
      </c>
      <c r="C5305" s="3" t="str">
        <f>IFERROR(__xludf.DUMMYFUNCTION("GOOGLETRANSLATE(B5305,""id"",""en"")"),"['network', 'Increase', 'service', 'made easier']")</f>
        <v>['network', 'Increase', 'service', 'made easier']</v>
      </c>
      <c r="D5305" s="3">
        <v>5.0</v>
      </c>
    </row>
    <row r="5306" ht="15.75" customHeight="1">
      <c r="A5306" s="1">
        <v>5660.0</v>
      </c>
      <c r="B5306" s="3" t="s">
        <v>5118</v>
      </c>
      <c r="C5306" s="3" t="str">
        <f>IFERROR(__xludf.DUMMYFUNCTION("GOOGLETRANSLATE(B5306,""id"",""en"")"),"['knp', 'buy', 'package', 'buy', 'connection', 'network', 'ugly', 'no', 'gmn', 'min']")</f>
        <v>['knp', 'buy', 'package', 'buy', 'connection', 'network', 'ugly', 'no', 'gmn', 'min']</v>
      </c>
      <c r="D5306" s="3">
        <v>1.0</v>
      </c>
    </row>
    <row r="5307" ht="15.75" customHeight="1">
      <c r="A5307" s="1">
        <v>5661.0</v>
      </c>
      <c r="B5307" s="3" t="s">
        <v>5119</v>
      </c>
      <c r="C5307" s="3" t="str">
        <f>IFERROR(__xludf.DUMMYFUNCTION("GOOGLETRANSLATE(B5307,""id"",""en"")"),"['GTU', 'paketan', 'trun', 'cheap', 'jdi', 'package', 'populat', 'sya', 'likes', 'bngt', 'tlkomsel', 'skrng']")</f>
        <v>['GTU', 'paketan', 'trun', 'cheap', 'jdi', 'package', 'populat', 'sya', 'likes', 'bngt', 'tlkomsel', 'skrng']</v>
      </c>
      <c r="D5307" s="3">
        <v>5.0</v>
      </c>
    </row>
    <row r="5308" ht="15.75" customHeight="1">
      <c r="A5308" s="1">
        <v>5662.0</v>
      </c>
      <c r="B5308" s="3" t="s">
        <v>1754</v>
      </c>
      <c r="C5308" s="3" t="str">
        <f>IFERROR(__xludf.DUMMYFUNCTION("GOOGLETRANSLATE(B5308,""id"",""en"")"),"['', 'open']")</f>
        <v>['', 'open']</v>
      </c>
      <c r="D5308" s="3">
        <v>1.0</v>
      </c>
    </row>
    <row r="5309" ht="15.75" customHeight="1">
      <c r="A5309" s="1">
        <v>5663.0</v>
      </c>
      <c r="B5309" s="3" t="s">
        <v>5120</v>
      </c>
      <c r="C5309" s="3" t="str">
        <f>IFERROR(__xludf.DUMMYFUNCTION("GOOGLETRANSLATE(B5309,""id"",""en"")"),"['Loding', 'Package', 'please', 'repaired', 'rich', 'here', 'enter']")</f>
        <v>['Loding', 'Package', 'please', 'repaired', 'rich', 'here', 'enter']</v>
      </c>
      <c r="D5309" s="3">
        <v>1.0</v>
      </c>
    </row>
    <row r="5310" ht="15.75" customHeight="1">
      <c r="A5310" s="1">
        <v>5664.0</v>
      </c>
      <c r="B5310" s="3" t="s">
        <v>5121</v>
      </c>
      <c r="C5310" s="3" t="str">
        <f>IFERROR(__xludf.DUMMYFUNCTION("GOOGLETRANSLATE(B5310,""id"",""en"")"),"['AQW', 'helped', 'really', 'APL', 'trimakasih', 'cheap', 'bangeet', 'easy']")</f>
        <v>['AQW', 'helped', 'really', 'APL', 'trimakasih', 'cheap', 'bangeet', 'easy']</v>
      </c>
      <c r="D5310" s="3">
        <v>5.0</v>
      </c>
    </row>
    <row r="5311" ht="15.75" customHeight="1">
      <c r="A5311" s="1">
        <v>5666.0</v>
      </c>
      <c r="B5311" s="3" t="s">
        <v>5122</v>
      </c>
      <c r="C5311" s="3" t="str">
        <f>IFERROR(__xludf.DUMMYFUNCTION("GOOGLETRANSLATE(B5311,""id"",""en"")"),"['Min', 'quota', 'unlimited', '']")</f>
        <v>['Min', 'quota', 'unlimited', '']</v>
      </c>
      <c r="D5311" s="3">
        <v>1.0</v>
      </c>
    </row>
    <row r="5312" ht="15.75" customHeight="1">
      <c r="A5312" s="1">
        <v>5667.0</v>
      </c>
      <c r="B5312" s="3" t="s">
        <v>5123</v>
      </c>
      <c r="C5312" s="3" t="str">
        <f>IFERROR(__xludf.DUMMYFUNCTION("GOOGLETRANSLATE(B5312,""id"",""en"")"),"['Network', 'stable', 'capacity', 'internet', 'adequate', 'access', 'internet', 'fast', 'thank', 'love', ""]")</f>
        <v>['Network', 'stable', 'capacity', 'internet', 'adequate', 'access', 'internet', 'fast', 'thank', 'love', "]</v>
      </c>
      <c r="D5312" s="3">
        <v>1.0</v>
      </c>
    </row>
    <row r="5313" ht="15.75" customHeight="1">
      <c r="A5313" s="1">
        <v>5668.0</v>
      </c>
      <c r="B5313" s="3" t="s">
        <v>5124</v>
      </c>
      <c r="C5313" s="3" t="str">
        <f>IFERROR(__xludf.DUMMYFUNCTION("GOOGLETRANSLATE(B5313,""id"",""en"")"),"['signal', 'Nyaaa', 'ugly', '']")</f>
        <v>['signal', 'Nyaaa', 'ugly', '']</v>
      </c>
      <c r="D5313" s="3">
        <v>1.0</v>
      </c>
    </row>
    <row r="5314" ht="15.75" customHeight="1">
      <c r="A5314" s="1">
        <v>5669.0</v>
      </c>
      <c r="B5314" s="3" t="s">
        <v>5125</v>
      </c>
      <c r="C5314" s="3" t="str">
        <f>IFERROR(__xludf.DUMMYFUNCTION("GOOGLETRANSLATE(B5314,""id"",""en"")"),"['Bener', 'buy', 'Paketan', 'Unlimited', 'TRS', 'Learning', 'Tasks',' get ',' FUP ',' right ',' Since ',' Rich ',' Such is', 'Sousiny', 'ugly', 'trs',' late ',' ngumpuin ',' task ',' please ',' justified ',' ']")</f>
        <v>['Bener', 'buy', 'Paketan', 'Unlimited', 'TRS', 'Learning', 'Tasks',' get ',' FUP ',' right ',' Since ',' Rich ',' Such is', 'Sousiny', 'ugly', 'trs',' late ',' ngumpuin ',' task ',' please ',' justified ',' ']</v>
      </c>
      <c r="D5314" s="3">
        <v>1.0</v>
      </c>
    </row>
    <row r="5315" ht="15.75" customHeight="1">
      <c r="A5315" s="1">
        <v>5670.0</v>
      </c>
      <c r="B5315" s="3" t="s">
        <v>5126</v>
      </c>
      <c r="C5315" s="3" t="str">
        <f>IFERROR(__xludf.DUMMYFUNCTION("GOOGLETRANSLATE(B5315,""id"",""en"")"),"['disorder', 'Nga', 'UDH', 'expensive', 'get', 'quality', 'rich', 'gini', 'jakarta', 'inland']")</f>
        <v>['disorder', 'Nga', 'UDH', 'expensive', 'get', 'quality', 'rich', 'gini', 'jakarta', 'inland']</v>
      </c>
      <c r="D5315" s="3">
        <v>1.0</v>
      </c>
    </row>
    <row r="5316" ht="15.75" customHeight="1">
      <c r="A5316" s="1">
        <v>5671.0</v>
      </c>
      <c r="B5316" s="3" t="s">
        <v>5127</v>
      </c>
      <c r="C5316" s="3" t="str">
        <f>IFERROR(__xludf.DUMMYFUNCTION("GOOGLETRANSLATE(B5316,""id"",""en"")"),"['free', 'pulse', 'buy', 'package', 'woy', 'really', 'ajalah']")</f>
        <v>['free', 'pulse', 'buy', 'package', 'woy', 'really', 'ajalah']</v>
      </c>
      <c r="D5316" s="3">
        <v>2.0</v>
      </c>
    </row>
    <row r="5317" ht="15.75" customHeight="1">
      <c r="A5317" s="1">
        <v>5672.0</v>
      </c>
      <c r="B5317" s="3" t="s">
        <v>5128</v>
      </c>
      <c r="C5317" s="3" t="str">
        <f>IFERROR(__xludf.DUMMYFUNCTION("GOOGLETRANSLATE(B5317,""id"",""en"")"),"['Region', 'City', 'Metro', 'Lampung', 'Signal', 'Severe', 'Very', 'Udh']")</f>
        <v>['Region', 'City', 'Metro', 'Lampung', 'Signal', 'Severe', 'Very', 'Udh']</v>
      </c>
      <c r="D5317" s="3">
        <v>4.0</v>
      </c>
    </row>
    <row r="5318" ht="15.75" customHeight="1">
      <c r="A5318" s="1">
        <v>5673.0</v>
      </c>
      <c r="B5318" s="3" t="s">
        <v>5129</v>
      </c>
      <c r="C5318" s="3" t="str">
        <f>IFERROR(__xludf.DUMMYFUNCTION("GOOGLETRANSLATE(B5318,""id"",""en"")"),"['knp', 'application', 'Telkomsel', 'kbuka', 'udh', 'try', 'hpus', 'application', 'download', 'msh', 'kbuka']")</f>
        <v>['knp', 'application', 'Telkomsel', 'kbuka', 'udh', 'try', 'hpus', 'application', 'download', 'msh', 'kbuka']</v>
      </c>
      <c r="D5318" s="3">
        <v>1.0</v>
      </c>
    </row>
    <row r="5319" ht="15.75" customHeight="1">
      <c r="A5319" s="1">
        <v>5674.0</v>
      </c>
      <c r="B5319" s="3" t="s">
        <v>1463</v>
      </c>
      <c r="C5319" s="3" t="str">
        <f>IFERROR(__xludf.DUMMYFUNCTION("GOOGLETRANSLATE(B5319,""id"",""en"")"),"['It's easier for']")</f>
        <v>['It's easier for']</v>
      </c>
      <c r="D5319" s="3">
        <v>5.0</v>
      </c>
    </row>
    <row r="5320" ht="15.75" customHeight="1">
      <c r="A5320" s="1">
        <v>5675.0</v>
      </c>
      <c r="B5320" s="3" t="s">
        <v>5130</v>
      </c>
      <c r="C5320" s="3" t="str">
        <f>IFERROR(__xludf.DUMMYFUNCTION("GOOGLETRANSLATE(B5320,""id"",""en"")"),"['Min', 'a week', 'APL', 'open', 'since', 'update', 'version', 'newest']")</f>
        <v>['Min', 'a week', 'APL', 'open', 'since', 'update', 'version', 'newest']</v>
      </c>
      <c r="D5320" s="3">
        <v>1.0</v>
      </c>
    </row>
    <row r="5321" ht="15.75" customHeight="1">
      <c r="A5321" s="1">
        <v>5676.0</v>
      </c>
      <c r="B5321" s="3" t="s">
        <v>5131</v>
      </c>
      <c r="C5321" s="3" t="str">
        <f>IFERROR(__xludf.DUMMYFUNCTION("GOOGLETRANSLATE(B5321,""id"",""en"")"),"['Opened', 'Application', 'Opened', 'Direct']")</f>
        <v>['Opened', 'Application', 'Opened', 'Direct']</v>
      </c>
      <c r="D5321" s="3">
        <v>1.0</v>
      </c>
    </row>
    <row r="5322" ht="15.75" customHeight="1">
      <c r="A5322" s="1">
        <v>5677.0</v>
      </c>
      <c r="B5322" s="3" t="s">
        <v>5132</v>
      </c>
      <c r="C5322" s="3" t="str">
        <f>IFERROR(__xludf.DUMMYFUNCTION("GOOGLETRANSLATE(B5322,""id"",""en"")"),"['The application', 'open', 'Please', 'solution']")</f>
        <v>['The application', 'open', 'Please', 'solution']</v>
      </c>
      <c r="D5322" s="3">
        <v>5.0</v>
      </c>
    </row>
    <row r="5323" ht="15.75" customHeight="1">
      <c r="A5323" s="1">
        <v>5678.0</v>
      </c>
      <c r="B5323" s="3" t="s">
        <v>5133</v>
      </c>
      <c r="C5323" s="3" t="str">
        <f>IFERROR(__xludf.DUMMYFUNCTION("GOOGLETRANSLATE(B5323,""id"",""en"")"),"['down', 'price', 'package', 'expensive', 'if', 'village', 'network', 'udh', 'switch', 'provider']")</f>
        <v>['down', 'price', 'package', 'expensive', 'if', 'village', 'network', 'udh', 'switch', 'provider']</v>
      </c>
      <c r="D5323" s="3">
        <v>1.0</v>
      </c>
    </row>
    <row r="5324" ht="15.75" customHeight="1">
      <c r="A5324" s="1">
        <v>5679.0</v>
      </c>
      <c r="B5324" s="3" t="s">
        <v>5134</v>
      </c>
      <c r="C5324" s="3" t="str">
        <f>IFERROR(__xludf.DUMMYFUNCTION("GOOGLETRANSLATE(B5324,""id"",""en"")"),"['Slow', 'he run']")</f>
        <v>['Slow', 'he run']</v>
      </c>
      <c r="D5324" s="3">
        <v>1.0</v>
      </c>
    </row>
    <row r="5325" ht="15.75" customHeight="1">
      <c r="A5325" s="1">
        <v>5680.0</v>
      </c>
      <c r="B5325" s="3" t="s">
        <v>5135</v>
      </c>
      <c r="C5325" s="3" t="str">
        <f>IFERROR(__xludf.DUMMYFUNCTION("GOOGLETRANSLATE(B5325,""id"",""en"")"),"['Opened', 'The application', 'Please', 'Assisted', '']")</f>
        <v>['Opened', 'The application', 'Please', 'Assisted', '']</v>
      </c>
      <c r="D5325" s="3">
        <v>3.0</v>
      </c>
    </row>
    <row r="5326" ht="15.75" customHeight="1">
      <c r="A5326" s="1">
        <v>5681.0</v>
      </c>
      <c r="B5326" s="3" t="s">
        <v>5136</v>
      </c>
      <c r="C5326" s="3" t="str">
        <f>IFERROR(__xludf.DUMMYFUNCTION("GOOGLETRANSLATE(B5326,""id"",""en"")"),"['expensive', 'doang', 'price', 'quality', 'ugly']")</f>
        <v>['expensive', 'doang', 'price', 'quality', 'ugly']</v>
      </c>
      <c r="D5326" s="3">
        <v>1.0</v>
      </c>
    </row>
    <row r="5327" ht="15.75" customHeight="1">
      <c r="A5327" s="1">
        <v>5682.0</v>
      </c>
      <c r="B5327" s="3" t="s">
        <v>5137</v>
      </c>
      <c r="C5327" s="3" t="str">
        <f>IFERROR(__xludf.DUMMYFUNCTION("GOOGLETRANSLATE(B5327,""id"",""en"")"),"['Telkomsel', 'TOP']")</f>
        <v>['Telkomsel', 'TOP']</v>
      </c>
      <c r="D5327" s="3">
        <v>5.0</v>
      </c>
    </row>
    <row r="5328" ht="15.75" customHeight="1">
      <c r="A5328" s="1">
        <v>5683.0</v>
      </c>
      <c r="B5328" s="3" t="s">
        <v>5138</v>
      </c>
      <c r="C5328" s="3" t="str">
        <f>IFERROR(__xludf.DUMMYFUNCTION("GOOGLETRANSLATE(B5328,""id"",""en"")"),"['Please', 'fix', 'signal', 'yes', 'package', 'expensive', 'worth', 'speed', 'data', 'obtained', ""]")</f>
        <v>['Please', 'fix', 'signal', 'yes', 'package', 'expensive', 'worth', 'speed', 'data', 'obtained', "]</v>
      </c>
      <c r="D5328" s="3">
        <v>2.0</v>
      </c>
    </row>
    <row r="5329" ht="15.75" customHeight="1">
      <c r="A5329" s="1">
        <v>5684.0</v>
      </c>
      <c r="B5329" s="3" t="s">
        <v>5139</v>
      </c>
      <c r="C5329" s="3" t="str">
        <f>IFERROR(__xludf.DUMMYFUNCTION("GOOGLETRANSLATE(B5329,""id"",""en"")"),"['Satisfied', 'really', 'Telkomsel']")</f>
        <v>['Satisfied', 'really', 'Telkomsel']</v>
      </c>
      <c r="D5329" s="3">
        <v>5.0</v>
      </c>
    </row>
    <row r="5330" ht="15.75" customHeight="1">
      <c r="A5330" s="1">
        <v>5685.0</v>
      </c>
      <c r="B5330" s="3" t="s">
        <v>5140</v>
      </c>
      <c r="C5330" s="3" t="str">
        <f>IFERROR(__xludf.DUMMYFUNCTION("GOOGLETRANSLATE(B5330,""id"",""en"")"),"['service', 'Telkomsel', 'Troble', 'anywhere', 'place', 'RAM', 'Android', 'Employee', 'Salary', 'satisfying', 'Customer', ""]")</f>
        <v>['service', 'Telkomsel', 'Troble', 'anywhere', 'place', 'RAM', 'Android', 'Employee', 'Salary', 'satisfying', 'Customer', "]</v>
      </c>
      <c r="D5330" s="3">
        <v>1.0</v>
      </c>
    </row>
    <row r="5331" ht="15.75" customHeight="1">
      <c r="A5331" s="1">
        <v>5686.0</v>
      </c>
      <c r="B5331" s="3" t="s">
        <v>5141</v>
      </c>
      <c r="C5331" s="3" t="str">
        <f>IFERROR(__xludf.DUMMYFUNCTION("GOOGLETRANSLATE(B5331,""id"",""en"")"),"['Application', 'Opened', 'Blank', 'White', 'Doang', 'Operator', 'Response', 'Nda', 'Dliat', 'Dibalesin', 'Enter', 'Review', ' Dear ',' brother ',' Please ',' Sorry ',' Kitidak ',' Successful ',' Please ',' CONTACT ',' MIMIN ',' BLA ',' BLA ',' BLA ',' ND"&amp;"A ' , 'please', 'donk']")</f>
        <v>['Application', 'Opened', 'Blank', 'White', 'Doang', 'Operator', 'Response', 'Nda', 'Dliat', 'Dibalesin', 'Enter', 'Review', ' Dear ',' brother ',' Please ',' Sorry ',' Kitidak ',' Successful ',' Please ',' CONTACT ',' MIMIN ',' BLA ',' BLA ',' BLA ',' NDA ' , 'please', 'donk']</v>
      </c>
      <c r="D5331" s="3">
        <v>1.0</v>
      </c>
    </row>
    <row r="5332" ht="15.75" customHeight="1">
      <c r="A5332" s="1">
        <v>5687.0</v>
      </c>
      <c r="B5332" s="3" t="s">
        <v>5142</v>
      </c>
      <c r="C5332" s="3" t="str">
        <f>IFERROR(__xludf.DUMMYFUNCTION("GOOGLETRANSLATE(B5332,""id"",""en"")"),"['Severe', 'city', 'me', 'package', 'expensive', 'signal', 'chaotic', 'kayak', 'hedeehhh', 'buy', 'package', 'signal', ' steady ',' TPI ',' KSINI ',' maybe ',' signal ',' emotion ',' parahh ',' sih ']")</f>
        <v>['Severe', 'city', 'me', 'package', 'expensive', 'signal', 'chaotic', 'kayak', 'hedeehhh', 'buy', 'package', 'signal', ' steady ',' TPI ',' KSINI ',' maybe ',' signal ',' emotion ',' parahh ',' sih ']</v>
      </c>
      <c r="D5332" s="3">
        <v>1.0</v>
      </c>
    </row>
    <row r="5333" ht="15.75" customHeight="1">
      <c r="A5333" s="1">
        <v>5688.0</v>
      </c>
      <c r="B5333" s="3" t="s">
        <v>5143</v>
      </c>
      <c r="C5333" s="3" t="str">
        <f>IFERROR(__xludf.DUMMYFUNCTION("GOOGLETRANSLATE(B5333,""id"",""en"")"),"['Satisfied', 'Satisfied', 'Reuses',' Level ',' Special ',' Promo ',' Credit ',' Hadia ',' People ',' Interested ',' Asked ',' Expect ',' ']")</f>
        <v>['Satisfied', 'Satisfied', 'Reuses',' Level ',' Special ',' Promo ',' Credit ',' Hadia ',' People ',' Interested ',' Asked ',' Expect ',' ']</v>
      </c>
      <c r="D5333" s="3">
        <v>2.0</v>
      </c>
    </row>
    <row r="5334" ht="15.75" customHeight="1">
      <c r="A5334" s="1">
        <v>5689.0</v>
      </c>
      <c r="B5334" s="3" t="s">
        <v>5144</v>
      </c>
      <c r="C5334" s="3" t="str">
        <f>IFERROR(__xludf.DUMMYFUNCTION("GOOGLETRANSLATE(B5334,""id"",""en"")"),"['signal', 'weird', 'kaga', 'ngatasnya', 'how', 'quota', 'lag', 'karuan']")</f>
        <v>['signal', 'weird', 'kaga', 'ngatasnya', 'how', 'quota', 'lag', 'karuan']</v>
      </c>
      <c r="D5334" s="3">
        <v>1.0</v>
      </c>
    </row>
    <row r="5335" ht="15.75" customHeight="1">
      <c r="A5335" s="1">
        <v>5690.0</v>
      </c>
      <c r="B5335" s="3" t="s">
        <v>5145</v>
      </c>
      <c r="C5335" s="3" t="str">
        <f>IFERROR(__xludf.DUMMYFUNCTION("GOOGLETRANSLATE(B5335,""id"",""en"")"),"['please', 'Telkomsel', 'kouta', 'internet', 'unlimited', 'youtube', 'youtoan', 'reduced', 'quota', 'internet', 'unlimited', 'youtube', ' please ',' fix ',' love ',' star ',' fix ',' love ',' star ',' ']")</f>
        <v>['please', 'Telkomsel', 'kouta', 'internet', 'unlimited', 'youtube', 'youtoan', 'reduced', 'quota', 'internet', 'unlimited', 'youtube', ' please ',' fix ',' love ',' star ',' fix ',' love ',' star ',' ']</v>
      </c>
      <c r="D5335" s="3">
        <v>4.0</v>
      </c>
    </row>
    <row r="5336" ht="15.75" customHeight="1">
      <c r="A5336" s="1">
        <v>5692.0</v>
      </c>
      <c r="B5336" s="3" t="s">
        <v>5146</v>
      </c>
      <c r="C5336" s="3" t="str">
        <f>IFERROR(__xludf.DUMMYFUNCTION("GOOGLETRANSLATE(B5336,""id"",""en"")"),"['Application', 'Recommendation', 'really']")</f>
        <v>['Application', 'Recommendation', 'really']</v>
      </c>
      <c r="D5336" s="3">
        <v>4.0</v>
      </c>
    </row>
    <row r="5337" ht="15.75" customHeight="1">
      <c r="A5337" s="1">
        <v>5693.0</v>
      </c>
      <c r="B5337" s="3" t="s">
        <v>4750</v>
      </c>
      <c r="C5337" s="3" t="str">
        <f>IFERROR(__xludf.DUMMYFUNCTION("GOOGLETRANSLATE(B5337,""id"",""en"")"),"['The application', 'opened']")</f>
        <v>['The application', 'opened']</v>
      </c>
      <c r="D5337" s="3">
        <v>1.0</v>
      </c>
    </row>
    <row r="5338" ht="15.75" customHeight="1">
      <c r="A5338" s="1">
        <v>5694.0</v>
      </c>
      <c r="B5338" s="3" t="s">
        <v>5147</v>
      </c>
      <c r="C5338" s="3" t="str">
        <f>IFERROR(__xludf.DUMMYFUNCTION("GOOGLETRANSLATE(B5338,""id"",""en"")"),"['signal', 'setabilia', 'right', 'play', 'game', '']")</f>
        <v>['signal', 'setabilia', 'right', 'play', 'game', '']</v>
      </c>
      <c r="D5338" s="3">
        <v>1.0</v>
      </c>
    </row>
    <row r="5339" ht="15.75" customHeight="1">
      <c r="A5339" s="1">
        <v>5695.0</v>
      </c>
      <c r="B5339" s="3" t="s">
        <v>5148</v>
      </c>
      <c r="C5339" s="3" t="str">
        <f>IFERROR(__xludf.DUMMYFUNCTION("GOOGLETRANSLATE(B5339,""id"",""en"")"),"['Telkomsel', 'open', 'times', 'Delete', 'Download', 'open', ""]")</f>
        <v>['Telkomsel', 'open', 'times', 'Delete', 'Download', 'open', "]</v>
      </c>
      <c r="D5339" s="3">
        <v>1.0</v>
      </c>
    </row>
    <row r="5340" ht="15.75" customHeight="1">
      <c r="A5340" s="1">
        <v>5696.0</v>
      </c>
      <c r="B5340" s="3" t="s">
        <v>5149</v>
      </c>
      <c r="C5340" s="3" t="str">
        <f>IFERROR(__xludf.DUMMYFUNCTION("GOOGLETRANSLATE(B5340,""id"",""en"")"),"['Pelit', '']")</f>
        <v>['Pelit', '']</v>
      </c>
      <c r="D5340" s="3">
        <v>5.0</v>
      </c>
    </row>
    <row r="5341" ht="15.75" customHeight="1">
      <c r="A5341" s="1">
        <v>5697.0</v>
      </c>
      <c r="B5341" s="3" t="s">
        <v>5150</v>
      </c>
      <c r="C5341" s="3" t="str">
        <f>IFERROR(__xludf.DUMMYFUNCTION("GOOGLETRANSLATE(B5341,""id"",""en"")"),"['Min', 'APK', 'Telkomsel', 'White', 'Screen', 'Signal', 'Current']")</f>
        <v>['Min', 'APK', 'Telkomsel', 'White', 'Screen', 'Signal', 'Current']</v>
      </c>
      <c r="D5341" s="3">
        <v>2.0</v>
      </c>
    </row>
    <row r="5342" ht="15.75" customHeight="1">
      <c r="A5342" s="1">
        <v>5698.0</v>
      </c>
      <c r="B5342" s="3" t="s">
        <v>5151</v>
      </c>
      <c r="C5342" s="3" t="str">
        <f>IFERROR(__xludf.DUMMYFUNCTION("GOOGLETRANSLATE(B5342,""id"",""en"")"),"['knapa', 'download', 'open', 'strange', 'application', 'rada', 'slow', 'open', 'screen', 'white', 'doank', ""]")</f>
        <v>['knapa', 'download', 'open', 'strange', 'application', 'rada', 'slow', 'open', 'screen', 'white', 'doank', "]</v>
      </c>
      <c r="D5342" s="3">
        <v>3.0</v>
      </c>
    </row>
    <row r="5343" ht="15.75" customHeight="1">
      <c r="A5343" s="1">
        <v>5699.0</v>
      </c>
      <c r="B5343" s="3" t="s">
        <v>5152</v>
      </c>
      <c r="C5343" s="3" t="str">
        <f>IFERROR(__xludf.DUMMYFUNCTION("GOOGLETRANSLATE(B5343,""id"",""en"")"),"['application', 'opened', 'a week', 'communication', 'assistant', 'virtual', 'Veronika', 'do', 'recommendation', 'open', 'repaired', 'As a result', ' fatal ',' customer ',' disappointed ',' tip ',' moved ',' operator ',' telkomsel ',' biggest ',' smallest"&amp;" ']")</f>
        <v>['application', 'opened', 'a week', 'communication', 'assistant', 'virtual', 'Veronika', 'do', 'recommendation', 'open', 'repaired', 'As a result', ' fatal ',' customer ',' disappointed ',' tip ',' moved ',' operator ',' telkomsel ',' biggest ',' smallest ']</v>
      </c>
      <c r="D5343" s="3">
        <v>1.0</v>
      </c>
    </row>
    <row r="5344" ht="15.75" customHeight="1">
      <c r="A5344" s="1">
        <v>5701.0</v>
      </c>
      <c r="B5344" s="3" t="s">
        <v>5153</v>
      </c>
      <c r="C5344" s="3" t="str">
        <f>IFERROR(__xludf.DUMMYFUNCTION("GOOGLETRANSLATE(B5344,""id"",""en"")"),"['application', 'opened', 'opened', 'black', 'open', 'the application', ""]")</f>
        <v>['application', 'opened', 'opened', 'black', 'open', 'the application', "]</v>
      </c>
      <c r="D5344" s="3">
        <v>1.0</v>
      </c>
    </row>
    <row r="5345" ht="15.75" customHeight="1">
      <c r="A5345" s="1">
        <v>5702.0</v>
      </c>
      <c r="B5345" s="3" t="s">
        <v>5154</v>
      </c>
      <c r="C5345" s="3" t="str">
        <f>IFERROR(__xludf.DUMMYFUNCTION("GOOGLETRANSLATE(B5345,""id"",""en"")"),"['Kasi', 'Bintang', 'Gabut']")</f>
        <v>['Kasi', 'Bintang', 'Gabut']</v>
      </c>
      <c r="D5345" s="3">
        <v>5.0</v>
      </c>
    </row>
    <row r="5346" ht="15.75" customHeight="1">
      <c r="A5346" s="1">
        <v>5703.0</v>
      </c>
      <c r="B5346" s="3" t="s">
        <v>5155</v>
      </c>
      <c r="C5346" s="3" t="str">
        <f>IFERROR(__xludf.DUMMYFUNCTION("GOOGLETRANSLATE(B5346,""id"",""en"")"),"['', 'Samsung', 'kekak', 'updte', 'please', 'boss']")</f>
        <v>['', 'Samsung', 'kekak', 'updte', 'please', 'boss']</v>
      </c>
      <c r="D5346" s="3">
        <v>2.0</v>
      </c>
    </row>
    <row r="5347" ht="15.75" customHeight="1">
      <c r="A5347" s="1">
        <v>5704.0</v>
      </c>
      <c r="B5347" s="3" t="s">
        <v>5156</v>
      </c>
      <c r="C5347" s="3" t="str">
        <f>IFERROR(__xludf.DUMMYFUNCTION("GOOGLETRANSLATE(B5347,""id"",""en"")"),"['Loading', 'Application', 'Heavy', 'Opened']")</f>
        <v>['Loading', 'Application', 'Heavy', 'Opened']</v>
      </c>
      <c r="D5347" s="3">
        <v>3.0</v>
      </c>
    </row>
    <row r="5348" ht="15.75" customHeight="1">
      <c r="A5348" s="1">
        <v>5705.0</v>
      </c>
      <c r="B5348" s="3" t="s">
        <v>5157</v>
      </c>
      <c r="C5348" s="3" t="str">
        <f>IFERROR(__xludf.DUMMYFUNCTION("GOOGLETRANSLATE(B5348,""id"",""en"")"),"['Application', 'Telkomsel', 'NGK', 'Open', '']")</f>
        <v>['Application', 'Telkomsel', 'NGK', 'Open', '']</v>
      </c>
      <c r="D5348" s="3">
        <v>1.0</v>
      </c>
    </row>
    <row r="5349" ht="15.75" customHeight="1">
      <c r="A5349" s="1">
        <v>5706.0</v>
      </c>
      <c r="B5349" s="3" t="s">
        <v>5158</v>
      </c>
      <c r="C5349" s="3" t="str">
        <f>IFERROR(__xludf.DUMMYFUNCTION("GOOGLETRANSLATE(B5349,""id"",""en"")"),"['', 'update', 'error', 'no', 'open']")</f>
        <v>['', 'update', 'error', 'no', 'open']</v>
      </c>
      <c r="D5349" s="3">
        <v>1.0</v>
      </c>
    </row>
    <row r="5350" ht="15.75" customHeight="1">
      <c r="A5350" s="1">
        <v>5707.0</v>
      </c>
      <c r="B5350" s="3" t="s">
        <v>1367</v>
      </c>
      <c r="C5350" s="3" t="str">
        <f>IFERROR(__xludf.DUMMYFUNCTION("GOOGLETRANSLATE(B5350,""id"",""en"")"),"['good']")</f>
        <v>['good']</v>
      </c>
      <c r="D5350" s="3">
        <v>5.0</v>
      </c>
    </row>
    <row r="5351" ht="15.75" customHeight="1">
      <c r="A5351" s="1">
        <v>5708.0</v>
      </c>
      <c r="B5351" s="3" t="s">
        <v>5159</v>
      </c>
      <c r="C5351" s="3" t="str">
        <f>IFERROR(__xludf.DUMMYFUNCTION("GOOGLETRANSLATE(B5351,""id"",""en"")"),"['Please', 'security', 'transaction', 'Increase', 'payment', 'anything', 'verification', 'person', 'old', 'install', 'application', 'called', ' Oknum ',' Moves', 'TELKOMSEL', 'OTP', 'Transaction', 'RBU', 'Transaction', 'Confirm', 'Relying on', 'Login', 'A"&amp;"pplication', 'How' , 'good', 'use', 'pin', 'transaction', '']")</f>
        <v>['Please', 'security', 'transaction', 'Increase', 'payment', 'anything', 'verification', 'person', 'old', 'install', 'application', 'called', ' Oknum ',' Moves', 'TELKOMSEL', 'OTP', 'Transaction', 'RBU', 'Transaction', 'Confirm', 'Relying on', 'Login', 'Application', 'How' , 'good', 'use', 'pin', 'transaction', '']</v>
      </c>
      <c r="D5351" s="3">
        <v>3.0</v>
      </c>
    </row>
    <row r="5352" ht="15.75" customHeight="1">
      <c r="A5352" s="1">
        <v>5709.0</v>
      </c>
      <c r="B5352" s="3" t="s">
        <v>5160</v>
      </c>
      <c r="C5352" s="3" t="str">
        <f>IFERROR(__xludf.DUMMYFUNCTION("GOOGLETRANSLATE(B5352,""id"",""en"")"),"['card', 'Telkomsel', 'grace', 'fast', 'grace', 'difficult', '']")</f>
        <v>['card', 'Telkomsel', 'grace', 'fast', 'grace', 'difficult', '']</v>
      </c>
      <c r="D5352" s="3">
        <v>1.0</v>
      </c>
    </row>
    <row r="5353" ht="15.75" customHeight="1">
      <c r="A5353" s="1">
        <v>5710.0</v>
      </c>
      <c r="B5353" s="3" t="s">
        <v>5161</v>
      </c>
      <c r="C5353" s="3" t="str">
        <f>IFERROR(__xludf.DUMMYFUNCTION("GOOGLETRANSLATE(B5353,""id"",""en"")"),"['fast', 'Telkomsel']")</f>
        <v>['fast', 'Telkomsel']</v>
      </c>
      <c r="D5353" s="3">
        <v>5.0</v>
      </c>
    </row>
    <row r="5354" ht="15.75" customHeight="1">
      <c r="A5354" s="1">
        <v>5711.0</v>
      </c>
      <c r="B5354" s="3" t="s">
        <v>4176</v>
      </c>
      <c r="C5354" s="3" t="str">
        <f>IFERROR(__xludf.DUMMYFUNCTION("GOOGLETRANSLATE(B5354,""id"",""en"")"),"['Application', 'help', ""]")</f>
        <v>['Application', 'help', "]</v>
      </c>
      <c r="D5354" s="3">
        <v>5.0</v>
      </c>
    </row>
    <row r="5355" ht="15.75" customHeight="1">
      <c r="A5355" s="1">
        <v>5713.0</v>
      </c>
      <c r="B5355" s="3" t="s">
        <v>5162</v>
      </c>
      <c r="C5355" s="3" t="str">
        <f>IFERROR(__xludf.DUMMYFUNCTION("GOOGLETRANSLATE(B5355,""id"",""en"")"),"['BURIK', 'Network', '']")</f>
        <v>['BURIK', 'Network', '']</v>
      </c>
      <c r="D5355" s="3">
        <v>5.0</v>
      </c>
    </row>
    <row r="5356" ht="15.75" customHeight="1">
      <c r="A5356" s="1">
        <v>5714.0</v>
      </c>
      <c r="B5356" s="3" t="s">
        <v>5163</v>
      </c>
      <c r="C5356" s="3" t="str">
        <f>IFERROR(__xludf.DUMMYFUNCTION("GOOGLETRANSLATE(B5356,""id"",""en"")"),"['quality', 'Telkomsel', 'bad', 'no', 'according to', 'price', 'package', '']")</f>
        <v>['quality', 'Telkomsel', 'bad', 'no', 'according to', 'price', 'package', '']</v>
      </c>
      <c r="D5356" s="3">
        <v>1.0</v>
      </c>
    </row>
    <row r="5357" ht="15.75" customHeight="1">
      <c r="A5357" s="1">
        <v>5715.0</v>
      </c>
      <c r="B5357" s="3" t="s">
        <v>5164</v>
      </c>
      <c r="C5357" s="3" t="str">
        <f>IFERROR(__xludf.DUMMYFUNCTION("GOOGLETRANSLATE(B5357,""id"",""en"")"),"['Hopefully', 'Win', 'Points', 'Exchange', 'Points', 'Win', 'Signal', 'Darling', 'Sometimes', 'Region', 'Signal', 'Telkomsel']")</f>
        <v>['Hopefully', 'Win', 'Points', 'Exchange', 'Points', 'Win', 'Signal', 'Darling', 'Sometimes', 'Region', 'Signal', 'Telkomsel']</v>
      </c>
      <c r="D5357" s="3">
        <v>4.0</v>
      </c>
    </row>
    <row r="5358" ht="15.75" customHeight="1">
      <c r="A5358" s="1">
        <v>5716.0</v>
      </c>
      <c r="B5358" s="3" t="s">
        <v>5165</v>
      </c>
      <c r="C5358" s="3" t="str">
        <f>IFERROR(__xludf.DUMMYFUNCTION("GOOGLETRANSLATE(B5358,""id"",""en"")"),"['Severe', 'expensive', 'wasteful', 'package', 'stay', 'package', 'data', 'free', 'phone', 'all', 'operator', 'Telkomsel', ' greedy ',' take ',' chancy ',' customer ',' breath ',' cheats', 'reason', 'gift', 'package', 'data', 'fear', 'hereafter', 'hatch' "&amp;", 'deeds', 'fear', 'torture', 'deed', 'life', 'world', 'hereafter']")</f>
        <v>['Severe', 'expensive', 'wasteful', 'package', 'stay', 'package', 'data', 'free', 'phone', 'all', 'operator', 'Telkomsel', ' greedy ',' take ',' chancy ',' customer ',' breath ',' cheats', 'reason', 'gift', 'package', 'data', 'fear', 'hereafter', 'hatch' , 'deeds', 'fear', 'torture', 'deed', 'life', 'world', 'hereafter']</v>
      </c>
      <c r="D5358" s="3">
        <v>1.0</v>
      </c>
    </row>
    <row r="5359" ht="15.75" customHeight="1">
      <c r="A5359" s="1">
        <v>5717.0</v>
      </c>
      <c r="B5359" s="3" t="s">
        <v>5166</v>
      </c>
      <c r="C5359" s="3" t="str">
        <f>IFERROR(__xludf.DUMMYFUNCTION("GOOGLETRANSLATE(B5359,""id"",""en"")"),"['quota', 'internet', 'network', 'quota', 'unlimited', 'apps',' apply ',' use ',' application ',' facebook ',' Instagram ',' whatsapp ',' Line ',' GameSmax ',' MusicMax ',' Tiktok ',' Active ',' Following ',' Rest ',' On ',' Internet ',' Monthly ',' Custo"&amp;"mer ',' Have ',' Description ' , 'Open', 'Tiktok', 'SMA', 'GameSmax', 'Buy', 'Package', 'Extra', 'Unlimited', 'TPI', 'Tiktok', 'SMA', 'GameSmax', ' access', 'please', 'fix', 'thanks']")</f>
        <v>['quota', 'internet', 'network', 'quota', 'unlimited', 'apps',' apply ',' use ',' application ',' facebook ',' Instagram ',' whatsapp ',' Line ',' GameSmax ',' MusicMax ',' Tiktok ',' Active ',' Following ',' Rest ',' On ',' Internet ',' Monthly ',' Customer ',' Have ',' Description ' , 'Open', 'Tiktok', 'SMA', 'GameSmax', 'Buy', 'Package', 'Extra', 'Unlimited', 'TPI', 'Tiktok', 'SMA', 'GameSmax', ' access', 'please', 'fix', 'thanks']</v>
      </c>
      <c r="D5359" s="3">
        <v>3.0</v>
      </c>
    </row>
    <row r="5360" ht="15.75" customHeight="1">
      <c r="A5360" s="1">
        <v>5718.0</v>
      </c>
      <c r="B5360" s="3" t="s">
        <v>5167</v>
      </c>
      <c r="C5360" s="3" t="str">
        <f>IFERROR(__xludf.DUMMYFUNCTION("GOOGLETRANSLATE(B5360,""id"",""en"")"),"['application', 'Telkomsel', 'opened', 'Samsung', 'brand', 'easy', 'entry', 'application', 'card', 'sympathy', 'Telkomsel', 'really', ' strange', '']")</f>
        <v>['application', 'Telkomsel', 'opened', 'Samsung', 'brand', 'easy', 'entry', 'application', 'card', 'sympathy', 'Telkomsel', 'really', ' strange', '']</v>
      </c>
      <c r="D5360" s="3">
        <v>1.0</v>
      </c>
    </row>
    <row r="5361" ht="15.75" customHeight="1">
      <c r="A5361" s="1">
        <v>5719.0</v>
      </c>
      <c r="B5361" s="3" t="s">
        <v>5168</v>
      </c>
      <c r="C5361" s="3" t="str">
        <f>IFERROR(__xludf.DUMMYFUNCTION("GOOGLETRANSLATE(B5361,""id"",""en"")"),"['Membanru']")</f>
        <v>['Membanru']</v>
      </c>
      <c r="D5361" s="3">
        <v>5.0</v>
      </c>
    </row>
    <row r="5362" ht="15.75" customHeight="1">
      <c r="A5362" s="1">
        <v>5720.0</v>
      </c>
      <c r="B5362" s="3" t="s">
        <v>5169</v>
      </c>
      <c r="C5362" s="3" t="str">
        <f>IFERROR(__xludf.DUMMYFUNCTION("GOOGLETRANSLATE(B5362,""id"",""en"")"),"['Fun', 'TPI', 'Get', 'Lottery', 'Coupon', ""]")</f>
        <v>['Fun', 'TPI', 'Get', 'Lottery', 'Coupon', "]</v>
      </c>
      <c r="D5362" s="3">
        <v>5.0</v>
      </c>
    </row>
    <row r="5363" ht="15.75" customHeight="1">
      <c r="A5363" s="1">
        <v>5721.0</v>
      </c>
      <c r="B5363" s="3" t="s">
        <v>5170</v>
      </c>
      <c r="C5363" s="3" t="str">
        <f>IFERROR(__xludf.DUMMYFUNCTION("GOOGLETRANSLATE(B5363,""id"",""en"")"),"['Help', 'Easy', 'Use', 'The Application', '']")</f>
        <v>['Help', 'Easy', 'Use', 'The Application', '']</v>
      </c>
      <c r="D5363" s="3">
        <v>5.0</v>
      </c>
    </row>
    <row r="5364" ht="15.75" customHeight="1">
      <c r="A5364" s="1">
        <v>5722.0</v>
      </c>
      <c r="B5364" s="3" t="s">
        <v>5171</v>
      </c>
      <c r="C5364" s="3" t="str">
        <f>IFERROR(__xludf.DUMMYFUNCTION("GOOGLETRANSLATE(B5364,""id"",""en"")"),"['Telkomsel', 'no', 'access', '']")</f>
        <v>['Telkomsel', 'no', 'access', '']</v>
      </c>
      <c r="D5364" s="3">
        <v>3.0</v>
      </c>
    </row>
    <row r="5365" ht="15.75" customHeight="1">
      <c r="A5365" s="1">
        <v>5723.0</v>
      </c>
      <c r="B5365" s="3" t="s">
        <v>2981</v>
      </c>
      <c r="C5365" s="3" t="str">
        <f>IFERROR(__xludf.DUMMYFUNCTION("GOOGLETRANSLATE(B5365,""id"",""en"")"),"['APK', 'good']")</f>
        <v>['APK', 'good']</v>
      </c>
      <c r="D5365" s="3">
        <v>1.0</v>
      </c>
    </row>
    <row r="5366" ht="15.75" customHeight="1">
      <c r="A5366" s="1">
        <v>5724.0</v>
      </c>
      <c r="B5366" s="3" t="s">
        <v>5172</v>
      </c>
      <c r="C5366" s="3" t="str">
        <f>IFERROR(__xludf.DUMMYFUNCTION("GOOGLETRANSLATE(B5366,""id"",""en"")"),"['Out', 'expandable', 'directly', 'opened', 'Ngeblank', '']")</f>
        <v>['Out', 'expandable', 'directly', 'opened', 'Ngeblank', '']</v>
      </c>
      <c r="D5366" s="3">
        <v>1.0</v>
      </c>
    </row>
    <row r="5367" ht="15.75" customHeight="1">
      <c r="A5367" s="1">
        <v>5725.0</v>
      </c>
      <c r="B5367" s="3" t="s">
        <v>5173</v>
      </c>
      <c r="C5367" s="3" t="str">
        <f>IFERROR(__xludf.DUMMYFUNCTION("GOOGLETRANSLATE(B5367,""id"",""en"")"),"['Please', 'continue', 'complaints',' network ',' Nagan ',' Raya ',' rapids', 'village', 'Alue', 'tho', 'slow', 'reply', ' Wait ',' Minutes', 'Sent', 'Download', 'Application', 'Clock', 'Finish', 'Size', 'MB', 'Sometimes',' Fail ', ""]")</f>
        <v>['Please', 'continue', 'complaints',' network ',' Nagan ',' Raya ',' rapids', 'village', 'Alue', 'tho', 'slow', 'reply', ' Wait ',' Minutes', 'Sent', 'Download', 'Application', 'Clock', 'Finish', 'Size', 'MB', 'Sometimes',' Fail ', "]</v>
      </c>
      <c r="D5367" s="3">
        <v>1.0</v>
      </c>
    </row>
    <row r="5368" ht="15.75" customHeight="1">
      <c r="A5368" s="1">
        <v>5726.0</v>
      </c>
      <c r="B5368" s="3" t="s">
        <v>5174</v>
      </c>
      <c r="C5368" s="3" t="str">
        <f>IFERROR(__xludf.DUMMYFUNCTION("GOOGLETRANSLATE(B5368,""id"",""en"")"),"['Severe', 'Severe', 'Severe', 'Mending', 'Change', 'Next', 'Package', 'Cheap', 'Signal', 'Lemot', 'Package', 'Expensive', ' signal ',' slow ',' please ',' area ',' Tangerang ',' Cipondoh ',' signal ',' fix ',' win ',' expensive ',' doang ',' TDI ',' sign"&amp;"al ' , 'Rich', 'Remember', 'Min', 'Delete', 'Comment', 'Telkomsel', 'Rich']")</f>
        <v>['Severe', 'Severe', 'Severe', 'Mending', 'Change', 'Next', 'Package', 'Cheap', 'Signal', 'Lemot', 'Package', 'Expensive', ' signal ',' slow ',' please ',' area ',' Tangerang ',' Cipondoh ',' signal ',' fix ',' win ',' expensive ',' doang ',' TDI ',' signal ' , 'Rich', 'Remember', 'Min', 'Delete', 'Comment', 'Telkomsel', 'Rich']</v>
      </c>
      <c r="D5368" s="3">
        <v>1.0</v>
      </c>
    </row>
    <row r="5369" ht="15.75" customHeight="1">
      <c r="A5369" s="1">
        <v>5727.0</v>
      </c>
      <c r="B5369" s="3" t="s">
        <v>5175</v>
      </c>
      <c r="C5369" s="3" t="str">
        <f>IFERROR(__xludf.DUMMYFUNCTION("GOOGLETRANSLATE(B5369,""id"",""en"")"),"['Application', 'Opened', 'White', 'Screen']")</f>
        <v>['Application', 'Opened', 'White', 'Screen']</v>
      </c>
      <c r="D5369" s="3">
        <v>2.0</v>
      </c>
    </row>
    <row r="5370" ht="15.75" customHeight="1">
      <c r="A5370" s="1">
        <v>5728.0</v>
      </c>
      <c r="B5370" s="3" t="s">
        <v>5176</v>
      </c>
      <c r="C5370" s="3" t="str">
        <f>IFERROR(__xludf.DUMMYFUNCTION("GOOGLETRANSLATE(B5370,""id"",""en"")"),"['The application', 'good', 'darling', 'opened', 'hahahah', 'hha', ""]")</f>
        <v>['The application', 'good', 'darling', 'opened', 'hahahah', 'hha', "]</v>
      </c>
      <c r="D5370" s="3">
        <v>5.0</v>
      </c>
    </row>
    <row r="5371" ht="15.75" customHeight="1">
      <c r="A5371" s="1">
        <v>5729.0</v>
      </c>
      <c r="B5371" s="3" t="s">
        <v>5177</v>
      </c>
      <c r="C5371" s="3" t="str">
        <f>IFERROR(__xludf.DUMMYFUNCTION("GOOGLETRANSLATE(B5371,""id"",""en"")"),"['signal', 'ugly', 'bet', 'rich', 'gini', 'severe', 'open', 'apk', 'smooth', 'turn', 'play', 'game', ' signal ',' kek ',' eek ']")</f>
        <v>['signal', 'ugly', 'bet', 'rich', 'gini', 'severe', 'open', 'apk', 'smooth', 'turn', 'play', 'game', ' signal ',' kek ',' eek ']</v>
      </c>
      <c r="D5371" s="3">
        <v>1.0</v>
      </c>
    </row>
    <row r="5372" ht="15.75" customHeight="1">
      <c r="A5372" s="1">
        <v>5730.0</v>
      </c>
      <c r="B5372" s="3" t="s">
        <v>5178</v>
      </c>
      <c r="C5372" s="3" t="str">
        <f>IFERROR(__xludf.DUMMYFUNCTION("GOOGLETRANSLATE(B5372,""id"",""en"")"),"['expensive', 'doang', 'signal', 'slow']")</f>
        <v>['expensive', 'doang', 'signal', 'slow']</v>
      </c>
      <c r="D5372" s="3">
        <v>1.0</v>
      </c>
    </row>
    <row r="5373" ht="15.75" customHeight="1">
      <c r="A5373" s="1">
        <v>5731.0</v>
      </c>
      <c r="B5373" s="3" t="s">
        <v>5179</v>
      </c>
      <c r="C5373" s="3" t="str">
        <f>IFERROR(__xludf.DUMMYFUNCTION("GOOGLETRANSLATE(B5373,""id"",""en"")"),"['Points',' Diredeem ',' Quota ',' HRS ',' Pay ',' Setau ',' Points', 'LGSG', 'Redeem', 'Costs',' given ',' Suggestions', ' Criticism ',' Response ',' ']")</f>
        <v>['Points',' Diredeem ',' Quota ',' HRS ',' Pay ',' Setau ',' Points', 'LGSG', 'Redeem', 'Costs',' given ',' Suggestions', ' Criticism ',' Response ',' ']</v>
      </c>
      <c r="D5373" s="3">
        <v>1.0</v>
      </c>
    </row>
    <row r="5374" ht="15.75" customHeight="1">
      <c r="A5374" s="1">
        <v>5732.0</v>
      </c>
      <c r="B5374" s="3" t="s">
        <v>5180</v>
      </c>
      <c r="C5374" s="3" t="str">
        <f>IFERROR(__xludf.DUMMYFUNCTION("GOOGLETRANSLATE(B5374,""id"",""en"")"),"['apk', 'gabisa', 'open', 'pay', 'bill', 'apk', 'right', 'apk', 'pressed', 'white', 'doang', 'udh', ' Try ',' Try ',' Until ',' TPI ',' Tetep ',' Open ']")</f>
        <v>['apk', 'gabisa', 'open', 'pay', 'bill', 'apk', 'right', 'apk', 'pressed', 'white', 'doang', 'udh', ' Try ',' Try ',' Until ',' TPI ',' Tetep ',' Open ']</v>
      </c>
      <c r="D5374" s="3">
        <v>1.0</v>
      </c>
    </row>
    <row r="5375" ht="15.75" customHeight="1">
      <c r="A5375" s="1">
        <v>5733.0</v>
      </c>
      <c r="B5375" s="3" t="s">
        <v>5181</v>
      </c>
      <c r="C5375" s="3" t="str">
        <f>IFERROR(__xludf.DUMMYFUNCTION("GOOGLETRANSLATE(B5375,""id"",""en"")"),"['quota', 'YouTube', 'unlimited', 'kepakai', 'pulse', 'sumps',' events', 'rich', 'gini', 'customers',' telkomsel ',' rich ',' Gini ',' Change ',' Provider ',' ']")</f>
        <v>['quota', 'YouTube', 'unlimited', 'kepakai', 'pulse', 'sumps',' events', 'rich', 'gini', 'customers',' telkomsel ',' rich ',' Gini ',' Change ',' Provider ',' ']</v>
      </c>
      <c r="D5375" s="3">
        <v>1.0</v>
      </c>
    </row>
    <row r="5376" ht="15.75" customHeight="1">
      <c r="A5376" s="1">
        <v>5734.0</v>
      </c>
      <c r="B5376" s="3" t="s">
        <v>5182</v>
      </c>
      <c r="C5376" s="3" t="str">
        <f>IFERROR(__xludf.DUMMYFUNCTION("GOOGLETRANSLATE(B5376,""id"",""en"")"),"['Good', 'Addin']")</f>
        <v>['Good', 'Addin']</v>
      </c>
      <c r="D5376" s="3">
        <v>1.0</v>
      </c>
    </row>
    <row r="5377" ht="15.75" customHeight="1">
      <c r="A5377" s="1">
        <v>5735.0</v>
      </c>
      <c r="B5377" s="3" t="s">
        <v>5183</v>
      </c>
      <c r="C5377" s="3" t="str">
        <f>IFERROR(__xludf.DUMMYFUNCTION("GOOGLETRANSLATE(B5377,""id"",""en"")"),"['apk', 'good', 'please', 'pliss', 'sisin', 'promo', '']")</f>
        <v>['apk', 'good', 'please', 'pliss', 'sisin', 'promo', '']</v>
      </c>
      <c r="D5377" s="3">
        <v>4.0</v>
      </c>
    </row>
    <row r="5378" ht="15.75" customHeight="1">
      <c r="A5378" s="1">
        <v>5736.0</v>
      </c>
      <c r="B5378" s="3" t="s">
        <v>5184</v>
      </c>
      <c r="C5378" s="3" t="str">
        <f>IFERROR(__xludf.DUMMYFUNCTION("GOOGLETRANSLATE(B5378,""id"",""en"")"),"['Application', 'City', 'Cheap', '']")</f>
        <v>['Application', 'City', 'Cheap', '']</v>
      </c>
      <c r="D5378" s="3">
        <v>5.0</v>
      </c>
    </row>
    <row r="5379" ht="15.75" customHeight="1">
      <c r="A5379" s="1">
        <v>5737.0</v>
      </c>
      <c r="B5379" s="3" t="s">
        <v>5185</v>
      </c>
      <c r="C5379" s="3" t="str">
        <f>IFERROR(__xludf.DUMMYFUNCTION("GOOGLETRANSLATE(B5379,""id"",""en"")"),"['The application', 'open', 'my boss']")</f>
        <v>['The application', 'open', 'my boss']</v>
      </c>
      <c r="D5379" s="3">
        <v>5.0</v>
      </c>
    </row>
    <row r="5380" ht="15.75" customHeight="1">
      <c r="A5380" s="1">
        <v>5739.0</v>
      </c>
      <c r="B5380" s="3" t="s">
        <v>5186</v>
      </c>
      <c r="C5380" s="3" t="str">
        <f>IFERROR(__xludf.DUMMYFUNCTION("GOOGLETRANSLATE(B5380,""id"",""en"")"),"['MyTelkomsel', 'Use', 'Display', 'White', 'Doank', 'Blank', 'Check', 'Quota', 'Internet', 'MyTelkomsel']")</f>
        <v>['MyTelkomsel', 'Use', 'Display', 'White', 'Doank', 'Blank', 'Check', 'Quota', 'Internet', 'MyTelkomsel']</v>
      </c>
      <c r="D5380" s="3">
        <v>1.0</v>
      </c>
    </row>
    <row r="5381" ht="15.75" customHeight="1">
      <c r="A5381" s="1">
        <v>5740.0</v>
      </c>
      <c r="B5381" s="3" t="s">
        <v>5187</v>
      </c>
      <c r="C5381" s="3" t="str">
        <f>IFERROR(__xludf.DUMMYFUNCTION("GOOGLETRANSLATE(B5381,""id"",""en"")"),"['Network', 'Kek', 'Lalot', 'Look', 'Open', 'Jln', 'Koata', 'Telkomsel', 'maybe', 'might', 'destroyed', ""]")</f>
        <v>['Network', 'Kek', 'Lalot', 'Look', 'Open', 'Jln', 'Koata', 'Telkomsel', 'maybe', 'might', 'destroyed', "]</v>
      </c>
      <c r="D5381" s="3">
        <v>1.0</v>
      </c>
    </row>
    <row r="5382" ht="15.75" customHeight="1">
      <c r="A5382" s="1">
        <v>5741.0</v>
      </c>
      <c r="B5382" s="3" t="s">
        <v>5188</v>
      </c>
      <c r="C5382" s="3" t="str">
        <f>IFERROR(__xludf.DUMMYFUNCTION("GOOGLETRANSLATE(B5382,""id"",""en"")"),"['Hey', 'KNPA', 'Kinka', 'Ngak', 'Open', 'Points',' JGA ',' all ',' Lost ',' Ngak ',' Data ',' See ',' promotion ',' doang ',' please ',' fix ',' replace ',' canel ',' card ',' ']")</f>
        <v>['Hey', 'KNPA', 'Kinka', 'Ngak', 'Open', 'Points',' JGA ',' all ',' Lost ',' Ngak ',' Data ',' See ',' promotion ',' doang ',' please ',' fix ',' replace ',' canel ',' card ',' ']</v>
      </c>
      <c r="D5382" s="3">
        <v>2.0</v>
      </c>
    </row>
    <row r="5383" ht="15.75" customHeight="1">
      <c r="A5383" s="1">
        <v>5742.0</v>
      </c>
      <c r="B5383" s="3" t="s">
        <v>5189</v>
      </c>
      <c r="C5383" s="3" t="str">
        <f>IFERROR(__xludf.DUMMYFUNCTION("GOOGLETRANSLATE(B5383,""id"",""en"")"),"['Satisfied', 'use', 'the application', 'easy']")</f>
        <v>['Satisfied', 'use', 'the application', 'easy']</v>
      </c>
      <c r="D5383" s="3">
        <v>4.0</v>
      </c>
    </row>
    <row r="5384" ht="15.75" customHeight="1">
      <c r="A5384" s="1">
        <v>5743.0</v>
      </c>
      <c r="B5384" s="3" t="s">
        <v>5190</v>
      </c>
      <c r="C5384" s="3" t="str">
        <f>IFERROR(__xludf.DUMMYFUNCTION("GOOGLETRANSLATE(B5384,""id"",""en"")"),"['buy', 'kouta', 'orbit', 'difficult', 'bnget', 'network', 'good', 'buy', 'writing', 'disorder', 'told', 'check', ' connection ',' connection ',' good ']")</f>
        <v>['buy', 'kouta', 'orbit', 'difficult', 'bnget', 'network', 'good', 'buy', 'writing', 'disorder', 'told', 'check', ' connection ',' connection ',' good ']</v>
      </c>
      <c r="D5384" s="3">
        <v>1.0</v>
      </c>
    </row>
    <row r="5385" ht="15.75" customHeight="1">
      <c r="A5385" s="1">
        <v>5744.0</v>
      </c>
      <c r="B5385" s="3" t="s">
        <v>5191</v>
      </c>
      <c r="C5385" s="3" t="str">
        <f>IFERROR(__xludf.DUMMYFUNCTION("GOOGLETRANSLATE(B5385,""id"",""en"")"),"['', 'Telkomsel', 'slow', 'Erro']")</f>
        <v>['', 'Telkomsel', 'slow', 'Erro']</v>
      </c>
      <c r="D5385" s="3">
        <v>3.0</v>
      </c>
    </row>
    <row r="5386" ht="15.75" customHeight="1">
      <c r="A5386" s="1">
        <v>5745.0</v>
      </c>
      <c r="B5386" s="3" t="s">
        <v>5192</v>
      </c>
      <c r="C5386" s="3" t="str">
        <f>IFERROR(__xludf.DUMMYFUNCTION("GOOGLETRANSLATE(B5386,""id"",""en"")"),"['buy', 'pulse', 'minutes', 'already', '']")</f>
        <v>['buy', 'pulse', 'minutes', 'already', '']</v>
      </c>
      <c r="D5386" s="3">
        <v>1.0</v>
      </c>
    </row>
    <row r="5387" ht="15.75" customHeight="1">
      <c r="A5387" s="1">
        <v>5746.0</v>
      </c>
      <c r="B5387" s="3" t="s">
        <v>5193</v>
      </c>
      <c r="C5387" s="3" t="str">
        <f>IFERROR(__xludf.DUMMYFUNCTION("GOOGLETRANSLATE(B5387,""id"",""en"")"),"['Buy', 'Package', 'Combo', 'Sakti', 'MyTelkomsel', 'Pay', 'Use', 'Gopay', 'Shopee', 'Try', 'Times', ""]")</f>
        <v>['Buy', 'Package', 'Combo', 'Sakti', 'MyTelkomsel', 'Pay', 'Use', 'Gopay', 'Shopee', 'Try', 'Times', "]</v>
      </c>
      <c r="D5387" s="3">
        <v>1.0</v>
      </c>
    </row>
    <row r="5388" ht="15.75" customHeight="1">
      <c r="A5388" s="1">
        <v>5747.0</v>
      </c>
      <c r="B5388" s="3" t="s">
        <v>5194</v>
      </c>
      <c r="C5388" s="3" t="str">
        <f>IFERROR(__xludf.DUMMYFUNCTION("GOOGLETRANSLATE(B5388,""id"",""en"")"),"['Sorry', 'min', 'knp', 'Telkomsel', 'slow', 'mah', 'right', 'times',' make ',' sim ',' card ',' Telkomsel ',' Safe ',' knp ',' slow ',' really ',' ']")</f>
        <v>['Sorry', 'min', 'knp', 'Telkomsel', 'slow', 'mah', 'right', 'times',' make ',' sim ',' card ',' Telkomsel ',' Safe ',' knp ',' slow ',' really ',' ']</v>
      </c>
      <c r="D5388" s="3">
        <v>1.0</v>
      </c>
    </row>
    <row r="5389" ht="15.75" customHeight="1">
      <c r="A5389" s="1">
        <v>5748.0</v>
      </c>
      <c r="B5389" s="3" t="s">
        <v>5195</v>
      </c>
      <c r="C5389" s="3" t="str">
        <f>IFERROR(__xludf.DUMMYFUNCTION("GOOGLETRANSLATE(B5389,""id"",""en"")"),"['Telkomsel', 'missed', 'era', 'signal', 'difficult', 'city', 'expensive', 'call', 'expensive', 'disappointed', 'contents',' package ',' City ',' open ',' youtube ',' smooth ',' play ',' game ',' have ',' chaotic ',' signal ',' different ',' network ']")</f>
        <v>['Telkomsel', 'missed', 'era', 'signal', 'difficult', 'city', 'expensive', 'call', 'expensive', 'disappointed', 'contents',' package ',' City ',' open ',' youtube ',' smooth ',' play ',' game ',' have ',' chaotic ',' signal ',' different ',' network ']</v>
      </c>
      <c r="D5389" s="3">
        <v>1.0</v>
      </c>
    </row>
    <row r="5390" ht="15.75" customHeight="1">
      <c r="A5390" s="1">
        <v>5749.0</v>
      </c>
      <c r="B5390" s="3" t="s">
        <v>5196</v>
      </c>
      <c r="C5390" s="3" t="str">
        <f>IFERROR(__xludf.DUMMYFUNCTION("GOOGLETRANSLATE(B5390,""id"",""en"")"),"['Telkomsel', 'quality', 'provider', 'chance', 'compete', 'service', 'believe', 'customers', 'Telkomsel', 'Switch', 'Provider', ""]")</f>
        <v>['Telkomsel', 'quality', 'provider', 'chance', 'compete', 'service', 'believe', 'customers', 'Telkomsel', 'Switch', 'Provider', "]</v>
      </c>
      <c r="D5390" s="3">
        <v>1.0</v>
      </c>
    </row>
    <row r="5391" ht="15.75" customHeight="1">
      <c r="A5391" s="1">
        <v>5750.0</v>
      </c>
      <c r="B5391" s="3" t="s">
        <v>5197</v>
      </c>
      <c r="C5391" s="3" t="str">
        <f>IFERROR(__xludf.DUMMYFUNCTION("GOOGLETRANSLATE(B5391,""id"",""en"")"),"['Network', 'friendly']")</f>
        <v>['Network', 'friendly']</v>
      </c>
      <c r="D5391" s="3">
        <v>3.0</v>
      </c>
    </row>
    <row r="5392" ht="15.75" customHeight="1">
      <c r="A5392" s="1">
        <v>5751.0</v>
      </c>
      <c r="B5392" s="3" t="s">
        <v>5198</v>
      </c>
      <c r="C5392" s="3" t="str">
        <f>IFERROR(__xludf.DUMMYFUNCTION("GOOGLETRANSLATE(B5392,""id"",""en"")"),"['Package', 'Unlimited', 'FUP', 'Destroyed', 'Use', 'Naturally', 'Perhari', 'GB', 'GB', 'The Network', 'Open', 'MyTelkomsel', ' LEGK ',' Open ',' PubG ',' Time ',' Out ',' YouTube ',' Update ',' MyTelkomsel ',' MB ',' MNT ',' Recommended ',' Buy ', ""]")</f>
        <v>['Package', 'Unlimited', 'FUP', 'Destroyed', 'Use', 'Naturally', 'Perhari', 'GB', 'GB', 'The Network', 'Open', 'MyTelkomsel', ' LEGK ',' Open ',' PubG ',' Time ',' Out ',' YouTube ',' Update ',' MyTelkomsel ',' MB ',' MNT ',' Recommended ',' Buy ', "]</v>
      </c>
      <c r="D5392" s="3">
        <v>4.0</v>
      </c>
    </row>
    <row r="5393" ht="15.75" customHeight="1">
      <c r="A5393" s="1">
        <v>5752.0</v>
      </c>
      <c r="B5393" s="3" t="s">
        <v>5199</v>
      </c>
      <c r="C5393" s="3" t="str">
        <f>IFERROR(__xludf.DUMMYFUNCTION("GOOGLETRANSLATE(B5393,""id"",""en"")"),"['easy', 'bnyak', 'gift']")</f>
        <v>['easy', 'bnyak', 'gift']</v>
      </c>
      <c r="D5393" s="3">
        <v>5.0</v>
      </c>
    </row>
    <row r="5394" ht="15.75" customHeight="1">
      <c r="A5394" s="1">
        <v>5753.0</v>
      </c>
      <c r="B5394" s="3" t="s">
        <v>5200</v>
      </c>
      <c r="C5394" s="3" t="str">
        <f>IFERROR(__xludf.DUMMYFUNCTION("GOOGLETRANSLATE(B5394,""id"",""en"")"),"['already', 'package', 'expensive', 'expensive', 'then', 'signal', 'ugly', 'really', 'tasty', 'nge', 'game', 'please', ' repair', '']")</f>
        <v>['already', 'package', 'expensive', 'expensive', 'then', 'signal', 'ugly', 'really', 'tasty', 'nge', 'game', 'please', ' repair', '']</v>
      </c>
      <c r="D5394" s="3">
        <v>1.0</v>
      </c>
    </row>
    <row r="5395" ht="15.75" customHeight="1">
      <c r="A5395" s="1">
        <v>5754.0</v>
      </c>
      <c r="B5395" s="3" t="s">
        <v>5201</v>
      </c>
      <c r="C5395" s="3" t="str">
        <f>IFERROR(__xludf.DUMMYFUNCTION("GOOGLETRANSLATE(B5395,""id"",""en"")"),"['Enter', 'Appsi', 'difficult', '']")</f>
        <v>['Enter', 'Appsi', 'difficult', '']</v>
      </c>
      <c r="D5395" s="3">
        <v>1.0</v>
      </c>
    </row>
    <row r="5396" ht="15.75" customHeight="1">
      <c r="A5396" s="1">
        <v>5755.0</v>
      </c>
      <c r="B5396" s="3" t="s">
        <v>5202</v>
      </c>
      <c r="C5396" s="3" t="str">
        <f>IFERROR(__xludf.DUMMYFUNCTION("GOOGLETRANSLATE(B5396,""id"",""en"")"),"['Telkomsel', 'okay', 'deh']")</f>
        <v>['Telkomsel', 'okay', 'deh']</v>
      </c>
      <c r="D5396" s="3">
        <v>4.0</v>
      </c>
    </row>
    <row r="5397" ht="15.75" customHeight="1">
      <c r="A5397" s="1">
        <v>5756.0</v>
      </c>
      <c r="B5397" s="3" t="s">
        <v>5203</v>
      </c>
      <c r="C5397" s="3" t="str">
        <f>IFERROR(__xludf.DUMMYFUNCTION("GOOGLETRANSLATE(B5397,""id"",""en"")"),"['bad', 'choice', 'change', 'card', ""]")</f>
        <v>['bad', 'choice', 'change', 'card', "]</v>
      </c>
      <c r="D5397" s="3">
        <v>1.0</v>
      </c>
    </row>
    <row r="5398" ht="15.75" customHeight="1">
      <c r="A5398" s="1">
        <v>5757.0</v>
      </c>
      <c r="B5398" s="3" t="s">
        <v>5204</v>
      </c>
      <c r="C5398" s="3" t="str">
        <f>IFERROR(__xludf.DUMMYFUNCTION("GOOGLETRANSLATE(B5398,""id"",""en"")"),"['signal', 'ugly', 'game', 'fix', 'expensive', 'doang', 'kouta', 'dikirain', 'smooth', ""]")</f>
        <v>['signal', 'ugly', 'game', 'fix', 'expensive', 'doang', 'kouta', 'dikirain', 'smooth', "]</v>
      </c>
      <c r="D5398" s="3">
        <v>1.0</v>
      </c>
    </row>
    <row r="5399" ht="15.75" customHeight="1">
      <c r="A5399" s="1">
        <v>5758.0</v>
      </c>
      <c r="B5399" s="3" t="s">
        <v>5205</v>
      </c>
      <c r="C5399" s="3" t="str">
        <f>IFERROR(__xludf.DUMMYFUNCTION("GOOGLETRANSLATE(B5399,""id"",""en"")"),"['skrng', 'app', 'open', 'screen', 'white', 'please', 'repay', 'disappointing', 'user', 'thank', 'love', '']")</f>
        <v>['skrng', 'app', 'open', 'screen', 'white', 'please', 'repay', 'disappointing', 'user', 'thank', 'love', '']</v>
      </c>
      <c r="D5399" s="3">
        <v>1.0</v>
      </c>
    </row>
    <row r="5400" ht="15.75" customHeight="1">
      <c r="A5400" s="1">
        <v>5760.0</v>
      </c>
      <c r="B5400" s="3" t="s">
        <v>5206</v>
      </c>
      <c r="C5400" s="3" t="str">
        <f>IFERROR(__xludf.DUMMYFUNCTION("GOOGLETRANSLATE(B5400,""id"",""en"")"),"['Useful', 'really']")</f>
        <v>['Useful', 'really']</v>
      </c>
      <c r="D5400" s="3">
        <v>5.0</v>
      </c>
    </row>
    <row r="5401" ht="15.75" customHeight="1">
      <c r="A5401" s="1">
        <v>5761.0</v>
      </c>
      <c r="B5401" s="3" t="s">
        <v>5207</v>
      </c>
      <c r="C5401" s="3" t="str">
        <f>IFERROR(__xludf.DUMMYFUNCTION("GOOGLETRANSLATE(B5401,""id"",""en"")"),"['Competite', 'Handle', 'Love', 'Theory', 'Look', 'Rating', 'Give', 'Star', 'Star', 'Fix', 'Customer', 'Need', ' Proof ',' theory ',' shame ',' star ',' ']")</f>
        <v>['Competite', 'Handle', 'Love', 'Theory', 'Look', 'Rating', 'Give', 'Star', 'Star', 'Fix', 'Customer', 'Need', ' Proof ',' theory ',' shame ',' star ',' ']</v>
      </c>
      <c r="D5401" s="3">
        <v>1.0</v>
      </c>
    </row>
    <row r="5402" ht="15.75" customHeight="1">
      <c r="A5402" s="1">
        <v>5762.0</v>
      </c>
      <c r="B5402" s="3" t="s">
        <v>5208</v>
      </c>
      <c r="C5402" s="3" t="str">
        <f>IFERROR(__xludf.DUMMYFUNCTION("GOOGLETRANSLATE(B5402,""id"",""en"")"),"['buy', 'package', 'extend', 'active', 'his writing', 'error', 'morning', 'until', 'afternoon', 'try', 'that's',' emang ',' Sense ',' Akalan ',' Telkomsel ',' Fear ',' Loss', ""]")</f>
        <v>['buy', 'package', 'extend', 'active', 'his writing', 'error', 'morning', 'until', 'afternoon', 'try', 'that's',' emang ',' Sense ',' Akalan ',' Telkomsel ',' Fear ',' Loss', "]</v>
      </c>
      <c r="D5402" s="3">
        <v>2.0</v>
      </c>
    </row>
    <row r="5403" ht="15.75" customHeight="1">
      <c r="A5403" s="1">
        <v>5763.0</v>
      </c>
      <c r="B5403" s="3" t="s">
        <v>5209</v>
      </c>
      <c r="C5403" s="3" t="str">
        <f>IFERROR(__xludf.DUMMYFUNCTION("GOOGLETRANSLATE(B5403,""id"",""en"")"),"['Please', 'Adin', 'Feature', 'Save', 'Credit']")</f>
        <v>['Please', 'Adin', 'Feature', 'Save', 'Credit']</v>
      </c>
      <c r="D5403" s="3">
        <v>5.0</v>
      </c>
    </row>
    <row r="5404" ht="15.75" customHeight="1">
      <c r="A5404" s="1">
        <v>5764.0</v>
      </c>
      <c r="B5404" s="3" t="s">
        <v>5210</v>
      </c>
      <c r="C5404" s="3" t="str">
        <f>IFERROR(__xludf.DUMMYFUNCTION("GOOGLETRANSLATE(B5404,""id"",""en"")"),"['Application', 'May', 'Tekom', 'cell', 'SKU', 'NGGA', 'Mucul', 'White', 'Doang', ""]")</f>
        <v>['Application', 'May', 'Tekom', 'cell', 'SKU', 'NGGA', 'Mucul', 'White', 'Doang', "]</v>
      </c>
      <c r="D5404" s="3">
        <v>2.0</v>
      </c>
    </row>
    <row r="5405" ht="15.75" customHeight="1">
      <c r="A5405" s="1">
        <v>5765.0</v>
      </c>
      <c r="B5405" s="3" t="s">
        <v>5211</v>
      </c>
      <c r="C5405" s="3" t="str">
        <f>IFERROR(__xludf.DUMMYFUNCTION("GOOGLETRANSLATE(B5405,""id"",""en"")"),"['Knpa', 'Telkomsel', 'Open', 'Nge', 'blank']")</f>
        <v>['Knpa', 'Telkomsel', 'Open', 'Nge', 'blank']</v>
      </c>
      <c r="D5405" s="3">
        <v>5.0</v>
      </c>
    </row>
    <row r="5406" ht="15.75" customHeight="1">
      <c r="A5406" s="1">
        <v>5766.0</v>
      </c>
      <c r="B5406" s="3" t="s">
        <v>5212</v>
      </c>
      <c r="C5406" s="3" t="str">
        <f>IFERROR(__xludf.DUMMYFUNCTION("GOOGLETRANSLATE(B5406,""id"",""en"")"),"['Downloaded', 'exhaust', 'quota', 'enter', 'APK', 'error', 'poor', 'different', 'application', 'next door', 'Jos',' Gandosss', ' ']")</f>
        <v>['Downloaded', 'exhaust', 'quota', 'enter', 'APK', 'error', 'poor', 'different', 'application', 'next door', 'Jos',' Gandosss', ' ']</v>
      </c>
      <c r="D5406" s="3">
        <v>1.0</v>
      </c>
    </row>
    <row r="5407" ht="15.75" customHeight="1">
      <c r="A5407" s="1">
        <v>5767.0</v>
      </c>
      <c r="B5407" s="3" t="s">
        <v>5213</v>
      </c>
      <c r="C5407" s="3" t="str">
        <f>IFERROR(__xludf.DUMMYFUNCTION("GOOGLETRANSLATE(B5407,""id"",""en"")"),"['', 'Telkomsel', 'open', 'screen', 'color', 'white']")</f>
        <v>['', 'Telkomsel', 'open', 'screen', 'color', 'white']</v>
      </c>
      <c r="D5407" s="3">
        <v>1.0</v>
      </c>
    </row>
    <row r="5408" ht="15.75" customHeight="1">
      <c r="A5408" s="1">
        <v>5768.0</v>
      </c>
      <c r="B5408" s="3" t="s">
        <v>5214</v>
      </c>
      <c r="C5408" s="3" t="str">
        <f>IFERROR(__xludf.DUMMYFUNCTION("GOOGLETRANSLATE(B5408,""id"",""en"")"),"['trimakasih', 'service']")</f>
        <v>['trimakasih', 'service']</v>
      </c>
      <c r="D5408" s="3">
        <v>4.0</v>
      </c>
    </row>
    <row r="5409" ht="15.75" customHeight="1">
      <c r="A5409" s="1">
        <v>5769.0</v>
      </c>
      <c r="B5409" s="3" t="s">
        <v>5215</v>
      </c>
      <c r="C5409" s="3" t="str">
        <f>IFERROR(__xludf.DUMMYFUNCTION("GOOGLETRANSLATE(B5409,""id"",""en"")"),"['Severe', 'Network', 'Ngeselin', 'Down', 'Play', 'Game', 'Change', 'Severe', 'Season', ""]")</f>
        <v>['Severe', 'Network', 'Ngeselin', 'Down', 'Play', 'Game', 'Change', 'Severe', 'Season', "]</v>
      </c>
      <c r="D5409" s="3">
        <v>2.0</v>
      </c>
    </row>
    <row r="5410" ht="15.75" customHeight="1">
      <c r="A5410" s="1">
        <v>5770.0</v>
      </c>
      <c r="B5410" s="3" t="s">
        <v>5216</v>
      </c>
      <c r="C5410" s="3" t="str">
        <f>IFERROR(__xludf.DUMMYFUNCTION("GOOGLETRANSLATE(B5410,""id"",""en"")"),"['', 'come on stage']")</f>
        <v>['', 'come on stage']</v>
      </c>
      <c r="D5410" s="3">
        <v>4.0</v>
      </c>
    </row>
    <row r="5411" ht="15.75" customHeight="1">
      <c r="A5411" s="1">
        <v>5771.0</v>
      </c>
      <c r="B5411" s="3" t="s">
        <v>5217</v>
      </c>
      <c r="C5411" s="3" t="str">
        <f>IFERROR(__xludf.DUMMYFUNCTION("GOOGLETRANSLATE(B5411,""id"",""en"")"),"['Open', 'ugly', 'APK']")</f>
        <v>['Open', 'ugly', 'APK']</v>
      </c>
      <c r="D5411" s="3">
        <v>1.0</v>
      </c>
    </row>
    <row r="5412" ht="15.75" customHeight="1">
      <c r="A5412" s="1">
        <v>5772.0</v>
      </c>
      <c r="B5412" s="3" t="s">
        <v>5218</v>
      </c>
      <c r="C5412" s="3" t="str">
        <f>IFERROR(__xludf.DUMMYFUNCTION("GOOGLETRANSLATE(B5412,""id"",""en"")"),"['Gymna', 'Open', 'App', 'Please', 'Help']")</f>
        <v>['Gymna', 'Open', 'App', 'Please', 'Help']</v>
      </c>
      <c r="D5412" s="3">
        <v>5.0</v>
      </c>
    </row>
    <row r="5413" ht="15.75" customHeight="1">
      <c r="A5413" s="1">
        <v>5773.0</v>
      </c>
      <c r="B5413" s="3" t="s">
        <v>5219</v>
      </c>
      <c r="C5413" s="3" t="str">
        <f>IFERROR(__xludf.DUMMYFUNCTION("GOOGLETRANSLATE(B5413,""id"",""en"")"),"['sippp', 'staple']")</f>
        <v>['sippp', 'staple']</v>
      </c>
      <c r="D5413" s="3">
        <v>5.0</v>
      </c>
    </row>
    <row r="5414" ht="15.75" customHeight="1">
      <c r="A5414" s="1">
        <v>5774.0</v>
      </c>
      <c r="B5414" s="3" t="s">
        <v>5220</v>
      </c>
      <c r="C5414" s="3" t="str">
        <f>IFERROR(__xludf.DUMMYFUNCTION("GOOGLETRANSLATE(B5414,""id"",""en"")"),"['signal', 'minnn', 'signal', 'fix', 'quota', 'just', 'kb', 'signal', 'udh', 'so', 'lost', 'mulu', ' Sousal ',' Download ',' MB ',' Clock ',' ']")</f>
        <v>['signal', 'minnn', 'signal', 'fix', 'quota', 'just', 'kb', 'signal', 'udh', 'so', 'lost', 'mulu', ' Sousal ',' Download ',' MB ',' Clock ',' ']</v>
      </c>
      <c r="D5414" s="3">
        <v>1.0</v>
      </c>
    </row>
    <row r="5415" ht="15.75" customHeight="1">
      <c r="A5415" s="1">
        <v>5775.0</v>
      </c>
      <c r="B5415" s="3" t="s">
        <v>5221</v>
      </c>
      <c r="C5415" s="3" t="str">
        <f>IFERROR(__xludf.DUMMYFUNCTION("GOOGLETRANSLATE(B5415,""id"",""en"")"),"['Application', 'opened', 'Mimin', 'finishing', 'told', 'stop by', 'Ohhh', 'Telkomsel', 'Parahhh', ""]")</f>
        <v>['Application', 'opened', 'Mimin', 'finishing', 'told', 'stop by', 'Ohhh', 'Telkomsel', 'Parahhh', "]</v>
      </c>
      <c r="D5415" s="3">
        <v>1.0</v>
      </c>
    </row>
    <row r="5416" ht="15.75" customHeight="1">
      <c r="A5416" s="1">
        <v>5776.0</v>
      </c>
      <c r="B5416" s="3" t="s">
        <v>5222</v>
      </c>
      <c r="C5416" s="3" t="str">
        <f>IFERROR(__xludf.DUMMYFUNCTION("GOOGLETRANSLATE(B5416,""id"",""en"")"),"['difficult', 'access']")</f>
        <v>['difficult', 'access']</v>
      </c>
      <c r="D5416" s="3">
        <v>3.0</v>
      </c>
    </row>
    <row r="5417" ht="15.75" customHeight="1">
      <c r="A5417" s="1">
        <v>5778.0</v>
      </c>
      <c r="B5417" s="3" t="s">
        <v>5223</v>
      </c>
      <c r="C5417" s="3" t="str">
        <f>IFERROR(__xludf.DUMMYFUNCTION("GOOGLETRANSLATE(B5417,""id"",""en"")"),"['Good', 'Success', 'Jaya']")</f>
        <v>['Good', 'Success', 'Jaya']</v>
      </c>
      <c r="D5417" s="3">
        <v>5.0</v>
      </c>
    </row>
    <row r="5418" ht="15.75" customHeight="1">
      <c r="A5418" s="1">
        <v>5779.0</v>
      </c>
      <c r="B5418" s="3" t="s">
        <v>5224</v>
      </c>
      <c r="C5418" s="3" t="str">
        <f>IFERROR(__xludf.DUMMYFUNCTION("GOOGLETRANSLATE(B5418,""id"",""en"")"),"['poseng', 'quota', 'active', 'eat', 'pulses', 'anyink', 'buy', 'package', 'advanced', '']")</f>
        <v>['poseng', 'quota', 'active', 'eat', 'pulses', 'anyink', 'buy', 'package', 'advanced', '']</v>
      </c>
      <c r="D5418" s="3">
        <v>1.0</v>
      </c>
    </row>
    <row r="5419" ht="15.75" customHeight="1">
      <c r="A5419" s="1">
        <v>5780.0</v>
      </c>
      <c r="B5419" s="3" t="s">
        <v>5225</v>
      </c>
      <c r="C5419" s="3" t="str">
        <f>IFERROR(__xludf.DUMMYFUNCTION("GOOGLETRANSLATE(B5419,""id"",""en"")"),"['Blm', 'opened', 'The application', 'already', 'Where' is' Hub ',' Mimin ',' Disperer ',' Connect ',' The answer ',' Come ',' Donk ',' Telkomsel ',' Fix ',' Service ']")</f>
        <v>['Blm', 'opened', 'The application', 'already', 'Where' is' Hub ',' Mimin ',' Disperer ',' Connect ',' The answer ',' Come ',' Donk ',' Telkomsel ',' Fix ',' Service ']</v>
      </c>
      <c r="D5419" s="3">
        <v>1.0</v>
      </c>
    </row>
    <row r="5420" ht="15.75" customHeight="1">
      <c r="A5420" s="1">
        <v>5781.0</v>
      </c>
      <c r="B5420" s="3" t="s">
        <v>5226</v>
      </c>
      <c r="C5420" s="3" t="str">
        <f>IFERROR(__xludf.DUMMYFUNCTION("GOOGLETRANSLATE(B5420,""id"",""en"")"),"['Karen', 'satisfying']")</f>
        <v>['Karen', 'satisfying']</v>
      </c>
      <c r="D5420" s="3">
        <v>5.0</v>
      </c>
    </row>
    <row r="5421" ht="15.75" customHeight="1">
      <c r="A5421" s="1">
        <v>5782.0</v>
      </c>
      <c r="B5421" s="3" t="s">
        <v>5227</v>
      </c>
      <c r="C5421" s="3" t="str">
        <f>IFERROR(__xludf.DUMMYFUNCTION("GOOGLETRANSLATE(B5421,""id"",""en"")"),"['Telkomsel', 'good', 'signal', 'like', 'ilang', 'play', 'game', 'the application', 'opened', 'Pulak']")</f>
        <v>['Telkomsel', 'good', 'signal', 'like', 'ilang', 'play', 'game', 'the application', 'opened', 'Pulak']</v>
      </c>
      <c r="D5421" s="3">
        <v>1.0</v>
      </c>
    </row>
    <row r="5422" ht="15.75" customHeight="1">
      <c r="A5422" s="1">
        <v>5783.0</v>
      </c>
      <c r="B5422" s="3" t="s">
        <v>5228</v>
      </c>
      <c r="C5422" s="3" t="str">
        <f>IFERROR(__xludf.DUMMYFUNCTION("GOOGLETRANSLATE(B5422,""id"",""en"")"),"['Quality', 'Safe', 'Easy', 'Comfortable']")</f>
        <v>['Quality', 'Safe', 'Easy', 'Comfortable']</v>
      </c>
      <c r="D5422" s="3">
        <v>5.0</v>
      </c>
    </row>
    <row r="5423" ht="15.75" customHeight="1">
      <c r="A5423" s="1">
        <v>5784.0</v>
      </c>
      <c r="B5423" s="3" t="s">
        <v>5229</v>
      </c>
      <c r="C5423" s="3" t="str">
        <f>IFERROR(__xludf.DUMMYFUNCTION("GOOGLETRANSLATE(B5423,""id"",""en"")"),"['Likes', 'Bangat', 'APK']")</f>
        <v>['Likes', 'Bangat', 'APK']</v>
      </c>
      <c r="D5423" s="3">
        <v>5.0</v>
      </c>
    </row>
    <row r="5424" ht="15.75" customHeight="1">
      <c r="A5424" s="1">
        <v>5785.0</v>
      </c>
      <c r="B5424" s="3" t="s">
        <v>5230</v>
      </c>
      <c r="C5424" s="3" t="str">
        <f>IFERROR(__xludf.DUMMYFUNCTION("GOOGLETRANSLATE(B5424,""id"",""en"")"),"['Love', 'Star']")</f>
        <v>['Love', 'Star']</v>
      </c>
      <c r="D5424" s="3">
        <v>3.0</v>
      </c>
    </row>
    <row r="5425" ht="15.75" customHeight="1">
      <c r="A5425" s="1">
        <v>5786.0</v>
      </c>
      <c r="B5425" s="3" t="s">
        <v>355</v>
      </c>
      <c r="C5425" s="3" t="str">
        <f>IFERROR(__xludf.DUMMYFUNCTION("GOOGLETRANSLATE(B5425,""id"",""en"")"),"['open', '']")</f>
        <v>['open', '']</v>
      </c>
      <c r="D5425" s="3">
        <v>3.0</v>
      </c>
    </row>
    <row r="5426" ht="15.75" customHeight="1">
      <c r="A5426" s="1">
        <v>5787.0</v>
      </c>
      <c r="B5426" s="3" t="s">
        <v>5231</v>
      </c>
      <c r="C5426" s="3" t="str">
        <f>IFERROR(__xludf.DUMMYFUNCTION("GOOGLETRANSLATE(B5426,""id"",""en"")"),"['Moga', 'Telkomsel', 'steady', 'The network', 'make', 'Where', '']")</f>
        <v>['Moga', 'Telkomsel', 'steady', 'The network', 'make', 'Where', '']</v>
      </c>
      <c r="D5426" s="3">
        <v>5.0</v>
      </c>
    </row>
    <row r="5427" ht="15.75" customHeight="1">
      <c r="A5427" s="1">
        <v>5788.0</v>
      </c>
      <c r="B5427" s="3" t="s">
        <v>5232</v>
      </c>
      <c r="C5427" s="3" t="str">
        <f>IFERROR(__xludf.DUMMYFUNCTION("GOOGLETRANSLATE(B5427,""id"",""en"")"),"['Package', 'cheap']")</f>
        <v>['Package', 'cheap']</v>
      </c>
      <c r="D5427" s="3">
        <v>4.0</v>
      </c>
    </row>
    <row r="5428" ht="15.75" customHeight="1">
      <c r="A5428" s="1">
        <v>5789.0</v>
      </c>
      <c r="B5428" s="3" t="s">
        <v>5233</v>
      </c>
      <c r="C5428" s="3" t="str">
        <f>IFERROR(__xludf.DUMMYFUNCTION("GOOGLETRANSLATE(B5428,""id"",""en"")"),"['Useful', 'really', 'my APK', 'steady']")</f>
        <v>['Useful', 'really', 'my APK', 'steady']</v>
      </c>
      <c r="D5428" s="3">
        <v>5.0</v>
      </c>
    </row>
    <row r="5429" ht="15.75" customHeight="1">
      <c r="A5429" s="1">
        <v>5790.0</v>
      </c>
      <c r="B5429" s="3" t="s">
        <v>5234</v>
      </c>
      <c r="C5429" s="3" t="str">
        <f>IFERROR(__xludf.DUMMYFUNCTION("GOOGLETRANSLATE(B5429,""id"",""en"")"),"['Please', 'knp', 'abis', 'update', 'gabisa', 'login', 'please']")</f>
        <v>['Please', 'knp', 'abis', 'update', 'gabisa', 'login', 'please']</v>
      </c>
      <c r="D5429" s="3">
        <v>1.0</v>
      </c>
    </row>
    <row r="5430" ht="15.75" customHeight="1">
      <c r="A5430" s="1">
        <v>5791.0</v>
      </c>
      <c r="B5430" s="3" t="s">
        <v>5235</v>
      </c>
      <c r="C5430" s="3" t="str">
        <f>IFERROR(__xludf.DUMMYFUNCTION("GOOGLETRANSLATE(B5430,""id"",""en"")"),"['Steady', 'APK', 'then', 'level', 'my boss']")</f>
        <v>['Steady', 'APK', 'then', 'level', 'my boss']</v>
      </c>
      <c r="D5430" s="3">
        <v>5.0</v>
      </c>
    </row>
    <row r="5431" ht="15.75" customHeight="1">
      <c r="A5431" s="1">
        <v>5792.0</v>
      </c>
      <c r="B5431" s="3" t="s">
        <v>5236</v>
      </c>
      <c r="C5431" s="3" t="str">
        <f>IFERROR(__xludf.DUMMYFUNCTION("GOOGLETRANSLATE(B5431,""id"",""en"")"),"['Telkomsel', 'opened', 'a week', 'damage', 'system', 'improvement', '']")</f>
        <v>['Telkomsel', 'opened', 'a week', 'damage', 'system', 'improvement', '']</v>
      </c>
      <c r="D5431" s="3">
        <v>3.0</v>
      </c>
    </row>
    <row r="5432" ht="15.75" customHeight="1">
      <c r="A5432" s="1">
        <v>5793.0</v>
      </c>
      <c r="B5432" s="3" t="s">
        <v>5237</v>
      </c>
      <c r="C5432" s="3" t="str">
        <f>IFERROR(__xludf.DUMMYFUNCTION("GOOGLETRANSLATE(B5432,""id"",""en"")"),"['Exchange', 'Points', 'Ajh', 'The reason', 'server', 'busy', 'loss', 'really', 'Telkomsel']")</f>
        <v>['Exchange', 'Points', 'Ajh', 'The reason', 'server', 'busy', 'loss', 'really', 'Telkomsel']</v>
      </c>
      <c r="D5432" s="3">
        <v>1.0</v>
      </c>
    </row>
    <row r="5433" ht="15.75" customHeight="1">
      <c r="A5433" s="1">
        <v>5794.0</v>
      </c>
      <c r="B5433" s="3" t="s">
        <v>5238</v>
      </c>
      <c r="C5433" s="3" t="str">
        <f>IFERROR(__xludf.DUMMYFUNCTION("GOOGLETRANSLATE(B5433,""id"",""en"")"),"['like', 'promotion', 'kouta', 'cheerful']")</f>
        <v>['like', 'promotion', 'kouta', 'cheerful']</v>
      </c>
      <c r="D5433" s="3">
        <v>3.0</v>
      </c>
    </row>
    <row r="5434" ht="15.75" customHeight="1">
      <c r="A5434" s="1">
        <v>5795.0</v>
      </c>
      <c r="B5434" s="3" t="s">
        <v>5239</v>
      </c>
      <c r="C5434" s="3" t="str">
        <f>IFERROR(__xludf.DUMMYFUNCTION("GOOGLETRANSLATE(B5434,""id"",""en"")"),"['Game', 'Error', 'played', '']")</f>
        <v>['Game', 'Error', 'played', '']</v>
      </c>
      <c r="D5434" s="3">
        <v>1.0</v>
      </c>
    </row>
    <row r="5435" ht="15.75" customHeight="1">
      <c r="A5435" s="1">
        <v>5796.0</v>
      </c>
      <c r="B5435" s="3" t="s">
        <v>5240</v>
      </c>
      <c r="C5435" s="3" t="str">
        <f>IFERROR(__xludf.DUMMYFUNCTION("GOOGLETRANSLATE(B5435,""id"",""en"")"),"['', 'cellphone', 'Samsung', 'application', 'open', '']")</f>
        <v>['', 'cellphone', 'Samsung', 'application', 'open', '']</v>
      </c>
      <c r="D5435" s="3">
        <v>1.0</v>
      </c>
    </row>
    <row r="5436" ht="15.75" customHeight="1">
      <c r="A5436" s="1">
        <v>5797.0</v>
      </c>
      <c r="B5436" s="3" t="s">
        <v>5241</v>
      </c>
      <c r="C5436" s="3" t="str">
        <f>IFERROR(__xludf.DUMMYFUNCTION("GOOGLETRANSLATE(B5436,""id"",""en"")"),"['ugly', 'expensive', 'shopping', 'package', 'point', 'told', 'pay']")</f>
        <v>['ugly', 'expensive', 'shopping', 'package', 'point', 'told', 'pay']</v>
      </c>
      <c r="D5436" s="3">
        <v>1.0</v>
      </c>
    </row>
    <row r="5437" ht="15.75" customHeight="1">
      <c r="A5437" s="1">
        <v>5798.0</v>
      </c>
      <c r="B5437" s="3" t="s">
        <v>5242</v>
      </c>
      <c r="C5437" s="3" t="str">
        <f>IFERROR(__xludf.DUMMYFUNCTION("GOOGLETRANSLATE(B5437,""id"",""en"")"),"['Telkomsel', 'Sinyal', 'Jelekkkkkk']")</f>
        <v>['Telkomsel', 'Sinyal', 'Jelekkkkkk']</v>
      </c>
      <c r="D5437" s="3">
        <v>1.0</v>
      </c>
    </row>
    <row r="5438" ht="15.75" customHeight="1">
      <c r="A5438" s="1">
        <v>5799.0</v>
      </c>
      <c r="B5438" s="3" t="s">
        <v>5243</v>
      </c>
      <c r="C5438" s="3" t="str">
        <f>IFERROR(__xludf.DUMMYFUNCTION("GOOGLETRANSLATE(B5438,""id"",""en"")"),"['apk', 'open', 'mlh', 'color', 'white', 'kyk', 'TPI', 'Please', 'fix', 'bpk', 'pln']")</f>
        <v>['apk', 'open', 'mlh', 'color', 'white', 'kyk', 'TPI', 'Please', 'fix', 'bpk', 'pln']</v>
      </c>
      <c r="D5438" s="3">
        <v>1.0</v>
      </c>
    </row>
    <row r="5439" ht="15.75" customHeight="1">
      <c r="A5439" s="1">
        <v>5800.0</v>
      </c>
      <c r="B5439" s="3" t="s">
        <v>5244</v>
      </c>
      <c r="C5439" s="3" t="str">
        <f>IFERROR(__xludf.DUMMYFUNCTION("GOOGLETRANSLATE(B5439,""id"",""en"")"),"['leftover', 'quota', 'slow', 'network', 'list', 'package', 'package', 'call', 'pulse', 'left', 'spent', 'arrogant', ' Customers', 'complement', 'date', 'December', 'Delete', 'Application', 'Telkomsel', 'Provider', 'fix', 'the network', 'service']")</f>
        <v>['leftover', 'quota', 'slow', 'network', 'list', 'package', 'package', 'call', 'pulse', 'left', 'spent', 'arrogant', ' Customers', 'complement', 'date', 'December', 'Delete', 'Application', 'Telkomsel', 'Provider', 'fix', 'the network', 'service']</v>
      </c>
      <c r="D5439" s="3">
        <v>1.0</v>
      </c>
    </row>
    <row r="5440" ht="15.75" customHeight="1">
      <c r="A5440" s="1">
        <v>5801.0</v>
      </c>
      <c r="B5440" s="3" t="s">
        <v>5245</v>
      </c>
      <c r="C5440" s="3" t="str">
        <f>IFERROR(__xludf.DUMMYFUNCTION("GOOGLETRANSLATE(B5440,""id"",""en"")"),"['entry', 'application', 'Telkomsel', 'difficult', '']")</f>
        <v>['entry', 'application', 'Telkomsel', 'difficult', '']</v>
      </c>
      <c r="D5440" s="3">
        <v>4.0</v>
      </c>
    </row>
    <row r="5441" ht="15.75" customHeight="1">
      <c r="A5441" s="1">
        <v>5802.0</v>
      </c>
      <c r="B5441" s="3" t="s">
        <v>5246</v>
      </c>
      <c r="C5441" s="3" t="str">
        <f>IFERROR(__xludf.DUMMYFUNCTION("GOOGLETRANSLATE(B5441,""id"",""en"")"),"['Love', 'Bintan', 'satisfying', 'Love', 'Full']")</f>
        <v>['Love', 'Bintan', 'satisfying', 'Love', 'Full']</v>
      </c>
      <c r="D5441" s="3">
        <v>2.0</v>
      </c>
    </row>
    <row r="5442" ht="15.75" customHeight="1">
      <c r="A5442" s="1">
        <v>5803.0</v>
      </c>
      <c r="B5442" s="3" t="s">
        <v>5247</v>
      </c>
      <c r="C5442" s="3" t="str">
        <f>IFERROR(__xludf.DUMMYFUNCTION("GOOGLETRANSLATE(B5442,""id"",""en"")"),"['Loading']")</f>
        <v>['Loading']</v>
      </c>
      <c r="D5442" s="3">
        <v>1.0</v>
      </c>
    </row>
    <row r="5443" ht="15.75" customHeight="1">
      <c r="A5443" s="1">
        <v>5804.0</v>
      </c>
      <c r="B5443" s="3" t="s">
        <v>5248</v>
      </c>
      <c r="C5443" s="3" t="str">
        <f>IFERROR(__xludf.DUMMYFUNCTION("GOOGLETRANSLATE(B5443,""id"",""en"")"),"['Gabisa', 'opened', 'the applications']")</f>
        <v>['Gabisa', 'opened', 'the applications']</v>
      </c>
      <c r="D5443" s="3">
        <v>1.0</v>
      </c>
    </row>
    <row r="5444" ht="15.75" customHeight="1">
      <c r="A5444" s="1">
        <v>5805.0</v>
      </c>
      <c r="B5444" s="3" t="s">
        <v>5249</v>
      </c>
      <c r="C5444" s="3" t="str">
        <f>IFERROR(__xludf.DUMMYFUNCTION("GOOGLETRANSLATE(B5444,""id"",""en"")"),"['APK', 'broken', 'cook', 'enter', 'screen', 'white', 'already', 'wait']")</f>
        <v>['APK', 'broken', 'cook', 'enter', 'screen', 'white', 'already', 'wait']</v>
      </c>
      <c r="D5444" s="3">
        <v>1.0</v>
      </c>
    </row>
    <row r="5445" ht="15.75" customHeight="1">
      <c r="A5445" s="1">
        <v>5806.0</v>
      </c>
      <c r="B5445" s="3" t="s">
        <v>5250</v>
      </c>
      <c r="C5445" s="3" t="str">
        <f>IFERROR(__xludf.DUMMYFUNCTION("GOOGLETRANSLATE(B5445,""id"",""en"")"),"['signal', 'Telkomsel', 'stable', 'wherever']")</f>
        <v>['signal', 'Telkomsel', 'stable', 'wherever']</v>
      </c>
      <c r="D5445" s="3">
        <v>5.0</v>
      </c>
    </row>
    <row r="5446" ht="15.75" customHeight="1">
      <c r="A5446" s="1">
        <v>5807.0</v>
      </c>
      <c r="B5446" s="3" t="s">
        <v>5251</v>
      </c>
      <c r="C5446" s="3" t="str">
        <f>IFERROR(__xludf.DUMMYFUNCTION("GOOGLETRANSLATE(B5446,""id"",""en"")"),"['hoax', 'ajng', 'bbi', 'abisin', 'pulse']")</f>
        <v>['hoax', 'ajng', 'bbi', 'abisin', 'pulse']</v>
      </c>
      <c r="D5446" s="3">
        <v>1.0</v>
      </c>
    </row>
    <row r="5447" ht="15.75" customHeight="1">
      <c r="A5447" s="1">
        <v>5808.0</v>
      </c>
      <c r="B5447" s="3" t="s">
        <v>5252</v>
      </c>
      <c r="C5447" s="3" t="str">
        <f>IFERROR(__xludf.DUMMYFUNCTION("GOOGLETRANSLATE(B5447,""id"",""en"")"),"['accessed', 'chat', 'lwt', 'telegram', 'please', 'fix']")</f>
        <v>['accessed', 'chat', 'lwt', 'telegram', 'please', 'fix']</v>
      </c>
      <c r="D5447" s="3">
        <v>1.0</v>
      </c>
    </row>
    <row r="5448" ht="15.75" customHeight="1">
      <c r="A5448" s="1">
        <v>5809.0</v>
      </c>
      <c r="B5448" s="3" t="s">
        <v>5253</v>
      </c>
      <c r="C5448" s="3" t="str">
        <f>IFERROR(__xludf.DUMMYFUNCTION("GOOGLETRANSLATE(B5448,""id"",""en"")"),"['Try', 'steady']")</f>
        <v>['Try', 'steady']</v>
      </c>
      <c r="D5448" s="3">
        <v>5.0</v>
      </c>
    </row>
    <row r="5449" ht="15.75" customHeight="1">
      <c r="A5449" s="1">
        <v>5810.0</v>
      </c>
      <c r="B5449" s="3" t="s">
        <v>5254</v>
      </c>
      <c r="C5449" s="3" t="str">
        <f>IFERROR(__xludf.DUMMYFUNCTION("GOOGLETRANSLATE(B5449,""id"",""en"")"),"['Network', 'Telkomsel', 'NGK', 'Suitable', 'Game', 'Leet']")</f>
        <v>['Network', 'Telkomsel', 'NGK', 'Suitable', 'Game', 'Leet']</v>
      </c>
      <c r="D5449" s="3">
        <v>3.0</v>
      </c>
    </row>
    <row r="5450" ht="15.75" customHeight="1">
      <c r="A5450" s="1">
        <v>5811.0</v>
      </c>
      <c r="B5450" s="3" t="s">
        <v>5255</v>
      </c>
      <c r="C5450" s="3" t="str">
        <f>IFERROR(__xludf.DUMMYFUNCTION("GOOGLETRANSLATE(B5450,""id"",""en"")"),"['Package', 'Internet', 'expensive', 'signal', 'pepek', 'Benerin', 'signal', 'APK', 'Vacuum', 'pulse', 'watch out', 'guys',' Credit ',' Dipake ',' Credit ',' Sucked ']")</f>
        <v>['Package', 'Internet', 'expensive', 'signal', 'pepek', 'Benerin', 'signal', 'APK', 'Vacuum', 'pulse', 'watch out', 'guys',' Credit ',' Dipake ',' Credit ',' Sucked ']</v>
      </c>
      <c r="D5450" s="3">
        <v>1.0</v>
      </c>
    </row>
    <row r="5451" ht="15.75" customHeight="1">
      <c r="A5451" s="1">
        <v>5812.0</v>
      </c>
      <c r="B5451" s="3" t="s">
        <v>5256</v>
      </c>
      <c r="C5451" s="3" t="str">
        <f>IFERROR(__xludf.DUMMYFUNCTION("GOOGLETRANSLATE(B5451,""id"",""en"")"),"['Telkomsel', 'Joss']")</f>
        <v>['Telkomsel', 'Joss']</v>
      </c>
      <c r="D5451" s="3">
        <v>5.0</v>
      </c>
    </row>
    <row r="5452" ht="15.75" customHeight="1">
      <c r="A5452" s="1">
        <v>5813.0</v>
      </c>
      <c r="B5452" s="3" t="s">
        <v>5257</v>
      </c>
      <c r="C5452" s="3" t="str">
        <f>IFERROR(__xludf.DUMMYFUNCTION("GOOGLETRANSLATE(B5452,""id"",""en"")"),"['Provider', 'Maling', 'Credit']")</f>
        <v>['Provider', 'Maling', 'Credit']</v>
      </c>
      <c r="D5452" s="3">
        <v>1.0</v>
      </c>
    </row>
    <row r="5453" ht="15.75" customHeight="1">
      <c r="A5453" s="1">
        <v>5814.0</v>
      </c>
      <c r="B5453" s="3" t="s">
        <v>5258</v>
      </c>
      <c r="C5453" s="3" t="str">
        <f>IFERROR(__xludf.DUMMYFUNCTION("GOOGLETRANSLATE(B5453,""id"",""en"")"),"['Telkom', 'Region', 'West Jakarta', 'Ngelag', 'Bangt', 'Buy', 'Expensive', 'Satisfying', 'Signal', 'Telkom', 'Region', 'Jakbar', ' ']")</f>
        <v>['Telkom', 'Region', 'West Jakarta', 'Ngelag', 'Bangt', 'Buy', 'Expensive', 'Satisfying', 'Signal', 'Telkom', 'Region', 'Jakbar', ' ']</v>
      </c>
      <c r="D5453" s="3">
        <v>1.0</v>
      </c>
    </row>
    <row r="5454" ht="15.75" customHeight="1">
      <c r="A5454" s="1">
        <v>5815.0</v>
      </c>
      <c r="B5454" s="3" t="s">
        <v>5259</v>
      </c>
      <c r="C5454" s="3" t="str">
        <f>IFERROR(__xludf.DUMMYFUNCTION("GOOGLETRANSLATE(B5454,""id"",""en"")"),"['', 'really', 'pulse', 'buy', 'package', 'price']")</f>
        <v>['', 'really', 'pulse', 'buy', 'package', 'price']</v>
      </c>
      <c r="D5454" s="3">
        <v>1.0</v>
      </c>
    </row>
    <row r="5455" ht="15.75" customHeight="1">
      <c r="A5455" s="1">
        <v>5816.0</v>
      </c>
      <c r="B5455" s="3" t="s">
        <v>5260</v>
      </c>
      <c r="C5455" s="3" t="str">
        <f>IFERROR(__xludf.DUMMYFUNCTION("GOOGLETRANSLATE(B5455,""id"",""en"")"),"['Service', 'Telkomsel']")</f>
        <v>['Service', 'Telkomsel']</v>
      </c>
      <c r="D5455" s="3">
        <v>5.0</v>
      </c>
    </row>
    <row r="5456" ht="15.75" customHeight="1">
      <c r="A5456" s="1">
        <v>5817.0</v>
      </c>
      <c r="B5456" s="3" t="s">
        <v>5261</v>
      </c>
      <c r="C5456" s="3" t="str">
        <f>IFERROR(__xludf.DUMMYFUNCTION("GOOGLETRANSLATE(B5456,""id"",""en"")"),"['Jaringn', 'Telkomsel', 'ugly', 'really', 'apalgi', 'game', 'PDAHL', 'good', 'jdi', 'want', 'moved', 'smartfren', ' finally ']")</f>
        <v>['Jaringn', 'Telkomsel', 'ugly', 'really', 'apalgi', 'game', 'PDAHL', 'good', 'jdi', 'want', 'moved', 'smartfren', ' finally ']</v>
      </c>
      <c r="D5456" s="3">
        <v>1.0</v>
      </c>
    </row>
    <row r="5457" ht="15.75" customHeight="1">
      <c r="A5457" s="1">
        <v>5818.0</v>
      </c>
      <c r="B5457" s="3" t="s">
        <v>5262</v>
      </c>
      <c r="C5457" s="3" t="str">
        <f>IFERROR(__xludf.DUMMYFUNCTION("GOOGLETRANSLATE(B5457,""id"",""en"")"),"['oath', 'disappointed', 'service', 'plate', 'red', 'application', 'open', 'buy', 'package', 'disappointing', 'quality']")</f>
        <v>['oath', 'disappointed', 'service', 'plate', 'red', 'application', 'open', 'buy', 'package', 'disappointing', 'quality']</v>
      </c>
      <c r="D5457" s="3">
        <v>1.0</v>
      </c>
    </row>
    <row r="5458" ht="15.75" customHeight="1">
      <c r="A5458" s="1">
        <v>5820.0</v>
      </c>
      <c r="B5458" s="3" t="s">
        <v>5263</v>
      </c>
      <c r="C5458" s="3" t="str">
        <f>IFERROR(__xludf.DUMMYFUNCTION("GOOGLETRANSLATE(B5458,""id"",""en"")"),"['Application', 'Badkkkk', 'Tuker', 'Point', 'Buy', 'Voucher', 'Diamond', 'Mobile', 'Legend', 'Vouch', 'Wrong', 'code', ' Point ',' truncated ',' opened ',' the application ',' screen ',' white ',' asemmmm ',' application ']")</f>
        <v>['Application', 'Badkkkk', 'Tuker', 'Point', 'Buy', 'Voucher', 'Diamond', 'Mobile', 'Legend', 'Vouch', 'Wrong', 'code', ' Point ',' truncated ',' opened ',' the application ',' screen ',' white ',' asemmmm ',' application ']</v>
      </c>
      <c r="D5458" s="3">
        <v>1.0</v>
      </c>
    </row>
    <row r="5459" ht="15.75" customHeight="1">
      <c r="A5459" s="1">
        <v>5821.0</v>
      </c>
      <c r="B5459" s="3" t="s">
        <v>5264</v>
      </c>
      <c r="C5459" s="3" t="str">
        <f>IFERROR(__xludf.DUMMYFUNCTION("GOOGLETRANSLATE(B5459,""id"",""en"")"),"['Knp', 'Kebayaa', 'Samsung', ""]")</f>
        <v>['Knp', 'Kebayaa', 'Samsung', "]</v>
      </c>
      <c r="D5459" s="3">
        <v>2.0</v>
      </c>
    </row>
    <row r="5460" ht="15.75" customHeight="1">
      <c r="A5460" s="1">
        <v>5822.0</v>
      </c>
      <c r="B5460" s="3" t="s">
        <v>5265</v>
      </c>
      <c r="C5460" s="3" t="str">
        <f>IFERROR(__xludf.DUMMYFUNCTION("GOOGLETRANSLATE(B5460,""id"",""en"")"),"['right', 'open', 'the application', 'slow', 'appears', 'display', 'sometimes', 'open', 'please', 'repair']")</f>
        <v>['right', 'open', 'the application', 'slow', 'appears', 'display', 'sometimes', 'open', 'please', 'repair']</v>
      </c>
      <c r="D5460" s="3">
        <v>3.0</v>
      </c>
    </row>
    <row r="5461" ht="15.75" customHeight="1">
      <c r="A5461" s="1">
        <v>5823.0</v>
      </c>
      <c r="B5461" s="3" t="s">
        <v>5266</v>
      </c>
      <c r="C5461" s="3" t="str">
        <f>IFERROR(__xludf.DUMMYFUNCTION("GOOGLETRANSLATE(B5461,""id"",""en"")"),"['complaints',' ugly ',' system ',' service ',' credit ',' disappear ',' error ',' accessible ',' kezel ',' move ',' pulse ',' run out ',' Slowly ',' kah ',' operator ',' Indonesia ',' do business', 'honest', 'people', 'harmed', 'doing business']")</f>
        <v>['complaints',' ugly ',' system ',' service ',' credit ',' disappear ',' error ',' accessible ',' kezel ',' move ',' pulse ',' run out ',' Slowly ',' kah ',' operator ',' Indonesia ',' do business', 'honest', 'people', 'harmed', 'doing business']</v>
      </c>
      <c r="D5461" s="3">
        <v>1.0</v>
      </c>
    </row>
    <row r="5462" ht="15.75" customHeight="1">
      <c r="A5462" s="1">
        <v>5824.0</v>
      </c>
      <c r="B5462" s="3" t="s">
        <v>5267</v>
      </c>
      <c r="C5462" s="3" t="str">
        <f>IFERROR(__xludf.DUMMYFUNCTION("GOOGLETRANSLATE(B5462,""id"",""en"")"),"['The application', 'already', 'open', 'UDH', 'spend', 'quota', 'Install', 'reset', 'go', 'please', 'fix', 'kak']")</f>
        <v>['The application', 'already', 'open', 'UDH', 'spend', 'quota', 'Install', 'reset', 'go', 'please', 'fix', 'kak']</v>
      </c>
      <c r="D5462" s="3">
        <v>1.0</v>
      </c>
    </row>
    <row r="5463" ht="15.75" customHeight="1">
      <c r="A5463" s="1">
        <v>5825.0</v>
      </c>
      <c r="B5463" s="3" t="s">
        <v>311</v>
      </c>
      <c r="C5463" s="3" t="str">
        <f>IFERROR(__xludf.DUMMYFUNCTION("GOOGLETRANSLATE(B5463,""id"",""en"")"),"['expensive']")</f>
        <v>['expensive']</v>
      </c>
      <c r="D5463" s="3">
        <v>3.0</v>
      </c>
    </row>
    <row r="5464" ht="15.75" customHeight="1">
      <c r="A5464" s="1">
        <v>5826.0</v>
      </c>
      <c r="B5464" s="3" t="s">
        <v>5268</v>
      </c>
      <c r="C5464" s="3" t="str">
        <f>IFERROR(__xludf.DUMMYFUNCTION("GOOGLETRANSLATE(B5464,""id"",""en"")"),"['Telkomsel', 'Sbnar', 'card', 'Suda', 'use', 'Prition', 'then', 'package', 'intrnet', 'skrang', 'suda', 'prna', ' Combo ',' Sakti ',' skrng ',' lei ',' expensive ',' gangu ',' call ',' telkom ',' cell ',' berry ',' tahuan ',' mintkn ',' active ' , 'NSP',"&amp;" 'complicated', 'BGAT', 'Lyanan', 'Telkomsel', 'poor', 'pangilan', 'package', 'active', 'telephone', 'pket', 'internet', ' resting ',' contents', 'plsa', 'package', 'emergency', 'PDA', 'PKET', 'monthly', 'MSI', 'BNYK']")</f>
        <v>['Telkomsel', 'Sbnar', 'card', 'Suda', 'use', 'Prition', 'then', 'package', 'intrnet', 'skrang', 'suda', 'prna', ' Combo ',' Sakti ',' skrng ',' lei ',' expensive ',' gangu ',' call ',' telkom ',' cell ',' berry ',' tahuan ',' mintkn ',' active ' , 'NSP', 'complicated', 'BGAT', 'Lyanan', 'Telkomsel', 'poor', 'pangilan', 'package', 'active', 'telephone', 'pket', 'internet', ' resting ',' contents', 'plsa', 'package', 'emergency', 'PDA', 'PKET', 'monthly', 'MSI', 'BNYK']</v>
      </c>
      <c r="D5464" s="3">
        <v>1.0</v>
      </c>
    </row>
    <row r="5465" ht="15.75" customHeight="1">
      <c r="A5465" s="1">
        <v>5827.0</v>
      </c>
      <c r="B5465" s="3" t="s">
        <v>5269</v>
      </c>
      <c r="C5465" s="3" t="str">
        <f>IFERROR(__xludf.DUMMYFUNCTION("GOOGLETRANSLATE(B5465,""id"",""en"")"),"['Appearance', 'application', 'ugly', 'interface', 'simple', 'use', 'application', 'enthusiasts',' coding ',' display ',' friendly ',' majority ',' People ',' Indo ',' Open ',' Application ',' Care ',' Protect ',' Ngaco ',' ']")</f>
        <v>['Appearance', 'application', 'ugly', 'interface', 'simple', 'use', 'application', 'enthusiasts',' coding ',' display ',' friendly ',' majority ',' People ',' Indo ',' Open ',' Application ',' Care ',' Protect ',' Ngaco ',' ']</v>
      </c>
      <c r="D5465" s="3">
        <v>5.0</v>
      </c>
    </row>
    <row r="5466" ht="15.75" customHeight="1">
      <c r="A5466" s="1">
        <v>5828.0</v>
      </c>
      <c r="B5466" s="3" t="s">
        <v>5270</v>
      </c>
      <c r="C5466" s="3" t="str">
        <f>IFERROR(__xludf.DUMMYFUNCTION("GOOGLETRANSLATE(B5466,""id"",""en"")"),"['Updated', 'Nga', 'Open', '']")</f>
        <v>['Updated', 'Nga', 'Open', '']</v>
      </c>
      <c r="D5466" s="3">
        <v>5.0</v>
      </c>
    </row>
    <row r="5467" ht="15.75" customHeight="1">
      <c r="A5467" s="1">
        <v>5829.0</v>
      </c>
      <c r="B5467" s="3" t="s">
        <v>5271</v>
      </c>
      <c r="C5467" s="3" t="str">
        <f>IFERROR(__xludf.DUMMYFUNCTION("GOOGLETRANSLATE(B5467,""id"",""en"")"),"['Min', 'App', 'opened']")</f>
        <v>['Min', 'App', 'opened']</v>
      </c>
      <c r="D5467" s="3">
        <v>1.0</v>
      </c>
    </row>
    <row r="5468" ht="15.75" customHeight="1">
      <c r="A5468" s="1">
        <v>5830.0</v>
      </c>
      <c r="B5468" s="3" t="s">
        <v>5272</v>
      </c>
      <c r="C5468" s="3" t="str">
        <f>IFERROR(__xludf.DUMMYFUNCTION("GOOGLETRANSLATE(B5468,""id"",""en"")"),"['woi', 'kenp', 'apk', 'telkomsel', 'open', 'right', 'already', 'update', 'cheat', 'what', 'admin', 'please', ' Benerin ',' apk ',' Season ',' see ',' basic ',' responsible ',' please ',' really ',' ngeta ',' already ',' a week ',' open ',' apk ' ]")</f>
        <v>['woi', 'kenp', 'apk', 'telkomsel', 'open', 'right', 'already', 'update', 'cheat', 'what', 'admin', 'please', ' Benerin ',' apk ',' Season ',' see ',' basic ',' responsible ',' please ',' really ',' ngeta ',' already ',' a week ',' open ',' apk ' ]</v>
      </c>
      <c r="D5468" s="3">
        <v>1.0</v>
      </c>
    </row>
    <row r="5469" ht="15.75" customHeight="1">
      <c r="A5469" s="1">
        <v>5831.0</v>
      </c>
      <c r="B5469" s="3" t="s">
        <v>5273</v>
      </c>
      <c r="C5469" s="3" t="str">
        <f>IFERROR(__xludf.DUMMYFUNCTION("GOOGLETRANSLATE(B5469,""id"",""en"")"),"['Telkomsel', 'BSA', 'opened', 'Delete', 'Download', 'TTP', 'NDA', 'BSA', 'Open']")</f>
        <v>['Telkomsel', 'BSA', 'opened', 'Delete', 'Download', 'TTP', 'NDA', 'BSA', 'Open']</v>
      </c>
      <c r="D5469" s="3">
        <v>1.0</v>
      </c>
    </row>
    <row r="5470" ht="15.75" customHeight="1">
      <c r="A5470" s="1">
        <v>5832.0</v>
      </c>
      <c r="B5470" s="3" t="s">
        <v>1310</v>
      </c>
      <c r="C5470" s="3" t="str">
        <f>IFERROR(__xludf.DUMMYFUNCTION("GOOGLETRANSLATE(B5470,""id"",""en"")"),"['Open', 'the application']")</f>
        <v>['Open', 'the application']</v>
      </c>
      <c r="D5470" s="3">
        <v>4.0</v>
      </c>
    </row>
    <row r="5471" ht="15.75" customHeight="1">
      <c r="A5471" s="1">
        <v>5833.0</v>
      </c>
      <c r="B5471" s="3" t="s">
        <v>5274</v>
      </c>
      <c r="C5471" s="3" t="str">
        <f>IFERROR(__xludf.DUMMYFUNCTION("GOOGLETRANSLATE(B5471,""id"",""en"")"),"['Hello', 'apk', 'Telkomselnya', 'limited', 'screen', 'white', 'updated', 'severe', 'thumb', 'inverted', 'already', 'love', ' Thumbs', 'Reversed', '']")</f>
        <v>['Hello', 'apk', 'Telkomselnya', 'limited', 'screen', 'white', 'updated', 'severe', 'thumb', 'inverted', 'already', 'love', ' Thumbs', 'Reversed', '']</v>
      </c>
      <c r="D5471" s="3">
        <v>1.0</v>
      </c>
    </row>
    <row r="5472" ht="15.75" customHeight="1">
      <c r="A5472" s="1">
        <v>5834.0</v>
      </c>
      <c r="B5472" s="3" t="s">
        <v>5275</v>
      </c>
      <c r="C5472" s="3" t="str">
        <f>IFERROR(__xludf.DUMMYFUNCTION("GOOGLETRANSLATE(B5472,""id"",""en"")"),"['buy', 'pulse', 'Telkomsel', 'easy', 'promo']")</f>
        <v>['buy', 'pulse', 'Telkomsel', 'easy', 'promo']</v>
      </c>
      <c r="D5472" s="3">
        <v>5.0</v>
      </c>
    </row>
    <row r="5473" ht="15.75" customHeight="1">
      <c r="A5473" s="1">
        <v>5835.0</v>
      </c>
      <c r="B5473" s="3" t="s">
        <v>5276</v>
      </c>
      <c r="C5473" s="3" t="str">
        <f>IFERROR(__xludf.DUMMYFUNCTION("GOOGLETRANSLATE(B5473,""id"",""en"")"),"['Hang', 'application', 'opened', 'screen', 'white']")</f>
        <v>['Hang', 'application', 'opened', 'screen', 'white']</v>
      </c>
      <c r="D5473" s="3">
        <v>1.0</v>
      </c>
    </row>
    <row r="5474" ht="15.75" customHeight="1">
      <c r="A5474" s="1">
        <v>5836.0</v>
      </c>
      <c r="B5474" s="3" t="s">
        <v>1532</v>
      </c>
      <c r="C5474" s="3" t="str">
        <f>IFERROR(__xludf.DUMMYFUNCTION("GOOGLETRANSLATE(B5474,""id"",""en"")"),"['application', 'bgus']")</f>
        <v>['application', 'bgus']</v>
      </c>
      <c r="D5474" s="3">
        <v>5.0</v>
      </c>
    </row>
    <row r="5475" ht="15.75" customHeight="1">
      <c r="A5475" s="1">
        <v>5837.0</v>
      </c>
      <c r="B5475" s="3" t="s">
        <v>5277</v>
      </c>
      <c r="C5475" s="3" t="str">
        <f>IFERROR(__xludf.DUMMYFUNCTION("GOOGLETRANSLATE(B5475,""id"",""en"")"),"['Good', 'Telkomsel', 'Closed', 'Deh', 'Network', 'Kalimantan', 'Bad', 'Use', 'Telkomsel']")</f>
        <v>['Good', 'Telkomsel', 'Closed', 'Deh', 'Network', 'Kalimantan', 'Bad', 'Use', 'Telkomsel']</v>
      </c>
      <c r="D5475" s="3">
        <v>1.0</v>
      </c>
    </row>
    <row r="5476" ht="15.75" customHeight="1">
      <c r="A5476" s="1">
        <v>5838.0</v>
      </c>
      <c r="B5476" s="3" t="s">
        <v>5278</v>
      </c>
      <c r="C5476" s="3" t="str">
        <f>IFERROR(__xludf.DUMMYFUNCTION("GOOGLETRANSLATE(B5476,""id"",""en"")"),"['buy', 'expensive', 'expensive', 'package', 'signal', 'rich', 'ilang', 'Nilagan']")</f>
        <v>['buy', 'expensive', 'expensive', 'package', 'signal', 'rich', 'ilang', 'Nilagan']</v>
      </c>
      <c r="D5476" s="3">
        <v>1.0</v>
      </c>
    </row>
    <row r="5477" ht="15.75" customHeight="1">
      <c r="A5477" s="1">
        <v>5839.0</v>
      </c>
      <c r="B5477" s="3" t="s">
        <v>5279</v>
      </c>
      <c r="C5477" s="3" t="str">
        <f>IFERROR(__xludf.DUMMYFUNCTION("GOOGLETRANSLATE(B5477,""id"",""en"")"),"['Promo', 'interesting', '']")</f>
        <v>['Promo', 'interesting', '']</v>
      </c>
      <c r="D5477" s="3">
        <v>5.0</v>
      </c>
    </row>
    <row r="5478" ht="15.75" customHeight="1">
      <c r="A5478" s="1">
        <v>5840.0</v>
      </c>
      <c r="B5478" s="3" t="s">
        <v>5280</v>
      </c>
      <c r="C5478" s="3" t="str">
        <f>IFERROR(__xludf.DUMMYFUNCTION("GOOGLETRANSLATE(B5478,""id"",""en"")"),"['Thanks', 'Convenience', 'Service', 'Applikasih']")</f>
        <v>['Thanks', 'Convenience', 'Service', 'Applikasih']</v>
      </c>
      <c r="D5478" s="3">
        <v>5.0</v>
      </c>
    </row>
    <row r="5479" ht="15.75" customHeight="1">
      <c r="A5479" s="1">
        <v>5841.0</v>
      </c>
      <c r="B5479" s="3" t="s">
        <v>5281</v>
      </c>
      <c r="C5479" s="3" t="str">
        <f>IFERROR(__xludf.DUMMYFUNCTION("GOOGLETRANSLATE(B5479,""id"",""en"")"),"['Road', 'Tomorrow', 'Enter', 'Why']")</f>
        <v>['Road', 'Tomorrow', 'Enter', 'Why']</v>
      </c>
      <c r="D5479" s="3">
        <v>3.0</v>
      </c>
    </row>
    <row r="5480" ht="15.75" customHeight="1">
      <c r="A5480" s="1">
        <v>5842.0</v>
      </c>
      <c r="B5480" s="3" t="s">
        <v>5282</v>
      </c>
      <c r="C5480" s="3" t="str">
        <f>IFERROR(__xludf.DUMMYFUNCTION("GOOGLETRANSLATE(B5480,""id"",""en"")"),"['difficult', 'login']")</f>
        <v>['difficult', 'login']</v>
      </c>
      <c r="D5480" s="3">
        <v>5.0</v>
      </c>
    </row>
    <row r="5481" ht="15.75" customHeight="1">
      <c r="A5481" s="1">
        <v>5843.0</v>
      </c>
      <c r="B5481" s="3" t="s">
        <v>5283</v>
      </c>
      <c r="C5481" s="3" t="str">
        <f>IFERROR(__xludf.DUMMYFUNCTION("GOOGLETRANSLATE(B5481,""id"",""en"")"),"['Nga', 'Login', 'opened']")</f>
        <v>['Nga', 'Login', 'opened']</v>
      </c>
      <c r="D5481" s="3">
        <v>2.0</v>
      </c>
    </row>
    <row r="5482" ht="15.75" customHeight="1">
      <c r="A5482" s="1">
        <v>5845.0</v>
      </c>
      <c r="B5482" s="3" t="s">
        <v>5284</v>
      </c>
      <c r="C5482" s="3" t="str">
        <f>IFERROR(__xludf.DUMMYFUNCTION("GOOGLETRANSLATE(B5482,""id"",""en"")"),"['ngak', 'donlowd']")</f>
        <v>['ngak', 'donlowd']</v>
      </c>
      <c r="D5482" s="3">
        <v>5.0</v>
      </c>
    </row>
    <row r="5483" ht="15.75" customHeight="1">
      <c r="A5483" s="1">
        <v>5846.0</v>
      </c>
      <c r="B5483" s="3" t="s">
        <v>5285</v>
      </c>
      <c r="C5483" s="3" t="str">
        <f>IFERROR(__xludf.DUMMYFUNCTION("GOOGLETRANSLATE(B5483,""id"",""en"")"),"['inexpensive']")</f>
        <v>['inexpensive']</v>
      </c>
      <c r="D5483" s="3">
        <v>5.0</v>
      </c>
    </row>
    <row r="5484" ht="15.75" customHeight="1">
      <c r="A5484" s="1">
        <v>5847.0</v>
      </c>
      <c r="B5484" s="3" t="s">
        <v>5286</v>
      </c>
      <c r="C5484" s="3" t="str">
        <f>IFERROR(__xludf.DUMMYFUNCTION("GOOGLETRANSLATE(B5484,""id"",""en"")"),"['Hello', 'Provider', 'Telkomsel', 'Constraints',' Input ',' Exchange ',' Points', 'Lottery', 'Points',' Voucher ',' Lottery ',' Exchange ',' according to ',' exchange ',' Points', 'by one', 'eat', 'Message', 'Enter', 'Switch', 'Points',' Hopefully ',' Co"&amp;"nsideration ',' Accept ' , 'love']")</f>
        <v>['Hello', 'Provider', 'Telkomsel', 'Constraints',' Input ',' Exchange ',' Points', 'Lottery', 'Points',' Voucher ',' Lottery ',' Exchange ',' according to ',' exchange ',' Points', 'by one', 'eat', 'Message', 'Enter', 'Switch', 'Points',' Hopefully ',' Consideration ',' Accept ' , 'love']</v>
      </c>
      <c r="D5484" s="3">
        <v>5.0</v>
      </c>
    </row>
    <row r="5485" ht="15.75" customHeight="1">
      <c r="A5485" s="1">
        <v>5848.0</v>
      </c>
      <c r="B5485" s="3" t="s">
        <v>5287</v>
      </c>
      <c r="C5485" s="3" t="str">
        <f>IFERROR(__xludf.DUMMYFUNCTION("GOOGLETRANSLATE(B5485,""id"",""en"")"),"['pig', 'signal', 'kontl', 'bngsat', 'tempic', 'itil', 'gmana', 'tlkomsel', 'signal', 'ksini', 'ugly', 'hairy', ' Dogs', 'Kungang', 'Bawok', 'Turuk']")</f>
        <v>['pig', 'signal', 'kontl', 'bngsat', 'tempic', 'itil', 'gmana', 'tlkomsel', 'signal', 'ksini', 'ugly', 'hairy', ' Dogs', 'Kungang', 'Bawok', 'Turuk']</v>
      </c>
      <c r="D5485" s="3">
        <v>1.0</v>
      </c>
    </row>
    <row r="5486" ht="15.75" customHeight="1">
      <c r="A5486" s="1">
        <v>5849.0</v>
      </c>
      <c r="B5486" s="3" t="s">
        <v>5288</v>
      </c>
      <c r="C5486" s="3" t="str">
        <f>IFERROR(__xludf.DUMMYFUNCTION("GOOGLETRANSLATE(B5486,""id"",""en"")"),"['Application', 'open', 'UDH', 'repeated', 'Uninst', 'Install', 'Tetep', 'buy', 'package', 'check', 'quota', 'check', ' Credit ',' Ribet ',' really ',' because ']]")</f>
        <v>['Application', 'open', 'UDH', 'repeated', 'Uninst', 'Install', 'Tetep', 'buy', 'package', 'check', 'quota', 'check', ' Credit ',' Ribet ',' really ',' because ']]</v>
      </c>
      <c r="D5486" s="3">
        <v>2.0</v>
      </c>
    </row>
    <row r="5487" ht="15.75" customHeight="1">
      <c r="A5487" s="1">
        <v>5850.0</v>
      </c>
      <c r="B5487" s="3" t="s">
        <v>5289</v>
      </c>
      <c r="C5487" s="3" t="str">
        <f>IFERROR(__xludf.DUMMYFUNCTION("GOOGLETRANSLATE(B5487,""id"",""en"")"),"['Credit', 'Jngan', 'You', 'Cut', 'Telkomsel', 'Papma']")</f>
        <v>['Credit', 'Jngan', 'You', 'Cut', 'Telkomsel', 'Papma']</v>
      </c>
      <c r="D5487" s="3">
        <v>1.0</v>
      </c>
    </row>
    <row r="5488" ht="15.75" customHeight="1">
      <c r="A5488" s="1">
        <v>5851.0</v>
      </c>
      <c r="B5488" s="3" t="s">
        <v>5290</v>
      </c>
      <c r="C5488" s="3" t="str">
        <f>IFERROR(__xludf.DUMMYFUNCTION("GOOGLETRANSLATE(B5488,""id"",""en"")"),"['The network']")</f>
        <v>['The network']</v>
      </c>
      <c r="D5488" s="3">
        <v>5.0</v>
      </c>
    </row>
    <row r="5489" ht="15.75" customHeight="1">
      <c r="A5489" s="1">
        <v>5852.0</v>
      </c>
      <c r="B5489" s="3" t="s">
        <v>5291</v>
      </c>
      <c r="C5489" s="3" t="str">
        <f>IFERROR(__xludf.DUMMYFUNCTION("GOOGLETRANSLATE(B5489,""id"",""en"")"),"['knp', 'egk', 'opened']")</f>
        <v>['knp', 'egk', 'opened']</v>
      </c>
      <c r="D5489" s="3">
        <v>5.0</v>
      </c>
    </row>
    <row r="5490" ht="15.75" customHeight="1">
      <c r="A5490" s="1">
        <v>5853.0</v>
      </c>
      <c r="B5490" s="3" t="s">
        <v>5292</v>
      </c>
      <c r="C5490" s="3" t="str">
        <f>IFERROR(__xludf.DUMMYFUNCTION("GOOGLETRANSLATE(B5490,""id"",""en"")"),"['fast', 'signal']")</f>
        <v>['fast', 'signal']</v>
      </c>
      <c r="D5490" s="3">
        <v>5.0</v>
      </c>
    </row>
    <row r="5491" ht="15.75" customHeight="1">
      <c r="A5491" s="1">
        <v>5854.0</v>
      </c>
      <c r="B5491" s="3" t="s">
        <v>5293</v>
      </c>
      <c r="C5491" s="3" t="str">
        <f>IFERROR(__xludf.DUMMYFUNCTION("GOOGLETRANSLATE(B5491,""id"",""en"")"),"['Fear', 'fraud', 'login', 'difficult']")</f>
        <v>['Fear', 'fraud', 'login', 'difficult']</v>
      </c>
      <c r="D5491" s="3">
        <v>5.0</v>
      </c>
    </row>
    <row r="5492" ht="15.75" customHeight="1">
      <c r="A5492" s="1">
        <v>5855.0</v>
      </c>
      <c r="B5492" s="3" t="s">
        <v>5294</v>
      </c>
      <c r="C5492" s="3" t="str">
        <f>IFERROR(__xludf.DUMMYFUNCTION("GOOGLETRANSLATE(B5492,""id"",""en"")"),"['Steady', 'Alpiction', 'Telkomsel']")</f>
        <v>['Steady', 'Alpiction', 'Telkomsel']</v>
      </c>
      <c r="D5492" s="3">
        <v>5.0</v>
      </c>
    </row>
    <row r="5493" ht="15.75" customHeight="1">
      <c r="A5493" s="1">
        <v>5856.0</v>
      </c>
      <c r="B5493" s="3" t="s">
        <v>5295</v>
      </c>
      <c r="C5493" s="3" t="str">
        <f>IFERROR(__xludf.DUMMYFUNCTION("GOOGLETRANSLATE(B5493,""id"",""en"")"),"['Package', 'cheap', 'affordable', 'price', 'safe']")</f>
        <v>['Package', 'cheap', 'affordable', 'price', 'safe']</v>
      </c>
      <c r="D5493" s="3">
        <v>4.0</v>
      </c>
    </row>
    <row r="5494" ht="15.75" customHeight="1">
      <c r="A5494" s="1">
        <v>5857.0</v>
      </c>
      <c r="B5494" s="3" t="s">
        <v>5296</v>
      </c>
      <c r="C5494" s="3" t="str">
        <f>IFERROR(__xludf.DUMMYFUNCTION("GOOGLETRANSLATE(B5494,""id"",""en"")"),"['signal', 'down']")</f>
        <v>['signal', 'down']</v>
      </c>
      <c r="D5494" s="3">
        <v>1.0</v>
      </c>
    </row>
    <row r="5495" ht="15.75" customHeight="1">
      <c r="A5495" s="1">
        <v>5858.0</v>
      </c>
      <c r="B5495" s="3" t="s">
        <v>351</v>
      </c>
      <c r="C5495" s="3" t="str">
        <f>IFERROR(__xludf.DUMMYFUNCTION("GOOGLETRANSLATE(B5495,""id"",""en"")"),"['Likes', 'APK']")</f>
        <v>['Likes', 'APK']</v>
      </c>
      <c r="D5495" s="3">
        <v>5.0</v>
      </c>
    </row>
    <row r="5496" ht="15.75" customHeight="1">
      <c r="A5496" s="1">
        <v>5859.0</v>
      </c>
      <c r="B5496" s="3" t="s">
        <v>5297</v>
      </c>
      <c r="C5496" s="3" t="str">
        <f>IFERROR(__xludf.DUMMYFUNCTION("GOOGLETRANSLATE(B5496,""id"",""en"")"),"['Telkomsel', 'Makinsini', 'network', 'already', 'rich', 'given', 'cloudy', 'little', 'already', 'network', 'gajelas',' network ',' Strongest ',' Indonesia ',' given ',' cloudy ',' slow ',' Maen ',' Njir ',' all ',' Oleng ',' Gabisa ',' Trutama ',' area '"&amp;",' village ' , 'UDH', 'Dead', 'Network', 'Nyesek', 'Customer', 'Telkomsel', 'UDH', 'THN', 'Njir', 'Gini', 'Bnting', 'Stir', ' Replace ',' card ']")</f>
        <v>['Telkomsel', 'Makinsini', 'network', 'already', 'rich', 'given', 'cloudy', 'little', 'already', 'network', 'gajelas',' network ',' Strongest ',' Indonesia ',' given ',' cloudy ',' slow ',' Maen ',' Njir ',' all ',' Oleng ',' Gabisa ',' Trutama ',' area ',' village ' , 'UDH', 'Dead', 'Network', 'Nyesek', 'Customer', 'Telkomsel', 'UDH', 'THN', 'Njir', 'Gini', 'Bnting', 'Stir', ' Replace ',' card ']</v>
      </c>
      <c r="D5496" s="3">
        <v>1.0</v>
      </c>
    </row>
    <row r="5497" ht="15.75" customHeight="1">
      <c r="A5497" s="1">
        <v>5860.0</v>
      </c>
      <c r="B5497" s="3" t="s">
        <v>5298</v>
      </c>
      <c r="C5497" s="3" t="str">
        <f>IFERROR(__xludf.DUMMYFUNCTION("GOOGLETRANSLATE(B5497,""id"",""en"")"),"['Application', 'NGK', 'Open', '']")</f>
        <v>['Application', 'NGK', 'Open', '']</v>
      </c>
      <c r="D5497" s="3">
        <v>5.0</v>
      </c>
    </row>
    <row r="5498" ht="15.75" customHeight="1">
      <c r="A5498" s="1">
        <v>5861.0</v>
      </c>
      <c r="B5498" s="3" t="s">
        <v>5299</v>
      </c>
      <c r="C5498" s="3" t="str">
        <f>IFERROR(__xludf.DUMMYFUNCTION("GOOGLETRANSLATE(B5498,""id"",""en"")"),"['Please', 'fix', 'network', 'internet', 'bad']")</f>
        <v>['Please', 'fix', 'network', 'internet', 'bad']</v>
      </c>
      <c r="D5498" s="3">
        <v>1.0</v>
      </c>
    </row>
    <row r="5499" ht="15.75" customHeight="1">
      <c r="A5499" s="1">
        <v>5862.0</v>
      </c>
      <c r="B5499" s="3" t="s">
        <v>5300</v>
      </c>
      <c r="C5499" s="3" t="str">
        <f>IFERROR(__xludf.DUMMYFUNCTION("GOOGLETRANSLATE(B5499,""id"",""en"")"),"['Network', 'Available', 'Strong', 'Fast']")</f>
        <v>['Network', 'Available', 'Strong', 'Fast']</v>
      </c>
      <c r="D5499" s="3">
        <v>5.0</v>
      </c>
    </row>
    <row r="5500" ht="15.75" customHeight="1">
      <c r="A5500" s="1">
        <v>5863.0</v>
      </c>
      <c r="B5500" s="3" t="s">
        <v>5301</v>
      </c>
      <c r="C5500" s="3" t="str">
        <f>IFERROR(__xludf.DUMMYFUNCTION("GOOGLETRANSLATE(B5500,""id"",""en"")"),"['signal', 'big', 'network', 'buttut', 'package', 'expensive', 'lol', 'emotion', 'mulu', 'telkomsel', 'woy', 'download', ' APK ']")</f>
        <v>['signal', 'big', 'network', 'buttut', 'package', 'expensive', 'lol', 'emotion', 'mulu', 'telkomsel', 'woy', 'download', ' APK ']</v>
      </c>
      <c r="D5500" s="3">
        <v>1.0</v>
      </c>
    </row>
    <row r="5501" ht="15.75" customHeight="1">
      <c r="A5501" s="1">
        <v>5864.0</v>
      </c>
      <c r="B5501" s="3" t="s">
        <v>5302</v>
      </c>
      <c r="C5501" s="3" t="str">
        <f>IFERROR(__xludf.DUMMYFUNCTION("GOOGLETRANSLATE(B5501,""id"",""en"")"),"['Daily', 'check', 'pulse', 'kah', 'emang', 'gift', 'gift', 'condition', 'dizzy', 'signal', 'slow', 'in the area', ' Regency ',' Garut ',' hope ',' Telkomsel ',' bankrupt ',' stress', 'stress',' Stress', 'Strees',' Strees', 'signal', 'Axis' , 'Bagusan', '"&amp;"Axis', 'signal', 'rather than', 'Telkomsel']")</f>
        <v>['Daily', 'check', 'pulse', 'kah', 'emang', 'gift', 'gift', 'condition', 'dizzy', 'signal', 'slow', 'in the area', ' Regency ',' Garut ',' hope ',' Telkomsel ',' bankrupt ',' stress', 'stress',' Stress', 'Strees',' Strees', 'signal', 'Axis' , 'Bagusan', 'Axis', 'signal', 'rather than', 'Telkomsel']</v>
      </c>
      <c r="D5501" s="3">
        <v>1.0</v>
      </c>
    </row>
    <row r="5502" ht="15.75" customHeight="1">
      <c r="A5502" s="1">
        <v>5865.0</v>
      </c>
      <c r="B5502" s="3" t="s">
        <v>5303</v>
      </c>
      <c r="C5502" s="3" t="str">
        <f>IFERROR(__xludf.DUMMYFUNCTION("GOOGLETRANSLATE(B5502,""id"",""en"")"),"['network', 'gajelas', 'run out', 'buy', 'signal', 'red', 'price', 'expensive', 'really']")</f>
        <v>['network', 'gajelas', 'run out', 'buy', 'signal', 'red', 'price', 'expensive', 'really']</v>
      </c>
      <c r="D5502" s="3">
        <v>1.0</v>
      </c>
    </row>
    <row r="5503" ht="15.75" customHeight="1">
      <c r="A5503" s="1">
        <v>5866.0</v>
      </c>
      <c r="B5503" s="3" t="s">
        <v>5304</v>
      </c>
      <c r="C5503" s="3" t="str">
        <f>IFERROR(__xludf.DUMMYFUNCTION("GOOGLETRANSLATE(B5503,""id"",""en"")"),"['network', 'Telkomsel', 'lag', 'play', 'game', 'please', 'repair']")</f>
        <v>['network', 'Telkomsel', 'lag', 'play', 'game', 'please', 'repair']</v>
      </c>
      <c r="D5503" s="3">
        <v>1.0</v>
      </c>
    </row>
    <row r="5504" ht="15.75" customHeight="1">
      <c r="A5504" s="1">
        <v>5867.0</v>
      </c>
      <c r="B5504" s="3" t="s">
        <v>5305</v>
      </c>
      <c r="C5504" s="3" t="str">
        <f>IFERROR(__xludf.DUMMYFUNCTION("GOOGLETRANSLATE(B5504,""id"",""en"")"),"['signal', 'bad', 'bad', 'all', 'card', 'play', 'game', 'online', 'lag']")</f>
        <v>['signal', 'bad', 'bad', 'all', 'card', 'play', 'game', 'online', 'lag']</v>
      </c>
      <c r="D5504" s="3">
        <v>1.0</v>
      </c>
    </row>
    <row r="5505" ht="15.75" customHeight="1">
      <c r="A5505" s="1">
        <v>5868.0</v>
      </c>
      <c r="B5505" s="3" t="s">
        <v>5306</v>
      </c>
      <c r="C5505" s="3" t="str">
        <f>IFERROR(__xludf.DUMMYFUNCTION("GOOGLETRANSLATE(B5505,""id"",""en"")"),"['Pket', 'expensive']")</f>
        <v>['Pket', 'expensive']</v>
      </c>
      <c r="D5505" s="3">
        <v>3.0</v>
      </c>
    </row>
    <row r="5506" ht="15.75" customHeight="1">
      <c r="A5506" s="1">
        <v>5869.0</v>
      </c>
      <c r="B5506" s="3" t="s">
        <v>5307</v>
      </c>
      <c r="C5506" s="3" t="str">
        <f>IFERROR(__xludf.DUMMYFUNCTION("GOOGLETRANSLATE(B5506,""id"",""en"")"),"['why', 'difficult', 'opened', 'application', 'alternating', 'uninstall', 'opened', 'application', 'thisii', 'ugly', 'bangettt', ""]")</f>
        <v>['why', 'difficult', 'opened', 'application', 'alternating', 'uninstall', 'opened', 'application', 'thisii', 'ugly', 'bangettt', "]</v>
      </c>
      <c r="D5506" s="3">
        <v>3.0</v>
      </c>
    </row>
    <row r="5507" ht="15.75" customHeight="1">
      <c r="A5507" s="1">
        <v>5870.0</v>
      </c>
      <c r="B5507" s="3" t="s">
        <v>5308</v>
      </c>
      <c r="C5507" s="3" t="str">
        <f>IFERROR(__xludf.DUMMYFUNCTION("GOOGLETRANSLATE(B5507,""id"",""en"")"),"['Woy', 'network', 'according to', 'price', 'bangkee', 'price', 'expensive', 'network', 'kyk', 'dajjal', 'network', 'strong', ' Love ',' truss', 'data', 'cave', 'udh', 'buy', 'package', 'expensive', 'useful', 'broken', 'udh', 'cave', 'gara' , 'Network', '"&amp;"kyk', 'taik']")</f>
        <v>['Woy', 'network', 'according to', 'price', 'bangkee', 'price', 'expensive', 'network', 'kyk', 'dajjal', 'network', 'strong', ' Love ',' truss', 'data', 'cave', 'udh', 'buy', 'package', 'expensive', 'useful', 'broken', 'udh', 'cave', 'gara' , 'Network', 'kyk', 'taik']</v>
      </c>
      <c r="D5507" s="3">
        <v>1.0</v>
      </c>
    </row>
    <row r="5508" ht="15.75" customHeight="1">
      <c r="A5508" s="1">
        <v>5871.0</v>
      </c>
      <c r="B5508" s="3" t="s">
        <v>5309</v>
      </c>
      <c r="C5508" s="3" t="str">
        <f>IFERROR(__xludf.DUMMYFUNCTION("GOOGLETRANSLATE(B5508,""id"",""en"")"),"['Application', 'Telkomsel', 'White', 'Screen', 'Samsung', 'Please', 'Repaired', 'How', 'Help', 'Application', 'Telkomsel', 'Application', ' Opened ',' Please ', ""]")</f>
        <v>['Application', 'Telkomsel', 'White', 'Screen', 'Samsung', 'Please', 'Repaired', 'How', 'Help', 'Application', 'Telkomsel', 'Application', ' Opened ',' Please ', "]</v>
      </c>
      <c r="D5508" s="3">
        <v>1.0</v>
      </c>
    </row>
    <row r="5509" ht="15.75" customHeight="1">
      <c r="A5509" s="1">
        <v>5872.0</v>
      </c>
      <c r="B5509" s="3" t="s">
        <v>5310</v>
      </c>
      <c r="C5509" s="3" t="str">
        <f>IFERROR(__xludf.DUMMYFUNCTION("GOOGLETRANSLATE(B5509,""id"",""en"")"),"['boss', 'play', 'telephone', 'busy', 'presentation', 'play', 'telephone']")</f>
        <v>['boss', 'play', 'telephone', 'busy', 'presentation', 'play', 'telephone']</v>
      </c>
      <c r="D5509" s="3">
        <v>1.0</v>
      </c>
    </row>
    <row r="5510" ht="15.75" customHeight="1">
      <c r="A5510" s="1">
        <v>5873.0</v>
      </c>
      <c r="B5510" s="3" t="s">
        <v>5311</v>
      </c>
      <c r="C5510" s="3" t="str">
        <f>IFERROR(__xludf.DUMMYFUNCTION("GOOGLETRANSLATE(B5510,""id"",""en"")"),"['application', 'ugly', 'good', 'axis',' net ',' feature ',' key ',' pulse ',' package ',' data ',' exhaust ',' ngak ',' Lansung ',' suck ',' pulse ',' pulse ',' hundreds', 'thousand', 'suck']")</f>
        <v>['application', 'ugly', 'good', 'axis',' net ',' feature ',' key ',' pulse ',' package ',' data ',' exhaust ',' ngak ',' Lansung ',' suck ',' pulse ',' pulse ',' hundreds', 'thousand', 'suck']</v>
      </c>
      <c r="D5510" s="3">
        <v>1.0</v>
      </c>
    </row>
    <row r="5511" ht="15.75" customHeight="1">
      <c r="A5511" s="1">
        <v>5875.0</v>
      </c>
      <c r="B5511" s="3" t="s">
        <v>5312</v>
      </c>
      <c r="C5511" s="3" t="str">
        <f>IFERROR(__xludf.DUMMYFUNCTION("GOOGLETRANSLATE(B5511,""id"",""en"")"),"['knp', 'tdak', 'opened']")</f>
        <v>['knp', 'tdak', 'opened']</v>
      </c>
      <c r="D5511" s="3">
        <v>1.0</v>
      </c>
    </row>
    <row r="5512" ht="15.75" customHeight="1">
      <c r="A5512" s="1">
        <v>5876.0</v>
      </c>
      <c r="B5512" s="3" t="s">
        <v>5313</v>
      </c>
      <c r="C5512" s="3" t="str">
        <f>IFERROR(__xludf.DUMMYFUNCTION("GOOGLETRANSLATE(B5512,""id"",""en"")"),"['emang', 'safe', 'neat', 'love', ""]")</f>
        <v>['emang', 'safe', 'neat', 'love', "]</v>
      </c>
      <c r="D5512" s="3">
        <v>1.0</v>
      </c>
    </row>
    <row r="5513" ht="15.75" customHeight="1">
      <c r="A5513" s="1">
        <v>5877.0</v>
      </c>
      <c r="B5513" s="3" t="s">
        <v>5314</v>
      </c>
      <c r="C5513" s="3" t="str">
        <f>IFERROR(__xludf.DUMMYFUNCTION("GOOGLETRANSLATE(B5513,""id"",""en"")"),"['date', 'package', 'voice', 'run out', 'buy', 'package', 'menu', 'Telkomsel', 'telk', 'follow', 'direction', 'msh', ' menu']")</f>
        <v>['date', 'package', 'voice', 'run out', 'buy', 'package', 'menu', 'Telkomsel', 'telk', 'follow', 'direction', 'msh', ' menu']</v>
      </c>
      <c r="D5513" s="3">
        <v>2.0</v>
      </c>
    </row>
    <row r="5514" ht="15.75" customHeight="1">
      <c r="A5514" s="1">
        <v>5878.0</v>
      </c>
      <c r="B5514" s="3" t="s">
        <v>5315</v>
      </c>
      <c r="C5514" s="3" t="str">
        <f>IFERROR(__xludf.DUMMYFUNCTION("GOOGLETRANSLATE(B5514,""id"",""en"")"),"['Telkomsel', 'steady', 'network', 'good', '']")</f>
        <v>['Telkomsel', 'steady', 'network', 'good', '']</v>
      </c>
      <c r="D5514" s="3">
        <v>5.0</v>
      </c>
    </row>
    <row r="5515" ht="15.75" customHeight="1">
      <c r="A5515" s="1">
        <v>5879.0</v>
      </c>
      <c r="B5515" s="3" t="s">
        <v>5316</v>
      </c>
      <c r="C5515" s="3" t="str">
        <f>IFERROR(__xludf.DUMMYFUNCTION("GOOGLETRANSLATE(B5515,""id"",""en"")"),"['', 'GBSA', 'Open', '']")</f>
        <v>['', 'GBSA', 'Open', '']</v>
      </c>
      <c r="D5515" s="3">
        <v>2.0</v>
      </c>
    </row>
    <row r="5516" ht="15.75" customHeight="1">
      <c r="A5516" s="1">
        <v>5880.0</v>
      </c>
      <c r="B5516" s="3" t="s">
        <v>5317</v>
      </c>
      <c r="C5516" s="3" t="str">
        <f>IFERROR(__xludf.DUMMYFUNCTION("GOOGLETRANSLATE(B5516,""id"",""en"")"),"['opened', 'White', 'Screen', 'blank', 'aka', 'broken', 'the application']")</f>
        <v>['opened', 'White', 'Screen', 'blank', 'aka', 'broken', 'the application']</v>
      </c>
      <c r="D5516" s="3">
        <v>1.0</v>
      </c>
    </row>
    <row r="5517" ht="15.75" customHeight="1">
      <c r="A5517" s="1">
        <v>5881.0</v>
      </c>
      <c r="B5517" s="3" t="s">
        <v>5318</v>
      </c>
      <c r="C5517" s="3" t="str">
        <f>IFERROR(__xludf.DUMMYFUNCTION("GOOGLETRANSLATE(B5517,""id"",""en"")"),"['Exchange', 'Points', 'Game', 'Game', 'Love', 'Free', 'Fire']")</f>
        <v>['Exchange', 'Points', 'Game', 'Game', 'Love', 'Free', 'Fire']</v>
      </c>
      <c r="D5517" s="3">
        <v>1.0</v>
      </c>
    </row>
    <row r="5518" ht="15.75" customHeight="1">
      <c r="A5518" s="1">
        <v>5882.0</v>
      </c>
      <c r="B5518" s="3" t="s">
        <v>5319</v>
      </c>
      <c r="C5518" s="3" t="str">
        <f>IFERROR(__xludf.DUMMYFUNCTION("GOOGLETRANSLATE(B5518,""id"",""en"")"),"['Package', 'expensive', 'disorder', 'tross']")</f>
        <v>['Package', 'expensive', 'disorder', 'tross']</v>
      </c>
      <c r="D5518" s="3">
        <v>1.0</v>
      </c>
    </row>
    <row r="5519" ht="15.75" customHeight="1">
      <c r="A5519" s="1">
        <v>5883.0</v>
      </c>
      <c r="B5519" s="3" t="s">
        <v>5320</v>
      </c>
      <c r="C5519" s="3" t="str">
        <f>IFERROR(__xludf.DUMMYFUNCTION("GOOGLETRANSLATE(B5519,""id"",""en"")"),"['Pay', 'package', 'expensive', 'disorder', ""]")</f>
        <v>['Pay', 'package', 'expensive', 'disorder', "]</v>
      </c>
      <c r="D5519" s="3">
        <v>1.0</v>
      </c>
    </row>
    <row r="5520" ht="15.75" customHeight="1">
      <c r="A5520" s="1">
        <v>5884.0</v>
      </c>
      <c r="B5520" s="3" t="s">
        <v>5321</v>
      </c>
      <c r="C5520" s="3" t="str">
        <f>IFERROR(__xludf.DUMMYFUNCTION("GOOGLETRANSLATE(B5520,""id"",""en"")"),"['The network', 'bejad', 'really', 'severe', 'Mendi', 'Telkomsel', 'rude', ""]")</f>
        <v>['The network', 'bejad', 'really', 'severe', 'Mendi', 'Telkomsel', 'rude', "]</v>
      </c>
      <c r="D5520" s="3">
        <v>1.0</v>
      </c>
    </row>
    <row r="5521" ht="15.75" customHeight="1">
      <c r="A5521" s="1">
        <v>5885.0</v>
      </c>
      <c r="B5521" s="3" t="s">
        <v>5322</v>
      </c>
      <c r="C5521" s="3" t="str">
        <f>IFERROR(__xludf.DUMMYFUNCTION("GOOGLETRANSLATE(B5521,""id"",""en"")"),"['right', 'open', 'updet', 'already', 'updet', 'ttep', 'opened', 'ttep', 'updet', 'pyeng']")</f>
        <v>['right', 'open', 'updet', 'already', 'updet', 'ttep', 'opened', 'ttep', 'updet', 'pyeng']</v>
      </c>
      <c r="D5521" s="3">
        <v>2.0</v>
      </c>
    </row>
    <row r="5522" ht="15.75" customHeight="1">
      <c r="A5522" s="1">
        <v>5886.0</v>
      </c>
      <c r="B5522" s="3" t="s">
        <v>5323</v>
      </c>
      <c r="C5522" s="3" t="str">
        <f>IFERROR(__xludf.DUMMYFUNCTION("GOOGLETRANSLATE(B5522,""id"",""en"")"),"['BUMN', 'Love', 'Fortune', 'Negera', 'How', 'Fortunately', 'People', 'Consumers',' Deceived ',' Already ',' Use ',' Card ',' Hello ',' used ',' network ',' internet ',' Garuda ',' Garuda ',' service ',' star ',' Telkomsel ',' star ',' nipu ']")</f>
        <v>['BUMN', 'Love', 'Fortune', 'Negera', 'How', 'Fortunately', 'People', 'Consumers',' Deceived ',' Already ',' Use ',' Card ',' Hello ',' used ',' network ',' internet ',' Garuda ',' Garuda ',' service ',' star ',' Telkomsel ',' star ',' nipu ']</v>
      </c>
      <c r="D5522" s="3">
        <v>1.0</v>
      </c>
    </row>
    <row r="5523" ht="15.75" customHeight="1">
      <c r="A5523" s="1">
        <v>5887.0</v>
      </c>
      <c r="B5523" s="3" t="s">
        <v>5324</v>
      </c>
      <c r="C5523" s="3" t="str">
        <f>IFERROR(__xludf.DUMMYFUNCTION("GOOGLETRANSLATE(B5523,""id"",""en"")"),"['love', 'star', 'bonus',' because 'smart', 'in the world', 'appreciate', 'app', 'because' human ',' bonus', 'sukur', ' Games', 'relaxed', 'capable', 'closed', 'yes',' ']")</f>
        <v>['love', 'star', 'bonus',' because 'smart', 'in the world', 'appreciate', 'app', 'because' human ',' bonus', 'sukur', ' Games', 'relaxed', 'capable', 'closed', 'yes',' ']</v>
      </c>
      <c r="D5523" s="3">
        <v>5.0</v>
      </c>
    </row>
    <row r="5524" ht="15.75" customHeight="1">
      <c r="A5524" s="1">
        <v>5888.0</v>
      </c>
      <c r="B5524" s="3" t="s">
        <v>5325</v>
      </c>
      <c r="C5524" s="3" t="str">
        <f>IFERROR(__xludf.DUMMYFUNCTION("GOOGLETRANSLATE(B5524,""id"",""en"")"),"['proceed']")</f>
        <v>['proceed']</v>
      </c>
      <c r="D5524" s="3">
        <v>5.0</v>
      </c>
    </row>
    <row r="5525" ht="15.75" customHeight="1">
      <c r="A5525" s="1">
        <v>5889.0</v>
      </c>
      <c r="B5525" s="3" t="s">
        <v>5326</v>
      </c>
      <c r="C5525" s="3" t="str">
        <f>IFERROR(__xludf.DUMMYFUNCTION("GOOGLETRANSLATE(B5525,""id"",""en"")"),"['', 'Show', '']")</f>
        <v>['', 'Show', '']</v>
      </c>
      <c r="D5525" s="3">
        <v>5.0</v>
      </c>
    </row>
    <row r="5526" ht="15.75" customHeight="1">
      <c r="A5526" s="1">
        <v>5890.0</v>
      </c>
      <c r="B5526" s="3" t="s">
        <v>5327</v>
      </c>
      <c r="C5526" s="3" t="str">
        <f>IFERROR(__xludf.DUMMYFUNCTION("GOOGLETRANSLATE(B5526,""id"",""en"")"),"['Telkomsel', 'Kayak', 'Cook', 'Fill', 'Credit', 'Buy', 'Quota', 'Price', 'Credit', 'Cut', 'then', 'quota', ' BERES ',' already ',' expensive ',' ORDER ']")</f>
        <v>['Telkomsel', 'Kayak', 'Cook', 'Fill', 'Credit', 'Buy', 'Quota', 'Price', 'Credit', 'Cut', 'then', 'quota', ' BERES ',' already ',' expensive ',' ORDER ']</v>
      </c>
      <c r="D5526" s="3">
        <v>1.0</v>
      </c>
    </row>
    <row r="5527" ht="15.75" customHeight="1">
      <c r="A5527" s="1">
        <v>5891.0</v>
      </c>
      <c r="B5527" s="3" t="s">
        <v>5328</v>
      </c>
      <c r="C5527" s="3" t="str">
        <f>IFERROR(__xludf.DUMMYFUNCTION("GOOGLETRANSLATE(B5527,""id"",""en"")"),"['signal', 'missing']")</f>
        <v>['signal', 'missing']</v>
      </c>
      <c r="D5527" s="3">
        <v>1.0</v>
      </c>
    </row>
    <row r="5528" ht="15.75" customHeight="1">
      <c r="A5528" s="1">
        <v>5892.0</v>
      </c>
      <c r="B5528" s="3" t="s">
        <v>5329</v>
      </c>
      <c r="C5528" s="3" t="str">
        <f>IFERROR(__xludf.DUMMYFUNCTION("GOOGLETRANSLATE(B5528,""id"",""en"")"),"['contact', 'error', 'bot', 'most', 'help', 'connected', 'reply', 'minute', 'message', ""]")</f>
        <v>['contact', 'error', 'bot', 'most', 'help', 'connected', 'reply', 'minute', 'message', "]</v>
      </c>
      <c r="D5528" s="3">
        <v>2.0</v>
      </c>
    </row>
    <row r="5529" ht="15.75" customHeight="1">
      <c r="A5529" s="1">
        <v>5893.0</v>
      </c>
      <c r="B5529" s="3" t="s">
        <v>5330</v>
      </c>
      <c r="C5529" s="3" t="str">
        <f>IFERROR(__xludf.DUMMYFUNCTION("GOOGLETRANSLATE(B5529,""id"",""en"")"),"['Min', 'Open', 'Telkomsel', 'Uda', 'Upgrade']")</f>
        <v>['Min', 'Open', 'Telkomsel', 'Uda', 'Upgrade']</v>
      </c>
      <c r="D5529" s="3">
        <v>1.0</v>
      </c>
    </row>
    <row r="5530" ht="15.75" customHeight="1">
      <c r="A5530" s="1">
        <v>5894.0</v>
      </c>
      <c r="B5530" s="3" t="s">
        <v>5331</v>
      </c>
      <c r="C5530" s="3" t="str">
        <f>IFERROR(__xludf.DUMMYFUNCTION("GOOGLETRANSLATE(B5530,""id"",""en"")"),"['Telkomsel', 'open', 'already', 'reset', 'download', 'open', 'disappointing', 'application', 'Telkomsel', '']")</f>
        <v>['Telkomsel', 'open', 'already', 'reset', 'download', 'open', 'disappointing', 'application', 'Telkomsel', '']</v>
      </c>
      <c r="D5530" s="3">
        <v>1.0</v>
      </c>
    </row>
    <row r="5531" ht="15.75" customHeight="1">
      <c r="A5531" s="1">
        <v>5895.0</v>
      </c>
      <c r="B5531" s="3" t="s">
        <v>567</v>
      </c>
      <c r="C5531" s="3" t="str">
        <f>IFERROR(__xludf.DUMMYFUNCTION("GOOGLETRANSLATE(B5531,""id"",""en"")"),"['application']")</f>
        <v>['application']</v>
      </c>
      <c r="D5531" s="3">
        <v>5.0</v>
      </c>
    </row>
    <row r="5532" ht="15.75" customHeight="1">
      <c r="A5532" s="1">
        <v>5896.0</v>
      </c>
      <c r="B5532" s="3" t="s">
        <v>5332</v>
      </c>
      <c r="C5532" s="3" t="str">
        <f>IFERROR(__xludf.DUMMYFUNCTION("GOOGLETRANSLATE(B5532,""id"",""en"")"),"['Good', 'Tamba', 'Easy', 'Choosing', 'Package', 'Apps', 'Telkomsel', ""]")</f>
        <v>['Good', 'Tamba', 'Easy', 'Choosing', 'Package', 'Apps', 'Telkomsel', "]</v>
      </c>
      <c r="D5532" s="3">
        <v>5.0</v>
      </c>
    </row>
    <row r="5533" ht="15.75" customHeight="1">
      <c r="A5533" s="1">
        <v>5897.0</v>
      </c>
      <c r="B5533" s="3" t="s">
        <v>5333</v>
      </c>
      <c r="C5533" s="3" t="str">
        <f>IFERROR(__xludf.DUMMYFUNCTION("GOOGLETRANSLATE(B5533,""id"",""en"")"),"['The essence', 'Telkomsel', 'bad', 'network', 'slow', 'slow', 'pulses', 'chick']")</f>
        <v>['The essence', 'Telkomsel', 'bad', 'network', 'slow', 'slow', 'pulses', 'chick']</v>
      </c>
      <c r="D5533" s="3">
        <v>1.0</v>
      </c>
    </row>
    <row r="5534" ht="15.75" customHeight="1">
      <c r="A5534" s="1">
        <v>5898.0</v>
      </c>
      <c r="B5534" s="3" t="s">
        <v>5334</v>
      </c>
      <c r="C5534" s="3" t="str">
        <f>IFERROR(__xludf.DUMMYFUNCTION("GOOGLETRANSLATE(B5534,""id"",""en"")"),"['Bonus', 'Package', 'Cheerful', 'Bener', 'Transaction']")</f>
        <v>['Bonus', 'Package', 'Cheerful', 'Bener', 'Transaction']</v>
      </c>
      <c r="D5534" s="3">
        <v>4.0</v>
      </c>
    </row>
    <row r="5535" ht="15.75" customHeight="1">
      <c r="A5535" s="1">
        <v>5899.0</v>
      </c>
      <c r="B5535" s="3" t="s">
        <v>5335</v>
      </c>
      <c r="C5535" s="3" t="str">
        <f>IFERROR(__xludf.DUMMYFUNCTION("GOOGLETRANSLATE(B5535,""id"",""en"")"),"['APK', 'good', 'just', 'price', 'thousand']")</f>
        <v>['APK', 'good', 'just', 'price', 'thousand']</v>
      </c>
      <c r="D5535" s="3">
        <v>5.0</v>
      </c>
    </row>
    <row r="5536" ht="15.75" customHeight="1">
      <c r="A5536" s="1">
        <v>5900.0</v>
      </c>
      <c r="B5536" s="3" t="s">
        <v>5336</v>
      </c>
      <c r="C5536" s="3" t="str">
        <f>IFERROR(__xludf.DUMMYFUNCTION("GOOGLETRANSLATE(B5536,""id"",""en"")"),"['', 'Please', 'Morning', 'Televon', 'Telkomsel', 'AGKAT', 'Televon', 'Package', 'Data', 'Out', 'Please', 'Wrong', 'Night ',' contents', 'package', 'data', '']")</f>
        <v>['', 'Please', 'Morning', 'Televon', 'Telkomsel', 'AGKAT', 'Televon', 'Package', 'Data', 'Out', 'Please', 'Wrong', 'Night ',' contents', 'package', 'data', '']</v>
      </c>
      <c r="D5536" s="3">
        <v>1.0</v>
      </c>
    </row>
    <row r="5537" ht="15.75" customHeight="1">
      <c r="A5537" s="1">
        <v>5901.0</v>
      </c>
      <c r="B5537" s="3" t="s">
        <v>5337</v>
      </c>
      <c r="C5537" s="3" t="str">
        <f>IFERROR(__xludf.DUMMYFUNCTION("GOOGLETRANSLATE(B5537,""id"",""en"")"),"['Say', 'Thank you', 'Help', 'Communication']")</f>
        <v>['Say', 'Thank you', 'Help', 'Communication']</v>
      </c>
      <c r="D5537" s="3">
        <v>5.0</v>
      </c>
    </row>
    <row r="5538" ht="15.75" customHeight="1">
      <c r="A5538" s="1">
        <v>5902.0</v>
      </c>
      <c r="B5538" s="3" t="s">
        <v>5338</v>
      </c>
      <c r="C5538" s="3" t="str">
        <f>IFERROR(__xludf.DUMMYFUNCTION("GOOGLETRANSLATE(B5538,""id"",""en"")"),"['ideal', 'name', 'package', 'clock', 'list', 'clock', 'should', 'clock', 'tomorrow', 'clock', 'clock', 'hour', ' ']")</f>
        <v>['ideal', 'name', 'package', 'clock', 'list', 'clock', 'should', 'clock', 'tomorrow', 'clock', 'clock', 'hour', ' ']</v>
      </c>
      <c r="D5538" s="3">
        <v>5.0</v>
      </c>
    </row>
    <row r="5539" ht="15.75" customHeight="1">
      <c r="A5539" s="1">
        <v>5903.0</v>
      </c>
      <c r="B5539" s="3" t="s">
        <v>5339</v>
      </c>
      <c r="C5539" s="3" t="str">
        <f>IFERROR(__xludf.DUMMYFUNCTION("GOOGLETRANSLATE(B5539,""id"",""en"")"),"['device', 'open', 'application', 'please', 'repaired', 'realm', '']")</f>
        <v>['device', 'open', 'application', 'please', 'repaired', 'realm', '']</v>
      </c>
      <c r="D5539" s="3">
        <v>1.0</v>
      </c>
    </row>
    <row r="5540" ht="15.75" customHeight="1">
      <c r="A5540" s="1">
        <v>5904.0</v>
      </c>
      <c r="B5540" s="3" t="s">
        <v>5340</v>
      </c>
      <c r="C5540" s="3" t="str">
        <f>IFERROR(__xludf.DUMMYFUNCTION("GOOGLETRANSLATE(B5540,""id"",""en"")"),"['process',' buy ',' package ',' promo ',' really ',' hurried ',' pulses', 'sumps',' notif ',' entry ',' package ',' bought ',' bills', 'please', 'add', 'features',' history ',' purchase ',' please ',' process', 'minutes',' so ',' thank you ']")</f>
        <v>['process',' buy ',' package ',' promo ',' really ',' hurried ',' pulses', 'sumps',' notif ',' entry ',' package ',' bought ',' bills', 'please', 'add', 'features',' history ',' purchase ',' please ',' process', 'minutes',' so ',' thank you ']</v>
      </c>
      <c r="D5540" s="3">
        <v>1.0</v>
      </c>
    </row>
    <row r="5541" ht="15.75" customHeight="1">
      <c r="A5541" s="1">
        <v>5905.0</v>
      </c>
      <c r="B5541" s="3" t="s">
        <v>5341</v>
      </c>
      <c r="C5541" s="3" t="str">
        <f>IFERROR(__xludf.DUMMYFUNCTION("GOOGLETRANSLATE(B5541,""id"",""en"")"),"['difficult', 'buy', 'package', 'data', 'disorder', 'system', 'check', 'connection', 'center', 'help', 'help']")</f>
        <v>['difficult', 'buy', 'package', 'data', 'disorder', 'system', 'check', 'connection', 'center', 'help', 'help']</v>
      </c>
      <c r="D5541" s="3">
        <v>1.0</v>
      </c>
    </row>
    <row r="5542" ht="15.75" customHeight="1">
      <c r="A5542" s="1">
        <v>5906.0</v>
      </c>
      <c r="B5542" s="3" t="s">
        <v>5342</v>
      </c>
      <c r="C5542" s="3" t="str">
        <f>IFERROR(__xludf.DUMMYFUNCTION("GOOGLETRANSLATE(B5542,""id"",""en"")"),"['Kah', 'Application', 'Features',' Restrictions', 'Quota', 'Package', 'Quota', 'Out', 'Internet', 'Dead', 'Direct', 'Eat', ' pulses', 'regular', 'annoyed', 'pulses',' regular ',' guard ',' guard ',' disappear ',' Gara ',' Gara ',' renewal ',' package ','"&amp;" quota ' , 'Out', 'User', 'Standby', 'Hold', 'SIM', 'Card', 'Installed', 'Installed', 'Modem', 'Thtering', ""]")</f>
        <v>['Kah', 'Application', 'Features',' Restrictions', 'Quota', 'Package', 'Quota', 'Out', 'Internet', 'Dead', 'Direct', 'Eat', ' pulses', 'regular', 'annoyed', 'pulses',' regular ',' guard ',' guard ',' disappear ',' Gara ',' Gara ',' renewal ',' package ',' quota ' , 'Out', 'User', 'Standby', 'Hold', 'SIM', 'Card', 'Installed', 'Installed', 'Modem', 'Thtering', "]</v>
      </c>
      <c r="D5542" s="3">
        <v>1.0</v>
      </c>
    </row>
    <row r="5543" ht="15.75" customHeight="1">
      <c r="A5543" s="1">
        <v>5907.0</v>
      </c>
      <c r="B5543" s="3" t="s">
        <v>5343</v>
      </c>
      <c r="C5543" s="3" t="str">
        <f>IFERROR(__xludf.DUMMYFUNCTION("GOOGLETRANSLATE(B5543,""id"",""en"")"),"['Operator', 'Network', 'slow', '']")</f>
        <v>['Operator', 'Network', 'slow', '']</v>
      </c>
      <c r="D5543" s="3">
        <v>1.0</v>
      </c>
    </row>
    <row r="5544" ht="15.75" customHeight="1">
      <c r="A5544" s="1">
        <v>5908.0</v>
      </c>
      <c r="B5544" s="3" t="s">
        <v>5344</v>
      </c>
      <c r="C5544" s="3" t="str">
        <f>IFERROR(__xludf.DUMMYFUNCTION("GOOGLETRANSLATE(B5544,""id"",""en"")"),"['Good', 'check', 'SOLDO']")</f>
        <v>['Good', 'check', 'SOLDO']</v>
      </c>
      <c r="D5544" s="3">
        <v>5.0</v>
      </c>
    </row>
    <row r="5545" ht="15.75" customHeight="1">
      <c r="A5545" s="1">
        <v>5909.0</v>
      </c>
      <c r="B5545" s="3" t="s">
        <v>5345</v>
      </c>
      <c r="C5545" s="3" t="str">
        <f>IFERROR(__xludf.DUMMYFUNCTION("GOOGLETRANSLATE(B5545,""id"",""en"")"),"['signal', 'slow', 'good']")</f>
        <v>['signal', 'slow', 'good']</v>
      </c>
      <c r="D5545" s="3">
        <v>2.0</v>
      </c>
    </row>
    <row r="5546" ht="15.75" customHeight="1">
      <c r="A5546" s="1">
        <v>5911.0</v>
      </c>
      <c r="B5546" s="3" t="s">
        <v>2981</v>
      </c>
      <c r="C5546" s="3" t="str">
        <f>IFERROR(__xludf.DUMMYFUNCTION("GOOGLETRANSLATE(B5546,""id"",""en"")"),"['APK', 'good']")</f>
        <v>['APK', 'good']</v>
      </c>
      <c r="D5546" s="3">
        <v>1.0</v>
      </c>
    </row>
    <row r="5547" ht="15.75" customHeight="1">
      <c r="A5547" s="1">
        <v>5912.0</v>
      </c>
      <c r="B5547" s="3" t="s">
        <v>5346</v>
      </c>
      <c r="C5547" s="3" t="str">
        <f>IFERROR(__xludf.DUMMYFUNCTION("GOOGLETRANSLATE(B5547,""id"",""en"")"),"['card', 'Palng', 'expensive', 'ugly', 'in the area', 'smnjak', 'don't', 'Dbat', 'jlek', 'jarnnya', 'sell', 'card', ' Kya ',' Dlu ',' Seblom ',' Stlah ',' JDI ',' JLEK ',' NNTI ',' KDPAN ',' KLUAR ',' DIJLKIN ',' DISPLAY ',' TELKMSL ',' SKRG ' , 'Mnurun',"&amp;" 'Mmakinnya', 'expensive', 'JLEK', 'LGI', 'JRGNUNI', 'Kontool']")</f>
        <v>['card', 'Palng', 'expensive', 'ugly', 'in the area', 'smnjak', 'don't', 'Dbat', 'jlek', 'jarnnya', 'sell', 'card', ' Kya ',' Dlu ',' Seblom ',' Stlah ',' JDI ',' JLEK ',' NNTI ',' KDPAN ',' KLUAR ',' DIJLKIN ',' DISPLAY ',' TELKMSL ',' SKRG ' , 'Mnurun', 'Mmakinnya', 'expensive', 'JLEK', 'LGI', 'JRGNUNI', 'Kontool']</v>
      </c>
      <c r="D5547" s="3">
        <v>1.0</v>
      </c>
    </row>
    <row r="5548" ht="15.75" customHeight="1">
      <c r="A5548" s="1">
        <v>5913.0</v>
      </c>
      <c r="B5548" s="3" t="s">
        <v>5347</v>
      </c>
      <c r="C5548" s="3" t="str">
        <f>IFERROR(__xludf.DUMMYFUNCTION("GOOGLETRANSLATE(B5548,""id"",""en"")"),"['Severe', 'Where', 'Telkomsel', 'Leet', 'Mulu', 'Ngak', ""]")</f>
        <v>['Severe', 'Where', 'Telkomsel', 'Leet', 'Mulu', 'Ngak', "]</v>
      </c>
      <c r="D5548" s="3">
        <v>1.0</v>
      </c>
    </row>
    <row r="5549" ht="15.75" customHeight="1">
      <c r="A5549" s="1">
        <v>5914.0</v>
      </c>
      <c r="B5549" s="3" t="s">
        <v>5348</v>
      </c>
      <c r="C5549" s="3" t="str">
        <f>IFERROR(__xludf.DUMMYFUNCTION("GOOGLETRANSLATE(B5549,""id"",""en"")"),"['Sorry', 'knp', 'yak', 'plication', 'open', 'update', 'open', 'the application', 'screen', 'white', 'then', ' Hang ',' please ',' fix ',' already ',' love ',' star ',' ']")</f>
        <v>['Sorry', 'knp', 'yak', 'plication', 'open', 'update', 'open', 'the application', 'screen', 'white', 'then', ' Hang ',' please ',' fix ',' already ',' love ',' star ',' ']</v>
      </c>
      <c r="D5549" s="3">
        <v>3.0</v>
      </c>
    </row>
    <row r="5550" ht="15.75" customHeight="1">
      <c r="A5550" s="1">
        <v>5915.0</v>
      </c>
      <c r="B5550" s="3" t="s">
        <v>5349</v>
      </c>
      <c r="C5550" s="3" t="str">
        <f>IFERROR(__xludf.DUMMYFUNCTION("GOOGLETRANSLATE(B5550,""id"",""en"")"),"['signal', 'full', 'bales', 'chatt', 'hope', 'closed', 'Telkomsel', 'use', 'Telkomsel', ""]")</f>
        <v>['signal', 'full', 'bales', 'chatt', 'hope', 'closed', 'Telkomsel', 'use', 'Telkomsel', "]</v>
      </c>
      <c r="D5550" s="3">
        <v>1.0</v>
      </c>
    </row>
    <row r="5551" ht="15.75" customHeight="1">
      <c r="A5551" s="1">
        <v>5916.0</v>
      </c>
      <c r="B5551" s="3" t="s">
        <v>5350</v>
      </c>
      <c r="C5551" s="3" t="str">
        <f>IFERROR(__xludf.DUMMYFUNCTION("GOOGLETRANSLATE(B5551,""id"",""en"")"),"['Lottery', 'pulses', '']")</f>
        <v>['Lottery', 'pulses', '']</v>
      </c>
      <c r="D5551" s="3">
        <v>3.0</v>
      </c>
    </row>
    <row r="5552" ht="15.75" customHeight="1">
      <c r="A5552" s="1">
        <v>5917.0</v>
      </c>
      <c r="B5552" s="3" t="s">
        <v>5351</v>
      </c>
      <c r="C5552" s="3" t="str">
        <f>IFERROR(__xludf.DUMMYFUNCTION("GOOGLETRANSLATE(B5552,""id"",""en"")"),"['Disappointed', 'really', 'already', 'package', 'expensive', 'pulse', 'customer', 'kineas',' run out ',' Telkomsel ',' disappointing ',' what ',' subscriptions', 'customers',' disappointers', 'pulses',' pull ',' die ',' dead ',' credit ',' reduced ',' cu"&amp;"stomers', 'Telkomsel', 'experience', 'artisan' , 'corruption', 'name', 'rich', 'next door', 'already', 'free', 'pulse', 'key', 'application', 'gave', 'star', 'bad', ' Love ',' Disappointed ']")</f>
        <v>['Disappointed', 'really', 'already', 'package', 'expensive', 'pulse', 'customer', 'kineas',' run out ',' Telkomsel ',' disappointing ',' what ',' subscriptions', 'customers',' disappointers', 'pulses',' pull ',' die ',' dead ',' credit ',' reduced ',' customers', 'Telkomsel', 'experience', 'artisan' , 'corruption', 'name', 'rich', 'next door', 'already', 'free', 'pulse', 'key', 'application', 'gave', 'star', 'bad', ' Love ',' Disappointed ']</v>
      </c>
      <c r="D5552" s="3">
        <v>1.0</v>
      </c>
    </row>
    <row r="5553" ht="15.75" customHeight="1">
      <c r="A5553" s="1">
        <v>5919.0</v>
      </c>
      <c r="B5553" s="3" t="s">
        <v>5352</v>
      </c>
      <c r="C5553" s="3" t="str">
        <f>IFERROR(__xludf.DUMMYFUNCTION("GOOGLETRANSLATE(B5553,""id"",""en"")"),"['Ho,']]")</f>
        <v>['Ho,']]</v>
      </c>
      <c r="D5553" s="3">
        <v>5.0</v>
      </c>
    </row>
    <row r="5554" ht="15.75" customHeight="1">
      <c r="A5554" s="1">
        <v>5920.0</v>
      </c>
      <c r="B5554" s="3" t="s">
        <v>5353</v>
      </c>
      <c r="C5554" s="3" t="str">
        <f>IFERROR(__xludf.DUMMYFUNCTION("GOOGLETRANSLATE(B5554,""id"",""en"")"),"['Increase', 'speed', 'connection', 'Telkomsel', 'advanced', 'Jaya', 'Success', 'Best', ""]")</f>
        <v>['Increase', 'speed', 'connection', 'Telkomsel', 'advanced', 'Jaya', 'Success', 'Best', "]</v>
      </c>
      <c r="D5554" s="3">
        <v>5.0</v>
      </c>
    </row>
    <row r="5555" ht="15.75" customHeight="1">
      <c r="A5555" s="1">
        <v>5921.0</v>
      </c>
      <c r="B5555" s="3" t="s">
        <v>5354</v>
      </c>
      <c r="C5555" s="3" t="str">
        <f>IFERROR(__xludf.DUMMYFUNCTION("GOOGLETRANSLATE(B5555,""id"",""en"")"),"['really', 'complaints', 'consumers', 'repairs', 'quality', 'blah', 'blah', 'blah', '']")</f>
        <v>['really', 'complaints', 'consumers', 'repairs', 'quality', 'blah', 'blah', 'blah', '']</v>
      </c>
      <c r="D5555" s="3">
        <v>1.0</v>
      </c>
    </row>
    <row r="5556" ht="15.75" customHeight="1">
      <c r="A5556" s="1">
        <v>5922.0</v>
      </c>
      <c r="B5556" s="3" t="s">
        <v>5355</v>
      </c>
      <c r="C5556" s="3" t="str">
        <f>IFERROR(__xludf.DUMMYFUNCTION("GOOGLETRANSLATE(B5556,""id"",""en"")"),"['Telkomsel', 'accessed', 'screen', 'white', 'please', 'fix', 'facilitate', 'purchase', 'package', 'etc.', 'thank you']")</f>
        <v>['Telkomsel', 'accessed', 'screen', 'white', 'please', 'fix', 'facilitate', 'purchase', 'package', 'etc.', 'thank you']</v>
      </c>
      <c r="D5556" s="3">
        <v>5.0</v>
      </c>
    </row>
    <row r="5557" ht="15.75" customHeight="1">
      <c r="A5557" s="1">
        <v>5923.0</v>
      </c>
      <c r="B5557" s="3" t="s">
        <v>5356</v>
      </c>
      <c r="C5557" s="3" t="str">
        <f>IFERROR(__xludf.DUMMYFUNCTION("GOOGLETRANSLATE(B5557,""id"",""en"")"),"['love', 'package', 'cheap', 'network', 'widest']")</f>
        <v>['love', 'package', 'cheap', 'network', 'widest']</v>
      </c>
      <c r="D5557" s="3">
        <v>5.0</v>
      </c>
    </row>
    <row r="5558" ht="15.75" customHeight="1">
      <c r="A5558" s="1">
        <v>5924.0</v>
      </c>
      <c r="B5558" s="3" t="s">
        <v>5357</v>
      </c>
      <c r="C5558" s="3" t="str">
        <f>IFERROR(__xludf.DUMMYFUNCTION("GOOGLETRANSLATE(B5558,""id"",""en"")"),"['data', 'Telkomsel', 'emang', 'smooth', 'right', 'play', 'kayak', 'tiktok', 'lag', 'Telkomsel', 'boss',' senggol ',' Please ',' Fix ',' Network ']")</f>
        <v>['data', 'Telkomsel', 'emang', 'smooth', 'right', 'play', 'kayak', 'tiktok', 'lag', 'Telkomsel', 'boss',' senggol ',' Please ',' Fix ',' Network ']</v>
      </c>
      <c r="D5558" s="3">
        <v>4.0</v>
      </c>
    </row>
    <row r="5559" ht="15.75" customHeight="1">
      <c r="A5559" s="1">
        <v>5925.0</v>
      </c>
      <c r="B5559" s="3" t="s">
        <v>5358</v>
      </c>
      <c r="C5559" s="3" t="str">
        <f>IFERROR(__xludf.DUMMYFUNCTION("GOOGLETRANSLATE(B5559,""id"",""en"")"),"['Hello', 'Sis',' Update ',' Version ',' Open ',' Screen ',' White ',' What ',' Please ',' Update ',' Latest ',' Gini ',' already ',' week ',' open ',' already ',' try ',' contact ',' response ',' what ',' please ', ""]")</f>
        <v>['Hello', 'Sis',' Update ',' Version ',' Open ',' Screen ',' White ',' What ',' Please ',' Update ',' Latest ',' Gini ',' already ',' week ',' open ',' already ',' try ',' contact ',' response ',' what ',' please ', "]</v>
      </c>
      <c r="D5559" s="3">
        <v>1.0</v>
      </c>
    </row>
    <row r="5560" ht="15.75" customHeight="1">
      <c r="A5560" s="1">
        <v>5926.0</v>
      </c>
      <c r="B5560" s="3" t="s">
        <v>5359</v>
      </c>
      <c r="C5560" s="3" t="str">
        <f>IFERROR(__xludf.DUMMYFUNCTION("GOOGLETRANSLATE(B5560,""id"",""en"")"),"['APK', 'Heavy']")</f>
        <v>['APK', 'Heavy']</v>
      </c>
      <c r="D5560" s="3">
        <v>2.0</v>
      </c>
    </row>
    <row r="5561" ht="15.75" customHeight="1">
      <c r="A5561" s="1">
        <v>5927.0</v>
      </c>
      <c r="B5561" s="3" t="s">
        <v>2023</v>
      </c>
      <c r="C5561" s="3" t="str">
        <f>IFERROR(__xludf.DUMMYFUNCTION("GOOGLETRANSLATE(B5561,""id"",""en"")"),"['Open', 'The application', '']")</f>
        <v>['Open', 'The application', '']</v>
      </c>
      <c r="D5561" s="3">
        <v>2.0</v>
      </c>
    </row>
    <row r="5562" ht="15.75" customHeight="1">
      <c r="A5562" s="1">
        <v>5928.0</v>
      </c>
      <c r="B5562" s="3" t="s">
        <v>5360</v>
      </c>
      <c r="C5562" s="3" t="str">
        <f>IFERROR(__xludf.DUMMYFUNCTION("GOOGLETRANSLATE(B5562,""id"",""en"")"),"['Network', 'defective']")</f>
        <v>['Network', 'defective']</v>
      </c>
      <c r="D5562" s="3">
        <v>1.0</v>
      </c>
    </row>
    <row r="5563" ht="15.75" customHeight="1">
      <c r="A5563" s="1">
        <v>5930.0</v>
      </c>
      <c r="B5563" s="3" t="s">
        <v>5361</v>
      </c>
      <c r="C5563" s="3" t="str">
        <f>IFERROR(__xludf.DUMMYFUNCTION("GOOGLETRANSLATE(B5563,""id"",""en"")"),"['Network', 'stable', 'bad', 'his servant', 'bad', 'promo', 'MOTHER', 'Network', 'Bagusin', 'promo', 'Telkomsel', 'Anjinh']")</f>
        <v>['Network', 'stable', 'bad', 'his servant', 'bad', 'promo', 'MOTHER', 'Network', 'Bagusin', 'promo', 'Telkomsel', 'Anjinh']</v>
      </c>
      <c r="D5563" s="3">
        <v>1.0</v>
      </c>
    </row>
    <row r="5564" ht="15.75" customHeight="1">
      <c r="A5564" s="1">
        <v>5931.0</v>
      </c>
      <c r="B5564" s="3" t="s">
        <v>5362</v>
      </c>
      <c r="C5564" s="3" t="str">
        <f>IFERROR(__xludf.DUMMYFUNCTION("GOOGLETRANSLATE(B5564,""id"",""en"")"),"['Increases', 'Service']")</f>
        <v>['Increases', 'Service']</v>
      </c>
      <c r="D5564" s="3">
        <v>5.0</v>
      </c>
    </row>
    <row r="5565" ht="15.75" customHeight="1">
      <c r="A5565" s="1">
        <v>5932.0</v>
      </c>
      <c r="B5565" s="3" t="s">
        <v>5363</v>
      </c>
      <c r="C5565" s="3" t="str">
        <f>IFERROR(__xludf.DUMMYFUNCTION("GOOGLETRANSLATE(B5565,""id"",""en"")"),"['knp', 'right', 'account', 'Telkomsel', 'link', 'sms', 'dtg', 'yaa', 'aduwwhh']")</f>
        <v>['knp', 'right', 'account', 'Telkomsel', 'link', 'sms', 'dtg', 'yaa', 'aduwwhh']</v>
      </c>
      <c r="D5565" s="3">
        <v>2.0</v>
      </c>
    </row>
    <row r="5566" ht="15.75" customHeight="1">
      <c r="A5566" s="1">
        <v>5933.0</v>
      </c>
      <c r="B5566" s="3" t="s">
        <v>5364</v>
      </c>
      <c r="C5566" s="3" t="str">
        <f>IFERROR(__xludf.DUMMYFUNCTION("GOOGLETRANSLATE(B5566,""id"",""en"")"),"['Telkomsel', 'gabisa', 'open', 'already', 'please', 'fix']")</f>
        <v>['Telkomsel', 'gabisa', 'open', 'already', 'please', 'fix']</v>
      </c>
      <c r="D5566" s="3">
        <v>1.0</v>
      </c>
    </row>
    <row r="5567" ht="15.75" customHeight="1">
      <c r="A5567" s="1">
        <v>5934.0</v>
      </c>
      <c r="B5567" s="3" t="s">
        <v>5365</v>
      </c>
      <c r="C5567" s="3" t="str">
        <f>IFERROR(__xludf.DUMMYFUNCTION("GOOGLETRANSLATE(B5567,""id"",""en"")"),"['Telkomsel', 'Open', 'Application', 'Please', 'Repair']")</f>
        <v>['Telkomsel', 'Open', 'Application', 'Please', 'Repair']</v>
      </c>
      <c r="D5567" s="3">
        <v>1.0</v>
      </c>
    </row>
    <row r="5568" ht="15.75" customHeight="1">
      <c r="A5568" s="1">
        <v>5935.0</v>
      </c>
      <c r="B5568" s="3" t="s">
        <v>5366</v>
      </c>
      <c r="C5568" s="3" t="str">
        <f>IFERROR(__xludf.DUMMYFUNCTION("GOOGLETRANSLATE(B5568,""id"",""en"")"),"['buy', 'package', 'data', 'expensive', 'connection', 'pat', 'forehead', 'Telkomsel', ""]")</f>
        <v>['buy', 'package', 'data', 'expensive', 'connection', 'pat', 'forehead', 'Telkomsel', "]</v>
      </c>
      <c r="D5568" s="3">
        <v>1.0</v>
      </c>
    </row>
    <row r="5569" ht="15.75" customHeight="1">
      <c r="A5569" s="1">
        <v>5936.0</v>
      </c>
      <c r="B5569" s="3" t="s">
        <v>5367</v>
      </c>
      <c r="C5569" s="3" t="str">
        <f>IFERROR(__xludf.DUMMYFUNCTION("GOOGLETRANSLATE(B5569,""id"",""en"")"),"['quota', 'expensive', 'signal', 'smooth', 'quota', 'expensive', 'signal', 'slow', 'signal', 'slow']")</f>
        <v>['quota', 'expensive', 'signal', 'smooth', 'quota', 'expensive', 'signal', 'slow', 'signal', 'slow']</v>
      </c>
      <c r="D5569" s="3">
        <v>1.0</v>
      </c>
    </row>
    <row r="5570" ht="15.75" customHeight="1">
      <c r="A5570" s="1">
        <v>5937.0</v>
      </c>
      <c r="B5570" s="3" t="s">
        <v>5368</v>
      </c>
      <c r="C5570" s="3" t="str">
        <f>IFERROR(__xludf.DUMMYFUNCTION("GOOGLETRANSLATE(B5570,""id"",""en"")"),"['Network', 'fast']")</f>
        <v>['Network', 'fast']</v>
      </c>
      <c r="D5570" s="3">
        <v>5.0</v>
      </c>
    </row>
    <row r="5571" ht="15.75" customHeight="1">
      <c r="A5571" s="1">
        <v>5938.0</v>
      </c>
      <c r="B5571" s="3" t="s">
        <v>5369</v>
      </c>
      <c r="C5571" s="3" t="str">
        <f>IFERROR(__xludf.DUMMYFUNCTION("GOOGLETRANSLATE(B5571,""id"",""en"")"),"['Internet', 'local', 'used', 'in the region', 'activation', 'package']")</f>
        <v>['Internet', 'local', 'used', 'in the region', 'activation', 'package']</v>
      </c>
      <c r="D5571" s="3">
        <v>1.0</v>
      </c>
    </row>
    <row r="5572" ht="15.75" customHeight="1">
      <c r="A5572" s="1">
        <v>5939.0</v>
      </c>
      <c r="B5572" s="3" t="s">
        <v>5370</v>
      </c>
      <c r="C5572" s="3" t="str">
        <f>IFERROR(__xludf.DUMMYFUNCTION("GOOGLETRANSLATE(B5572,""id"",""en"")"),"['Applikasih', 'strange', 'ngelag', 'really', 'broken', 'broken']")</f>
        <v>['Applikasih', 'strange', 'ngelag', 'really', 'broken', 'broken']</v>
      </c>
      <c r="D5572" s="3">
        <v>1.0</v>
      </c>
    </row>
    <row r="5573" ht="15.75" customHeight="1">
      <c r="A5573" s="1">
        <v>5941.0</v>
      </c>
      <c r="B5573" s="3" t="s">
        <v>5371</v>
      </c>
      <c r="C5573" s="3" t="str">
        <f>IFERROR(__xludf.DUMMYFUNCTION("GOOGLETRANSLATE(B5573,""id"",""en"")"),"['pulse', 'Sumpot', 'Mulu', 'activated', 'SIM', 'Paketan', 'Credit', 'SIM', 'Sumpot', 'quota', 'Kemendikbud', 'Open', ' APK ',' quota ',' Ministry of Education and Culture ',' Sumpot ',' Credit ',' Claim ',' Daily ',' Check ',' System ',' Busy ',' Pas', '"&amp;"Try', 'already' , 'Posts', 'Claims', 'Points', 'Credit', 'Already', 'Cut', 'Quota', 'Enter', ""]")</f>
        <v>['pulse', 'Sumpot', 'Mulu', 'activated', 'SIM', 'Paketan', 'Credit', 'SIM', 'Sumpot', 'quota', 'Kemendikbud', 'Open', ' APK ',' quota ',' Ministry of Education and Culture ',' Sumpot ',' Credit ',' Claim ',' Daily ',' Check ',' System ',' Busy ',' Pas', 'Try', 'already' , 'Posts', 'Claims', 'Points', 'Credit', 'Already', 'Cut', 'Quota', 'Enter', "]</v>
      </c>
      <c r="D5573" s="3">
        <v>2.0</v>
      </c>
    </row>
    <row r="5574" ht="15.75" customHeight="1">
      <c r="A5574" s="1">
        <v>5942.0</v>
      </c>
      <c r="B5574" s="3" t="s">
        <v>5372</v>
      </c>
      <c r="C5574" s="3" t="str">
        <f>IFERROR(__xludf.DUMMYFUNCTION("GOOGLETRANSLATE(B5574,""id"",""en"")"),"['App', 'MyTelkomsel', 'opened', 'already', 'delete', 'download', 'reset', 'times',' opened ',' already ',' use ',' app ',' smoothly ',' already ',' try ',' open ',' reloading ',' results', 'already', 'disappointed', 'app', '']")</f>
        <v>['App', 'MyTelkomsel', 'opened', 'already', 'delete', 'download', 'reset', 'times',' opened ',' already ',' use ',' app ',' smoothly ',' already ',' try ',' open ',' reloading ',' results', 'already', 'disappointed', 'app', '']</v>
      </c>
      <c r="D5574" s="3">
        <v>1.0</v>
      </c>
    </row>
    <row r="5575" ht="15.75" customHeight="1">
      <c r="A5575" s="1">
        <v>5943.0</v>
      </c>
      <c r="B5575" s="3" t="s">
        <v>5373</v>
      </c>
      <c r="C5575" s="3" t="str">
        <f>IFERROR(__xludf.DUMMYFUNCTION("GOOGLETRANSLATE(B5575,""id"",""en"")"),"['Telkomsel', 'Leading', 'Network', 'CPT', 'Siyala', 'Tip', 'Can', 'tokomunikasi', 'Perfect', 'trmakasih', 'Telkom', 'Hope']")</f>
        <v>['Telkomsel', 'Leading', 'Network', 'CPT', 'Siyala', 'Tip', 'Can', 'tokomunikasi', 'Perfect', 'trmakasih', 'Telkom', 'Hope']</v>
      </c>
      <c r="D5575" s="3">
        <v>5.0</v>
      </c>
    </row>
    <row r="5576" ht="15.75" customHeight="1">
      <c r="A5576" s="1">
        <v>5944.0</v>
      </c>
      <c r="B5576" s="3" t="s">
        <v>5374</v>
      </c>
      <c r="C5576" s="3" t="str">
        <f>IFERROR(__xludf.DUMMYFUNCTION("GOOGLETRANSLATE(B5576,""id"",""en"")"),"['The application', 'already', 'error', 'already', 'pakek', 'Telkomsel', 'the application', 'open', 'kalok', 'open', 'color', 'white', ' Doang ',' ']")</f>
        <v>['The application', 'already', 'error', 'already', 'pakek', 'Telkomsel', 'the application', 'open', 'kalok', 'open', 'color', 'white', ' Doang ',' ']</v>
      </c>
      <c r="D5576" s="3">
        <v>1.0</v>
      </c>
    </row>
    <row r="5577" ht="15.75" customHeight="1">
      <c r="A5577" s="1">
        <v>5945.0</v>
      </c>
      <c r="B5577" s="3" t="s">
        <v>5375</v>
      </c>
      <c r="C5577" s="3" t="str">
        <f>IFERROR(__xludf.DUMMYFUNCTION("GOOGLETRANSLATE(B5577,""id"",""en"")"),"['', 'card', 'Telkomsel', 'network', 'ugly', 'padahl', 'good', 'friend', 'user', 'Telkomsel', 'signal', 'safe', 'buy ',' Credit ',' Cut ',' Bill ',' Entering ',' Vocer ',' Internet ',' Entering ',' Sampe ',' Times', 'Recorded', 'System', 'Busy', 'Sampe', "&amp;"'Vocer', 'Internet', 'loss']")</f>
        <v>['', 'card', 'Telkomsel', 'network', 'ugly', 'padahl', 'good', 'friend', 'user', 'Telkomsel', 'signal', 'safe', 'buy ',' Credit ',' Cut ',' Bill ',' Entering ',' Vocer ',' Internet ',' Entering ',' Sampe ',' Times', 'Recorded', 'System', 'Busy', 'Sampe', 'Vocer', 'Internet', 'loss']</v>
      </c>
      <c r="D5577" s="3">
        <v>1.0</v>
      </c>
    </row>
    <row r="5578" ht="15.75" customHeight="1">
      <c r="A5578" s="1">
        <v>5946.0</v>
      </c>
      <c r="B5578" s="3" t="s">
        <v>5376</v>
      </c>
      <c r="C5578" s="3" t="str">
        <f>IFERROR(__xludf.DUMMYFUNCTION("GOOGLETRANSLATE(B5578,""id"",""en"")"),"['make', 'already', 'open']")</f>
        <v>['make', 'already', 'open']</v>
      </c>
      <c r="D5578" s="3">
        <v>2.0</v>
      </c>
    </row>
    <row r="5579" ht="15.75" customHeight="1">
      <c r="A5579" s="1">
        <v>5947.0</v>
      </c>
      <c r="B5579" s="3" t="s">
        <v>5377</v>
      </c>
      <c r="C5579" s="3" t="str">
        <f>IFERROR(__xludf.DUMMYFUNCTION("GOOGLETRANSLATE(B5579,""id"",""en"")"),"['Tuker', 'Points', 'FAIL']")</f>
        <v>['Tuker', 'Points', 'FAIL']</v>
      </c>
      <c r="D5579" s="3">
        <v>5.0</v>
      </c>
    </row>
    <row r="5580" ht="15.75" customHeight="1">
      <c r="A5580" s="1">
        <v>5948.0</v>
      </c>
      <c r="B5580" s="3" t="s">
        <v>5378</v>
      </c>
      <c r="C5580" s="3" t="str">
        <f>IFERROR(__xludf.DUMMYFUNCTION("GOOGLETRANSLATE(B5580,""id"",""en"")"),"['Enga', 'Enter', 'Application']")</f>
        <v>['Enga', 'Enter', 'Application']</v>
      </c>
      <c r="D5580" s="3">
        <v>1.0</v>
      </c>
    </row>
    <row r="5581" ht="15.75" customHeight="1">
      <c r="A5581" s="1">
        <v>5949.0</v>
      </c>
      <c r="B5581" s="3" t="s">
        <v>2004</v>
      </c>
      <c r="C5581" s="3" t="str">
        <f>IFERROR(__xludf.DUMMYFUNCTION("GOOGLETRANSLATE(B5581,""id"",""en"")"),"['login']")</f>
        <v>['login']</v>
      </c>
      <c r="D5581" s="3">
        <v>1.0</v>
      </c>
    </row>
    <row r="5582" ht="15.75" customHeight="1">
      <c r="A5582" s="1">
        <v>5950.0</v>
      </c>
      <c r="B5582" s="3" t="s">
        <v>5379</v>
      </c>
      <c r="C5582" s="3" t="str">
        <f>IFERROR(__xludf.DUMMYFUNCTION("GOOGLETRANSLATE(B5582,""id"",""en"")"),"['open', 'application', 'please', 'explanation']")</f>
        <v>['open', 'application', 'please', 'explanation']</v>
      </c>
      <c r="D5582" s="3">
        <v>5.0</v>
      </c>
    </row>
    <row r="5583" ht="15.75" customHeight="1">
      <c r="A5583" s="1">
        <v>5951.0</v>
      </c>
      <c r="B5583" s="3" t="s">
        <v>5380</v>
      </c>
      <c r="C5583" s="3" t="str">
        <f>IFERROR(__xludf.DUMMYFUNCTION("GOOGLETRANSLATE(B5583,""id"",""en"")"),"['Application', 'go', 'Tlong', 'fix', '']")</f>
        <v>['Application', 'go', 'Tlong', 'fix', '']</v>
      </c>
      <c r="D5583" s="3">
        <v>1.0</v>
      </c>
    </row>
    <row r="5584" ht="15.75" customHeight="1">
      <c r="A5584" s="1">
        <v>5952.0</v>
      </c>
      <c r="B5584" s="3" t="s">
        <v>5381</v>
      </c>
      <c r="C5584" s="3" t="str">
        <f>IFERROR(__xludf.DUMMYFUNCTION("GOOGLETRANSLATE(B5584,""id"",""en"")"),"['stopped', 'stop', 'search', 'data', 'run out', 'continue', 'credit', 'realize', 'user', 'buy', 'data', 'pulses',' Buy ',' Pay ',' Tlpo ',' SMS ',' ']")</f>
        <v>['stopped', 'stop', 'search', 'data', 'run out', 'continue', 'credit', 'realize', 'user', 'buy', 'data', 'pulses',' Buy ',' Pay ',' Tlpo ',' SMS ',' ']</v>
      </c>
      <c r="D5584" s="3">
        <v>1.0</v>
      </c>
    </row>
    <row r="5585" ht="15.75" customHeight="1">
      <c r="A5585" s="1">
        <v>5953.0</v>
      </c>
      <c r="B5585" s="3" t="s">
        <v>5382</v>
      </c>
      <c r="C5585" s="3" t="str">
        <f>IFERROR(__xludf.DUMMYFUNCTION("GOOGLETRANSLATE(B5585,""id"",""en"")"),"['WOI', 'Telkomsel', 'Benerin', 'Signal', 'Bali', 'Karangasem', 'Rendang', 'Ngelag', 'Severe', 'Woi', 'Change', 'Card', ' Fix ',' as soon as possible ']")</f>
        <v>['WOI', 'Telkomsel', 'Benerin', 'Signal', 'Bali', 'Karangasem', 'Rendang', 'Ngelag', 'Severe', 'Woi', 'Change', 'Card', ' Fix ',' as soon as possible ']</v>
      </c>
      <c r="D5585" s="3">
        <v>1.0</v>
      </c>
    </row>
    <row r="5586" ht="15.75" customHeight="1">
      <c r="A5586" s="1">
        <v>5954.0</v>
      </c>
      <c r="B5586" s="3" t="s">
        <v>5383</v>
      </c>
      <c r="C5586" s="3" t="str">
        <f>IFERROR(__xludf.DUMMYFUNCTION("GOOGLETRANSLATE(B5586,""id"",""en"")"),"['Update', 'Open', 'Application', 'Screen', 'White', 'Search', 'Search', 'Accessible', 'Android', 'Up', 'HandPhone', 'Have', ' Performance ',' low ',' aka ',' below ',' Android ',' update ',' forced ',' appears', 'pop', 'update', 'Telkomsel', 'update', 'g"&amp;"ini' , 'Please', 'Holy', 'his information']")</f>
        <v>['Update', 'Open', 'Application', 'Screen', 'White', 'Search', 'Search', 'Accessible', 'Android', 'Up', 'HandPhone', 'Have', ' Performance ',' low ',' aka ',' below ',' Android ',' update ',' forced ',' appears', 'pop', 'update', 'Telkomsel', 'update', 'gini' , 'Please', 'Holy', 'his information']</v>
      </c>
      <c r="D5586" s="3">
        <v>1.0</v>
      </c>
    </row>
    <row r="5587" ht="15.75" customHeight="1">
      <c r="A5587" s="1">
        <v>5955.0</v>
      </c>
      <c r="B5587" s="3" t="s">
        <v>5384</v>
      </c>
      <c r="C5587" s="3" t="str">
        <f>IFERROR(__xludf.DUMMYFUNCTION("GOOGLETRANSLATE(B5587,""id"",""en"")"),"['Utuk', 'Bintang', 'Karna', 'Evaluation', 'Products',' Issued ',' Hendakya ',' Referring ',' Consumers', 'Consumers',' Consumers', 'Run', ' network ',' Karna ',' products', 'Jarigan', 'offer', 'price', 'lace', 'Telkomsel', 'expensive', 'Suppose', 'Kejari"&amp;"ngan', 'consumer', 'run' , 'Thank you']")</f>
        <v>['Utuk', 'Bintang', 'Karna', 'Evaluation', 'Products',' Issued ',' Hendakya ',' Referring ',' Consumers', 'Consumers',' Consumers', 'Run', ' network ',' Karna ',' products', 'Jarigan', 'offer', 'price', 'lace', 'Telkomsel', 'expensive', 'Suppose', 'Kejaringan', 'consumer', 'run' , 'Thank you']</v>
      </c>
      <c r="D5587" s="3">
        <v>3.0</v>
      </c>
    </row>
    <row r="5588" ht="15.75" customHeight="1">
      <c r="A5588" s="1">
        <v>5956.0</v>
      </c>
      <c r="B5588" s="3" t="s">
        <v>5385</v>
      </c>
      <c r="C5588" s="3" t="str">
        <f>IFERROR(__xludf.DUMMYFUNCTION("GOOGLETRANSLATE(B5588,""id"",""en"")"),"['Cool', 'Best']")</f>
        <v>['Cool', 'Best']</v>
      </c>
      <c r="D5588" s="3">
        <v>5.0</v>
      </c>
    </row>
    <row r="5589" ht="15.75" customHeight="1">
      <c r="A5589" s="1">
        <v>5957.0</v>
      </c>
      <c r="B5589" s="3" t="s">
        <v>5386</v>
      </c>
      <c r="C5589" s="3" t="str">
        <f>IFERROR(__xludf.DUMMYFUNCTION("GOOGLETRANSLATE(B5589,""id"",""en"")"),"['Update', 'Success', 'APK', 'Opened']")</f>
        <v>['Update', 'Success', 'APK', 'Opened']</v>
      </c>
      <c r="D5589" s="3">
        <v>1.0</v>
      </c>
    </row>
    <row r="5590" ht="15.75" customHeight="1">
      <c r="A5590" s="1">
        <v>5958.0</v>
      </c>
      <c r="B5590" s="3" t="s">
        <v>5387</v>
      </c>
      <c r="C5590" s="3" t="str">
        <f>IFERROR(__xludf.DUMMYFUNCTION("GOOGLETRANSLATE(B5590,""id"",""en"")"),"['application', 'slow', 'essential', 'update', 'response', 'network', 'app', 'smooth', '']")</f>
        <v>['application', 'slow', 'essential', 'update', 'response', 'network', 'app', 'smooth', '']</v>
      </c>
      <c r="D5590" s="3">
        <v>1.0</v>
      </c>
    </row>
    <row r="5591" ht="15.75" customHeight="1">
      <c r="A5591" s="1">
        <v>5959.0</v>
      </c>
      <c r="B5591" s="3" t="s">
        <v>5388</v>
      </c>
      <c r="C5591" s="3" t="str">
        <f>IFERROR(__xludf.DUMMYFUNCTION("GOOGLETRANSLATE(B5591,""id"",""en"")"),"['', 'Android', 'Open', 'Severe', 'Application', 'Bangke']")</f>
        <v>['', 'Android', 'Open', 'Severe', 'Application', 'Bangke']</v>
      </c>
      <c r="D5591" s="3">
        <v>1.0</v>
      </c>
    </row>
    <row r="5592" ht="15.75" customHeight="1">
      <c r="A5592" s="1">
        <v>5960.0</v>
      </c>
      <c r="B5592" s="3" t="s">
        <v>5389</v>
      </c>
      <c r="C5592" s="3" t="str">
        <f>IFERROR(__xludf.DUMMYFUNCTION("GOOGLETRANSLATE(B5592,""id"",""en"")"),"['proud', 'sympathy']")</f>
        <v>['proud', 'sympathy']</v>
      </c>
      <c r="D5592" s="3">
        <v>5.0</v>
      </c>
    </row>
    <row r="5593" ht="15.75" customHeight="1">
      <c r="A5593" s="1">
        <v>5961.0</v>
      </c>
      <c r="B5593" s="3" t="s">
        <v>5390</v>
      </c>
      <c r="C5593" s="3" t="str">
        <f>IFERROR(__xludf.DUMMYFUNCTION("GOOGLETRANSLATE(B5593,""id"",""en"")"),"['signal', 'parahhhhhhhhhhhh', 'parahhhh', 'Most', 'notification', 'SMS', 'Please', 'Eliminate', 'Notification', 'SMS', 'Telkomsel', 'Viu', ' Redi ',' contains', 'Advertising', 'DSG', '']")</f>
        <v>['signal', 'parahhhhhhhhhhhh', 'parahhhh', 'Most', 'notification', 'SMS', 'Please', 'Eliminate', 'Notification', 'SMS', 'Telkomsel', 'Viu', ' Redi ',' contains', 'Advertising', 'DSG', '']</v>
      </c>
      <c r="D5593" s="3">
        <v>1.0</v>
      </c>
    </row>
    <row r="5594" ht="15.75" customHeight="1">
      <c r="A5594" s="1">
        <v>5964.0</v>
      </c>
      <c r="B5594" s="3" t="s">
        <v>5391</v>
      </c>
      <c r="C5594" s="3" t="str">
        <f>IFERROR(__xludf.DUMMYFUNCTION("GOOGLETRANSLATE(B5594,""id"",""en"")"),"['mantaap', 'application', 'Telkomsel', 'easy', 'choice']")</f>
        <v>['mantaap', 'application', 'Telkomsel', 'easy', 'choice']</v>
      </c>
      <c r="D5594" s="3">
        <v>5.0</v>
      </c>
    </row>
    <row r="5595" ht="15.75" customHeight="1">
      <c r="A5595" s="1">
        <v>5965.0</v>
      </c>
      <c r="B5595" s="3" t="s">
        <v>5392</v>
      </c>
      <c r="C5595" s="3" t="str">
        <f>IFERROR(__xludf.DUMMYFUNCTION("GOOGLETRANSLATE(B5595,""id"",""en"")"),"['spent', 'money', 'doang', 'according to', 'ama', 'network', 'slow', 'expensive', 'good', 'game', 'Telkomsel']")</f>
        <v>['spent', 'money', 'doang', 'according to', 'ama', 'network', 'slow', 'expensive', 'good', 'game', 'Telkomsel']</v>
      </c>
      <c r="D5595" s="3">
        <v>1.0</v>
      </c>
    </row>
    <row r="5596" ht="15.75" customHeight="1">
      <c r="A5596" s="1">
        <v>5966.0</v>
      </c>
      <c r="B5596" s="3" t="s">
        <v>5393</v>
      </c>
      <c r="C5596" s="3" t="str">
        <f>IFERROR(__xludf.DUMMYFUNCTION("GOOGLETRANSLATE(B5596,""id"",""en"")"),"['Easy', 'Cept', 'Bgus']")</f>
        <v>['Easy', 'Cept', 'Bgus']</v>
      </c>
      <c r="D5596" s="3">
        <v>5.0</v>
      </c>
    </row>
    <row r="5597" ht="15.75" customHeight="1">
      <c r="A5597" s="1">
        <v>5967.0</v>
      </c>
      <c r="B5597" s="3" t="s">
        <v>5394</v>
      </c>
      <c r="C5597" s="3" t="str">
        <f>IFERROR(__xludf.DUMMYFUNCTION("GOOGLETRANSLATE(B5597,""id"",""en"")"),"['application', 'good', 'bangeeet']")</f>
        <v>['application', 'good', 'bangeeet']</v>
      </c>
      <c r="D5597" s="3">
        <v>5.0</v>
      </c>
    </row>
    <row r="5598" ht="15.75" customHeight="1">
      <c r="A5598" s="1">
        <v>5968.0</v>
      </c>
      <c r="B5598" s="3" t="s">
        <v>5395</v>
      </c>
      <c r="C5598" s="3" t="str">
        <f>IFERROR(__xludf.DUMMYFUNCTION("GOOGLETRANSLATE(B5598,""id"",""en"")"),"['wasteful', 'quota', 'Compare', 'card', 'Not bad', 'durable']")</f>
        <v>['wasteful', 'quota', 'Compare', 'card', 'Not bad', 'durable']</v>
      </c>
      <c r="D5598" s="3">
        <v>1.0</v>
      </c>
    </row>
    <row r="5599" ht="15.75" customHeight="1">
      <c r="A5599" s="1">
        <v>5969.0</v>
      </c>
      <c r="B5599" s="3" t="s">
        <v>5396</v>
      </c>
      <c r="C5599" s="3" t="str">
        <f>IFERROR(__xludf.DUMMYFUNCTION("GOOGLETRANSLATE(B5599,""id"",""en"")"),"['APK', 'opened']")</f>
        <v>['APK', 'opened']</v>
      </c>
      <c r="D5599" s="3">
        <v>1.0</v>
      </c>
    </row>
    <row r="5600" ht="15.75" customHeight="1">
      <c r="A5600" s="1">
        <v>5970.0</v>
      </c>
      <c r="B5600" s="3" t="s">
        <v>5397</v>
      </c>
      <c r="C5600" s="3" t="str">
        <f>IFERROR(__xludf.DUMMYFUNCTION("GOOGLETRANSLATE(B5600,""id"",""en"")"),"['min', 'application', 'Telkomsel', 'open', 'smooth', 'skrng', 'display', 'screen', 'white', 'already', 'try', 'uninstall', ' Then ',' Download ',' Open ',' Restart ',' Update ',' Please ',' Enlightenment ',' Min ',' Thanks']")</f>
        <v>['min', 'application', 'Telkomsel', 'open', 'smooth', 'skrng', 'display', 'screen', 'white', 'already', 'try', 'uninstall', ' Then ',' Download ',' Open ',' Restart ',' Update ',' Please ',' Enlightenment ',' Min ',' Thanks']</v>
      </c>
      <c r="D5600" s="3">
        <v>4.0</v>
      </c>
    </row>
    <row r="5601" ht="15.75" customHeight="1">
      <c r="A5601" s="1">
        <v>5971.0</v>
      </c>
      <c r="B5601" s="3" t="s">
        <v>5398</v>
      </c>
      <c r="C5601" s="3" t="str">
        <f>IFERROR(__xludf.DUMMYFUNCTION("GOOGLETRANSLATE(B5601,""id"",""en"")"),"['Use', 'Application', 'Telkomsel', 'Sangant', 'Help']")</f>
        <v>['Use', 'Application', 'Telkomsel', 'Sangant', 'Help']</v>
      </c>
      <c r="D5601" s="3">
        <v>5.0</v>
      </c>
    </row>
    <row r="5602" ht="15.75" customHeight="1">
      <c r="A5602" s="1">
        <v>5972.0</v>
      </c>
      <c r="B5602" s="3" t="s">
        <v>5399</v>
      </c>
      <c r="C5602" s="3" t="str">
        <f>IFERROR(__xludf.DUMMYFUNCTION("GOOGLETRANSLATE(B5602,""id"",""en"")"),"['Suggestion', 'Telkomsel', 'Package', 'Data', 'activated', 'Add', 'Features',' Off ',' Package ',' Data ',' Efficient ',' Use ',' Pactes', 'data', 'ineffective', 'activate', 'package', 'data', 'package', 'data', 'used', 'package', 'data', 'peket', 'data'"&amp;" , 'Package', 'Data', 'GB', 'Package', 'Data', 'YouTube', 'Unlimited', 'Yutube', 'Used', 'Package', 'Data']")</f>
        <v>['Suggestion', 'Telkomsel', 'Package', 'Data', 'activated', 'Add', 'Features',' Off ',' Package ',' Data ',' Efficient ',' Use ',' Pactes', 'data', 'ineffective', 'activate', 'package', 'data', 'package', 'data', 'used', 'package', 'data', 'peket', 'data' , 'Package', 'Data', 'GB', 'Package', 'Data', 'YouTube', 'Unlimited', 'Yutube', 'Used', 'Package', 'Data']</v>
      </c>
      <c r="D5602" s="3">
        <v>3.0</v>
      </c>
    </row>
    <row r="5603" ht="15.75" customHeight="1">
      <c r="A5603" s="1">
        <v>5973.0</v>
      </c>
      <c r="B5603" s="3" t="s">
        <v>5400</v>
      </c>
      <c r="C5603" s="3" t="str">
        <f>IFERROR(__xludf.DUMMYFUNCTION("GOOGLETRANSLATE(B5603,""id"",""en"")"),"['experience', 'justice', 'good', 'remote', 'signal', 'looked', 'position', 'safe', 'signal', ""]")</f>
        <v>['experience', 'justice', 'good', 'remote', 'signal', 'looked', 'position', 'safe', 'signal', "]</v>
      </c>
      <c r="D5603" s="3">
        <v>3.0</v>
      </c>
    </row>
    <row r="5604" ht="15.75" customHeight="1">
      <c r="A5604" s="1">
        <v>5974.0</v>
      </c>
      <c r="B5604" s="3" t="s">
        <v>5401</v>
      </c>
      <c r="C5604" s="3" t="str">
        <f>IFERROR(__xludf.DUMMYFUNCTION("GOOGLETRANSLATE(B5604,""id"",""en"")"),"['', 'right', 'Maketin', 'ngak', 'open']")</f>
        <v>['', 'right', 'Maketin', 'ngak', 'open']</v>
      </c>
      <c r="D5604" s="3">
        <v>5.0</v>
      </c>
    </row>
    <row r="5605" ht="15.75" customHeight="1">
      <c r="A5605" s="1">
        <v>5975.0</v>
      </c>
      <c r="B5605" s="3" t="s">
        <v>5402</v>
      </c>
      <c r="C5605" s="3" t="str">
        <f>IFERROR(__xludf.DUMMYFUNCTION("GOOGLETRANSLATE(B5605,""id"",""en"")"),"['network', 'threat', 'price', 'expensive', 'severe', 'please', 'check', 'area', 'land', 'sareal', 'border', 'bogor', ' West ',' Cilendek ',' East ',' Menteng ',' Kenanga ',' Permai ',' Signal ', ""]")</f>
        <v>['network', 'threat', 'price', 'expensive', 'severe', 'please', 'check', 'area', 'land', 'sareal', 'border', 'bogor', ' West ',' Cilendek ',' East ',' Menteng ',' Kenanga ',' Permai ',' Signal ', "]</v>
      </c>
      <c r="D5605" s="3">
        <v>1.0</v>
      </c>
    </row>
    <row r="5606" ht="15.75" customHeight="1">
      <c r="A5606" s="1">
        <v>5976.0</v>
      </c>
      <c r="B5606" s="3" t="s">
        <v>5403</v>
      </c>
      <c r="C5606" s="3" t="str">
        <f>IFERROR(__xludf.DUMMYFUNCTION("GOOGLETRANSLATE(B5606,""id"",""en"")"),"['really', 'application', 'open', '']")</f>
        <v>['really', 'application', 'open', '']</v>
      </c>
      <c r="D5606" s="3">
        <v>1.0</v>
      </c>
    </row>
    <row r="5607" ht="15.75" customHeight="1">
      <c r="A5607" s="1">
        <v>5977.0</v>
      </c>
      <c r="B5607" s="3" t="s">
        <v>5404</v>
      </c>
      <c r="C5607" s="3" t="str">
        <f>IFERROR(__xludf.DUMMYFUNCTION("GOOGLETRANSLATE(B5607,""id"",""en"")"),"['Please', 'Telkomsel', 'Features', 'Safety', 'Credit', 'Easy', 'Cutting', 'Credit', 'Internet', ""]")</f>
        <v>['Please', 'Telkomsel', 'Features', 'Safety', 'Credit', 'Easy', 'Cutting', 'Credit', 'Internet', "]</v>
      </c>
      <c r="D5607" s="3">
        <v>1.0</v>
      </c>
    </row>
    <row r="5608" ht="15.75" customHeight="1">
      <c r="A5608" s="1">
        <v>5978.0</v>
      </c>
      <c r="B5608" s="3" t="s">
        <v>5405</v>
      </c>
      <c r="C5608" s="3" t="str">
        <f>IFERROR(__xludf.DUMMYFUNCTION("GOOGLETRANSLATE(B5608,""id"",""en"")"),"['App', 'opened']")</f>
        <v>['App', 'opened']</v>
      </c>
      <c r="D5608" s="3">
        <v>2.0</v>
      </c>
    </row>
    <row r="5609" ht="15.75" customHeight="1">
      <c r="A5609" s="1">
        <v>5979.0</v>
      </c>
      <c r="B5609" s="3" t="s">
        <v>5406</v>
      </c>
      <c r="C5609" s="3" t="str">
        <f>IFERROR(__xludf.DUMMYFUNCTION("GOOGLETRANSLATE(B5609,""id"",""en"")"),"['cave', 'contents', 'pulse', 'get', 'point', '']")</f>
        <v>['cave', 'contents', 'pulse', 'get', 'point', '']</v>
      </c>
      <c r="D5609" s="3">
        <v>5.0</v>
      </c>
    </row>
    <row r="5610" ht="15.75" customHeight="1">
      <c r="A5610" s="1">
        <v>5980.0</v>
      </c>
      <c r="B5610" s="3" t="s">
        <v>983</v>
      </c>
      <c r="C5610" s="3" t="str">
        <f>IFERROR(__xludf.DUMMYFUNCTION("GOOGLETRANSLATE(B5610,""id"",""en"")"),"['', 'Telkomsel', 'help']")</f>
        <v>['', 'Telkomsel', 'help']</v>
      </c>
      <c r="D5610" s="3">
        <v>5.0</v>
      </c>
    </row>
    <row r="5611" ht="15.75" customHeight="1">
      <c r="A5611" s="1">
        <v>5981.0</v>
      </c>
      <c r="B5611" s="3" t="s">
        <v>5407</v>
      </c>
      <c r="C5611" s="3" t="str">
        <f>IFERROR(__xludf.DUMMYFUNCTION("GOOGLETRANSLATE(B5611,""id"",""en"")"),"['Install', 'Open', 'Ter', 'Update', '']")</f>
        <v>['Install', 'Open', 'Ter', 'Update', '']</v>
      </c>
      <c r="D5611" s="3">
        <v>1.0</v>
      </c>
    </row>
    <row r="5612" ht="15.75" customHeight="1">
      <c r="A5612" s="1">
        <v>5982.0</v>
      </c>
      <c r="B5612" s="3" t="s">
        <v>5408</v>
      </c>
      <c r="C5612" s="3" t="str">
        <f>IFERROR(__xludf.DUMMYFUNCTION("GOOGLETRANSLATE(B5612,""id"",""en"")"),"['Severe', 'update', 'no', 'open', 'package', 'expensive', 'udh', 'many years',' subscribe ',' NOT ',' ease ',' mercy ',' price ',' open ',' my apk ',' no ',' package ',' expensive ',' bonus', 'quata', 'no', 'so', 'complaint', 'user', 'no' , 'repair', '']")</f>
        <v>['Severe', 'update', 'no', 'open', 'package', 'expensive', 'udh', 'many years',' subscribe ',' NOT ',' ease ',' mercy ',' price ',' open ',' my apk ',' no ',' package ',' expensive ',' bonus', 'quata', 'no', 'so', 'complaint', 'user', 'no' , 'repair', '']</v>
      </c>
      <c r="D5612" s="3">
        <v>1.0</v>
      </c>
    </row>
    <row r="5613" ht="15.75" customHeight="1">
      <c r="A5613" s="1">
        <v>5983.0</v>
      </c>
      <c r="B5613" s="3" t="s">
        <v>5409</v>
      </c>
      <c r="C5613" s="3" t="str">
        <f>IFERROR(__xludf.DUMMYFUNCTION("GOOGLETRANSLATE(B5613,""id"",""en"")"),"['', 'Telkomselku', 'bsa', 'open']")</f>
        <v>['', 'Telkomselku', 'bsa', 'open']</v>
      </c>
      <c r="D5613" s="3">
        <v>5.0</v>
      </c>
    </row>
    <row r="5614" ht="15.75" customHeight="1">
      <c r="A5614" s="1">
        <v>5984.0</v>
      </c>
      <c r="B5614" s="3" t="s">
        <v>2381</v>
      </c>
      <c r="C5614" s="3" t="str">
        <f>IFERROR(__xludf.DUMMYFUNCTION("GOOGLETRANSLATE(B5614,""id"",""en"")"),"['application', 'ugly']")</f>
        <v>['application', 'ugly']</v>
      </c>
      <c r="D5614" s="3">
        <v>1.0</v>
      </c>
    </row>
    <row r="5615" ht="15.75" customHeight="1">
      <c r="A5615" s="1">
        <v>5987.0</v>
      </c>
      <c r="B5615" s="3" t="s">
        <v>5410</v>
      </c>
      <c r="C5615" s="3" t="str">
        <f>IFERROR(__xludf.DUMMYFUNCTION("GOOGLETRANSLATE(B5615,""id"",""en"")"),"['Bukak', 'Application', 'Telkomsel', '']")</f>
        <v>['Bukak', 'Application', 'Telkomsel', '']</v>
      </c>
      <c r="D5615" s="3">
        <v>3.0</v>
      </c>
    </row>
    <row r="5616" ht="15.75" customHeight="1">
      <c r="A5616" s="1">
        <v>5988.0</v>
      </c>
      <c r="B5616" s="3" t="s">
        <v>5411</v>
      </c>
      <c r="C5616" s="3" t="str">
        <f>IFERROR(__xludf.DUMMYFUNCTION("GOOGLETRANSLATE(B5616,""id"",""en"")"),"['Aaah', 'Severe', 'App', 'Buy', 'Quota', 'Supr', 'Deal', 'GB', 'FUP', 'Given', 'Package', 'Nlpon', ' All day ',' no ',' Connect ',' please ',' Telkomsel ',' Litue ',' Lho ', ""]")</f>
        <v>['Aaah', 'Severe', 'App', 'Buy', 'Quota', 'Supr', 'Deal', 'GB', 'FUP', 'Given', 'Package', 'Nlpon', ' All day ',' no ',' Connect ',' please ',' Telkomsel ',' Litue ',' Lho ', "]</v>
      </c>
      <c r="D5616" s="3">
        <v>1.0</v>
      </c>
    </row>
    <row r="5617" ht="15.75" customHeight="1">
      <c r="A5617" s="1">
        <v>5989.0</v>
      </c>
      <c r="B5617" s="3" t="s">
        <v>5412</v>
      </c>
      <c r="C5617" s="3" t="str">
        <f>IFERROR(__xludf.DUMMYFUNCTION("GOOGLETRANSLATE(B5617,""id"",""en"")"),"['told', 'update', 'KOQ', 'NGK', 'opened', 'GMNA', 'Telkomsel', 'BKN', 'Network', 'Like', 'Leet', 'Gmna', ' NGK ',' opened ',' Sontoloyo ', ""]")</f>
        <v>['told', 'update', 'KOQ', 'NGK', 'opened', 'GMNA', 'Telkomsel', 'BKN', 'Network', 'Like', 'Leet', 'Gmna', ' NGK ',' opened ',' Sontoloyo ', "]</v>
      </c>
      <c r="D5617" s="3">
        <v>5.0</v>
      </c>
    </row>
    <row r="5618" ht="15.75" customHeight="1">
      <c r="A5618" s="1">
        <v>5990.0</v>
      </c>
      <c r="B5618" s="3" t="s">
        <v>5413</v>
      </c>
      <c r="C5618" s="3" t="str">
        <f>IFERROR(__xludf.DUMMYFUNCTION("GOOGLETRANSLATE(B5618,""id"",""en"")"),"['noon', 'Telkomsel', 'Application', 'Open', 'Android', 'Display', 'White', 'Doank', 'Update', 'Severe', 'Application', 'Please', ' Fix ',' Disappointed ',' Playananan ', ""]")</f>
        <v>['noon', 'Telkomsel', 'Application', 'Open', 'Android', 'Display', 'White', 'Doank', 'Update', 'Severe', 'Application', 'Please', ' Fix ',' Disappointed ',' Playananan ', "]</v>
      </c>
      <c r="D5618" s="3">
        <v>1.0</v>
      </c>
    </row>
    <row r="5619" ht="15.75" customHeight="1">
      <c r="A5619" s="1">
        <v>5991.0</v>
      </c>
      <c r="B5619" s="3" t="s">
        <v>5414</v>
      </c>
      <c r="C5619" s="3" t="str">
        <f>IFERROR(__xludf.DUMMYFUNCTION("GOOGLETRANSLATE(B5619,""id"",""en"")"),"['Install', 'a week', 'times',' apps', 'open', 'open', 'screen', 'blank', 'white', 'try', 'uninstall', 'repeated', ' time', '']")</f>
        <v>['Install', 'a week', 'times',' apps', 'open', 'open', 'screen', 'blank', 'white', 'try', 'uninstall', 'repeated', ' time', '']</v>
      </c>
      <c r="D5619" s="3">
        <v>1.0</v>
      </c>
    </row>
    <row r="5620" ht="15.75" customHeight="1">
      <c r="A5620" s="1">
        <v>5992.0</v>
      </c>
      <c r="B5620" s="3" t="s">
        <v>5415</v>
      </c>
      <c r="C5620" s="3" t="str">
        <f>IFERROR(__xludf.DUMMYFUNCTION("GOOGLETRANSLATE(B5620,""id"",""en"")"),"['already', 'package', 'expensive', 'signal', 'ugly', 'difficult', '']")</f>
        <v>['already', 'package', 'expensive', 'signal', 'ugly', 'difficult', '']</v>
      </c>
      <c r="D5620" s="3">
        <v>5.0</v>
      </c>
    </row>
    <row r="5621" ht="15.75" customHeight="1">
      <c r="A5621" s="1">
        <v>5994.0</v>
      </c>
      <c r="B5621" s="3" t="s">
        <v>5416</v>
      </c>
      <c r="C5621" s="3" t="str">
        <f>IFERROR(__xludf.DUMMYFUNCTION("GOOGLETRANSLATE(B5621,""id"",""en"")"),"['Sometimes',' Sometimes', 'Said', 'Severe', 'Disturbing', 'Very', 'Sometimes',' Blank ',' Price ',' Drastic ',' Use ',' Telkomsel ',' Thn ',' None ',' bonus', 'What's',' That's', '']")</f>
        <v>['Sometimes',' Sometimes', 'Said', 'Severe', 'Disturbing', 'Very', 'Sometimes',' Blank ',' Price ',' Drastic ',' Use ',' Telkomsel ',' Thn ',' None ',' bonus', 'What's',' That's', '']</v>
      </c>
      <c r="D5621" s="3">
        <v>3.0</v>
      </c>
    </row>
    <row r="5622" ht="15.75" customHeight="1">
      <c r="A5622" s="1">
        <v>5995.0</v>
      </c>
      <c r="B5622" s="3" t="s">
        <v>5417</v>
      </c>
      <c r="C5622" s="3" t="str">
        <f>IFERROR(__xludf.DUMMYFUNCTION("GOOGLETRANSLATE(B5622,""id"",""en"")"),"['The application', 'opened', 'Please', 'Assisted', 'Application', 'Normal', 'Stuck', 'Display', 'Screen', 'Color', 'White', ""]")</f>
        <v>['The application', 'opened', 'Please', 'Assisted', 'Application', 'Normal', 'Stuck', 'Display', 'Screen', 'Color', 'White', "]</v>
      </c>
      <c r="D5622" s="3">
        <v>1.0</v>
      </c>
    </row>
    <row r="5623" ht="15.75" customHeight="1">
      <c r="A5623" s="1">
        <v>5996.0</v>
      </c>
      <c r="B5623" s="3" t="s">
        <v>5418</v>
      </c>
      <c r="C5623" s="3" t="str">
        <f>IFERROR(__xludf.DUMMYFUNCTION("GOOGLETRANSLATE(B5623,""id"",""en"")"),"['steady', 'mantul', 'promo', 'sakank', 'deh', 'steady', 'abisssss']")</f>
        <v>['steady', 'mantul', 'promo', 'sakank', 'deh', 'steady', 'abisssss']</v>
      </c>
      <c r="D5623" s="3">
        <v>5.0</v>
      </c>
    </row>
    <row r="5624" ht="15.75" customHeight="1">
      <c r="A5624" s="1">
        <v>5997.0</v>
      </c>
      <c r="B5624" s="3" t="s">
        <v>5419</v>
      </c>
      <c r="C5624" s="3" t="str">
        <f>IFERROR(__xludf.DUMMYFUNCTION("GOOGLETRANSLATE(B5624,""id"",""en"")"),"['knapa', 'application', 'Telkomsel', 'open', 'card', 'Telkomsel']")</f>
        <v>['knapa', 'application', 'Telkomsel', 'open', 'card', 'Telkomsel']</v>
      </c>
      <c r="D5624" s="3">
        <v>5.0</v>
      </c>
    </row>
    <row r="5625" ht="15.75" customHeight="1">
      <c r="A5625" s="1">
        <v>5998.0</v>
      </c>
      <c r="B5625" s="3" t="s">
        <v>5420</v>
      </c>
      <c r="C5625" s="3" t="str">
        <f>IFERROR(__xludf.DUMMYFUNCTION("GOOGLETRANSLATE(B5625,""id"",""en"")"),"['Good', 'dahhhh']")</f>
        <v>['Good', 'dahhhh']</v>
      </c>
      <c r="D5625" s="3">
        <v>5.0</v>
      </c>
    </row>
    <row r="5626" ht="15.75" customHeight="1">
      <c r="A5626" s="1">
        <v>5999.0</v>
      </c>
      <c r="B5626" s="3" t="s">
        <v>5421</v>
      </c>
      <c r="C5626" s="3" t="str">
        <f>IFERROR(__xludf.DUMMYFUNCTION("GOOGLETRANSLATE(B5626,""id"",""en"")"),"['level']")</f>
        <v>['level']</v>
      </c>
      <c r="D5626" s="3">
        <v>5.0</v>
      </c>
    </row>
    <row r="5627" ht="15.75" customHeight="1">
      <c r="A5627" s="1">
        <v>6001.0</v>
      </c>
      <c r="B5627" s="3" t="s">
        <v>5422</v>
      </c>
      <c r="C5627" s="3" t="str">
        <f>IFERROR(__xludf.DUMMYFUNCTION("GOOGLETRANSLATE(B5627,""id"",""en"")"),"['Update', '']")</f>
        <v>['Update', '']</v>
      </c>
      <c r="D5627" s="3">
        <v>3.0</v>
      </c>
    </row>
    <row r="5628" ht="15.75" customHeight="1">
      <c r="A5628" s="1">
        <v>6002.0</v>
      </c>
      <c r="B5628" s="3" t="s">
        <v>5423</v>
      </c>
      <c r="C5628" s="3" t="str">
        <f>IFERROR(__xludf.DUMMYFUNCTION("GOOGLETRANSLATE(B5628,""id"",""en"")"),"['Opened', 'Telkomsel', 'Region', 'Ternate', 'Delete', 'Download', 'LGI', 'Ajah', 'Opened', 'Please', 'Help', ""]")</f>
        <v>['Opened', 'Telkomsel', 'Region', 'Ternate', 'Delete', 'Download', 'LGI', 'Ajah', 'Opened', 'Please', 'Help', "]</v>
      </c>
      <c r="D5628" s="3">
        <v>1.0</v>
      </c>
    </row>
    <row r="5629" ht="15.75" customHeight="1">
      <c r="A5629" s="1">
        <v>6003.0</v>
      </c>
      <c r="B5629" s="3" t="s">
        <v>5424</v>
      </c>
      <c r="C5629" s="3" t="str">
        <f>IFERROR(__xludf.DUMMYFUNCTION("GOOGLETRANSLATE(B5629,""id"",""en"")"),"['City', 'free']")</f>
        <v>['City', 'free']</v>
      </c>
      <c r="D5629" s="3">
        <v>5.0</v>
      </c>
    </row>
    <row r="5630" ht="15.75" customHeight="1">
      <c r="A5630" s="1">
        <v>6004.0</v>
      </c>
      <c r="B5630" s="3" t="s">
        <v>5425</v>
      </c>
      <c r="C5630" s="3" t="str">
        <f>IFERROR(__xludf.DUMMYFUNCTION("GOOGLETRANSLATE(B5630,""id"",""en"")"),"['Enter', 'applied', 'stone', 'install', 'please', 'repair', 'already', 'alternating', 'install']")</f>
        <v>['Enter', 'applied', 'stone', 'install', 'please', 'repair', 'already', 'alternating', 'install']</v>
      </c>
      <c r="D5630" s="3">
        <v>2.0</v>
      </c>
    </row>
    <row r="5631" ht="15.75" customHeight="1">
      <c r="A5631" s="1">
        <v>6005.0</v>
      </c>
      <c r="B5631" s="3" t="s">
        <v>5426</v>
      </c>
      <c r="C5631" s="3" t="str">
        <f>IFERROR(__xludf.DUMMYFUNCTION("GOOGLETRANSLATE(B5631,""id"",""en"")"),"['price', 'minnggguan', 'GB', 'thousand', 'thousand']")</f>
        <v>['price', 'minnggguan', 'GB', 'thousand', 'thousand']</v>
      </c>
      <c r="D5631" s="3">
        <v>5.0</v>
      </c>
    </row>
    <row r="5632" ht="15.75" customHeight="1">
      <c r="A5632" s="1">
        <v>6006.0</v>
      </c>
      <c r="B5632" s="3" t="s">
        <v>5427</v>
      </c>
      <c r="C5632" s="3" t="str">
        <f>IFERROR(__xludf.DUMMYFUNCTION("GOOGLETRANSLATE(B5632,""id"",""en"")"),"['Enter', 'application', 'MyTelkomsel', 'fast', 'promo']")</f>
        <v>['Enter', 'application', 'MyTelkomsel', 'fast', 'promo']</v>
      </c>
      <c r="D5632" s="3">
        <v>5.0</v>
      </c>
    </row>
    <row r="5633" ht="15.75" customHeight="1">
      <c r="A5633" s="1">
        <v>6007.0</v>
      </c>
      <c r="B5633" s="3" t="s">
        <v>5428</v>
      </c>
      <c r="C5633" s="3" t="str">
        <f>IFERROR(__xludf.DUMMYFUNCTION("GOOGLETRANSLATE(B5633,""id"",""en"")"),"['contents', 'quota', 'easy']")</f>
        <v>['contents', 'quota', 'easy']</v>
      </c>
      <c r="D5633" s="3">
        <v>5.0</v>
      </c>
    </row>
    <row r="5634" ht="15.75" customHeight="1">
      <c r="A5634" s="1">
        <v>6008.0</v>
      </c>
      <c r="B5634" s="3" t="s">
        <v>5429</v>
      </c>
      <c r="C5634" s="3" t="str">
        <f>IFERROR(__xludf.DUMMYFUNCTION("GOOGLETRANSLATE(B5634,""id"",""en"")"),"['knapa', 'open', '']")</f>
        <v>['knapa', 'open', '']</v>
      </c>
      <c r="D5634" s="3">
        <v>1.0</v>
      </c>
    </row>
    <row r="5635" ht="15.75" customHeight="1">
      <c r="A5635" s="1">
        <v>6009.0</v>
      </c>
      <c r="B5635" s="3" t="s">
        <v>5430</v>
      </c>
      <c r="C5635" s="3" t="str">
        <f>IFERROR(__xludf.DUMMYFUNCTION("GOOGLETRANSLATE(B5635,""id"",""en"")"),"['Complaints', 'Reviews', 'Review', 'Customer', 'Telkomsel', '']")</f>
        <v>['Complaints', 'Reviews', 'Review', 'Customer', 'Telkomsel', '']</v>
      </c>
      <c r="D5635" s="3">
        <v>1.0</v>
      </c>
    </row>
    <row r="5636" ht="15.75" customHeight="1">
      <c r="A5636" s="1">
        <v>6010.0</v>
      </c>
      <c r="B5636" s="3" t="s">
        <v>5431</v>
      </c>
      <c r="C5636" s="3" t="str">
        <f>IFERROR(__xludf.DUMMYFUNCTION("GOOGLETRANSLATE(B5636,""id"",""en"")"),"['signal', 'good', 'the rest', 'steady']")</f>
        <v>['signal', 'good', 'the rest', 'steady']</v>
      </c>
      <c r="D5636" s="3">
        <v>3.0</v>
      </c>
    </row>
    <row r="5637" ht="15.75" customHeight="1">
      <c r="A5637" s="1">
        <v>6011.0</v>
      </c>
      <c r="B5637" s="3" t="s">
        <v>5432</v>
      </c>
      <c r="C5637" s="3" t="str">
        <f>IFERROR(__xludf.DUMMYFUNCTION("GOOGLETRANSLATE(B5637,""id"",""en"")"),"['defecate', 'taik', 'hard', 'gmn', ""]")</f>
        <v>['defecate', 'taik', 'hard', 'gmn', "]</v>
      </c>
      <c r="D5637" s="3">
        <v>5.0</v>
      </c>
    </row>
    <row r="5638" ht="15.75" customHeight="1">
      <c r="A5638" s="1">
        <v>6012.0</v>
      </c>
      <c r="B5638" s="3" t="s">
        <v>5433</v>
      </c>
      <c r="C5638" s="3" t="str">
        <f>IFERROR(__xludf.DUMMYFUNCTION("GOOGLETRANSLATE(B5638,""id"",""en"")"),"['Mantep', 'makes it easy']")</f>
        <v>['Mantep', 'makes it easy']</v>
      </c>
      <c r="D5638" s="3">
        <v>5.0</v>
      </c>
    </row>
    <row r="5639" ht="15.75" customHeight="1">
      <c r="A5639" s="1">
        <v>6013.0</v>
      </c>
      <c r="B5639" s="3" t="s">
        <v>5434</v>
      </c>
      <c r="C5639" s="3" t="str">
        <f>IFERROR(__xludf.DUMMYFUNCTION("GOOGLETRANSLATE(B5639,""id"",""en"")"),"['Disappointed', 'Network', 'Maen', 'Game', 'ugly', 'Very', 'Position', 'Jakarta', 'Please', 'Telkomsel', 'Maen', 'Game', ' Disappointed ',' Telkomsel ',' already ',' price ',' quota ',' expensive ',' network ',' ugly ',' mending ',' replace ',' victim ',"&amp;"' because ',' slamming ' , 'right', 'Maen', 'game', 'network', 'ngilan']")</f>
        <v>['Disappointed', 'Network', 'Maen', 'Game', 'ugly', 'Very', 'Position', 'Jakarta', 'Please', 'Telkomsel', 'Maen', 'Game', ' Disappointed ',' Telkomsel ',' already ',' price ',' quota ',' expensive ',' network ',' ugly ',' mending ',' replace ',' victim ',' because ',' slamming ' , 'right', 'Maen', 'game', 'network', 'ngilan']</v>
      </c>
      <c r="D5639" s="3">
        <v>1.0</v>
      </c>
    </row>
    <row r="5640" ht="15.75" customHeight="1">
      <c r="A5640" s="1">
        <v>6014.0</v>
      </c>
      <c r="B5640" s="3" t="s">
        <v>5435</v>
      </c>
      <c r="C5640" s="3" t="str">
        <f>IFERROR(__xludf.DUMMYFUNCTION("GOOGLETRANSLATE(B5640,""id"",""en"")"),"['Price', 'quota', 'Customer', 'Setia', 'Tempokah', 'friend', 'Make', 'Telkomsel', 'just', 'call', 'price', 'quota', ' cheap ',' Telkomsel ',' loyal ',' pelangement ',' dozens', 'make', 'Telkomsel', 'number', 'it is ""gara', 'change', 'friend', 'bln' , 'M"&amp;"ake', 'Telkomsel']")</f>
        <v>['Price', 'quota', 'Customer', 'Setia', 'Tempokah', 'friend', 'Make', 'Telkomsel', 'just', 'call', 'price', 'quota', ' cheap ',' Telkomsel ',' loyal ',' pelangement ',' dozens', 'make', 'Telkomsel', 'number', 'it is "gara', 'change', 'friend', 'bln' , 'Make', 'Telkomsel']</v>
      </c>
      <c r="D5640" s="3">
        <v>1.0</v>
      </c>
    </row>
    <row r="5641" ht="15.75" customHeight="1">
      <c r="A5641" s="1">
        <v>6015.0</v>
      </c>
      <c r="B5641" s="3" t="s">
        <v>5436</v>
      </c>
      <c r="C5641" s="3" t="str">
        <f>IFERROR(__xludf.DUMMYFUNCTION("GOOGLETRANSLATE(B5641,""id"",""en"")"),"['Telkom', 'lag', 'Anying', 'already', 'price', 'quota', 'lag', 'smooth', 'lag', 'frequency', 'lag', 'price', ' Colently ',' pig ', ""]")</f>
        <v>['Telkom', 'lag', 'Anying', 'already', 'price', 'quota', 'lag', 'smooth', 'lag', 'frequency', 'lag', 'price', ' Colently ',' pig ', "]</v>
      </c>
      <c r="D5641" s="3">
        <v>1.0</v>
      </c>
    </row>
    <row r="5642" ht="15.75" customHeight="1">
      <c r="A5642" s="1">
        <v>6016.0</v>
      </c>
      <c r="B5642" s="3" t="s">
        <v>5437</v>
      </c>
      <c r="C5642" s="3" t="str">
        <f>IFERROR(__xludf.DUMMYFUNCTION("GOOGLETRANSLATE(B5642,""id"",""en"")"),"['Help', 'quality']")</f>
        <v>['Help', 'quality']</v>
      </c>
      <c r="D5642" s="3">
        <v>5.0</v>
      </c>
    </row>
    <row r="5643" ht="15.75" customHeight="1">
      <c r="A5643" s="1">
        <v>6017.0</v>
      </c>
      <c r="B5643" s="3" t="s">
        <v>5438</v>
      </c>
      <c r="C5643" s="3" t="str">
        <f>IFERROR(__xludf.DUMMYFUNCTION("GOOGLETRANSLATE(B5643,""id"",""en"")"),"['Think', 'My APK', 'Ddiemin', 'Ntar', 'Bgus',' Opened ',' LGI ',' TPI ',' UDH ',' FEEL ',' APK ',' opened ',' Telkomsel ',' Kenappppaaaaa ',' Haahhh ', ""]")</f>
        <v>['Think', 'My APK', 'Ddiemin', 'Ntar', 'Bgus',' Opened ',' LGI ',' TPI ',' UDH ',' FEEL ',' APK ',' opened ',' Telkomsel ',' Kenappppaaaaa ',' Haahhh ', "]</v>
      </c>
      <c r="D5643" s="3">
        <v>1.0</v>
      </c>
    </row>
    <row r="5644" ht="15.75" customHeight="1">
      <c r="A5644" s="1">
        <v>6018.0</v>
      </c>
      <c r="B5644" s="3" t="s">
        <v>5439</v>
      </c>
      <c r="C5644" s="3" t="str">
        <f>IFERROR(__xludf.DUMMYFUNCTION("GOOGLETRANSLATE(B5644,""id"",""en"")"),"['perman', 'pakrtan']")</f>
        <v>['perman', 'pakrtan']</v>
      </c>
      <c r="D5644" s="3">
        <v>5.0</v>
      </c>
    </row>
    <row r="5645" ht="15.75" customHeight="1">
      <c r="A5645" s="1">
        <v>6019.0</v>
      </c>
      <c r="B5645" s="3" t="s">
        <v>5440</v>
      </c>
      <c r="C5645" s="3" t="str">
        <f>IFERROR(__xludf.DUMMYFUNCTION("GOOGLETRANSLATE(B5645,""id"",""en"")"),"['Biayak', 'promo', 'teasing']")</f>
        <v>['Biayak', 'promo', 'teasing']</v>
      </c>
      <c r="D5645" s="3">
        <v>5.0</v>
      </c>
    </row>
    <row r="5646" ht="15.75" customHeight="1">
      <c r="A5646" s="1">
        <v>6020.0</v>
      </c>
      <c r="B5646" s="3" t="s">
        <v>5441</v>
      </c>
      <c r="C5646" s="3" t="str">
        <f>IFERROR(__xludf.DUMMYFUNCTION("GOOGLETRANSLATE(B5646,""id"",""en"")"),"['', 'Install', 'blank', 'white', 'Telkomsel', 'bad', 'really', 'network', 'slow', 'internet', 'see', 'video', 'status ',' slow ',' mah ',' Telkomsel ']")</f>
        <v>['', 'Install', 'blank', 'white', 'Telkomsel', 'bad', 'really', 'network', 'slow', 'internet', 'see', 'video', 'status ',' slow ',' mah ',' Telkomsel ']</v>
      </c>
      <c r="D5646" s="3">
        <v>1.0</v>
      </c>
    </row>
    <row r="5647" ht="15.75" customHeight="1">
      <c r="A5647" s="1">
        <v>6021.0</v>
      </c>
      <c r="B5647" s="3" t="s">
        <v>5442</v>
      </c>
      <c r="C5647" s="3" t="str">
        <f>IFERROR(__xludf.DUMMYFUNCTION("GOOGLETRANSLATE(B5647,""id"",""en"")"),"['Butut', 'Sampe', 'Age', 'Android', 'Use', 'Telkomsel', 'BGI', 'Telkomsel', 'Gagala', 'Signal', 'Fill', 'Re-"" Easy to ',' samples', 'Silahkah', 'aplout', 'Telkomsel', 'UDH', 'Feel', 'Benefits']")</f>
        <v>['Butut', 'Sampe', 'Age', 'Android', 'Use', 'Telkomsel', 'BGI', 'Telkomsel', 'Gagala', 'Signal', 'Fill', 'Re-" Easy to ',' samples', 'Silahkah', 'aplout', 'Telkomsel', 'UDH', 'Feel', 'Benefits']</v>
      </c>
      <c r="D5647" s="3">
        <v>5.0</v>
      </c>
    </row>
    <row r="5648" ht="15.75" customHeight="1">
      <c r="A5648" s="1">
        <v>6022.0</v>
      </c>
      <c r="B5648" s="3" t="s">
        <v>5443</v>
      </c>
      <c r="C5648" s="3" t="str">
        <f>IFERROR(__xludf.DUMMYFUNCTION("GOOGLETRANSLATE(B5648,""id"",""en"")"),"['Sis', 'card', 'enter', 'grace', 'how', 'extend', 'card', 'Sis']")</f>
        <v>['Sis', 'card', 'enter', 'grace', 'how', 'extend', 'card', 'Sis']</v>
      </c>
      <c r="D5648" s="3">
        <v>5.0</v>
      </c>
    </row>
    <row r="5649" ht="15.75" customHeight="1">
      <c r="A5649" s="1">
        <v>6023.0</v>
      </c>
      <c r="B5649" s="3" t="s">
        <v>5444</v>
      </c>
      <c r="C5649" s="3" t="str">
        <f>IFERROR(__xludf.DUMMYFUNCTION("GOOGLETRANSLATE(B5649,""id"",""en"")"),"['quality', 'internet', 'ugly', 'bnget', 'expensive', 'pulak']")</f>
        <v>['quality', 'internet', 'ugly', 'bnget', 'expensive', 'pulak']</v>
      </c>
      <c r="D5649" s="3">
        <v>1.0</v>
      </c>
    </row>
    <row r="5650" ht="15.75" customHeight="1">
      <c r="A5650" s="1">
        <v>6025.0</v>
      </c>
      <c r="B5650" s="3" t="s">
        <v>5445</v>
      </c>
      <c r="C5650" s="3" t="str">
        <f>IFERROR(__xludf.DUMMYFUNCTION("GOOGLETRANSLATE(B5650,""id"",""en"")"),"['response', 'fast', 'bamget', '']")</f>
        <v>['response', 'fast', 'bamget', '']</v>
      </c>
      <c r="D5650" s="3">
        <v>5.0</v>
      </c>
    </row>
    <row r="5651" ht="15.75" customHeight="1">
      <c r="A5651" s="1">
        <v>6027.0</v>
      </c>
      <c r="B5651" s="3" t="s">
        <v>5446</v>
      </c>
      <c r="C5651" s="3" t="str">
        <f>IFERROR(__xludf.DUMMYFUNCTION("GOOGLETRANSLATE(B5651,""id"",""en"")"),"['Love', 'star', 'because', 'disappointed', 'really', 'update', 'mala', 'open', 'the application']")</f>
        <v>['Love', 'star', 'because', 'disappointed', 'really', 'update', 'mala', 'open', 'the application']</v>
      </c>
      <c r="D5651" s="3">
        <v>1.0</v>
      </c>
    </row>
    <row r="5652" ht="15.75" customHeight="1">
      <c r="A5652" s="1">
        <v>6028.0</v>
      </c>
      <c r="B5652" s="3" t="s">
        <v>5447</v>
      </c>
      <c r="C5652" s="3" t="str">
        <f>IFERROR(__xludf.DUMMYFUNCTION("GOOGLETRANSLATE(B5652,""id"",""en"")"),"['savory', 'ajib', 'euy']")</f>
        <v>['savory', 'ajib', 'euy']</v>
      </c>
      <c r="D5652" s="3">
        <v>5.0</v>
      </c>
    </row>
    <row r="5653" ht="15.75" customHeight="1">
      <c r="A5653" s="1">
        <v>6029.0</v>
      </c>
      <c r="B5653" s="3" t="s">
        <v>5448</v>
      </c>
      <c r="C5653" s="3" t="str">
        <f>IFERROR(__xludf.DUMMYFUNCTION("GOOGLETRANSLATE(B5653,""id"",""en"")"),"['woi', 'application', 'idiot', 'internet', 'people', 'limited', 'people', 'bought', 'money', 'expensive', 'pulak', 'pretentious',' Sok ',' slow ',' restricted ',' access', 'internet', 'idiot', 'emang', 'application', '']")</f>
        <v>['woi', 'application', 'idiot', 'internet', 'people', 'limited', 'people', 'bought', 'money', 'expensive', 'pulak', 'pretentious',' Sok ',' slow ',' restricted ',' access', 'internet', 'idiot', 'emang', 'application', '']</v>
      </c>
      <c r="D5653" s="3">
        <v>1.0</v>
      </c>
    </row>
    <row r="5654" ht="15.75" customHeight="1">
      <c r="A5654" s="1">
        <v>6030.0</v>
      </c>
      <c r="B5654" s="3" t="s">
        <v>5449</v>
      </c>
      <c r="C5654" s="3" t="str">
        <f>IFERROR(__xludf.DUMMYFUNCTION("GOOGLETRANSLATE(B5654,""id"",""en"")"),"['Tuker', 'Points',' Coupons', 'Exchange', 'Points',' SMS ',' Times', 'Exchange', 'Coupons',' Points', 'SMS', 'Points',' exchanged ',' Where ',' please ',' fooling ',' community ',' take ',' point ',' over ',' scorched ']")</f>
        <v>['Tuker', 'Points',' Coupons', 'Exchange', 'Points',' SMS ',' Times', 'Exchange', 'Coupons',' Points', 'SMS', 'Points',' exchanged ',' Where ',' please ',' fooling ',' community ',' take ',' point ',' over ',' scorched ']</v>
      </c>
      <c r="D5654" s="3">
        <v>2.0</v>
      </c>
    </row>
    <row r="5655" ht="15.75" customHeight="1">
      <c r="A5655" s="1">
        <v>6031.0</v>
      </c>
      <c r="B5655" s="3" t="s">
        <v>5450</v>
      </c>
      <c r="C5655" s="3" t="str">
        <f>IFERROR(__xludf.DUMMYFUNCTION("GOOGLETRANSLATE(B5655,""id"",""en"")"),"['Fast', 'APL', 'Open']")</f>
        <v>['Fast', 'APL', 'Open']</v>
      </c>
      <c r="D5655" s="3">
        <v>3.0</v>
      </c>
    </row>
    <row r="5656" ht="15.75" customHeight="1">
      <c r="A5656" s="1">
        <v>6032.0</v>
      </c>
      <c r="B5656" s="3" t="s">
        <v>5451</v>
      </c>
      <c r="C5656" s="3" t="str">
        <f>IFERROR(__xludf.DUMMYFUNCTION("GOOGLETRANSLATE(B5656,""id"",""en"")"),"['Application', 'opened', 'disorder', 'please', 'response']")</f>
        <v>['Application', 'opened', 'disorder', 'please', 'response']</v>
      </c>
      <c r="D5656" s="3">
        <v>1.0</v>
      </c>
    </row>
    <row r="5657" ht="15.75" customHeight="1">
      <c r="A5657" s="1">
        <v>6033.0</v>
      </c>
      <c r="B5657" s="3" t="s">
        <v>5452</v>
      </c>
      <c r="C5657" s="3" t="str">
        <f>IFERROR(__xludf.DUMMYFUNCTION("GOOGLETRANSLATE(B5657,""id"",""en"")"),"['migration', 'card', 'Hello', 'Lemod', 'Pay', 'expensive', 'migration', 'reset', 'card', 'told', 'grapari', 'dlu', ' Migration ',' Hello ',' Cuman ',' Call ',' Center ',' The difference ',' ']")</f>
        <v>['migration', 'card', 'Hello', 'Lemod', 'Pay', 'expensive', 'migration', 'reset', 'card', 'told', 'grapari', 'dlu', ' Migration ',' Hello ',' Cuman ',' Call ',' Center ',' The difference ',' ']</v>
      </c>
      <c r="D5657" s="3">
        <v>1.0</v>
      </c>
    </row>
    <row r="5658" ht="15.75" customHeight="1">
      <c r="A5658" s="1">
        <v>6034.0</v>
      </c>
      <c r="B5658" s="3" t="s">
        <v>5453</v>
      </c>
      <c r="C5658" s="3" t="str">
        <f>IFERROR(__xludf.DUMMYFUNCTION("GOOGLETRANSLATE(B5658,""id"",""en"")"),"['Sya', 'enter', 'yaa']")</f>
        <v>['Sya', 'enter', 'yaa']</v>
      </c>
      <c r="D5658" s="3">
        <v>1.0</v>
      </c>
    </row>
    <row r="5659" ht="15.75" customHeight="1">
      <c r="A5659" s="1">
        <v>6035.0</v>
      </c>
      <c r="B5659" s="3" t="s">
        <v>5454</v>
      </c>
      <c r="C5659" s="3" t="str">
        <f>IFERROR(__xludf.DUMMYFUNCTION("GOOGLETRANSLATE(B5659,""id"",""en"")"),"['Gimata', 'Open', 'Application', 'Screen', 'White', 'Doang']")</f>
        <v>['Gimata', 'Open', 'Application', 'Screen', 'White', 'Doang']</v>
      </c>
      <c r="D5659" s="3">
        <v>1.0</v>
      </c>
    </row>
    <row r="5660" ht="15.75" customHeight="1">
      <c r="A5660" s="1">
        <v>6036.0</v>
      </c>
      <c r="B5660" s="3" t="s">
        <v>5455</v>
      </c>
      <c r="C5660" s="3" t="str">
        <f>IFERROR(__xludf.DUMMYFUNCTION("GOOGLETRANSLATE(B5660,""id"",""en"")"),"['sayah', 'happy', 'Telkomsel', 'help', 'ssssssssssssssssss']")</f>
        <v>['sayah', 'happy', 'Telkomsel', 'help', 'ssssssssssssssssss']</v>
      </c>
      <c r="D5660" s="3">
        <v>5.0</v>
      </c>
    </row>
    <row r="5661" ht="15.75" customHeight="1">
      <c r="A5661" s="1">
        <v>6037.0</v>
      </c>
      <c r="B5661" s="3" t="s">
        <v>5456</v>
      </c>
      <c r="C5661" s="3" t="str">
        <f>IFERROR(__xludf.DUMMYFUNCTION("GOOGLETRANSLATE(B5661,""id"",""en"")"),"['Fix', 'love', 'star', 'application', 'updte', 'network', 'slow', 'price', 'then', 'lost', 'tower', 'towering', ' Amid the 'village', '']")</f>
        <v>['Fix', 'love', 'star', 'application', 'updte', 'network', 'slow', 'price', 'then', 'lost', 'tower', 'towering', ' Amid the 'village', '']</v>
      </c>
      <c r="D5661" s="3">
        <v>1.0</v>
      </c>
    </row>
    <row r="5662" ht="15.75" customHeight="1">
      <c r="A5662" s="1">
        <v>6038.0</v>
      </c>
      <c r="B5662" s="3" t="s">
        <v>5457</v>
      </c>
      <c r="C5662" s="3" t="str">
        <f>IFERROR(__xludf.DUMMYFUNCTION("GOOGLETRANSLATE(B5662,""id"",""en"")"),"['anjg', 'knp', 'contents',' pulse ',' then 'sucked', 'just', 'as design', 'maxutnya', 'what', '']")</f>
        <v>['anjg', 'knp', 'contents',' pulse ',' then 'sucked', 'just', 'as design', 'maxutnya', 'what', '']</v>
      </c>
      <c r="D5662" s="3">
        <v>1.0</v>
      </c>
    </row>
    <row r="5663" ht="15.75" customHeight="1">
      <c r="A5663" s="1">
        <v>6039.0</v>
      </c>
      <c r="B5663" s="3" t="s">
        <v>5458</v>
      </c>
      <c r="C5663" s="3" t="str">
        <f>IFERROR(__xludf.DUMMYFUNCTION("GOOGLETRANSLATE(B5663,""id"",""en"")"),"['user', 'loyal', 'telkom', 'repay', 'the application', 'ngeblank', 'nga', 'work', 'pay', 'expensive', ""]")</f>
        <v>['user', 'loyal', 'telkom', 'repay', 'the application', 'ngeblank', 'nga', 'work', 'pay', 'expensive', "]</v>
      </c>
      <c r="D5663" s="3">
        <v>1.0</v>
      </c>
    </row>
    <row r="5664" ht="15.75" customHeight="1">
      <c r="A5664" s="1">
        <v>6040.0</v>
      </c>
      <c r="B5664" s="3" t="s">
        <v>5459</v>
      </c>
      <c r="C5664" s="3" t="str">
        <f>IFERROR(__xludf.DUMMYFUNCTION("GOOGLETRANSLATE(B5664,""id"",""en"")"),"['application', 'good', 'information', 'offer', 'interesting']")</f>
        <v>['application', 'good', 'information', 'offer', 'interesting']</v>
      </c>
      <c r="D5664" s="3">
        <v>5.0</v>
      </c>
    </row>
    <row r="5665" ht="15.75" customHeight="1">
      <c r="A5665" s="1">
        <v>6041.0</v>
      </c>
      <c r="B5665" s="3" t="s">
        <v>619</v>
      </c>
      <c r="C5665" s="3" t="str">
        <f>IFERROR(__xludf.DUMMYFUNCTION("GOOGLETRANSLATE(B5665,""id"",""en"")"),"['Good', 'help']")</f>
        <v>['Good', 'help']</v>
      </c>
      <c r="D5665" s="3">
        <v>4.0</v>
      </c>
    </row>
    <row r="5666" ht="15.75" customHeight="1">
      <c r="A5666" s="1">
        <v>6042.0</v>
      </c>
      <c r="B5666" s="3" t="s">
        <v>5460</v>
      </c>
      <c r="C5666" s="3" t="str">
        <f>IFERROR(__xludf.DUMMYFUNCTION("GOOGLETRANSLATE(B5666,""id"",""en"")"),"['knapa', 'Telkomsel', 'opened', 'screen', 'white', 'doang', 'appears', 'menu']")</f>
        <v>['knapa', 'Telkomsel', 'opened', 'screen', 'white', 'doang', 'appears', 'menu']</v>
      </c>
      <c r="D5666" s="3">
        <v>4.0</v>
      </c>
    </row>
    <row r="5667" ht="15.75" customHeight="1">
      <c r="A5667" s="1">
        <v>6043.0</v>
      </c>
      <c r="B5667" s="3" t="s">
        <v>5461</v>
      </c>
      <c r="C5667" s="3" t="str">
        <f>IFERROR(__xludf.DUMMYFUNCTION("GOOGLETRANSLATE(B5667,""id"",""en"")"),"['application', 'Search', 'person', 'expert', 'fix', 'cook', 'class', 'Telkomsel', 'fix']")</f>
        <v>['application', 'Search', 'person', 'expert', 'fix', 'cook', 'class', 'Telkomsel', 'fix']</v>
      </c>
      <c r="D5667" s="3">
        <v>1.0</v>
      </c>
    </row>
    <row r="5668" ht="15.75" customHeight="1">
      <c r="A5668" s="1">
        <v>6044.0</v>
      </c>
      <c r="B5668" s="3" t="s">
        <v>5462</v>
      </c>
      <c r="C5668" s="3" t="str">
        <f>IFERROR(__xludf.DUMMYFUNCTION("GOOGLETRANSLATE(B5668,""id"",""en"")"),"['Exchange', 'Points', 'Telkomsel', 'Diamond', 'MLBB', '']")</f>
        <v>['Exchange', 'Points', 'Telkomsel', 'Diamond', 'MLBB', '']</v>
      </c>
      <c r="D5668" s="3">
        <v>2.0</v>
      </c>
    </row>
    <row r="5669" ht="15.75" customHeight="1">
      <c r="A5669" s="1">
        <v>6045.0</v>
      </c>
      <c r="B5669" s="3" t="s">
        <v>5463</v>
      </c>
      <c r="C5669" s="3" t="str">
        <f>IFERROR(__xludf.DUMMYFUNCTION("GOOGLETRANSLATE(B5669,""id"",""en"")"),"['Knp', 'Open', 'APK', '']")</f>
        <v>['Knp', 'Open', 'APK', '']</v>
      </c>
      <c r="D5669" s="3">
        <v>1.0</v>
      </c>
    </row>
    <row r="5670" ht="15.75" customHeight="1">
      <c r="A5670" s="1">
        <v>6046.0</v>
      </c>
      <c r="B5670" s="3" t="s">
        <v>5464</v>
      </c>
      <c r="C5670" s="3" t="str">
        <f>IFERROR(__xludf.DUMMYFUNCTION("GOOGLETRANSLATE(B5670,""id"",""en"")"),"['Knpa', 'pulse', 'run out', 'pdhal', 'malem', 'buy', 'pulse', 'right', 'check', 'stay', 'pdhal', 'off', ' DTA ',' Telkomsel ',' Alesan ',' KNPA ',' Credit ',' Malem ',' Code ',' Dial ',' Telkomsel ',' Troubled ',' Error ',' Try ',' Many "" , 'TPI', 'the "&amp;"result', 'wants',' already ',' contents', 'pulse', 'code', 'dial', 'error', 'wait', 'ampe', 'morning', ' ilang ',' pulse ',' please ',' search ',' money ',' easy ',' as soon as', 'heart', 'take', 'pulse', 'person', 'nominal', 'a little' , 'Loss', 'Search'"&amp;", 'Money', 'Easy', '']")</f>
        <v>['Knpa', 'pulse', 'run out', 'pdhal', 'malem', 'buy', 'pulse', 'right', 'check', 'stay', 'pdhal', 'off', ' DTA ',' Telkomsel ',' Alesan ',' KNPA ',' Credit ',' Malem ',' Code ',' Dial ',' Telkomsel ',' Troubled ',' Error ',' Try ',' Many " , 'TPI', 'the result', 'wants',' already ',' contents', 'pulse', 'code', 'dial', 'error', 'wait', 'ampe', 'morning', ' ilang ',' pulse ',' please ',' search ',' money ',' easy ',' as soon as', 'heart', 'take', 'pulse', 'person', 'nominal', 'a little' , 'Loss', 'Search', 'Money', 'Easy', '']</v>
      </c>
      <c r="D5670" s="3">
        <v>1.0</v>
      </c>
    </row>
    <row r="5671" ht="15.75" customHeight="1">
      <c r="A5671" s="1">
        <v>6047.0</v>
      </c>
      <c r="B5671" s="3" t="s">
        <v>5465</v>
      </c>
      <c r="C5671" s="3" t="str">
        <f>IFERROR(__xludf.DUMMYFUNCTION("GOOGLETRANSLATE(B5671,""id"",""en"")"),"['price', 'quota', 'expensive', 'compared to', 'Kawanku', 'unlimited', 'price', 'friend', 'rebu', 'rebu', 'contok', 'where' APK ',' expensive ',' dibnding ',' friend ',' ']")</f>
        <v>['price', 'quota', 'expensive', 'compared to', 'Kawanku', 'unlimited', 'price', 'friend', 'rebu', 'rebu', 'contok', 'where' APK ',' expensive ',' dibnding ',' friend ',' ']</v>
      </c>
      <c r="D5671" s="3">
        <v>3.0</v>
      </c>
    </row>
    <row r="5672" ht="15.75" customHeight="1">
      <c r="A5672" s="1">
        <v>6048.0</v>
      </c>
      <c r="B5672" s="3" t="s">
        <v>5466</v>
      </c>
      <c r="C5672" s="3" t="str">
        <f>IFERROR(__xludf.DUMMYFUNCTION("GOOGLETRANSLATE(B5672,""id"",""en"")"),"['Application', 'Nipu', 'Lept', '']")</f>
        <v>['Application', 'Nipu', 'Lept', '']</v>
      </c>
      <c r="D5672" s="3">
        <v>5.0</v>
      </c>
    </row>
    <row r="5673" ht="15.75" customHeight="1">
      <c r="A5673" s="1">
        <v>6049.0</v>
      </c>
      <c r="B5673" s="3" t="s">
        <v>5467</v>
      </c>
      <c r="C5673" s="3" t="str">
        <f>IFERROR(__xludf.DUMMYFUNCTION("GOOGLETRANSLATE(B5673,""id"",""en"")"),"['', 'Telkomsel', 'help', 'user', 'card', 'Telkomsel', 'search', 'information']")</f>
        <v>['', 'Telkomsel', 'help', 'user', 'card', 'Telkomsel', 'search', 'information']</v>
      </c>
      <c r="D5673" s="3">
        <v>5.0</v>
      </c>
    </row>
    <row r="5674" ht="15.75" customHeight="1">
      <c r="A5674" s="1">
        <v>6050.0</v>
      </c>
      <c r="B5674" s="3" t="s">
        <v>5468</v>
      </c>
      <c r="C5674" s="3" t="str">
        <f>IFERROR(__xludf.DUMMYFUNCTION("GOOGLETRANSLATE(B5674,""id"",""en"")"),"['Dear', 'Telkomsel', 'Cause', 'Application', 'Telkomsel', 'Opened', 'Reinstall', 'Blank', 'Please', 'Direct', 'Forum', 'User', ' Application ',' Understand ',' Strongness', 'Troubled', 'Application', 'Mbak', 'Veronika', 'Connect', 'Ribet', ""]")</f>
        <v>['Dear', 'Telkomsel', 'Cause', 'Application', 'Telkomsel', 'Opened', 'Reinstall', 'Blank', 'Please', 'Direct', 'Forum', 'User', ' Application ',' Understand ',' Strongness', 'Troubled', 'Application', 'Mbak', 'Veronika', 'Connect', 'Ribet', "]</v>
      </c>
      <c r="D5674" s="3">
        <v>3.0</v>
      </c>
    </row>
    <row r="5675" ht="15.75" customHeight="1">
      <c r="A5675" s="1">
        <v>6051.0</v>
      </c>
      <c r="B5675" s="3" t="s">
        <v>5469</v>
      </c>
      <c r="C5675" s="3" t="str">
        <f>IFERROR(__xludf.DUMMYFUNCTION("GOOGLETRANSLATE(B5675,""id"",""en"")"),"['application', 'good', 'makes it easy', 'buy', 'package', 'internet']")</f>
        <v>['application', 'good', 'makes it easy', 'buy', 'package', 'internet']</v>
      </c>
      <c r="D5675" s="3">
        <v>4.0</v>
      </c>
    </row>
    <row r="5676" ht="15.75" customHeight="1">
      <c r="A5676" s="1">
        <v>6053.0</v>
      </c>
      <c r="B5676" s="3" t="s">
        <v>5470</v>
      </c>
      <c r="C5676" s="3" t="str">
        <f>IFERROR(__xludf.DUMMYFUNCTION("GOOGLETRANSLATE(B5676,""id"",""en"")"),"['application', 'samangat', 'help', 'purposes']")</f>
        <v>['application', 'samangat', 'help', 'purposes']</v>
      </c>
      <c r="D5676" s="3">
        <v>5.0</v>
      </c>
    </row>
    <row r="5677" ht="15.75" customHeight="1">
      <c r="A5677" s="1">
        <v>6054.0</v>
      </c>
      <c r="B5677" s="3" t="s">
        <v>5471</v>
      </c>
      <c r="C5677" s="3" t="str">
        <f>IFERROR(__xludf.DUMMYFUNCTION("GOOGLETRANSLATE(B5677,""id"",""en"")"),"['commentover', 'ilang', 'comment', 'package', 'cellular', 'provided', 'complete', 'help', 'consumer', 'open', 'application', 'good' Buy ',' Package ',' ']")</f>
        <v>['commentover', 'ilang', 'comment', 'package', 'cellular', 'provided', 'complete', 'help', 'consumer', 'open', 'application', 'good' Buy ',' Package ',' ']</v>
      </c>
      <c r="D5677" s="3">
        <v>1.0</v>
      </c>
    </row>
    <row r="5678" ht="15.75" customHeight="1">
      <c r="A5678" s="1">
        <v>6055.0</v>
      </c>
      <c r="B5678" s="3" t="s">
        <v>5472</v>
      </c>
      <c r="C5678" s="3" t="str">
        <f>IFERROR(__xludf.DUMMYFUNCTION("GOOGLETRANSLATE(B5678,""id"",""en"")"),"['Putie', 'Josss', 'Suuu']")</f>
        <v>['Putie', 'Josss', 'Suuu']</v>
      </c>
      <c r="D5678" s="3">
        <v>5.0</v>
      </c>
    </row>
    <row r="5679" ht="15.75" customHeight="1">
      <c r="A5679" s="1">
        <v>6056.0</v>
      </c>
      <c r="B5679" s="3" t="s">
        <v>100</v>
      </c>
      <c r="C5679" s="3" t="str">
        <f>IFERROR(__xludf.DUMMYFUNCTION("GOOGLETRANSLATE(B5679,""id"",""en"")"),"['star']")</f>
        <v>['star']</v>
      </c>
      <c r="D5679" s="3">
        <v>5.0</v>
      </c>
    </row>
    <row r="5680" ht="15.75" customHeight="1">
      <c r="A5680" s="1">
        <v>6057.0</v>
      </c>
      <c r="B5680" s="3" t="s">
        <v>5473</v>
      </c>
      <c r="C5680" s="3" t="str">
        <f>IFERROR(__xludf.DUMMYFUNCTION("GOOGLETRANSLATE(B5680,""id"",""en"")"),"['Bida', 'opened', 'njirrr']")</f>
        <v>['Bida', 'opened', 'njirrr']</v>
      </c>
      <c r="D5680" s="3">
        <v>5.0</v>
      </c>
    </row>
    <row r="5681" ht="15.75" customHeight="1">
      <c r="A5681" s="1">
        <v>6058.0</v>
      </c>
      <c r="B5681" s="3" t="s">
        <v>5474</v>
      </c>
      <c r="C5681" s="3" t="str">
        <f>IFERROR(__xludf.DUMMYFUNCTION("GOOGLETRANSLATE(B5681,""id"",""en"")"),"['Prepared', 'open', 'bapuk', 'opened', 'update', 'smooth', 'check', '']")</f>
        <v>['Prepared', 'open', 'bapuk', 'opened', 'update', 'smooth', 'check', '']</v>
      </c>
      <c r="D5681" s="3">
        <v>1.0</v>
      </c>
    </row>
    <row r="5682" ht="15.75" customHeight="1">
      <c r="A5682" s="1">
        <v>6059.0</v>
      </c>
      <c r="B5682" s="3" t="s">
        <v>5475</v>
      </c>
      <c r="C5682" s="3" t="str">
        <f>IFERROR(__xludf.DUMMYFUNCTION("GOOGLETRANSLATE(B5682,""id"",""en"")"),"['Please', 'APK', 'Sampe', 'Telkomsel', 'Ribet', 'gini']")</f>
        <v>['Please', 'APK', 'Sampe', 'Telkomsel', 'Ribet', 'gini']</v>
      </c>
      <c r="D5682" s="3">
        <v>1.0</v>
      </c>
    </row>
    <row r="5683" ht="15.75" customHeight="1">
      <c r="A5683" s="1">
        <v>6060.0</v>
      </c>
      <c r="B5683" s="3" t="s">
        <v>5476</v>
      </c>
      <c r="C5683" s="3" t="str">
        <f>IFERROR(__xludf.DUMMYFUNCTION("GOOGLETRANSLATE(B5683,""id"",""en"")"),"['cave', 'exchange', 'point', 'then', 'cave', 'gatherin', 'point', 'direct', 'get', 'gift', 'his draw', 'gimna', ' Oyak ',' exchange ']")</f>
        <v>['cave', 'exchange', 'point', 'then', 'cave', 'gatherin', 'point', 'direct', 'get', 'gift', 'his draw', 'gimna', ' Oyak ',' exchange ']</v>
      </c>
      <c r="D5683" s="3">
        <v>2.0</v>
      </c>
    </row>
    <row r="5684" ht="15.75" customHeight="1">
      <c r="A5684" s="1">
        <v>6061.0</v>
      </c>
      <c r="B5684" s="3" t="s">
        <v>5477</v>
      </c>
      <c r="C5684" s="3" t="str">
        <f>IFERROR(__xludf.DUMMYFUNCTION("GOOGLETRANSLATE(B5684,""id"",""en"")"),"['The application', 'open', 'screen', 'white', 'application', 'problematic', 'type', 'please', 'explanation', 'or', 'application', 'hrs',' Update ',' ']")</f>
        <v>['The application', 'open', 'screen', 'white', 'application', 'problematic', 'type', 'please', 'explanation', 'or', 'application', 'hrs',' Update ',' ']</v>
      </c>
      <c r="D5684" s="3">
        <v>1.0</v>
      </c>
    </row>
    <row r="5685" ht="15.75" customHeight="1">
      <c r="A5685" s="1">
        <v>6062.0</v>
      </c>
      <c r="B5685" s="3" t="s">
        <v>5478</v>
      </c>
      <c r="C5685" s="3" t="str">
        <f>IFERROR(__xludf.DUMMYFUNCTION("GOOGLETRANSLATE(B5685,""id"",""en"")"),"['System', 'auto', 'dead', 'internet', 'package', 'data', 'run out', 'take', 'pulse', 'regular', 'operator', 'next door', ' System ',' Customer ',' harmed ', ""]")</f>
        <v>['System', 'auto', 'dead', 'internet', 'package', 'data', 'run out', 'take', 'pulse', 'regular', 'operator', 'next door', ' System ',' Customer ',' harmed ', "]</v>
      </c>
      <c r="D5685" s="3">
        <v>1.0</v>
      </c>
    </row>
    <row r="5686" ht="15.75" customHeight="1">
      <c r="A5686" s="1">
        <v>6063.0</v>
      </c>
      <c r="B5686" s="3" t="s">
        <v>5479</v>
      </c>
      <c r="C5686" s="3" t="str">
        <f>IFERROR(__xludf.DUMMYFUNCTION("GOOGLETRANSLATE(B5686,""id"",""en"")"),"['Buy', 'Package', 'Money', 'Dichat', 'Waiting', 'Waiting', 'Response']")</f>
        <v>['Buy', 'Package', 'Money', 'Dichat', 'Waiting', 'Waiting', 'Response']</v>
      </c>
      <c r="D5686" s="3">
        <v>1.0</v>
      </c>
    </row>
    <row r="5687" ht="15.75" customHeight="1">
      <c r="A5687" s="1">
        <v>6064.0</v>
      </c>
      <c r="B5687" s="3" t="s">
        <v>5480</v>
      </c>
      <c r="C5687" s="3" t="str">
        <f>IFERROR(__xludf.DUMMYFUNCTION("GOOGLETRANSLATE(B5687,""id"",""en"")"),"['Knp', 'Open', 'Telkomsel', '']")</f>
        <v>['Knp', 'Open', 'Telkomsel', '']</v>
      </c>
      <c r="D5687" s="3">
        <v>5.0</v>
      </c>
    </row>
    <row r="5688" ht="15.75" customHeight="1">
      <c r="A5688" s="1">
        <v>6065.0</v>
      </c>
      <c r="B5688" s="3" t="s">
        <v>5481</v>
      </c>
      <c r="C5688" s="3" t="str">
        <f>IFERROR(__xludf.DUMMYFUNCTION("GOOGLETRANSLATE(B5688,""id"",""en"")"),"['Easy', 'Purchase', 'Package', 'Internet', 'Check', '']")</f>
        <v>['Easy', 'Purchase', 'Package', 'Internet', 'Check', '']</v>
      </c>
      <c r="D5688" s="3">
        <v>3.0</v>
      </c>
    </row>
    <row r="5689" ht="15.75" customHeight="1">
      <c r="A5689" s="1">
        <v>6066.0</v>
      </c>
      <c r="B5689" s="3" t="s">
        <v>5482</v>
      </c>
      <c r="C5689" s="3" t="str">
        <f>IFERROR(__xludf.DUMMYFUNCTION("GOOGLETRANSLATE(B5689,""id"",""en"")"),"['Honest', 'BLM', 'a month', 'UDH', 'Crazy', 'Buy', 'Credit', 'Position', 'Data', 'Matiin', 'BLM', 'PKE', ' ehk ',' pulses', 'udh', 'buy', 'non', 'package', 'leftover', 'pulse', 'ehk', 'cut', 'jdi', 'like', 'cut' , 'Nnya', '']")</f>
        <v>['Honest', 'BLM', 'a month', 'UDH', 'Crazy', 'Buy', 'Credit', 'Position', 'Data', 'Matiin', 'BLM', 'PKE', ' ehk ',' pulses', 'udh', 'buy', 'non', 'package', 'leftover', 'pulse', 'ehk', 'cut', 'jdi', 'like', 'cut' , 'Nnya', '']</v>
      </c>
      <c r="D5689" s="3">
        <v>1.0</v>
      </c>
    </row>
    <row r="5690" ht="15.75" customHeight="1">
      <c r="A5690" s="1">
        <v>6067.0</v>
      </c>
      <c r="B5690" s="3" t="s">
        <v>5483</v>
      </c>
      <c r="C5690" s="3" t="str">
        <f>IFERROR(__xludf.DUMMYFUNCTION("GOOGLETRANSLATE(B5690,""id"",""en"")"),"['Star', 'Package', 'Unlimited']")</f>
        <v>['Star', 'Package', 'Unlimited']</v>
      </c>
      <c r="D5690" s="3">
        <v>2.0</v>
      </c>
    </row>
    <row r="5691" ht="15.75" customHeight="1">
      <c r="A5691" s="1">
        <v>6068.0</v>
      </c>
      <c r="B5691" s="3" t="s">
        <v>5484</v>
      </c>
      <c r="C5691" s="3" t="str">
        <f>IFERROR(__xludf.DUMMYFUNCTION("GOOGLETRANSLATE(B5691,""id"",""en"")"),"['Package', 'Dri', 'Datas', 'APK', 'Wrong', 'Debt', 'Telkom', ""]")</f>
        <v>['Package', 'Dri', 'Datas', 'APK', 'Wrong', 'Debt', 'Telkom', "]</v>
      </c>
      <c r="D5691" s="3">
        <v>5.0</v>
      </c>
    </row>
    <row r="5692" ht="15.75" customHeight="1">
      <c r="A5692" s="1">
        <v>6069.0</v>
      </c>
      <c r="B5692" s="3" t="s">
        <v>5485</v>
      </c>
      <c r="C5692" s="3" t="str">
        <f>IFERROR(__xludf.DUMMYFUNCTION("GOOGLETRANSLATE(B5692,""id"",""en"")"),"['updated', 'BSA', 'opened', 'blank', 'color', 'white']")</f>
        <v>['updated', 'BSA', 'opened', 'blank', 'color', 'white']</v>
      </c>
      <c r="D5692" s="3">
        <v>1.0</v>
      </c>
    </row>
    <row r="5693" ht="15.75" customHeight="1">
      <c r="A5693" s="1">
        <v>6070.0</v>
      </c>
      <c r="B5693" s="3" t="s">
        <v>5486</v>
      </c>
      <c r="C5693" s="3" t="str">
        <f>IFERROR(__xludf.DUMMYFUNCTION("GOOGLETRANSLATE(B5693,""id"",""en"")"),"['Recommendation', 'Package', 'Combo', 'Sakti', 'Cheap', 'Affordable', 'Package', 'Lower', 'Price', 'Price', 'Thousands', '']")</f>
        <v>['Recommendation', 'Package', 'Combo', 'Sakti', 'Cheap', 'Affordable', 'Package', 'Lower', 'Price', 'Price', 'Thousands', '']</v>
      </c>
      <c r="D5693" s="3">
        <v>3.0</v>
      </c>
    </row>
    <row r="5694" ht="15.75" customHeight="1">
      <c r="A5694" s="1">
        <v>6071.0</v>
      </c>
      <c r="B5694" s="3" t="s">
        <v>5487</v>
      </c>
      <c r="C5694" s="3" t="str">
        <f>IFERROR(__xludf.DUMMYFUNCTION("GOOGLETRANSLATE(B5694,""id"",""en"")"),"['Application', 'Useful']")</f>
        <v>['Application', 'Useful']</v>
      </c>
      <c r="D5694" s="3">
        <v>5.0</v>
      </c>
    </row>
    <row r="5695" ht="15.75" customHeight="1">
      <c r="A5695" s="1">
        <v>6072.0</v>
      </c>
      <c r="B5695" s="3" t="s">
        <v>5488</v>
      </c>
      <c r="C5695" s="3" t="str">
        <f>IFERROR(__xludf.DUMMYFUNCTION("GOOGLETRANSLATE(B5695,""id"",""en"")"),"['Quota', 'Learning', 'Credit', 'Rp', 'Credit', 'Suck', 'Credit', 'Quota', 'Learning', 'Manchester', 'Activein', 'Data']")</f>
        <v>['Quota', 'Learning', 'Credit', 'Rp', 'Credit', 'Suck', 'Credit', 'Quota', 'Learning', 'Manchester', 'Activein', 'Data']</v>
      </c>
      <c r="D5695" s="3">
        <v>3.0</v>
      </c>
    </row>
    <row r="5696" ht="15.75" customHeight="1">
      <c r="A5696" s="1">
        <v>6073.0</v>
      </c>
      <c r="B5696" s="3" t="s">
        <v>5489</v>
      </c>
      <c r="C5696" s="3" t="str">
        <f>IFERROR(__xludf.DUMMYFUNCTION("GOOGLETRANSLATE(B5696,""id"",""en"")"),"['Please', 'cheap', 'package', 'internet', 'expensive', 'really', 'package', 'internet']")</f>
        <v>['Please', 'cheap', 'package', 'internet', 'expensive', 'really', 'package', 'internet']</v>
      </c>
      <c r="D5696" s="3">
        <v>1.0</v>
      </c>
    </row>
    <row r="5697" ht="15.75" customHeight="1">
      <c r="A5697" s="1">
        <v>6075.0</v>
      </c>
      <c r="B5697" s="3" t="s">
        <v>5490</v>
      </c>
      <c r="C5697" s="3" t="str">
        <f>IFERROR(__xludf.DUMMYFUNCTION("GOOGLETRANSLATE(B5697,""id"",""en"")"),"['Price', 'expensive', 'Points',' Difficult ',' get ',' Price ',' Package ',' Interesting ',' Signal ',' Card ',' Telkomsel ',' Good ',' Credit ',' Cut ',' Pitur ',' Safe ',' Quota ',' Credit ',' Safe ']")</f>
        <v>['Price', 'expensive', 'Points',' Difficult ',' get ',' Price ',' Package ',' Interesting ',' Signal ',' Card ',' Telkomsel ',' Good ',' Credit ',' Cut ',' Pitur ',' Safe ',' Quota ',' Credit ',' Safe ']</v>
      </c>
      <c r="D5697" s="3">
        <v>2.0</v>
      </c>
    </row>
    <row r="5698" ht="15.75" customHeight="1">
      <c r="A5698" s="1">
        <v>6076.0</v>
      </c>
      <c r="B5698" s="3" t="s">
        <v>5491</v>
      </c>
      <c r="C5698" s="3" t="str">
        <f>IFERROR(__xludf.DUMMYFUNCTION("GOOGLETRANSLATE(B5698,""id"",""en"")"),"['bad', 'contents',' pulse ',' in ',' package ',' pulse ',' sumps', 'surprised', 'name', 'theft', 'package', 'GB', ' RB ',' GB ',' RB ',' buy ',' Pulsany ',' Nanggung ',' woiii ',' already ',' expensive ',' policy ', ""]")</f>
        <v>['bad', 'contents',' pulse ',' in ',' package ',' pulse ',' sumps', 'surprised', 'name', 'theft', 'package', 'GB', ' RB ',' GB ',' RB ',' buy ',' Pulsany ',' Nanggung ',' woiii ',' already ',' expensive ',' policy ', "]</v>
      </c>
      <c r="D5698" s="3">
        <v>1.0</v>
      </c>
    </row>
    <row r="5699" ht="15.75" customHeight="1">
      <c r="A5699" s="1">
        <v>6077.0</v>
      </c>
      <c r="B5699" s="3" t="s">
        <v>5492</v>
      </c>
      <c r="C5699" s="3" t="str">
        <f>IFERROR(__xludf.DUMMYFUNCTION("GOOGLETRANSLATE(B5699,""id"",""en"")"),"['times',' buy ',' package ',' cheap ',' failure ',' active ',' automatic ',' contact ',' Telkomsel ',' Messenger ',' active ',' Package ',' ']")</f>
        <v>['times',' buy ',' package ',' cheap ',' failure ',' active ',' automatic ',' contact ',' Telkomsel ',' Messenger ',' active ',' Package ',' ']</v>
      </c>
      <c r="D5699" s="3">
        <v>1.0</v>
      </c>
    </row>
    <row r="5700" ht="15.75" customHeight="1">
      <c r="A5700" s="1">
        <v>6080.0</v>
      </c>
      <c r="B5700" s="3" t="s">
        <v>5493</v>
      </c>
      <c r="C5700" s="3" t="str">
        <f>IFERROR(__xludf.DUMMYFUNCTION("GOOGLETRANSLATE(B5700,""id"",""en"")"),"['Provider', 'Data', 'off', 'SMS', 'enter', 'pulse', 'Maling', 'Mulu', 'promo', 'enter', 'turn', 'click', ' Promos', 'available', 'basic', 'provider', 'fraudsters',' people ',' use ',' provider ',' behavior ', ""]")</f>
        <v>['Provider', 'Data', 'off', 'SMS', 'enter', 'pulse', 'Maling', 'Mulu', 'promo', 'enter', 'turn', 'click', ' Promos', 'available', 'basic', 'provider', 'fraudsters',' people ',' use ',' provider ',' behavior ', "]</v>
      </c>
      <c r="D5700" s="3">
        <v>1.0</v>
      </c>
    </row>
    <row r="5701" ht="15.75" customHeight="1">
      <c r="A5701" s="1">
        <v>6083.0</v>
      </c>
      <c r="B5701" s="3" t="s">
        <v>5494</v>
      </c>
      <c r="C5701" s="3" t="str">
        <f>IFERROR(__xludf.DUMMYFUNCTION("GOOGLETRANSLATE(B5701,""id"",""en"")"),"['Application', 'pulse', 'Fund']")</f>
        <v>['Application', 'pulse', 'Fund']</v>
      </c>
      <c r="D5701" s="3">
        <v>5.0</v>
      </c>
    </row>
    <row r="5702" ht="15.75" customHeight="1">
      <c r="A5702" s="1">
        <v>6084.0</v>
      </c>
      <c r="B5702" s="3" t="s">
        <v>5495</v>
      </c>
      <c r="C5702" s="3" t="str">
        <f>IFERROR(__xludf.DUMMYFUNCTION("GOOGLETRANSLATE(B5702,""id"",""en"")"),"['njirrrr', 'application', 'good', 'open', 'gas', 'enter', 'hadehh']")</f>
        <v>['njirrrr', 'application', 'good', 'open', 'gas', 'enter', 'hadehh']</v>
      </c>
      <c r="D5702" s="3">
        <v>1.0</v>
      </c>
    </row>
    <row r="5703" ht="15.75" customHeight="1">
      <c r="A5703" s="1">
        <v>6085.0</v>
      </c>
      <c r="B5703" s="3" t="s">
        <v>5496</v>
      </c>
      <c r="C5703" s="3" t="str">
        <f>IFERROR(__xludf.DUMMYFUNCTION("GOOGLETRANSLATE(B5703,""id"",""en"")"),"['pulse', 'buy', 'package', 'awaited', 'minute', 'already', 'run out', 'pulses', ""]")</f>
        <v>['pulse', 'buy', 'package', 'awaited', 'minute', 'already', 'run out', 'pulses', "]</v>
      </c>
      <c r="D5703" s="3">
        <v>1.0</v>
      </c>
    </row>
    <row r="5704" ht="15.75" customHeight="1">
      <c r="A5704" s="1">
        <v>6086.0</v>
      </c>
      <c r="B5704" s="3" t="s">
        <v>5497</v>
      </c>
      <c r="C5704" s="3" t="str">
        <f>IFERROR(__xludf.DUMMYFUNCTION("GOOGLETRANSLATE(B5704,""id"",""en"")"),"['network', 'card', 'lbih', 'bgus', '']")</f>
        <v>['network', 'card', 'lbih', 'bgus', '']</v>
      </c>
      <c r="D5704" s="3">
        <v>5.0</v>
      </c>
    </row>
    <row r="5705" ht="15.75" customHeight="1">
      <c r="A5705" s="1">
        <v>6087.0</v>
      </c>
      <c r="B5705" s="3" t="s">
        <v>5498</v>
      </c>
      <c r="C5705" s="3" t="str">
        <f>IFERROR(__xludf.DUMMYFUNCTION("GOOGLETRANSLATE(B5705,""id"",""en"")"),"['Update', 'Open', 'Application', 'Disappointed', '']")</f>
        <v>['Update', 'Open', 'Application', 'Disappointed', '']</v>
      </c>
      <c r="D5705" s="3">
        <v>1.0</v>
      </c>
    </row>
    <row r="5706" ht="15.75" customHeight="1">
      <c r="A5706" s="1">
        <v>6088.0</v>
      </c>
      <c r="B5706" s="3" t="s">
        <v>5499</v>
      </c>
      <c r="C5706" s="3" t="str">
        <f>IFERROR(__xludf.DUMMYFUNCTION("GOOGLETRANSLATE(B5706,""id"",""en"")"),"['Package', 'unlimited', 'ngaaco', 'tetep', 'pulse', 'brush', 'base', 'greedy', '']")</f>
        <v>['Package', 'unlimited', 'ngaaco', 'tetep', 'pulse', 'brush', 'base', 'greedy', '']</v>
      </c>
      <c r="D5706" s="3">
        <v>1.0</v>
      </c>
    </row>
    <row r="5707" ht="15.75" customHeight="1">
      <c r="A5707" s="1">
        <v>6089.0</v>
      </c>
      <c r="B5707" s="3" t="s">
        <v>5500</v>
      </c>
      <c r="C5707" s="3" t="str">
        <f>IFERROR(__xludf.DUMMYFUNCTION("GOOGLETRANSLATE(B5707,""id"",""en"")"),"['Severe', 'already', 'talk', 'deh', 'version', 'how', '']")</f>
        <v>['Severe', 'already', 'talk', 'deh', 'version', 'how', '']</v>
      </c>
      <c r="D5707" s="3">
        <v>1.0</v>
      </c>
    </row>
    <row r="5708" ht="15.75" customHeight="1">
      <c r="A5708" s="1">
        <v>6090.0</v>
      </c>
      <c r="B5708" s="3" t="s">
        <v>5501</v>
      </c>
      <c r="C5708" s="3" t="str">
        <f>IFERROR(__xludf.DUMMYFUNCTION("GOOGLETRANSLATE(B5708,""id"",""en"")"),"['Network', 'Change']")</f>
        <v>['Network', 'Change']</v>
      </c>
      <c r="D5708" s="3">
        <v>1.0</v>
      </c>
    </row>
    <row r="5709" ht="15.75" customHeight="1">
      <c r="A5709" s="1">
        <v>6091.0</v>
      </c>
      <c r="B5709" s="3" t="s">
        <v>5502</v>
      </c>
      <c r="C5709" s="3" t="str">
        <f>IFERROR(__xludf.DUMMYFUNCTION("GOOGLETRANSLATE(B5709,""id"",""en"")"),"['Good', 'Good', 'Good', 'Good', 'Good', 'Good']")</f>
        <v>['Good', 'Good', 'Good', 'Good', 'Good', 'Good']</v>
      </c>
      <c r="D5709" s="3">
        <v>5.0</v>
      </c>
    </row>
    <row r="5710" ht="15.75" customHeight="1">
      <c r="A5710" s="1">
        <v>6092.0</v>
      </c>
      <c r="B5710" s="3" t="s">
        <v>5503</v>
      </c>
      <c r="C5710" s="3" t="str">
        <f>IFERROR(__xludf.DUMMYFUNCTION("GOOGLETRANSLATE(B5710,""id"",""en"")"),"['hope', 'event', 'balance', 'bonus', 'missing', 'top', 'diamond', '']")</f>
        <v>['hope', 'event', 'balance', 'bonus', 'missing', 'top', 'diamond', '']</v>
      </c>
      <c r="D5710" s="3">
        <v>5.0</v>
      </c>
    </row>
    <row r="5711" ht="15.75" customHeight="1">
      <c r="A5711" s="1">
        <v>6093.0</v>
      </c>
      <c r="B5711" s="3" t="s">
        <v>5504</v>
      </c>
      <c r="C5711" s="3" t="str">
        <f>IFERROR(__xludf.DUMMYFUNCTION("GOOGLETRANSLATE(B5711,""id"",""en"")"),"['Love', 'Bintang', 'Tukerin', 'Points',' Telkomsel ',' right ',' Tukerin ',' his publication ',' game ',' favorite ',' Gada ',' FRRE ',' Frie ',' IVEN ',' Points', 'Special', 'Game', 'Online', 'IVEN', 'Tuker', 'Points',' Diamond ',' Cover ',' Game ',' Co"&amp;"ol ' , 'Good', 'Adin', 'Ivenya', 'Hopefully', 'Useful', 'Developer', 'Telkomsel', 'Amin']")</f>
        <v>['Love', 'Bintang', 'Tukerin', 'Points',' Telkomsel ',' right ',' Tukerin ',' his publication ',' game ',' favorite ',' Gada ',' FRRE ',' Frie ',' IVEN ',' Points', 'Special', 'Game', 'Online', 'IVEN', 'Tuker', 'Points',' Diamond ',' Cover ',' Game ',' Cool ' , 'Good', 'Adin', 'Ivenya', 'Hopefully', 'Useful', 'Developer', 'Telkomsel', 'Amin']</v>
      </c>
      <c r="D5711" s="3">
        <v>4.0</v>
      </c>
    </row>
    <row r="5712" ht="15.75" customHeight="1">
      <c r="A5712" s="1">
        <v>6094.0</v>
      </c>
      <c r="B5712" s="3" t="s">
        <v>5505</v>
      </c>
      <c r="C5712" s="3" t="str">
        <f>IFERROR(__xludf.DUMMYFUNCTION("GOOGLETRANSLATE(B5712,""id"",""en"")"),"['Read', 'min', 'card', 'expensive', 'network', 'severe', 'really', 'please', 'fix', 'customer', 'satisfied', 'thank you', ' ']")</f>
        <v>['Read', 'min', 'card', 'expensive', 'network', 'severe', 'really', 'please', 'fix', 'customer', 'satisfied', 'thank you', ' ']</v>
      </c>
      <c r="D5712" s="3">
        <v>5.0</v>
      </c>
    </row>
    <row r="5713" ht="15.75" customHeight="1">
      <c r="A5713" s="1">
        <v>6095.0</v>
      </c>
      <c r="B5713" s="3" t="s">
        <v>5506</v>
      </c>
      <c r="C5713" s="3" t="str">
        <f>IFERROR(__xludf.DUMMYFUNCTION("GOOGLETRANSLATE(B5713,""id"",""en"")"),"['mksih', 'application', 'byk', 'promo', 'cheap', 'hope', 'tetep', 'like', ""]")</f>
        <v>['mksih', 'application', 'byk', 'promo', 'cheap', 'hope', 'tetep', 'like', "]</v>
      </c>
      <c r="D5713" s="3">
        <v>5.0</v>
      </c>
    </row>
    <row r="5714" ht="15.75" customHeight="1">
      <c r="A5714" s="1">
        <v>6096.0</v>
      </c>
      <c r="B5714" s="3" t="s">
        <v>3275</v>
      </c>
      <c r="C5714" s="3" t="str">
        <f>IFERROR(__xludf.DUMMYFUNCTION("GOOGLETRANSLATE(B5714,""id"",""en"")"),"['Mantap', 'promo']")</f>
        <v>['Mantap', 'promo']</v>
      </c>
      <c r="D5714" s="3">
        <v>5.0</v>
      </c>
    </row>
    <row r="5715" ht="15.75" customHeight="1">
      <c r="A5715" s="1">
        <v>6097.0</v>
      </c>
      <c r="B5715" s="3" t="s">
        <v>5507</v>
      </c>
      <c r="C5715" s="3" t="str">
        <f>IFERROR(__xludf.DUMMYFUNCTION("GOOGLETRANSLATE(B5715,""id"",""en"")"),"['Can't', 'Open']")</f>
        <v>['Can't', 'Open']</v>
      </c>
      <c r="D5715" s="3">
        <v>3.0</v>
      </c>
    </row>
    <row r="5716" ht="15.75" customHeight="1">
      <c r="A5716" s="1">
        <v>6098.0</v>
      </c>
      <c r="B5716" s="3" t="s">
        <v>355</v>
      </c>
      <c r="C5716" s="3" t="str">
        <f>IFERROR(__xludf.DUMMYFUNCTION("GOOGLETRANSLATE(B5716,""id"",""en"")"),"['open', '']")</f>
        <v>['open', '']</v>
      </c>
      <c r="D5716" s="3">
        <v>1.0</v>
      </c>
    </row>
    <row r="5717" ht="15.75" customHeight="1">
      <c r="A5717" s="1">
        <v>6099.0</v>
      </c>
      <c r="B5717" s="3" t="s">
        <v>5508</v>
      </c>
      <c r="C5717" s="3" t="str">
        <f>IFERROR(__xludf.DUMMYFUNCTION("GOOGLETRANSLATE(B5717,""id"",""en"")"),"['Region', 'Bekasi', 'Setu', 'Dead', 'Lights',' Dead ',' Data ',' Telkomsel ',' Ngikutin ',' Electricity ',' Satellite ',' Telkomsel ',' ']")</f>
        <v>['Region', 'Bekasi', 'Setu', 'Dead', 'Lights',' Dead ',' Data ',' Telkomsel ',' Ngikutin ',' Electricity ',' Satellite ',' Telkomsel ',' ']</v>
      </c>
      <c r="D5717" s="3">
        <v>1.0</v>
      </c>
    </row>
    <row r="5718" ht="15.75" customHeight="1">
      <c r="A5718" s="1">
        <v>6100.0</v>
      </c>
      <c r="B5718" s="3" t="s">
        <v>5509</v>
      </c>
      <c r="C5718" s="3" t="str">
        <f>IFERROR(__xludf.DUMMYFUNCTION("GOOGLETRANSLATE(B5718,""id"",""en"")"),"['offer', 'good']")</f>
        <v>['offer', 'good']</v>
      </c>
      <c r="D5718" s="3">
        <v>5.0</v>
      </c>
    </row>
    <row r="5719" ht="15.75" customHeight="1">
      <c r="A5719" s="1">
        <v>6101.0</v>
      </c>
      <c r="B5719" s="3" t="s">
        <v>5510</v>
      </c>
      <c r="C5719" s="3" t="str">
        <f>IFERROR(__xludf.DUMMYFUNCTION("GOOGLETRANSLATE(B5719,""id"",""en"")"),"['buy', 'pulse', 'gada', 'a minute', 'direct', 'scorched', 'how', 'the story', 'min', '']")</f>
        <v>['buy', 'pulse', 'gada', 'a minute', 'direct', 'scorched', 'how', 'the story', 'min', '']</v>
      </c>
      <c r="D5719" s="3">
        <v>1.0</v>
      </c>
    </row>
    <row r="5720" ht="15.75" customHeight="1">
      <c r="A5720" s="1">
        <v>6102.0</v>
      </c>
      <c r="B5720" s="3" t="s">
        <v>5511</v>
      </c>
      <c r="C5720" s="3" t="str">
        <f>IFERROR(__xludf.DUMMYFUNCTION("GOOGLETRANSLATE(B5720,""id"",""en"")"),"['pulse', 'males',' balances', 'filled', 'reduced', 'buy', 'package', 'use', 'payment', 'kyk', 'gopay', 'Linkaja', ' Shoopepay ',' Error ',' Application ',' ']")</f>
        <v>['pulse', 'males',' balances', 'filled', 'reduced', 'buy', 'package', 'use', 'payment', 'kyk', 'gopay', 'Linkaja', ' Shoopepay ',' Error ',' Application ',' ']</v>
      </c>
      <c r="D5720" s="3">
        <v>1.0</v>
      </c>
    </row>
    <row r="5721" ht="15.75" customHeight="1">
      <c r="A5721" s="1">
        <v>6103.0</v>
      </c>
      <c r="B5721" s="3" t="s">
        <v>4049</v>
      </c>
      <c r="C5721" s="3" t="str">
        <f>IFERROR(__xludf.DUMMYFUNCTION("GOOGLETRANSLATE(B5721,""id"",""en"")"),"['APK', 'steady']")</f>
        <v>['APK', 'steady']</v>
      </c>
      <c r="D5721" s="3">
        <v>5.0</v>
      </c>
    </row>
    <row r="5722" ht="15.75" customHeight="1">
      <c r="A5722" s="1">
        <v>6104.0</v>
      </c>
      <c r="B5722" s="3" t="s">
        <v>5512</v>
      </c>
      <c r="C5722" s="3" t="str">
        <f>IFERROR(__xludf.DUMMYFUNCTION("GOOGLETRANSLATE(B5722,""id"",""en"")"),"['update', 'the latest', 'cause', 'application', 'opened', 'Samsung', 'Android', 'Overcome', 'bug', ""]")</f>
        <v>['update', 'the latest', 'cause', 'application', 'opened', 'Samsung', 'Android', 'Overcome', 'bug', "]</v>
      </c>
      <c r="D5722" s="3">
        <v>1.0</v>
      </c>
    </row>
    <row r="5723" ht="15.75" customHeight="1">
      <c r="A5723" s="1">
        <v>6105.0</v>
      </c>
      <c r="B5723" s="3" t="s">
        <v>5513</v>
      </c>
      <c r="C5723" s="3" t="str">
        <f>IFERROR(__xludf.DUMMYFUNCTION("GOOGLETRANSLATE(B5723,""id"",""en"")"),"['Love', 'Bonus', '']")</f>
        <v>['Love', 'Bonus', '']</v>
      </c>
      <c r="D5723" s="3">
        <v>5.0</v>
      </c>
    </row>
    <row r="5724" ht="15.75" customHeight="1">
      <c r="A5724" s="1">
        <v>6106.0</v>
      </c>
      <c r="B5724" s="3" t="s">
        <v>5514</v>
      </c>
      <c r="C5724" s="3" t="str">
        <f>IFERROR(__xludf.DUMMYFUNCTION("GOOGLETRANSLATE(B5724,""id"",""en"")"),"['opened', 'screen', 'blank', 'uninstall', 'install']")</f>
        <v>['opened', 'screen', 'blank', 'uninstall', 'install']</v>
      </c>
      <c r="D5724" s="3">
        <v>1.0</v>
      </c>
    </row>
    <row r="5725" ht="15.75" customHeight="1">
      <c r="A5725" s="1">
        <v>6107.0</v>
      </c>
      <c r="B5725" s="3" t="s">
        <v>5515</v>
      </c>
      <c r="C5725" s="3" t="str">
        <f>IFERROR(__xludf.DUMMYFUNCTION("GOOGLETRANSLATE(B5725,""id"",""en"")"),"['expensive', 'package', 'quota', 'already', 'that's',' number ',' Telkomsel ',' width ',' byk ',' sms', 'ad', 'entry', ' critical', '']")</f>
        <v>['expensive', 'package', 'quota', 'already', 'that's',' number ',' Telkomsel ',' width ',' byk ',' sms', 'ad', 'entry', ' critical', '']</v>
      </c>
      <c r="D5725" s="3">
        <v>1.0</v>
      </c>
    </row>
    <row r="5726" ht="15.75" customHeight="1">
      <c r="A5726" s="1">
        <v>6108.0</v>
      </c>
      <c r="B5726" s="3" t="s">
        <v>5516</v>
      </c>
      <c r="C5726" s="3" t="str">
        <f>IFERROR(__xludf.DUMMYFUNCTION("GOOGLETRANSLATE(B5726,""id"",""en"")"),"['', 'Love', 'Star', 'Internet', 'Sometimes', 'Sometimes', 'Dipelek']")</f>
        <v>['', 'Love', 'Star', 'Internet', 'Sometimes', 'Sometimes', 'Dipelek']</v>
      </c>
      <c r="D5726" s="3">
        <v>3.0</v>
      </c>
    </row>
    <row r="5727" ht="15.75" customHeight="1">
      <c r="A5727" s="1">
        <v>6109.0</v>
      </c>
      <c r="B5727" s="3" t="s">
        <v>5517</v>
      </c>
      <c r="C5727" s="3" t="str">
        <f>IFERROR(__xludf.DUMMYFUNCTION("GOOGLETRANSLATE(B5727,""id"",""en"")"),"['Thank you', 'Telkomsel', 'Customer', 'loyal', 'card', 'Telkomsel', 'hopefully', 'promo', 'customer', 'cheap', 'heheheee']")</f>
        <v>['Thank you', 'Telkomsel', 'Customer', 'loyal', 'card', 'Telkomsel', 'hopefully', 'promo', 'customer', 'cheap', 'heheheee']</v>
      </c>
      <c r="D5727" s="3">
        <v>5.0</v>
      </c>
    </row>
    <row r="5728" ht="15.75" customHeight="1">
      <c r="A5728" s="1">
        <v>6110.0</v>
      </c>
      <c r="B5728" s="3" t="s">
        <v>5518</v>
      </c>
      <c r="C5728" s="3" t="str">
        <f>IFERROR(__xludf.DUMMYFUNCTION("GOOGLETRANSLATE(B5728,""id"",""en"")"),"['easy', 'simple', 'help']")</f>
        <v>['easy', 'simple', 'help']</v>
      </c>
      <c r="D5728" s="3">
        <v>5.0</v>
      </c>
    </row>
    <row r="5729" ht="15.75" customHeight="1">
      <c r="A5729" s="1">
        <v>6112.0</v>
      </c>
      <c r="B5729" s="3" t="s">
        <v>5519</v>
      </c>
      <c r="C5729" s="3" t="str">
        <f>IFERROR(__xludf.DUMMYFUNCTION("GOOGLETRANSLATE(B5729,""id"",""en"")"),"['Ancur', 'Application', 'Telkomsel']")</f>
        <v>['Ancur', 'Application', 'Telkomsel']</v>
      </c>
      <c r="D5729" s="3">
        <v>1.0</v>
      </c>
    </row>
    <row r="5730" ht="15.75" customHeight="1">
      <c r="A5730" s="1">
        <v>6113.0</v>
      </c>
      <c r="B5730" s="3" t="s">
        <v>5520</v>
      </c>
      <c r="C5730" s="3" t="str">
        <f>IFERROR(__xludf.DUMMYFUNCTION("GOOGLETRANSLATE(B5730,""id"",""en"")"),"['quota', 'similar']")</f>
        <v>['quota', 'similar']</v>
      </c>
      <c r="D5730" s="3">
        <v>1.0</v>
      </c>
    </row>
    <row r="5731" ht="15.75" customHeight="1">
      <c r="A5731" s="1">
        <v>6114.0</v>
      </c>
      <c r="B5731" s="3" t="s">
        <v>5521</v>
      </c>
      <c r="C5731" s="3" t="str">
        <f>IFERROR(__xludf.DUMMYFUNCTION("GOOGLETRANSLATE(B5731,""id"",""en"")"),"['Difficulty', 'Addition', 'Quota', 'Need', 'Hello', 'NDK', 'Dauka', 'What', 'Tel', 'Call', 'Flashlight', 'told "" Wait ',' clock ',' improvement ',' maintenance ',' crying ',' Come ',' enhanced ',' quality ']")</f>
        <v>['Difficulty', 'Addition', 'Quota', 'Need', 'Hello', 'NDK', 'Dauka', 'What', 'Tel', 'Call', 'Flashlight', 'told " Wait ',' clock ',' improvement ',' maintenance ',' crying ',' Come ',' enhanced ',' quality ']</v>
      </c>
      <c r="D5731" s="3">
        <v>3.0</v>
      </c>
    </row>
    <row r="5732" ht="15.75" customHeight="1">
      <c r="A5732" s="1">
        <v>6115.0</v>
      </c>
      <c r="B5732" s="3" t="s">
        <v>5522</v>
      </c>
      <c r="C5732" s="3" t="str">
        <f>IFERROR(__xludf.DUMMYFUNCTION("GOOGLETRANSLATE(B5732,""id"",""en"")"),"['Network', 'Increase', 'LEG']")</f>
        <v>['Network', 'Increase', 'LEG']</v>
      </c>
      <c r="D5732" s="3">
        <v>5.0</v>
      </c>
    </row>
    <row r="5733" ht="15.75" customHeight="1">
      <c r="A5733" s="1">
        <v>6116.0</v>
      </c>
      <c r="B5733" s="3" t="s">
        <v>5523</v>
      </c>
      <c r="C5733" s="3" t="str">
        <f>IFERROR(__xludf.DUMMYFUNCTION("GOOGLETRANSLATE(B5733,""id"",""en"")"),"['', 'slow', 'right', 'open', 'apk', 'knpa', ""]")</f>
        <v>['', 'slow', 'right', 'open', 'apk', 'knpa', "]</v>
      </c>
      <c r="D5733" s="3">
        <v>2.0</v>
      </c>
    </row>
    <row r="5734" ht="15.75" customHeight="1">
      <c r="A5734" s="1">
        <v>6118.0</v>
      </c>
      <c r="B5734" s="3" t="s">
        <v>437</v>
      </c>
      <c r="C5734" s="3" t="str">
        <f>IFERROR(__xludf.DUMMYFUNCTION("GOOGLETRANSLATE(B5734,""id"",""en"")"),"['Steady', 'Anyway']")</f>
        <v>['Steady', 'Anyway']</v>
      </c>
      <c r="D5734" s="3">
        <v>5.0</v>
      </c>
    </row>
    <row r="5735" ht="15.75" customHeight="1">
      <c r="A5735" s="1">
        <v>6119.0</v>
      </c>
      <c r="B5735" s="3" t="s">
        <v>5524</v>
      </c>
      <c r="C5735" s="3" t="str">
        <f>IFERROR(__xludf.DUMMYFUNCTION("GOOGLETRANSLATE(B5735,""id"",""en"")"),"['Updated', 'Out', 'opened']")</f>
        <v>['Updated', 'Out', 'opened']</v>
      </c>
      <c r="D5735" s="3">
        <v>1.0</v>
      </c>
    </row>
    <row r="5736" ht="15.75" customHeight="1">
      <c r="A5736" s="1">
        <v>6120.0</v>
      </c>
      <c r="B5736" s="3" t="s">
        <v>5525</v>
      </c>
      <c r="C5736" s="3" t="str">
        <f>IFERROR(__xludf.DUMMYFUNCTION("GOOGLETRANSLATE(B5736,""id"",""en"")"),"['Ndak', 'opened', 'error']")</f>
        <v>['Ndak', 'opened', 'error']</v>
      </c>
      <c r="D5736" s="3">
        <v>1.0</v>
      </c>
    </row>
    <row r="5737" ht="15.75" customHeight="1">
      <c r="A5737" s="1">
        <v>6122.0</v>
      </c>
      <c r="B5737" s="3" t="s">
        <v>708</v>
      </c>
      <c r="C5737" s="3" t="str">
        <f>IFERROR(__xludf.DUMMYFUNCTION("GOOGLETRANSLATE(B5737,""id"",""en"")"),"['easy', 'help']")</f>
        <v>['easy', 'help']</v>
      </c>
      <c r="D5737" s="3">
        <v>5.0</v>
      </c>
    </row>
    <row r="5738" ht="15.75" customHeight="1">
      <c r="A5738" s="1">
        <v>6123.0</v>
      </c>
      <c r="B5738" s="3" t="s">
        <v>5526</v>
      </c>
      <c r="C5738" s="3" t="str">
        <f>IFERROR(__xludf.DUMMYFUNCTION("GOOGLETRANSLATE(B5738,""id"",""en"")"),"['', 'Tellkomsel', 'Practical', 'Save', '']")</f>
        <v>['', 'Tellkomsel', 'Practical', 'Save', '']</v>
      </c>
      <c r="D5738" s="3">
        <v>4.0</v>
      </c>
    </row>
    <row r="5739" ht="15.75" customHeight="1">
      <c r="A5739" s="1">
        <v>6124.0</v>
      </c>
      <c r="B5739" s="3" t="s">
        <v>5527</v>
      </c>
      <c r="C5739" s="3" t="str">
        <f>IFERROR(__xludf.DUMMYFUNCTION("GOOGLETRANSLATE(B5739,""id"",""en"")"),"['easy', 'check', 'quota', 'pulse', '']")</f>
        <v>['easy', 'check', 'quota', 'pulse', '']</v>
      </c>
      <c r="D5739" s="3">
        <v>4.0</v>
      </c>
    </row>
    <row r="5740" ht="15.75" customHeight="1">
      <c r="A5740" s="1">
        <v>6125.0</v>
      </c>
      <c r="B5740" s="3" t="s">
        <v>5528</v>
      </c>
      <c r="C5740" s="3" t="str">
        <f>IFERROR(__xludf.DUMMYFUNCTION("GOOGLETRANSLATE(B5740,""id"",""en"")"),"['Steady', 'hope', 'smooth', 'transaction']")</f>
        <v>['Steady', 'hope', 'smooth', 'transaction']</v>
      </c>
      <c r="D5740" s="3">
        <v>5.0</v>
      </c>
    </row>
    <row r="5741" ht="15.75" customHeight="1">
      <c r="A5741" s="1">
        <v>6126.0</v>
      </c>
      <c r="B5741" s="3" t="s">
        <v>2127</v>
      </c>
      <c r="C5741" s="3" t="str">
        <f>IFERROR(__xludf.DUMMYFUNCTION("GOOGLETRANSLATE(B5741,""id"",""en"")"),"['easy']")</f>
        <v>['easy']</v>
      </c>
      <c r="D5741" s="3">
        <v>4.0</v>
      </c>
    </row>
    <row r="5742" ht="15.75" customHeight="1">
      <c r="A5742" s="1">
        <v>6127.0</v>
      </c>
      <c r="B5742" s="3" t="s">
        <v>5529</v>
      </c>
      <c r="C5742" s="3" t="str">
        <f>IFERROR(__xludf.DUMMYFUNCTION("GOOGLETRANSLATE(B5742,""id"",""en"")"),"['goooood', 'network', 'strong', '']")</f>
        <v>['goooood', 'network', 'strong', '']</v>
      </c>
      <c r="D5742" s="3">
        <v>5.0</v>
      </c>
    </row>
    <row r="5743" ht="15.75" customHeight="1">
      <c r="A5743" s="1">
        <v>6128.0</v>
      </c>
      <c r="B5743" s="3" t="s">
        <v>5530</v>
      </c>
      <c r="C5743" s="3" t="str">
        <f>IFERROR(__xludf.DUMMYFUNCTION("GOOGLETRANSLATE(B5743,""id"",""en"")"),"['Pulse', 'Sumpot', 'Thousands',' Hadeh ',' Try ',' Features', 'Safe', 'Credit', 'Calm', 'Use', 'Sympathy', 'Was',' Credit ',' Out ',' Kezedot ',' ']")</f>
        <v>['Pulse', 'Sumpot', 'Thousands',' Hadeh ',' Try ',' Features', 'Safe', 'Credit', 'Calm', 'Use', 'Sympathy', 'Was',' Credit ',' Out ',' Kezedot ',' ']</v>
      </c>
      <c r="D5743" s="3">
        <v>1.0</v>
      </c>
    </row>
    <row r="5744" ht="15.75" customHeight="1">
      <c r="A5744" s="1">
        <v>6129.0</v>
      </c>
      <c r="B5744" s="3" t="s">
        <v>5531</v>
      </c>
      <c r="C5744" s="3" t="str">
        <f>IFERROR(__xludf.DUMMYFUNCTION("GOOGLETRANSLATE(B5744,""id"",""en"")"),"['Application', 'Fangers',' enter ',' difficult ',' like ',' operator ',' Bangsa ',' Mending ',' SIM ',' Card ',' Discard ',' Kkenal ',' Telkomsel ',' Discard ',' Discard ',' Quota ',' ']")</f>
        <v>['Application', 'Fangers',' enter ',' difficult ',' like ',' operator ',' Bangsa ',' Mending ',' SIM ',' Card ',' Discard ',' Kkenal ',' Telkomsel ',' Discard ',' Discard ',' Quota ',' ']</v>
      </c>
      <c r="D5744" s="3">
        <v>1.0</v>
      </c>
    </row>
    <row r="5745" ht="15.75" customHeight="1">
      <c r="A5745" s="1">
        <v>6130.0</v>
      </c>
      <c r="B5745" s="3" t="s">
        <v>5532</v>
      </c>
      <c r="C5745" s="3" t="str">
        <f>IFERROR(__xludf.DUMMYFUNCTION("GOOGLETRANSLATE(B5745,""id"",""en"")"),"['Login', 'min', 'times', 'uninstall', 'enter', 'please', 'help', 'min', '']")</f>
        <v>['Login', 'min', 'times', 'uninstall', 'enter', 'please', 'help', 'min', '']</v>
      </c>
      <c r="D5745" s="3">
        <v>2.0</v>
      </c>
    </row>
    <row r="5746" ht="15.75" customHeight="1">
      <c r="A5746" s="1">
        <v>6131.0</v>
      </c>
      <c r="B5746" s="3" t="s">
        <v>5533</v>
      </c>
      <c r="C5746" s="3" t="str">
        <f>IFERROR(__xludf.DUMMYFUNCTION("GOOGLETRANSLATE(B5746,""id"",""en"")"),"['Telkomsel', 'BUMN', 'strong', 'signal', 'interior', 'services', 'cellular', 'good', 'Telkomsel', 'good', 'card', 'main']")</f>
        <v>['Telkomsel', 'BUMN', 'strong', 'signal', 'interior', 'services', 'cellular', 'good', 'Telkomsel', 'good', 'card', 'main']</v>
      </c>
      <c r="D5746" s="3">
        <v>5.0</v>
      </c>
    </row>
    <row r="5747" ht="15.75" customHeight="1">
      <c r="A5747" s="1">
        <v>6132.0</v>
      </c>
      <c r="B5747" s="3" t="s">
        <v>5534</v>
      </c>
      <c r="C5747" s="3" t="str">
        <f>IFERROR(__xludf.DUMMYFUNCTION("GOOGLETRANSLATE(B5747,""id"",""en"")"),"['application', 'Telkomsel', 'kog', 'difficult', 'logging', 'donwloand', 'delete', 'repeat', 'times',' access', 'pdhal', 'use', ' Data ',' use ',' wifi ',' access', '']")</f>
        <v>['application', 'Telkomsel', 'kog', 'difficult', 'logging', 'donwloand', 'delete', 'repeat', 'times',' access', 'pdhal', 'use', ' Data ',' use ',' wifi ',' access', '']</v>
      </c>
      <c r="D5747" s="3">
        <v>5.0</v>
      </c>
    </row>
    <row r="5748" ht="15.75" customHeight="1">
      <c r="A5748" s="1">
        <v>6133.0</v>
      </c>
      <c r="B5748" s="3" t="s">
        <v>5535</v>
      </c>
      <c r="C5748" s="3" t="str">
        <f>IFERROR(__xludf.DUMMYFUNCTION("GOOGLETRANSLATE(B5748,""id"",""en"")"),"['ugly', 'ngeblank', 'white', 'mulu', 'check', 'quota', 'complicated', 'must', 'disappointed', 'pdahal', 'android', 'latest' ']")</f>
        <v>['ugly', 'ngeblank', 'white', 'mulu', 'check', 'quota', 'complicated', 'must', 'disappointed', 'pdahal', 'android', 'latest' ']</v>
      </c>
      <c r="D5748" s="3">
        <v>1.0</v>
      </c>
    </row>
    <row r="5749" ht="15.75" customHeight="1">
      <c r="A5749" s="1">
        <v>6134.0</v>
      </c>
      <c r="B5749" s="3" t="s">
        <v>5536</v>
      </c>
      <c r="C5749" s="3" t="str">
        <f>IFERROR(__xludf.DUMMYFUNCTION("GOOGLETRANSLATE(B5749,""id"",""en"")"),"['application', 'turn', 'open', 'open', 'normal', 'alternating', 'download', 'open', 'job', 'telkomsel', 'please', 'wrong', ' where', '']")</f>
        <v>['application', 'turn', 'open', 'open', 'normal', 'alternating', 'download', 'open', 'job', 'telkomsel', 'please', 'wrong', ' where', '']</v>
      </c>
      <c r="D5749" s="3">
        <v>1.0</v>
      </c>
    </row>
    <row r="5750" ht="15.75" customHeight="1">
      <c r="A5750" s="1">
        <v>6135.0</v>
      </c>
      <c r="B5750" s="3" t="s">
        <v>5537</v>
      </c>
      <c r="C5750" s="3" t="str">
        <f>IFERROR(__xludf.DUMMYFUNCTION("GOOGLETRANSLATE(B5750,""id"",""en"")"),"['best quality', '']")</f>
        <v>['best quality', '']</v>
      </c>
      <c r="D5750" s="3">
        <v>5.0</v>
      </c>
    </row>
    <row r="5751" ht="15.75" customHeight="1">
      <c r="A5751" s="1">
        <v>6136.0</v>
      </c>
      <c r="B5751" s="3" t="s">
        <v>5538</v>
      </c>
      <c r="C5751" s="3" t="str">
        <f>IFERROR(__xludf.DUMMYFUNCTION("GOOGLETRANSLATE(B5751,""id"",""en"")"),"['Disappointed', 'Telkomsel', 'apps', 'opened', 'color', 'white', 'doang', 'unfortunate', 'disappointed', 'heavy']")</f>
        <v>['Disappointed', 'Telkomsel', 'apps', 'opened', 'color', 'white', 'doang', 'unfortunate', 'disappointed', 'heavy']</v>
      </c>
      <c r="D5751" s="3">
        <v>1.0</v>
      </c>
    </row>
    <row r="5752" ht="15.75" customHeight="1">
      <c r="A5752" s="1">
        <v>6137.0</v>
      </c>
      <c r="B5752" s="3" t="s">
        <v>846</v>
      </c>
      <c r="C5752" s="3" t="str">
        <f>IFERROR(__xludf.DUMMYFUNCTION("GOOGLETRANSLATE(B5752,""id"",""en"")"),"['application', 'good']")</f>
        <v>['application', 'good']</v>
      </c>
      <c r="D5752" s="3">
        <v>5.0</v>
      </c>
    </row>
    <row r="5753" ht="15.75" customHeight="1">
      <c r="A5753" s="1">
        <v>6138.0</v>
      </c>
      <c r="B5753" s="3" t="s">
        <v>5539</v>
      </c>
      <c r="C5753" s="3" t="str">
        <f>IFERROR(__xludf.DUMMYFUNCTION("GOOGLETRANSLATE(B5753,""id"",""en"")"),"['The application', 'good', 'package', 'disappointed', 'Telkomsel', 'Hello', 'confirm', 'play', 'lock', 'card', 'sincere']")</f>
        <v>['The application', 'good', 'package', 'disappointed', 'Telkomsel', 'Hello', 'confirm', 'play', 'lock', 'card', 'sincere']</v>
      </c>
      <c r="D5753" s="3">
        <v>3.0</v>
      </c>
    </row>
    <row r="5754" ht="15.75" customHeight="1">
      <c r="A5754" s="1">
        <v>6139.0</v>
      </c>
      <c r="B5754" s="3" t="s">
        <v>5540</v>
      </c>
      <c r="C5754" s="3" t="str">
        <f>IFERROR(__xludf.DUMMYFUNCTION("GOOGLETRANSLATE(B5754,""id"",""en"")"),"['Network', 'severe', 'price', 'expensive', 'expensive', 'klu', 'network', 'bgs', 'gpp', '']")</f>
        <v>['Network', 'severe', 'price', 'expensive', 'expensive', 'klu', 'network', 'bgs', 'gpp', '']</v>
      </c>
      <c r="D5754" s="3">
        <v>1.0</v>
      </c>
    </row>
    <row r="5755" ht="15.75" customHeight="1">
      <c r="A5755" s="1">
        <v>6140.0</v>
      </c>
      <c r="B5755" s="3" t="s">
        <v>5541</v>
      </c>
      <c r="C5755" s="3" t="str">
        <f>IFERROR(__xludf.DUMMYFUNCTION("GOOGLETRANSLATE(B5755,""id"",""en"")"),"['game', 'good', 'love', 'star', '']")</f>
        <v>['game', 'good', 'love', 'star', '']</v>
      </c>
      <c r="D5755" s="3">
        <v>5.0</v>
      </c>
    </row>
    <row r="5756" ht="15.75" customHeight="1">
      <c r="A5756" s="1">
        <v>6141.0</v>
      </c>
      <c r="B5756" s="3" t="s">
        <v>5542</v>
      </c>
      <c r="C5756" s="3" t="str">
        <f>IFERROR(__xludf.DUMMYFUNCTION("GOOGLETRANSLATE(B5756,""id"",""en"")"),"['Good', 'easy', 'operated']")</f>
        <v>['Good', 'easy', 'operated']</v>
      </c>
      <c r="D5756" s="3">
        <v>5.0</v>
      </c>
    </row>
    <row r="5757" ht="15.75" customHeight="1">
      <c r="A5757" s="1">
        <v>6142.0</v>
      </c>
      <c r="B5757" s="3" t="s">
        <v>5543</v>
      </c>
      <c r="C5757" s="3" t="str">
        <f>IFERROR(__xludf.DUMMYFUNCTION("GOOGLETRANSLATE(B5757,""id"",""en"")"),"['Please', 'Network', 'Paketan', 'Gamemax', 'Repaired', 'Play', 'Sampek', 'Lost', 'Network', 'Intention', 'Package', 'Customer', ' maximum ',' best ',' customer ',' shy ',' name ',' already ',' provider ',' biggest ',' Indonesia ',' network ',' ngilan ','"&amp;" package ',' combo ' , 'Sakti', 'package', 'special', 'sosmed', 'ngelag', 'network', 'thank', 'love', 'hopefully', 'fast', 'repair']")</f>
        <v>['Please', 'Network', 'Paketan', 'Gamemax', 'Repaired', 'Play', 'Sampek', 'Lost', 'Network', 'Intention', 'Package', 'Customer', ' maximum ',' best ',' customer ',' shy ',' name ',' already ',' provider ',' biggest ',' Indonesia ',' network ',' ngilan ',' package ',' combo ' , 'Sakti', 'package', 'special', 'sosmed', 'ngelag', 'network', 'thank', 'love', 'hopefully', 'fast', 'repair']</v>
      </c>
      <c r="D5757" s="3">
        <v>2.0</v>
      </c>
    </row>
    <row r="5758" ht="15.75" customHeight="1">
      <c r="A5758" s="1">
        <v>6143.0</v>
      </c>
      <c r="B5758" s="3" t="s">
        <v>5544</v>
      </c>
      <c r="C5758" s="3" t="str">
        <f>IFERROR(__xludf.DUMMYFUNCTION("GOOGLETRANSLATE(B5758,""id"",""en"")"),"['Telkomsel', 'signal', 'stable']")</f>
        <v>['Telkomsel', 'signal', 'stable']</v>
      </c>
      <c r="D5758" s="3">
        <v>5.0</v>
      </c>
    </row>
    <row r="5759" ht="15.75" customHeight="1">
      <c r="A5759" s="1">
        <v>6144.0</v>
      </c>
      <c r="B5759" s="3" t="s">
        <v>5545</v>
      </c>
      <c r="C5759" s="3" t="str">
        <f>IFERROR(__xludf.DUMMYFUNCTION("GOOGLETRANSLATE(B5759,""id"",""en"")"),"['Application', 'makes it difficult', 'customer']")</f>
        <v>['Application', 'makes it difficult', 'customer']</v>
      </c>
      <c r="D5759" s="3">
        <v>1.0</v>
      </c>
    </row>
    <row r="5760" ht="15.75" customHeight="1">
      <c r="A5760" s="1">
        <v>6145.0</v>
      </c>
      <c r="B5760" s="3" t="s">
        <v>5546</v>
      </c>
      <c r="C5760" s="3" t="str">
        <f>IFERROR(__xludf.DUMMYFUNCTION("GOOGLETRANSLATE(B5760,""id"",""en"")"),"['Already', 'Install', 'Uninstall', 'Many', 'times', 'No "",' opened ',' right ',' opened ',' screen ',' white ',' Udh ',' awaited ',' enter ',' enter ',' gimanasih ']")</f>
        <v>['Already', 'Install', 'Uninstall', 'Many', 'times', 'No ",' opened ',' right ',' opened ',' screen ',' white ',' Udh ',' awaited ',' enter ',' enter ',' gimanasih ']</v>
      </c>
      <c r="D5760" s="3">
        <v>1.0</v>
      </c>
    </row>
    <row r="5761" ht="15.75" customHeight="1">
      <c r="A5761" s="1">
        <v>6146.0</v>
      </c>
      <c r="B5761" s="3" t="s">
        <v>5547</v>
      </c>
      <c r="C5761" s="3" t="str">
        <f>IFERROR(__xludf.DUMMYFUNCTION("GOOGLETRANSLATE(B5761,""id"",""en"")"),"['price', 'package', 'expensive', 'quota', 'watch', 'hope', 'separate', 'quota', 'main', '']")</f>
        <v>['price', 'package', 'expensive', 'quota', 'watch', 'hope', 'separate', 'quota', 'main', '']</v>
      </c>
      <c r="D5761" s="3">
        <v>1.0</v>
      </c>
    </row>
    <row r="5762" ht="15.75" customHeight="1">
      <c r="A5762" s="1">
        <v>6147.0</v>
      </c>
      <c r="B5762" s="3" t="s">
        <v>1250</v>
      </c>
      <c r="C5762" s="3" t="str">
        <f>IFERROR(__xludf.DUMMYFUNCTION("GOOGLETRANSLATE(B5762,""id"",""en"")"),"['Application', 'good', 'really', '']")</f>
        <v>['Application', 'good', 'really', '']</v>
      </c>
      <c r="D5762" s="3">
        <v>5.0</v>
      </c>
    </row>
    <row r="5763" ht="15.75" customHeight="1">
      <c r="A5763" s="1">
        <v>6148.0</v>
      </c>
      <c r="B5763" s="3" t="s">
        <v>5548</v>
      </c>
      <c r="C5763" s="3" t="str">
        <f>IFERROR(__xludf.DUMMYFUNCTION("GOOGLETRANSLATE(B5763,""id"",""en"")"),"['check', 'quota', 'difficult', 'emang', 'deliberate', 'download', 'app', 'abis', 'check', 'quota', 'uninstall', ""]")</f>
        <v>['check', 'quota', 'difficult', 'emang', 'deliberate', 'download', 'app', 'abis', 'check', 'quota', 'uninstall', "]</v>
      </c>
      <c r="D5763" s="3">
        <v>1.0</v>
      </c>
    </row>
    <row r="5764" ht="15.75" customHeight="1">
      <c r="A5764" s="1">
        <v>6149.0</v>
      </c>
      <c r="B5764" s="3" t="s">
        <v>5549</v>
      </c>
      <c r="C5764" s="3" t="str">
        <f>IFERROR(__xludf.DUMMYFUNCTION("GOOGLETRANSLATE(B5764,""id"",""en"")"),"['Telkomsel', 'cheap', 'really']")</f>
        <v>['Telkomsel', 'cheap', 'really']</v>
      </c>
      <c r="D5764" s="3">
        <v>5.0</v>
      </c>
    </row>
    <row r="5765" ht="15.75" customHeight="1">
      <c r="A5765" s="1">
        <v>6150.0</v>
      </c>
      <c r="B5765" s="3" t="s">
        <v>5550</v>
      </c>
      <c r="C5765" s="3" t="str">
        <f>IFERROR(__xludf.DUMMYFUNCTION("GOOGLETRANSLATE(B5765,""id"",""en"")"),"['OTP', 'said', 'valid', 'beyoooo']")</f>
        <v>['OTP', 'said', 'valid', 'beyoooo']</v>
      </c>
      <c r="D5765" s="3">
        <v>1.0</v>
      </c>
    </row>
    <row r="5766" ht="15.75" customHeight="1">
      <c r="A5766" s="1">
        <v>6151.0</v>
      </c>
      <c r="B5766" s="3" t="s">
        <v>5551</v>
      </c>
      <c r="C5766" s="3" t="str">
        <f>IFERROR(__xludf.DUMMYFUNCTION("GOOGLETRANSLATE(B5766,""id"",""en"")"),"['pulse', 'Sumpot', '']")</f>
        <v>['pulse', 'Sumpot', '']</v>
      </c>
      <c r="D5766" s="3">
        <v>2.0</v>
      </c>
    </row>
    <row r="5767" ht="15.75" customHeight="1">
      <c r="A5767" s="1">
        <v>6152.0</v>
      </c>
      <c r="B5767" s="3" t="s">
        <v>5552</v>
      </c>
      <c r="C5767" s="3" t="str">
        <f>IFERROR(__xludf.DUMMYFUNCTION("GOOGLETRANSLATE(B5767,""id"",""en"")"),"['already', 'update', 'gabisa', 'open', 'gajelas', 'provider', 'customer', 'platinum', 'no', 'benefit', 'what' do ',' point ',' end ',' exchange ',' Points', 'pulse', 'idiot']")</f>
        <v>['already', 'update', 'gabisa', 'open', 'gajelas', 'provider', 'customer', 'platinum', 'no', 'benefit', 'what' do ',' point ',' end ',' exchange ',' Points', 'pulse', 'idiot']</v>
      </c>
      <c r="D5767" s="3">
        <v>1.0</v>
      </c>
    </row>
    <row r="5768" ht="15.75" customHeight="1">
      <c r="A5768" s="1">
        <v>6153.0</v>
      </c>
      <c r="B5768" s="3" t="s">
        <v>5553</v>
      </c>
      <c r="C5768" s="3" t="str">
        <f>IFERROR(__xludf.DUMMYFUNCTION("GOOGLETRANSLATE(B5768,""id"",""en"")"),"['Application', 'break up']")</f>
        <v>['Application', 'break up']</v>
      </c>
      <c r="D5768" s="3">
        <v>1.0</v>
      </c>
    </row>
    <row r="5769" ht="15.75" customHeight="1">
      <c r="A5769" s="1">
        <v>6154.0</v>
      </c>
      <c r="B5769" s="3" t="s">
        <v>5554</v>
      </c>
      <c r="C5769" s="3" t="str">
        <f>IFERROR(__xludf.DUMMYFUNCTION("GOOGLETRANSLATE(B5769,""id"",""en"")"),"['Telkomsel', 'cheap', 'package', 'quota', '']")</f>
        <v>['Telkomsel', 'cheap', 'package', 'quota', '']</v>
      </c>
      <c r="D5769" s="3">
        <v>5.0</v>
      </c>
    </row>
    <row r="5770" ht="15.75" customHeight="1">
      <c r="A5770" s="1">
        <v>6155.0</v>
      </c>
      <c r="B5770" s="3" t="s">
        <v>5555</v>
      </c>
      <c r="C5770" s="3" t="str">
        <f>IFERROR(__xludf.DUMMYFUNCTION("GOOGLETRANSLATE(B5770,""id"",""en"")"),"['', 'Very', 'Telkomsel', 'Hopefully', 'Telkomsel', 'Jaya', 'continued', 'Customer', 'Features', 'Features', 'Interesting', "" ]")</f>
        <v>['', 'Very', 'Telkomsel', 'Hopefully', 'Telkomsel', 'Jaya', 'continued', 'Customer', 'Features', 'Features', 'Interesting', " ]</v>
      </c>
      <c r="D5770" s="3">
        <v>5.0</v>
      </c>
    </row>
    <row r="5771" ht="15.75" customHeight="1">
      <c r="A5771" s="1">
        <v>6156.0</v>
      </c>
      <c r="B5771" s="3" t="s">
        <v>5556</v>
      </c>
      <c r="C5771" s="3" t="str">
        <f>IFERROR(__xludf.DUMMYFUNCTION("GOOGLETRANSLATE(B5771,""id"",""en"")"),"['Experience', 'Sinyalanya', 'ugly']")</f>
        <v>['Experience', 'Sinyalanya', 'ugly']</v>
      </c>
      <c r="D5771" s="3">
        <v>2.0</v>
      </c>
    </row>
    <row r="5772" ht="15.75" customHeight="1">
      <c r="A5772" s="1">
        <v>6157.0</v>
      </c>
      <c r="B5772" s="3" t="s">
        <v>5328</v>
      </c>
      <c r="C5772" s="3" t="str">
        <f>IFERROR(__xludf.DUMMYFUNCTION("GOOGLETRANSLATE(B5772,""id"",""en"")"),"['signal', 'missing']")</f>
        <v>['signal', 'missing']</v>
      </c>
      <c r="D5772" s="3">
        <v>1.0</v>
      </c>
    </row>
    <row r="5773" ht="15.75" customHeight="1">
      <c r="A5773" s="1">
        <v>6158.0</v>
      </c>
      <c r="B5773" s="3" t="s">
        <v>5557</v>
      </c>
      <c r="C5773" s="3" t="str">
        <f>IFERROR(__xludf.DUMMYFUNCTION("GOOGLETRANSLATE(B5773,""id"",""en"")"),"['application', 'Telkomsel', 'open', 'buy', 'package', 'check', 'quota', 'daily', 'check', 'Telkomsel', 'disappointed', 'think', ' Tuk ',' Operator ']")</f>
        <v>['application', 'Telkomsel', 'open', 'buy', 'package', 'check', 'quota', 'daily', 'check', 'Telkomsel', 'disappointed', 'think', ' Tuk ',' Operator ']</v>
      </c>
      <c r="D5773" s="3">
        <v>1.0</v>
      </c>
    </row>
    <row r="5774" ht="15.75" customHeight="1">
      <c r="A5774" s="1">
        <v>6159.0</v>
      </c>
      <c r="B5774" s="3" t="s">
        <v>5558</v>
      </c>
      <c r="C5774" s="3" t="str">
        <f>IFERROR(__xludf.DUMMYFUNCTION("GOOGLETRANSLATE(B5774,""id"",""en"")"),"['date', 'package', 'data', 'warning', 'data', 'package', 'internet', 'term', 'last night', 'directly', 'lost', 'pulse', ' ']")</f>
        <v>['date', 'package', 'data', 'warning', 'data', 'package', 'internet', 'term', 'last night', 'directly', 'lost', 'pulse', ' ']</v>
      </c>
      <c r="D5774" s="3">
        <v>1.0</v>
      </c>
    </row>
    <row r="5775" ht="15.75" customHeight="1">
      <c r="A5775" s="1">
        <v>6160.0</v>
      </c>
      <c r="B5775" s="3" t="s">
        <v>5559</v>
      </c>
      <c r="C5775" s="3" t="str">
        <f>IFERROR(__xludf.DUMMYFUNCTION("GOOGLETRANSLATE(B5775,""id"",""en"")"),"['Telkomsel', 'knpa', 'yaa', 'sya', 'open', 'application', 'ngeblank', 'white', 'open', 'hadeeeeeeuuhhh', '']")</f>
        <v>['Telkomsel', 'knpa', 'yaa', 'sya', 'open', 'application', 'ngeblank', 'white', 'open', 'hadeeeeeeuuhhh', '']</v>
      </c>
      <c r="D5775" s="3">
        <v>1.0</v>
      </c>
    </row>
    <row r="5776" ht="15.75" customHeight="1">
      <c r="A5776" s="1">
        <v>6161.0</v>
      </c>
      <c r="B5776" s="3" t="s">
        <v>3106</v>
      </c>
      <c r="C5776" s="3" t="str">
        <f>IFERROR(__xludf.DUMMYFUNCTION("GOOGLETRANSLATE(B5776,""id"",""en"")"),"['', 'Telkomsel']")</f>
        <v>['', 'Telkomsel']</v>
      </c>
      <c r="D5776" s="3">
        <v>5.0</v>
      </c>
    </row>
    <row r="5777" ht="15.75" customHeight="1">
      <c r="A5777" s="1">
        <v>6162.0</v>
      </c>
      <c r="B5777" s="3" t="s">
        <v>5560</v>
      </c>
      <c r="C5777" s="3" t="str">
        <f>IFERROR(__xludf.DUMMYFUNCTION("GOOGLETRANSLATE(B5777,""id"",""en"")"),"['Opened', 'The application', 'Sihhh']")</f>
        <v>['Opened', 'The application', 'Sihhh']</v>
      </c>
      <c r="D5777" s="3">
        <v>2.0</v>
      </c>
    </row>
    <row r="5778" ht="15.75" customHeight="1">
      <c r="A5778" s="1">
        <v>6163.0</v>
      </c>
      <c r="B5778" s="3" t="s">
        <v>5561</v>
      </c>
      <c r="C5778" s="3" t="str">
        <f>IFERROR(__xludf.DUMMYFUNCTION("GOOGLETRANSLATE(B5778,""id"",""en"")"),"['Package', 'complete', 'choice']")</f>
        <v>['Package', 'complete', 'choice']</v>
      </c>
      <c r="D5778" s="3">
        <v>5.0</v>
      </c>
    </row>
    <row r="5779" ht="15.75" customHeight="1">
      <c r="A5779" s="1">
        <v>6165.0</v>
      </c>
      <c r="B5779" s="3" t="s">
        <v>5562</v>
      </c>
      <c r="C5779" s="3" t="str">
        <f>IFERROR(__xludf.DUMMYFUNCTION("GOOGLETRANSLATE(B5779,""id"",""en"")"),"['', 'Date', 'Open', 'Taik', ""]")</f>
        <v>['', 'Date', 'Open', 'Taik', "]</v>
      </c>
      <c r="D5779" s="3">
        <v>1.0</v>
      </c>
    </row>
    <row r="5780" ht="15.75" customHeight="1">
      <c r="A5780" s="1">
        <v>6166.0</v>
      </c>
      <c r="B5780" s="3" t="s">
        <v>5563</v>
      </c>
      <c r="C5780" s="3" t="str">
        <f>IFERROR(__xludf.DUMMYFUNCTION("GOOGLETRANSLATE(B5780,""id"",""en"")"),"['Uptude', 'Error', 'How', 'Network', 'Lost', 'Lost', 'Apasih', 'Telkomsel', ""]")</f>
        <v>['Uptude', 'Error', 'How', 'Network', 'Lost', 'Lost', 'Apasih', 'Telkomsel', "]</v>
      </c>
      <c r="D5780" s="3">
        <v>1.0</v>
      </c>
    </row>
    <row r="5781" ht="15.75" customHeight="1">
      <c r="A5781" s="1">
        <v>6167.0</v>
      </c>
      <c r="B5781" s="3" t="s">
        <v>5564</v>
      </c>
      <c r="C5781" s="3" t="str">
        <f>IFERROR(__xludf.DUMMYFUNCTION("GOOGLETRANSLATE(B5781,""id"",""en"")"),"['The application', 'opened', 'already', 'diuninstall', 'installed', 'tetep', 'open']")</f>
        <v>['The application', 'opened', 'already', 'diuninstall', 'installed', 'tetep', 'open']</v>
      </c>
      <c r="D5781" s="3">
        <v>2.0</v>
      </c>
    </row>
    <row r="5782" ht="15.75" customHeight="1">
      <c r="A5782" s="1">
        <v>6168.0</v>
      </c>
      <c r="B5782" s="3" t="s">
        <v>5565</v>
      </c>
      <c r="C5782" s="3" t="str">
        <f>IFERROR(__xludf.DUMMYFUNCTION("GOOGLETRANSLATE(B5782,""id"",""en"")"),"['Please', the 'solution', 'KNPA', 'Exchange', 'Point', 'FAILURE', 'TRUS', '']")</f>
        <v>['Please', the 'solution', 'KNPA', 'Exchange', 'Point', 'FAILURE', 'TRUS', '']</v>
      </c>
      <c r="D5782" s="3">
        <v>3.0</v>
      </c>
    </row>
    <row r="5783" ht="15.75" customHeight="1">
      <c r="A5783" s="1">
        <v>6169.0</v>
      </c>
      <c r="B5783" s="3" t="s">
        <v>5566</v>
      </c>
      <c r="C5783" s="3" t="str">
        <f>IFERROR(__xludf.DUMMYFUNCTION("GOOGLETRANSLATE(B5783,""id"",""en"")"),"['The application', 'Telkomsel', 'poor', 'complain', 'Via', 'Twet', 'Gunannya', 'Solution', 'smpe', 'reply', 'complain', ""]")</f>
        <v>['The application', 'Telkomsel', 'poor', 'complain', 'Via', 'Twet', 'Gunannya', 'Solution', 'smpe', 'reply', 'complain', "]</v>
      </c>
      <c r="D5783" s="3">
        <v>1.0</v>
      </c>
    </row>
    <row r="5784" ht="15.75" customHeight="1">
      <c r="A5784" s="1">
        <v>6170.0</v>
      </c>
      <c r="B5784" s="3" t="s">
        <v>5567</v>
      </c>
      <c r="C5784" s="3" t="str">
        <f>IFERROR(__xludf.DUMMYFUNCTION("GOOGLETRANSLATE(B5784,""id"",""en"")"),"['Sagat', 'Bermana']")</f>
        <v>['Sagat', 'Bermana']</v>
      </c>
      <c r="D5784" s="3">
        <v>4.0</v>
      </c>
    </row>
    <row r="5785" ht="15.75" customHeight="1">
      <c r="A5785" s="1">
        <v>6171.0</v>
      </c>
      <c r="B5785" s="3" t="s">
        <v>5568</v>
      </c>
      <c r="C5785" s="3" t="str">
        <f>IFERROR(__xludf.DUMMYFUNCTION("GOOGLETRANSLATE(B5785,""id"",""en"")"),"['BLM', 'Understand', 'Knp', 'Ngep', 'Ngep']")</f>
        <v>['BLM', 'Understand', 'Knp', 'Ngep', 'Ngep']</v>
      </c>
      <c r="D5785" s="3">
        <v>3.0</v>
      </c>
    </row>
    <row r="5786" ht="15.75" customHeight="1">
      <c r="A5786" s="1">
        <v>6172.0</v>
      </c>
      <c r="B5786" s="3" t="s">
        <v>5569</v>
      </c>
      <c r="C5786" s="3" t="str">
        <f>IFERROR(__xludf.DUMMYFUNCTION("GOOGLETRANSLATE(B5786,""id"",""en"")"),"['quota', 'multimedia', 'slow', 'Mending', 'Skapan', 'given', 'quota', 'multimedia', 'PDA', 'Diphp', 'quota']")</f>
        <v>['quota', 'multimedia', 'slow', 'Mending', 'Skapan', 'given', 'quota', 'multimedia', 'PDA', 'Diphp', 'quota']</v>
      </c>
      <c r="D5786" s="3">
        <v>1.0</v>
      </c>
    </row>
    <row r="5787" ht="15.75" customHeight="1">
      <c r="A5787" s="1">
        <v>6173.0</v>
      </c>
      <c r="B5787" s="3" t="s">
        <v>5570</v>
      </c>
      <c r="C5787" s="3" t="str">
        <f>IFERROR(__xludf.DUMMYFUNCTION("GOOGLETRANSLATE(B5787,""id"",""en"")"),"['Point', 'Tukerin', 'Call', 'Duty', 'Please', 'Justified']")</f>
        <v>['Point', 'Tukerin', 'Call', 'Duty', 'Please', 'Justified']</v>
      </c>
      <c r="D5787" s="3">
        <v>1.0</v>
      </c>
    </row>
    <row r="5788" ht="15.75" customHeight="1">
      <c r="A5788" s="1">
        <v>6175.0</v>
      </c>
      <c r="B5788" s="3" t="s">
        <v>5571</v>
      </c>
      <c r="C5788" s="3" t="str">
        <f>IFERROR(__xludf.DUMMYFUNCTION("GOOGLETRANSLATE(B5788,""id"",""en"")"),"['idih', 'comment', 'star', 'application', 'Severe', 'cheat', 'Fak', 'telosel', ""]")</f>
        <v>['idih', 'comment', 'star', 'application', 'Severe', 'cheat', 'Fak', 'telosel', "]</v>
      </c>
      <c r="D5788" s="3">
        <v>1.0</v>
      </c>
    </row>
    <row r="5789" ht="15.75" customHeight="1">
      <c r="A5789" s="1">
        <v>6176.0</v>
      </c>
      <c r="B5789" s="3" t="s">
        <v>5572</v>
      </c>
      <c r="C5789" s="3" t="str">
        <f>IFERROR(__xludf.DUMMYFUNCTION("GOOGLETRANSLATE(B5789,""id"",""en"")"),"['application', 'open', 'white', 'update', 'opened', 'update', 'garbage', ""]")</f>
        <v>['application', 'open', 'white', 'update', 'opened', 'update', 'garbage', "]</v>
      </c>
      <c r="D5789" s="3">
        <v>1.0</v>
      </c>
    </row>
    <row r="5790" ht="15.75" customHeight="1">
      <c r="A5790" s="1">
        <v>6177.0</v>
      </c>
      <c r="B5790" s="3" t="s">
        <v>5573</v>
      </c>
      <c r="C5790" s="3" t="str">
        <f>IFERROR(__xludf.DUMMYFUNCTION("GOOGLETRANSLATE(B5790,""id"",""en"")"),"['makes it easy', 'communication']")</f>
        <v>['makes it easy', 'communication']</v>
      </c>
      <c r="D5790" s="3">
        <v>5.0</v>
      </c>
    </row>
    <row r="5791" ht="15.75" customHeight="1">
      <c r="A5791" s="1">
        <v>6179.0</v>
      </c>
      <c r="B5791" s="3" t="s">
        <v>5574</v>
      </c>
      <c r="C5791" s="3" t="str">
        <f>IFERROR(__xludf.DUMMYFUNCTION("GOOGLETRANSLATE(B5791,""id"",""en"")"),"['delicious', 'price', 'package', 'down', 'cook', 'Come', 'price', 'come on', 'populist', 'Mesultan', ""]")</f>
        <v>['delicious', 'price', 'package', 'down', 'cook', 'Come', 'price', 'come on', 'populist', 'Mesultan', "]</v>
      </c>
      <c r="D5791" s="3">
        <v>1.0</v>
      </c>
    </row>
    <row r="5792" ht="15.75" customHeight="1">
      <c r="A5792" s="1">
        <v>6180.0</v>
      </c>
      <c r="B5792" s="3" t="s">
        <v>2457</v>
      </c>
      <c r="C5792" s="3" t="str">
        <f>IFERROR(__xludf.DUMMYFUNCTION("GOOGLETRANSLATE(B5792,""id"",""en"")"),"['Yes']")</f>
        <v>['Yes']</v>
      </c>
      <c r="D5792" s="3">
        <v>5.0</v>
      </c>
    </row>
    <row r="5793" ht="15.75" customHeight="1">
      <c r="A5793" s="1">
        <v>6181.0</v>
      </c>
      <c r="B5793" s="3" t="s">
        <v>5575</v>
      </c>
      <c r="C5793" s="3" t="str">
        <f>IFERROR(__xludf.DUMMYFUNCTION("GOOGLETRANSLATE(B5793,""id"",""en"")"),"['Axial', 'good', 'help']")</f>
        <v>['Axial', 'good', 'help']</v>
      </c>
      <c r="D5793" s="3">
        <v>5.0</v>
      </c>
    </row>
    <row r="5794" ht="15.75" customHeight="1">
      <c r="A5794" s="1">
        <v>6182.0</v>
      </c>
      <c r="B5794" s="3" t="s">
        <v>5576</v>
      </c>
      <c r="C5794" s="3" t="str">
        <f>IFERROR(__xludf.DUMMYFUNCTION("GOOGLETRANSLATE(B5794,""id"",""en"")"),"['Knp', 'application', 'opened', 'knpnpacket', 'data', 'bntu', 'org', 'loss', 'forgiveness', 'deh', ""]")</f>
        <v>['Knp', 'application', 'opened', 'knpnpacket', 'data', 'bntu', 'org', 'loss', 'forgiveness', 'deh', "]</v>
      </c>
      <c r="D5794" s="3">
        <v>2.0</v>
      </c>
    </row>
    <row r="5795" ht="15.75" customHeight="1">
      <c r="A5795" s="1">
        <v>6183.0</v>
      </c>
      <c r="B5795" s="3" t="s">
        <v>5577</v>
      </c>
      <c r="C5795" s="3" t="str">
        <f>IFERROR(__xludf.DUMMYFUNCTION("GOOGLETRANSLATE(B5795,""id"",""en"")"),"['Please', 'Method', 'Payment', 'Fix', 'Payment', 'Please', 'Notification', 'Approval', 'Test', 'Try', 'YouTube', 'Premium', ' free ',' message ',' enter ',' buy ',' youtube ',' premium ',' pulse ',' truncated ',' approval ',' please ',' fix ',' thank you"&amp;" ', ""]")</f>
        <v>['Please', 'Method', 'Payment', 'Fix', 'Payment', 'Please', 'Notification', 'Approval', 'Test', 'Try', 'YouTube', 'Premium', ' free ',' message ',' enter ',' buy ',' youtube ',' premium ',' pulse ',' truncated ',' approval ',' please ',' fix ',' thank you ', "]</v>
      </c>
      <c r="D5795" s="3">
        <v>3.0</v>
      </c>
    </row>
    <row r="5796" ht="15.75" customHeight="1">
      <c r="A5796" s="1">
        <v>6184.0</v>
      </c>
      <c r="B5796" s="3" t="s">
        <v>1367</v>
      </c>
      <c r="C5796" s="3" t="str">
        <f>IFERROR(__xludf.DUMMYFUNCTION("GOOGLETRANSLATE(B5796,""id"",""en"")"),"['good']")</f>
        <v>['good']</v>
      </c>
      <c r="D5796" s="3">
        <v>4.0</v>
      </c>
    </row>
    <row r="5797" ht="15.75" customHeight="1">
      <c r="A5797" s="1">
        <v>6185.0</v>
      </c>
      <c r="B5797" s="3" t="s">
        <v>5578</v>
      </c>
      <c r="C5797" s="3" t="str">
        <f>IFERROR(__xludf.DUMMYFUNCTION("GOOGLETRANSLATE(B5797,""id"",""en"")"),"['Display', 'easy', 'access']")</f>
        <v>['Display', 'easy', 'access']</v>
      </c>
      <c r="D5797" s="3">
        <v>4.0</v>
      </c>
    </row>
    <row r="5798" ht="15.75" customHeight="1">
      <c r="A5798" s="1">
        <v>6186.0</v>
      </c>
      <c r="B5798" s="3" t="s">
        <v>5579</v>
      </c>
      <c r="C5798" s="3" t="str">
        <f>IFERROR(__xludf.DUMMYFUNCTION("GOOGLETRANSLATE(B5798,""id"",""en"")"),"['Thank you', 'MyTelkomsel', 'Satisfied', 'Program', 'Service', 'Enhanced', '']")</f>
        <v>['Thank you', 'MyTelkomsel', 'Satisfied', 'Program', 'Service', 'Enhanced', '']</v>
      </c>
      <c r="D5798" s="3">
        <v>5.0</v>
      </c>
    </row>
    <row r="5799" ht="15.75" customHeight="1">
      <c r="A5799" s="1">
        <v>6187.0</v>
      </c>
      <c r="B5799" s="3" t="s">
        <v>5580</v>
      </c>
      <c r="C5799" s="3" t="str">
        <f>IFERROR(__xludf.DUMMYFUNCTION("GOOGLETRANSLATE(B5799,""id"",""en"")"),"['improve', 'experience', 'challenge', 'in', 'innovate', 'era', 'digital', 'help']")</f>
        <v>['improve', 'experience', 'challenge', 'in', 'innovate', 'era', 'digital', 'help']</v>
      </c>
      <c r="D5799" s="3">
        <v>4.0</v>
      </c>
    </row>
    <row r="5800" ht="15.75" customHeight="1">
      <c r="A5800" s="1">
        <v>6188.0</v>
      </c>
      <c r="B5800" s="3" t="s">
        <v>2321</v>
      </c>
      <c r="C5800" s="3" t="str">
        <f>IFERROR(__xludf.DUMMYFUNCTION("GOOGLETRANSLATE(B5800,""id"",""en"")"),"['Good', 'service']")</f>
        <v>['Good', 'service']</v>
      </c>
      <c r="D5800" s="3">
        <v>5.0</v>
      </c>
    </row>
    <row r="5801" ht="15.75" customHeight="1">
      <c r="A5801" s="1">
        <v>6190.0</v>
      </c>
      <c r="B5801" s="3" t="s">
        <v>5581</v>
      </c>
      <c r="C5801" s="3" t="str">
        <f>IFERROR(__xludf.DUMMYFUNCTION("GOOGLETRANSLATE(B5801,""id"",""en"")"),"['Please', 'price', 'package', 'raised', 'price', 'shy', 'shyin', 'country', 'next door']")</f>
        <v>['Please', 'price', 'package', 'raised', 'price', 'shy', 'shyin', 'country', 'next door']</v>
      </c>
      <c r="D5801" s="3">
        <v>1.0</v>
      </c>
    </row>
    <row r="5802" ht="15.75" customHeight="1">
      <c r="A5802" s="1">
        <v>6191.0</v>
      </c>
      <c r="B5802" s="3" t="s">
        <v>5582</v>
      </c>
      <c r="C5802" s="3" t="str">
        <f>IFERROR(__xludf.DUMMYFUNCTION("GOOGLETRANSLATE(B5802,""id"",""en"")"),"['comment', 'read', 'shy', 'already', 'obedience', 'nipples', 'Telkomsel', 'weve', 'artisan', 'nipu', ""]")</f>
        <v>['comment', 'read', 'shy', 'already', 'obedience', 'nipples', 'Telkomsel', 'weve', 'artisan', 'nipu', "]</v>
      </c>
      <c r="D5802" s="3">
        <v>1.0</v>
      </c>
    </row>
    <row r="5803" ht="15.75" customHeight="1">
      <c r="A5803" s="1">
        <v>6192.0</v>
      </c>
      <c r="B5803" s="3" t="s">
        <v>5583</v>
      </c>
      <c r="C5803" s="3" t="str">
        <f>IFERROR(__xludf.DUMMYFUNCTION("GOOGLETRANSLATE(B5803,""id"",""en"")"),"['Please', 'Increase', 'The Network', 'Leet']")</f>
        <v>['Please', 'Increase', 'The Network', 'Leet']</v>
      </c>
      <c r="D5803" s="3">
        <v>4.0</v>
      </c>
    </row>
    <row r="5804" ht="15.75" customHeight="1">
      <c r="A5804" s="1">
        <v>6193.0</v>
      </c>
      <c r="B5804" s="3" t="s">
        <v>5584</v>
      </c>
      <c r="C5804" s="3" t="str">
        <f>IFERROR(__xludf.DUMMYFUNCTION("GOOGLETRANSLATE(B5804,""id"",""en"")"),"['quota', 'byk', 'network', 'ugly', 'already', 'expensive', 'network', 'ugly', 'please', 'fix', 'expensive', 'move', ' Next to ',' nnti ']")</f>
        <v>['quota', 'byk', 'network', 'ugly', 'already', 'expensive', 'network', 'ugly', 'please', 'fix', 'expensive', 'move', ' Next to ',' nnti ']</v>
      </c>
      <c r="D5804" s="3">
        <v>1.0</v>
      </c>
    </row>
    <row r="5805" ht="15.75" customHeight="1">
      <c r="A5805" s="1">
        <v>6194.0</v>
      </c>
      <c r="B5805" s="3" t="s">
        <v>5585</v>
      </c>
      <c r="C5805" s="3" t="str">
        <f>IFERROR(__xludf.DUMMYFUNCTION("GOOGLETRANSLATE(B5805,""id"",""en"")"),"['Sya', 'Satisfied', 'Service', 'MyTelkomsel']")</f>
        <v>['Sya', 'Satisfied', 'Service', 'MyTelkomsel']</v>
      </c>
      <c r="D5805" s="3">
        <v>5.0</v>
      </c>
    </row>
    <row r="5806" ht="15.75" customHeight="1">
      <c r="A5806" s="1">
        <v>6195.0</v>
      </c>
      <c r="B5806" s="3" t="s">
        <v>685</v>
      </c>
      <c r="C5806" s="3" t="str">
        <f>IFERROR(__xludf.DUMMYFUNCTION("GOOGLETRANSLATE(B5806,""id"",""en"")"),"['Help', 'thank', 'love']")</f>
        <v>['Help', 'thank', 'love']</v>
      </c>
      <c r="D5806" s="3">
        <v>5.0</v>
      </c>
    </row>
    <row r="5807" ht="15.75" customHeight="1">
      <c r="A5807" s="1">
        <v>6196.0</v>
      </c>
      <c r="B5807" s="3" t="s">
        <v>5586</v>
      </c>
      <c r="C5807" s="3" t="str">
        <f>IFERROR(__xludf.DUMMYFUNCTION("GOOGLETRANSLATE(B5807,""id"",""en"")"),"['here', 'signal', 'bad', 'quota', 'kepake', 'karrna', 'signal', 'gabisa', 'invite', 'compromise', 'already', 'provider', ' srkarang ',' please ',' fix ',' disappointing ']")</f>
        <v>['here', 'signal', 'bad', 'quota', 'kepake', 'karrna', 'signal', 'gabisa', 'invite', 'compromise', 'already', 'provider', ' srkarang ',' please ',' fix ',' disappointing ']</v>
      </c>
      <c r="D5807" s="3">
        <v>3.0</v>
      </c>
    </row>
    <row r="5808" ht="15.75" customHeight="1">
      <c r="A5808" s="1">
        <v>6197.0</v>
      </c>
      <c r="B5808" s="3" t="s">
        <v>5587</v>
      </c>
      <c r="C5808" s="3" t="str">
        <f>IFERROR(__xludf.DUMMYFUNCTION("GOOGLETRANSLATE(B5808,""id"",""en"")"),"['Install', 'device', 'reset', 'factory']")</f>
        <v>['Install', 'device', 'reset', 'factory']</v>
      </c>
      <c r="D5808" s="3">
        <v>5.0</v>
      </c>
    </row>
    <row r="5809" ht="15.75" customHeight="1">
      <c r="A5809" s="1">
        <v>6198.0</v>
      </c>
      <c r="B5809" s="3" t="s">
        <v>5588</v>
      </c>
      <c r="C5809" s="3" t="str">
        <f>IFERROR(__xludf.DUMMYFUNCTION("GOOGLETRANSLATE(B5809,""id"",""en"")"),"['Credit', 'inedible', 'please', 'love', 'Lock', 'Network', '']")</f>
        <v>['Credit', 'inedible', 'please', 'love', 'Lock', 'Network', '']</v>
      </c>
      <c r="D5809" s="3">
        <v>1.0</v>
      </c>
    </row>
    <row r="5810" ht="15.75" customHeight="1">
      <c r="A5810" s="1">
        <v>6199.0</v>
      </c>
      <c r="B5810" s="3" t="s">
        <v>5589</v>
      </c>
      <c r="C5810" s="3" t="str">
        <f>IFERROR(__xludf.DUMMYFUNCTION("GOOGLETRANSLATE(B5810,""id"",""en"")"),"['', 'Telkosel', 'Open']")</f>
        <v>['', 'Telkosel', 'Open']</v>
      </c>
      <c r="D5810" s="3">
        <v>5.0</v>
      </c>
    </row>
    <row r="5811" ht="15.75" customHeight="1">
      <c r="A5811" s="1">
        <v>6200.0</v>
      </c>
      <c r="B5811" s="3" t="s">
        <v>5590</v>
      </c>
      <c r="C5811" s="3" t="str">
        <f>IFERROR(__xludf.DUMMYFUNCTION("GOOGLETRANSLATE(B5811,""id"",""en"")"),"['Satisfied', 'service', 'Telkomsel']")</f>
        <v>['Satisfied', 'service', 'Telkomsel']</v>
      </c>
      <c r="D5811" s="3">
        <v>5.0</v>
      </c>
    </row>
    <row r="5812" ht="15.75" customHeight="1">
      <c r="A5812" s="1">
        <v>6202.0</v>
      </c>
      <c r="B5812" s="3" t="s">
        <v>5591</v>
      </c>
      <c r="C5812" s="3" t="str">
        <f>IFERROR(__xludf.DUMMYFUNCTION("GOOGLETRANSLATE(B5812,""id"",""en"")"),"['right', 'open', 'application', 'lyr', 'white', 'mulu', 'then', 'writing', 'application', 'respond']")</f>
        <v>['right', 'open', 'application', 'lyr', 'white', 'mulu', 'then', 'writing', 'application', 'respond']</v>
      </c>
      <c r="D5812" s="3">
        <v>2.0</v>
      </c>
    </row>
    <row r="5813" ht="15.75" customHeight="1">
      <c r="A5813" s="1">
        <v>6203.0</v>
      </c>
      <c r="B5813" s="3" t="s">
        <v>5592</v>
      </c>
      <c r="C5813" s="3" t="str">
        <f>IFERROR(__xludf.DUMMYFUNCTION("GOOGLETRANSLATE(B5813,""id"",""en"")"),"['easy', 'fast']")</f>
        <v>['easy', 'fast']</v>
      </c>
      <c r="D5813" s="3">
        <v>5.0</v>
      </c>
    </row>
    <row r="5814" ht="15.75" customHeight="1">
      <c r="A5814" s="1">
        <v>6204.0</v>
      </c>
      <c r="B5814" s="3" t="s">
        <v>5593</v>
      </c>
      <c r="C5814" s="3" t="str">
        <f>IFERROR(__xludf.DUMMYFUNCTION("GOOGLETRANSLATE(B5814,""id"",""en"")"),"['already', 'pairs',' Disconnect ',' Application ',' Qeatured ',' Kebukuk ',' UDH ',' Wait ',' Minutes', 'TTP', 'Screen', 'White', ' Blank ',' Taiklah ', ""]")</f>
        <v>['already', 'pairs',' Disconnect ',' Application ',' Qeatured ',' Kebukuk ',' UDH ',' Wait ',' Minutes', 'TTP', 'Screen', 'White', ' Blank ',' Taiklah ', "]</v>
      </c>
      <c r="D5814" s="3">
        <v>1.0</v>
      </c>
    </row>
    <row r="5815" ht="15.75" customHeight="1">
      <c r="A5815" s="1">
        <v>6205.0</v>
      </c>
      <c r="B5815" s="3" t="s">
        <v>5594</v>
      </c>
      <c r="C5815" s="3" t="str">
        <f>IFERROR(__xludf.DUMMYFUNCTION("GOOGLETRANSLATE(B5815,""id"",""en"")"),"['Service', 'fast']")</f>
        <v>['Service', 'fast']</v>
      </c>
      <c r="D5815" s="3">
        <v>5.0</v>
      </c>
    </row>
    <row r="5816" ht="15.75" customHeight="1">
      <c r="A5816" s="1">
        <v>6206.0</v>
      </c>
      <c r="B5816" s="3" t="s">
        <v>5595</v>
      </c>
      <c r="C5816" s="3" t="str">
        <f>IFERROR(__xludf.DUMMYFUNCTION("GOOGLETRANSLATE(B5816,""id"",""en"")"),"['', 'Telkomsel', 'open', 'min', 'delete', 'chache', 'restar', 'reset', 'tetep', 'open', 'beg', 'info', "" ]")</f>
        <v>['', 'Telkomsel', 'open', 'min', 'delete', 'chache', 'restar', 'reset', 'tetep', 'open', 'beg', 'info', " ]</v>
      </c>
      <c r="D5816" s="3">
        <v>5.0</v>
      </c>
    </row>
    <row r="5817" ht="15.75" customHeight="1">
      <c r="A5817" s="1">
        <v>6207.0</v>
      </c>
      <c r="B5817" s="3" t="s">
        <v>5596</v>
      </c>
      <c r="C5817" s="3" t="str">
        <f>IFERROR(__xludf.DUMMYFUNCTION("GOOGLETRANSLATE(B5817,""id"",""en"")"),"['difficult', 'login', 'cell', 'gadget', 'send', 'link', 'via', 'sms', 'password', 'otp', ""]")</f>
        <v>['difficult', 'login', 'cell', 'gadget', 'send', 'link', 'via', 'sms', 'password', 'otp', "]</v>
      </c>
      <c r="D5817" s="3">
        <v>1.0</v>
      </c>
    </row>
    <row r="5818" ht="15.75" customHeight="1">
      <c r="A5818" s="1">
        <v>6208.0</v>
      </c>
      <c r="B5818" s="3" t="s">
        <v>5597</v>
      </c>
      <c r="C5818" s="3" t="str">
        <f>IFERROR(__xludf.DUMMYFUNCTION("GOOGLETRANSLATE(B5818,""id"",""en"")"),"['Serasa', 'Simple', ""]")</f>
        <v>['Serasa', 'Simple', "]</v>
      </c>
      <c r="D5818" s="3">
        <v>5.0</v>
      </c>
    </row>
    <row r="5819" ht="15.75" customHeight="1">
      <c r="A5819" s="1">
        <v>6209.0</v>
      </c>
      <c r="B5819" s="3" t="s">
        <v>5598</v>
      </c>
      <c r="C5819" s="3" t="str">
        <f>IFERROR(__xludf.DUMMYFUNCTION("GOOGLETRANSLATE(B5819,""id"",""en"")"),"['disappointed', 'application', 'network', 'slow', 'pulse', 'pulled', 'call', 'number', 'known', 'call', 'number', 'country', ' Arabic ',' Saudi ',' Afghanistan ',' Really ',' Strange ',' Change ',' Card ', ""]")</f>
        <v>['disappointed', 'application', 'network', 'slow', 'pulse', 'pulled', 'call', 'number', 'known', 'call', 'number', 'country', ' Arabic ',' Saudi ',' Afghanistan ',' Really ',' Strange ',' Change ',' Card ', "]</v>
      </c>
      <c r="D5819" s="3">
        <v>1.0</v>
      </c>
    </row>
    <row r="5820" ht="15.75" customHeight="1">
      <c r="A5820" s="1">
        <v>6210.0</v>
      </c>
      <c r="B5820" s="3" t="s">
        <v>5599</v>
      </c>
      <c r="C5820" s="3" t="str">
        <f>IFERROR(__xludf.DUMMYFUNCTION("GOOGLETRANSLATE(B5820,""id"",""en"")"),"['Help', 'Good', 'Application']")</f>
        <v>['Help', 'Good', 'Application']</v>
      </c>
      <c r="D5820" s="3">
        <v>5.0</v>
      </c>
    </row>
    <row r="5821" ht="15.75" customHeight="1">
      <c r="A5821" s="1">
        <v>6211.0</v>
      </c>
      <c r="B5821" s="3" t="s">
        <v>5600</v>
      </c>
      <c r="C5821" s="3" t="str">
        <f>IFERROR(__xludf.DUMMYFUNCTION("GOOGLETRANSLATE(B5821,""id"",""en"")"),"['Telkomsel', 'mantaf', 'heart', 'loss']")</f>
        <v>['Telkomsel', 'mantaf', 'heart', 'loss']</v>
      </c>
      <c r="D5821" s="3">
        <v>5.0</v>
      </c>
    </row>
    <row r="5822" ht="15.75" customHeight="1">
      <c r="A5822" s="1">
        <v>6212.0</v>
      </c>
      <c r="B5822" s="3" t="s">
        <v>5601</v>
      </c>
      <c r="C5822" s="3" t="str">
        <f>IFERROR(__xludf.DUMMYFUNCTION("GOOGLETRANSLATE(B5822,""id"",""en"")"),"['waaaw', 'price', 'package', 'cheap', 'really', 'like', '']")</f>
        <v>['waaaw', 'price', 'package', 'cheap', 'really', 'like', '']</v>
      </c>
      <c r="D5822" s="3">
        <v>5.0</v>
      </c>
    </row>
    <row r="5823" ht="15.75" customHeight="1">
      <c r="A5823" s="1">
        <v>6213.0</v>
      </c>
      <c r="B5823" s="3" t="s">
        <v>5602</v>
      </c>
      <c r="C5823" s="3" t="str">
        <f>IFERROR(__xludf.DUMMYFUNCTION("GOOGLETRANSLATE(B5823,""id"",""en"")"),"['Difficulty', 'Search', 'Features', 'Paker', 'Call']")</f>
        <v>['Difficulty', 'Search', 'Features', 'Paker', 'Call']</v>
      </c>
      <c r="D5823" s="3">
        <v>5.0</v>
      </c>
    </row>
    <row r="5824" ht="15.75" customHeight="1">
      <c r="A5824" s="1">
        <v>6214.0</v>
      </c>
      <c r="B5824" s="3" t="s">
        <v>5603</v>
      </c>
      <c r="C5824" s="3" t="str">
        <f>IFERROR(__xludf.DUMMYFUNCTION("GOOGLETRANSLATE(B5824,""id"",""en"")"),"['interesting', 'usefull', 'buy', 'package', 'easy', 'really']")</f>
        <v>['interesting', 'usefull', 'buy', 'package', 'easy', 'really']</v>
      </c>
      <c r="D5824" s="3">
        <v>5.0</v>
      </c>
    </row>
    <row r="5825" ht="15.75" customHeight="1">
      <c r="A5825" s="1">
        <v>6215.0</v>
      </c>
      <c r="B5825" s="3" t="s">
        <v>5604</v>
      </c>
      <c r="C5825" s="3" t="str">
        <f>IFERROR(__xludf.DUMMYFUNCTION("GOOGLETRANSLATE(B5825,""id"",""en"")"),"['Help', 'making easier', 'transact', 'gift', 'bonus', 'lohh', 'trimakasi', 'telkomsel']")</f>
        <v>['Help', 'making easier', 'transact', 'gift', 'bonus', 'lohh', 'trimakasi', 'telkomsel']</v>
      </c>
      <c r="D5825" s="3">
        <v>5.0</v>
      </c>
    </row>
    <row r="5826" ht="15.75" customHeight="1">
      <c r="A5826" s="1">
        <v>6216.0</v>
      </c>
      <c r="B5826" s="3" t="s">
        <v>5605</v>
      </c>
      <c r="C5826" s="3" t="str">
        <f>IFERROR(__xludf.DUMMYFUNCTION("GOOGLETRANSLATE(B5826,""id"",""en"")"),"['APK', 'broken', 'opened']")</f>
        <v>['APK', 'broken', 'opened']</v>
      </c>
      <c r="D5826" s="3">
        <v>1.0</v>
      </c>
    </row>
    <row r="5827" ht="15.75" customHeight="1">
      <c r="A5827" s="1">
        <v>6217.0</v>
      </c>
      <c r="B5827" s="3" t="s">
        <v>5606</v>
      </c>
      <c r="C5827" s="3" t="str">
        <f>IFERROR(__xludf.DUMMYFUNCTION("GOOGLETRANSLATE(B5827,""id"",""en"")"),"['increase', 'price', 'package', 'internet', 'fast', 'annoyed', '']")</f>
        <v>['increase', 'price', 'package', 'internet', 'fast', 'annoyed', '']</v>
      </c>
      <c r="D5827" s="3">
        <v>5.0</v>
      </c>
    </row>
    <row r="5828" ht="15.75" customHeight="1">
      <c r="A5828" s="1">
        <v>6218.0</v>
      </c>
      <c r="B5828" s="3" t="s">
        <v>5607</v>
      </c>
      <c r="C5828" s="3" t="str">
        <f>IFERROR(__xludf.DUMMYFUNCTION("GOOGLETRANSLATE(B5828,""id"",""en"")"),"['Internet', 'smooth', 'price', 'okay', 'super', 'deal', '']")</f>
        <v>['Internet', 'smooth', 'price', 'okay', 'super', 'deal', '']</v>
      </c>
      <c r="D5828" s="3">
        <v>5.0</v>
      </c>
    </row>
    <row r="5829" ht="15.75" customHeight="1">
      <c r="A5829" s="1">
        <v>6219.0</v>
      </c>
      <c r="B5829" s="3" t="s">
        <v>5608</v>
      </c>
      <c r="C5829" s="3" t="str">
        <f>IFERROR(__xludf.DUMMYFUNCTION("GOOGLETRANSLATE(B5829,""id"",""en"")"),"['A Week', 'Enter', 'Application', 'Presented', 'Screen', 'White', 'Blank', 'Try', 'Uninstall', 'Install', 'Until', 'Tetep', ' screen ',' blank ',' white ']")</f>
        <v>['A Week', 'Enter', 'Application', 'Presented', 'Screen', 'White', 'Blank', 'Try', 'Uninstall', 'Install', 'Until', 'Tetep', ' screen ',' blank ',' white ']</v>
      </c>
      <c r="D5829" s="3">
        <v>2.0</v>
      </c>
    </row>
    <row r="5830" ht="15.75" customHeight="1">
      <c r="A5830" s="1">
        <v>6220.0</v>
      </c>
      <c r="B5830" s="3" t="s">
        <v>5609</v>
      </c>
      <c r="C5830" s="3" t="str">
        <f>IFERROR(__xludf.DUMMYFUNCTION("GOOGLETRANSLATE(B5830,""id"",""en"")"),"['', 'Love', 'Bintang', 'Karna', ""]")</f>
        <v>['', 'Love', 'Bintang', 'Karna', "]</v>
      </c>
      <c r="D5830" s="3">
        <v>5.0</v>
      </c>
    </row>
    <row r="5831" ht="15.75" customHeight="1">
      <c r="A5831" s="1">
        <v>6221.0</v>
      </c>
      <c r="B5831" s="3" t="s">
        <v>5610</v>
      </c>
      <c r="C5831" s="3" t="str">
        <f>IFERROR(__xludf.DUMMYFUNCTION("GOOGLETRANSLATE(B5831,""id"",""en"")"),"['update', 'can', 'dbuka', 'pulse', 'missing', 'then']")</f>
        <v>['update', 'can', 'dbuka', 'pulse', 'missing', 'then']</v>
      </c>
      <c r="D5831" s="3">
        <v>1.0</v>
      </c>
    </row>
    <row r="5832" ht="15.75" customHeight="1">
      <c r="A5832" s="1">
        <v>6222.0</v>
      </c>
      <c r="B5832" s="3" t="s">
        <v>5611</v>
      </c>
      <c r="C5832" s="3" t="str">
        <f>IFERROR(__xludf.DUMMYFUNCTION("GOOGLETRANSLATE(B5832,""id"",""en"")"),"['Purchase', 'Package', 'Telkomsel', 'Price', 'Tilt', 'Features', 'Daily', 'Check', 'Helpful']")</f>
        <v>['Purchase', 'Package', 'Telkomsel', 'Price', 'Tilt', 'Features', 'Daily', 'Check', 'Helpful']</v>
      </c>
      <c r="D5832" s="3">
        <v>4.0</v>
      </c>
    </row>
    <row r="5833" ht="15.75" customHeight="1">
      <c r="A5833" s="1">
        <v>6223.0</v>
      </c>
      <c r="B5833" s="3" t="s">
        <v>5612</v>
      </c>
      <c r="C5833" s="3" t="str">
        <f>IFERROR(__xludf.DUMMYFUNCTION("GOOGLETRANSLATE(B5833,""id"",""en"")"),"['Telkomsel', 'my mind', '']")</f>
        <v>['Telkomsel', 'my mind', '']</v>
      </c>
      <c r="D5833" s="3">
        <v>5.0</v>
      </c>
    </row>
    <row r="5834" ht="15.75" customHeight="1">
      <c r="A5834" s="1">
        <v>6224.0</v>
      </c>
      <c r="B5834" s="3" t="s">
        <v>5613</v>
      </c>
      <c r="C5834" s="3" t="str">
        <f>IFERROR(__xludf.DUMMYFUNCTION("GOOGLETRANSLATE(B5834,""id"",""en"")"),"['Updated', 'Application', 'opened', 'LGI', 'Open', 'just', 'screen', 'white', 'UDH', 'Try', 'Unistall', 'TPI']")</f>
        <v>['Updated', 'Application', 'opened', 'LGI', 'Open', 'just', 'screen', 'white', 'UDH', 'Try', 'Unistall', 'TPI']</v>
      </c>
      <c r="D5834" s="3">
        <v>1.0</v>
      </c>
    </row>
    <row r="5835" ht="15.75" customHeight="1">
      <c r="A5835" s="1">
        <v>6225.0</v>
      </c>
      <c r="B5835" s="3" t="s">
        <v>5614</v>
      </c>
      <c r="C5835" s="3" t="str">
        <f>IFERROR(__xludf.DUMMYFUNCTION("GOOGLETRANSLATE(B5835,""id"",""en"")"),"['Sukse']")</f>
        <v>['Sukse']</v>
      </c>
      <c r="D5835" s="3">
        <v>5.0</v>
      </c>
    </row>
    <row r="5836" ht="15.75" customHeight="1">
      <c r="A5836" s="1">
        <v>6226.0</v>
      </c>
      <c r="B5836" s="3" t="s">
        <v>5615</v>
      </c>
      <c r="C5836" s="3" t="str">
        <f>IFERROR(__xludf.DUMMYFUNCTION("GOOGLETRANSLATE(B5836,""id"",""en"")"),"['Please', 'fix', 'signal', 'good']")</f>
        <v>['Please', 'fix', 'signal', 'good']</v>
      </c>
      <c r="D5836" s="3">
        <v>1.0</v>
      </c>
    </row>
    <row r="5837" ht="15.75" customHeight="1">
      <c r="A5837" s="1">
        <v>6227.0</v>
      </c>
      <c r="B5837" s="3" t="s">
        <v>5616</v>
      </c>
      <c r="C5837" s="3" t="str">
        <f>IFERROR(__xludf.DUMMYFUNCTION("GOOGLETRANSLATE(B5837,""id"",""en"")"),"['Love', 'Star', 'Try', 'Quality', 'Offer', 'SuperDearnya', '']")</f>
        <v>['Love', 'Star', 'Try', 'Quality', 'Offer', 'SuperDearnya', '']</v>
      </c>
      <c r="D5837" s="3">
        <v>3.0</v>
      </c>
    </row>
    <row r="5838" ht="15.75" customHeight="1">
      <c r="A5838" s="1">
        <v>6228.0</v>
      </c>
      <c r="B5838" s="3" t="s">
        <v>5617</v>
      </c>
      <c r="C5838" s="3" t="str">
        <f>IFERROR(__xludf.DUMMYFUNCTION("GOOGLETRANSLATE(B5838,""id"",""en"")"),"['Please', 'Increase', 'Quality', 'Network']")</f>
        <v>['Please', 'Increase', 'Quality', 'Network']</v>
      </c>
      <c r="D5838" s="3">
        <v>4.0</v>
      </c>
    </row>
    <row r="5839" ht="15.75" customHeight="1">
      <c r="A5839" s="1">
        <v>6229.0</v>
      </c>
      <c r="B5839" s="3" t="s">
        <v>5618</v>
      </c>
      <c r="C5839" s="3" t="str">
        <f>IFERROR(__xludf.DUMMYFUNCTION("GOOGLETRANSLATE(B5839,""id"",""en"")"),"['buy', 'quota', 'maxtream', 'description', 'printed', 'apply', 'streaming', 'third', 'cut', 'quota', 'main', 'times',' Watch ',' wonder ',' quota ',' buy ',' haduhhh ']")</f>
        <v>['buy', 'quota', 'maxtream', 'description', 'printed', 'apply', 'streaming', 'third', 'cut', 'quota', 'main', 'times',' Watch ',' wonder ',' quota ',' buy ',' haduhhh ']</v>
      </c>
      <c r="D5839" s="3">
        <v>1.0</v>
      </c>
    </row>
    <row r="5840" ht="15.75" customHeight="1">
      <c r="A5840" s="1">
        <v>6230.0</v>
      </c>
      <c r="B5840" s="3" t="s">
        <v>5619</v>
      </c>
      <c r="C5840" s="3" t="str">
        <f>IFERROR(__xludf.DUMMYFUNCTION("GOOGLETRANSLATE(B5840,""id"",""en"")"),"['The application', 'no', 'open', 'jelekkkkkk', 'bangetttttttttttt', 'open', 'no', 'appears', 'picture', 'color', 'white', 'muluuuuu']")</f>
        <v>['The application', 'no', 'open', 'jelekkkkkk', 'bangetttttttttttt', 'open', 'no', 'appears', 'picture', 'color', 'white', 'muluuuuu']</v>
      </c>
      <c r="D5840" s="3">
        <v>1.0</v>
      </c>
    </row>
    <row r="5841" ht="15.75" customHeight="1">
      <c r="A5841" s="1">
        <v>6231.0</v>
      </c>
      <c r="B5841" s="3" t="s">
        <v>5620</v>
      </c>
      <c r="C5841" s="3" t="str">
        <f>IFERROR(__xludf.DUMMYFUNCTION("GOOGLETRANSLATE(B5841,""id"",""en"")"),"['Thank you', 'APK', 'Good', 'Easy', 'Register', 'Internet', 'Bonus', 'Discount', 'Aki', 'Love', 'Rating']")</f>
        <v>['Thank you', 'APK', 'Good', 'Easy', 'Register', 'Internet', 'Bonus', 'Discount', 'Aki', 'Love', 'Rating']</v>
      </c>
      <c r="D5841" s="3">
        <v>5.0</v>
      </c>
    </row>
    <row r="5842" ht="15.75" customHeight="1">
      <c r="A5842" s="1">
        <v>6232.0</v>
      </c>
      <c r="B5842" s="3" t="s">
        <v>5621</v>
      </c>
      <c r="C5842" s="3" t="str">
        <f>IFERROR(__xludf.DUMMYFUNCTION("GOOGLETRANSLATE(B5842,""id"",""en"")"),"['Useful', 'typing', 'code', 'number']")</f>
        <v>['Useful', 'typing', 'code', 'number']</v>
      </c>
      <c r="D5842" s="3">
        <v>5.0</v>
      </c>
    </row>
    <row r="5843" ht="15.75" customHeight="1">
      <c r="A5843" s="1">
        <v>6234.0</v>
      </c>
      <c r="B5843" s="3" t="s">
        <v>5622</v>
      </c>
      <c r="C5843" s="3" t="str">
        <f>IFERROR(__xludf.DUMMYFUNCTION("GOOGLETRANSLATE(B5843,""id"",""en"")"),"['', 'Telkomsel', 'The', 'Best', 'Customer', 'Tens', '']")</f>
        <v>['', 'Telkomsel', 'The', 'Best', 'Customer', 'Tens', '']</v>
      </c>
      <c r="D5843" s="3">
        <v>5.0</v>
      </c>
    </row>
    <row r="5844" ht="15.75" customHeight="1">
      <c r="A5844" s="1">
        <v>6235.0</v>
      </c>
      <c r="B5844" s="3" t="s">
        <v>5623</v>
      </c>
      <c r="C5844" s="3" t="str">
        <f>IFERROR(__xludf.DUMMYFUNCTION("GOOGLETRANSLATE(B5844,""id"",""en"")"),"['Good', 'gift']")</f>
        <v>['Good', 'gift']</v>
      </c>
      <c r="D5844" s="3">
        <v>5.0</v>
      </c>
    </row>
    <row r="5845" ht="15.75" customHeight="1">
      <c r="A5845" s="1">
        <v>6236.0</v>
      </c>
      <c r="B5845" s="3" t="s">
        <v>5624</v>
      </c>
      <c r="C5845" s="3" t="str">
        <f>IFERROR(__xludf.DUMMYFUNCTION("GOOGLETRANSLATE(B5845,""id"",""en"")"),"['kmren', 'smpe', 'Thursday', 'December', 'knpa', 'nukerin', 'kouta', 'free', 'smooth', '']")</f>
        <v>['kmren', 'smpe', 'Thursday', 'December', 'knpa', 'nukerin', 'kouta', 'free', 'smooth', '']</v>
      </c>
      <c r="D5845" s="3">
        <v>3.0</v>
      </c>
    </row>
    <row r="5846" ht="15.75" customHeight="1">
      <c r="A5846" s="1">
        <v>6237.0</v>
      </c>
      <c r="B5846" s="3" t="s">
        <v>5625</v>
      </c>
      <c r="C5846" s="3" t="str">
        <f>IFERROR(__xludf.DUMMYFUNCTION("GOOGLETRANSLATE(B5846,""id"",""en"")"),"['application', 'open', 'please', 'help', 'kak', ""]")</f>
        <v>['application', 'open', 'please', 'help', 'kak', "]</v>
      </c>
      <c r="D5846" s="3">
        <v>1.0</v>
      </c>
    </row>
    <row r="5847" ht="15.75" customHeight="1">
      <c r="A5847" s="1">
        <v>6238.0</v>
      </c>
      <c r="B5847" s="3" t="s">
        <v>5626</v>
      </c>
      <c r="C5847" s="3" t="str">
        <f>IFERROR(__xludf.DUMMYFUNCTION("GOOGLETRANSLATE(B5847,""id"",""en"")"),"['maximum', 'service']")</f>
        <v>['maximum', 'service']</v>
      </c>
      <c r="D5847" s="3">
        <v>3.0</v>
      </c>
    </row>
    <row r="5848" ht="15.75" customHeight="1">
      <c r="A5848" s="1">
        <v>6239.0</v>
      </c>
      <c r="B5848" s="3" t="s">
        <v>5627</v>
      </c>
      <c r="C5848" s="3" t="str">
        <f>IFERROR(__xludf.DUMMYFUNCTION("GOOGLETRANSLATE(B5848,""id"",""en"")"),"['Please help']")</f>
        <v>['Please help']</v>
      </c>
      <c r="D5848" s="3">
        <v>5.0</v>
      </c>
    </row>
    <row r="5849" ht="15.75" customHeight="1">
      <c r="A5849" s="1">
        <v>6240.0</v>
      </c>
      <c r="B5849" s="3" t="s">
        <v>5628</v>
      </c>
      <c r="C5849" s="3" t="str">
        <f>IFERROR(__xludf.DUMMYFUNCTION("GOOGLETRANSLATE(B5849,""id"",""en"")"),"['', 'Awesome', '']")</f>
        <v>['', 'Awesome', '']</v>
      </c>
      <c r="D5849" s="3">
        <v>5.0</v>
      </c>
    </row>
    <row r="5850" ht="15.75" customHeight="1">
      <c r="A5850" s="1">
        <v>6241.0</v>
      </c>
      <c r="B5850" s="3" t="s">
        <v>5629</v>
      </c>
      <c r="C5850" s="3" t="str">
        <f>IFERROR(__xludf.DUMMYFUNCTION("GOOGLETRANSLATE(B5850,""id"",""en"")"),"['Hopefully', 'Enhanced', '']")</f>
        <v>['Hopefully', 'Enhanced', '']</v>
      </c>
      <c r="D5850" s="3">
        <v>5.0</v>
      </c>
    </row>
    <row r="5851" ht="15.75" customHeight="1">
      <c r="A5851" s="1">
        <v>6242.0</v>
      </c>
      <c r="B5851" s="3" t="s">
        <v>5630</v>
      </c>
      <c r="C5851" s="3" t="str">
        <f>IFERROR(__xludf.DUMMYFUNCTION("GOOGLETRANSLATE(B5851,""id"",""en"")"),"['mntap', 'brquity', 'mainlyaaaaaa']")</f>
        <v>['mntap', 'brquity', 'mainlyaaaaaa']</v>
      </c>
      <c r="D5851" s="3">
        <v>5.0</v>
      </c>
    </row>
    <row r="5852" ht="15.75" customHeight="1">
      <c r="A5852" s="1">
        <v>6243.0</v>
      </c>
      <c r="B5852" s="3" t="s">
        <v>5631</v>
      </c>
      <c r="C5852" s="3" t="str">
        <f>IFERROR(__xludf.DUMMYFUNCTION("GOOGLETRANSLATE(B5852,""id"",""en"")"),"['Please', 'Maap', 'Sis', 'Sinyal', 'ugly', 'bnget', 'kyk', 'forest', 'gini']")</f>
        <v>['Please', 'Maap', 'Sis', 'Sinyal', 'ugly', 'bnget', 'kyk', 'forest', 'gini']</v>
      </c>
      <c r="D5852" s="3">
        <v>1.0</v>
      </c>
    </row>
    <row r="5853" ht="15.75" customHeight="1">
      <c r="A5853" s="1">
        <v>6244.0</v>
      </c>
      <c r="B5853" s="3" t="s">
        <v>5632</v>
      </c>
      <c r="C5853" s="3" t="str">
        <f>IFERROR(__xludf.DUMMYFUNCTION("GOOGLETRANSLATE(B5853,""id"",""en"")"),"['It's easy for', 'customers']")</f>
        <v>['It's easy for', 'customers']</v>
      </c>
      <c r="D5853" s="3">
        <v>5.0</v>
      </c>
    </row>
    <row r="5854" ht="15.75" customHeight="1">
      <c r="A5854" s="1">
        <v>6245.0</v>
      </c>
      <c r="B5854" s="3" t="s">
        <v>5633</v>
      </c>
      <c r="C5854" s="3" t="str">
        <f>IFERROR(__xludf.DUMMYFUNCTION("GOOGLETRANSLATE(B5854,""id"",""en"")"),"['Emnk', 'pig', 'Masi', 'bnyak', 'quota', 'game', 'TPI', 'leg']")</f>
        <v>['Emnk', 'pig', 'Masi', 'bnyak', 'quota', 'game', 'TPI', 'leg']</v>
      </c>
      <c r="D5854" s="3">
        <v>1.0</v>
      </c>
    </row>
    <row r="5855" ht="15.75" customHeight="1">
      <c r="A5855" s="1">
        <v>6246.0</v>
      </c>
      <c r="B5855" s="3" t="s">
        <v>5634</v>
      </c>
      <c r="C5855" s="3" t="str">
        <f>IFERROR(__xludf.DUMMYFUNCTION("GOOGLETRANSLATE(B5855,""id"",""en"")"),"['Application', 'Most', 'Liar', 'Points',' exchanged ',' Kouta ',' Internet ',' Many ',' Times', 'Try', 'Switch', 'Points',' how', '']")</f>
        <v>['Application', 'Most', 'Liar', 'Points',' exchanged ',' Kouta ',' Internet ',' Many ',' Times', 'Try', 'Switch', 'Points',' how', '']</v>
      </c>
      <c r="D5855" s="3">
        <v>1.0</v>
      </c>
    </row>
    <row r="5856" ht="15.75" customHeight="1">
      <c r="A5856" s="1">
        <v>6247.0</v>
      </c>
      <c r="B5856" s="3" t="s">
        <v>5635</v>
      </c>
      <c r="C5856" s="3" t="str">
        <f>IFERROR(__xludf.DUMMYFUNCTION("GOOGLETRANSLATE(B5856,""id"",""en"")"),"['hope', 'get', 'gift', 'Amin', 'Allah']")</f>
        <v>['hope', 'get', 'gift', 'Amin', 'Allah']</v>
      </c>
      <c r="D5856" s="3">
        <v>5.0</v>
      </c>
    </row>
    <row r="5857" ht="15.75" customHeight="1">
      <c r="A5857" s="1">
        <v>6248.0</v>
      </c>
      <c r="B5857" s="3" t="s">
        <v>5636</v>
      </c>
      <c r="C5857" s="3" t="str">
        <f>IFERROR(__xludf.DUMMYFUNCTION("GOOGLETRANSLATE(B5857,""id"",""en"")"),"['promo', 'package', 'lgi']")</f>
        <v>['promo', 'package', 'lgi']</v>
      </c>
      <c r="D5857" s="3">
        <v>3.0</v>
      </c>
    </row>
    <row r="5858" ht="15.75" customHeight="1">
      <c r="A5858" s="1">
        <v>6249.0</v>
      </c>
      <c r="B5858" s="3" t="s">
        <v>5637</v>
      </c>
      <c r="C5858" s="3" t="str">
        <f>IFERROR(__xludf.DUMMYFUNCTION("GOOGLETRANSLATE(B5858,""id"",""en"")"),"['expensive', 'doang', 'kulitas', 'signal', 'ugly', 'emoai', 'maem', 'game']")</f>
        <v>['expensive', 'doang', 'kulitas', 'signal', 'ugly', 'emoai', 'maem', 'game']</v>
      </c>
      <c r="D5858" s="3">
        <v>1.0</v>
      </c>
    </row>
    <row r="5859" ht="15.75" customHeight="1">
      <c r="A5859" s="1">
        <v>6250.0</v>
      </c>
      <c r="B5859" s="3" t="s">
        <v>68</v>
      </c>
      <c r="C5859" s="3" t="str">
        <f>IFERROR(__xludf.DUMMYFUNCTION("GOOGLETRANSLATE(B5859,""id"",""en"")"),"['steady']")</f>
        <v>['steady']</v>
      </c>
      <c r="D5859" s="3">
        <v>5.0</v>
      </c>
    </row>
    <row r="5860" ht="15.75" customHeight="1">
      <c r="A5860" s="1">
        <v>6251.0</v>
      </c>
      <c r="B5860" s="3" t="s">
        <v>5638</v>
      </c>
      <c r="C5860" s="3" t="str">
        <f>IFERROR(__xludf.DUMMYFUNCTION("GOOGLETRANSLATE(B5860,""id"",""en"")"),"['payment', 'purchase', 'package', 'data', 'internet', 'disorder', 'please', 'fix']")</f>
        <v>['payment', 'purchase', 'package', 'data', 'internet', 'disorder', 'please', 'fix']</v>
      </c>
      <c r="D5860" s="3">
        <v>3.0</v>
      </c>
    </row>
    <row r="5861" ht="15.75" customHeight="1">
      <c r="A5861" s="1">
        <v>6252.0</v>
      </c>
      <c r="B5861" s="3" t="s">
        <v>5639</v>
      </c>
      <c r="C5861" s="3" t="str">
        <f>IFERROR(__xludf.DUMMYFUNCTION("GOOGLETRANSLATE(B5861,""id"",""en"")"),"['repeat', 'times',' uninstall ',' install ',' appears', 'screen', 'white', 'delete', 'data', 'cache', 'uninstall', 'zonk', ' BOSQ ',' Ajalah ', ""]")</f>
        <v>['repeat', 'times',' uninstall ',' install ',' appears', 'screen', 'white', 'delete', 'data', 'cache', 'uninstall', 'zonk', ' BOSQ ',' Ajalah ', "]</v>
      </c>
      <c r="D5861" s="3">
        <v>1.0</v>
      </c>
    </row>
    <row r="5862" ht="15.75" customHeight="1">
      <c r="A5862" s="1">
        <v>6253.0</v>
      </c>
      <c r="B5862" s="3" t="s">
        <v>5640</v>
      </c>
      <c r="C5862" s="3" t="str">
        <f>IFERROR(__xludf.DUMMYFUNCTION("GOOGLETRANSLATE(B5862,""id"",""en"")"),"['Paketan', 'Credit', 'Cutting', 'Where', 'Credit', ""]")</f>
        <v>['Paketan', 'Credit', 'Cutting', 'Where', 'Credit', "]</v>
      </c>
      <c r="D5862" s="3">
        <v>1.0</v>
      </c>
    </row>
    <row r="5863" ht="15.75" customHeight="1">
      <c r="A5863" s="1">
        <v>6254.0</v>
      </c>
      <c r="B5863" s="3" t="s">
        <v>5641</v>
      </c>
      <c r="C5863" s="3" t="str">
        <f>IFERROR(__xludf.DUMMYFUNCTION("GOOGLETRANSLATE(B5863,""id"",""en"")"),"['min', 'network', 'telkom', 'slow', 'price', 'package', 'expensive', 'fix', 'network', 'min', ""]")</f>
        <v>['min', 'network', 'telkom', 'slow', 'price', 'package', 'expensive', 'fix', 'network', 'min', "]</v>
      </c>
      <c r="D5863" s="3">
        <v>1.0</v>
      </c>
    </row>
    <row r="5864" ht="15.75" customHeight="1">
      <c r="A5864" s="1">
        <v>6255.0</v>
      </c>
      <c r="B5864" s="3" t="s">
        <v>4308</v>
      </c>
      <c r="C5864" s="3" t="str">
        <f>IFERROR(__xludf.DUMMYFUNCTION("GOOGLETRANSLATE(B5864,""id"",""en"")"),"['like']")</f>
        <v>['like']</v>
      </c>
      <c r="D5864" s="3">
        <v>5.0</v>
      </c>
    </row>
    <row r="5865" ht="15.75" customHeight="1">
      <c r="A5865" s="1">
        <v>6256.0</v>
      </c>
      <c r="B5865" s="3" t="s">
        <v>5642</v>
      </c>
      <c r="C5865" s="3" t="str">
        <f>IFERROR(__xludf.DUMMYFUNCTION("GOOGLETRANSLATE(B5865,""id"",""en"")"),"['signal', 'already', 'ugly', 'change']")</f>
        <v>['signal', 'already', 'ugly', 'change']</v>
      </c>
      <c r="D5865" s="3">
        <v>1.0</v>
      </c>
    </row>
    <row r="5866" ht="15.75" customHeight="1">
      <c r="A5866" s="1">
        <v>6257.0</v>
      </c>
      <c r="B5866" s="3" t="s">
        <v>5643</v>
      </c>
      <c r="C5866" s="3" t="str">
        <f>IFERROR(__xludf.DUMMYFUNCTION("GOOGLETRANSLATE(B5866,""id"",""en"")"),"['Android', 'screen', 'white', 'wife', 'Android', 'ugly', 'Telkomsel']")</f>
        <v>['Android', 'screen', 'white', 'wife', 'Android', 'ugly', 'Telkomsel']</v>
      </c>
      <c r="D5866" s="3">
        <v>1.0</v>
      </c>
    </row>
    <row r="5867" ht="15.75" customHeight="1">
      <c r="A5867" s="1">
        <v>6258.0</v>
      </c>
      <c r="B5867" s="3" t="s">
        <v>5644</v>
      </c>
      <c r="C5867" s="3" t="str">
        <f>IFERROR(__xludf.DUMMYFUNCTION("GOOGLETRANSLATE(B5867,""id"",""en"")"),"['Please', 'signal', 'repay', 'signal', 'ngelag', ""]")</f>
        <v>['Please', 'signal', 'repay', 'signal', 'ngelag', "]</v>
      </c>
      <c r="D5867" s="3">
        <v>5.0</v>
      </c>
    </row>
    <row r="5868" ht="15.75" customHeight="1">
      <c r="A5868" s="1">
        <v>6259.0</v>
      </c>
      <c r="B5868" s="3" t="s">
        <v>5645</v>
      </c>
      <c r="C5868" s="3" t="str">
        <f>IFERROR(__xludf.DUMMYFUNCTION("GOOGLETRANSLATE(B5868,""id"",""en"")"),"['AFK', 'Useful']")</f>
        <v>['AFK', 'Useful']</v>
      </c>
      <c r="D5868" s="3">
        <v>5.0</v>
      </c>
    </row>
    <row r="5869" ht="15.75" customHeight="1">
      <c r="A5869" s="1">
        <v>6260.0</v>
      </c>
      <c r="B5869" s="3" t="s">
        <v>5646</v>
      </c>
      <c r="C5869" s="3" t="str">
        <f>IFERROR(__xludf.DUMMYFUNCTION("GOOGLETRANSLATE(B5869,""id"",""en"")"),"['virtue', 'mantapppp', 'ethphhh', 'okeyyy', 'helped', 'genting']")</f>
        <v>['virtue', 'mantapppp', 'ethphhh', 'okeyyy', 'helped', 'genting']</v>
      </c>
      <c r="D5869" s="3">
        <v>5.0</v>
      </c>
    </row>
    <row r="5870" ht="15.75" customHeight="1">
      <c r="A5870" s="1">
        <v>6261.0</v>
      </c>
      <c r="B5870" s="3" t="s">
        <v>5647</v>
      </c>
      <c r="C5870" s="3" t="str">
        <f>IFERROR(__xludf.DUMMYFUNCTION("GOOGLETRANSLATE(B5870,""id"",""en"")"),"['Knapah', 'Open', 'Application', 'Nyah', 'Please', 'Info', 'Nyah']")</f>
        <v>['Knapah', 'Open', 'Application', 'Nyah', 'Please', 'Info', 'Nyah']</v>
      </c>
      <c r="D5870" s="3">
        <v>5.0</v>
      </c>
    </row>
    <row r="5871" ht="15.75" customHeight="1">
      <c r="A5871" s="1">
        <v>6262.0</v>
      </c>
      <c r="B5871" s="3" t="s">
        <v>5648</v>
      </c>
      <c r="C5871" s="3" t="str">
        <f>IFERROR(__xludf.DUMMYFUNCTION("GOOGLETRANSLATE(B5871,""id"",""en"")"),"['Telcomsel', 'aspects', 'service']")</f>
        <v>['Telcomsel', 'aspects', 'service']</v>
      </c>
      <c r="D5871" s="3">
        <v>4.0</v>
      </c>
    </row>
    <row r="5872" ht="15.75" customHeight="1">
      <c r="A5872" s="1">
        <v>6263.0</v>
      </c>
      <c r="B5872" s="3" t="s">
        <v>5649</v>
      </c>
      <c r="C5872" s="3" t="str">
        <f>IFERROR(__xludf.DUMMYFUNCTION("GOOGLETRANSLATE(B5872,""id"",""en"")"),"['Contents', 'pulse', 'thousand', 'chick', 'thousand', 'on' use ',' package ',' emergency ',' take ',' as soon as ',' purpose ',' Telkomsel ',' ']")</f>
        <v>['Contents', 'pulse', 'thousand', 'chick', 'thousand', 'on' use ',' package ',' emergency ',' take ',' as soon as ',' purpose ',' Telkomsel ',' ']</v>
      </c>
      <c r="D5872" s="3">
        <v>1.0</v>
      </c>
    </row>
    <row r="5873" ht="15.75" customHeight="1">
      <c r="A5873" s="1">
        <v>6264.0</v>
      </c>
      <c r="B5873" s="3" t="s">
        <v>5650</v>
      </c>
      <c r="C5873" s="3" t="str">
        <f>IFERROR(__xludf.DUMMYFUNCTION("GOOGLETRANSLATE(B5873,""id"",""en"")"),"['min', 'unlimited', 'limit', 'name', 'unlimited', 'hamdehh', 'expensive', 'nge', 'lag', 'pulak', 'star', ""]")</f>
        <v>['min', 'unlimited', 'limit', 'name', 'unlimited', 'hamdehh', 'expensive', 'nge', 'lag', 'pulak', 'star', "]</v>
      </c>
      <c r="D5873" s="3">
        <v>1.0</v>
      </c>
    </row>
    <row r="5874" ht="15.75" customHeight="1">
      <c r="A5874" s="1">
        <v>6265.0</v>
      </c>
      <c r="B5874" s="3" t="s">
        <v>5651</v>
      </c>
      <c r="C5874" s="3" t="str">
        <f>IFERROR(__xludf.DUMMYFUNCTION("GOOGLETRANSLATE(B5874,""id"",""en"")"),"['steady', 'staple', 'exchange', 'coin', 'infaq', 'coin', 'setting', 'nominal', 'easy']")</f>
        <v>['steady', 'staple', 'exchange', 'coin', 'infaq', 'coin', 'setting', 'nominal', 'easy']</v>
      </c>
      <c r="D5874" s="3">
        <v>5.0</v>
      </c>
    </row>
    <row r="5875" ht="15.75" customHeight="1">
      <c r="A5875" s="1">
        <v>6266.0</v>
      </c>
      <c r="B5875" s="3" t="s">
        <v>5652</v>
      </c>
      <c r="C5875" s="3" t="str">
        <f>IFERROR(__xludf.DUMMYFUNCTION("GOOGLETRANSLATE(B5875,""id"",""en"")"),"['Woiii', 'Komenan', 'ilang', 'strange', 'contents',' reviews', 'complaints',' pairs', 'star', 'renturing', 'bought', 'renting', ' Telkomsel ',' Really ',' Network ',' Vangke ',' Watch Out ',' Sampe ',' ilang ',' Komenan ', ""]")</f>
        <v>['Woiii', 'Komenan', 'ilang', 'strange', 'contents',' reviews', 'complaints',' pairs', 'star', 'renturing', 'bought', 'renting', ' Telkomsel ',' Really ',' Network ',' Vangke ',' Watch Out ',' Sampe ',' ilang ',' Komenan ', "]</v>
      </c>
      <c r="D5875" s="3">
        <v>1.0</v>
      </c>
    </row>
    <row r="5876" ht="15.75" customHeight="1">
      <c r="A5876" s="1">
        <v>6268.0</v>
      </c>
      <c r="B5876" s="3" t="s">
        <v>5653</v>
      </c>
      <c r="C5876" s="3" t="str">
        <f>IFERROR(__xludf.DUMMYFUNCTION("GOOGLETRANSLATE(B5876,""id"",""en"")"),"['Please', 'Maap', 'sayah', 'Peguna', 'Telkomsel', 'Please', 'Fix', 'Network', 'sayah', 'already', 'buy', 'package', ' Expensive ',' Network ',' Nida ',' Setabil ',' Maau ',' Check ',' Package ',' Jga ',' Difficult ',' Enter ']")</f>
        <v>['Please', 'Maap', 'sayah', 'Peguna', 'Telkomsel', 'Please', 'Fix', 'Network', 'sayah', 'already', 'buy', 'package', ' Expensive ',' Network ',' Nida ',' Setabil ',' Maau ',' Check ',' Package ',' Jga ',' Difficult ',' Enter ']</v>
      </c>
      <c r="D5876" s="3">
        <v>1.0</v>
      </c>
    </row>
    <row r="5877" ht="15.75" customHeight="1">
      <c r="A5877" s="1">
        <v>6269.0</v>
      </c>
      <c r="B5877" s="3" t="s">
        <v>5654</v>
      </c>
      <c r="C5877" s="3" t="str">
        <f>IFERROR(__xludf.DUMMYFUNCTION("GOOGLETRANSLATE(B5877,""id"",""en"")"),"['Network', 'Telkomsel', '']")</f>
        <v>['Network', 'Telkomsel', '']</v>
      </c>
      <c r="D5877" s="3">
        <v>5.0</v>
      </c>
    </row>
    <row r="5878" ht="15.75" customHeight="1">
      <c r="A5878" s="1">
        <v>6270.0</v>
      </c>
      <c r="B5878" s="3" t="s">
        <v>5655</v>
      </c>
      <c r="C5878" s="3" t="str">
        <f>IFERROR(__xludf.DUMMYFUNCTION("GOOGLETRANSLATE(B5878,""id"",""en"")"),"['network', 'stable', 'ping', 'delicious',' good ',' game ',' expensive ',' little ',' gpp ',' pnting ',' kyk ',' kluarga ',' hinges', 'aziz', 'gaptek', 'already', 'expensive', 'ngellag', 'disorder', 'malem', 'hdehhh']")</f>
        <v>['network', 'stable', 'ping', 'delicious',' good ',' game ',' expensive ',' little ',' gpp ',' pnting ',' kyk ',' kluarga ',' hinges', 'aziz', 'gaptek', 'already', 'expensive', 'ngellag', 'disorder', 'malem', 'hdehhh']</v>
      </c>
      <c r="D5878" s="3">
        <v>5.0</v>
      </c>
    </row>
    <row r="5879" ht="15.75" customHeight="1">
      <c r="A5879" s="1">
        <v>6271.0</v>
      </c>
      <c r="B5879" s="3" t="s">
        <v>5656</v>
      </c>
      <c r="C5879" s="3" t="str">
        <f>IFERROR(__xludf.DUMMYFUNCTION("GOOGLETRANSLATE(B5879,""id"",""en"")"),"['Citizen', 'Aceh', 'Aceh', 'East', 'Special', 'Bagok', 'Kekewe', 'Service', 'Telkomsel', 'patient', 'service', 'bad', ' Visit ',' bad ',' moved ',' card ',' prepaid ',' disappointed ',' service ',' Telkomsel ', ""]")</f>
        <v>['Citizen', 'Aceh', 'Aceh', 'East', 'Special', 'Bagok', 'Kekewe', 'Service', 'Telkomsel', 'patient', 'service', 'bad', ' Visit ',' bad ',' moved ',' card ',' prepaid ',' disappointed ',' service ',' Telkomsel ', "]</v>
      </c>
      <c r="D5879" s="3">
        <v>1.0</v>
      </c>
    </row>
    <row r="5880" ht="15.75" customHeight="1">
      <c r="A5880" s="1">
        <v>6272.0</v>
      </c>
      <c r="B5880" s="3" t="s">
        <v>5657</v>
      </c>
      <c r="C5880" s="3" t="str">
        <f>IFERROR(__xludf.DUMMYFUNCTION("GOOGLETRANSLATE(B5880,""id"",""en"")"),"['What', 'SMS', 'appears', 'appears']")</f>
        <v>['What', 'SMS', 'appears', 'appears']</v>
      </c>
      <c r="D5880" s="3">
        <v>1.0</v>
      </c>
    </row>
    <row r="5881" ht="15.75" customHeight="1">
      <c r="A5881" s="1">
        <v>6273.0</v>
      </c>
      <c r="B5881" s="3" t="s">
        <v>5658</v>
      </c>
      <c r="C5881" s="3" t="str">
        <f>IFERROR(__xludf.DUMMYFUNCTION("GOOGLETRANSLATE(B5881,""id"",""en"")"),"['signal', 'sympathy', 'skrng', 'slow', 'please', 'fix', 'already', 'tasty', 'signal', 'nnti', 'bintan', ""]")</f>
        <v>['signal', 'sympathy', 'skrng', 'slow', 'please', 'fix', 'already', 'tasty', 'signal', 'nnti', 'bintan', "]</v>
      </c>
      <c r="D5881" s="3">
        <v>1.0</v>
      </c>
    </row>
    <row r="5882" ht="15.75" customHeight="1">
      <c r="A5882" s="1">
        <v>6274.0</v>
      </c>
      <c r="B5882" s="3" t="s">
        <v>5659</v>
      </c>
      <c r="C5882" s="3" t="str">
        <f>IFERROR(__xludf.DUMMYFUNCTION("GOOGLETRANSLATE(B5882,""id"",""en"")"),"['', 'Good', '']")</f>
        <v>['', 'Good', '']</v>
      </c>
      <c r="D5882" s="3">
        <v>5.0</v>
      </c>
    </row>
    <row r="5883" ht="15.75" customHeight="1">
      <c r="A5883" s="1">
        <v>6275.0</v>
      </c>
      <c r="B5883" s="3" t="s">
        <v>5660</v>
      </c>
      <c r="C5883" s="3" t="str">
        <f>IFERROR(__xludf.DUMMYFUNCTION("GOOGLETRANSLATE(B5883,""id"",""en"")"),"['Sudden', 'access', 'blank', 'alternating', 'uninstall', 'install', 'application', '']")</f>
        <v>['Sudden', 'access', 'blank', 'alternating', 'uninstall', 'install', 'application', '']</v>
      </c>
      <c r="D5883" s="3">
        <v>1.0</v>
      </c>
    </row>
    <row r="5884" ht="15.75" customHeight="1">
      <c r="A5884" s="1">
        <v>6276.0</v>
      </c>
      <c r="B5884" s="3" t="s">
        <v>5661</v>
      </c>
      <c r="C5884" s="3" t="str">
        <f>IFERROR(__xludf.DUMMYFUNCTION("GOOGLETRANSLATE(B5884,""id"",""en"")"),"['', 'Lamban', 'response', 'response']")</f>
        <v>['', 'Lamban', 'response', 'response']</v>
      </c>
      <c r="D5884" s="3">
        <v>1.0</v>
      </c>
    </row>
    <row r="5885" ht="15.75" customHeight="1">
      <c r="A5885" s="1">
        <v>6277.0</v>
      </c>
      <c r="B5885" s="3" t="s">
        <v>5662</v>
      </c>
      <c r="C5885" s="3" t="str">
        <f>IFERROR(__xludf.DUMMYFUNCTION("GOOGLETRANSLATE(B5885,""id"",""en"")"),"['updated', 'application', 'no', 'open', 'here', 'Telkomsel', 'good', 'ugly']")</f>
        <v>['updated', 'application', 'no', 'open', 'here', 'Telkomsel', 'good', 'ugly']</v>
      </c>
      <c r="D5885" s="3">
        <v>1.0</v>
      </c>
    </row>
    <row r="5886" ht="15.75" customHeight="1">
      <c r="A5886" s="1">
        <v>6278.0</v>
      </c>
      <c r="B5886" s="3" t="s">
        <v>5663</v>
      </c>
      <c r="C5886" s="3" t="str">
        <f>IFERROR(__xludf.DUMMYFUNCTION("GOOGLETRANSLATE(B5886,""id"",""en"")"),"['Ngeblank', 'updated', 'opened', 'HBs', 'updated', 'opened']")</f>
        <v>['Ngeblank', 'updated', 'opened', 'HBs', 'updated', 'opened']</v>
      </c>
      <c r="D5886" s="3">
        <v>1.0</v>
      </c>
    </row>
    <row r="5887" ht="15.75" customHeight="1">
      <c r="A5887" s="1">
        <v>6279.0</v>
      </c>
      <c r="B5887" s="3" t="s">
        <v>5664</v>
      </c>
      <c r="C5887" s="3" t="str">
        <f>IFERROR(__xludf.DUMMYFUNCTION("GOOGLETRANSLATE(B5887,""id"",""en"")"),"['Telkomsel', 'ngeleg', 'Mulu', 'play', 'game', 'kaga', 'smooth', 'really', 'leg']")</f>
        <v>['Telkomsel', 'ngeleg', 'Mulu', 'play', 'game', 'kaga', 'smooth', 'really', 'leg']</v>
      </c>
      <c r="D5887" s="3">
        <v>1.0</v>
      </c>
    </row>
    <row r="5888" ht="15.75" customHeight="1">
      <c r="A5888" s="1">
        <v>6280.0</v>
      </c>
      <c r="B5888" s="3" t="s">
        <v>5665</v>
      </c>
      <c r="C5888" s="3" t="str">
        <f>IFERROR(__xludf.DUMMYFUNCTION("GOOGLETRANSLATE(B5888,""id"",""en"")"),"['opened', 'already', 'unistal', 'download', 'picture', 'just', 'white', 'doang', 'network', 'full', 'open', 'app', ' fluent']")</f>
        <v>['opened', 'already', 'unistal', 'download', 'picture', 'just', 'white', 'doang', 'network', 'full', 'open', 'app', ' fluent']</v>
      </c>
      <c r="D5888" s="3">
        <v>1.0</v>
      </c>
    </row>
    <row r="5889" ht="15.75" customHeight="1">
      <c r="A5889" s="1">
        <v>6281.0</v>
      </c>
      <c r="B5889" s="3" t="s">
        <v>5666</v>
      </c>
      <c r="C5889" s="3" t="str">
        <f>IFERROR(__xludf.DUMMYFUNCTION("GOOGLETRANSLATE(B5889,""id"",""en"")"),"['Please', 'fix', 'signal', 'slow', 'slow', 'thank you']")</f>
        <v>['Please', 'fix', 'signal', 'slow', 'slow', 'thank you']</v>
      </c>
      <c r="D5889" s="3">
        <v>5.0</v>
      </c>
    </row>
    <row r="5890" ht="15.75" customHeight="1">
      <c r="A5890" s="1">
        <v>6282.0</v>
      </c>
      <c r="B5890" s="3" t="s">
        <v>5667</v>
      </c>
      <c r="C5890" s="3" t="str">
        <f>IFERROR(__xludf.DUMMYFUNCTION("GOOGLETRANSLATE(B5890,""id"",""en"")"),"['Waaww', 'Cool']")</f>
        <v>['Waaww', 'Cool']</v>
      </c>
      <c r="D5890" s="3">
        <v>5.0</v>
      </c>
    </row>
    <row r="5891" ht="15.75" customHeight="1">
      <c r="A5891" s="1">
        <v>6283.0</v>
      </c>
      <c r="B5891" s="3" t="s">
        <v>5668</v>
      </c>
      <c r="C5891" s="3" t="str">
        <f>IFERROR(__xludf.DUMMYFUNCTION("GOOGLETRANSLATE(B5891,""id"",""en"")"),"['It's easy', 'buy', 'quota', 'transfer', 'pulse']")</f>
        <v>['It's easy', 'buy', 'quota', 'transfer', 'pulse']</v>
      </c>
      <c r="D5891" s="3">
        <v>5.0</v>
      </c>
    </row>
    <row r="5892" ht="15.75" customHeight="1">
      <c r="A5892" s="1">
        <v>6284.0</v>
      </c>
      <c r="B5892" s="3" t="s">
        <v>478</v>
      </c>
      <c r="C5892" s="3" t="str">
        <f>IFERROR(__xludf.DUMMYFUNCTION("GOOGLETRANSLATE(B5892,""id"",""en"")"),"Of course")</f>
        <v>Of course</v>
      </c>
      <c r="D5892" s="3">
        <v>1.0</v>
      </c>
    </row>
    <row r="5893" ht="15.75" customHeight="1">
      <c r="A5893" s="1">
        <v>6285.0</v>
      </c>
      <c r="B5893" s="3" t="s">
        <v>5669</v>
      </c>
      <c r="C5893" s="3" t="str">
        <f>IFERROR(__xludf.DUMMYFUNCTION("GOOGLETRANSLATE(B5893,""id"",""en"")"),"['check', 'pulse', 'shopping', 'quota', 'branda', 'bleng', 'please', 'explanation', 'thank you']")</f>
        <v>['check', 'pulse', 'shopping', 'quota', 'branda', 'bleng', 'please', 'explanation', 'thank you']</v>
      </c>
      <c r="D5893" s="3">
        <v>2.0</v>
      </c>
    </row>
    <row r="5894" ht="15.75" customHeight="1">
      <c r="A5894" s="1">
        <v>6286.0</v>
      </c>
      <c r="B5894" s="3" t="s">
        <v>5670</v>
      </c>
      <c r="C5894" s="3" t="str">
        <f>IFERROR(__xludf.DUMMYFUNCTION("GOOGLETRANSLATE(B5894,""id"",""en"")"),"['What', 'Telkomsel', 'The network', 'Severe', 'really', 'use', 'SIM', 'card', 'Hello', 'Live', 'Kekeke', 'Unlimeted', ' already ',' unlimited ',' Shame ',' then ',' SIM ',' slow ',' Severe ',' really ',' quota ',' padhal ',' sim ',' kmren ',' gini ' , 's"&amp;"krng', 'slow', 'severe', 'fix', 'his web', 'paaarrraaaaaaaaaaah']")</f>
        <v>['What', 'Telkomsel', 'The network', 'Severe', 'really', 'use', 'SIM', 'card', 'Hello', 'Live', 'Kekeke', 'Unlimeted', ' already ',' unlimited ',' Shame ',' then ',' SIM ',' slow ',' Severe ',' really ',' quota ',' padhal ',' sim ',' kmren ',' gini ' , 'skrng', 'slow', 'severe', 'fix', 'his web', 'paaarrraaaaaaaaaaah']</v>
      </c>
      <c r="D5894" s="3">
        <v>1.0</v>
      </c>
    </row>
    <row r="5895" ht="15.75" customHeight="1">
      <c r="A5895" s="1">
        <v>6287.0</v>
      </c>
      <c r="B5895" s="3" t="s">
        <v>5671</v>
      </c>
      <c r="C5895" s="3" t="str">
        <f>IFERROR(__xludf.DUMMYFUNCTION("GOOGLETRANSLATE(B5895,""id"",""en"")"),"['Points', 'UDH', 'PAS', 'Exchange', 'System', 'Busy', 'Jdi', 'Star', 'Stu', 'Nga', 'Honest']")</f>
        <v>['Points', 'UDH', 'PAS', 'Exchange', 'System', 'Busy', 'Jdi', 'Star', 'Stu', 'Nga', 'Honest']</v>
      </c>
      <c r="D5895" s="3">
        <v>1.0</v>
      </c>
    </row>
    <row r="5896" ht="15.75" customHeight="1">
      <c r="A5896" s="1">
        <v>6288.0</v>
      </c>
      <c r="B5896" s="3" t="s">
        <v>5672</v>
      </c>
      <c r="C5896" s="3" t="str">
        <f>IFERROR(__xludf.DUMMYFUNCTION("GOOGLETRANSLATE(B5896,""id"",""en"")"),"['', 'Tlkomsel', 'mbntu', 'dray', 'khota', 'loan', '']")</f>
        <v>['', 'Tlkomsel', 'mbntu', 'dray', 'khota', 'loan', '']</v>
      </c>
      <c r="D5896" s="3">
        <v>5.0</v>
      </c>
    </row>
    <row r="5897" ht="15.75" customHeight="1">
      <c r="A5897" s="1">
        <v>6289.0</v>
      </c>
      <c r="B5897" s="3" t="s">
        <v>5673</v>
      </c>
      <c r="C5897" s="3" t="str">
        <f>IFERROR(__xludf.DUMMYFUNCTION("GOOGLETRANSLATE(B5897,""id"",""en"")"),"['expensive', 'doang', 'signal', 'ugly']")</f>
        <v>['expensive', 'doang', 'signal', 'ugly']</v>
      </c>
      <c r="D5897" s="3">
        <v>1.0</v>
      </c>
    </row>
    <row r="5898" ht="15.75" customHeight="1">
      <c r="A5898" s="1">
        <v>6290.0</v>
      </c>
      <c r="B5898" s="3" t="s">
        <v>5674</v>
      </c>
      <c r="C5898" s="3" t="str">
        <f>IFERROR(__xludf.DUMMYFUNCTION("GOOGLETRANSLATE(B5898,""id"",""en"")"),"['Try', 'Lottery']")</f>
        <v>['Try', 'Lottery']</v>
      </c>
      <c r="D5898" s="3">
        <v>4.0</v>
      </c>
    </row>
    <row r="5899" ht="15.75" customHeight="1">
      <c r="A5899" s="1">
        <v>6291.0</v>
      </c>
      <c r="B5899" s="3" t="s">
        <v>5675</v>
      </c>
      <c r="C5899" s="3" t="str">
        <f>IFERROR(__xludf.DUMMYFUNCTION("GOOGLETRANSLATE(B5899,""id"",""en"")"),"['', 'The network', 'steady', 'times', 'hold', 'promo', 'package', 'cheap']")</f>
        <v>['', 'The network', 'steady', 'times', 'hold', 'promo', 'package', 'cheap']</v>
      </c>
      <c r="D5899" s="3">
        <v>5.0</v>
      </c>
    </row>
    <row r="5900" ht="15.75" customHeight="1">
      <c r="A5900" s="1">
        <v>6292.0</v>
      </c>
      <c r="B5900" s="3" t="s">
        <v>5676</v>
      </c>
      <c r="C5900" s="3" t="str">
        <f>IFERROR(__xludf.DUMMYFUNCTION("GOOGLETRANSLATE(B5900,""id"",""en"")"),"['application', 'opened', 'version', 'maximizes', 'ndasmu', 'broken', ""]")</f>
        <v>['application', 'opened', 'version', 'maximizes', 'ndasmu', 'broken', "]</v>
      </c>
      <c r="D5900" s="3">
        <v>1.0</v>
      </c>
    </row>
    <row r="5901" ht="15.75" customHeight="1">
      <c r="A5901" s="1">
        <v>6293.0</v>
      </c>
      <c r="B5901" s="3" t="s">
        <v>5677</v>
      </c>
      <c r="C5901" s="3" t="str">
        <f>IFERROR(__xludf.DUMMYFUNCTION("GOOGLETRANSLATE(B5901,""id"",""en"")"),"['Login', 'fast', 'love', 'star', 'fulll', 'success', '']")</f>
        <v>['Login', 'fast', 'love', 'star', 'fulll', 'success', '']</v>
      </c>
      <c r="D5901" s="3">
        <v>5.0</v>
      </c>
    </row>
    <row r="5902" ht="15.75" customHeight="1">
      <c r="A5902" s="1">
        <v>6294.0</v>
      </c>
      <c r="B5902" s="3" t="s">
        <v>5678</v>
      </c>
      <c r="C5902" s="3" t="str">
        <f>IFERROR(__xludf.DUMMYFUNCTION("GOOGLETRANSLATE(B5902,""id"",""en"")"),"['network', 'fix', 'price', 'network', 'stable', 'jakarta', 'network', 'stable']")</f>
        <v>['network', 'fix', 'price', 'network', 'stable', 'jakarta', 'network', 'stable']</v>
      </c>
      <c r="D5902" s="3">
        <v>1.0</v>
      </c>
    </row>
    <row r="5903" ht="15.75" customHeight="1">
      <c r="A5903" s="1">
        <v>6295.0</v>
      </c>
      <c r="B5903" s="3" t="s">
        <v>5679</v>
      </c>
      <c r="C5903" s="3" t="str">
        <f>IFERROR(__xludf.DUMMYFUNCTION("GOOGLETRANSLATE(B5903,""id"",""en"")"),"['Good', 'Helpful']")</f>
        <v>['Good', 'Helpful']</v>
      </c>
      <c r="D5903" s="3">
        <v>5.0</v>
      </c>
    </row>
    <row r="5904" ht="15.75" customHeight="1">
      <c r="A5904" s="1">
        <v>6296.0</v>
      </c>
      <c r="B5904" s="3" t="s">
        <v>5680</v>
      </c>
      <c r="C5904" s="3" t="str">
        <f>IFERROR(__xludf.DUMMYFUNCTION("GOOGLETRANSLATE(B5904,""id"",""en"")"),"['buy', 'package', 'enter', 'slow', 'process', 'purchase', 'package', 'data', '']")</f>
        <v>['buy', 'package', 'enter', 'slow', 'process', 'purchase', 'package', 'data', '']</v>
      </c>
      <c r="D5904" s="3">
        <v>1.0</v>
      </c>
    </row>
    <row r="5905" ht="15.75" customHeight="1">
      <c r="A5905" s="1">
        <v>6297.0</v>
      </c>
      <c r="B5905" s="3" t="s">
        <v>5681</v>
      </c>
      <c r="C5905" s="3" t="str">
        <f>IFERROR(__xludf.DUMMYFUNCTION("GOOGLETRANSLATE(B5905,""id"",""en"")"),"['Naek', 'version', 'koq', 'nge', 'bug', 'open']")</f>
        <v>['Naek', 'version', 'koq', 'nge', 'bug', 'open']</v>
      </c>
      <c r="D5905" s="3">
        <v>1.0</v>
      </c>
    </row>
    <row r="5906" ht="15.75" customHeight="1">
      <c r="A5906" s="1">
        <v>6298.0</v>
      </c>
      <c r="B5906" s="3" t="s">
        <v>1100</v>
      </c>
      <c r="C5906" s="3" t="str">
        <f>IFERROR(__xludf.DUMMYFUNCTION("GOOGLETRANSLATE(B5906,""id"",""en"")"),"['Process', 'fast']")</f>
        <v>['Process', 'fast']</v>
      </c>
      <c r="D5906" s="3">
        <v>5.0</v>
      </c>
    </row>
    <row r="5907" ht="15.75" customHeight="1">
      <c r="A5907" s="1">
        <v>6299.0</v>
      </c>
      <c r="B5907" s="3" t="s">
        <v>5682</v>
      </c>
      <c r="C5907" s="3" t="str">
        <f>IFERROR(__xludf.DUMMYFUNCTION("GOOGLETRANSLATE(B5907,""id"",""en"")"),"['disappointed', 'heavy', 'Telkomsel', 'buy', 'quota', 'apk', 'process',' entry ',' clock ',' pulses', 'lose', 'intention', ' Sell ​​',' quota ']")</f>
        <v>['disappointed', 'heavy', 'Telkomsel', 'buy', 'quota', 'apk', 'process',' entry ',' clock ',' pulses', 'lose', 'intention', ' Sell ​​',' quota ']</v>
      </c>
      <c r="D5907" s="3">
        <v>1.0</v>
      </c>
    </row>
    <row r="5908" ht="15.75" customHeight="1">
      <c r="A5908" s="1">
        <v>6300.0</v>
      </c>
      <c r="B5908" s="3" t="s">
        <v>5683</v>
      </c>
      <c r="C5908" s="3" t="str">
        <f>IFERROR(__xludf.DUMMYFUNCTION("GOOGLETRANSLATE(B5908,""id"",""en"")"),"['Package', 'Free', 'Cheap', '']")</f>
        <v>['Package', 'Free', 'Cheap', '']</v>
      </c>
      <c r="D5908" s="3">
        <v>3.0</v>
      </c>
    </row>
    <row r="5909" ht="15.75" customHeight="1">
      <c r="A5909" s="1">
        <v>6301.0</v>
      </c>
      <c r="B5909" s="3" t="s">
        <v>5684</v>
      </c>
      <c r="C5909" s="3" t="str">
        <f>IFERROR(__xludf.DUMMYFUNCTION("GOOGLETRANSLATE(B5909,""id"",""en"")"),"['Good', 'gift', 'lottery', 'prize']")</f>
        <v>['Good', 'gift', 'lottery', 'prize']</v>
      </c>
      <c r="D5909" s="3">
        <v>5.0</v>
      </c>
    </row>
    <row r="5910" ht="15.75" customHeight="1">
      <c r="A5910" s="1">
        <v>6302.0</v>
      </c>
      <c r="B5910" s="3" t="s">
        <v>5685</v>
      </c>
      <c r="C5910" s="3" t="str">
        <f>IFERROR(__xludf.DUMMYFUNCTION("GOOGLETRANSLATE(B5910,""id"",""en"")"),"['Opened', 'The application', 'mggan', ""]")</f>
        <v>['Opened', 'The application', 'mggan', "]</v>
      </c>
      <c r="D5910" s="3">
        <v>5.0</v>
      </c>
    </row>
    <row r="5911" ht="15.75" customHeight="1">
      <c r="A5911" s="1">
        <v>6303.0</v>
      </c>
      <c r="B5911" s="3" t="s">
        <v>5686</v>
      </c>
      <c r="C5911" s="3" t="str">
        <f>IFERROR(__xludf.DUMMYFUNCTION("GOOGLETRANSLATE(B5911,""id"",""en"")"),"['Telkomsel', 'severe', 'bonus', 'sms', 'pulses', 'suck', 'how', '']")</f>
        <v>['Telkomsel', 'severe', 'bonus', 'sms', 'pulses', 'suck', 'how', '']</v>
      </c>
      <c r="D5911" s="3">
        <v>1.0</v>
      </c>
    </row>
    <row r="5912" ht="15.75" customHeight="1">
      <c r="A5912" s="1">
        <v>6304.0</v>
      </c>
      <c r="B5912" s="3" t="s">
        <v>5687</v>
      </c>
      <c r="C5912" s="3" t="str">
        <f>IFERROR(__xludf.DUMMYFUNCTION("GOOGLETRANSLATE(B5912,""id"",""en"")"),"['ugly', 'network', 'missing', 'disappointed']")</f>
        <v>['ugly', 'network', 'missing', 'disappointed']</v>
      </c>
      <c r="D5912" s="3">
        <v>1.0</v>
      </c>
    </row>
    <row r="5913" ht="15.75" customHeight="1">
      <c r="A5913" s="1">
        <v>6306.0</v>
      </c>
      <c r="B5913" s="3" t="s">
        <v>5688</v>
      </c>
      <c r="C5913" s="3" t="str">
        <f>IFERROR(__xludf.DUMMYFUNCTION("GOOGLETRANSLATE(B5913,""id"",""en"")"),"['idiot', 'pulse', 'counter', 'success',' masok ',' already ',' kek ',' gini ',' eat ',' tax ',' pulse ',' contents', ' masok ',' right ',' tanyak ',' veronica ',' pap ']")</f>
        <v>['idiot', 'pulse', 'counter', 'success',' masok ',' already ',' kek ',' gini ',' eat ',' tax ',' pulse ',' contents', ' masok ',' right ',' tanyak ',' veronica ',' pap ']</v>
      </c>
      <c r="D5913" s="3">
        <v>1.0</v>
      </c>
    </row>
    <row r="5914" ht="15.75" customHeight="1">
      <c r="A5914" s="1">
        <v>6307.0</v>
      </c>
      <c r="B5914" s="3" t="s">
        <v>5689</v>
      </c>
      <c r="C5914" s="3" t="str">
        <f>IFERROR(__xludf.DUMMYFUNCTION("GOOGLETRANSLATE(B5914,""id"",""en"")"),"['Severe', 'already', 'price', 'package', 'expensive', 'signal', 'slow', 'loss',' really ',' Telkomsel ',' already ',' nomer ',' his office ',' solution ',' beg ',' fix ']")</f>
        <v>['Severe', 'already', 'price', 'package', 'expensive', 'signal', 'slow', 'loss',' really ',' Telkomsel ',' already ',' nomer ',' his office ',' solution ',' beg ',' fix ']</v>
      </c>
      <c r="D5914" s="3">
        <v>1.0</v>
      </c>
    </row>
    <row r="5915" ht="15.75" customHeight="1">
      <c r="A5915" s="1">
        <v>6308.0</v>
      </c>
      <c r="B5915" s="3" t="s">
        <v>5690</v>
      </c>
      <c r="C5915" s="3" t="str">
        <f>IFERROR(__xludf.DUMMYFUNCTION("GOOGLETRANSLATE(B5915,""id"",""en"")"),"['Network', 'gotolol', 'in the world', 'price', 'doang', 'sultan', 'network', 'kayak', 'garbage', 'cuihhhh', 'nyesel', 'Telkomsel', ' network ',' get ',' rain ',' ilang ',' network ',' garbage ',' cuih ',' luck ',' love ',' star ',' cuihh ',' network ',' "&amp;"regret ' , 'buy', 'card', 'Luuu']")</f>
        <v>['Network', 'gotolol', 'in the world', 'price', 'doang', 'sultan', 'network', 'kayak', 'garbage', 'cuihhhh', 'nyesel', 'Telkomsel', ' network ',' get ',' rain ',' ilang ',' network ',' garbage ',' cuih ',' luck ',' love ',' star ',' cuihh ',' network ',' regret ' , 'buy', 'card', 'Luuu']</v>
      </c>
      <c r="D5915" s="3">
        <v>1.0</v>
      </c>
    </row>
    <row r="5916" ht="15.75" customHeight="1">
      <c r="A5916" s="1">
        <v>6309.0</v>
      </c>
      <c r="B5916" s="3" t="s">
        <v>5691</v>
      </c>
      <c r="C5916" s="3" t="str">
        <f>IFERROR(__xludf.DUMMYFUNCTION("GOOGLETRANSLATE(B5916,""id"",""en"")"),"['Service', 'Choice', 'Product', '']")</f>
        <v>['Service', 'Choice', 'Product', '']</v>
      </c>
      <c r="D5916" s="3">
        <v>5.0</v>
      </c>
    </row>
    <row r="5917" ht="15.75" customHeight="1">
      <c r="A5917" s="1">
        <v>6311.0</v>
      </c>
      <c r="B5917" s="3" t="s">
        <v>5692</v>
      </c>
      <c r="C5917" s="3" t="str">
        <f>IFERROR(__xludf.DUMMYFUNCTION("GOOGLETRANSLATE(B5917,""id"",""en"")"),"['min', 'Telkomsel', 'right', 'open', 'ngeblank', 'white', 'enter', 'enter', 'already', 'uninstall', 'many', 'times',' signal ',' good ',' Taoi ',' ngeblank ',' white ',' that's', 'enter', 'enter', 'application', 'what', '']")</f>
        <v>['min', 'Telkomsel', 'right', 'open', 'ngeblank', 'white', 'enter', 'enter', 'already', 'uninstall', 'many', 'times',' signal ',' good ',' Taoi ',' ngeblank ',' white ',' that's', 'enter', 'enter', 'application', 'what', '']</v>
      </c>
      <c r="D5917" s="3">
        <v>1.0</v>
      </c>
    </row>
    <row r="5918" ht="15.75" customHeight="1">
      <c r="A5918" s="1">
        <v>6312.0</v>
      </c>
      <c r="B5918" s="3" t="s">
        <v>5693</v>
      </c>
      <c r="C5918" s="3" t="str">
        <f>IFERROR(__xludf.DUMMYFUNCTION("GOOGLETRANSLATE(B5918,""id"",""en"")"),"['Officer', 'Operator', 'Betuger', 'Application', 'Veronica', 'Slow', 'Response', 'Very', 'Skirt', 'Uda', 'Profession', 'Professional']")</f>
        <v>['Officer', 'Operator', 'Betuger', 'Application', 'Veronica', 'Slow', 'Response', 'Very', 'Skirt', 'Uda', 'Profession', 'Professional']</v>
      </c>
      <c r="D5918" s="3">
        <v>1.0</v>
      </c>
    </row>
    <row r="5919" ht="15.75" customHeight="1">
      <c r="A5919" s="1">
        <v>6313.0</v>
      </c>
      <c r="B5919" s="3" t="s">
        <v>5694</v>
      </c>
      <c r="C5919" s="3" t="str">
        <f>IFERROR(__xludf.DUMMYFUNCTION("GOOGLETRANSLATE(B5919,""id"",""en"")"),"['', 'Telkomsel', 'APK', 'Newest', 'terupdet', 'hard', 'really']")</f>
        <v>['', 'Telkomsel', 'APK', 'Newest', 'terupdet', 'hard', 'really']</v>
      </c>
      <c r="D5919" s="3">
        <v>4.0</v>
      </c>
    </row>
    <row r="5920" ht="15.75" customHeight="1">
      <c r="A5920" s="1">
        <v>6314.0</v>
      </c>
      <c r="B5920" s="3" t="s">
        <v>5695</v>
      </c>
      <c r="C5920" s="3" t="str">
        <f>IFERROR(__xludf.DUMMYFUNCTION("GOOGLETRANSLATE(B5920,""id"",""en"")"),"['Disappointed', 'network', 'like', 'down']")</f>
        <v>['Disappointed', 'network', 'like', 'down']</v>
      </c>
      <c r="D5920" s="3">
        <v>1.0</v>
      </c>
    </row>
    <row r="5921" ht="15.75" customHeight="1">
      <c r="A5921" s="1">
        <v>6315.0</v>
      </c>
      <c r="B5921" s="3" t="s">
        <v>5696</v>
      </c>
      <c r="C5921" s="3" t="str">
        <f>IFERROR(__xludf.DUMMYFUNCTION("GOOGLETRANSLATE(B5921,""id"",""en"")"),"['NDK', 'Tempet', 'Minjem', 'pulse', 'quota']")</f>
        <v>['NDK', 'Tempet', 'Minjem', 'pulse', 'quota']</v>
      </c>
      <c r="D5921" s="3">
        <v>3.0</v>
      </c>
    </row>
    <row r="5922" ht="15.75" customHeight="1">
      <c r="A5922" s="1">
        <v>6316.0</v>
      </c>
      <c r="B5922" s="3" t="s">
        <v>5697</v>
      </c>
      <c r="C5922" s="3" t="str">
        <f>IFERROR(__xludf.DUMMYFUNCTION("GOOGLETRANSLATE(B5922,""id"",""en"")"),"['easy', 'buy', 'fisini']")</f>
        <v>['easy', 'buy', 'fisini']</v>
      </c>
      <c r="D5922" s="3">
        <v>5.0</v>
      </c>
    </row>
    <row r="5923" ht="15.75" customHeight="1">
      <c r="A5923" s="1">
        <v>6317.0</v>
      </c>
      <c r="B5923" s="3" t="s">
        <v>5698</v>
      </c>
      <c r="C5923" s="3" t="str">
        <f>IFERROR(__xludf.DUMMYFUNCTION("GOOGLETRANSLATE(B5923,""id"",""en"")"),"['price', 'package', 'expensive', 'quality', 'network', 'bad', 'severe', 'mending', 'moved', 'card']")</f>
        <v>['price', 'package', 'expensive', 'quality', 'network', 'bad', 'severe', 'mending', 'moved', 'card']</v>
      </c>
      <c r="D5923" s="3">
        <v>1.0</v>
      </c>
    </row>
    <row r="5924" ht="15.75" customHeight="1">
      <c r="A5924" s="1">
        <v>6318.0</v>
      </c>
      <c r="B5924" s="3" t="s">
        <v>5699</v>
      </c>
      <c r="C5924" s="3" t="str">
        <f>IFERROR(__xludf.DUMMYFUNCTION("GOOGLETRANSLATE(B5924,""id"",""en"")"),"['Ngebleng', 'White', 'right', 'Open']")</f>
        <v>['Ngebleng', 'White', 'right', 'Open']</v>
      </c>
      <c r="D5924" s="3">
        <v>1.0</v>
      </c>
    </row>
    <row r="5925" ht="15.75" customHeight="1">
      <c r="A5925" s="1">
        <v>6319.0</v>
      </c>
      <c r="B5925" s="3" t="s">
        <v>5700</v>
      </c>
      <c r="C5925" s="3" t="str">
        <f>IFERROR(__xludf.DUMMYFUNCTION("GOOGLETRANSLATE(B5925,""id"",""en"")"),"['Apliaty', 'BINS']")</f>
        <v>['Apliaty', 'BINS']</v>
      </c>
      <c r="D5925" s="3">
        <v>1.0</v>
      </c>
    </row>
    <row r="5926" ht="15.75" customHeight="1">
      <c r="A5926" s="1">
        <v>6320.0</v>
      </c>
      <c r="B5926" s="3" t="s">
        <v>5701</v>
      </c>
      <c r="C5926" s="3" t="str">
        <f>IFERROR(__xludf.DUMMYFUNCTION("GOOGLETRANSLATE(B5926,""id"",""en"")"),"['expensive', 'okay', ""]")</f>
        <v>['expensive', 'okay', "]</v>
      </c>
      <c r="D5926" s="3">
        <v>5.0</v>
      </c>
    </row>
    <row r="5927" ht="15.75" customHeight="1">
      <c r="A5927" s="1">
        <v>6321.0</v>
      </c>
      <c r="B5927" s="3" t="s">
        <v>5702</v>
      </c>
      <c r="C5927" s="3" t="str">
        <f>IFERROR(__xludf.DUMMYFUNCTION("GOOGLETRANSLATE(B5927,""id"",""en"")"),"['Suitable', 'Telkomsel']")</f>
        <v>['Suitable', 'Telkomsel']</v>
      </c>
      <c r="D5927" s="3">
        <v>5.0</v>
      </c>
    </row>
    <row r="5928" ht="15.75" customHeight="1">
      <c r="A5928" s="1">
        <v>6322.0</v>
      </c>
      <c r="B5928" s="3" t="s">
        <v>5703</v>
      </c>
      <c r="C5928" s="3" t="str">
        <f>IFERROR(__xludf.DUMMYFUNCTION("GOOGLETRANSLATE(B5928,""id"",""en"")"),"['regret', 'update', 'blank', 'white', 'already', 'delete', 'cache', 'data', 'already', 'reinstall', 'reset', 'tetep', ' open']")</f>
        <v>['regret', 'update', 'blank', 'white', 'already', 'delete', 'cache', 'data', 'already', 'reinstall', 'reset', 'tetep', ' open']</v>
      </c>
      <c r="D5928" s="3">
        <v>1.0</v>
      </c>
    </row>
    <row r="5929" ht="15.75" customHeight="1">
      <c r="A5929" s="1">
        <v>6323.0</v>
      </c>
      <c r="B5929" s="3" t="s">
        <v>5704</v>
      </c>
      <c r="C5929" s="3" t="str">
        <f>IFERROR(__xludf.DUMMYFUNCTION("GOOGLETRANSLATE(B5929,""id"",""en"")"),"['Happy', 'really', 'Telkoksel', 'good', 'network', 'just', 'key', 'pulse', 'bring', 'data', 'soluler', 'next', ' update ',' love ',' feature ',' key ',' pulse ']")</f>
        <v>['Happy', 'really', 'Telkoksel', 'good', 'network', 'just', 'key', 'pulse', 'bring', 'data', 'soluler', 'next', ' update ',' love ',' feature ',' key ',' pulse ']</v>
      </c>
      <c r="D5929" s="3">
        <v>5.0</v>
      </c>
    </row>
    <row r="5930" ht="15.75" customHeight="1">
      <c r="A5930" s="1">
        <v>6324.0</v>
      </c>
      <c r="B5930" s="3" t="s">
        <v>5705</v>
      </c>
      <c r="C5930" s="3" t="str">
        <f>IFERROR(__xludf.DUMMYFUNCTION("GOOGLETRANSLATE(B5930,""id"",""en"")"),"['strange', 'yaa', 'oppo', 'ram', 'dowload', 'application', 'pdhal', 'yesterday', 'uda', 'right', 'upgrade', 'motion', ' application']")</f>
        <v>['strange', 'yaa', 'oppo', 'ram', 'dowload', 'application', 'pdhal', 'yesterday', 'uda', 'right', 'upgrade', 'motion', ' application']</v>
      </c>
      <c r="D5930" s="3">
        <v>1.0</v>
      </c>
    </row>
    <row r="5931" ht="15.75" customHeight="1">
      <c r="A5931" s="1">
        <v>6325.0</v>
      </c>
      <c r="B5931" s="3" t="s">
        <v>5706</v>
      </c>
      <c r="C5931" s="3" t="str">
        <f>IFERROR(__xludf.DUMMYFUNCTION("GOOGLETRANSLATE(B5931,""id"",""en"")"),"['Sekarav', 'Best']")</f>
        <v>['Sekarav', 'Best']</v>
      </c>
      <c r="D5931" s="3">
        <v>5.0</v>
      </c>
    </row>
    <row r="5932" ht="15.75" customHeight="1">
      <c r="A5932" s="1">
        <v>6326.0</v>
      </c>
      <c r="B5932" s="3" t="s">
        <v>5707</v>
      </c>
      <c r="C5932" s="3" t="str">
        <f>IFERROR(__xludf.DUMMYFUNCTION("GOOGLETRANSLATE(B5932,""id"",""en"")"),"['Price', 'Package', 'already', 'The network', 'stable', 'Severe', 'Bangeett', ""]")</f>
        <v>['Price', 'Package', 'already', 'The network', 'stable', 'Severe', 'Bangeett', "]</v>
      </c>
      <c r="D5932" s="3">
        <v>1.0</v>
      </c>
    </row>
    <row r="5933" ht="15.75" customHeight="1">
      <c r="A5933" s="1">
        <v>6327.0</v>
      </c>
      <c r="B5933" s="3" t="s">
        <v>5708</v>
      </c>
      <c r="C5933" s="3" t="str">
        <f>IFERROR(__xludf.DUMMYFUNCTION("GOOGLETRANSLATE(B5933,""id"",""en"")"),"['Ouch', 'ber', 'times', 'times', 'download', 'open', 'the application']")</f>
        <v>['Ouch', 'ber', 'times', 'times', 'download', 'open', 'the application']</v>
      </c>
      <c r="D5933" s="3">
        <v>5.0</v>
      </c>
    </row>
    <row r="5934" ht="15.75" customHeight="1">
      <c r="A5934" s="1">
        <v>6328.0</v>
      </c>
      <c r="B5934" s="3" t="s">
        <v>5709</v>
      </c>
      <c r="C5934" s="3" t="str">
        <f>IFERROR(__xludf.DUMMYFUNCTION("GOOGLETRANSLATE(B5934,""id"",""en"")"),"['Thanks', 'Hopefully', 'Dapet', 'Diamond']")</f>
        <v>['Thanks', 'Hopefully', 'Dapet', 'Diamond']</v>
      </c>
      <c r="D5934" s="3">
        <v>5.0</v>
      </c>
    </row>
    <row r="5935" ht="15.75" customHeight="1">
      <c r="A5935" s="1">
        <v>6330.0</v>
      </c>
      <c r="B5935" s="3" t="s">
        <v>5710</v>
      </c>
      <c r="C5935" s="3" t="str">
        <f>IFERROR(__xludf.DUMMYFUNCTION("GOOGLETRANSLATE(B5935,""id"",""en"")"),"['Network', 'Severe', 'Rich', 'Current', 'Jaya']")</f>
        <v>['Network', 'Severe', 'Rich', 'Current', 'Jaya']</v>
      </c>
      <c r="D5935" s="3">
        <v>3.0</v>
      </c>
    </row>
    <row r="5936" ht="15.75" customHeight="1">
      <c r="A5936" s="1">
        <v>6331.0</v>
      </c>
      <c r="B5936" s="3" t="s">
        <v>5711</v>
      </c>
      <c r="C5936" s="3" t="str">
        <f>IFERROR(__xludf.DUMMYFUNCTION("GOOGLETRANSLATE(B5936,""id"",""en"")"),"['Telkomsel', 'fools', 'public', 'pay', 'expensive', 'network', 'slow', '']")</f>
        <v>['Telkomsel', 'fools', 'public', 'pay', 'expensive', 'network', 'slow', '']</v>
      </c>
      <c r="D5936" s="3">
        <v>1.0</v>
      </c>
    </row>
    <row r="5937" ht="15.75" customHeight="1">
      <c r="A5937" s="1">
        <v>6332.0</v>
      </c>
      <c r="B5937" s="3" t="s">
        <v>5712</v>
      </c>
      <c r="C5937" s="3" t="str">
        <f>IFERROR(__xludf.DUMMYFUNCTION("GOOGLETRANSLATE(B5937,""id"",""en"")"),"['Application', 'Open', 'Signal', 'Good']")</f>
        <v>['Application', 'Open', 'Signal', 'Good']</v>
      </c>
      <c r="D5937" s="3">
        <v>2.0</v>
      </c>
    </row>
    <row r="5938" ht="15.75" customHeight="1">
      <c r="A5938" s="1">
        <v>6333.0</v>
      </c>
      <c r="B5938" s="3" t="s">
        <v>5713</v>
      </c>
      <c r="C5938" s="3" t="str">
        <f>IFERROR(__xludf.DUMMYFUNCTION("GOOGLETRANSLATE(B5938,""id"",""en"")"),"['', 'enter', 'application', 'strange', 'really', 'stak', 'white']")</f>
        <v>['', 'enter', 'application', 'strange', 'really', 'stak', 'white']</v>
      </c>
      <c r="D5938" s="3">
        <v>1.0</v>
      </c>
    </row>
    <row r="5939" ht="15.75" customHeight="1">
      <c r="A5939" s="1">
        <v>6334.0</v>
      </c>
      <c r="B5939" s="3" t="s">
        <v>5714</v>
      </c>
      <c r="C5939" s="3" t="str">
        <f>IFERROR(__xludf.DUMMYFUNCTION("GOOGLETRANSLATE(B5939,""id"",""en"")"),"['Min', 'tlng', 'fix', 'version', 'latest', 'login', '']")</f>
        <v>['Min', 'tlng', 'fix', 'version', 'latest', 'login', '']</v>
      </c>
      <c r="D5939" s="3">
        <v>1.0</v>
      </c>
    </row>
    <row r="5940" ht="15.75" customHeight="1">
      <c r="A5940" s="1">
        <v>6335.0</v>
      </c>
      <c r="B5940" s="3" t="s">
        <v>5715</v>
      </c>
      <c r="C5940" s="3" t="str">
        <f>IFERROR(__xludf.DUMMYFUNCTION("GOOGLETRANSLATE(B5940,""id"",""en"")"),"['Quota', 'Abis',' Please ',' Info ',' Credit ',' Cut ',' Please ',' Fix ',' Quota ',' Abis', 'Internet', 'Dioff', ' Just ',' Cut ',' Credit ',' RBB ',' Please ',' Repaired ',' Disappointed ']")</f>
        <v>['Quota', 'Abis',' Please ',' Info ',' Credit ',' Cut ',' Please ',' Fix ',' Quota ',' Abis', 'Internet', 'Dioff', ' Just ',' Cut ',' Credit ',' RBB ',' Please ',' Repaired ',' Disappointed ']</v>
      </c>
      <c r="D5940" s="3">
        <v>1.0</v>
      </c>
    </row>
    <row r="5941" ht="15.75" customHeight="1">
      <c r="A5941" s="1">
        <v>6336.0</v>
      </c>
      <c r="B5941" s="3" t="s">
        <v>5716</v>
      </c>
      <c r="C5941" s="3" t="str">
        <f>IFERROR(__xludf.DUMMYFUNCTION("GOOGLETRANSLATE(B5941,""id"",""en"")"),"['strange', 'really', 'contents',' pulse ',' buy ',' package ',' money ',' no ',' already ',' that's', 'price', 'package', ' Like ',' Change ',' Change ']")</f>
        <v>['strange', 'really', 'contents',' pulse ',' buy ',' package ',' money ',' no ',' already ',' that's', 'price', 'package', ' Like ',' Change ',' Change ']</v>
      </c>
      <c r="D5941" s="3">
        <v>1.0</v>
      </c>
    </row>
    <row r="5942" ht="15.75" customHeight="1">
      <c r="A5942" s="1">
        <v>6337.0</v>
      </c>
      <c r="B5942" s="3" t="s">
        <v>5717</v>
      </c>
      <c r="C5942" s="3" t="str">
        <f>IFERROR(__xludf.DUMMYFUNCTION("GOOGLETRANSLATE(B5942,""id"",""en"")"),"['Application', 'open', 'Install', 'Display', 'Kah', 'Menuhin', 'Storage', 'Doang', '']")</f>
        <v>['Application', 'open', 'Install', 'Display', 'Kah', 'Menuhin', 'Storage', 'Doang', '']</v>
      </c>
      <c r="D5942" s="3">
        <v>1.0</v>
      </c>
    </row>
    <row r="5943" ht="15.75" customHeight="1">
      <c r="A5943" s="1">
        <v>6338.0</v>
      </c>
      <c r="B5943" s="3" t="s">
        <v>5718</v>
      </c>
      <c r="C5943" s="3" t="str">
        <f>IFERROR(__xludf.DUMMYFUNCTION("GOOGLETRANSLATE(B5943,""id"",""en"")"),"['price', 'package', 'expensive', 'bet', 'pig', 'provider', 'stingy', 'ngntt']")</f>
        <v>['price', 'package', 'expensive', 'bet', 'pig', 'provider', 'stingy', 'ngntt']</v>
      </c>
      <c r="D5943" s="3">
        <v>1.0</v>
      </c>
    </row>
    <row r="5944" ht="15.75" customHeight="1">
      <c r="A5944" s="1">
        <v>6339.0</v>
      </c>
      <c r="B5944" s="3" t="s">
        <v>5719</v>
      </c>
      <c r="C5944" s="3" t="str">
        <f>IFERROR(__xludf.DUMMYFUNCTION("GOOGLETRANSLATE(B5944,""id"",""en"")"),"['', 'City', 'disappointed', 'network', 'network', 'slow', 'lag', ""]")</f>
        <v>['', 'City', 'disappointed', 'network', 'network', 'slow', 'lag', "]</v>
      </c>
      <c r="D5944" s="3">
        <v>3.0</v>
      </c>
    </row>
    <row r="5945" ht="15.75" customHeight="1">
      <c r="A5945" s="1">
        <v>6340.0</v>
      </c>
      <c r="B5945" s="3" t="s">
        <v>5720</v>
      </c>
      <c r="C5945" s="3" t="str">
        <f>IFERROR(__xludf.DUMMYFUNCTION("GOOGLETRANSLATE(B5945,""id"",""en"")"),"['application', 'good', 'signal', 'kek', 'clown']")</f>
        <v>['application', 'good', 'signal', 'kek', 'clown']</v>
      </c>
      <c r="D5945" s="3">
        <v>1.0</v>
      </c>
    </row>
    <row r="5946" ht="15.75" customHeight="1">
      <c r="A5946" s="1">
        <v>6341.0</v>
      </c>
      <c r="B5946" s="3" t="s">
        <v>5721</v>
      </c>
      <c r="C5946" s="3" t="str">
        <f>IFERROR(__xludf.DUMMYFUNCTION("GOOGLETRANSLATE(B5946,""id"",""en"")"),"['Error', 'Open']")</f>
        <v>['Error', 'Open']</v>
      </c>
      <c r="D5946" s="3">
        <v>1.0</v>
      </c>
    </row>
    <row r="5947" ht="15.75" customHeight="1">
      <c r="A5947" s="1">
        <v>6342.0</v>
      </c>
      <c r="B5947" s="3" t="s">
        <v>5722</v>
      </c>
      <c r="C5947" s="3" t="str">
        <f>IFERROR(__xludf.DUMMYFUNCTION("GOOGLETRANSLATE(B5947,""id"",""en"")"),"['application', 'ssngat', 'help', 'ribet']")</f>
        <v>['application', 'ssngat', 'help', 'ribet']</v>
      </c>
      <c r="D5947" s="3">
        <v>5.0</v>
      </c>
    </row>
    <row r="5948" ht="15.75" customHeight="1">
      <c r="A5948" s="1">
        <v>6343.0</v>
      </c>
      <c r="B5948" s="3" t="s">
        <v>5723</v>
      </c>
      <c r="C5948" s="3" t="str">
        <f>IFERROR(__xludf.DUMMYFUNCTION("GOOGLETRANSLATE(B5948,""id"",""en"")"),"['application', 'Telkomsel', 'access',' error ',' gegara ',' trap ',' buy ',' package ',' writing ',' top ',' monthly ',' sms', ' buy ',' package ',' weekly ',' inserted ',' tagline ',' package ',' monthly ',' apes', 'deh', '']")</f>
        <v>['application', 'Telkomsel', 'access',' error ',' gegara ',' trap ',' buy ',' package ',' writing ',' top ',' monthly ',' sms', ' buy ',' package ',' weekly ',' inserted ',' tagline ',' package ',' monthly ',' apes', 'deh', '']</v>
      </c>
      <c r="D5948" s="3">
        <v>1.0</v>
      </c>
    </row>
    <row r="5949" ht="15.75" customHeight="1">
      <c r="A5949" s="1">
        <v>6344.0</v>
      </c>
      <c r="B5949" s="3" t="s">
        <v>5724</v>
      </c>
      <c r="C5949" s="3" t="str">
        <f>IFERROR(__xludf.DUMMYFUNCTION("GOOGLETRANSLATE(B5949,""id"",""en"")"),"['Signal', 'Village', 'Sadai', 'ugly']")</f>
        <v>['Signal', 'Village', 'Sadai', 'ugly']</v>
      </c>
      <c r="D5949" s="3">
        <v>1.0</v>
      </c>
    </row>
    <row r="5950" ht="15.75" customHeight="1">
      <c r="A5950" s="1">
        <v>6345.0</v>
      </c>
      <c r="B5950" s="3" t="s">
        <v>5725</v>
      </c>
      <c r="C5950" s="3" t="str">
        <f>IFERROR(__xludf.DUMMYFUNCTION("GOOGLETRANSLATE(B5950,""id"",""en"")"),"['app', 'steady', 'steady', 'gift', '']")</f>
        <v>['app', 'steady', 'steady', 'gift', '']</v>
      </c>
      <c r="D5950" s="3">
        <v>5.0</v>
      </c>
    </row>
    <row r="5951" ht="15.75" customHeight="1">
      <c r="A5951" s="1">
        <v>6346.0</v>
      </c>
      <c r="B5951" s="3" t="s">
        <v>5726</v>
      </c>
      <c r="C5951" s="3" t="str">
        <f>IFERROR(__xludf.DUMMYFUNCTION("GOOGLETRANSLATE(B5951,""id"",""en"")"),"['Price', 'Competitive', 'Operator']")</f>
        <v>['Price', 'Competitive', 'Operator']</v>
      </c>
      <c r="D5951" s="3">
        <v>4.0</v>
      </c>
    </row>
    <row r="5952" ht="15.75" customHeight="1">
      <c r="A5952" s="1">
        <v>6347.0</v>
      </c>
      <c r="B5952" s="3" t="s">
        <v>5727</v>
      </c>
      <c r="C5952" s="3" t="str">
        <f>IFERROR(__xludf.DUMMYFUNCTION("GOOGLETRANSLATE(B5952,""id"",""en"")"),"['Please', 'Fix', 'Open', 'Application', 'Telkomsel', 'Cumang', 'White', 'Doang', 'screen', 'device', 'Samsung', ""]")</f>
        <v>['Please', 'Fix', 'Open', 'Application', 'Telkomsel', 'Cumang', 'White', 'Doang', 'screen', 'device', 'Samsung', "]</v>
      </c>
      <c r="D5952" s="3">
        <v>1.0</v>
      </c>
    </row>
    <row r="5953" ht="15.75" customHeight="1">
      <c r="A5953" s="1">
        <v>6348.0</v>
      </c>
      <c r="B5953" s="3" t="s">
        <v>5728</v>
      </c>
      <c r="C5953" s="3" t="str">
        <f>IFERROR(__xludf.DUMMYFUNCTION("GOOGLETRANSLATE(B5953,""id"",""en"")"),"['buy', 'quota', 'promo', 'GB', 'RB', 'Doang', 'TPI', 'A Day', 'Signal', 'Udh', 'Leet', 'Boong', ' run out ',' penuuuuuuu ']")</f>
        <v>['buy', 'quota', 'promo', 'GB', 'RB', 'Doang', 'TPI', 'A Day', 'Signal', 'Udh', 'Leet', 'Boong', ' run out ',' penuuuuuuu ']</v>
      </c>
      <c r="D5953" s="3">
        <v>1.0</v>
      </c>
    </row>
    <row r="5954" ht="15.75" customHeight="1">
      <c r="A5954" s="1">
        <v>6349.0</v>
      </c>
      <c r="B5954" s="3" t="s">
        <v>5729</v>
      </c>
      <c r="C5954" s="3" t="str">
        <f>IFERROR(__xludf.DUMMYFUNCTION("GOOGLETRANSLATE(B5954,""id"",""en"")"),"['Try', 'love', 'good', 'love', 'star']")</f>
        <v>['Try', 'love', 'good', 'love', 'star']</v>
      </c>
      <c r="D5954" s="3">
        <v>3.0</v>
      </c>
    </row>
    <row r="5955" ht="15.75" customHeight="1">
      <c r="A5955" s="1">
        <v>6350.0</v>
      </c>
      <c r="B5955" s="3" t="s">
        <v>5730</v>
      </c>
      <c r="C5955" s="3" t="str">
        <f>IFERROR(__xludf.DUMMYFUNCTION("GOOGLETRANSLATE(B5955,""id"",""en"")"),"['delicious', 'check', 'balance', 'quota', 'bxk', 'offer', 'interesting', '']")</f>
        <v>['delicious', 'check', 'balance', 'quota', 'bxk', 'offer', 'interesting', '']</v>
      </c>
      <c r="D5955" s="3">
        <v>5.0</v>
      </c>
    </row>
    <row r="5956" ht="15.75" customHeight="1">
      <c r="A5956" s="1">
        <v>6351.0</v>
      </c>
      <c r="B5956" s="3" t="s">
        <v>5731</v>
      </c>
      <c r="C5956" s="3" t="str">
        <f>IFERROR(__xludf.DUMMYFUNCTION("GOOGLETRANSLATE(B5956,""id"",""en"")"),"['Blang', 'Blang', 'Open', 'Open', 'Application', 'MyTelkomsel', 'Direct', 'Blang', 'White', 'Screen', 'Menu', 'Select', ' Package ',' Package ']")</f>
        <v>['Blang', 'Blang', 'Open', 'Open', 'Application', 'MyTelkomsel', 'Direct', 'Blang', 'White', 'Screen', 'Menu', 'Select', ' Package ',' Package ']</v>
      </c>
      <c r="D5956" s="3">
        <v>1.0</v>
      </c>
    </row>
    <row r="5957" ht="15.75" customHeight="1">
      <c r="A5957" s="1">
        <v>6353.0</v>
      </c>
      <c r="B5957" s="3" t="s">
        <v>5732</v>
      </c>
      <c r="C5957" s="3" t="str">
        <f>IFERROR(__xludf.DUMMYFUNCTION("GOOGLETRANSLATE(B5957,""id"",""en"")"),"['', 'Open', 'App', 'Hadeeh', '']")</f>
        <v>['', 'Open', 'App', 'Hadeeh', '']</v>
      </c>
      <c r="D5957" s="3">
        <v>1.0</v>
      </c>
    </row>
    <row r="5958" ht="15.75" customHeight="1">
      <c r="A5958" s="1">
        <v>6354.0</v>
      </c>
      <c r="B5958" s="3" t="s">
        <v>5733</v>
      </c>
      <c r="C5958" s="3" t="str">
        <f>IFERROR(__xludf.DUMMYFUNCTION("GOOGLETRANSLATE(B5958,""id"",""en"")"),"['App', 'Telkomsel', 'Open', 'Screen', 'White', 'Mulu', 'Sunday']")</f>
        <v>['App', 'Telkomsel', 'Open', 'Screen', 'White', 'Mulu', 'Sunday']</v>
      </c>
      <c r="D5958" s="3">
        <v>1.0</v>
      </c>
    </row>
    <row r="5959" ht="15.75" customHeight="1">
      <c r="A5959" s="1">
        <v>6355.0</v>
      </c>
      <c r="B5959" s="3" t="s">
        <v>5734</v>
      </c>
      <c r="C5959" s="3" t="str">
        <f>IFERROR(__xludf.DUMMYFUNCTION("GOOGLETRANSLATE(B5959,""id"",""en"")"),"['Application', 'Useful', 'Download', 'APK', 'Nyesek', 'Open', 'Chippy', 'Other', 'Jibi', 'Operator', 'Tolng', 'fast', ' Fix ',' Customer ',' Telkomsel ',' blur ']")</f>
        <v>['Application', 'Useful', 'Download', 'APK', 'Nyesek', 'Open', 'Chippy', 'Other', 'Jibi', 'Operator', 'Tolng', 'fast', ' Fix ',' Customer ',' Telkomsel ',' blur ']</v>
      </c>
      <c r="D5959" s="3">
        <v>1.0</v>
      </c>
    </row>
    <row r="5960" ht="15.75" customHeight="1">
      <c r="A5960" s="1">
        <v>6356.0</v>
      </c>
      <c r="B5960" s="3" t="s">
        <v>5735</v>
      </c>
      <c r="C5960" s="3" t="str">
        <f>IFERROR(__xludf.DUMMYFUNCTION("GOOGLETRANSLATE(B5960,""id"",""en"")"),"['card', 'idiot', 'rich', 'pig']")</f>
        <v>['card', 'idiot', 'rich', 'pig']</v>
      </c>
      <c r="D5960" s="3">
        <v>1.0</v>
      </c>
    </row>
    <row r="5961" ht="15.75" customHeight="1">
      <c r="A5961" s="1">
        <v>6357.0</v>
      </c>
      <c r="B5961" s="3" t="s">
        <v>5736</v>
      </c>
      <c r="C5961" s="3" t="str">
        <f>IFERROR(__xludf.DUMMYFUNCTION("GOOGLETRANSLATE(B5961,""id"",""en"")"),"['Give', 'Bonus',' Cutting ',' Quota ',' Cheap ',' Thank you ',' Telkomsel ',' Hopefully ',' Success', 'Jaya', 'Lottery', 'Hepi', ' Telkomsel ',' Gift ',' Exchange ',' Points']")</f>
        <v>['Give', 'Bonus',' Cutting ',' Quota ',' Cheap ',' Thank you ',' Telkomsel ',' Hopefully ',' Success', 'Jaya', 'Lottery', 'Hepi', ' Telkomsel ',' Gift ',' Exchange ',' Points']</v>
      </c>
      <c r="D5961" s="3">
        <v>5.0</v>
      </c>
    </row>
    <row r="5962" ht="15.75" customHeight="1">
      <c r="A5962" s="1">
        <v>6358.0</v>
      </c>
      <c r="B5962" s="3" t="s">
        <v>5737</v>
      </c>
      <c r="C5962" s="3" t="str">
        <f>IFERROR(__xludf.DUMMYFUNCTION("GOOGLETRANSLATE(B5962,""id"",""en"")"),"['the main thing is']")</f>
        <v>['the main thing is']</v>
      </c>
      <c r="D5962" s="3">
        <v>5.0</v>
      </c>
    </row>
    <row r="5963" ht="15.75" customHeight="1">
      <c r="A5963" s="1">
        <v>6359.0</v>
      </c>
      <c r="B5963" s="3" t="s">
        <v>5738</v>
      </c>
      <c r="C5963" s="3" t="str">
        <f>IFERROR(__xludf.DUMMYFUNCTION("GOOGLETRANSLATE(B5963,""id"",""en"")"),"['Telkomsel', 'ugly', 'signal', 'full', 'quality', 'no']")</f>
        <v>['Telkomsel', 'ugly', 'signal', 'full', 'quality', 'no']</v>
      </c>
      <c r="D5963" s="3">
        <v>1.0</v>
      </c>
    </row>
    <row r="5964" ht="15.75" customHeight="1">
      <c r="A5964" s="1">
        <v>6360.0</v>
      </c>
      <c r="B5964" s="3" t="s">
        <v>5739</v>
      </c>
      <c r="C5964" s="3" t="str">
        <f>IFERROR(__xludf.DUMMYFUNCTION("GOOGLETRANSLATE(B5964,""id"",""en"")"),"['Credit', 'Emergency', 'Credit', 'Emergency', 'Diadain', 'Nnti', 'Love', 'Star', 'Credit', 'Emergency', 'Mhon', 'Sorry', ' Tetep ',' Star ',' Thank ',' Love ', ""]")</f>
        <v>['Credit', 'Emergency', 'Credit', 'Emergency', 'Diadain', 'Nnti', 'Love', 'Star', 'Credit', 'Emergency', 'Mhon', 'Sorry', ' Tetep ',' Star ',' Thank ',' Love ', "]</v>
      </c>
      <c r="D5964" s="3">
        <v>3.0</v>
      </c>
    </row>
    <row r="5965" ht="15.75" customHeight="1">
      <c r="A5965" s="1">
        <v>6361.0</v>
      </c>
      <c r="B5965" s="3" t="s">
        <v>5740</v>
      </c>
      <c r="C5965" s="3" t="str">
        <f>IFERROR(__xludf.DUMMYFUNCTION("GOOGLETRANSLATE(B5965,""id"",""en"")"),"['Leet', 'Sorry', 'Reduce', 'Star']")</f>
        <v>['Leet', 'Sorry', 'Reduce', 'Star']</v>
      </c>
      <c r="D5965" s="3">
        <v>2.0</v>
      </c>
    </row>
    <row r="5966" ht="15.75" customHeight="1">
      <c r="A5966" s="1">
        <v>6362.0</v>
      </c>
      <c r="B5966" s="3" t="s">
        <v>5741</v>
      </c>
      <c r="C5966" s="3" t="str">
        <f>IFERROR(__xludf.DUMMYFUNCTION("GOOGLETRANSLATE(B5966,""id"",""en"")"),"['Open', 'Application', 'Telkomsel']")</f>
        <v>['Open', 'Application', 'Telkomsel']</v>
      </c>
      <c r="D5966" s="3">
        <v>1.0</v>
      </c>
    </row>
    <row r="5967" ht="15.75" customHeight="1">
      <c r="A5967" s="1">
        <v>6363.0</v>
      </c>
      <c r="B5967" s="3" t="s">
        <v>5742</v>
      </c>
      <c r="C5967" s="3" t="str">
        <f>IFERROR(__xludf.DUMMYFUNCTION("GOOGLETRANSLATE(B5967,""id"",""en"")"),"['version', 'newest', 'opened', 'Samsung', 'Galaxy', '']")</f>
        <v>['version', 'newest', 'opened', 'Samsung', 'Galaxy', '']</v>
      </c>
      <c r="D5967" s="3">
        <v>1.0</v>
      </c>
    </row>
    <row r="5968" ht="15.75" customHeight="1">
      <c r="A5968" s="1">
        <v>6364.0</v>
      </c>
      <c r="B5968" s="3" t="s">
        <v>5743</v>
      </c>
      <c r="C5968" s="3" t="str">
        <f>IFERROR(__xludf.DUMMYFUNCTION("GOOGLETRANSLATE(B5968,""id"",""en"")"),"['Apalcasi', 'Useful', 'really']")</f>
        <v>['Apalcasi', 'Useful', 'really']</v>
      </c>
      <c r="D5968" s="3">
        <v>5.0</v>
      </c>
    </row>
    <row r="5969" ht="15.75" customHeight="1">
      <c r="A5969" s="1">
        <v>6365.0</v>
      </c>
      <c r="B5969" s="3" t="s">
        <v>5744</v>
      </c>
      <c r="C5969" s="3" t="str">
        <f>IFERROR(__xludf.DUMMYFUNCTION("GOOGLETRANSLATE(B5969,""id"",""en"")"),"['', 'Bukak', 'Severe', 'Disappointed']")</f>
        <v>['', 'Bukak', 'Severe', 'Disappointed']</v>
      </c>
      <c r="D5969" s="3">
        <v>2.0</v>
      </c>
    </row>
    <row r="5970" ht="15.75" customHeight="1">
      <c r="A5970" s="1">
        <v>6366.0</v>
      </c>
      <c r="B5970" s="3" t="s">
        <v>5745</v>
      </c>
      <c r="C5970" s="3" t="str">
        <f>IFERROR(__xludf.DUMMYFUNCTION("GOOGLETRANSLATE(B5970,""id"",""en"")"),"['Please', 'Network', 'Region', 'Bahodopi', 'Morowali', 'Fix', 'Min', 'Disorders',' Bnyak ',' User ',' Please ',' Take ',' Continue ']")</f>
        <v>['Please', 'Network', 'Region', 'Bahodopi', 'Morowali', 'Fix', 'Min', 'Disorders',' Bnyak ',' User ',' Please ',' Take ',' Continue ']</v>
      </c>
      <c r="D5970" s="3">
        <v>3.0</v>
      </c>
    </row>
    <row r="5971" ht="15.75" customHeight="1">
      <c r="A5971" s="1">
        <v>6367.0</v>
      </c>
      <c r="B5971" s="3" t="s">
        <v>5746</v>
      </c>
      <c r="C5971" s="3" t="str">
        <f>IFERROR(__xludf.DUMMYFUNCTION("GOOGLETRANSLATE(B5971,""id"",""en"")"),"['like', 'application', '']")</f>
        <v>['like', 'application', '']</v>
      </c>
      <c r="D5971" s="3">
        <v>5.0</v>
      </c>
    </row>
    <row r="5972" ht="15.75" customHeight="1">
      <c r="A5972" s="1">
        <v>6368.0</v>
      </c>
      <c r="B5972" s="3" t="s">
        <v>5747</v>
      </c>
      <c r="C5972" s="3" t="str">
        <f>IFERROR(__xludf.DUMMYFUNCTION("GOOGLETRANSLATE(B5972,""id"",""en"")"),"['card', 'fast', 'network', 'boong', 'kya', 'snail']")</f>
        <v>['card', 'fast', 'network', 'boong', 'kya', 'snail']</v>
      </c>
      <c r="D5972" s="3">
        <v>2.0</v>
      </c>
    </row>
    <row r="5973" ht="15.75" customHeight="1">
      <c r="A5973" s="1">
        <v>6369.0</v>
      </c>
      <c r="B5973" s="3" t="s">
        <v>5748</v>
      </c>
      <c r="C5973" s="3" t="str">
        <f>IFERROR(__xludf.DUMMYFUNCTION("GOOGLETRANSLATE(B5973,""id"",""en"")"),"['', 'cheap', 'expensive', 'fast']")</f>
        <v>['', 'cheap', 'expensive', 'fast']</v>
      </c>
      <c r="D5973" s="3">
        <v>1.0</v>
      </c>
    </row>
    <row r="5974" ht="15.75" customHeight="1">
      <c r="A5974" s="1">
        <v>6371.0</v>
      </c>
      <c r="B5974" s="3" t="s">
        <v>5749</v>
      </c>
      <c r="C5974" s="3" t="str">
        <f>IFERROR(__xludf.DUMMYFUNCTION("GOOGLETRANSLATE(B5974,""id"",""en"")"),"['Alhamdulillah', 'Gara', 'Update', 'Perlalah', 'Open', 'Fortune', 'Friends', 'Version', 'Hopefully', 'Telkomsel', ""]")</f>
        <v>['Alhamdulillah', 'Gara', 'Update', 'Perlalah', 'Open', 'Fortune', 'Friends', 'Version', 'Hopefully', 'Telkomsel', "]</v>
      </c>
      <c r="D5974" s="3">
        <v>5.0</v>
      </c>
    </row>
    <row r="5975" ht="15.75" customHeight="1">
      <c r="A5975" s="1">
        <v>6372.0</v>
      </c>
      <c r="B5975" s="3" t="s">
        <v>5750</v>
      </c>
      <c r="C5975" s="3" t="str">
        <f>IFERROR(__xludf.DUMMYFUNCTION("GOOGLETRANSLATE(B5975,""id"",""en"")"),"['Please', 'signal', 'fix', 'in the city', 'signal', 'slow']")</f>
        <v>['Please', 'signal', 'fix', 'in the city', 'signal', 'slow']</v>
      </c>
      <c r="D5975" s="3">
        <v>3.0</v>
      </c>
    </row>
    <row r="5976" ht="15.75" customHeight="1">
      <c r="A5976" s="1">
        <v>6373.0</v>
      </c>
      <c r="B5976" s="3" t="s">
        <v>5751</v>
      </c>
      <c r="C5976" s="3" t="str">
        <f>IFERROR(__xludf.DUMMYFUNCTION("GOOGLETRANSLATE(B5976,""id"",""en"")"),"['MyTelkomsel', 'save', 'mura']")</f>
        <v>['MyTelkomsel', 'save', 'mura']</v>
      </c>
      <c r="D5976" s="3">
        <v>5.0</v>
      </c>
    </row>
    <row r="5977" ht="15.75" customHeight="1">
      <c r="A5977" s="1">
        <v>6374.0</v>
      </c>
      <c r="B5977" s="3" t="s">
        <v>5752</v>
      </c>
      <c r="C5977" s="3" t="str">
        <f>IFERROR(__xludf.DUMMYFUNCTION("GOOGLETRANSLATE(B5977,""id"",""en"")"),"['Telkomsel', 'cunning', 'package', 'price', 'pulse', 'pulse', 'more', 'cut', 'package', 'rb', 'hrs',' buy ',' Credit ',' RB ',' RB ',' Cut ',' JLS ',' Paketan ',' Others', 'RB', 'nominal', 'pulses', ""]")</f>
        <v>['Telkomsel', 'cunning', 'package', 'price', 'pulse', 'pulse', 'more', 'cut', 'package', 'rb', 'hrs',' buy ',' Credit ',' RB ',' RB ',' Cut ',' JLS ',' Paketan ',' Others', 'RB', 'nominal', 'pulses', "]</v>
      </c>
      <c r="D5977" s="3">
        <v>1.0</v>
      </c>
    </row>
    <row r="5978" ht="15.75" customHeight="1">
      <c r="A5978" s="1">
        <v>6375.0</v>
      </c>
      <c r="B5978" s="3" t="s">
        <v>5753</v>
      </c>
      <c r="C5978" s="3" t="str">
        <f>IFERROR(__xludf.DUMMYFUNCTION("GOOGLETRANSLATE(B5978,""id"",""en"")"),"['Lally', 'promo', 'quota', 'customer', 'satisfied']")</f>
        <v>['Lally', 'promo', 'quota', 'customer', 'satisfied']</v>
      </c>
      <c r="D5978" s="3">
        <v>5.0</v>
      </c>
    </row>
    <row r="5979" ht="15.75" customHeight="1">
      <c r="A5979" s="1">
        <v>6376.0</v>
      </c>
      <c r="B5979" s="3" t="s">
        <v>5754</v>
      </c>
      <c r="C5979" s="3" t="str">
        <f>IFERROR(__xludf.DUMMYFUNCTION("GOOGLETRANSLATE(B5979,""id"",""en"")"),"['Disappointed', 'contents', 'pulse', 'buy', 'package', 'coin', 'Telkomsel', 'increase', 'disappointing']")</f>
        <v>['Disappointed', 'contents', 'pulse', 'buy', 'package', 'coin', 'Telkomsel', 'increase', 'disappointing']</v>
      </c>
      <c r="D5979" s="3">
        <v>1.0</v>
      </c>
    </row>
    <row r="5980" ht="15.75" customHeight="1">
      <c r="A5980" s="1">
        <v>6377.0</v>
      </c>
      <c r="B5980" s="3" t="s">
        <v>5755</v>
      </c>
      <c r="C5980" s="3" t="str">
        <f>IFERROR(__xludf.DUMMYFUNCTION("GOOGLETRANSLATE(B5980,""id"",""en"")"),"['knp', 'tsel', 'skrg', 'signal', 'like', 'ugly', '']")</f>
        <v>['knp', 'tsel', 'skrg', 'signal', 'like', 'ugly', '']</v>
      </c>
      <c r="D5980" s="3">
        <v>1.0</v>
      </c>
    </row>
    <row r="5981" ht="15.75" customHeight="1">
      <c r="A5981" s="1">
        <v>6378.0</v>
      </c>
      <c r="B5981" s="3" t="s">
        <v>5756</v>
      </c>
      <c r="C5981" s="3" t="str">
        <f>IFERROR(__xludf.DUMMYFUNCTION("GOOGLETRANSLATE(B5981,""id"",""en"")"),"['updated', 'blank', 'white', 'appears', 'intention', 'fix', 'damage', 'application', '']")</f>
        <v>['updated', 'blank', 'white', 'appears', 'intention', 'fix', 'damage', 'application', '']</v>
      </c>
      <c r="D5981" s="3">
        <v>2.0</v>
      </c>
    </row>
    <row r="5982" ht="15.75" customHeight="1">
      <c r="A5982" s="1">
        <v>6379.0</v>
      </c>
      <c r="B5982" s="3" t="s">
        <v>5757</v>
      </c>
      <c r="C5982" s="3" t="str">
        <f>IFERROR(__xludf.DUMMYFUNCTION("GOOGLETRANSLATE(B5982,""id"",""en"")"),"['Improved', 'Network']")</f>
        <v>['Improved', 'Network']</v>
      </c>
      <c r="D5982" s="3">
        <v>3.0</v>
      </c>
    </row>
    <row r="5983" ht="15.75" customHeight="1">
      <c r="A5983" s="1">
        <v>6380.0</v>
      </c>
      <c r="B5983" s="3" t="s">
        <v>5758</v>
      </c>
      <c r="C5983" s="3" t="str">
        <f>IFERROR(__xludf.DUMMYFUNCTION("GOOGLETRANSLATE(B5983,""id"",""en"")"),"['Telkomsel', 'signal', 'rich', 'anjink']")</f>
        <v>['Telkomsel', 'signal', 'rich', 'anjink']</v>
      </c>
      <c r="D5983" s="3">
        <v>1.0</v>
      </c>
    </row>
    <row r="5984" ht="15.75" customHeight="1">
      <c r="A5984" s="1">
        <v>6381.0</v>
      </c>
      <c r="B5984" s="3" t="s">
        <v>5759</v>
      </c>
      <c r="C5984" s="3" t="str">
        <f>IFERROR(__xludf.DUMMYFUNCTION("GOOGLETRANSLATE(B5984,""id"",""en"")"),"['Out', 'update', 'kaga', 'enter', 'lgi', 'just', 'screen', 'white']")</f>
        <v>['Out', 'update', 'kaga', 'enter', 'lgi', 'just', 'screen', 'white']</v>
      </c>
      <c r="D5984" s="3">
        <v>1.0</v>
      </c>
    </row>
    <row r="5985" ht="15.75" customHeight="1">
      <c r="A5985" s="1">
        <v>6384.0</v>
      </c>
      <c r="B5985" s="3" t="s">
        <v>5760</v>
      </c>
      <c r="C5985" s="3" t="str">
        <f>IFERROR(__xludf.DUMMYFUNCTION("GOOGLETRANSLATE(B5985,""id"",""en"")"),"['Supports', 'Telkomsel', 'in', 'expanding', 'communication']")</f>
        <v>['Supports', 'Telkomsel', 'in', 'expanding', 'communication']</v>
      </c>
      <c r="D5985" s="3">
        <v>5.0</v>
      </c>
    </row>
    <row r="5986" ht="15.75" customHeight="1">
      <c r="A5986" s="1">
        <v>6385.0</v>
      </c>
      <c r="B5986" s="3" t="s">
        <v>5761</v>
      </c>
      <c r="C5986" s="3" t="str">
        <f>IFERROR(__xludf.DUMMYFUNCTION("GOOGLETRANSLATE(B5986,""id"",""en"")"),"['application', 'open', 'appears',' color ',' white ',' doank ',' udh ',' delete ',' download ',' ajj ',' color ',' white ',' Appears', 'Auto', 'Uninstall']")</f>
        <v>['application', 'open', 'appears',' color ',' white ',' doank ',' udh ',' delete ',' download ',' ajj ',' color ',' white ',' Appears', 'Auto', 'Uninstall']</v>
      </c>
      <c r="D5986" s="3">
        <v>1.0</v>
      </c>
    </row>
    <row r="5987" ht="15.75" customHeight="1">
      <c r="A5987" s="1">
        <v>6386.0</v>
      </c>
      <c r="B5987" s="3" t="s">
        <v>5762</v>
      </c>
      <c r="C5987" s="3" t="str">
        <f>IFERROR(__xludf.DUMMYFUNCTION("GOOGLETRANSLATE(B5987,""id"",""en"")"),"['bad', 'network', 'check', 'repair', 'area', 'Sidoarjoo', 'Kecipan', 'down', 'Mbps', 'really', 'huuhhhh']")</f>
        <v>['bad', 'network', 'check', 'repair', 'area', 'Sidoarjoo', 'Kecipan', 'down', 'Mbps', 'really', 'huuhhhh']</v>
      </c>
      <c r="D5987" s="3">
        <v>1.0</v>
      </c>
    </row>
    <row r="5988" ht="15.75" customHeight="1">
      <c r="A5988" s="1">
        <v>6387.0</v>
      </c>
      <c r="B5988" s="3" t="s">
        <v>5763</v>
      </c>
      <c r="C5988" s="3" t="str">
        <f>IFERROR(__xludf.DUMMYFUNCTION("GOOGLETRANSLATE(B5988,""id"",""en"")"),"['jdlek', 'jammed', 'trs', ""]")</f>
        <v>['jdlek', 'jammed', 'trs', "]</v>
      </c>
      <c r="D5988" s="3">
        <v>1.0</v>
      </c>
    </row>
    <row r="5989" ht="15.75" customHeight="1">
      <c r="A5989" s="1">
        <v>6388.0</v>
      </c>
      <c r="B5989" s="3" t="s">
        <v>5764</v>
      </c>
      <c r="C5989" s="3" t="str">
        <f>IFERROR(__xludf.DUMMYFUNCTION("GOOGLETRANSLATE(B5989,""id"",""en"")"),"['Love', 'Bintang', 'Please', 'Add', 'Feature', 'Key', 'Credit', 'Application', 'Telkomsel', 'Diet', 'right', 'quota', ' run out ',' chick ',' example ',' rich ',' application ',' axis', 'already', 'feature', 'key', 'pulse', ""]")</f>
        <v>['Love', 'Bintang', 'Please', 'Add', 'Feature', 'Key', 'Credit', 'Application', 'Telkomsel', 'Diet', 'right', 'quota', ' run out ',' chick ',' example ',' rich ',' application ',' axis', 'already', 'feature', 'key', 'pulse', "]</v>
      </c>
      <c r="D5989" s="3">
        <v>3.0</v>
      </c>
    </row>
    <row r="5990" ht="15.75" customHeight="1">
      <c r="A5990" s="1">
        <v>6389.0</v>
      </c>
      <c r="B5990" s="3" t="s">
        <v>5765</v>
      </c>
      <c r="C5990" s="3" t="str">
        <f>IFERROR(__xludf.DUMMYFUNCTION("GOOGLETRANSLATE(B5990,""id"",""en"")"),"['finished', 'please', 'Application', 'Bener', 'makes it easier', 'believe', 'obstacles', 'access', 'blank', 'page']")</f>
        <v>['finished', 'please', 'Application', 'Bener', 'makes it easier', 'believe', 'obstacles', 'access', 'blank', 'page']</v>
      </c>
      <c r="D5990" s="3">
        <v>1.0</v>
      </c>
    </row>
    <row r="5991" ht="15.75" customHeight="1">
      <c r="A5991" s="1">
        <v>6390.0</v>
      </c>
      <c r="B5991" s="3" t="s">
        <v>5766</v>
      </c>
      <c r="C5991" s="3" t="str">
        <f>IFERROR(__xludf.DUMMYFUNCTION("GOOGLETRANSLATE(B5991,""id"",""en"")"),"['knp', 'jdi', 'jlaek', 'open', 'update', 'bkn', 'nmbh', 'bgus', 'prah']")</f>
        <v>['knp', 'jdi', 'jlaek', 'open', 'update', 'bkn', 'nmbh', 'bgus', 'prah']</v>
      </c>
      <c r="D5991" s="3">
        <v>1.0</v>
      </c>
    </row>
    <row r="5992" ht="15.75" customHeight="1">
      <c r="A5992" s="1">
        <v>6391.0</v>
      </c>
      <c r="B5992" s="3" t="s">
        <v>5592</v>
      </c>
      <c r="C5992" s="3" t="str">
        <f>IFERROR(__xludf.DUMMYFUNCTION("GOOGLETRANSLATE(B5992,""id"",""en"")"),"['easy', 'fast']")</f>
        <v>['easy', 'fast']</v>
      </c>
      <c r="D5992" s="3">
        <v>5.0</v>
      </c>
    </row>
    <row r="5993" ht="15.75" customHeight="1">
      <c r="A5993" s="1">
        <v>6392.0</v>
      </c>
      <c r="B5993" s="3" t="s">
        <v>5767</v>
      </c>
      <c r="C5993" s="3" t="str">
        <f>IFERROR(__xludf.DUMMYFUNCTION("GOOGLETRANSLATE(B5993,""id"",""en"")"),"['Help', 'Price', 'Glooms', '']")</f>
        <v>['Help', 'Price', 'Glooms', '']</v>
      </c>
      <c r="D5993" s="3">
        <v>4.0</v>
      </c>
    </row>
    <row r="5994" ht="15.75" customHeight="1">
      <c r="A5994" s="1">
        <v>6393.0</v>
      </c>
      <c r="B5994" s="3" t="s">
        <v>5768</v>
      </c>
      <c r="C5994" s="3" t="str">
        <f>IFERROR(__xludf.DUMMYFUNCTION("GOOGLETRANSLATE(B5994,""id"",""en"")"),"['Application', 'Telkomsel', 'Open', 'Telkomsel', 'here', 'Severe', 'Price', 'Package', 'Expensive', 'Quality', 'Bad', 'Leet', ' ']")</f>
        <v>['Application', 'Telkomsel', 'Open', 'Telkomsel', 'here', 'Severe', 'Price', 'Package', 'Expensive', 'Quality', 'Bad', 'Leet', ' ']</v>
      </c>
      <c r="D5994" s="3">
        <v>1.0</v>
      </c>
    </row>
    <row r="5995" ht="15.75" customHeight="1">
      <c r="A5995" s="1">
        <v>6394.0</v>
      </c>
      <c r="B5995" s="3" t="s">
        <v>5769</v>
      </c>
      <c r="C5995" s="3" t="str">
        <f>IFERROR(__xludf.DUMMYFUNCTION("GOOGLETRANSLATE(B5995,""id"",""en"")"),"['enter', 'application', 'Telkomsel', 'difficult', 'really', 'Sis', 'buy', 'quota', 'Telkomsel', 'cheap', 'pisan']")</f>
        <v>['enter', 'application', 'Telkomsel', 'difficult', 'really', 'Sis', 'buy', 'quota', 'Telkomsel', 'cheap', 'pisan']</v>
      </c>
      <c r="D5995" s="3">
        <v>5.0</v>
      </c>
    </row>
    <row r="5996" ht="15.75" customHeight="1">
      <c r="A5996" s="1">
        <v>6395.0</v>
      </c>
      <c r="B5996" s="3" t="s">
        <v>2596</v>
      </c>
      <c r="C5996" s="3" t="str">
        <f>IFERROR(__xludf.DUMMYFUNCTION("GOOGLETRANSLATE(B5996,""id"",""en"")"),"['Difficult', 'Open']")</f>
        <v>['Difficult', 'Open']</v>
      </c>
      <c r="D5996" s="3">
        <v>3.0</v>
      </c>
    </row>
    <row r="5997" ht="15.75" customHeight="1">
      <c r="A5997" s="1">
        <v>6396.0</v>
      </c>
      <c r="B5997" s="3" t="s">
        <v>5770</v>
      </c>
      <c r="C5997" s="3" t="str">
        <f>IFERROR(__xludf.DUMMYFUNCTION("GOOGLETRANSLATE(B5997,""id"",""en"")"),"['The application', 'opened', 'network', 'error', 'network', 'missing', 'missing', 'kek']")</f>
        <v>['The application', 'opened', 'network', 'error', 'network', 'missing', 'missing', 'kek']</v>
      </c>
      <c r="D5997" s="3">
        <v>1.0</v>
      </c>
    </row>
    <row r="5998" ht="15.75" customHeight="1">
      <c r="A5998" s="1">
        <v>6397.0</v>
      </c>
      <c r="B5998" s="3" t="s">
        <v>5771</v>
      </c>
      <c r="C5998" s="3" t="str">
        <f>IFERROR(__xludf.DUMMYFUNCTION("GOOGLETRANSLATE(B5998,""id"",""en"")"),"['Credit', 'Cave', 'Cut', 'Pepek', 'Telkomsel', 'pepek', 'face', 'rich', 'pepek', 'asw', 'anjeng', ""]")</f>
        <v>['Credit', 'Cave', 'Cut', 'Pepek', 'Telkomsel', 'pepek', 'face', 'rich', 'pepek', 'asw', 'anjeng', "]</v>
      </c>
      <c r="D5998" s="3">
        <v>1.0</v>
      </c>
    </row>
    <row r="5999" ht="15.75" customHeight="1">
      <c r="A5999" s="1">
        <v>6398.0</v>
      </c>
      <c r="B5999" s="3" t="s">
        <v>5772</v>
      </c>
      <c r="C5999" s="3" t="str">
        <f>IFERROR(__xludf.DUMMYFUNCTION("GOOGLETRANSLATE(B5999,""id"",""en"")"),"['Satisfied', 'help']")</f>
        <v>['Satisfied', 'help']</v>
      </c>
      <c r="D5999" s="3">
        <v>4.0</v>
      </c>
    </row>
    <row r="6000" ht="15.75" customHeight="1">
      <c r="A6000" s="1">
        <v>6399.0</v>
      </c>
      <c r="B6000" s="3" t="s">
        <v>5773</v>
      </c>
      <c r="C6000" s="3" t="str">
        <f>IFERROR(__xludf.DUMMYFUNCTION("GOOGLETRANSLATE(B6000,""id"",""en"")"),"['knp', 'network', 'slow', 'skali', 'willing', 'pay', 'expensive', 'network', 'bgus',' gini ',' boong ',' mending ',' Switch ',' Operator ',' Good ',' Network ']")</f>
        <v>['knp', 'network', 'slow', 'skali', 'willing', 'pay', 'expensive', 'network', 'bgus',' gini ',' boong ',' mending ',' Switch ',' Operator ',' Good ',' Network ']</v>
      </c>
      <c r="D6000" s="3">
        <v>1.0</v>
      </c>
    </row>
    <row r="6001" ht="15.75" customHeight="1">
      <c r="A6001" s="1">
        <v>6400.0</v>
      </c>
      <c r="B6001" s="3" t="s">
        <v>5774</v>
      </c>
      <c r="C6001" s="3" t="str">
        <f>IFERROR(__xludf.DUMMYFUNCTION("GOOGLETRANSLATE(B6001,""id"",""en"")"),"['fit', 'checked', 'price', 'package', 'thousand', 'fit', 'contents', 'pulse', 'price', 'internet', 'ribett']")</f>
        <v>['fit', 'checked', 'price', 'package', 'thousand', 'fit', 'contents', 'pulse', 'price', 'internet', 'ribett']</v>
      </c>
      <c r="D6001" s="3">
        <v>1.0</v>
      </c>
    </row>
    <row r="6002" ht="15.75" customHeight="1">
      <c r="A6002" s="1">
        <v>6401.0</v>
      </c>
      <c r="B6002" s="3" t="s">
        <v>5775</v>
      </c>
      <c r="C6002" s="3" t="str">
        <f>IFERROR(__xludf.DUMMYFUNCTION("GOOGLETRANSLATE(B6002,""id"",""en"")"),"['Network', 'Telkomsel', 'Samakin', 'Severe']")</f>
        <v>['Network', 'Telkomsel', 'Samakin', 'Severe']</v>
      </c>
      <c r="D6002" s="3">
        <v>5.0</v>
      </c>
    </row>
    <row r="6003" ht="15.75" customHeight="1">
      <c r="A6003" s="1">
        <v>6402.0</v>
      </c>
      <c r="B6003" s="3" t="s">
        <v>5776</v>
      </c>
      <c r="C6003" s="3" t="str">
        <f>IFERROR(__xludf.DUMMYFUNCTION("GOOGLETRANSLATE(B6003,""id"",""en"")"),"['Telkomsel', 'chaotic', 'severe', 'pulse', 'sumps', 'log', 'app', 'fail', 'disappointing', 'Telkomsel']")</f>
        <v>['Telkomsel', 'chaotic', 'severe', 'pulse', 'sumps', 'log', 'app', 'fail', 'disappointing', 'Telkomsel']</v>
      </c>
      <c r="D6003" s="3">
        <v>1.0</v>
      </c>
    </row>
    <row r="6004" ht="15.75" customHeight="1">
      <c r="A6004" s="1">
        <v>6403.0</v>
      </c>
      <c r="B6004" s="3" t="s">
        <v>5777</v>
      </c>
      <c r="C6004" s="3" t="str">
        <f>IFERROR(__xludf.DUMMYFUNCTION("GOOGLETRANSLATE(B6004,""id"",""en"")"),"['Telkomsel', 'buy', 'package', 'data', 'nge', 'lag', 'then', 'yachhhh', 'sometimes',' sampek ',' salt ',' lng ',' Teluknaga ',' Network ',' Good ',' LGI ',' I've ',' Sya ',' BLI ',' Telkomsel ',' againiiiiii ',' watch out ',' yachhh ', ""]")</f>
        <v>['Telkomsel', 'buy', 'package', 'data', 'nge', 'lag', 'then', 'yachhhh', 'sometimes',' sampek ',' salt ',' lng ',' Teluknaga ',' Network ',' Good ',' LGI ',' I've ',' Sya ',' BLI ',' Telkomsel ',' againiiiiii ',' watch out ',' yachhh ', "]</v>
      </c>
      <c r="D6004" s="3">
        <v>1.0</v>
      </c>
    </row>
    <row r="6005" ht="15.75" customHeight="1">
      <c r="A6005" s="1">
        <v>6404.0</v>
      </c>
      <c r="B6005" s="3" t="s">
        <v>5778</v>
      </c>
      <c r="C6005" s="3" t="str">
        <f>IFERROR(__xludf.DUMMYFUNCTION("GOOGLETRANSLATE(B6005,""id"",""en"")"),"['Install', 'Open', '']")</f>
        <v>['Install', 'Open', '']</v>
      </c>
      <c r="D6005" s="3">
        <v>4.0</v>
      </c>
    </row>
    <row r="6006" ht="15.75" customHeight="1">
      <c r="A6006" s="1">
        <v>6405.0</v>
      </c>
      <c r="B6006" s="3" t="s">
        <v>5779</v>
      </c>
      <c r="C6006" s="3" t="str">
        <f>IFERROR(__xludf.DUMMYFUNCTION("GOOGLETRANSLATE(B6006,""id"",""en"")"),"['signal', 'internet', 'Telkomsel', 'smakin', 'ksini', 'smakin', 'useful', 'quality', 'bad']")</f>
        <v>['signal', 'internet', 'Telkomsel', 'smakin', 'ksini', 'smakin', 'useful', 'quality', 'bad']</v>
      </c>
      <c r="D6006" s="3">
        <v>1.0</v>
      </c>
    </row>
    <row r="6007" ht="15.75" customHeight="1">
      <c r="A6007" s="1">
        <v>6406.0</v>
      </c>
      <c r="B6007" s="3" t="s">
        <v>5780</v>
      </c>
      <c r="C6007" s="3" t="str">
        <f>IFERROR(__xludf.DUMMYFUNCTION("GOOGLETRANSLATE(B6007,""id"",""en"")"),"['Telkomsel', 'opened', 'Gamau', 'Lined', 'Gausah', 'Held', 'My APK', 'KNP', 'Deleted', 'Ajah', 'Useful', 'Very', ' Ngecewain ',' Customer ']")</f>
        <v>['Telkomsel', 'opened', 'Gamau', 'Lined', 'Gausah', 'Held', 'My APK', 'KNP', 'Deleted', 'Ajah', 'Useful', 'Very', ' Ngecewain ',' Customer ']</v>
      </c>
      <c r="D6007" s="3">
        <v>1.0</v>
      </c>
    </row>
    <row r="6008" ht="15.75" customHeight="1">
      <c r="A6008" s="1">
        <v>6407.0</v>
      </c>
      <c r="B6008" s="3" t="s">
        <v>5781</v>
      </c>
      <c r="C6008" s="3" t="str">
        <f>IFERROR(__xludf.DUMMYFUNCTION("GOOGLETRANSLATE(B6008,""id"",""en"")"),"['cloudy', 'signal', 'missing', 'promo', 'udh', 'okay', '']")</f>
        <v>['cloudy', 'signal', 'missing', 'promo', 'udh', 'okay', '']</v>
      </c>
      <c r="D6008" s="3">
        <v>3.0</v>
      </c>
    </row>
    <row r="6009" ht="15.75" customHeight="1">
      <c r="A6009" s="1">
        <v>6408.0</v>
      </c>
      <c r="B6009" s="3" t="s">
        <v>5782</v>
      </c>
      <c r="C6009" s="3" t="str">
        <f>IFERROR(__xludf.DUMMYFUNCTION("GOOGLETRANSLATE(B6009,""id"",""en"")"),"['Signal', 'Telkomsel', 'Bener', 'Down', 'ilang', 'Problem', 'Network', 'Customer', 'Previously', '']")</f>
        <v>['Signal', 'Telkomsel', 'Bener', 'Down', 'ilang', 'Problem', 'Network', 'Customer', 'Previously', '']</v>
      </c>
      <c r="D6009" s="3">
        <v>1.0</v>
      </c>
    </row>
    <row r="6010" ht="15.75" customHeight="1">
      <c r="A6010" s="1">
        <v>6409.0</v>
      </c>
      <c r="B6010" s="3" t="s">
        <v>5783</v>
      </c>
      <c r="C6010" s="3" t="str">
        <f>IFERROR(__xludf.DUMMYFUNCTION("GOOGLETRANSLATE(B6010,""id"",""en"")"),"['Alhamdulillah', 'love', 'star', 'easy', 'delete', 'playstore', 'poor', 'service', 'package', 'internet', 'expensive', 'already', ' So ',' pulse ',' missing ',' until ',' zero ',' rupiah ',' base ',' maling ',' mending ',' moved ',' provider ',' deh ',' "&amp;"hope ' , 'Move', 'Bangrut', 'Telkomnyet', 'Aamiin', '']")</f>
        <v>['Alhamdulillah', 'love', 'star', 'easy', 'delete', 'playstore', 'poor', 'service', 'package', 'internet', 'expensive', 'already', ' So ',' pulse ',' missing ',' until ',' zero ',' rupiah ',' base ',' maling ',' mending ',' moved ',' provider ',' deh ',' hope ' , 'Move', 'Bangrut', 'Telkomnyet', 'Aamiin', '']</v>
      </c>
      <c r="D6010" s="3">
        <v>1.0</v>
      </c>
    </row>
    <row r="6011" ht="15.75" customHeight="1">
      <c r="A6011" s="1">
        <v>6410.0</v>
      </c>
      <c r="B6011" s="3" t="s">
        <v>5784</v>
      </c>
      <c r="C6011" s="3" t="str">
        <f>IFERROR(__xludf.DUMMYFUNCTION("GOOGLETRANSLATE(B6011,""id"",""en"")"),"['pulse', 'missing', 'how', 'miggu', 'loss', 'pulse', 'Please', 'sorry', 'doang', 'fix', ""]")</f>
        <v>['pulse', 'missing', 'how', 'miggu', 'loss', 'pulse', 'Please', 'sorry', 'doang', 'fix', "]</v>
      </c>
      <c r="D6011" s="3">
        <v>1.0</v>
      </c>
    </row>
    <row r="6012" ht="15.75" customHeight="1">
      <c r="A6012" s="1">
        <v>6411.0</v>
      </c>
      <c r="B6012" s="3" t="s">
        <v>5785</v>
      </c>
      <c r="C6012" s="3" t="str">
        <f>IFERROR(__xludf.DUMMYFUNCTION("GOOGLETRANSLATE(B6012,""id"",""en"")"),"['package', 'quota', 'expensive', 'slow', 'home', 'remote', 'mountain', 'building', 'tree', 'around', 'city', 'near' Tower ',' ngeta ',' slow ',' here ',' Maiag ',' slow ',' user ',' speed ',' normal ',' stream ',' slow ',' sosmed ',' slow ' , 'Game', 'pi"&amp;"ng', 'down', '']")</f>
        <v>['package', 'quota', 'expensive', 'slow', 'home', 'remote', 'mountain', 'building', 'tree', 'around', 'city', 'near' Tower ',' ngeta ',' slow ',' here ',' Maiag ',' slow ',' user ',' speed ',' normal ',' stream ',' slow ',' sosmed ',' slow ' , 'Game', 'ping', 'down', '']</v>
      </c>
      <c r="D6012" s="3">
        <v>1.0</v>
      </c>
    </row>
    <row r="6013" ht="15.75" customHeight="1">
      <c r="A6013" s="1">
        <v>6412.0</v>
      </c>
      <c r="B6013" s="3" t="s">
        <v>5786</v>
      </c>
      <c r="C6013" s="3" t="str">
        <f>IFERROR(__xludf.DUMMYFUNCTION("GOOGLETRANSLATE(B6013,""id"",""en"")"),"['work', 'good', 'send', 'Thankyou', 'KPD', 'Telkomsel', 'Salam', 'KPD', 'Thank you']")</f>
        <v>['work', 'good', 'send', 'Thankyou', 'KPD', 'Telkomsel', 'Salam', 'KPD', 'Thank you']</v>
      </c>
      <c r="D6013" s="3">
        <v>5.0</v>
      </c>
    </row>
    <row r="6014" ht="15.75" customHeight="1">
      <c r="A6014" s="1">
        <v>6413.0</v>
      </c>
      <c r="B6014" s="3" t="s">
        <v>5787</v>
      </c>
      <c r="C6014" s="3" t="str">
        <f>IFERROR(__xludf.DUMMYFUNCTION("GOOGLETRANSLATE(B6014,""id"",""en"")"),"['waduuuh', 'severe', 'Telkomsel', 'packetanakin', 'expensive', 'praaahhhh', 'change', 'card']")</f>
        <v>['waduuuh', 'severe', 'Telkomsel', 'packetanakin', 'expensive', 'praaahhhh', 'change', 'card']</v>
      </c>
      <c r="D6014" s="3">
        <v>2.0</v>
      </c>
    </row>
    <row r="6015" ht="15.75" customHeight="1">
      <c r="A6015" s="1">
        <v>6414.0</v>
      </c>
      <c r="B6015" s="3" t="s">
        <v>5788</v>
      </c>
      <c r="C6015" s="3" t="str">
        <f>IFERROR(__xludf.DUMMYFUNCTION("GOOGLETRANSLATE(B6015,""id"",""en"")"),"['Good', 'Helpful']")</f>
        <v>['Good', 'Helpful']</v>
      </c>
      <c r="D6015" s="3">
        <v>5.0</v>
      </c>
    </row>
    <row r="6016" ht="15.75" customHeight="1">
      <c r="A6016" s="1">
        <v>6415.0</v>
      </c>
      <c r="B6016" s="3" t="s">
        <v>5789</v>
      </c>
      <c r="C6016" s="3" t="str">
        <f>IFERROR(__xludf.DUMMYFUNCTION("GOOGLETRANSLATE(B6016,""id"",""en"")"),"['Excuse', 'Application', 'Out', 'Download', 'Open', 'Please', 'Guidance', '']")</f>
        <v>['Excuse', 'Application', 'Out', 'Download', 'Open', 'Please', 'Guidance', '']</v>
      </c>
      <c r="D6016" s="3">
        <v>2.0</v>
      </c>
    </row>
    <row r="6017" ht="15.75" customHeight="1">
      <c r="A6017" s="1">
        <v>6416.0</v>
      </c>
      <c r="B6017" s="3" t="s">
        <v>5790</v>
      </c>
      <c r="C6017" s="3" t="str">
        <f>IFERROR(__xludf.DUMMYFUNCTION("GOOGLETRANSLATE(B6017,""id"",""en"")"),"['The network', 'deteriorating']")</f>
        <v>['The network', 'deteriorating']</v>
      </c>
      <c r="D6017" s="3">
        <v>3.0</v>
      </c>
    </row>
    <row r="6018" ht="15.75" customHeight="1">
      <c r="A6018" s="1">
        <v>6417.0</v>
      </c>
      <c r="B6018" s="3" t="s">
        <v>5791</v>
      </c>
      <c r="C6018" s="3" t="str">
        <f>IFERROR(__xludf.DUMMYFUNCTION("GOOGLETRANSLATE(B6018,""id"",""en"")"),"['package', 'emergency', 'rb', 'cut', 'pulses',' until ',' rb ',' buy ',' pulse ',' rb ',' already ',' cut ',' rb ',' out ',' ajah ',' truss', 'buy', 'again', 'pulse', 'rb', 'run out', 'again', 'direct', 'cut', 'cut' , 'Rb', 'leftover', 'bill', 'buy', 'pu"&amp;"lse', 'time', 'bru', 'cut', 'rb', 'jdii', 'total', 'pay', ' Package ',' emergency ',' replace ',' card ',' ']")</f>
        <v>['package', 'emergency', 'rb', 'cut', 'pulses',' until ',' rb ',' buy ',' pulse ',' rb ',' already ',' cut ',' rb ',' out ',' ajah ',' truss', 'buy', 'again', 'pulse', 'rb', 'run out', 'again', 'direct', 'cut', 'cut' , 'Rb', 'leftover', 'bill', 'buy', 'pulse', 'time', 'bru', 'cut', 'rb', 'jdii', 'total', 'pay', ' Package ',' emergency ',' replace ',' card ',' ']</v>
      </c>
      <c r="D6018" s="3">
        <v>1.0</v>
      </c>
    </row>
    <row r="6019" ht="15.75" customHeight="1">
      <c r="A6019" s="1">
        <v>6418.0</v>
      </c>
      <c r="B6019" s="3" t="s">
        <v>5792</v>
      </c>
      <c r="C6019" s="3" t="str">
        <f>IFERROR(__xludf.DUMMYFUNCTION("GOOGLETRANSLATE(B6019,""id"",""en"")"),"['confused', 'application', 'opened', 'weighing']")</f>
        <v>['confused', 'application', 'opened', 'weighing']</v>
      </c>
      <c r="D6019" s="3">
        <v>2.0</v>
      </c>
    </row>
    <row r="6020" ht="15.75" customHeight="1">
      <c r="A6020" s="1">
        <v>6419.0</v>
      </c>
      <c r="B6020" s="3" t="s">
        <v>1555</v>
      </c>
      <c r="C6020" s="3" t="str">
        <f>IFERROR(__xludf.DUMMYFUNCTION("GOOGLETRANSLATE(B6020,""id"",""en"")"),"['application', 'open', '']")</f>
        <v>['application', 'open', '']</v>
      </c>
      <c r="D6020" s="3">
        <v>1.0</v>
      </c>
    </row>
    <row r="6021" ht="15.75" customHeight="1">
      <c r="A6021" s="1">
        <v>6420.0</v>
      </c>
      <c r="B6021" s="3" t="s">
        <v>5793</v>
      </c>
      <c r="C6021" s="3" t="str">
        <f>IFERROR(__xludf.DUMMYFUNCTION("GOOGLETRANSLATE(B6021,""id"",""en"")"),"['Price', 'star', 'feet', 'fivea', 'lemoooddd', 'daaaaaaarrr']")</f>
        <v>['Price', 'star', 'feet', 'fivea', 'lemoooddd', 'daaaaaaarrr']</v>
      </c>
      <c r="D6021" s="3">
        <v>1.0</v>
      </c>
    </row>
    <row r="6022" ht="15.75" customHeight="1">
      <c r="A6022" s="1">
        <v>6421.0</v>
      </c>
      <c r="B6022" s="3" t="s">
        <v>5794</v>
      </c>
      <c r="C6022" s="3" t="str">
        <f>IFERROR(__xludf.DUMMYFUNCTION("GOOGLETRANSLATE(B6022,""id"",""en"")"),"['Contents', 'pulse', 'TPI', 'KNPA', 'Applicated', 'check', ""]")</f>
        <v>['Contents', 'pulse', 'TPI', 'KNPA', 'Applicated', 'check', "]</v>
      </c>
      <c r="D6022" s="3">
        <v>3.0</v>
      </c>
    </row>
    <row r="6023" ht="15.75" customHeight="1">
      <c r="A6023" s="1">
        <v>6422.0</v>
      </c>
      <c r="B6023" s="3" t="s">
        <v>5795</v>
      </c>
      <c r="C6023" s="3" t="str">
        <f>IFERROR(__xludf.DUMMYFUNCTION("GOOGLETRANSLATE(B6023,""id"",""en"")"),"['Applications', 'Good', 'BangeeeeEet']")</f>
        <v>['Applications', 'Good', 'BangeeeeEet']</v>
      </c>
      <c r="D6023" s="3">
        <v>5.0</v>
      </c>
    </row>
    <row r="6024" ht="15.75" customHeight="1">
      <c r="A6024" s="1">
        <v>6423.0</v>
      </c>
      <c r="B6024" s="3" t="s">
        <v>5796</v>
      </c>
      <c r="C6024" s="3" t="str">
        <f>IFERROR(__xludf.DUMMYFUNCTION("GOOGLETRANSLATE(B6024,""id"",""en"")"),"['Bgus', 'Easy', 'Simple', 'Access']")</f>
        <v>['Bgus', 'Easy', 'Simple', 'Access']</v>
      </c>
      <c r="D6024" s="3">
        <v>5.0</v>
      </c>
    </row>
    <row r="6025" ht="15.75" customHeight="1">
      <c r="A6025" s="1">
        <v>6424.0</v>
      </c>
      <c r="B6025" s="3" t="s">
        <v>5797</v>
      </c>
      <c r="C6025" s="3" t="str">
        <f>IFERROR(__xludf.DUMMYFUNCTION("GOOGLETRANSLATE(B6025,""id"",""en"")"),"['package', 'Doang', 'expensive', 'play', 'game', 'ngelag', 'mending', 'tri', 'ngelag', 'cheap', 'rich', 'expensive', ' Ngellag ']")</f>
        <v>['package', 'Doang', 'expensive', 'play', 'game', 'ngelag', 'mending', 'tri', 'ngelag', 'cheap', 'rich', 'expensive', ' Ngellag ']</v>
      </c>
      <c r="D6025" s="3">
        <v>1.0</v>
      </c>
    </row>
    <row r="6026" ht="15.75" customHeight="1">
      <c r="A6026" s="1">
        <v>6425.0</v>
      </c>
      <c r="B6026" s="3" t="s">
        <v>5798</v>
      </c>
      <c r="C6026" s="3" t="str">
        <f>IFERROR(__xludf.DUMMYFUNCTION("GOOGLETRANSLATE(B6026,""id"",""en"")"),"['Hello', 'min', 'points', 'exchange', 'voucher', 'free', 'fire', 'no', 'please', 'min', 'cave', 'exchange']")</f>
        <v>['Hello', 'min', 'points', 'exchange', 'voucher', 'free', 'fire', 'no', 'please', 'min', 'cave', 'exchange']</v>
      </c>
      <c r="D6026" s="3">
        <v>3.0</v>
      </c>
    </row>
    <row r="6027" ht="15.75" customHeight="1">
      <c r="A6027" s="1">
        <v>6426.0</v>
      </c>
      <c r="B6027" s="3" t="s">
        <v>5799</v>
      </c>
      <c r="C6027" s="3" t="str">
        <f>IFERROR(__xludf.DUMMYFUNCTION("GOOGLETRANSLATE(B6027,""id"",""en"")"),"['Please', 'Hold', 'Perbuerian', 'Package', 'Automatic', 'The Application', 'Issible', 'Phone', 'Etc.', 'Package', 'Lola', 'Disable', ' Berahlih ',' crafts', 'Telkomsel']")</f>
        <v>['Please', 'Hold', 'Perbuerian', 'Package', 'Automatic', 'The Application', 'Issible', 'Phone', 'Etc.', 'Package', 'Lola', 'Disable', ' Berahlih ',' crafts', 'Telkomsel']</v>
      </c>
      <c r="D6027" s="3">
        <v>5.0</v>
      </c>
    </row>
    <row r="6028" ht="15.75" customHeight="1">
      <c r="A6028" s="1">
        <v>6427.0</v>
      </c>
      <c r="B6028" s="3" t="s">
        <v>5800</v>
      </c>
      <c r="C6028" s="3" t="str">
        <f>IFERROR(__xludf.DUMMYFUNCTION("GOOGLETRANSLATE(B6028,""id"",""en"")"),"['quota', 'expensive']")</f>
        <v>['quota', 'expensive']</v>
      </c>
      <c r="D6028" s="3">
        <v>1.0</v>
      </c>
    </row>
    <row r="6029" ht="15.75" customHeight="1">
      <c r="A6029" s="1">
        <v>6428.0</v>
      </c>
      <c r="B6029" s="3" t="s">
        <v>5801</v>
      </c>
      <c r="C6029" s="3" t="str">
        <f>IFERROR(__xludf.DUMMYFUNCTION("GOOGLETRANSLATE(B6029,""id"",""en"")"),"['Price', 'Package', 'Data', 'Collapin']")</f>
        <v>['Price', 'Package', 'Data', 'Collapin']</v>
      </c>
      <c r="D6029" s="3">
        <v>5.0</v>
      </c>
    </row>
    <row r="6030" ht="15.75" customHeight="1">
      <c r="A6030" s="1">
        <v>6429.0</v>
      </c>
      <c r="B6030" s="3" t="s">
        <v>5802</v>
      </c>
      <c r="C6030" s="3" t="str">
        <f>IFERROR(__xludf.DUMMYFUNCTION("GOOGLETRANSLATE(B6030,""id"",""en"")"),"['pulse', 'slow', '']")</f>
        <v>['pulse', 'slow', '']</v>
      </c>
      <c r="D6030" s="3">
        <v>5.0</v>
      </c>
    </row>
    <row r="6031" ht="15.75" customHeight="1">
      <c r="A6031" s="1">
        <v>6430.0</v>
      </c>
      <c r="B6031" s="3" t="s">
        <v>5803</v>
      </c>
      <c r="C6031" s="3" t="str">
        <f>IFERROR(__xludf.DUMMYFUNCTION("GOOGLETRANSLATE(B6031,""id"",""en"")"),"['How', 'enter', 'application', 'update', 'application', 'please', 'fix', 'apk', 'Telkomsel', '']")</f>
        <v>['How', 'enter', 'application', 'update', 'application', 'please', 'fix', 'apk', 'Telkomsel', '']</v>
      </c>
      <c r="D6031" s="3">
        <v>1.0</v>
      </c>
    </row>
    <row r="6032" ht="15.75" customHeight="1">
      <c r="A6032" s="1">
        <v>6431.0</v>
      </c>
      <c r="B6032" s="3" t="s">
        <v>5804</v>
      </c>
      <c r="C6032" s="3" t="str">
        <f>IFERROR(__xludf.DUMMYFUNCTION("GOOGLETRANSLATE(B6032,""id"",""en"")"),"['', 'opened', 'application']")</f>
        <v>['', 'opened', 'application']</v>
      </c>
      <c r="D6032" s="3">
        <v>1.0</v>
      </c>
    </row>
    <row r="6033" ht="15.75" customHeight="1">
      <c r="A6033" s="1">
        <v>6432.0</v>
      </c>
      <c r="B6033" s="3" t="s">
        <v>5805</v>
      </c>
      <c r="C6033" s="3" t="str">
        <f>IFERROR(__xludf.DUMMYFUNCTION("GOOGLETRANSLATE(B6033,""id"",""en"")"),"['Fullya', 'Good', '']")</f>
        <v>['Fullya', 'Good', '']</v>
      </c>
      <c r="D6033" s="3">
        <v>5.0</v>
      </c>
    </row>
    <row r="6034" ht="15.75" customHeight="1">
      <c r="A6034" s="1">
        <v>6433.0</v>
      </c>
      <c r="B6034" s="3" t="s">
        <v>5806</v>
      </c>
      <c r="C6034" s="3" t="str">
        <f>IFERROR(__xludf.DUMMYFUNCTION("GOOGLETRANSLATE(B6034,""id"",""en"")"),"['Quota', 'fast', 'Abis', 'Telkomsel', 'Open', '']")</f>
        <v>['Quota', 'fast', 'Abis', 'Telkomsel', 'Open', '']</v>
      </c>
      <c r="D6034" s="3">
        <v>5.0</v>
      </c>
    </row>
    <row r="6035" ht="15.75" customHeight="1">
      <c r="A6035" s="1">
        <v>6434.0</v>
      </c>
      <c r="B6035" s="3" t="s">
        <v>5807</v>
      </c>
      <c r="C6035" s="3" t="str">
        <f>IFERROR(__xludf.DUMMYFUNCTION("GOOGLETRANSLATE(B6035,""id"",""en"")"),"['Package', 'expensive', 'Mahall']")</f>
        <v>['Package', 'expensive', 'Mahall']</v>
      </c>
      <c r="D6035" s="3">
        <v>5.0</v>
      </c>
    </row>
    <row r="6036" ht="15.75" customHeight="1">
      <c r="A6036" s="1">
        <v>6435.0</v>
      </c>
      <c r="B6036" s="3" t="s">
        <v>5808</v>
      </c>
      <c r="C6036" s="3" t="str">
        <f>IFERROR(__xludf.DUMMYFUNCTION("GOOGLETRANSLATE(B6036,""id"",""en"")"),"['plis',' cave ',' stress', 'cave', 'play', 'game', 'little', 'little', 'the network', 'error', 'right', 'war', ' right ',' cave ',' contents', 'pulse', 'sumps',' the reason ',' written ',' use ',' internet ',' non ',' package ',' pdhal ',' there ' , 'I',"&amp;" 'Open', 'cave', 'forget', 'Matiin', 'data', 'emg', 'influence', 'cave', 'loss',' bnr ',' loss', ' loss ',' loss ',' cave ',' beg "", 'really', 'network', 'improve', 'error', 'mulu', 'cave', 'annoyed', 'really', 'cave' , 'Telkom', 'card', 'next door', 'GD"&amp;"A', 'Skian', 'Thank', 'Emotion', '']")</f>
        <v>['plis',' cave ',' stress', 'cave', 'play', 'game', 'little', 'little', 'the network', 'error', 'right', 'war', ' right ',' cave ',' contents', 'pulse', 'sumps',' the reason ',' written ',' use ',' internet ',' non ',' package ',' pdhal ',' there ' , 'I', 'Open', 'cave', 'forget', 'Matiin', 'data', 'emg', 'influence', 'cave', 'loss',' bnr ',' loss', ' loss ',' loss ',' cave ',' beg ", 'really', 'network', 'improve', 'error', 'mulu', 'cave', 'annoyed', 'really', 'cave' , 'Telkom', 'card', 'next door', 'GDA', 'Skian', 'Thank', 'Emotion', '']</v>
      </c>
      <c r="D6036" s="3">
        <v>1.0</v>
      </c>
    </row>
    <row r="6037" ht="15.75" customHeight="1">
      <c r="A6037" s="1">
        <v>6436.0</v>
      </c>
      <c r="B6037" s="3" t="s">
        <v>2141</v>
      </c>
      <c r="C6037" s="3" t="str">
        <f>IFERROR(__xludf.DUMMYFUNCTION("GOOGLETRANSLATE(B6037,""id"",""en"")"),"['Enhanced']")</f>
        <v>['Enhanced']</v>
      </c>
      <c r="D6037" s="3">
        <v>5.0</v>
      </c>
    </row>
    <row r="6038" ht="15.75" customHeight="1">
      <c r="A6038" s="1">
        <v>6437.0</v>
      </c>
      <c r="B6038" s="3" t="s">
        <v>5809</v>
      </c>
      <c r="C6038" s="3" t="str">
        <f>IFERROR(__xludf.DUMMYFUNCTION("GOOGLETRANSLATE(B6038,""id"",""en"")"),"['app', 'Bukak', 'signal', 'sympathy', 'severe', '']")</f>
        <v>['app', 'Bukak', 'signal', 'sympathy', 'severe', '']</v>
      </c>
      <c r="D6038" s="3">
        <v>1.0</v>
      </c>
    </row>
    <row r="6039" ht="15.75" customHeight="1">
      <c r="A6039" s="1">
        <v>6438.0</v>
      </c>
      <c r="B6039" s="3" t="s">
        <v>5810</v>
      </c>
      <c r="C6039" s="3" t="str">
        <f>IFERROR(__xludf.DUMMYFUNCTION("GOOGLETRANSLATE(B6039,""id"",""en"")"),"['network', 'Tapanuli', 'South', 'disappointing', 'network', 'next door', 'play', 'game', 'severe', 'user', 'disappointed', 'fix', ' network ',' primary ',' network ',' slow ']")</f>
        <v>['network', 'Tapanuli', 'South', 'disappointing', 'network', 'next door', 'play', 'game', 'severe', 'user', 'disappointed', 'fix', ' network ',' primary ',' network ',' slow ']</v>
      </c>
      <c r="D6039" s="3">
        <v>5.0</v>
      </c>
    </row>
    <row r="6040" ht="15.75" customHeight="1">
      <c r="A6040" s="1">
        <v>6439.0</v>
      </c>
      <c r="B6040" s="3" t="s">
        <v>5811</v>
      </c>
      <c r="C6040" s="3" t="str">
        <f>IFERROR(__xludf.DUMMYFUNCTION("GOOGLETRANSLATE(B6040,""id"",""en"")"),"['protest', 'pulse', 'buy', 'package', 'leftover', 'right', 'check', 'leftover', ""]")</f>
        <v>['protest', 'pulse', 'buy', 'package', 'leftover', 'right', 'check', 'leftover', "]</v>
      </c>
      <c r="D6040" s="3">
        <v>1.0</v>
      </c>
    </row>
    <row r="6041" ht="15.75" customHeight="1">
      <c r="A6041" s="1">
        <v>6441.0</v>
      </c>
      <c r="B6041" s="3" t="s">
        <v>5812</v>
      </c>
      <c r="C6041" s="3" t="str">
        <f>IFERROR(__xludf.DUMMYFUNCTION("GOOGLETRANSLATE(B6041,""id"",""en"")"),"['interesting', 'benefits', 'hope', 'lucky']")</f>
        <v>['interesting', 'benefits', 'hope', 'lucky']</v>
      </c>
      <c r="D6041" s="3">
        <v>4.0</v>
      </c>
    </row>
    <row r="6042" ht="15.75" customHeight="1">
      <c r="A6042" s="1">
        <v>6443.0</v>
      </c>
      <c r="B6042" s="3" t="s">
        <v>5813</v>
      </c>
      <c r="C6042" s="3" t="str">
        <f>IFERROR(__xludf.DUMMYFUNCTION("GOOGLETRANSLATE(B6042,""id"",""en"")"),"['Price', 'Package', 'Data', 'MyTelkomsel', 'Different', 'MyTelkomsel', 'Friends',' Telkomsel ',' Switch ',' Provider ',' Buntung ',' Use ',' Telkomsel ',' Network ',' Good ',' ']")</f>
        <v>['Price', 'Package', 'Data', 'MyTelkomsel', 'Different', 'MyTelkomsel', 'Friends',' Telkomsel ',' Switch ',' Provider ',' Buntung ',' Use ',' Telkomsel ',' Network ',' Good ',' ']</v>
      </c>
      <c r="D6042" s="3">
        <v>1.0</v>
      </c>
    </row>
    <row r="6043" ht="15.75" customHeight="1">
      <c r="A6043" s="1">
        <v>6444.0</v>
      </c>
      <c r="B6043" s="3" t="s">
        <v>5814</v>
      </c>
      <c r="C6043" s="3" t="str">
        <f>IFERROR(__xludf.DUMMYFUNCTION("GOOGLETRANSLATE(B6043,""id"",""en"")"),"['Teruntuk', 'Telkomsel', 'signal', 'ilang', 'then', 'Kouta', 'BNYK', 'week', 'purchase', 'package', 'data', 'price', ' Ultiminted ',' Push ',' Rank ',' Signal ',' Error ',' Error ',' Tross', 'PDHAL', 'City', 'Tangerang', 'Package', 'CPT', 'Out' , 'Sampe'"&amp;", 'bln', 'week', 'cpt', 'hbissss']")</f>
        <v>['Teruntuk', 'Telkomsel', 'signal', 'ilang', 'then', 'Kouta', 'BNYK', 'week', 'purchase', 'package', 'data', 'price', ' Ultiminted ',' Push ',' Rank ',' Signal ',' Error ',' Error ',' Tross', 'PDHAL', 'City', 'Tangerang', 'Package', 'CPT', 'Out' , 'Sampe', 'bln', 'week', 'cpt', 'hbissss']</v>
      </c>
      <c r="D6043" s="3">
        <v>1.0</v>
      </c>
    </row>
    <row r="6044" ht="15.75" customHeight="1">
      <c r="A6044" s="1">
        <v>6445.0</v>
      </c>
      <c r="B6044" s="3" t="s">
        <v>5815</v>
      </c>
      <c r="C6044" s="3" t="str">
        <f>IFERROR(__xludf.DUMMYFUNCTION("GOOGLETRANSLATE(B6044,""id"",""en"")"),"['Good', 'package', 'cheap']")</f>
        <v>['Good', 'package', 'cheap']</v>
      </c>
      <c r="D6044" s="3">
        <v>5.0</v>
      </c>
    </row>
    <row r="6045" ht="15.75" customHeight="1">
      <c r="A6045" s="1">
        <v>6446.0</v>
      </c>
      <c r="B6045" s="3" t="s">
        <v>471</v>
      </c>
      <c r="C6045" s="3" t="str">
        <f>IFERROR(__xludf.DUMMYFUNCTION("GOOGLETRANSLATE(B6045,""id"",""en"")"),"['']")</f>
        <v>['']</v>
      </c>
      <c r="D6045" s="3">
        <v>1.0</v>
      </c>
    </row>
    <row r="6046" ht="15.75" customHeight="1">
      <c r="A6046" s="1">
        <v>6447.0</v>
      </c>
      <c r="B6046" s="3" t="s">
        <v>5816</v>
      </c>
      <c r="C6046" s="3" t="str">
        <f>IFERROR(__xludf.DUMMYFUNCTION("GOOGLETRANSLATE(B6046,""id"",""en"")"),"['Faham', 'contents',' pulse ',' contents', 'buy', 'quota', 'direct', 'eat', 'quota', 'doang', 'expensive', 'network', ' Leet ',' rich ',' snail ',' in the city ',' forest ',' ']")</f>
        <v>['Faham', 'contents',' pulse ',' contents', 'buy', 'quota', 'direct', 'eat', 'quota', 'doang', 'expensive', 'network', ' Leet ',' rich ',' snail ',' in the city ',' forest ',' ']</v>
      </c>
      <c r="D6046" s="3">
        <v>1.0</v>
      </c>
    </row>
    <row r="6047" ht="15.75" customHeight="1">
      <c r="A6047" s="1">
        <v>6448.0</v>
      </c>
      <c r="B6047" s="3" t="s">
        <v>5817</v>
      </c>
      <c r="C6047" s="3" t="str">
        <f>IFERROR(__xludf.DUMMYFUNCTION("GOOGLETRANSLATE(B6047,""id"",""en"")"),"['Telkomsel', 'Network', 'No', 'Limit']")</f>
        <v>['Telkomsel', 'Network', 'No', 'Limit']</v>
      </c>
      <c r="D6047" s="3">
        <v>5.0</v>
      </c>
    </row>
    <row r="6048" ht="15.75" customHeight="1">
      <c r="A6048" s="1">
        <v>6449.0</v>
      </c>
      <c r="B6048" s="3" t="s">
        <v>5818</v>
      </c>
      <c r="C6048" s="3" t="str">
        <f>IFERROR(__xludf.DUMMYFUNCTION("GOOGLETRANSLATE(B6048,""id"",""en"")"),"['Specifications',' according to ',' APKIKAH ','AAA', '']")</f>
        <v>['Specifications',' according to ',' APKIKAH ','AAA', '']</v>
      </c>
      <c r="D6048" s="3">
        <v>1.0</v>
      </c>
    </row>
    <row r="6049" ht="15.75" customHeight="1">
      <c r="A6049" s="1">
        <v>6450.0</v>
      </c>
      <c r="B6049" s="3" t="s">
        <v>5819</v>
      </c>
      <c r="C6049" s="3" t="str">
        <f>IFERROR(__xludf.DUMMYFUNCTION("GOOGLETRANSLATE(B6049,""id"",""en"")"),"['Application', 'opened', 'already', 'Install', 'Uninstall', 'Masi', 'stak', 'screen', 'white']")</f>
        <v>['Application', 'opened', 'already', 'Install', 'Uninstall', 'Masi', 'stak', 'screen', 'white']</v>
      </c>
      <c r="D6049" s="3">
        <v>1.0</v>
      </c>
    </row>
    <row r="6050" ht="15.75" customHeight="1">
      <c r="A6050" s="1">
        <v>6452.0</v>
      </c>
      <c r="B6050" s="3" t="s">
        <v>5820</v>
      </c>
      <c r="C6050" s="3" t="str">
        <f>IFERROR(__xludf.DUMMYFUNCTION("GOOGLETRANSLATE(B6050,""id"",""en"")"),"['Network', 'pulp']")</f>
        <v>['Network', 'pulp']</v>
      </c>
      <c r="D6050" s="3">
        <v>1.0</v>
      </c>
    </row>
    <row r="6051" ht="15.75" customHeight="1">
      <c r="A6051" s="1">
        <v>6453.0</v>
      </c>
      <c r="B6051" s="3" t="s">
        <v>5821</v>
      </c>
      <c r="C6051" s="3" t="str">
        <f>IFERROR(__xludf.DUMMYFUNCTION("GOOGLETRANSLATE(B6051,""id"",""en"")"),"['Please', 'Fix', 'Amu', 'Rendem', 'skrng', 'APK', 'Ajing']")</f>
        <v>['Please', 'Fix', 'Amu', 'Rendem', 'skrng', 'APK', 'Ajing']</v>
      </c>
      <c r="D6051" s="3">
        <v>1.0</v>
      </c>
    </row>
    <row r="6052" ht="15.75" customHeight="1">
      <c r="A6052" s="1">
        <v>6454.0</v>
      </c>
      <c r="B6052" s="3" t="s">
        <v>5822</v>
      </c>
      <c r="C6052" s="3" t="str">
        <f>IFERROR(__xludf.DUMMYFUNCTION("GOOGLETRANSLATE(B6052,""id"",""en"")"),"['Credit', 'Cut', 'Credit', 'Emergency', 'Live', 'work', 'go home', 'work', 'Live', 'Gini', 'Search', 'money', ' COKK ',' weve ',' silver ',' account ',' imagine ',' account ',' gini ', ""]")</f>
        <v>['Credit', 'Cut', 'Credit', 'Emergency', 'Live', 'work', 'go home', 'work', 'Live', 'Gini', 'Search', 'money', ' COKK ',' weve ',' silver ',' account ',' imagine ',' account ',' gini ', "]</v>
      </c>
      <c r="D6052" s="3">
        <v>1.0</v>
      </c>
    </row>
    <row r="6053" ht="15.75" customHeight="1">
      <c r="A6053" s="1">
        <v>6455.0</v>
      </c>
      <c r="B6053" s="3" t="s">
        <v>5823</v>
      </c>
      <c r="C6053" s="3" t="str">
        <f>IFERROR(__xludf.DUMMYFUNCTION("GOOGLETRANSLATE(B6053,""id"",""en"")"),"['Style', 'Doang', 'Kayak', 'Good', 'Original', 'Beh', 'Ngilak', 'Telkom', 'Gaada', 'Signal', 'BURIK']")</f>
        <v>['Style', 'Doang', 'Kayak', 'Good', 'Original', 'Beh', 'Ngilak', 'Telkom', 'Gaada', 'Signal', 'BURIK']</v>
      </c>
      <c r="D6053" s="3">
        <v>1.0</v>
      </c>
    </row>
    <row r="6054" ht="15.75" customHeight="1">
      <c r="A6054" s="1">
        <v>6457.0</v>
      </c>
      <c r="B6054" s="3" t="s">
        <v>5824</v>
      </c>
      <c r="C6054" s="3" t="str">
        <f>IFERROR(__xludf.DUMMYFUNCTION("GOOGLETRANSLATE(B6054,""id"",""en"")"),"['Cool', 'Abis', 'lancaaarrrr']")</f>
        <v>['Cool', 'Abis', 'lancaaarrrr']</v>
      </c>
      <c r="D6054" s="3">
        <v>5.0</v>
      </c>
    </row>
    <row r="6055" ht="15.75" customHeight="1">
      <c r="A6055" s="1">
        <v>6458.0</v>
      </c>
      <c r="B6055" s="3" t="s">
        <v>5825</v>
      </c>
      <c r="C6055" s="3" t="str">
        <f>IFERROR(__xludf.DUMMYFUNCTION("GOOGLETRANSLATE(B6055,""id"",""en"")"),"['woiiii', 'pulse', 'thief', 'reverse', 'napa', 'min', 'play', 'take', 'gajelas', 'minnn']")</f>
        <v>['woiiii', 'pulse', 'thief', 'reverse', 'napa', 'min', 'play', 'take', 'gajelas', 'minnn']</v>
      </c>
      <c r="D6055" s="3">
        <v>1.0</v>
      </c>
    </row>
    <row r="6056" ht="15.75" customHeight="1">
      <c r="A6056" s="1">
        <v>6459.0</v>
      </c>
      <c r="B6056" s="3" t="s">
        <v>5826</v>
      </c>
      <c r="C6056" s="3" t="str">
        <f>IFERROR(__xludf.DUMMYFUNCTION("GOOGLETRANSLATE(B6056,""id"",""en"")"),"['confused', 'download', 'app', 'arising', 'screen', 'telkomsel', 'app', 'severe', 'luck', 'theft', 'pulse', 'use', ' Yahah ',' missing ',' a little ',' really ',' severe ',' shy ',' shyin ',' customer ']")</f>
        <v>['confused', 'download', 'app', 'arising', 'screen', 'telkomsel', 'app', 'severe', 'luck', 'theft', 'pulse', 'use', ' Yahah ',' missing ',' a little ',' really ',' severe ',' shy ',' shyin ',' customer ']</v>
      </c>
      <c r="D6056" s="3">
        <v>1.0</v>
      </c>
    </row>
    <row r="6057" ht="15.75" customHeight="1">
      <c r="A6057" s="1">
        <v>6460.0</v>
      </c>
      <c r="B6057" s="3" t="s">
        <v>5827</v>
      </c>
      <c r="C6057" s="3" t="str">
        <f>IFERROR(__xludf.DUMMYFUNCTION("GOOGLETRANSLATE(B6057,""id"",""en"")"),"['Anjig', 'orphaned', 'Telkomsel', 'Anjig', 'Ngelag', 'really', 'Delete', 'Ajh', 'card']")</f>
        <v>['Anjig', 'orphaned', 'Telkomsel', 'Anjig', 'Ngelag', 'really', 'Delete', 'Ajh', 'card']</v>
      </c>
      <c r="D6057" s="3">
        <v>1.0</v>
      </c>
    </row>
    <row r="6058" ht="15.75" customHeight="1">
      <c r="A6058" s="1">
        <v>6461.0</v>
      </c>
      <c r="B6058" s="3" t="s">
        <v>5828</v>
      </c>
      <c r="C6058" s="3" t="str">
        <f>IFERROR(__xludf.DUMMYFUNCTION("GOOGLETRANSLATE(B6058,""id"",""en"")"),"['Believe', 'Telkom', 'Disappointed', 'paved', 'Telkomsel', ""]")</f>
        <v>['Believe', 'Telkom', 'Disappointed', 'paved', 'Telkomsel', "]</v>
      </c>
      <c r="D6058" s="3">
        <v>1.0</v>
      </c>
    </row>
    <row r="6059" ht="15.75" customHeight="1">
      <c r="A6059" s="1">
        <v>6462.0</v>
      </c>
      <c r="B6059" s="3" t="s">
        <v>5829</v>
      </c>
      <c r="C6059" s="3" t="str">
        <f>IFERROR(__xludf.DUMMYFUNCTION("GOOGLETRANSLATE(B6059,""id"",""en"")"),"['Network', 'Telkomsel', 'LEG']")</f>
        <v>['Network', 'Telkomsel', 'LEG']</v>
      </c>
      <c r="D6059" s="3">
        <v>1.0</v>
      </c>
    </row>
    <row r="6060" ht="15.75" customHeight="1">
      <c r="A6060" s="1">
        <v>6463.0</v>
      </c>
      <c r="B6060" s="3" t="s">
        <v>5830</v>
      </c>
      <c r="C6060" s="3" t="str">
        <f>IFERROR(__xludf.DUMMYFUNCTION("GOOGLETRANSLATE(B6060,""id"",""en"")"),"['Network', 'ngtod']")</f>
        <v>['Network', 'ngtod']</v>
      </c>
      <c r="D6060" s="3">
        <v>1.0</v>
      </c>
    </row>
    <row r="6061" ht="15.75" customHeight="1">
      <c r="A6061" s="1">
        <v>6464.0</v>
      </c>
      <c r="B6061" s="3" t="s">
        <v>5831</v>
      </c>
      <c r="C6061" s="3" t="str">
        <f>IFERROR(__xludf.DUMMYFUNCTION("GOOGLETRANSLATE(B6061,""id"",""en"")"),"['Telkomsel', 'app', 'open', 'a week', 'need', 'app', '']")</f>
        <v>['Telkomsel', 'app', 'open', 'a week', 'need', 'app', '']</v>
      </c>
      <c r="D6061" s="3">
        <v>1.0</v>
      </c>
    </row>
    <row r="6062" ht="15.75" customHeight="1">
      <c r="A6062" s="1">
        <v>6465.0</v>
      </c>
      <c r="B6062" s="3" t="s">
        <v>5832</v>
      </c>
      <c r="C6062" s="3" t="str">
        <f>IFERROR(__xludf.DUMMYFUNCTION("GOOGLETRANSLATE(B6062,""id"",""en"")"),"['hope', 'gievaw']")</f>
        <v>['hope', 'gievaw']</v>
      </c>
      <c r="D6062" s="3">
        <v>5.0</v>
      </c>
    </row>
    <row r="6063" ht="15.75" customHeight="1">
      <c r="A6063" s="1">
        <v>6466.0</v>
      </c>
      <c r="B6063" s="3" t="s">
        <v>1588</v>
      </c>
      <c r="C6063" s="3" t="str">
        <f>IFERROR(__xludf.DUMMYFUNCTION("GOOGLETRANSLATE(B6063,""id"",""en"")"),"['Price', 'package', 'expensive']")</f>
        <v>['Price', 'package', 'expensive']</v>
      </c>
      <c r="D6063" s="3">
        <v>4.0</v>
      </c>
    </row>
    <row r="6064" ht="15.75" customHeight="1">
      <c r="A6064" s="1">
        <v>6467.0</v>
      </c>
      <c r="B6064" s="3" t="s">
        <v>5833</v>
      </c>
      <c r="C6064" s="3" t="str">
        <f>IFERROR(__xludf.DUMMYFUNCTION("GOOGLETRANSLATE(B6064,""id"",""en"")"),"['Alhamdulillah', 'bang', 'good']")</f>
        <v>['Alhamdulillah', 'bang', 'good']</v>
      </c>
      <c r="D6064" s="3">
        <v>3.0</v>
      </c>
    </row>
    <row r="6065" ht="15.75" customHeight="1">
      <c r="A6065" s="1">
        <v>6468.0</v>
      </c>
      <c r="B6065" s="3" t="s">
        <v>5834</v>
      </c>
      <c r="C6065" s="3" t="str">
        <f>IFERROR(__xludf.DUMMYFUNCTION("GOOGLETRANSLATE(B6065,""id"",""en"")"),"['Malem', 'like', 'leg', 'please', 'fix', 'love', 'star', ""]")</f>
        <v>['Malem', 'like', 'leg', 'please', 'fix', 'love', 'star', "]</v>
      </c>
      <c r="D6065" s="3">
        <v>1.0</v>
      </c>
    </row>
    <row r="6066" ht="15.75" customHeight="1">
      <c r="A6066" s="1">
        <v>6469.0</v>
      </c>
      <c r="B6066" s="3" t="s">
        <v>5835</v>
      </c>
      <c r="C6066" s="3" t="str">
        <f>IFERROR(__xludf.DUMMYFUNCTION("GOOGLETRANSLATE(B6066,""id"",""en"")"),"['Package', 'buy', 'buy']")</f>
        <v>['Package', 'buy', 'buy']</v>
      </c>
      <c r="D6066" s="3">
        <v>1.0</v>
      </c>
    </row>
    <row r="6067" ht="15.75" customHeight="1">
      <c r="A6067" s="1">
        <v>6470.0</v>
      </c>
      <c r="B6067" s="3" t="s">
        <v>5836</v>
      </c>
      <c r="C6067" s="3" t="str">
        <f>IFERROR(__xludf.DUMMYFUNCTION("GOOGLETRANSLATE(B6067,""id"",""en"")"),"['Steady', 'lbih', 'Addin', 'promo']")</f>
        <v>['Steady', 'lbih', 'Addin', 'promo']</v>
      </c>
      <c r="D6067" s="3">
        <v>5.0</v>
      </c>
    </row>
    <row r="6068" ht="15.75" customHeight="1">
      <c r="A6068" s="1">
        <v>6471.0</v>
      </c>
      <c r="B6068" s="3" t="s">
        <v>5837</v>
      </c>
      <c r="C6068" s="3" t="str">
        <f>IFERROR(__xludf.DUMMYFUNCTION("GOOGLETRANSLATE(B6068,""id"",""en"")"),"['ksih', 'star', 'ajh', 'emang', 'telkomsel', 'signal', 'slow', 'then', 'take', 'pulses']")</f>
        <v>['ksih', 'star', 'ajh', 'emang', 'telkomsel', 'signal', 'slow', 'then', 'take', 'pulses']</v>
      </c>
      <c r="D6068" s="3">
        <v>2.0</v>
      </c>
    </row>
    <row r="6069" ht="15.75" customHeight="1">
      <c r="A6069" s="1">
        <v>6472.0</v>
      </c>
      <c r="B6069" s="3" t="s">
        <v>1528</v>
      </c>
      <c r="C6069" s="3" t="str">
        <f>IFERROR(__xludf.DUMMYFUNCTION("GOOGLETRANSLATE(B6069,""id"",""en"")"),"['Help', 'user']")</f>
        <v>['Help', 'user']</v>
      </c>
      <c r="D6069" s="3">
        <v>4.0</v>
      </c>
    </row>
    <row r="6070" ht="15.75" customHeight="1">
      <c r="A6070" s="1">
        <v>6473.0</v>
      </c>
      <c r="B6070" s="3" t="s">
        <v>5838</v>
      </c>
      <c r="C6070" s="3" t="str">
        <f>IFERROR(__xludf.DUMMYFUNCTION("GOOGLETRANSLATE(B6070,""id"",""en"")"),"['Telkomsel', 'Drop', '']")</f>
        <v>['Telkomsel', 'Drop', '']</v>
      </c>
      <c r="D6070" s="3">
        <v>5.0</v>
      </c>
    </row>
    <row r="6071" ht="15.75" customHeight="1">
      <c r="A6071" s="1">
        <v>6474.0</v>
      </c>
      <c r="B6071" s="3" t="s">
        <v>5839</v>
      </c>
      <c r="C6071" s="3" t="str">
        <f>IFERROR(__xludf.DUMMYFUNCTION("GOOGLETRANSLATE(B6071,""id"",""en"")"),"['Good', 'App']")</f>
        <v>['Good', 'App']</v>
      </c>
      <c r="D6071" s="3">
        <v>5.0</v>
      </c>
    </row>
    <row r="6072" ht="15.75" customHeight="1">
      <c r="A6072" s="1">
        <v>6475.0</v>
      </c>
      <c r="B6072" s="3" t="s">
        <v>2760</v>
      </c>
      <c r="C6072" s="3" t="str">
        <f>IFERROR(__xludf.DUMMYFUNCTION("GOOGLETRANSLATE(B6072,""id"",""en"")"),"['Signal', 'Telkomsel']")</f>
        <v>['Signal', 'Telkomsel']</v>
      </c>
      <c r="D6072" s="3">
        <v>5.0</v>
      </c>
    </row>
    <row r="6073" ht="15.75" customHeight="1">
      <c r="A6073" s="1">
        <v>6476.0</v>
      </c>
      <c r="B6073" s="3" t="s">
        <v>5840</v>
      </c>
      <c r="C6073" s="3" t="str">
        <f>IFERROR(__xludf.DUMMYFUNCTION("GOOGLETRANSLATE(B6073,""id"",""en"")"),"['The application', 'open', 'fit', 'uninstall', 'right', 'install', 'okay', 'hmmm']")</f>
        <v>['The application', 'open', 'fit', 'uninstall', 'right', 'install', 'okay', 'hmmm']</v>
      </c>
      <c r="D6073" s="3">
        <v>1.0</v>
      </c>
    </row>
    <row r="6074" ht="15.75" customHeight="1">
      <c r="A6074" s="1">
        <v>6477.0</v>
      </c>
      <c r="B6074" s="3" t="s">
        <v>5841</v>
      </c>
      <c r="C6074" s="3" t="str">
        <f>IFERROR(__xludf.DUMMYFUNCTION("GOOGLETRANSLATE(B6074,""id"",""en"")"),"['', 'Sia', 'APK', 'Main', 'Game', 'Seneng', 'Gift', 'APK', ""]")</f>
        <v>['', 'Sia', 'APK', 'Main', 'Game', 'Seneng', 'Gift', 'APK', "]</v>
      </c>
      <c r="D6074" s="3">
        <v>5.0</v>
      </c>
    </row>
    <row r="6075" ht="15.75" customHeight="1">
      <c r="A6075" s="1">
        <v>6478.0</v>
      </c>
      <c r="B6075" s="3" t="s">
        <v>5842</v>
      </c>
      <c r="C6075" s="3" t="str">
        <f>IFERROR(__xludf.DUMMYFUNCTION("GOOGLETRANSLATE(B6075,""id"",""en"")"),"['application', 'knp', 'skrng', 'jdi', 'jlek', 'open', 'blukk', 'then', 'please', 'prbaik', 'brang', 'install', ' Mssih ',' ttp ',' blilled ', ""]")</f>
        <v>['application', 'knp', 'skrng', 'jdi', 'jlek', 'open', 'blukk', 'then', 'please', 'prbaik', 'brang', 'install', ' Mssih ',' ttp ',' blilled ', "]</v>
      </c>
      <c r="D6075" s="3">
        <v>1.0</v>
      </c>
    </row>
    <row r="6076" ht="15.75" customHeight="1">
      <c r="A6076" s="1">
        <v>6479.0</v>
      </c>
      <c r="B6076" s="3" t="s">
        <v>5843</v>
      </c>
      <c r="C6076" s="3" t="str">
        <f>IFERROR(__xludf.DUMMYFUNCTION("GOOGLETRANSLATE(B6076,""id"",""en"")"),"['Mari', 'Bible', 'Telkomsel', 'Cheats',' Maling ',' Pulse ',' Disappointed ',' Waiting ',' Telkomsel ',' Buy ',' Credit ',' Rb ',' Check ',' RB ',' RB ',' Disappointed ',' ']")</f>
        <v>['Mari', 'Bible', 'Telkomsel', 'Cheats',' Maling ',' Pulse ',' Disappointed ',' Waiting ',' Telkomsel ',' Buy ',' Credit ',' Rb ',' Check ',' RB ',' RB ',' Disappointed ',' ']</v>
      </c>
      <c r="D6076" s="3">
        <v>1.0</v>
      </c>
    </row>
    <row r="6077" ht="15.75" customHeight="1">
      <c r="A6077" s="1">
        <v>6480.0</v>
      </c>
      <c r="B6077" s="3" t="s">
        <v>5844</v>
      </c>
      <c r="C6077" s="3" t="str">
        <f>IFERROR(__xludf.DUMMYFUNCTION("GOOGLETRANSLATE(B6077,""id"",""en"")"),"['ugly', 'really', 'signal', 'skrg', 'open', 'contents', 'quota', 'take', 'loan', 'GB', 'severe']")</f>
        <v>['ugly', 'really', 'signal', 'skrg', 'open', 'contents', 'quota', 'take', 'loan', 'GB', 'severe']</v>
      </c>
      <c r="D6077" s="3">
        <v>1.0</v>
      </c>
    </row>
    <row r="6078" ht="15.75" customHeight="1">
      <c r="A6078" s="1">
        <v>6481.0</v>
      </c>
      <c r="B6078" s="3" t="s">
        <v>5845</v>
      </c>
      <c r="C6078" s="3" t="str">
        <f>IFERROR(__xludf.DUMMYFUNCTION("GOOGLETRANSLATE(B6078,""id"",""en"")"),"['Displayed', 'Applykadi', 'Open', 'already', 'Try', 'Delete', 'Download', 'reset', 'Tetep', 'already', 'Try', 'use', ' wifi ',' open ',' screen ',' white ',' clear ',' what ',' min ',' please ',' according to ',' use ',' template ',' already ',' mending "&amp;"' , 'love', 'star', '']")</f>
        <v>['Displayed', 'Applykadi', 'Open', 'already', 'Try', 'Delete', 'Download', 'reset', 'Tetep', 'already', 'Try', 'use', ' wifi ',' open ',' screen ',' white ',' clear ',' what ',' min ',' please ',' according to ',' use ',' template ',' already ',' mending ' , 'love', 'star', '']</v>
      </c>
      <c r="D6078" s="3">
        <v>3.0</v>
      </c>
    </row>
    <row r="6079" ht="15.75" customHeight="1">
      <c r="A6079" s="1">
        <v>6482.0</v>
      </c>
      <c r="B6079" s="3" t="s">
        <v>5846</v>
      </c>
      <c r="C6079" s="3" t="str">
        <f>IFERROR(__xludf.DUMMYFUNCTION("GOOGLETRANSLATE(B6079,""id"",""en"")"),"['package', 'internet', 'expensive', 'slow', 'telkom', 'telekkkkkkkk', '']")</f>
        <v>['package', 'internet', 'expensive', 'slow', 'telkom', 'telekkkkkkkk', '']</v>
      </c>
      <c r="D6079" s="3">
        <v>2.0</v>
      </c>
    </row>
    <row r="6080" ht="15.75" customHeight="1">
      <c r="A6080" s="1">
        <v>6483.0</v>
      </c>
      <c r="B6080" s="3" t="s">
        <v>5847</v>
      </c>
      <c r="C6080" s="3" t="str">
        <f>IFERROR(__xludf.DUMMYFUNCTION("GOOGLETRANSLATE(B6080,""id"",""en"")"),"['Telkomsel', 'poor', 'signal', 'slow']")</f>
        <v>['Telkomsel', 'poor', 'signal', 'slow']</v>
      </c>
      <c r="D6080" s="3">
        <v>1.0</v>
      </c>
    </row>
    <row r="6081" ht="15.75" customHeight="1">
      <c r="A6081" s="1">
        <v>6484.0</v>
      </c>
      <c r="B6081" s="3" t="s">
        <v>5848</v>
      </c>
      <c r="C6081" s="3" t="str">
        <f>IFERROR(__xludf.DUMMYFUNCTION("GOOGLETRANSLATE(B6081,""id"",""en"")"),"['Good', 'good']")</f>
        <v>['Good', 'good']</v>
      </c>
      <c r="D6081" s="3">
        <v>5.0</v>
      </c>
    </row>
    <row r="6082" ht="15.75" customHeight="1">
      <c r="A6082" s="1">
        <v>6485.0</v>
      </c>
      <c r="B6082" s="3" t="s">
        <v>1869</v>
      </c>
      <c r="C6082" s="3" t="str">
        <f>IFERROR(__xludf.DUMMYFUNCTION("GOOGLETRANSLATE(B6082,""id"",""en"")"),"['', 'Telkomsel', 'Open', '']")</f>
        <v>['', 'Telkomsel', 'Open', '']</v>
      </c>
      <c r="D6082" s="3">
        <v>1.0</v>
      </c>
    </row>
    <row r="6083" ht="15.75" customHeight="1">
      <c r="A6083" s="1">
        <v>6486.0</v>
      </c>
      <c r="B6083" s="3" t="s">
        <v>5849</v>
      </c>
      <c r="C6083" s="3" t="str">
        <f>IFERROR(__xludf.DUMMYFUNCTION("GOOGLETRANSLATE(B6083,""id"",""en"")"),"['Hopefully', 'Pliss']")</f>
        <v>['Hopefully', 'Pliss']</v>
      </c>
      <c r="D6083" s="3">
        <v>2.0</v>
      </c>
    </row>
    <row r="6084" ht="15.75" customHeight="1">
      <c r="A6084" s="1">
        <v>6487.0</v>
      </c>
      <c r="B6084" s="3" t="s">
        <v>5850</v>
      </c>
      <c r="C6084" s="3" t="str">
        <f>IFERROR(__xludf.DUMMYFUNCTION("GOOGLETRANSLATE(B6084,""id"",""en"")"),"['Lemot', 'Application', 'Heavy']")</f>
        <v>['Lemot', 'Application', 'Heavy']</v>
      </c>
      <c r="D6084" s="3">
        <v>3.0</v>
      </c>
    </row>
    <row r="6085" ht="15.75" customHeight="1">
      <c r="A6085" s="1">
        <v>6488.0</v>
      </c>
      <c r="B6085" s="3" t="s">
        <v>5851</v>
      </c>
      <c r="C6085" s="3" t="str">
        <f>IFERROR(__xludf.DUMMYFUNCTION("GOOGLETRANSLATE(B6085,""id"",""en"")"),"['Open', 'Application', 'Telkomsel', 'Android', 'Samsung', 'Knp', '']")</f>
        <v>['Open', 'Application', 'Telkomsel', 'Android', 'Samsung', 'Knp', '']</v>
      </c>
      <c r="D6085" s="3">
        <v>3.0</v>
      </c>
    </row>
    <row r="6086" ht="15.75" customHeight="1">
      <c r="A6086" s="1">
        <v>6489.0</v>
      </c>
      <c r="B6086" s="3" t="s">
        <v>5852</v>
      </c>
      <c r="C6086" s="3" t="str">
        <f>IFERROR(__xludf.DUMMYFUNCTION("GOOGLETRANSLATE(B6086,""id"",""en"")"),"['Hopefully', 'discount', 'min', 'plis', 'manyin', 'discount', '']")</f>
        <v>['Hopefully', 'discount', 'min', 'plis', 'manyin', 'discount', '']</v>
      </c>
      <c r="D6086" s="3">
        <v>5.0</v>
      </c>
    </row>
    <row r="6087" ht="15.75" customHeight="1">
      <c r="A6087" s="1">
        <v>6490.0</v>
      </c>
      <c r="B6087" s="3" t="s">
        <v>5853</v>
      </c>
      <c r="C6087" s="3" t="str">
        <f>IFERROR(__xludf.DUMMYFUNCTION("GOOGLETRANSLATE(B6087,""id"",""en"")"),"['quota', 'contents', 'pulse', 'regular', 'pulses', 'run out', 'first', 'ngak']")</f>
        <v>['quota', 'contents', 'pulse', 'regular', 'pulses', 'run out', 'first', 'ngak']</v>
      </c>
      <c r="D6087" s="3">
        <v>1.0</v>
      </c>
    </row>
    <row r="6088" ht="15.75" customHeight="1">
      <c r="A6088" s="1">
        <v>6491.0</v>
      </c>
      <c r="B6088" s="3" t="s">
        <v>5854</v>
      </c>
      <c r="C6088" s="3" t="str">
        <f>IFERROR(__xludf.DUMMYFUNCTION("GOOGLETRANSLATE(B6088,""id"",""en"")"),"['Excuse', 'ask', 'kmren', 'Telkomasel', 'I've opened', 'skrng', 'kog', 'right', 'opened', 'white', 'udh', ' Sya ',' Install ',' reset ',' download ',' lgi ',' ttp ',' please ',' enlightenment ']")</f>
        <v>['Excuse', 'ask', 'kmren', 'Telkomasel', 'I've opened', 'skrng', 'kog', 'right', 'opened', 'white', 'udh', ' Sya ',' Install ',' reset ',' download ',' lgi ',' ttp ',' please ',' enlightenment ']</v>
      </c>
      <c r="D6088" s="3">
        <v>5.0</v>
      </c>
    </row>
    <row r="6089" ht="15.75" customHeight="1">
      <c r="A6089" s="1">
        <v>6492.0</v>
      </c>
      <c r="B6089" s="3" t="s">
        <v>5855</v>
      </c>
      <c r="C6089" s="3" t="str">
        <f>IFERROR(__xludf.DUMMYFUNCTION("GOOGLETRANSLATE(B6089,""id"",""en"")"),"['', 'open', 'open', 'screen', 'white', 'network', 'smooth', 'storage', '']")</f>
        <v>['', 'open', 'open', 'screen', 'white', 'network', 'smooth', 'storage', '']</v>
      </c>
      <c r="D6089" s="3">
        <v>2.0</v>
      </c>
    </row>
    <row r="6090" ht="15.75" customHeight="1">
      <c r="A6090" s="1">
        <v>6493.0</v>
      </c>
      <c r="B6090" s="3" t="s">
        <v>5856</v>
      </c>
      <c r="C6090" s="3" t="str">
        <f>IFERROR(__xludf.DUMMYFUNCTION("GOOGLETRANSLATE(B6090,""id"",""en"")"),"['Mantep', 'can', 'bonus', 'quota']")</f>
        <v>['Mantep', 'can', 'bonus', 'quota']</v>
      </c>
      <c r="D6090" s="3">
        <v>4.0</v>
      </c>
    </row>
    <row r="6091" ht="15.75" customHeight="1">
      <c r="A6091" s="1">
        <v>6494.0</v>
      </c>
      <c r="B6091" s="3" t="s">
        <v>5857</v>
      </c>
      <c r="C6091" s="3" t="str">
        <f>IFERROR(__xludf.DUMMYFUNCTION("GOOGLETRANSLATE(B6091,""id"",""en"")"),"['check', 'pulse', 'reduced', '']")</f>
        <v>['check', 'pulse', 'reduced', '']</v>
      </c>
      <c r="D6091" s="3">
        <v>1.0</v>
      </c>
    </row>
    <row r="6092" ht="15.75" customHeight="1">
      <c r="A6092" s="1">
        <v>6495.0</v>
      </c>
      <c r="B6092" s="3" t="s">
        <v>5858</v>
      </c>
      <c r="C6092" s="3" t="str">
        <f>IFERROR(__xludf.DUMMYFUNCTION("GOOGLETRANSLATE(B6092,""id"",""en"")"),"['application', 'heavy', 'open', 'provider', 'application']")</f>
        <v>['application', 'heavy', 'open', 'provider', 'application']</v>
      </c>
      <c r="D6092" s="3">
        <v>1.0</v>
      </c>
    </row>
    <row r="6093" ht="15.75" customHeight="1">
      <c r="A6093" s="1">
        <v>6496.0</v>
      </c>
      <c r="B6093" s="3" t="s">
        <v>5859</v>
      </c>
      <c r="C6093" s="3" t="str">
        <f>IFERROR(__xludf.DUMMYFUNCTION("GOOGLETRANSLATE(B6093,""id"",""en"")"),"['Hopefully', 'Win', 'Festival', 'Amin']")</f>
        <v>['Hopefully', 'Win', 'Festival', 'Amin']</v>
      </c>
      <c r="D6093" s="3">
        <v>5.0</v>
      </c>
    </row>
    <row r="6094" ht="15.75" customHeight="1">
      <c r="A6094" s="1">
        <v>6498.0</v>
      </c>
      <c r="B6094" s="3" t="s">
        <v>5860</v>
      </c>
      <c r="C6094" s="3" t="str">
        <f>IFERROR(__xludf.DUMMYFUNCTION("GOOGLETRANSLATE(B6094,""id"",""en"")"),"['Telkomsel', 'promo', 'price', 'DIRECT', 'price', 'exorbitant', 'comparable', 'income', 'subtract', 'star', 'Bintang', 'Please', ' repair', '']")</f>
        <v>['Telkomsel', 'promo', 'price', 'DIRECT', 'price', 'exorbitant', 'comparable', 'income', 'subtract', 'star', 'Bintang', 'Please', ' repair', '']</v>
      </c>
      <c r="D6094" s="3">
        <v>3.0</v>
      </c>
    </row>
    <row r="6095" ht="15.75" customHeight="1">
      <c r="A6095" s="1">
        <v>6499.0</v>
      </c>
      <c r="B6095" s="3" t="s">
        <v>5861</v>
      </c>
      <c r="C6095" s="3" t="str">
        <f>IFERROR(__xludf.DUMMYFUNCTION("GOOGLETRANSLATE(B6095,""id"",""en"")"),"['ASKM', 'Apps',' sucked ',' pulse ',' wrong ',' list ',' submit ',' Telkomsel ',' cutting ',' per week ',' Narrow ',' typing ',' just ',' Klau ',' apps', 'Telkomsel', 'good', 'easier', 'discount', 'cheap', 'purchase', 'package', 'internet', 'package', 'c"&amp;"all' , 'already', 'Makai', 'Apps',' Telkomsel ',' TPI ',' Cut ',' Credit ',' Pokonya ',' Apps', 'Telkomsel', 'Best', 'Sya', ' Accept ',' Love ',' Telkomsel ',' ']")</f>
        <v>['ASKM', 'Apps',' sucked ',' pulse ',' wrong ',' list ',' submit ',' Telkomsel ',' cutting ',' per week ',' Narrow ',' typing ',' just ',' Klau ',' apps', 'Telkomsel', 'good', 'easier', 'discount', 'cheap', 'purchase', 'package', 'internet', 'package', 'call' , 'already', 'Makai', 'Apps',' Telkomsel ',' TPI ',' Cut ',' Credit ',' Pokonya ',' Apps', 'Telkomsel', 'Best', 'Sya', ' Accept ',' Love ',' Telkomsel ',' ']</v>
      </c>
      <c r="D6095" s="3">
        <v>5.0</v>
      </c>
    </row>
    <row r="6096" ht="15.75" customHeight="1">
      <c r="A6096" s="1">
        <v>6500.0</v>
      </c>
      <c r="B6096" s="3" t="s">
        <v>5862</v>
      </c>
      <c r="C6096" s="3" t="str">
        <f>IFERROR(__xludf.DUMMYFUNCTION("GOOGLETRANSLATE(B6096,""id"",""en"")"),"['walk', 'Samsung']")</f>
        <v>['walk', 'Samsung']</v>
      </c>
      <c r="D6096" s="3">
        <v>1.0</v>
      </c>
    </row>
    <row r="6097" ht="15.75" customHeight="1">
      <c r="A6097" s="1">
        <v>6501.0</v>
      </c>
      <c r="B6097" s="3" t="s">
        <v>5863</v>
      </c>
      <c r="C6097" s="3" t="str">
        <f>IFERROR(__xludf.DUMMYFUNCTION("GOOGLETRANSLATE(B6097,""id"",""en"")"),"['Please', 'Love', 'Promo', '']")</f>
        <v>['Please', 'Love', 'Promo', '']</v>
      </c>
      <c r="D6097" s="3">
        <v>5.0</v>
      </c>
    </row>
    <row r="6098" ht="15.75" customHeight="1">
      <c r="A6098" s="1">
        <v>6502.0</v>
      </c>
      <c r="B6098" s="3" t="s">
        <v>5864</v>
      </c>
      <c r="C6098" s="3" t="str">
        <f>IFERROR(__xludf.DUMMYFUNCTION("GOOGLETRANSLATE(B6098,""id"",""en"")"),"['Download', 'opened', 'keseeeeelll', 'really']")</f>
        <v>['Download', 'opened', 'keseeeeelll', 'really']</v>
      </c>
      <c r="D6098" s="3">
        <v>2.0</v>
      </c>
    </row>
    <row r="6099" ht="15.75" customHeight="1">
      <c r="A6099" s="1">
        <v>6503.0</v>
      </c>
      <c r="B6099" s="3" t="s">
        <v>493</v>
      </c>
      <c r="C6099" s="3" t="str">
        <f>IFERROR(__xludf.DUMMYFUNCTION("GOOGLETRANSLATE(B6099,""id"",""en"")"),"['like', 'application', 'Telkomsel']")</f>
        <v>['like', 'application', 'Telkomsel']</v>
      </c>
      <c r="D6099" s="3">
        <v>5.0</v>
      </c>
    </row>
    <row r="6100" ht="15.75" customHeight="1">
      <c r="A6100" s="1">
        <v>6504.0</v>
      </c>
      <c r="B6100" s="3" t="s">
        <v>3287</v>
      </c>
      <c r="C6100" s="3" t="str">
        <f>IFERROR(__xludf.DUMMYFUNCTION("GOOGLETRANSLATE(B6100,""id"",""en"")"),"['', 'open', '']")</f>
        <v>['', 'open', '']</v>
      </c>
      <c r="D6100" s="3">
        <v>3.0</v>
      </c>
    </row>
    <row r="6101" ht="15.75" customHeight="1">
      <c r="A6101" s="1">
        <v>6505.0</v>
      </c>
      <c r="B6101" s="3" t="s">
        <v>5865</v>
      </c>
      <c r="C6101" s="3" t="str">
        <f>IFERROR(__xludf.DUMMYFUNCTION("GOOGLETRANSLATE(B6101,""id"",""en"")"),"['Application', 'Open', 'Severe']")</f>
        <v>['Application', 'Open', 'Severe']</v>
      </c>
      <c r="D6101" s="3">
        <v>1.0</v>
      </c>
    </row>
    <row r="6102" ht="15.75" customHeight="1">
      <c r="A6102" s="1">
        <v>6506.0</v>
      </c>
      <c r="B6102" s="3" t="s">
        <v>5866</v>
      </c>
      <c r="C6102" s="3" t="str">
        <f>IFERROR(__xludf.DUMMYFUNCTION("GOOGLETRANSLATE(B6102,""id"",""en"")"),"['Fix', 'signal', 'Jaringn', 'Patumbak', 'Sumatra', 'North']")</f>
        <v>['Fix', 'signal', 'Jaringn', 'Patumbak', 'Sumatra', 'North']</v>
      </c>
      <c r="D6102" s="3">
        <v>5.0</v>
      </c>
    </row>
    <row r="6103" ht="15.75" customHeight="1">
      <c r="A6103" s="1">
        <v>6507.0</v>
      </c>
      <c r="B6103" s="3" t="s">
        <v>5867</v>
      </c>
      <c r="C6103" s="3" t="str">
        <f>IFERROR(__xludf.DUMMYFUNCTION("GOOGLETRANSLATE(B6103,""id"",""en"")"),"['', 'Telkomsel', 'opened', 'check', 'kouta']")</f>
        <v>['', 'Telkomsel', 'opened', 'check', 'kouta']</v>
      </c>
      <c r="D6103" s="3">
        <v>1.0</v>
      </c>
    </row>
    <row r="6104" ht="15.75" customHeight="1">
      <c r="A6104" s="1">
        <v>6508.0</v>
      </c>
      <c r="B6104" s="3" t="s">
        <v>5868</v>
      </c>
      <c r="C6104" s="3" t="str">
        <f>IFERROR(__xludf.DUMMYFUNCTION("GOOGLETRANSLATE(B6104,""id"",""en"")"),"['Gini', 'profession', 'seafarers',' contents', 'Rebu', 'roaming', 'Continent', 'Point', 'abundant', 'donk', 'tens',' thousand ',' Point ',' nuker ',' pulse ',' a million ',' Moor ',' get ',' Nuker ',' Nuker ',' Point ',' Undi ',' Telkomsel ',' Point ',' "&amp;"fake ' , 'enthusiasts', 'Mending', 'Apus', 'PHPIN', 'People', '']")</f>
        <v>['Gini', 'profession', 'seafarers',' contents', 'Rebu', 'roaming', 'Continent', 'Point', 'abundant', 'donk', 'tens',' thousand ',' Point ',' nuker ',' pulse ',' a million ',' Moor ',' get ',' Nuker ',' Nuker ',' Point ',' Undi ',' Telkomsel ',' Point ',' fake ' , 'enthusiasts', 'Mending', 'Apus', 'PHPIN', 'People', '']</v>
      </c>
      <c r="D6104" s="3">
        <v>1.0</v>
      </c>
    </row>
    <row r="6105" ht="15.75" customHeight="1">
      <c r="A6105" s="1">
        <v>6509.0</v>
      </c>
      <c r="B6105" s="3" t="s">
        <v>1367</v>
      </c>
      <c r="C6105" s="3" t="str">
        <f>IFERROR(__xludf.DUMMYFUNCTION("GOOGLETRANSLATE(B6105,""id"",""en"")"),"['good']")</f>
        <v>['good']</v>
      </c>
      <c r="D6105" s="3">
        <v>5.0</v>
      </c>
    </row>
    <row r="6106" ht="15.75" customHeight="1">
      <c r="A6106" s="1">
        <v>6510.0</v>
      </c>
      <c r="B6106" s="3" t="s">
        <v>5869</v>
      </c>
      <c r="C6106" s="3" t="str">
        <f>IFERROR(__xludf.DUMMYFUNCTION("GOOGLETRANSLATE(B6106,""id"",""en"")"),"['Knp', 'yaa', 'signal', 'quota', 'disappointed', 'because' darling ',' number ',' no ',' use ']")</f>
        <v>['Knp', 'yaa', 'signal', 'quota', 'disappointed', 'because' darling ',' number ',' no ',' use ']</v>
      </c>
      <c r="D6106" s="3">
        <v>1.0</v>
      </c>
    </row>
    <row r="6107" ht="15.75" customHeight="1">
      <c r="A6107" s="1">
        <v>6512.0</v>
      </c>
      <c r="B6107" s="3" t="s">
        <v>5870</v>
      </c>
      <c r="C6107" s="3" t="str">
        <f>IFERROR(__xludf.DUMMYFUNCTION("GOOGLETRANSLATE(B6107,""id"",""en"")"),"['apk', 'ngk', 'open', 'already', 'times', 'quupdate']")</f>
        <v>['apk', 'ngk', 'open', 'already', 'times', 'quupdate']</v>
      </c>
      <c r="D6107" s="3">
        <v>5.0</v>
      </c>
    </row>
    <row r="6108" ht="15.75" customHeight="1">
      <c r="A6108" s="1">
        <v>6514.0</v>
      </c>
      <c r="B6108" s="3" t="s">
        <v>5871</v>
      </c>
      <c r="C6108" s="3" t="str">
        <f>IFERROR(__xludf.DUMMYFUNCTION("GOOGLETRANSLATE(B6108,""id"",""en"")"),"['Down', 'Disappointed']")</f>
        <v>['Down', 'Disappointed']</v>
      </c>
      <c r="D6108" s="3">
        <v>1.0</v>
      </c>
    </row>
    <row r="6109" ht="15.75" customHeight="1">
      <c r="A6109" s="1">
        <v>6515.0</v>
      </c>
      <c r="B6109" s="3" t="s">
        <v>5872</v>
      </c>
      <c r="C6109" s="3" t="str">
        <f>IFERROR(__xludf.DUMMYFUNCTION("GOOGLETRANSLATE(B6109,""id"",""en"")"),"['Satisfied', 'Telkomsel', 'Hello', 'Network', 'Good', 'Night', 'Open', 'Facebook', 'Difficult']")</f>
        <v>['Satisfied', 'Telkomsel', 'Hello', 'Network', 'Good', 'Night', 'Open', 'Facebook', 'Difficult']</v>
      </c>
      <c r="D6109" s="3">
        <v>1.0</v>
      </c>
    </row>
    <row r="6110" ht="15.75" customHeight="1">
      <c r="A6110" s="1">
        <v>6516.0</v>
      </c>
      <c r="B6110" s="3" t="s">
        <v>5873</v>
      </c>
      <c r="C6110" s="3" t="str">
        <f>IFERROR(__xludf.DUMMYFUNCTION("GOOGLETRANSLATE(B6110,""id"",""en"")"),"['Manep', 'Bngt', 'Satisfied', 'Telephon']")</f>
        <v>['Manep', 'Bngt', 'Satisfied', 'Telephon']</v>
      </c>
      <c r="D6110" s="3">
        <v>5.0</v>
      </c>
    </row>
    <row r="6111" ht="15.75" customHeight="1">
      <c r="A6111" s="1">
        <v>6517.0</v>
      </c>
      <c r="B6111" s="3" t="s">
        <v>5874</v>
      </c>
      <c r="C6111" s="3" t="str">
        <f>IFERROR(__xludf.DUMMYFUNCTION("GOOGLETRANSLATE(B6111,""id"",""en"")"),"['Island', 'secluded', 'price', 'package', 'expensive', 'klian', 'think', 'orng', 'rustic', 'rich', 'raya', ""]")</f>
        <v>['Island', 'secluded', 'price', 'package', 'expensive', 'klian', 'think', 'orng', 'rustic', 'rich', 'raya', "]</v>
      </c>
      <c r="D6111" s="3">
        <v>1.0</v>
      </c>
    </row>
    <row r="6112" ht="15.75" customHeight="1">
      <c r="A6112" s="1">
        <v>6518.0</v>
      </c>
      <c r="B6112" s="3" t="s">
        <v>5875</v>
      </c>
      <c r="C6112" s="3" t="str">
        <f>IFERROR(__xludf.DUMMYFUNCTION("GOOGLETRANSLATE(B6112,""id"",""en"")"),"['really', 'uses', 'mandatory', 'download', 'okay', ""]")</f>
        <v>['really', 'uses', 'mandatory', 'download', 'okay', "]</v>
      </c>
      <c r="D6112" s="3">
        <v>5.0</v>
      </c>
    </row>
    <row r="6113" ht="15.75" customHeight="1">
      <c r="A6113" s="1">
        <v>6519.0</v>
      </c>
      <c r="B6113" s="3" t="s">
        <v>5876</v>
      </c>
      <c r="C6113" s="3" t="str">
        <f>IFERROR(__xludf.DUMMYFUNCTION("GOOGLETRANSLATE(B6113,""id"",""en"")"),"['Sorry', 'Uninstall', 'APK', 'LGI', 'LOW', 'already', 'Clear', 'Tetep', 'Tetep', 'Buy', 'Package', 'Data', ' expensive ',' mending ',' rise ',' Rb ',' Rb ',' Empor ',' I'll be 'Cape', 'Ama', 'card']")</f>
        <v>['Sorry', 'Uninstall', 'APK', 'LGI', 'LOW', 'already', 'Clear', 'Tetep', 'Tetep', 'Buy', 'Package', 'Data', ' expensive ',' mending ',' rise ',' Rb ',' Rb ',' Empor ',' I'll be 'Cape', 'Ama', 'card']</v>
      </c>
      <c r="D6113" s="3">
        <v>1.0</v>
      </c>
    </row>
    <row r="6114" ht="15.75" customHeight="1">
      <c r="A6114" s="1">
        <v>6520.0</v>
      </c>
      <c r="B6114" s="3" t="s">
        <v>5877</v>
      </c>
      <c r="C6114" s="3" t="str">
        <f>IFERROR(__xludf.DUMMYFUNCTION("GOOGLETRANSLATE(B6114,""id"",""en"")"),"['User', 'Hello', 'My Dikmp', 'Sinyal', 'Rotten', 'Try', 'Repaired', 'Service', 'Massa', 'Lost', 'High School', 'Provider', ' Next to ',' private ']")</f>
        <v>['User', 'Hello', 'My Dikmp', 'Sinyal', 'Rotten', 'Try', 'Repaired', 'Service', 'Massa', 'Lost', 'High School', 'Provider', ' Next to ',' private ']</v>
      </c>
      <c r="D6114" s="3">
        <v>1.0</v>
      </c>
    </row>
    <row r="6115" ht="15.75" customHeight="1">
      <c r="A6115" s="1">
        <v>6521.0</v>
      </c>
      <c r="B6115" s="3" t="s">
        <v>5878</v>
      </c>
      <c r="C6115" s="3" t="str">
        <f>IFERROR(__xludf.DUMMYFUNCTION("GOOGLETRANSLATE(B6115,""id"",""en"")"),"['unlimited', 'watch', 'YouTube', 'network', 'rotated', 'play', 'msh', ""]")</f>
        <v>['unlimited', 'watch', 'YouTube', 'network', 'rotated', 'play', 'msh', "]</v>
      </c>
      <c r="D6115" s="3">
        <v>1.0</v>
      </c>
    </row>
    <row r="6116" ht="15.75" customHeight="1">
      <c r="A6116" s="1">
        <v>6522.0</v>
      </c>
      <c r="B6116" s="3" t="s">
        <v>5879</v>
      </c>
      <c r="C6116" s="3" t="str">
        <f>IFERROR(__xludf.DUMMYFUNCTION("GOOGLETRANSLATE(B6116,""id"",""en"")"),"['Fix', 'application']")</f>
        <v>['Fix', 'application']</v>
      </c>
      <c r="D6116" s="3">
        <v>1.0</v>
      </c>
    </row>
    <row r="6117" ht="15.75" customHeight="1">
      <c r="A6117" s="1">
        <v>6523.0</v>
      </c>
      <c r="B6117" s="3" t="s">
        <v>5880</v>
      </c>
      <c r="C6117" s="3" t="str">
        <f>IFERROR(__xludf.DUMMYFUNCTION("GOOGLETRANSLATE(B6117,""id"",""en"")"),"['Severe', 'Network', 'Telkomsel', 'Huffft', 'Slow', 'Nauju', 'Billah', ""]")</f>
        <v>['Severe', 'Network', 'Telkomsel', 'Huffft', 'Slow', 'Nauju', 'Billah', "]</v>
      </c>
      <c r="D6117" s="3">
        <v>1.0</v>
      </c>
    </row>
    <row r="6118" ht="15.75" customHeight="1">
      <c r="A6118" s="1">
        <v>6524.0</v>
      </c>
      <c r="B6118" s="3" t="s">
        <v>5881</v>
      </c>
      <c r="C6118" s="3" t="str">
        <f>IFERROR(__xludf.DUMMYFUNCTION("GOOGLETRANSLATE(B6118,""id"",""en"")"),"['patent', 'bah']")</f>
        <v>['patent', 'bah']</v>
      </c>
      <c r="D6118" s="3">
        <v>5.0</v>
      </c>
    </row>
    <row r="6119" ht="15.75" customHeight="1">
      <c r="A6119" s="1">
        <v>6525.0</v>
      </c>
      <c r="B6119" s="3" t="s">
        <v>5882</v>
      </c>
      <c r="C6119" s="3" t="str">
        <f>IFERROR(__xludf.DUMMYFUNCTION("GOOGLETRANSLATE(B6119,""id"",""en"")"),"['gggg', 'already', 'uninstall', 'install', 'reset', 'ttp', 'bank', 'white', '']")</f>
        <v>['gggg', 'already', 'uninstall', 'install', 'reset', 'ttp', 'bank', 'white', '']</v>
      </c>
      <c r="D6119" s="3">
        <v>2.0</v>
      </c>
    </row>
    <row r="6120" ht="15.75" customHeight="1">
      <c r="A6120" s="1">
        <v>6526.0</v>
      </c>
      <c r="B6120" s="3" t="s">
        <v>5883</v>
      </c>
      <c r="C6120" s="3" t="str">
        <f>IFERROR(__xludf.DUMMYFUNCTION("GOOGLETRANSLATE(B6120,""id"",""en"")"),"['buy', 'package', 'unlimited', 'Facebook', 'used', 'pulse', 'package', 'bought']")</f>
        <v>['buy', 'package', 'unlimited', 'Facebook', 'used', 'pulse', 'package', 'bought']</v>
      </c>
      <c r="D6120" s="3">
        <v>1.0</v>
      </c>
    </row>
    <row r="6121" ht="15.75" customHeight="1">
      <c r="A6121" s="1">
        <v>6527.0</v>
      </c>
      <c r="B6121" s="3" t="s">
        <v>5884</v>
      </c>
      <c r="C6121" s="3" t="str">
        <f>IFERROR(__xludf.DUMMYFUNCTION("GOOGLETRANSLATE(B6121,""id"",""en"")"),"['Lose', 'Provider', 'Severe', 'Signal', 'Package', 'Expensive', 'Stop', 'Change', 'Provider', ""]")</f>
        <v>['Lose', 'Provider', 'Severe', 'Signal', 'Package', 'Expensive', 'Stop', 'Change', 'Provider', "]</v>
      </c>
      <c r="D6121" s="3">
        <v>1.0</v>
      </c>
    </row>
    <row r="6122" ht="15.75" customHeight="1">
      <c r="A6122" s="1">
        <v>6528.0</v>
      </c>
      <c r="B6122" s="3" t="s">
        <v>5885</v>
      </c>
      <c r="C6122" s="3" t="str">
        <f>IFERROR(__xludf.DUMMYFUNCTION("GOOGLETRANSLATE(B6122,""id"",""en"")"),"['signal', 'recomendet', 'signal', 'dilapidated', 'decent', 'bintan', 'boddy', 'signal', ""]")</f>
        <v>['signal', 'recomendet', 'signal', 'dilapidated', 'decent', 'bintan', 'boddy', 'signal', "]</v>
      </c>
      <c r="D6122" s="3">
        <v>1.0</v>
      </c>
    </row>
    <row r="6123" ht="15.75" customHeight="1">
      <c r="A6123" s="1">
        <v>6529.0</v>
      </c>
      <c r="B6123" s="3" t="s">
        <v>5886</v>
      </c>
      <c r="C6123" s="3" t="str">
        <f>IFERROR(__xludf.DUMMYFUNCTION("GOOGLETRANSLATE(B6123,""id"",""en"")"),"['broken', 'signal', 'please', 'fix', 'signal', 'good', 'kek', 'dluu', ""]")</f>
        <v>['broken', 'signal', 'please', 'fix', 'signal', 'good', 'kek', 'dluu', "]</v>
      </c>
      <c r="D6123" s="3">
        <v>1.0</v>
      </c>
    </row>
    <row r="6124" ht="15.75" customHeight="1">
      <c r="A6124" s="1">
        <v>6530.0</v>
      </c>
      <c r="B6124" s="3" t="s">
        <v>5887</v>
      </c>
      <c r="C6124" s="3" t="str">
        <f>IFERROR(__xludf.DUMMYFUNCTION("GOOGLETRANSLATE(B6124,""id"",""en"")"),"['', 'Sorry', 'disorder', 'system', 'times',' contents', 'internet', 'that's',' signal ',' smooth ',' wifi ',' really ',' ngapa ',' Ntar ',' love ',' star ',' limited ',' system ',' repaired ']")</f>
        <v>['', 'Sorry', 'disorder', 'system', 'times',' contents', 'internet', 'that's',' signal ',' smooth ',' wifi ',' really ',' ngapa ',' Ntar ',' love ',' star ',' limited ',' system ',' repaired ']</v>
      </c>
      <c r="D6124" s="3">
        <v>1.0</v>
      </c>
    </row>
    <row r="6125" ht="15.75" customHeight="1">
      <c r="A6125" s="1">
        <v>6531.0</v>
      </c>
      <c r="B6125" s="3" t="s">
        <v>5888</v>
      </c>
      <c r="C6125" s="3" t="str">
        <f>IFERROR(__xludf.DUMMYFUNCTION("GOOGLETRANSLATE(B6125,""id"",""en"")"),"['Appl', 'big']")</f>
        <v>['Appl', 'big']</v>
      </c>
      <c r="D6125" s="3">
        <v>5.0</v>
      </c>
    </row>
    <row r="6126" ht="15.75" customHeight="1">
      <c r="A6126" s="1">
        <v>6533.0</v>
      </c>
      <c r="B6126" s="3" t="s">
        <v>5889</v>
      </c>
      <c r="C6126" s="3" t="str">
        <f>IFERROR(__xludf.DUMMYFUNCTION("GOOGLETRANSLATE(B6126,""id"",""en"")"),"['App', 'Login', 'Blank', 'White', 'UDH', 'Please', 'Fix', 'APP', 'MyTelkomsel', 'Login', 'App', 'Login', ' wrong', '']")</f>
        <v>['App', 'Login', 'Blank', 'White', 'UDH', 'Please', 'Fix', 'APP', 'MyTelkomsel', 'Login', 'App', 'Login', ' wrong', '']</v>
      </c>
      <c r="D6126" s="3">
        <v>1.0</v>
      </c>
    </row>
    <row r="6127" ht="15.75" customHeight="1">
      <c r="A6127" s="1">
        <v>6534.0</v>
      </c>
      <c r="B6127" s="3" t="s">
        <v>5890</v>
      </c>
      <c r="C6127" s="3" t="str">
        <f>IFERROR(__xludf.DUMMYFUNCTION("GOOGLETRANSLATE(B6127,""id"",""en"")"),"['A ',' Switch ',' account ',' Cape ',' ']")</f>
        <v>['A ',' Switch ',' account ',' Cape ',' ']</v>
      </c>
      <c r="D6127" s="3">
        <v>1.0</v>
      </c>
    </row>
    <row r="6128" ht="15.75" customHeight="1">
      <c r="A6128" s="1">
        <v>6535.0</v>
      </c>
      <c r="B6128" s="3" t="s">
        <v>5891</v>
      </c>
      <c r="C6128" s="3" t="str">
        <f>IFERROR(__xludf.DUMMYFUNCTION("GOOGLETRANSLATE(B6128,""id"",""en"")"),"['apk', 'Telkomsel', 'makes it easier', 'dalm', 'buy', 'package', 'cave', 'happy', 'bonus', 'dear', 'chek', ""]")</f>
        <v>['apk', 'Telkomsel', 'makes it easier', 'dalm', 'buy', 'package', 'cave', 'happy', 'bonus', 'dear', 'chek', "]</v>
      </c>
      <c r="D6128" s="3">
        <v>5.0</v>
      </c>
    </row>
    <row r="6129" ht="15.75" customHeight="1">
      <c r="A6129" s="1">
        <v>6537.0</v>
      </c>
      <c r="B6129" s="3" t="s">
        <v>311</v>
      </c>
      <c r="C6129" s="3" t="str">
        <f>IFERROR(__xludf.DUMMYFUNCTION("GOOGLETRANSLATE(B6129,""id"",""en"")"),"['expensive']")</f>
        <v>['expensive']</v>
      </c>
      <c r="D6129" s="3">
        <v>2.0</v>
      </c>
    </row>
    <row r="6130" ht="15.75" customHeight="1">
      <c r="A6130" s="1">
        <v>6538.0</v>
      </c>
      <c r="B6130" s="3" t="s">
        <v>5892</v>
      </c>
      <c r="C6130" s="3" t="str">
        <f>IFERROR(__xludf.DUMMYFUNCTION("GOOGLETRANSLATE(B6130,""id"",""en"")"),"['Menu', 'Exchange', 'Voucher', 'Points', 'Games', 'Mobile', 'Legends', 'Tidah', 'Access', 'Why', ""]")</f>
        <v>['Menu', 'Exchange', 'Voucher', 'Points', 'Games', 'Mobile', 'Legends', 'Tidah', 'Access', 'Why', "]</v>
      </c>
      <c r="D6130" s="3">
        <v>1.0</v>
      </c>
    </row>
    <row r="6131" ht="15.75" customHeight="1">
      <c r="A6131" s="1">
        <v>6539.0</v>
      </c>
      <c r="B6131" s="3" t="s">
        <v>5893</v>
      </c>
      <c r="C6131" s="3" t="str">
        <f>IFERROR(__xludf.DUMMYFUNCTION("GOOGLETRANSLATE(B6131,""id"",""en"")"),"['pulse', 'ilang', 'RB', 'strange', 'pdhal', 'kuotash', 'GB', 'open', 'application', 'Telkomsel', 'loading', 'mulu', ' Telkomsel ',' Disappointed ',' Signal ',' Bad ',' ']")</f>
        <v>['pulse', 'ilang', 'RB', 'strange', 'pdhal', 'kuotash', 'GB', 'open', 'application', 'Telkomsel', 'loading', 'mulu', ' Telkomsel ',' Disappointed ',' Signal ',' Bad ',' ']</v>
      </c>
      <c r="D6131" s="3">
        <v>1.0</v>
      </c>
    </row>
    <row r="6132" ht="15.75" customHeight="1">
      <c r="A6132" s="1">
        <v>6540.0</v>
      </c>
      <c r="B6132" s="3" t="s">
        <v>5894</v>
      </c>
      <c r="C6132" s="3" t="str">
        <f>IFERROR(__xludf.DUMMYFUNCTION("GOOGLETRANSLATE(B6132,""id"",""en"")"),"['Please', 'Enhanced', 'Speed', 'Access', 'Application', 'MyTelkomsel']")</f>
        <v>['Please', 'Enhanced', 'Speed', 'Access', 'Application', 'MyTelkomsel']</v>
      </c>
      <c r="D6132" s="3">
        <v>4.0</v>
      </c>
    </row>
    <row r="6133" ht="15.75" customHeight="1">
      <c r="A6133" s="1">
        <v>6541.0</v>
      </c>
      <c r="B6133" s="3" t="s">
        <v>5895</v>
      </c>
      <c r="C6133" s="3" t="str">
        <f>IFERROR(__xludf.DUMMYFUNCTION("GOOGLETRANSLATE(B6133,""id"",""en"")"),"['', 'update', 'Nge', 'blank', 'opened']")</f>
        <v>['', 'update', 'Nge', 'blank', 'opened']</v>
      </c>
      <c r="D6133" s="3">
        <v>1.0</v>
      </c>
    </row>
    <row r="6134" ht="15.75" customHeight="1">
      <c r="A6134" s="1">
        <v>6542.0</v>
      </c>
      <c r="B6134" s="3" t="s">
        <v>5896</v>
      </c>
      <c r="C6134" s="3" t="str">
        <f>IFERROR(__xludf.DUMMYFUNCTION("GOOGLETRANSLATE(B6134,""id"",""en"")"),"['Record', 'Life', 'Life', 'Buy', 'Paketan', 'Internet', 'Telkomsel', 'GB', 'A month', 'After', 'Yesterday', 'Buy', ' package ',' internet ',' Telkomsel ',' GB ',' leftover ',' minimal ',' GB ',' GB ',' a month ',' Telkomsel ',' fast ',' suck ',' package "&amp;"' , 'Internet', 'consumers',' use ',' logic ',' package ',' internet ',' GB ',' a month ',' reality ',' a month ',' GB ',' run out ',' First ',' Please ',' Explanation ',' Telkomsel ',' ']")</f>
        <v>['Record', 'Life', 'Life', 'Buy', 'Paketan', 'Internet', 'Telkomsel', 'GB', 'A month', 'After', 'Yesterday', 'Buy', ' package ',' internet ',' Telkomsel ',' GB ',' leftover ',' minimal ',' GB ',' GB ',' a month ',' Telkomsel ',' fast ',' suck ',' package ' , 'Internet', 'consumers',' use ',' logic ',' package ',' internet ',' GB ',' a month ',' reality ',' a month ',' GB ',' run out ',' First ',' Please ',' Explanation ',' Telkomsel ',' ']</v>
      </c>
      <c r="D6134" s="3">
        <v>1.0</v>
      </c>
    </row>
    <row r="6135" ht="15.75" customHeight="1">
      <c r="A6135" s="1">
        <v>6543.0</v>
      </c>
      <c r="B6135" s="3" t="s">
        <v>5897</v>
      </c>
      <c r="C6135" s="3" t="str">
        <f>IFERROR(__xludf.DUMMYFUNCTION("GOOGLETRANSLATE(B6135,""id"",""en"")"),"['Use', 'Telkomsel', 'because', 'card', 'Sehati', 'Turnling', 'turned on', 'dummers', 'use', 'disappointed', ""]")</f>
        <v>['Use', 'Telkomsel', 'because', 'card', 'Sehati', 'Turnling', 'turned on', 'dummers', 'use', 'disappointed', "]</v>
      </c>
      <c r="D6135" s="3">
        <v>1.0</v>
      </c>
    </row>
    <row r="6136" ht="15.75" customHeight="1">
      <c r="A6136" s="1">
        <v>6544.0</v>
      </c>
      <c r="B6136" s="3" t="s">
        <v>5898</v>
      </c>
      <c r="C6136" s="3" t="str">
        <f>IFERROR(__xludf.DUMMYFUNCTION("GOOGLETRANSLATE(B6136,""id"",""en"")"),"['', 'Buy', 'Package', 'Data', 'Application', 'MyTelkomsel', 'Use', 'Fund', 'Ovo', 'Package', 'Combo', 'Sakti', 'Clock ',' Afternoon ',' Date ',' Fund ',' Ovo ',' Cut ',' Report ',' Payment ',' Success', 'Application', 'MyTelkomsel', 'Package', 'Buy', 'Pr"&amp;"oof', 'payment', 'ovo', 'according to', 'TGL', 'clock', 'payment', 'already', 'attached', 'Telkomsel', 'loss',' package ',' data ',' Combo ',' Sakti ',' already ',' Pay ',' On ']")</f>
        <v>['', 'Buy', 'Package', 'Data', 'Application', 'MyTelkomsel', 'Use', 'Fund', 'Ovo', 'Package', 'Combo', 'Sakti', 'Clock ',' Afternoon ',' Date ',' Fund ',' Ovo ',' Cut ',' Report ',' Payment ',' Success', 'Application', 'MyTelkomsel', 'Package', 'Buy', 'Proof', 'payment', 'ovo', 'according to', 'TGL', 'clock', 'payment', 'already', 'attached', 'Telkomsel', 'loss',' package ',' data ',' Combo ',' Sakti ',' already ',' Pay ',' On ']</v>
      </c>
      <c r="D6136" s="3">
        <v>1.0</v>
      </c>
    </row>
    <row r="6137" ht="15.75" customHeight="1">
      <c r="A6137" s="1">
        <v>6545.0</v>
      </c>
      <c r="B6137" s="3" t="s">
        <v>5899</v>
      </c>
      <c r="C6137" s="3" t="str">
        <f>IFERROR(__xludf.DUMMYFUNCTION("GOOGLETRANSLATE(B6137,""id"",""en"")"),"['Application', 'opened', 'Try', 'Install', 'reset']")</f>
        <v>['Application', 'opened', 'Try', 'Install', 'reset']</v>
      </c>
      <c r="D6137" s="3">
        <v>1.0</v>
      </c>
    </row>
    <row r="6138" ht="15.75" customHeight="1">
      <c r="A6138" s="1">
        <v>6546.0</v>
      </c>
      <c r="B6138" s="3" t="s">
        <v>5900</v>
      </c>
      <c r="C6138" s="3" t="str">
        <f>IFERROR(__xludf.DUMMYFUNCTION("GOOGLETRANSLATE(B6138,""id"",""en"")"),"['Please', 'sorry', 'love', 'star', 'just', 'buy', 'quota', 'combo', 'Sakti', 'quota', 'apply', 'there', ' printed ',' reading ',' loss', 'beg', 'explanation', 'Telkomsel']")</f>
        <v>['Please', 'sorry', 'love', 'star', 'just', 'buy', 'quota', 'combo', 'Sakti', 'quota', 'apply', 'there', ' printed ',' reading ',' loss', 'beg', 'explanation', 'Telkomsel']</v>
      </c>
      <c r="D6138" s="3">
        <v>1.0</v>
      </c>
    </row>
    <row r="6139" ht="15.75" customHeight="1">
      <c r="A6139" s="1">
        <v>6547.0</v>
      </c>
      <c r="B6139" s="3" t="s">
        <v>5901</v>
      </c>
      <c r="C6139" s="3" t="str">
        <f>IFERROR(__xludf.DUMMYFUNCTION("GOOGLETRANSLATE(B6139,""id"",""en"")"),"['Sorry', 'Disappointed']")</f>
        <v>['Sorry', 'Disappointed']</v>
      </c>
      <c r="D6139" s="3">
        <v>1.0</v>
      </c>
    </row>
    <row r="6140" ht="15.75" customHeight="1">
      <c r="A6140" s="1">
        <v>6548.0</v>
      </c>
      <c r="B6140" s="3" t="s">
        <v>5902</v>
      </c>
      <c r="C6140" s="3" t="str">
        <f>IFERROR(__xludf.DUMMYFUNCTION("GOOGLETRANSLATE(B6140,""id"",""en"")"),"['open', 'application', 'can', '']")</f>
        <v>['open', 'application', 'can', '']</v>
      </c>
      <c r="D6140" s="3">
        <v>2.0</v>
      </c>
    </row>
    <row r="6141" ht="15.75" customHeight="1">
      <c r="A6141" s="1">
        <v>6549.0</v>
      </c>
      <c r="B6141" s="3" t="s">
        <v>5903</v>
      </c>
      <c r="C6141" s="3" t="str">
        <f>IFERROR(__xludf.DUMMYFUNCTION("GOOGLETRANSLATE(B6141,""id"",""en"")"),"['Open', 'application', 'screen', 'just', 'white', 'doang', 'really', 'entry']")</f>
        <v>['Open', 'application', 'screen', 'just', 'white', 'doang', 'really', 'entry']</v>
      </c>
      <c r="D6141" s="3">
        <v>2.0</v>
      </c>
    </row>
    <row r="6142" ht="15.75" customHeight="1">
      <c r="A6142" s="1">
        <v>6550.0</v>
      </c>
      <c r="B6142" s="3" t="s">
        <v>5904</v>
      </c>
      <c r="C6142" s="3" t="str">
        <f>IFERROR(__xludf.DUMMYFUNCTION("GOOGLETRANSLATE(B6142,""id"",""en"")"),"['Enter', 'Appsih', 'Since', 'Kemren', 'Yesterday', 'Bukak', 'Srceern', 'Color', 'Law', ""]")</f>
        <v>['Enter', 'Appsih', 'Since', 'Kemren', 'Yesterday', 'Bukak', 'Srceern', 'Color', 'Law', "]</v>
      </c>
      <c r="D6142" s="3">
        <v>1.0</v>
      </c>
    </row>
    <row r="6143" ht="15.75" customHeight="1">
      <c r="A6143" s="1">
        <v>6551.0</v>
      </c>
      <c r="B6143" s="3" t="s">
        <v>5905</v>
      </c>
      <c r="C6143" s="3" t="str">
        <f>IFERROR(__xludf.DUMMYFUNCTION("GOOGLETRANSLATE(B6143,""id"",""en"")"),"['Package', 'Doang', 'Sultan', 'Signal', 'Kagak', 'Sultan']")</f>
        <v>['Package', 'Doang', 'Sultan', 'Signal', 'Kagak', 'Sultan']</v>
      </c>
      <c r="D6143" s="3">
        <v>1.0</v>
      </c>
    </row>
    <row r="6144" ht="15.75" customHeight="1">
      <c r="A6144" s="1">
        <v>6552.0</v>
      </c>
      <c r="B6144" s="3" t="s">
        <v>5906</v>
      </c>
      <c r="C6144" s="3" t="str">
        <f>IFERROR(__xludf.DUMMYFUNCTION("GOOGLETRANSLATE(B6144,""id"",""en"")"),"['APL', 'Telkomsel', 'Donload', 'Open', 'Bosssssss', '']")</f>
        <v>['APL', 'Telkomsel', 'Donload', 'Open', 'Bosssssss', '']</v>
      </c>
      <c r="D6144" s="3">
        <v>1.0</v>
      </c>
    </row>
    <row r="6145" ht="15.75" customHeight="1">
      <c r="A6145" s="1">
        <v>6553.0</v>
      </c>
      <c r="B6145" s="3" t="s">
        <v>5907</v>
      </c>
      <c r="C6145" s="3" t="str">
        <f>IFERROR(__xludf.DUMMYFUNCTION("GOOGLETRANSLATE(B6145,""id"",""en"")"),"['Please', 'cheap']")</f>
        <v>['Please', 'cheap']</v>
      </c>
      <c r="D6145" s="3">
        <v>5.0</v>
      </c>
    </row>
    <row r="6146" ht="15.75" customHeight="1">
      <c r="A6146" s="1">
        <v>6554.0</v>
      </c>
      <c r="B6146" s="3" t="s">
        <v>5908</v>
      </c>
      <c r="C6146" s="3" t="str">
        <f>IFERROR(__xludf.DUMMYFUNCTION("GOOGLETRANSLATE(B6146,""id"",""en"")"),"['version', 'disappointing', 'Biaa', 'opened', 'stuck', 'screen', 'white', ""]")</f>
        <v>['version', 'disappointing', 'Biaa', 'opened', 'stuck', 'screen', 'white', "]</v>
      </c>
      <c r="D6146" s="3">
        <v>1.0</v>
      </c>
    </row>
    <row r="6147" ht="15.75" customHeight="1">
      <c r="A6147" s="1">
        <v>6555.0</v>
      </c>
      <c r="B6147" s="3" t="s">
        <v>5909</v>
      </c>
      <c r="C6147" s="3" t="str">
        <f>IFERROR(__xludf.DUMMYFUNCTION("GOOGLETRANSLATE(B6147,""id"",""en"")"),"['Application', 'Bangus', 'really']")</f>
        <v>['Application', 'Bangus', 'really']</v>
      </c>
      <c r="D6147" s="3">
        <v>5.0</v>
      </c>
    </row>
    <row r="6148" ht="15.75" customHeight="1">
      <c r="A6148" s="1">
        <v>6556.0</v>
      </c>
      <c r="B6148" s="3" t="s">
        <v>5910</v>
      </c>
      <c r="C6148" s="3" t="str">
        <f>IFERROR(__xludf.DUMMYFUNCTION("GOOGLETRANSLATE(B6148,""id"",""en"")"),"['complaining', 'Credit', 'Cut', 'PDHL', 'Subscriptions',' Data ',' Cellular ',' Turn on ',' Points', 'zero', 'Fill', 'pulses',' Buy ',' Products', 'Telkomsel', 'Application', 'Very', 'Open', 'As if', 'Network', 'ugly', 'PDHL', 'Network', 'Normal', 'Norma"&amp;"l' , 'Please', 'Enhanced', 'Quality']")</f>
        <v>['complaining', 'Credit', 'Cut', 'PDHL', 'Subscriptions',' Data ',' Cellular ',' Turn on ',' Points', 'zero', 'Fill', 'pulses',' Buy ',' Products', 'Telkomsel', 'Application', 'Very', 'Open', 'As if', 'Network', 'ugly', 'PDHL', 'Network', 'Normal', 'Normal' , 'Please', 'Enhanced', 'Quality']</v>
      </c>
      <c r="D6148" s="3">
        <v>1.0</v>
      </c>
    </row>
    <row r="6149" ht="15.75" customHeight="1">
      <c r="A6149" s="1">
        <v>6557.0</v>
      </c>
      <c r="B6149" s="3" t="s">
        <v>5911</v>
      </c>
      <c r="C6149" s="3" t="str">
        <f>IFERROR(__xludf.DUMMYFUNCTION("GOOGLETRANSLATE(B6149,""id"",""en"")"),"['App', 'makes it easy', 'transact', 'pulse', 'package', '']")</f>
        <v>['App', 'makes it easy', 'transact', 'pulse', 'package', '']</v>
      </c>
      <c r="D6149" s="3">
        <v>5.0</v>
      </c>
    </row>
    <row r="6150" ht="15.75" customHeight="1">
      <c r="A6150" s="1">
        <v>6558.0</v>
      </c>
      <c r="B6150" s="3" t="s">
        <v>5912</v>
      </c>
      <c r="C6150" s="3" t="str">
        <f>IFERROR(__xludf.DUMMYFUNCTION("GOOGLETRANSLATE(B6150,""id"",""en"")"),"['APK', 'Baguss', 'Bangat']")</f>
        <v>['APK', 'Baguss', 'Bangat']</v>
      </c>
      <c r="D6150" s="3">
        <v>5.0</v>
      </c>
    </row>
    <row r="6151" ht="15.75" customHeight="1">
      <c r="A6151" s="1">
        <v>6559.0</v>
      </c>
      <c r="B6151" s="3" t="s">
        <v>5913</v>
      </c>
      <c r="C6151" s="3" t="str">
        <f>IFERROR(__xludf.DUMMYFUNCTION("GOOGLETRANSLATE(B6151,""id"",""en"")"),"['Package', 'cheap', 'wee']")</f>
        <v>['Package', 'cheap', 'wee']</v>
      </c>
      <c r="D6151" s="3">
        <v>4.0</v>
      </c>
    </row>
    <row r="6152" ht="15.75" customHeight="1">
      <c r="A6152" s="1">
        <v>6560.0</v>
      </c>
      <c r="B6152" s="3" t="s">
        <v>5914</v>
      </c>
      <c r="C6152" s="3" t="str">
        <f>IFERROR(__xludf.DUMMYFUNCTION("GOOGLETRANSLATE(B6152,""id"",""en"")"),"['min', 'right', 'check', 'exchange', 'point', 'game', 'online', 'mobile', 'legends', 'yesterday']")</f>
        <v>['min', 'right', 'check', 'exchange', 'point', 'game', 'online', 'mobile', 'legends', 'yesterday']</v>
      </c>
      <c r="D6152" s="3">
        <v>1.0</v>
      </c>
    </row>
    <row r="6153" ht="15.75" customHeight="1">
      <c r="A6153" s="1">
        <v>6561.0</v>
      </c>
      <c r="B6153" s="3" t="s">
        <v>5915</v>
      </c>
      <c r="C6153" s="3" t="str">
        <f>IFERROR(__xludf.DUMMYFUNCTION("GOOGLETRANSLATE(B6153,""id"",""en"")"),"['Telkomsel', 'skrg', 'signal', 'bundex', 'gada', 'repair', 'please', 'lose', 'ama', 'provider', 'next door']")</f>
        <v>['Telkomsel', 'skrg', 'signal', 'bundex', 'gada', 'repair', 'please', 'lose', 'ama', 'provider', 'next door']</v>
      </c>
      <c r="D6153" s="3">
        <v>1.0</v>
      </c>
    </row>
    <row r="6154" ht="15.75" customHeight="1">
      <c r="A6154" s="1">
        <v>6562.0</v>
      </c>
      <c r="B6154" s="3" t="s">
        <v>5916</v>
      </c>
      <c r="C6154" s="3" t="str">
        <f>IFERROR(__xludf.DUMMYFUNCTION("GOOGLETRANSLATE(B6154,""id"",""en"")"),"['Good', 'That's']")</f>
        <v>['Good', 'That's']</v>
      </c>
      <c r="D6154" s="3">
        <v>5.0</v>
      </c>
    </row>
    <row r="6155" ht="15.75" customHeight="1">
      <c r="A6155" s="1">
        <v>6563.0</v>
      </c>
      <c r="B6155" s="3" t="s">
        <v>5917</v>
      </c>
      <c r="C6155" s="3" t="str">
        <f>IFERROR(__xludf.DUMMYFUNCTION("GOOGLETRANSLATE(B6155,""id"",""en"")"),"['Good', 'mantul']")</f>
        <v>['Good', 'mantul']</v>
      </c>
      <c r="D6155" s="3">
        <v>5.0</v>
      </c>
    </row>
    <row r="6156" ht="15.75" customHeight="1">
      <c r="A6156" s="1">
        <v>6564.0</v>
      </c>
      <c r="B6156" s="3" t="s">
        <v>5918</v>
      </c>
      <c r="C6156" s="3" t="str">
        <f>IFERROR(__xludf.DUMMYFUNCTION("GOOGLETRANSLATE(B6156,""id"",""en"")"),"['MyTelkom', 'okay']")</f>
        <v>['MyTelkom', 'okay']</v>
      </c>
      <c r="D6156" s="3">
        <v>5.0</v>
      </c>
    </row>
    <row r="6157" ht="15.75" customHeight="1">
      <c r="A6157" s="1">
        <v>6565.0</v>
      </c>
      <c r="B6157" s="3" t="s">
        <v>5919</v>
      </c>
      <c r="C6157" s="3" t="str">
        <f>IFERROR(__xludf.DUMMYFUNCTION("GOOGLETRANSLATE(B6157,""id"",""en"")"),"['Sorry', 'ADM', 'opened', 'Application', 'Telkomsel', '']")</f>
        <v>['Sorry', 'ADM', 'opened', 'Application', 'Telkomsel', '']</v>
      </c>
      <c r="D6157" s="3">
        <v>1.0</v>
      </c>
    </row>
    <row r="6158" ht="15.75" customHeight="1">
      <c r="A6158" s="1">
        <v>6566.0</v>
      </c>
      <c r="B6158" s="3" t="s">
        <v>5920</v>
      </c>
      <c r="C6158" s="3" t="str">
        <f>IFERROR(__xludf.DUMMYFUNCTION("GOOGLETRANSLATE(B6158,""id"",""en"")"),"['Severe', 'Open', 'Mending', 'Change', 'Provider']")</f>
        <v>['Severe', 'Open', 'Mending', 'Change', 'Provider']</v>
      </c>
      <c r="D6158" s="3">
        <v>1.0</v>
      </c>
    </row>
    <row r="6159" ht="15.75" customHeight="1">
      <c r="A6159" s="1">
        <v>6567.0</v>
      </c>
      <c r="B6159" s="3" t="s">
        <v>5921</v>
      </c>
      <c r="C6159" s="3" t="str">
        <f>IFERROR(__xludf.DUMMYFUNCTION("GOOGLETRANSLATE(B6159,""id"",""en"")"),"['The application', 'enter', 'ngestuck', 'screen', 'color', 'white']")</f>
        <v>['The application', 'enter', 'ngestuck', 'screen', 'color', 'white']</v>
      </c>
      <c r="D6159" s="3">
        <v>1.0</v>
      </c>
    </row>
    <row r="6160" ht="15.75" customHeight="1">
      <c r="A6160" s="1">
        <v>6568.0</v>
      </c>
      <c r="B6160" s="3" t="s">
        <v>5922</v>
      </c>
      <c r="C6160" s="3" t="str">
        <f>IFERROR(__xludf.DUMMYFUNCTION("GOOGLETRANSLATE(B6160,""id"",""en"")"),"['Application', 'Stuck', 'White', 'Screen', 'Week', 'Repair', 'Complaints', 'Response', 'Repair', ""]")</f>
        <v>['Application', 'Stuck', 'White', 'Screen', 'Week', 'Repair', 'Complaints', 'Response', 'Repair', "]</v>
      </c>
      <c r="D6160" s="3">
        <v>1.0</v>
      </c>
    </row>
    <row r="6161" ht="15.75" customHeight="1">
      <c r="A6161" s="1">
        <v>6569.0</v>
      </c>
      <c r="B6161" s="3" t="s">
        <v>5923</v>
      </c>
      <c r="C6161" s="3" t="str">
        <f>IFERROR(__xludf.DUMMYFUNCTION("GOOGLETRANSLATE(B6161,""id"",""en"")"),"['Sorry', 'honest', 'package', 'expensive', 'signal', 'internet', 'ugly', 'honest']")</f>
        <v>['Sorry', 'honest', 'package', 'expensive', 'signal', 'internet', 'ugly', 'honest']</v>
      </c>
      <c r="D6161" s="3">
        <v>1.0</v>
      </c>
    </row>
    <row r="6162" ht="15.75" customHeight="1">
      <c r="A6162" s="1">
        <v>6570.0</v>
      </c>
      <c r="B6162" s="3" t="s">
        <v>5924</v>
      </c>
      <c r="C6162" s="3" t="str">
        <f>IFERROR(__xludf.DUMMYFUNCTION("GOOGLETRANSLATE(B6162,""id"",""en"")"),"['Saranin', 'Development', 'App', 'Try', 'Rich', 'Application', 'Next to', 'Where', 'Feature', 'Credit', 'Sumpot', 'Paketan', ' run out ',' internet ',' road ',' mode ',' data ',' turn on ',' pulse ',' drained ',' dear ',' really ',' left ',' package ',' "&amp;"rich ' , 'Max', 'stream', 'package', 'data', 'run out', 'open', 'take', 'data', 'pulses',' dear ',' really ',' pulses', ' Min ',' pkt ',' bln ',' dpn ']")</f>
        <v>['Saranin', 'Development', 'App', 'Try', 'Rich', 'Application', 'Next to', 'Where', 'Feature', 'Credit', 'Sumpot', 'Paketan', ' run out ',' internet ',' road ',' mode ',' data ',' turn on ',' pulse ',' drained ',' dear ',' really ',' left ',' package ',' rich ' , 'Max', 'stream', 'package', 'data', 'run out', 'open', 'take', 'data', 'pulses',' dear ',' really ',' pulses', ' Min ',' pkt ',' bln ',' dpn ']</v>
      </c>
      <c r="D6162" s="3">
        <v>2.0</v>
      </c>
    </row>
    <row r="6163" ht="15.75" customHeight="1">
      <c r="A6163" s="1">
        <v>6571.0</v>
      </c>
      <c r="B6163" s="3" t="s">
        <v>5925</v>
      </c>
      <c r="C6163" s="3" t="str">
        <f>IFERROR(__xludf.DUMMYFUNCTION("GOOGLETRANSLATE(B6163,""id"",""en"")"),"['Ngellag', 'sinya', 'point', 'exchange', 'access']")</f>
        <v>['Ngellag', 'sinya', 'point', 'exchange', 'access']</v>
      </c>
      <c r="D6163" s="3">
        <v>5.0</v>
      </c>
    </row>
    <row r="6164" ht="15.75" customHeight="1">
      <c r="A6164" s="1">
        <v>6573.0</v>
      </c>
      <c r="B6164" s="3" t="s">
        <v>5926</v>
      </c>
      <c r="C6164" s="3" t="str">
        <f>IFERROR(__xludf.DUMMYFUNCTION("GOOGLETRANSLATE(B6164,""id"",""en"")"),"['', 'ISOH', 'opened', '']")</f>
        <v>['', 'ISOH', 'opened', '']</v>
      </c>
      <c r="D6164" s="3">
        <v>1.0</v>
      </c>
    </row>
    <row r="6165" ht="15.75" customHeight="1">
      <c r="A6165" s="1">
        <v>6574.0</v>
      </c>
      <c r="B6165" s="3" t="s">
        <v>5927</v>
      </c>
      <c r="C6165" s="3" t="str">
        <f>IFERROR(__xludf.DUMMYFUNCTION("GOOGLETRANSLATE(B6165,""id"",""en"")"),"['APK', 'Helpful']")</f>
        <v>['APK', 'Helpful']</v>
      </c>
      <c r="D6165" s="3">
        <v>5.0</v>
      </c>
    </row>
    <row r="6166" ht="15.75" customHeight="1">
      <c r="A6166" s="1">
        <v>6575.0</v>
      </c>
      <c r="B6166" s="3" t="s">
        <v>5928</v>
      </c>
      <c r="C6166" s="3" t="str">
        <f>IFERROR(__xludf.DUMMYFUNCTION("GOOGLETRANSLATE(B6166,""id"",""en"")"),"['Night', 'Running', 'Open', 'APK', 'Telkomsel', 'Colored', 'White', 'Opened']")</f>
        <v>['Night', 'Running', 'Open', 'APK', 'Telkomsel', 'Colored', 'White', 'Opened']</v>
      </c>
      <c r="D6166" s="3">
        <v>2.0</v>
      </c>
    </row>
    <row r="6167" ht="15.75" customHeight="1">
      <c r="A6167" s="1">
        <v>6576.0</v>
      </c>
      <c r="B6167" s="3" t="s">
        <v>5929</v>
      </c>
      <c r="C6167" s="3" t="str">
        <f>IFERROR(__xludf.DUMMYFUNCTION("GOOGLETRANSLATE(B6167,""id"",""en"")"),"['The application', 'Useful', 'really', '']")</f>
        <v>['The application', 'Useful', 'really', '']</v>
      </c>
      <c r="D6167" s="3">
        <v>5.0</v>
      </c>
    </row>
    <row r="6168" ht="15.75" customHeight="1">
      <c r="A6168" s="1">
        <v>6577.0</v>
      </c>
      <c r="B6168" s="3" t="s">
        <v>5930</v>
      </c>
      <c r="C6168" s="3" t="str">
        <f>IFERROR(__xludf.DUMMYFUNCTION("GOOGLETRANSLATE(B6168,""id"",""en"")"),"['', 'Open', 'Telkomsel']")</f>
        <v>['', 'Open', 'Telkomsel']</v>
      </c>
      <c r="D6168" s="3">
        <v>1.0</v>
      </c>
    </row>
    <row r="6169" ht="15.75" customHeight="1">
      <c r="A6169" s="1">
        <v>6578.0</v>
      </c>
      <c r="B6169" s="3" t="s">
        <v>5931</v>
      </c>
      <c r="C6169" s="3" t="str">
        <f>IFERROR(__xludf.DUMMYFUNCTION("GOOGLETRANSLATE(B6169,""id"",""en"")"),"['display', 'functional', 'info', 'quota', 'must', 'veronica', 'already', 'download', 'application', 'info', 'complete', 'rich', ' Useful ',' Download ',' Please ',' Feature ',' Function ',' Equipped ',' ']")</f>
        <v>['display', 'functional', 'info', 'quota', 'must', 'veronica', 'already', 'download', 'application', 'info', 'complete', 'rich', ' Useful ',' Download ',' Please ',' Feature ',' Function ',' Equipped ',' ']</v>
      </c>
      <c r="D6169" s="3">
        <v>2.0</v>
      </c>
    </row>
    <row r="6170" ht="15.75" customHeight="1">
      <c r="A6170" s="1">
        <v>6579.0</v>
      </c>
      <c r="B6170" s="3" t="s">
        <v>5932</v>
      </c>
      <c r="C6170" s="3" t="str">
        <f>IFERROR(__xludf.DUMMYFUNCTION("GOOGLETRANSLATE(B6170,""id"",""en"")"),"['Sometimes', 'APK', 'can', 'opened']")</f>
        <v>['Sometimes', 'APK', 'can', 'opened']</v>
      </c>
      <c r="D6170" s="3">
        <v>3.0</v>
      </c>
    </row>
    <row r="6171" ht="15.75" customHeight="1">
      <c r="A6171" s="1">
        <v>6580.0</v>
      </c>
      <c r="B6171" s="3" t="s">
        <v>5933</v>
      </c>
      <c r="C6171" s="3" t="str">
        <f>IFERROR(__xludf.DUMMYFUNCTION("GOOGLETRANSLATE(B6171,""id"",""en"")"),"['have', 'access', 'Page', 'Point', 'Disappointed']")</f>
        <v>['have', 'access', 'Page', 'Point', 'Disappointed']</v>
      </c>
      <c r="D6171" s="3">
        <v>2.0</v>
      </c>
    </row>
    <row r="6172" ht="15.75" customHeight="1">
      <c r="A6172" s="1">
        <v>6581.0</v>
      </c>
      <c r="B6172" s="3" t="s">
        <v>5934</v>
      </c>
      <c r="C6172" s="3" t="str">
        <f>IFERROR(__xludf.DUMMYFUNCTION("GOOGLETRANSLATE(B6172,""id"",""en"")"),"['Signal', 'Network', 'Internet', 'Telkomsel']")</f>
        <v>['Signal', 'Network', 'Internet', 'Telkomsel']</v>
      </c>
      <c r="D6172" s="3">
        <v>5.0</v>
      </c>
    </row>
    <row r="6173" ht="15.75" customHeight="1">
      <c r="A6173" s="1">
        <v>6582.0</v>
      </c>
      <c r="B6173" s="3" t="s">
        <v>5935</v>
      </c>
      <c r="C6173" s="3" t="str">
        <f>IFERROR(__xludf.DUMMYFUNCTION("GOOGLETRANSLATE(B6173,""id"",""en"")"),"['APK', 'konntollllll', 'already', 'pulse', 'lost', 'open', 'anjenggg', 'bankrupt', 'company', 'njeng']")</f>
        <v>['APK', 'konntollllll', 'already', 'pulse', 'lost', 'open', 'anjenggg', 'bankrupt', 'company', 'njeng']</v>
      </c>
      <c r="D6173" s="3">
        <v>1.0</v>
      </c>
    </row>
    <row r="6174" ht="15.75" customHeight="1">
      <c r="A6174" s="1">
        <v>6583.0</v>
      </c>
      <c r="B6174" s="3" t="s">
        <v>5936</v>
      </c>
      <c r="C6174" s="3" t="str">
        <f>IFERROR(__xludf.DUMMYFUNCTION("GOOGLETRANSLATE(B6174,""id"",""en"")"),"['Sorry', 'min', 'here', 'network', 'Telkomsel', 'area', 'ugly', 'lose', 'high school', 'celluler', 'play', 'game', ' ping ',' pling ',' good ',' tlong ',' fix ',' min ',' disappointed ']")</f>
        <v>['Sorry', 'min', 'here', 'network', 'Telkomsel', 'area', 'ugly', 'lose', 'high school', 'celluler', 'play', 'game', ' ping ',' pling ',' good ',' tlong ',' fix ',' min ',' disappointed ']</v>
      </c>
      <c r="D6174" s="3">
        <v>1.0</v>
      </c>
    </row>
    <row r="6175" ht="15.75" customHeight="1">
      <c r="A6175" s="1">
        <v>6584.0</v>
      </c>
      <c r="B6175" s="3" t="s">
        <v>5937</v>
      </c>
      <c r="C6175" s="3" t="str">
        <f>IFERROR(__xludf.DUMMYFUNCTION("GOOGLETRANSLATE(B6175,""id"",""en"")"),"['Telkomsel', 'Sorry', 'Blum', 'Pay', 'Bill', 'Blum', 'Money', 'Buy', 'Pulse', 'Pay', 'Please', 'Sorry', ' Those ',' Thanks', 'Love', 'GPP', 'Take', 'Pulses',' Tungu ',' Aada ',' Money ']")</f>
        <v>['Telkomsel', 'Sorry', 'Blum', 'Pay', 'Bill', 'Blum', 'Money', 'Buy', 'Pulse', 'Pay', 'Please', 'Sorry', ' Those ',' Thanks', 'Love', 'GPP', 'Take', 'Pulses',' Tungu ',' Aada ',' Money ']</v>
      </c>
      <c r="D6175" s="3">
        <v>4.0</v>
      </c>
    </row>
    <row r="6176" ht="15.75" customHeight="1">
      <c r="A6176" s="1">
        <v>6585.0</v>
      </c>
      <c r="B6176" s="3" t="s">
        <v>5938</v>
      </c>
      <c r="C6176" s="3" t="str">
        <f>IFERROR(__xludf.DUMMYFUNCTION("GOOGLETRANSLATE(B6176,""id"",""en"")"),"['', 'Telkomsel', 'Doly "",' ']")</f>
        <v>['', 'Telkomsel', 'Doly ",' ']</v>
      </c>
      <c r="D6176" s="3">
        <v>5.0</v>
      </c>
    </row>
    <row r="6177" ht="15.75" customHeight="1">
      <c r="A6177" s="1">
        <v>6586.0</v>
      </c>
      <c r="B6177" s="3" t="s">
        <v>5939</v>
      </c>
      <c r="C6177" s="3" t="str">
        <f>IFERROR(__xludf.DUMMYFUNCTION("GOOGLETRANSLATE(B6177,""id"",""en"")"),"['', 'Telkomsel', 'Yahuuuddd']")</f>
        <v>['', 'Telkomsel', 'Yahuuuddd']</v>
      </c>
      <c r="D6177" s="3">
        <v>5.0</v>
      </c>
    </row>
    <row r="6178" ht="15.75" customHeight="1">
      <c r="A6178" s="1">
        <v>6588.0</v>
      </c>
      <c r="B6178" s="3" t="s">
        <v>5940</v>
      </c>
      <c r="C6178" s="3" t="str">
        <f>IFERROR(__xludf.DUMMYFUNCTION("GOOGLETRANSLATE(B6178,""id"",""en"")"),"['PAS', 'Bukak', 'Tiktok', 'Good', 'Pas', 'Main', 'Game', 'Kek', 'Pig', ""]")</f>
        <v>['PAS', 'Bukak', 'Tiktok', 'Good', 'Pas', 'Main', 'Game', 'Kek', 'Pig', "]</v>
      </c>
      <c r="D6178" s="3">
        <v>1.0</v>
      </c>
    </row>
    <row r="6179" ht="15.75" customHeight="1">
      <c r="A6179" s="1">
        <v>6589.0</v>
      </c>
      <c r="B6179" s="3" t="s">
        <v>5941</v>
      </c>
      <c r="C6179" s="3" t="str">
        <f>IFERROR(__xludf.DUMMYFUNCTION("GOOGLETRANSLATE(B6179,""id"",""en"")"),"['The application', 'Ngeblank', 'Week', 'Suitable', 'Android', 'How', '']")</f>
        <v>['The application', 'Ngeblank', 'Week', 'Suitable', 'Android', 'How', '']</v>
      </c>
      <c r="D6179" s="3">
        <v>1.0</v>
      </c>
    </row>
    <row r="6180" ht="15.75" customHeight="1">
      <c r="A6180" s="1">
        <v>6590.0</v>
      </c>
      <c r="B6180" s="3" t="s">
        <v>5942</v>
      </c>
      <c r="C6180" s="3" t="str">
        <f>IFERROR(__xludf.DUMMYFUNCTION("GOOGLETRANSLATE(B6180,""id"",""en"")"),"['quota', 'cheap', 'really']")</f>
        <v>['quota', 'cheap', 'really']</v>
      </c>
      <c r="D6180" s="3">
        <v>5.0</v>
      </c>
    </row>
    <row r="6181" ht="15.75" customHeight="1">
      <c r="A6181" s="1">
        <v>6591.0</v>
      </c>
      <c r="B6181" s="3" t="s">
        <v>5943</v>
      </c>
      <c r="C6181" s="3" t="str">
        <f>IFERROR(__xludf.DUMMYFUNCTION("GOOGLETRANSLATE(B6181,""id"",""en"")"),"['signal', 'good', 'Download', '']")</f>
        <v>['signal', 'good', 'Download', '']</v>
      </c>
      <c r="D6181" s="3">
        <v>1.0</v>
      </c>
    </row>
    <row r="6182" ht="15.75" customHeight="1">
      <c r="A6182" s="1">
        <v>6592.0</v>
      </c>
      <c r="B6182" s="3" t="s">
        <v>5944</v>
      </c>
      <c r="C6182" s="3" t="str">
        <f>IFERROR(__xludf.DUMMYFUNCTION("GOOGLETRANSLATE(B6182,""id"",""en"")"),"['Out', 'updated', 'can', 'open', 'right', 'open', 'blank', 'white', 'gmn', 'sich', 'up', 'updated', ' Current ',' like ',' gini ',' bsa ',' buy ',' package ']")</f>
        <v>['Out', 'updated', 'can', 'open', 'right', 'open', 'blank', 'white', 'gmn', 'sich', 'up', 'updated', ' Current ',' like ',' gini ',' bsa ',' buy ',' package ']</v>
      </c>
      <c r="D6182" s="3">
        <v>1.0</v>
      </c>
    </row>
    <row r="6183" ht="15.75" customHeight="1">
      <c r="A6183" s="1">
        <v>6594.0</v>
      </c>
      <c r="B6183" s="3" t="s">
        <v>5945</v>
      </c>
      <c r="C6183" s="3" t="str">
        <f>IFERROR(__xludf.DUMMYFUNCTION("GOOGLETRANSLATE(B6183,""id"",""en"")"),"['Star', 'lazy', 'told', 'update', 'update', 'pepke', 'white', 'doang', 'try', 'uninstall']")</f>
        <v>['Star', 'lazy', 'told', 'update', 'update', 'pepke', 'white', 'doang', 'try', 'uninstall']</v>
      </c>
      <c r="D6183" s="3">
        <v>1.0</v>
      </c>
    </row>
    <row r="6184" ht="15.75" customHeight="1">
      <c r="A6184" s="1">
        <v>6595.0</v>
      </c>
      <c r="B6184" s="3" t="s">
        <v>520</v>
      </c>
      <c r="C6184" s="3" t="str">
        <f>IFERROR(__xludf.DUMMYFUNCTION("GOOGLETRANSLATE(B6184,""id"",""en"")"),"['Satisfied', 'Telkomsel']")</f>
        <v>['Satisfied', 'Telkomsel']</v>
      </c>
      <c r="D6184" s="3">
        <v>5.0</v>
      </c>
    </row>
    <row r="6185" ht="15.75" customHeight="1">
      <c r="A6185" s="1">
        <v>6597.0</v>
      </c>
      <c r="B6185" s="3" t="s">
        <v>5946</v>
      </c>
      <c r="C6185" s="3" t="str">
        <f>IFERROR(__xludf.DUMMYFUNCTION("GOOGLETRANSLATE(B6185,""id"",""en"")"),"['Veronika', 'unlimited', 'answers']")</f>
        <v>['Veronika', 'unlimited', 'answers']</v>
      </c>
      <c r="D6185" s="3">
        <v>3.0</v>
      </c>
    </row>
    <row r="6186" ht="15.75" customHeight="1">
      <c r="A6186" s="1">
        <v>6598.0</v>
      </c>
      <c r="B6186" s="3" t="s">
        <v>5947</v>
      </c>
      <c r="C6186" s="3" t="str">
        <f>IFERROR(__xludf.DUMMYFUNCTION("GOOGLETRANSLATE(B6186,""id"",""en"")"),"['application', 'Telkomsel', 'delete', 'then', 'pairs', 'no', 'pairs', 'no', 'open', ""]")</f>
        <v>['application', 'Telkomsel', 'delete', 'then', 'pairs', 'no', 'pairs', 'no', 'open', "]</v>
      </c>
      <c r="D6186" s="3">
        <v>1.0</v>
      </c>
    </row>
    <row r="6187" ht="15.75" customHeight="1">
      <c r="A6187" s="1">
        <v>6600.0</v>
      </c>
      <c r="B6187" s="3" t="s">
        <v>5948</v>
      </c>
      <c r="C6187" s="3" t="str">
        <f>IFERROR(__xludf.DUMMYFUNCTION("GOOGLETRANSLATE(B6187,""id"",""en"")"),"['Bener', 'Doang', 'Telkomsel', 'cave', 'buy', 'process',' process', 'really', 'jarenga', 'leg', 'already', 'expensive', ' Intention ',' Sell ',' Package ',' Data ',' Cave ',' Padah ',' Already ',' User ',' Yaferan ',' Pas', ""]")</f>
        <v>['Bener', 'Doang', 'Telkomsel', 'cave', 'buy', 'process',' process', 'really', 'jarenga', 'leg', 'already', 'expensive', ' Intention ',' Sell ',' Package ',' Data ',' Cave ',' Padah ',' Already ',' User ',' Yaferan ',' Pas', "]</v>
      </c>
      <c r="D6187" s="3">
        <v>1.0</v>
      </c>
    </row>
    <row r="6188" ht="15.75" customHeight="1">
      <c r="A6188" s="1">
        <v>6601.0</v>
      </c>
      <c r="B6188" s="3" t="s">
        <v>5949</v>
      </c>
      <c r="C6188" s="3" t="str">
        <f>IFERROR(__xludf.DUMMYFUNCTION("GOOGLETRANSLATE(B6188,""id"",""en"")"),"['Please', 'repaired', 'typing', 'number', 'typing', ""]")</f>
        <v>['Please', 'repaired', 'typing', 'number', 'typing', "]</v>
      </c>
      <c r="D6188" s="3">
        <v>1.0</v>
      </c>
    </row>
    <row r="6189" ht="15.75" customHeight="1">
      <c r="A6189" s="1">
        <v>6602.0</v>
      </c>
      <c r="B6189" s="3" t="s">
        <v>5950</v>
      </c>
      <c r="C6189" s="3" t="str">
        <f>IFERROR(__xludf.DUMMYFUNCTION("GOOGLETRANSLATE(B6189,""id"",""en"")"),"['use', 'Telkomsel', 'UDH', 'number', 'given', 'Kisaya', 'right', 'times',' pulse ',' truncated ',' network ',' sms', ' Access', 'Internet', 'Rates',' Non ',' Package ',' Turn on ',' Data ',' Credit ',' Collaps', 'thousand', 'SMS', 'thousand', 'loss' , 'p"&amp;"ulse', 'thousand', 'thousand', 'times', 'pulse', 'cheek', 'please', 'fix', '']")</f>
        <v>['use', 'Telkomsel', 'UDH', 'number', 'given', 'Kisaya', 'right', 'times',' pulse ',' truncated ',' network ',' sms', ' Access', 'Internet', 'Rates',' Non ',' Package ',' Turn on ',' Data ',' Credit ',' Collaps', 'thousand', 'SMS', 'thousand', 'loss' , 'pulse', 'thousand', 'thousand', 'times', 'pulse', 'cheek', 'please', 'fix', '']</v>
      </c>
      <c r="D6189" s="3">
        <v>1.0</v>
      </c>
    </row>
    <row r="6190" ht="15.75" customHeight="1">
      <c r="A6190" s="1">
        <v>6603.0</v>
      </c>
      <c r="B6190" s="3" t="s">
        <v>5951</v>
      </c>
      <c r="C6190" s="3" t="str">
        <f>IFERROR(__xludf.DUMMYFUNCTION("GOOGLETRANSLATE(B6190,""id"",""en"")"),"['Price', 'Expensive', 'Quality', 'Bad', 'Please', 'Enhanced', 'Quality', 'The Network', 'Thanks', 'Min']")</f>
        <v>['Price', 'Expensive', 'Quality', 'Bad', 'Please', 'Enhanced', 'Quality', 'The Network', 'Thanks', 'Min']</v>
      </c>
      <c r="D6190" s="3">
        <v>1.0</v>
      </c>
    </row>
    <row r="6191" ht="15.75" customHeight="1">
      <c r="A6191" s="1">
        <v>6604.0</v>
      </c>
      <c r="B6191" s="3" t="s">
        <v>5952</v>
      </c>
      <c r="C6191" s="3" t="str">
        <f>IFERROR(__xludf.DUMMYFUNCTION("GOOGLETRANSLATE(B6191,""id"",""en"")"),"['Package', 'data', 'pulse', 'suck', 'network', 'internet', 'please', 'fix', 'bug', 'detrimental', 'really', 'user', ' APK ',' MyTelkomsel ',' Package ',' Suck ',' Credit ',' Sumpot ',' Doble ',' Cemorial ']")</f>
        <v>['Package', 'data', 'pulse', 'suck', 'network', 'internet', 'please', 'fix', 'bug', 'detrimental', 'really', 'user', ' APK ',' MyTelkomsel ',' Package ',' Suck ',' Credit ',' Sumpot ',' Doble ',' Cemorial ']</v>
      </c>
      <c r="D6191" s="3">
        <v>1.0</v>
      </c>
    </row>
    <row r="6192" ht="15.75" customHeight="1">
      <c r="A6192" s="1">
        <v>6605.0</v>
      </c>
      <c r="B6192" s="3" t="s">
        <v>5953</v>
      </c>
      <c r="C6192" s="3" t="str">
        <f>IFERROR(__xludf.DUMMYFUNCTION("GOOGLETRANSLATE(B6192,""id"",""en"")"),"['Help', 'makes it easy', 'purchase', 'package', 'internet']")</f>
        <v>['Help', 'makes it easy', 'purchase', 'package', 'internet']</v>
      </c>
      <c r="D6192" s="3">
        <v>5.0</v>
      </c>
    </row>
    <row r="6193" ht="15.75" customHeight="1">
      <c r="A6193" s="1">
        <v>6606.0</v>
      </c>
      <c r="B6193" s="3" t="s">
        <v>5954</v>
      </c>
      <c r="C6193" s="3" t="str">
        <f>IFERROR(__xludf.DUMMYFUNCTION("GOOGLETRANSLATE(B6193,""id"",""en"")"),"['application', 'opened', 'just', 'already', 'downloaded', 'stuck', 'color', 'white', 'that's', 'ajaaa']")</f>
        <v>['application', 'opened', 'just', 'already', 'downloaded', 'stuck', 'color', 'white', 'that's', 'ajaaa']</v>
      </c>
      <c r="D6193" s="3">
        <v>3.0</v>
      </c>
    </row>
    <row r="6194" ht="15.75" customHeight="1">
      <c r="A6194" s="1">
        <v>6607.0</v>
      </c>
      <c r="B6194" s="3" t="s">
        <v>5955</v>
      </c>
      <c r="C6194" s="3" t="str">
        <f>IFERROR(__xludf.DUMMYFUNCTION("GOOGLETRANSLATE(B6194,""id"",""en"")"),"['Lose', 'Package']")</f>
        <v>['Lose', 'Package']</v>
      </c>
      <c r="D6194" s="3">
        <v>1.0</v>
      </c>
    </row>
    <row r="6195" ht="15.75" customHeight="1">
      <c r="A6195" s="1">
        <v>6609.0</v>
      </c>
      <c r="B6195" s="3" t="s">
        <v>5956</v>
      </c>
      <c r="C6195" s="3" t="str">
        <f>IFERROR(__xludf.DUMMYFUNCTION("GOOGLETRANSLATE(B6195,""id"",""en"")"),"['buy', 'pulse', 'blm', 'mnt', 'truncated', '']")</f>
        <v>['buy', 'pulse', 'blm', 'mnt', 'truncated', '']</v>
      </c>
      <c r="D6195" s="3">
        <v>1.0</v>
      </c>
    </row>
    <row r="6196" ht="15.75" customHeight="1">
      <c r="A6196" s="1">
        <v>6610.0</v>
      </c>
      <c r="B6196" s="3" t="s">
        <v>5957</v>
      </c>
      <c r="C6196" s="3" t="str">
        <f>IFERROR(__xludf.DUMMYFUNCTION("GOOGLETRANSLATE(B6196,""id"",""en"")"),"['Knpa', 'quota', 'gamemax', 'dlu', 'delete', '']")</f>
        <v>['Knpa', 'quota', 'gamemax', 'dlu', 'delete', '']</v>
      </c>
      <c r="D6196" s="3">
        <v>1.0</v>
      </c>
    </row>
    <row r="6197" ht="15.75" customHeight="1">
      <c r="A6197" s="1">
        <v>6611.0</v>
      </c>
      <c r="B6197" s="3" t="s">
        <v>5958</v>
      </c>
      <c r="C6197" s="3" t="str">
        <f>IFERROR(__xludf.DUMMYFUNCTION("GOOGLETRANSLATE(B6197,""id"",""en"")"),"['signal', 'regret', 'buy', '']")</f>
        <v>['signal', 'regret', 'buy', '']</v>
      </c>
      <c r="D6197" s="3">
        <v>1.0</v>
      </c>
    </row>
    <row r="6198" ht="15.75" customHeight="1">
      <c r="A6198" s="1">
        <v>6613.0</v>
      </c>
      <c r="B6198" s="3" t="s">
        <v>5959</v>
      </c>
      <c r="C6198" s="3" t="str">
        <f>IFERROR(__xludf.DUMMYFUNCTION("GOOGLETRANSLATE(B6198,""id"",""en"")"),"['mantaaaapp', 'gift', 'bonus', 'level', 'promo', 'interesting', '']")</f>
        <v>['mantaaaapp', 'gift', 'bonus', 'level', 'promo', 'interesting', '']</v>
      </c>
      <c r="D6198" s="3">
        <v>5.0</v>
      </c>
    </row>
    <row r="6199" ht="15.75" customHeight="1">
      <c r="A6199" s="1">
        <v>6614.0</v>
      </c>
      <c r="B6199" s="3" t="s">
        <v>5960</v>
      </c>
      <c r="C6199" s="3" t="str">
        <f>IFERROR(__xludf.DUMMYFUNCTION("GOOGLETRANSLATE(B6199,""id"",""en"")"),"['Please', 'update', 'reset', 'Different', 'used', 'update', 'white', 'screen', 'waste', 'card']")</f>
        <v>['Please', 'update', 'reset', 'Different', 'used', 'update', 'white', 'screen', 'waste', 'card']</v>
      </c>
      <c r="D6199" s="3">
        <v>1.0</v>
      </c>
    </row>
    <row r="6200" ht="15.75" customHeight="1">
      <c r="A6200" s="1">
        <v>6615.0</v>
      </c>
      <c r="B6200" s="3" t="s">
        <v>5961</v>
      </c>
      <c r="C6200" s="3" t="str">
        <f>IFERROR(__xludf.DUMMYFUNCTION("GOOGLETRANSLATE(B6200,""id"",""en"")"),"['Telkomsel', 'pulse', 'me', 'sucked', 'package', 'run out', 'please', 'keep', 'quality', 'logomu', 'ngatasin', 'what', ' ']")</f>
        <v>['Telkomsel', 'pulse', 'me', 'sucked', 'package', 'run out', 'please', 'keep', 'quality', 'logomu', 'ngatasin', 'what', ' ']</v>
      </c>
      <c r="D6200" s="3">
        <v>1.0</v>
      </c>
    </row>
    <row r="6201" ht="15.75" customHeight="1">
      <c r="A6201" s="1">
        <v>6616.0</v>
      </c>
      <c r="B6201" s="3" t="s">
        <v>5962</v>
      </c>
      <c r="C6201" s="3" t="str">
        <f>IFERROR(__xludf.DUMMYFUNCTION("GOOGLETRANSLATE(B6201,""id"",""en"")"),"['expensive', 'unclean', 'dipake', 'gane', 'light', 'like', 'ngelagh', 'severe', 'already', 'supports',' good ',' emg ',' Based on ',' Telkom ',' Bloon ']")</f>
        <v>['expensive', 'unclean', 'dipake', 'gane', 'light', 'like', 'ngelagh', 'severe', 'already', 'supports',' good ',' emg ',' Based on ',' Telkom ',' Bloon ']</v>
      </c>
      <c r="D6201" s="3">
        <v>1.0</v>
      </c>
    </row>
    <row r="6202" ht="15.75" customHeight="1">
      <c r="A6202" s="1">
        <v>6617.0</v>
      </c>
      <c r="B6202" s="3" t="s">
        <v>5963</v>
      </c>
      <c r="C6202" s="3" t="str">
        <f>IFERROR(__xludf.DUMMYFUNCTION("GOOGLETRANSLATE(B6202,""id"",""en"")"),"['min', 'knapa', 'Telkomsel', 'Abis',' updated ',' open ',' lgi ',' min ',' every time ',' leftover ',' pulses', 'always',' Suck ',' spai ',' rupiah ',' package ',' internet ',' leftover ',' pulse ',' run out ',' list ',' package ',' internet ',' after ',"&amp;"' check ' , 'pulse', 'min', 'already', 'times']")</f>
        <v>['min', 'knapa', 'Telkomsel', 'Abis',' updated ',' open ',' lgi ',' min ',' every time ',' leftover ',' pulses', 'always',' Suck ',' spai ',' rupiah ',' package ',' internet ',' leftover ',' pulse ',' run out ',' list ',' package ',' internet ',' after ',' check ' , 'pulse', 'min', 'already', 'times']</v>
      </c>
      <c r="D6202" s="3">
        <v>2.0</v>
      </c>
    </row>
    <row r="6203" ht="15.75" customHeight="1">
      <c r="A6203" s="1">
        <v>6618.0</v>
      </c>
      <c r="B6203" s="3" t="s">
        <v>5964</v>
      </c>
      <c r="C6203" s="3" t="str">
        <f>IFERROR(__xludf.DUMMYFUNCTION("GOOGLETRANSLATE(B6203,""id"",""en"")"),"['My APK', 'Good', '']")</f>
        <v>['My APK', 'Good', '']</v>
      </c>
      <c r="D6203" s="3">
        <v>5.0</v>
      </c>
    </row>
    <row r="6204" ht="15.75" customHeight="1">
      <c r="A6204" s="1">
        <v>6619.0</v>
      </c>
      <c r="B6204" s="3" t="s">
        <v>5965</v>
      </c>
      <c r="C6204" s="3" t="str">
        <f>IFERROR(__xludf.DUMMYFUNCTION("GOOGLETRANSLATE(B6204,""id"",""en"")"),"['HeII', 'Application', 'Open', 'Blank', 'White', 'Try', 'Benerin', '']")</f>
        <v>['HeII', 'Application', 'Open', 'Blank', 'White', 'Try', 'Benerin', '']</v>
      </c>
      <c r="D6204" s="3">
        <v>1.0</v>
      </c>
    </row>
    <row r="6205" ht="15.75" customHeight="1">
      <c r="A6205" s="1">
        <v>6620.0</v>
      </c>
      <c r="B6205" s="3" t="s">
        <v>5966</v>
      </c>
      <c r="C6205" s="3" t="str">
        <f>IFERROR(__xludf.DUMMYFUNCTION("GOOGLETRANSLATE(B6205,""id"",""en"")"),"['sorry', 'ksh', 'Bintg', 'bget', 'slow', 'network', 'telkomsel', 'bete', 'open', 'application', 'gr', 'jringn', ' good ',' knp ',' skrg ',' slow ',' gini ',' good ',' knp ',' skrg ',' bgus', 'tlg', 'repaired', 'buy', 'package' , 'expensive', 'Jringn', 's"&amp;"table', '']")</f>
        <v>['sorry', 'ksh', 'Bintg', 'bget', 'slow', 'network', 'telkomsel', 'bete', 'open', 'application', 'gr', 'jringn', ' good ',' knp ',' skrg ',' slow ',' gini ',' good ',' knp ',' skrg ',' bgus', 'tlg', 'repaired', 'buy', 'package' , 'expensive', 'Jringn', 'stable', '']</v>
      </c>
      <c r="D6205" s="3">
        <v>1.0</v>
      </c>
    </row>
    <row r="6206" ht="15.75" customHeight="1">
      <c r="A6206" s="1">
        <v>6621.0</v>
      </c>
      <c r="B6206" s="3" t="s">
        <v>5967</v>
      </c>
      <c r="C6206" s="3" t="str">
        <f>IFERROR(__xludf.DUMMYFUNCTION("GOOGLETRANSLATE(B6206,""id"",""en"")"),"['contents',' package ',' thousand ',' GB ',' unlimited ',' sosmed ',' Pernas', 'satisfied', 'service', 'network', 'internet', 'slow', ' play ',' service ',' telephone ',' network ',' bad ',' ilang ',' voice ',' telkomsel ',' quality ',' bad ',' below ','"&amp;" standard ']")</f>
        <v>['contents',' package ',' thousand ',' GB ',' unlimited ',' sosmed ',' Pernas', 'satisfied', 'service', 'network', 'internet', 'slow', ' play ',' service ',' telephone ',' network ',' bad ',' ilang ',' voice ',' telkomsel ',' quality ',' bad ',' below ',' standard ']</v>
      </c>
      <c r="D6206" s="3">
        <v>1.0</v>
      </c>
    </row>
    <row r="6207" ht="15.75" customHeight="1">
      <c r="A6207" s="1">
        <v>6622.0</v>
      </c>
      <c r="B6207" s="3" t="s">
        <v>5968</v>
      </c>
      <c r="C6207" s="3" t="str">
        <f>IFERROR(__xludf.DUMMYFUNCTION("GOOGLETRANSLATE(B6207,""id"",""en"")"),"['hope', 'get', 'coin', ""]")</f>
        <v>['hope', 'get', 'coin', "]</v>
      </c>
      <c r="D6207" s="3">
        <v>5.0</v>
      </c>
    </row>
    <row r="6208" ht="15.75" customHeight="1">
      <c r="A6208" s="1">
        <v>6623.0</v>
      </c>
      <c r="B6208" s="3" t="s">
        <v>5969</v>
      </c>
      <c r="C6208" s="3" t="str">
        <f>IFERROR(__xludf.DUMMYFUNCTION("GOOGLETRANSLATE(B6208,""id"",""en"")"),"['bad', 'unlimited', 'slow', 'signal', 'good']")</f>
        <v>['bad', 'unlimited', 'slow', 'signal', 'good']</v>
      </c>
      <c r="D6208" s="3">
        <v>1.0</v>
      </c>
    </row>
    <row r="6209" ht="15.75" customHeight="1">
      <c r="A6209" s="1">
        <v>6624.0</v>
      </c>
      <c r="B6209" s="3" t="s">
        <v>5970</v>
      </c>
      <c r="C6209" s="3" t="str">
        <f>IFERROR(__xludf.DUMMYFUNCTION("GOOGLETRANSLATE(B6209,""id"",""en"")"),"['Closed', 'Your Company', 'Telkomsel', 'Customer', 'Satisfied', 'Buy', 'Quota', 'Telkomsel', 'Signal', 'Lost', 'Comfortable', 'Already', ' fraudster']")</f>
        <v>['Closed', 'Your Company', 'Telkomsel', 'Customer', 'Satisfied', 'Buy', 'Quota', 'Telkomsel', 'Signal', 'Lost', 'Comfortable', 'Already', ' fraudster']</v>
      </c>
      <c r="D6209" s="3">
        <v>1.0</v>
      </c>
    </row>
    <row r="6210" ht="15.75" customHeight="1">
      <c r="A6210" s="1">
        <v>6625.0</v>
      </c>
      <c r="B6210" s="3" t="s">
        <v>5971</v>
      </c>
      <c r="C6210" s="3" t="str">
        <f>IFERROR(__xludf.DUMMYFUNCTION("GOOGLETRANSLATE(B6210,""id"",""en"")"),"['Price', 'expensive', 'network', 'idiot', 'right']")</f>
        <v>['Price', 'expensive', 'network', 'idiot', 'right']</v>
      </c>
      <c r="D6210" s="3">
        <v>1.0</v>
      </c>
    </row>
    <row r="6211" ht="15.75" customHeight="1">
      <c r="A6211" s="1">
        <v>6626.0</v>
      </c>
      <c r="B6211" s="3" t="s">
        <v>5972</v>
      </c>
      <c r="C6211" s="3" t="str">
        <f>IFERROR(__xludf.DUMMYFUNCTION("GOOGLETRANSLATE(B6211,""id"",""en"")"),"['Telkomsel', 'good', 'really', 'network', 'full', 'suggestion', 'on behalf of', 'unlimited', 'emg', 'restricted', 'package', 'internet', ' unlimited ',' RP ',' TPI ',' Dibitiesin ',' Sampe ',' GB ',' ItUrah ',' name ',' unlimited ',' please ',' nyantumin"&amp;" ',' unlimited ',' emg ' , 'Restricted', '']")</f>
        <v>['Telkomsel', 'good', 'really', 'network', 'full', 'suggestion', 'on behalf of', 'unlimited', 'emg', 'restricted', 'package', 'internet', ' unlimited ',' RP ',' TPI ',' Dibitiesin ',' Sampe ',' GB ',' ItUrah ',' name ',' unlimited ',' please ',' nyantumin ',' unlimited ',' emg ' , 'Restricted', '']</v>
      </c>
      <c r="D6211" s="3">
        <v>5.0</v>
      </c>
    </row>
    <row r="6212" ht="15.75" customHeight="1">
      <c r="A6212" s="1">
        <v>6627.0</v>
      </c>
      <c r="B6212" s="3" t="s">
        <v>5973</v>
      </c>
      <c r="C6212" s="3" t="str">
        <f>IFERROR(__xludf.DUMMYFUNCTION("GOOGLETRANSLATE(B6212,""id"",""en"")"),"['Network', 'difficult', 'Telkomsel', 'UDH', 'Ngeleg', 'Try', 'Please', 'Fix', 'Attention', 'Thanks']")</f>
        <v>['Network', 'difficult', 'Telkomsel', 'UDH', 'Ngeleg', 'Try', 'Please', 'Fix', 'Attention', 'Thanks']</v>
      </c>
      <c r="D6212" s="3">
        <v>2.0</v>
      </c>
    </row>
    <row r="6213" ht="15.75" customHeight="1">
      <c r="A6213" s="1">
        <v>6628.0</v>
      </c>
      <c r="B6213" s="3" t="s">
        <v>5974</v>
      </c>
      <c r="C6213" s="3" t="str">
        <f>IFERROR(__xludf.DUMMYFUNCTION("GOOGLETRANSLATE(B6213,""id"",""en"")"),"['Cook', 'good']")</f>
        <v>['Cook', 'good']</v>
      </c>
      <c r="D6213" s="3">
        <v>1.0</v>
      </c>
    </row>
    <row r="6214" ht="15.75" customHeight="1">
      <c r="A6214" s="1">
        <v>6629.0</v>
      </c>
      <c r="B6214" s="3" t="s">
        <v>5975</v>
      </c>
      <c r="C6214" s="3" t="str">
        <f>IFERROR(__xludf.DUMMYFUNCTION("GOOGLETRANSLATE(B6214,""id"",""en"")"),"['Package', 'Internet', 'Friendly']")</f>
        <v>['Package', 'Internet', 'Friendly']</v>
      </c>
      <c r="D6214" s="3">
        <v>2.0</v>
      </c>
    </row>
    <row r="6215" ht="15.75" customHeight="1">
      <c r="A6215" s="1">
        <v>6630.0</v>
      </c>
      <c r="B6215" s="3" t="s">
        <v>5976</v>
      </c>
      <c r="C6215" s="3" t="str">
        <f>IFERROR(__xludf.DUMMYFUNCTION("GOOGLETRANSLATE(B6215,""id"",""en"")"),"['Knp', 'people', 'Top', 'Diamond', 'Free', 'Fire', 'Points', 'Credit', 'Credit', 'Points', 'Credit']")</f>
        <v>['Knp', 'people', 'Top', 'Diamond', 'Free', 'Fire', 'Points', 'Credit', 'Credit', 'Points', 'Credit']</v>
      </c>
      <c r="D6215" s="3">
        <v>5.0</v>
      </c>
    </row>
    <row r="6216" ht="15.75" customHeight="1">
      <c r="A6216" s="1">
        <v>6631.0</v>
      </c>
      <c r="B6216" s="3" t="s">
        <v>5977</v>
      </c>
      <c r="C6216" s="3" t="str">
        <f>IFERROR(__xludf.DUMMYFUNCTION("GOOGLETRANSLATE(B6216,""id"",""en"")"),"['ugly', 'really', 'network', 'good', 'use', 'good', 'woi', 'easy', 'chopped', 'pulses', 'expensive']")</f>
        <v>['ugly', 'really', 'network', 'good', 'use', 'good', 'woi', 'easy', 'chopped', 'pulses', 'expensive']</v>
      </c>
      <c r="D6216" s="3">
        <v>1.0</v>
      </c>
    </row>
    <row r="6217" ht="15.75" customHeight="1">
      <c r="A6217" s="1">
        <v>6632.0</v>
      </c>
      <c r="B6217" s="3" t="s">
        <v>846</v>
      </c>
      <c r="C6217" s="3" t="str">
        <f>IFERROR(__xludf.DUMMYFUNCTION("GOOGLETRANSLATE(B6217,""id"",""en"")"),"['application', 'good']")</f>
        <v>['application', 'good']</v>
      </c>
      <c r="D6217" s="3">
        <v>5.0</v>
      </c>
    </row>
    <row r="6218" ht="15.75" customHeight="1">
      <c r="A6218" s="1">
        <v>6633.0</v>
      </c>
      <c r="B6218" s="3" t="s">
        <v>5978</v>
      </c>
      <c r="C6218" s="3" t="str">
        <f>IFERROR(__xludf.DUMMYFUNCTION("GOOGLETRANSLATE(B6218,""id"",""en"")"),"['open', 'application', 'Telkomsel', 'failed']")</f>
        <v>['open', 'application', 'Telkomsel', 'failed']</v>
      </c>
      <c r="D6218" s="3">
        <v>5.0</v>
      </c>
    </row>
    <row r="6219" ht="15.75" customHeight="1">
      <c r="A6219" s="1">
        <v>6634.0</v>
      </c>
      <c r="B6219" s="3" t="s">
        <v>5979</v>
      </c>
      <c r="C6219" s="3" t="str">
        <f>IFERROR(__xludf.DUMMYFUNCTION("GOOGLETRANSLATE(B6219,""id"",""en"")"),"['Anyway', 'Satisfied', 'Price', 'Package', 'Cheap', 'Thank you', 'Telkomsel']")</f>
        <v>['Anyway', 'Satisfied', 'Price', 'Package', 'Cheap', 'Thank you', 'Telkomsel']</v>
      </c>
      <c r="D6219" s="3">
        <v>5.0</v>
      </c>
    </row>
    <row r="6220" ht="15.75" customHeight="1">
      <c r="A6220" s="1">
        <v>6635.0</v>
      </c>
      <c r="B6220" s="3" t="s">
        <v>5980</v>
      </c>
      <c r="C6220" s="3" t="str">
        <f>IFERROR(__xludf.DUMMYFUNCTION("GOOGLETRANSLATE(B6220,""id"",""en"")"),"['Different', 'super', 'fast', 'signal', 'Full', 'speed', 'down', 'easily', 'Telkomsel', 'prioritize', 'call', 'online', ' ']")</f>
        <v>['Different', 'super', 'fast', 'signal', 'Full', 'speed', 'down', 'easily', 'Telkomsel', 'prioritize', 'call', 'online', ' ']</v>
      </c>
      <c r="D6220" s="3">
        <v>3.0</v>
      </c>
    </row>
    <row r="6221" ht="15.75" customHeight="1">
      <c r="A6221" s="1">
        <v>6636.0</v>
      </c>
      <c r="B6221" s="3" t="s">
        <v>2727</v>
      </c>
      <c r="C6221" s="3" t="str">
        <f>IFERROR(__xludf.DUMMYFUNCTION("GOOGLETRANSLATE(B6221,""id"",""en"")"),"['Opened', '']")</f>
        <v>['Opened', '']</v>
      </c>
      <c r="D6221" s="3">
        <v>1.0</v>
      </c>
    </row>
    <row r="6222" ht="15.75" customHeight="1">
      <c r="A6222" s="1">
        <v>6637.0</v>
      </c>
      <c r="B6222" s="3" t="s">
        <v>5981</v>
      </c>
      <c r="C6222" s="3" t="str">
        <f>IFERROR(__xludf.DUMMYFUNCTION("GOOGLETRANSLATE(B6222,""id"",""en"")"),"['Auto', 'Uninstall', 'Signal', 'Severe', 'Ngak', 'Translucent', 'Kubu', 'Raya', 'Kalimantan', 'West', ""]")</f>
        <v>['Auto', 'Uninstall', 'Signal', 'Severe', 'Ngak', 'Translucent', 'Kubu', 'Raya', 'Kalimantan', 'West', "]</v>
      </c>
      <c r="D6222" s="3">
        <v>1.0</v>
      </c>
    </row>
    <row r="6223" ht="15.75" customHeight="1">
      <c r="A6223" s="1">
        <v>6638.0</v>
      </c>
      <c r="B6223" s="3" t="s">
        <v>2869</v>
      </c>
      <c r="C6223" s="3" t="str">
        <f>IFERROR(__xludf.DUMMYFUNCTION("GOOGLETRANSLATE(B6223,""id"",""en"")"),"['APK', 'Open']")</f>
        <v>['APK', 'Open']</v>
      </c>
      <c r="D6223" s="3">
        <v>1.0</v>
      </c>
    </row>
    <row r="6224" ht="15.75" customHeight="1">
      <c r="A6224" s="1">
        <v>6639.0</v>
      </c>
      <c r="B6224" s="3" t="s">
        <v>5982</v>
      </c>
      <c r="C6224" s="3" t="str">
        <f>IFERROR(__xludf.DUMMYFUNCTION("GOOGLETRANSLATE(B6224,""id"",""en"")"),"['Nie', 'what', 'game', 'online', 'slow', 'Hadeeh', 'disappointed', ""]")</f>
        <v>['Nie', 'what', 'game', 'online', 'slow', 'Hadeeh', 'disappointed', "]</v>
      </c>
      <c r="D6224" s="3">
        <v>1.0</v>
      </c>
    </row>
    <row r="6225" ht="15.75" customHeight="1">
      <c r="A6225" s="1">
        <v>6640.0</v>
      </c>
      <c r="B6225" s="3" t="s">
        <v>5983</v>
      </c>
      <c r="C6225" s="3" t="str">
        <f>IFERROR(__xludf.DUMMYFUNCTION("GOOGLETRANSLATE(B6225,""id"",""en"")"),"['Sich', 'good', 'smooth', 'here', 'pulse', 'sellu', 'sucked', 'abis', 'use']")</f>
        <v>['Sich', 'good', 'smooth', 'here', 'pulse', 'sellu', 'sucked', 'abis', 'use']</v>
      </c>
      <c r="D6225" s="3">
        <v>2.0</v>
      </c>
    </row>
    <row r="6226" ht="15.75" customHeight="1">
      <c r="A6226" s="1">
        <v>6642.0</v>
      </c>
      <c r="B6226" s="3" t="s">
        <v>5984</v>
      </c>
      <c r="C6226" s="3" t="str">
        <f>IFERROR(__xludf.DUMMYFUNCTION("GOOGLETRANSLATE(B6226,""id"",""en"")"),"['buy', 'pulse', 'use', 'cash', 'leftover', 'cut "",' take ',' package ',""]")</f>
        <v>['buy', 'pulse', 'use', 'cash', 'leftover', 'cut ",' take ',' package ',"]</v>
      </c>
      <c r="D6226" s="3">
        <v>2.0</v>
      </c>
    </row>
    <row r="6227" ht="15.75" customHeight="1">
      <c r="A6227" s="1">
        <v>6643.0</v>
      </c>
      <c r="B6227" s="3" t="s">
        <v>5985</v>
      </c>
      <c r="C6227" s="3" t="str">
        <f>IFERROR(__xludf.DUMMYFUNCTION("GOOGLETRANSLATE(B6227,""id"",""en"")"),"['Satisfied', 'application', 'help']")</f>
        <v>['Satisfied', 'application', 'help']</v>
      </c>
      <c r="D6227" s="3">
        <v>5.0</v>
      </c>
    </row>
    <row r="6228" ht="15.75" customHeight="1">
      <c r="A6228" s="1">
        <v>6644.0</v>
      </c>
      <c r="B6228" s="3" t="s">
        <v>5986</v>
      </c>
      <c r="C6228" s="3" t="str">
        <f>IFERROR(__xludf.DUMMYFUNCTION("GOOGLETRANSLATE(B6228,""id"",""en"")"),"['Exchange', 'Points', 'Voucher', '']")</f>
        <v>['Exchange', 'Points', 'Voucher', '']</v>
      </c>
      <c r="D6228" s="3">
        <v>1.0</v>
      </c>
    </row>
    <row r="6229" ht="15.75" customHeight="1">
      <c r="A6229" s="1">
        <v>6645.0</v>
      </c>
      <c r="B6229" s="3" t="s">
        <v>5987</v>
      </c>
      <c r="C6229" s="3" t="str">
        <f>IFERROR(__xludf.DUMMYFUNCTION("GOOGLETRANSLATE(B6229,""id"",""en"")"),"['Points']")</f>
        <v>['Points']</v>
      </c>
      <c r="D6229" s="3">
        <v>3.0</v>
      </c>
    </row>
    <row r="6230" ht="15.75" customHeight="1">
      <c r="A6230" s="1">
        <v>6646.0</v>
      </c>
      <c r="B6230" s="3" t="s">
        <v>5988</v>
      </c>
      <c r="C6230" s="3" t="str">
        <f>IFERROR(__xludf.DUMMYFUNCTION("GOOGLETRANSLATE(B6230,""id"",""en"")"),"['Network', 'bad', 'medicine', ""]")</f>
        <v>['Network', 'bad', 'medicine', "]</v>
      </c>
      <c r="D6230" s="3">
        <v>1.0</v>
      </c>
    </row>
    <row r="6231" ht="15.75" customHeight="1">
      <c r="A6231" s="1">
        <v>6648.0</v>
      </c>
      <c r="B6231" s="3" t="s">
        <v>5989</v>
      </c>
      <c r="C6231" s="3" t="str">
        <f>IFERROR(__xludf.DUMMYFUNCTION("GOOGLETRANSLATE(B6231,""id"",""en"")"),"['sympathy', 'expensive', 'pulse', 'knapa', 'entry', 'grace', 'pulse', 'key', 'sympathy', 'nelfo', 'kaga', 'package', ' Kaga ',' TPI ',' Mulu ',' Mulu ',' Paketan ',' expensive ',' Collapin ',' a little ']")</f>
        <v>['sympathy', 'expensive', 'pulse', 'knapa', 'entry', 'grace', 'pulse', 'key', 'sympathy', 'nelfo', 'kaga', 'package', ' Kaga ',' TPI ',' Mulu ',' Mulu ',' Paketan ',' expensive ',' Collapin ',' a little ']</v>
      </c>
      <c r="D6231" s="3">
        <v>1.0</v>
      </c>
    </row>
    <row r="6232" ht="15.75" customHeight="1">
      <c r="A6232" s="1">
        <v>6649.0</v>
      </c>
      <c r="B6232" s="3" t="s">
        <v>5990</v>
      </c>
      <c r="C6232" s="3" t="str">
        <f>IFERROR(__xludf.DUMMYFUNCTION("GOOGLETRANSLATE(B6232,""id"",""en"")"),"['hard', 'the application', 'opened', 'since', 'update', 'clear', 'cache', 'reinstall', 'waste', 'app', 'the application']")</f>
        <v>['hard', 'the application', 'opened', 'since', 'update', 'clear', 'cache', 'reinstall', 'waste', 'app', 'the application']</v>
      </c>
      <c r="D6232" s="3">
        <v>1.0</v>
      </c>
    </row>
    <row r="6233" ht="15.75" customHeight="1">
      <c r="A6233" s="1">
        <v>6650.0</v>
      </c>
      <c r="B6233" s="3" t="s">
        <v>5991</v>
      </c>
      <c r="C6233" s="3" t="str">
        <f>IFERROR(__xludf.DUMMYFUNCTION("GOOGLETRANSLATE(B6233,""id"",""en"")"),"['Talikin', 'price', 'package', 'already', 'mantep', 'bro']")</f>
        <v>['Talikin', 'price', 'package', 'already', 'mantep', 'bro']</v>
      </c>
      <c r="D6233" s="3">
        <v>5.0</v>
      </c>
    </row>
    <row r="6234" ht="15.75" customHeight="1">
      <c r="A6234" s="1">
        <v>6652.0</v>
      </c>
      <c r="B6234" s="3" t="s">
        <v>355</v>
      </c>
      <c r="C6234" s="3" t="str">
        <f>IFERROR(__xludf.DUMMYFUNCTION("GOOGLETRANSLATE(B6234,""id"",""en"")"),"['open', '']")</f>
        <v>['open', '']</v>
      </c>
      <c r="D6234" s="3">
        <v>1.0</v>
      </c>
    </row>
    <row r="6235" ht="15.75" customHeight="1">
      <c r="A6235" s="1">
        <v>6653.0</v>
      </c>
      <c r="B6235" s="3" t="s">
        <v>5992</v>
      </c>
      <c r="C6235" s="3" t="str">
        <f>IFERROR(__xludf.DUMMYFUNCTION("GOOGLETRANSLATE(B6235,""id"",""en"")"),"['Hello', 'admin', 'Telkomsel', 'open', '']")</f>
        <v>['Hello', 'admin', 'Telkomsel', 'open', '']</v>
      </c>
      <c r="D6235" s="3">
        <v>1.0</v>
      </c>
    </row>
    <row r="6236" ht="15.75" customHeight="1">
      <c r="A6236" s="1">
        <v>6654.0</v>
      </c>
      <c r="B6236" s="3" t="s">
        <v>5993</v>
      </c>
      <c r="C6236" s="3" t="str">
        <f>IFERROR(__xludf.DUMMYFUNCTION("GOOGLETRANSLATE(B6236,""id"",""en"")"),"['Open', 'application', 'Telkomsel', 'already', 'enlightenment']")</f>
        <v>['Open', 'application', 'Telkomsel', 'already', 'enlightenment']</v>
      </c>
      <c r="D6236" s="3">
        <v>1.0</v>
      </c>
    </row>
    <row r="6237" ht="15.75" customHeight="1">
      <c r="A6237" s="1">
        <v>6655.0</v>
      </c>
      <c r="B6237" s="3" t="s">
        <v>5994</v>
      </c>
      <c r="C6237" s="3" t="str">
        <f>IFERROR(__xludf.DUMMYFUNCTION("GOOGLETRANSLATE(B6237,""id"",""en"")"),"['', 'Log', 'Coy', 'UDH', 'Uninstall', 'reset', 'disappointed', '']")</f>
        <v>['', 'Log', 'Coy', 'UDH', 'Uninstall', 'reset', 'disappointed', '']</v>
      </c>
      <c r="D6237" s="3">
        <v>1.0</v>
      </c>
    </row>
    <row r="6238" ht="15.75" customHeight="1">
      <c r="A6238" s="1">
        <v>6656.0</v>
      </c>
      <c r="B6238" s="3" t="s">
        <v>5995</v>
      </c>
      <c r="C6238" s="3" t="str">
        <f>IFERROR(__xludf.DUMMYFUNCTION("GOOGLETRANSLATE(B6238,""id"",""en"")"),"['Update', 'Kek']")</f>
        <v>['Update', 'Kek']</v>
      </c>
      <c r="D6238" s="3">
        <v>5.0</v>
      </c>
    </row>
    <row r="6239" ht="15.75" customHeight="1">
      <c r="A6239" s="1">
        <v>6657.0</v>
      </c>
      <c r="B6239" s="3" t="s">
        <v>5996</v>
      </c>
      <c r="C6239" s="3" t="str">
        <f>IFERROR(__xludf.DUMMYFUNCTION("GOOGLETRANSLATE(B6239,""id"",""en"")"),"['contents',' pulse ',' data ',' internet ',' payment ',' shopepay ',' bangat ',' loading ',' poor ',' bangah ',' already ',' owe ',' time']")</f>
        <v>['contents',' pulse ',' data ',' internet ',' payment ',' shopepay ',' bangat ',' loading ',' poor ',' bangah ',' already ',' owe ',' time']</v>
      </c>
      <c r="D6239" s="3">
        <v>1.0</v>
      </c>
    </row>
    <row r="6240" ht="15.75" customHeight="1">
      <c r="A6240" s="1">
        <v>6658.0</v>
      </c>
      <c r="B6240" s="3" t="s">
        <v>5997</v>
      </c>
      <c r="C6240" s="3" t="str">
        <f>IFERROR(__xludf.DUMMYFUNCTION("GOOGLETRANSLATE(B6240,""id"",""en"")"),"['Baguss', 'Need', 'Points']")</f>
        <v>['Baguss', 'Need', 'Points']</v>
      </c>
      <c r="D6240" s="3">
        <v>5.0</v>
      </c>
    </row>
    <row r="6241" ht="15.75" customHeight="1">
      <c r="A6241" s="1">
        <v>6659.0</v>
      </c>
      <c r="B6241" s="3" t="s">
        <v>5998</v>
      </c>
      <c r="C6241" s="3" t="str">
        <f>IFERROR(__xludf.DUMMYFUNCTION("GOOGLETRANSLATE(B6241,""id"",""en"")"),"['network', 'sympathy', 'lost', 'area', 'jln', 'taqwa', 'eyes',' red ',' kelurahan ',' Karya ',' Mulya ',' sub-district ',' Semarang ',' borang ',' really ',' disappointing ',' Telkomsel ',' propider ',' ugly ',' heart ',' date ',' December ',' wifi ',' n"&amp;"eighbor ',' network ' , '']")</f>
        <v>['network', 'sympathy', 'lost', 'area', 'jln', 'taqwa', 'eyes',' red ',' kelurahan ',' Karya ',' Mulya ',' sub-district ',' Semarang ',' borang ',' really ',' disappointing ',' Telkomsel ',' propider ',' ugly ',' heart ',' date ',' December ',' wifi ',' neighbor ',' network ' , '']</v>
      </c>
      <c r="D6241" s="3">
        <v>1.0</v>
      </c>
    </row>
    <row r="6242" ht="15.75" customHeight="1">
      <c r="A6242" s="1">
        <v>6660.0</v>
      </c>
      <c r="B6242" s="3" t="s">
        <v>5999</v>
      </c>
      <c r="C6242" s="3" t="str">
        <f>IFERROR(__xludf.DUMMYFUNCTION("GOOGLETRANSLATE(B6242,""id"",""en"")"),"['MyTelkomsel', 'opened', 'application']")</f>
        <v>['MyTelkomsel', 'opened', 'application']</v>
      </c>
      <c r="D6242" s="3">
        <v>5.0</v>
      </c>
    </row>
    <row r="6243" ht="15.75" customHeight="1">
      <c r="A6243" s="1">
        <v>6661.0</v>
      </c>
      <c r="B6243" s="3" t="s">
        <v>6000</v>
      </c>
      <c r="C6243" s="3" t="str">
        <f>IFERROR(__xludf.DUMMYFUNCTION("GOOGLETRANSLATE(B6243,""id"",""en"")"),"['Bug', 'Telkomsel', 'Open']")</f>
        <v>['Bug', 'Telkomsel', 'Open']</v>
      </c>
      <c r="D6243" s="3">
        <v>1.0</v>
      </c>
    </row>
    <row r="6244" ht="15.75" customHeight="1">
      <c r="A6244" s="1">
        <v>6662.0</v>
      </c>
      <c r="B6244" s="3" t="s">
        <v>6001</v>
      </c>
      <c r="C6244" s="3" t="str">
        <f>IFERROR(__xludf.DUMMYFUNCTION("GOOGLETRANSLATE(B6244,""id"",""en"")"),"['fast', 'price', 'package', 'cheap', 'pokonya', '']")</f>
        <v>['fast', 'price', 'package', 'cheap', 'pokonya', '']</v>
      </c>
      <c r="D6244" s="3">
        <v>5.0</v>
      </c>
    </row>
    <row r="6245" ht="15.75" customHeight="1">
      <c r="A6245" s="1">
        <v>6663.0</v>
      </c>
      <c r="B6245" s="3" t="s">
        <v>6002</v>
      </c>
      <c r="C6245" s="3" t="str">
        <f>IFERROR(__xludf.DUMMYFUNCTION("GOOGLETRANSLATE(B6245,""id"",""en"")"),"['strange', 'really', 'udh', 'insal', 'kagak', 'login']")</f>
        <v>['strange', 'really', 'udh', 'insal', 'kagak', 'login']</v>
      </c>
      <c r="D6245" s="3">
        <v>1.0</v>
      </c>
    </row>
    <row r="6246" ht="15.75" customHeight="1">
      <c r="A6246" s="1">
        <v>6664.0</v>
      </c>
      <c r="B6246" s="3" t="s">
        <v>6003</v>
      </c>
      <c r="C6246" s="3" t="str">
        <f>IFERROR(__xludf.DUMMYFUNCTION("GOOGLETRANSLATE(B6246,""id"",""en"")"),"['signal', 'slow', 'kayak', 'tekomsel', 'soon', 'slow', 'loading', 'mobile', 'legends', 'slow', 'forgiveness', 'recommend']")</f>
        <v>['signal', 'slow', 'kayak', 'tekomsel', 'soon', 'slow', 'loading', 'mobile', 'legends', 'slow', 'forgiveness', 'recommend']</v>
      </c>
      <c r="D6246" s="3">
        <v>1.0</v>
      </c>
    </row>
    <row r="6247" ht="15.75" customHeight="1">
      <c r="A6247" s="1">
        <v>6665.0</v>
      </c>
      <c r="B6247" s="3" t="s">
        <v>6004</v>
      </c>
      <c r="C6247" s="3" t="str">
        <f>IFERROR(__xludf.DUMMYFUNCTION("GOOGLETRANSLATE(B6247,""id"",""en"")"),"['The application', 'White', 'Telkomsel', 'tired', 'Install', 'Unistal', 'Tetab', 'Application', 'White', 'Doang', 'Credit', 'Sucked', ' Stealing ',' theft ',' name ',' Agreement ',' owner ',' ']")</f>
        <v>['The application', 'White', 'Telkomsel', 'tired', 'Install', 'Unistal', 'Tetab', 'Application', 'White', 'Doang', 'Credit', 'Sucked', ' Stealing ',' theft ',' name ',' Agreement ',' owner ',' ']</v>
      </c>
      <c r="D6247" s="3">
        <v>1.0</v>
      </c>
    </row>
    <row r="6248" ht="15.75" customHeight="1">
      <c r="A6248" s="1">
        <v>6666.0</v>
      </c>
      <c r="B6248" s="3" t="s">
        <v>6005</v>
      </c>
      <c r="C6248" s="3" t="str">
        <f>IFERROR(__xludf.DUMMYFUNCTION("GOOGLETRANSLATE(B6248,""id"",""en"")"),"['Mantab', 'Telkomsel', 'Corruption', 'Corruptor', 'Credit', 'RB', 'Abis',' On ',' Extension ',' Card ',' More ',' Sorry ',' Wear ',' product ',' Telkomsel ',' data ',' etc. ',' harmed ',' signal ',' disabled ',' number ',' good ',' fast ',' Switch ', ""]")</f>
        <v>['Mantab', 'Telkomsel', 'Corruption', 'Corruptor', 'Credit', 'RB', 'Abis',' On ',' Extension ',' Card ',' More ',' Sorry ',' Wear ',' product ',' Telkomsel ',' data ',' etc. ',' harmed ',' signal ',' disabled ',' number ',' good ',' fast ',' Switch ', "]</v>
      </c>
      <c r="D6248" s="3">
        <v>1.0</v>
      </c>
    </row>
    <row r="6249" ht="15.75" customHeight="1">
      <c r="A6249" s="1">
        <v>6667.0</v>
      </c>
      <c r="B6249" s="3" t="s">
        <v>6006</v>
      </c>
      <c r="C6249" s="3" t="str">
        <f>IFERROR(__xludf.DUMMYFUNCTION("GOOGLETRANSLATE(B6249,""id"",""en"")"),"['Network', 'ugly', 'kek', 'provider', 'already', 'that's',' expensive ',' expensive ',' expensive ',' Naturally ',' yes', 'already', ' Buy ',' expensive ',' expensive ',' ngelag ', ""]")</f>
        <v>['Network', 'ugly', 'kek', 'provider', 'already', 'that's',' expensive ',' expensive ',' expensive ',' Naturally ',' yes', 'already', ' Buy ',' expensive ',' expensive ',' ngelag ', "]</v>
      </c>
      <c r="D6249" s="3">
        <v>1.0</v>
      </c>
    </row>
    <row r="6250" ht="15.75" customHeight="1">
      <c r="A6250" s="1">
        <v>6668.0</v>
      </c>
      <c r="B6250" s="3" t="s">
        <v>6007</v>
      </c>
      <c r="C6250" s="3" t="str">
        <f>IFERROR(__xludf.DUMMYFUNCTION("GOOGLETRANSLATE(B6250,""id"",""en"")"),"['Application', 'Canal', 'opened', 'Download', 'SAA', 'Uninstall', 'MyTelkomsel', 'Application', 'Opened', 'Suggestion', 'Telkomsel', 'Fix', ' replace ',' provider ',' loss']")</f>
        <v>['Application', 'Canal', 'opened', 'Download', 'SAA', 'Uninstall', 'MyTelkomsel', 'Application', 'Opened', 'Suggestion', 'Telkomsel', 'Fix', ' replace ',' provider ',' loss']</v>
      </c>
      <c r="D6250" s="3">
        <v>1.0</v>
      </c>
    </row>
    <row r="6251" ht="15.75" customHeight="1">
      <c r="A6251" s="1">
        <v>6669.0</v>
      </c>
      <c r="B6251" s="3" t="s">
        <v>6008</v>
      </c>
      <c r="C6251" s="3" t="str">
        <f>IFERROR(__xludf.DUMMYFUNCTION("GOOGLETRANSLATE(B6251,""id"",""en"")"),"['Convenience', 'Activity']")</f>
        <v>['Convenience', 'Activity']</v>
      </c>
      <c r="D6251" s="3">
        <v>5.0</v>
      </c>
    </row>
    <row r="6252" ht="15.75" customHeight="1">
      <c r="A6252" s="1">
        <v>6670.0</v>
      </c>
      <c r="B6252" s="3" t="s">
        <v>6009</v>
      </c>
      <c r="C6252" s="3" t="str">
        <f>IFERROR(__xludf.DUMMYFUNCTION("GOOGLETRANSLATE(B6252,""id"",""en"")"),"['Please', 'Telephone', 'Reduce', 'Features', 'Useful', 'Make Sure', 'Application', 'Light', 'Unfuk', 'User']")</f>
        <v>['Please', 'Telephone', 'Reduce', 'Features', 'Useful', 'Make Sure', 'Application', 'Light', 'Unfuk', 'User']</v>
      </c>
      <c r="D6252" s="3">
        <v>1.0</v>
      </c>
    </row>
    <row r="6253" ht="15.75" customHeight="1">
      <c r="A6253" s="1">
        <v>6671.0</v>
      </c>
      <c r="B6253" s="3" t="s">
        <v>6010</v>
      </c>
      <c r="C6253" s="3" t="str">
        <f>IFERROR(__xludf.DUMMYFUNCTION("GOOGLETRANSLATE(B6253,""id"",""en"")"),"['apk', 'really', 'top', 'diamond', 'wait', 'comment', 'that's', 'gituan', 'careless', 'skali', 'times', ""]")</f>
        <v>['apk', 'really', 'top', 'diamond', 'wait', 'comment', 'that's', 'gituan', 'careless', 'skali', 'times', "]</v>
      </c>
      <c r="D6253" s="3">
        <v>5.0</v>
      </c>
    </row>
    <row r="6254" ht="15.75" customHeight="1">
      <c r="A6254" s="1">
        <v>6672.0</v>
      </c>
      <c r="B6254" s="3" t="s">
        <v>6011</v>
      </c>
      <c r="C6254" s="3" t="str">
        <f>IFERROR(__xludf.DUMMYFUNCTION("GOOGLETRANSLATE(B6254,""id"",""en"")"),"['Lemot', 'Mulu', 'oath']")</f>
        <v>['Lemot', 'Mulu', 'oath']</v>
      </c>
      <c r="D6254" s="3">
        <v>1.0</v>
      </c>
    </row>
    <row r="6255" ht="15.75" customHeight="1">
      <c r="A6255" s="1">
        <v>6673.0</v>
      </c>
      <c r="B6255" s="3" t="s">
        <v>6012</v>
      </c>
      <c r="C6255" s="3" t="str">
        <f>IFERROR(__xludf.DUMMYFUNCTION("GOOGLETRANSLATE(B6255,""id"",""en"")"),"['hurry', 'fix', 'already', 'wait', 'wait', 'looo', 'mending', 'replace', ""]")</f>
        <v>['hurry', 'fix', 'already', 'wait', 'wait', 'looo', 'mending', 'replace', "]</v>
      </c>
      <c r="D6255" s="3">
        <v>1.0</v>
      </c>
    </row>
    <row r="6256" ht="15.75" customHeight="1">
      <c r="A6256" s="1">
        <v>6674.0</v>
      </c>
      <c r="B6256" s="3" t="s">
        <v>6013</v>
      </c>
      <c r="C6256" s="3" t="str">
        <f>IFERROR(__xludf.DUMMYFUNCTION("GOOGLETRANSLATE(B6256,""id"",""en"")"),"['Login', 'Posts', 'OPS', 'Error', 'Install', 'Uninstall', 'TRS', 'Install']")</f>
        <v>['Login', 'Posts', 'OPS', 'Error', 'Install', 'Uninstall', 'TRS', 'Install']</v>
      </c>
      <c r="D6256" s="3">
        <v>1.0</v>
      </c>
    </row>
    <row r="6257" ht="15.75" customHeight="1">
      <c r="A6257" s="1">
        <v>6675.0</v>
      </c>
      <c r="B6257" s="3" t="s">
        <v>6014</v>
      </c>
      <c r="C6257" s="3" t="str">
        <f>IFERROR(__xludf.DUMMYFUNCTION("GOOGLETRANSLATE(B6257,""id"",""en"")"),"['month', 'price', '']")</f>
        <v>['month', 'price', '']</v>
      </c>
      <c r="D6257" s="3">
        <v>4.0</v>
      </c>
    </row>
    <row r="6258" ht="15.75" customHeight="1">
      <c r="A6258" s="1">
        <v>6676.0</v>
      </c>
      <c r="B6258" s="3" t="s">
        <v>4750</v>
      </c>
      <c r="C6258" s="3" t="str">
        <f>IFERROR(__xludf.DUMMYFUNCTION("GOOGLETRANSLATE(B6258,""id"",""en"")"),"['The application', 'opened']")</f>
        <v>['The application', 'opened']</v>
      </c>
      <c r="D6258" s="3">
        <v>1.0</v>
      </c>
    </row>
    <row r="6259" ht="15.75" customHeight="1">
      <c r="A6259" s="1">
        <v>6677.0</v>
      </c>
      <c r="B6259" s="3" t="s">
        <v>6015</v>
      </c>
      <c r="C6259" s="3" t="str">
        <f>IFERROR(__xludf.DUMMYFUNCTION("GOOGLETRANSLATE(B6259,""id"",""en"")"),"['Scands', ""]")</f>
        <v>['Scands', "]</v>
      </c>
      <c r="D6259" s="3">
        <v>5.0</v>
      </c>
    </row>
    <row r="6260" ht="15.75" customHeight="1">
      <c r="A6260" s="1">
        <v>6678.0</v>
      </c>
      <c r="B6260" s="3" t="s">
        <v>1522</v>
      </c>
      <c r="C6260" s="3" t="str">
        <f>IFERROR(__xludf.DUMMYFUNCTION("GOOGLETRANSLATE(B6260,""id"",""en"")"),"['fun', 'Telkomsel']")</f>
        <v>['fun', 'Telkomsel']</v>
      </c>
      <c r="D6260" s="3">
        <v>5.0</v>
      </c>
    </row>
    <row r="6261" ht="15.75" customHeight="1">
      <c r="A6261" s="1">
        <v>6679.0</v>
      </c>
      <c r="B6261" s="3" t="s">
        <v>6016</v>
      </c>
      <c r="C6261" s="3" t="str">
        <f>IFERROR(__xludf.DUMMYFUNCTION("GOOGLETRANSLATE(B6261,""id"",""en"")"),"['Loading', 'my cellphone', 'knp', '']")</f>
        <v>['Loading', 'my cellphone', 'knp', '']</v>
      </c>
      <c r="D6261" s="3">
        <v>5.0</v>
      </c>
    </row>
    <row r="6262" ht="15.75" customHeight="1">
      <c r="A6262" s="1">
        <v>6680.0</v>
      </c>
      <c r="B6262" s="3" t="s">
        <v>6017</v>
      </c>
      <c r="C6262" s="3" t="str">
        <f>IFERROR(__xludf.DUMMYFUNCTION("GOOGLETRANSLATE(B6262,""id"",""en"")"),"['Application', 'person', 'complaining', 'Gara', 'application', '']")</f>
        <v>['Application', 'person', 'complaining', 'Gara', 'application', '']</v>
      </c>
      <c r="D6262" s="3">
        <v>1.0</v>
      </c>
    </row>
    <row r="6263" ht="15.75" customHeight="1">
      <c r="A6263" s="1">
        <v>6681.0</v>
      </c>
      <c r="B6263" s="3" t="s">
        <v>712</v>
      </c>
      <c r="C6263" s="3" t="str">
        <f>IFERROR(__xludf.DUMMYFUNCTION("GOOGLETRANSLATE(B6263,""id"",""en"")"),"['comfortable']")</f>
        <v>['comfortable']</v>
      </c>
      <c r="D6263" s="3">
        <v>4.0</v>
      </c>
    </row>
    <row r="6264" ht="15.75" customHeight="1">
      <c r="A6264" s="1">
        <v>6682.0</v>
      </c>
      <c r="B6264" s="3" t="s">
        <v>6018</v>
      </c>
      <c r="C6264" s="3" t="str">
        <f>IFERROR(__xludf.DUMMYFUNCTION("GOOGLETRANSLATE(B6264,""id"",""en"")"),"['Bad', 'Application', 'BLENK', 'White', 'Disappointed', 'Card', 'Since', '']")</f>
        <v>['Bad', 'Application', 'BLENK', 'White', 'Disappointed', 'Card', 'Since', '']</v>
      </c>
      <c r="D6264" s="3">
        <v>1.0</v>
      </c>
    </row>
    <row r="6265" ht="15.75" customHeight="1">
      <c r="A6265" s="1">
        <v>6684.0</v>
      </c>
      <c r="B6265" s="3" t="s">
        <v>6019</v>
      </c>
      <c r="C6265" s="3" t="str">
        <f>IFERROR(__xludf.DUMMYFUNCTION("GOOGLETRANSLATE(B6265,""id"",""en"")"),"['Want', 'free']")</f>
        <v>['Want', 'free']</v>
      </c>
      <c r="D6265" s="3">
        <v>5.0</v>
      </c>
    </row>
    <row r="6266" ht="15.75" customHeight="1">
      <c r="A6266" s="1">
        <v>6685.0</v>
      </c>
      <c r="B6266" s="3" t="s">
        <v>6020</v>
      </c>
      <c r="C6266" s="3" t="str">
        <f>IFERROR(__xludf.DUMMYFUNCTION("GOOGLETRANSLATE(B6266,""id"",""en"")"),"['Displays', 'promo', 'interesting', 'others']")</f>
        <v>['Displays', 'promo', 'interesting', 'others']</v>
      </c>
      <c r="D6266" s="3">
        <v>5.0</v>
      </c>
    </row>
    <row r="6267" ht="15.75" customHeight="1">
      <c r="A6267" s="1">
        <v>6686.0</v>
      </c>
      <c r="B6267" s="3" t="s">
        <v>6021</v>
      </c>
      <c r="C6267" s="3" t="str">
        <f>IFERROR(__xludf.DUMMYFUNCTION("GOOGLETRANSLATE(B6267,""id"",""en"")"),"['Anyway', 'siip']")</f>
        <v>['Anyway', 'siip']</v>
      </c>
      <c r="D6267" s="3">
        <v>5.0</v>
      </c>
    </row>
    <row r="6268" ht="15.75" customHeight="1">
      <c r="A6268" s="1">
        <v>6687.0</v>
      </c>
      <c r="B6268" s="3" t="s">
        <v>6022</v>
      </c>
      <c r="C6268" s="3" t="str">
        <f>IFERROR(__xludf.DUMMYFUNCTION("GOOGLETRANSLATE(B6268,""id"",""en"")"),"['Uninstall', 'Lazy', 'PEKE', 'APK', 'Open', 'Blank', 'Mulu', ""]")</f>
        <v>['Uninstall', 'Lazy', 'PEKE', 'APK', 'Open', 'Blank', 'Mulu', "]</v>
      </c>
      <c r="D6268" s="3">
        <v>1.0</v>
      </c>
    </row>
    <row r="6269" ht="15.75" customHeight="1">
      <c r="A6269" s="1">
        <v>6688.0</v>
      </c>
      <c r="B6269" s="3" t="s">
        <v>6023</v>
      </c>
      <c r="C6269" s="3" t="str">
        <f>IFERROR(__xludf.DUMMYFUNCTION("GOOGLETRANSLATE(B6269,""id"",""en"")"),"['Application', 'thank', 'love', '']")</f>
        <v>['Application', 'thank', 'love', '']</v>
      </c>
      <c r="D6269" s="3">
        <v>5.0</v>
      </c>
    </row>
    <row r="6270" ht="15.75" customHeight="1">
      <c r="A6270" s="1">
        <v>6689.0</v>
      </c>
      <c r="B6270" s="3" t="s">
        <v>1601</v>
      </c>
      <c r="C6270" s="3" t="str">
        <f>IFERROR(__xludf.DUMMYFUNCTION("GOOGLETRANSLATE(B6270,""id"",""en"")"),"['open']")</f>
        <v>['open']</v>
      </c>
      <c r="D6270" s="3">
        <v>1.0</v>
      </c>
    </row>
    <row r="6271" ht="15.75" customHeight="1">
      <c r="A6271" s="1">
        <v>6690.0</v>
      </c>
      <c r="B6271" s="3" t="s">
        <v>6024</v>
      </c>
      <c r="C6271" s="3" t="str">
        <f>IFERROR(__xludf.DUMMYFUNCTION("GOOGLETRANSLATE(B6271,""id"",""en"")"),"['Ngeta', 'what' do ',' Min ',' Loading ',' TRS ',' Signal ',' ']")</f>
        <v>['Ngeta', 'what' do ',' Min ',' Loading ',' TRS ',' Signal ',' ']</v>
      </c>
      <c r="D6271" s="3">
        <v>1.0</v>
      </c>
    </row>
    <row r="6272" ht="15.75" customHeight="1">
      <c r="A6272" s="1">
        <v>6691.0</v>
      </c>
      <c r="B6272" s="3" t="s">
        <v>6025</v>
      </c>
      <c r="C6272" s="3" t="str">
        <f>IFERROR(__xludf.DUMMYFUNCTION("GOOGLETRANSLATE(B6272,""id"",""en"")"),"['Application', 'opened', 'difficult', '']")</f>
        <v>['Application', 'opened', 'difficult', '']</v>
      </c>
      <c r="D6272" s="3">
        <v>1.0</v>
      </c>
    </row>
    <row r="6273" ht="15.75" customHeight="1">
      <c r="A6273" s="1">
        <v>6692.0</v>
      </c>
      <c r="B6273" s="3" t="s">
        <v>943</v>
      </c>
      <c r="C6273" s="3" t="str">
        <f>IFERROR(__xludf.DUMMYFUNCTION("GOOGLETRANSLATE(B6273,""id"",""en"")"),"['satisfying']")</f>
        <v>['satisfying']</v>
      </c>
      <c r="D6273" s="3">
        <v>3.0</v>
      </c>
    </row>
    <row r="6274" ht="15.75" customHeight="1">
      <c r="A6274" s="1">
        <v>6693.0</v>
      </c>
      <c r="B6274" s="3" t="s">
        <v>6026</v>
      </c>
      <c r="C6274" s="3" t="str">
        <f>IFERROR(__xludf.DUMMYFUNCTION("GOOGLETRANSLATE(B6274,""id"",""en"")"),"['application', 'hot', '']")</f>
        <v>['application', 'hot', '']</v>
      </c>
      <c r="D6274" s="3">
        <v>1.0</v>
      </c>
    </row>
    <row r="6275" ht="15.75" customHeight="1">
      <c r="A6275" s="1">
        <v>6694.0</v>
      </c>
      <c r="B6275" s="3" t="s">
        <v>6027</v>
      </c>
      <c r="C6275" s="3" t="str">
        <f>IFERROR(__xludf.DUMMYFUNCTION("GOOGLETRANSLATE(B6275,""id"",""en"")"),"['Can't', 'open']")</f>
        <v>['Can't', 'open']</v>
      </c>
      <c r="D6275" s="3">
        <v>1.0</v>
      </c>
    </row>
    <row r="6276" ht="15.75" customHeight="1">
      <c r="A6276" s="1">
        <v>6695.0</v>
      </c>
      <c r="B6276" s="3" t="s">
        <v>6028</v>
      </c>
      <c r="C6276" s="3" t="str">
        <f>IFERROR(__xludf.DUMMYFUNCTION("GOOGLETRANSLATE(B6276,""id"",""en"")"),"['Network', 'steady']")</f>
        <v>['Network', 'steady']</v>
      </c>
      <c r="D6276" s="3">
        <v>5.0</v>
      </c>
    </row>
    <row r="6277" ht="15.75" customHeight="1">
      <c r="A6277" s="1">
        <v>6696.0</v>
      </c>
      <c r="B6277" s="3" t="s">
        <v>6029</v>
      </c>
      <c r="C6277" s="3" t="str">
        <f>IFERROR(__xludf.DUMMYFUNCTION("GOOGLETRANSLATE(B6277,""id"",""en"")"),"['hope', 'get', 'promo', 'because', 'Appassi', 'good', 'really']")</f>
        <v>['hope', 'get', 'promo', 'because', 'Appassi', 'good', 'really']</v>
      </c>
      <c r="D6277" s="3">
        <v>5.0</v>
      </c>
    </row>
    <row r="6278" ht="15.75" customHeight="1">
      <c r="A6278" s="1">
        <v>6697.0</v>
      </c>
      <c r="B6278" s="3" t="s">
        <v>6030</v>
      </c>
      <c r="C6278" s="3" t="str">
        <f>IFERROR(__xludf.DUMMYFUNCTION("GOOGLETRANSLATE(B6278,""id"",""en"")"),"['Mending', 'Ngak', 'Naugh', 'Promo', 'Ujung', 'Sumpot', 'Credit', 'Provider', 'Network', 'The worst', 'corruption']")</f>
        <v>['Mending', 'Ngak', 'Naugh', 'Promo', 'Ujung', 'Sumpot', 'Credit', 'Provider', 'Network', 'The worst', 'corruption']</v>
      </c>
      <c r="D6278" s="3">
        <v>1.0</v>
      </c>
    </row>
    <row r="6279" ht="15.75" customHeight="1">
      <c r="A6279" s="1">
        <v>6698.0</v>
      </c>
      <c r="B6279" s="3" t="s">
        <v>6031</v>
      </c>
      <c r="C6279" s="3" t="str">
        <f>IFERROR(__xludf.DUMMYFUNCTION("GOOGLETRANSLATE(B6279,""id"",""en"")"),"['Open', 'appears', '']")</f>
        <v>['Open', 'appears', '']</v>
      </c>
      <c r="D6279" s="3">
        <v>1.0</v>
      </c>
    </row>
    <row r="6280" ht="15.75" customHeight="1">
      <c r="A6280" s="1">
        <v>6699.0</v>
      </c>
      <c r="B6280" s="3" t="s">
        <v>6032</v>
      </c>
      <c r="C6280" s="3" t="str">
        <f>IFERROR(__xludf.DUMMYFUNCTION("GOOGLETRANSLATE(B6280,""id"",""en"")"),"['Application', 'Mintanya', 'Times', 'Open', 'Screen', 'White', 'Haduhhhh', 'parahhhhhhhh']")</f>
        <v>['Application', 'Mintanya', 'Times', 'Open', 'Screen', 'White', 'Haduhhhh', 'parahhhhhhhh']</v>
      </c>
      <c r="D6280" s="3">
        <v>1.0</v>
      </c>
    </row>
    <row r="6281" ht="15.75" customHeight="1">
      <c r="A6281" s="1">
        <v>6700.0</v>
      </c>
      <c r="B6281" s="3" t="s">
        <v>6033</v>
      </c>
      <c r="C6281" s="3" t="str">
        <f>IFERROR(__xludf.DUMMYFUNCTION("GOOGLETRANSLATE(B6281,""id"",""en"")"),"['Cool', 'easy', 'hopefully', 'win', 'car', 'Mercedes', 'Benz', 'Aamiin', 'Allohumma', 'Aamiin', ""]")</f>
        <v>['Cool', 'easy', 'hopefully', 'win', 'car', 'Mercedes', 'Benz', 'Aamiin', 'Allohumma', 'Aamiin', "]</v>
      </c>
      <c r="D6281" s="3">
        <v>5.0</v>
      </c>
    </row>
    <row r="6282" ht="15.75" customHeight="1">
      <c r="A6282" s="1">
        <v>6701.0</v>
      </c>
      <c r="B6282" s="3" t="s">
        <v>6034</v>
      </c>
      <c r="C6282" s="3" t="str">
        <f>IFERROR(__xludf.DUMMYFUNCTION("GOOGLETRANSLATE(B6282,""id"",""en"")"),"['', 'Open', 'Apps', 'How', 'Gausah', 'Update', 'Belom', 'Mateng']")</f>
        <v>['', 'Open', 'Apps', 'How', 'Gausah', 'Update', 'Belom', 'Mateng']</v>
      </c>
      <c r="D6282" s="3">
        <v>1.0</v>
      </c>
    </row>
    <row r="6283" ht="15.75" customHeight="1">
      <c r="A6283" s="1">
        <v>6702.0</v>
      </c>
      <c r="B6283" s="3" t="s">
        <v>2119</v>
      </c>
      <c r="C6283" s="3" t="str">
        <f>IFERROR(__xludf.DUMMYFUNCTION("GOOGLETRANSLATE(B6283,""id"",""en"")"),"['', 'opened']")</f>
        <v>['', 'opened']</v>
      </c>
      <c r="D6283" s="3">
        <v>1.0</v>
      </c>
    </row>
    <row r="6284" ht="15.75" customHeight="1">
      <c r="A6284" s="1">
        <v>6703.0</v>
      </c>
      <c r="B6284" s="3" t="s">
        <v>6035</v>
      </c>
      <c r="C6284" s="3" t="str">
        <f>IFERROR(__xludf.DUMMYFUNCTION("GOOGLETRANSLATE(B6284,""id"",""en"")"),"['spec', 'Open', 'App', '']")</f>
        <v>['spec', 'Open', 'App', '']</v>
      </c>
      <c r="D6284" s="3">
        <v>1.0</v>
      </c>
    </row>
    <row r="6285" ht="15.75" customHeight="1">
      <c r="A6285" s="1">
        <v>6704.0</v>
      </c>
      <c r="B6285" s="3" t="s">
        <v>6036</v>
      </c>
      <c r="C6285" s="3" t="str">
        <f>IFERROR(__xludf.DUMMYFUNCTION("GOOGLETRANSLATE(B6285,""id"",""en"")"),"['Network', 'stable', 'down', 'play', 'game', 'heavy', 'moba', 'ugly', 'satisfied', 'recommendation']")</f>
        <v>['Network', 'stable', 'down', 'play', 'game', 'heavy', 'moba', 'ugly', 'satisfied', 'recommendation']</v>
      </c>
      <c r="D6285" s="3">
        <v>1.0</v>
      </c>
    </row>
    <row r="6286" ht="15.75" customHeight="1">
      <c r="A6286" s="1">
        <v>6705.0</v>
      </c>
      <c r="B6286" s="3" t="s">
        <v>6037</v>
      </c>
      <c r="C6286" s="3" t="str">
        <f>IFERROR(__xludf.DUMMYFUNCTION("GOOGLETRANSLATE(B6286,""id"",""en"")"),"['emng', 'kaga', 'automatic', 'charging', 'package', '']")</f>
        <v>['emng', 'kaga', 'automatic', 'charging', 'package', '']</v>
      </c>
      <c r="D6286" s="3">
        <v>1.0</v>
      </c>
    </row>
    <row r="6287" ht="15.75" customHeight="1">
      <c r="A6287" s="1">
        <v>6706.0</v>
      </c>
      <c r="B6287" s="3" t="s">
        <v>6038</v>
      </c>
      <c r="C6287" s="3" t="str">
        <f>IFERROR(__xludf.DUMMYFUNCTION("GOOGLETRANSLATE(B6287,""id"",""en"")"),"['Login', 'Difficult', 'APK', 'Gajeeee']")</f>
        <v>['Login', 'Difficult', 'APK', 'Gajeeee']</v>
      </c>
      <c r="D6287" s="3">
        <v>1.0</v>
      </c>
    </row>
    <row r="6288" ht="15.75" customHeight="1">
      <c r="A6288" s="1">
        <v>6707.0</v>
      </c>
      <c r="B6288" s="3" t="s">
        <v>6039</v>
      </c>
      <c r="C6288" s="3" t="str">
        <f>IFERROR(__xludf.DUMMYFUNCTION("GOOGLETRANSLATE(B6288,""id"",""en"")"),"['package', 'internet', 'like', 'change']")</f>
        <v>['package', 'internet', 'like', 'change']</v>
      </c>
      <c r="D6288" s="3">
        <v>3.0</v>
      </c>
    </row>
    <row r="6289" ht="15.75" customHeight="1">
      <c r="A6289" s="1">
        <v>6708.0</v>
      </c>
      <c r="B6289" s="3" t="s">
        <v>6040</v>
      </c>
      <c r="C6289" s="3" t="str">
        <f>IFERROR(__xludf.DUMMYFUNCTION("GOOGLETRANSLATE(B6289,""id"",""en"")"),"['network', 'kek', 'lag', 'really', 'open', 'youtube', 'difficult', 'dih', 'take care', 'little', 'network', ""]")</f>
        <v>['network', 'kek', 'lag', 'really', 'open', 'youtube', 'difficult', 'dih', 'take care', 'little', 'network', "]</v>
      </c>
      <c r="D6289" s="3">
        <v>1.0</v>
      </c>
    </row>
    <row r="6290" ht="15.75" customHeight="1">
      <c r="A6290" s="1">
        <v>6709.0</v>
      </c>
      <c r="B6290" s="3" t="s">
        <v>6041</v>
      </c>
      <c r="C6290" s="3" t="str">
        <f>IFERROR(__xludf.DUMMYFUNCTION("GOOGLETRANSLATE(B6290,""id"",""en"")"),"['quota', 'Doang', 'expensive', 'signal', 'JLS']")</f>
        <v>['quota', 'Doang', 'expensive', 'signal', 'JLS']</v>
      </c>
      <c r="D6290" s="3">
        <v>1.0</v>
      </c>
    </row>
    <row r="6291" ht="15.75" customHeight="1">
      <c r="A6291" s="1">
        <v>6710.0</v>
      </c>
      <c r="B6291" s="3" t="s">
        <v>6042</v>
      </c>
      <c r="C6291" s="3" t="str">
        <f>IFERROR(__xludf.DUMMYFUNCTION("GOOGLETRANSLATE(B6291,""id"",""en"")"),"['Tekomsel', 'NT', 'Open', 'Basic', 'Move', 'Card', 'Fix', '']")</f>
        <v>['Tekomsel', 'NT', 'Open', 'Basic', 'Move', 'Card', 'Fix', '']</v>
      </c>
      <c r="D6291" s="3">
        <v>1.0</v>
      </c>
    </row>
    <row r="6292" ht="15.75" customHeight="1">
      <c r="A6292" s="1">
        <v>6711.0</v>
      </c>
      <c r="B6292" s="3" t="s">
        <v>6043</v>
      </c>
      <c r="C6292" s="3" t="str">
        <f>IFERROR(__xludf.DUMMYFUNCTION("GOOGLETRANSLATE(B6292,""id"",""en"")"),"['Terbimah', 'love', 'Telas', 'loyal', 'accompany', 'please', 'Hold', 'Promo', ""]")</f>
        <v>['Terbimah', 'love', 'Telas', 'loyal', 'accompany', 'please', 'Hold', 'Promo', "]</v>
      </c>
      <c r="D6292" s="3">
        <v>5.0</v>
      </c>
    </row>
    <row r="6293" ht="15.75" customHeight="1">
      <c r="A6293" s="1">
        <v>6712.0</v>
      </c>
      <c r="B6293" s="3" t="s">
        <v>6044</v>
      </c>
      <c r="C6293" s="3" t="str">
        <f>IFERROR(__xludf.DUMMYFUNCTION("GOOGLETRANSLATE(B6293,""id"",""en"")"),"['already', 'app', 'always',' nge ',' blank ',' white ',' buy ',' quota ',' jdi ',' difficult ',' take ',' bonus', ' Login ',' UDH ',' Keurus', 'App', 'deleted', 'Dri', 'Playstore', 'please', 'repaired', 'APP', ""]")</f>
        <v>['already', 'app', 'always',' nge ',' blank ',' white ',' buy ',' quota ',' jdi ',' difficult ',' take ',' bonus', ' Login ',' UDH ',' Keurus', 'App', 'deleted', 'Dri', 'Playstore', 'please', 'repaired', 'APP', "]</v>
      </c>
      <c r="D6293" s="3">
        <v>1.0</v>
      </c>
    </row>
    <row r="6294" ht="15.75" customHeight="1">
      <c r="A6294" s="1">
        <v>6713.0</v>
      </c>
      <c r="B6294" s="3" t="s">
        <v>6045</v>
      </c>
      <c r="C6294" s="3" t="str">
        <f>IFERROR(__xludf.DUMMYFUNCTION("GOOGLETRANSLATE(B6294,""id"",""en"")"),"['Severe', 'Cut', 'Credit', 'Data', 'Cutting']")</f>
        <v>['Severe', 'Cut', 'Credit', 'Data', 'Cutting']</v>
      </c>
      <c r="D6294" s="3">
        <v>1.0</v>
      </c>
    </row>
    <row r="6295" ht="15.75" customHeight="1">
      <c r="A6295" s="1">
        <v>6714.0</v>
      </c>
      <c r="B6295" s="3" t="s">
        <v>6046</v>
      </c>
      <c r="C6295" s="3" t="str">
        <f>IFERROR(__xludf.DUMMYFUNCTION("GOOGLETRANSLATE(B6295,""id"",""en"")"),"['iPhone', 'Open', 'Application', 'Telkomsel', '']")</f>
        <v>['iPhone', 'Open', 'Application', 'Telkomsel', '']</v>
      </c>
      <c r="D6295" s="3">
        <v>1.0</v>
      </c>
    </row>
    <row r="6296" ht="15.75" customHeight="1">
      <c r="A6296" s="1">
        <v>6715.0</v>
      </c>
      <c r="B6296" s="3" t="s">
        <v>6047</v>
      </c>
      <c r="C6296" s="3" t="str">
        <f>IFERROR(__xludf.DUMMYFUNCTION("GOOGLETRANSLATE(B6296,""id"",""en"")"),"['package', 'OMG', 'GB', 'TPI', 'Kanapa', 'Open', 'YouTube', 'Package', 'Internet', 'Reduced', 'Please', 'Drespob']")</f>
        <v>['package', 'OMG', 'GB', 'TPI', 'Kanapa', 'Open', 'YouTube', 'Package', 'Internet', 'Reduced', 'Please', 'Drespob']</v>
      </c>
      <c r="D6296" s="3">
        <v>1.0</v>
      </c>
    </row>
    <row r="6297" ht="15.75" customHeight="1">
      <c r="A6297" s="1">
        <v>6716.0</v>
      </c>
      <c r="B6297" s="3" t="s">
        <v>6048</v>
      </c>
      <c r="C6297" s="3" t="str">
        <f>IFERROR(__xludf.DUMMYFUNCTION("GOOGLETRANSLATE(B6297,""id"",""en"")"),"['Yes']")</f>
        <v>['Yes']</v>
      </c>
      <c r="D6297" s="3">
        <v>5.0</v>
      </c>
    </row>
    <row r="6298" ht="15.75" customHeight="1">
      <c r="A6298" s="1">
        <v>6717.0</v>
      </c>
      <c r="B6298" s="3" t="s">
        <v>6049</v>
      </c>
      <c r="C6298" s="3" t="str">
        <f>IFERROR(__xludf.DUMMYFUNCTION("GOOGLETRANSLATE(B6298,""id"",""en"")"),"['Thank you', 'MyTelkomsel', 'service', 'easy']")</f>
        <v>['Thank you', 'MyTelkomsel', 'service', 'easy']</v>
      </c>
      <c r="D6298" s="3">
        <v>5.0</v>
      </c>
    </row>
    <row r="6299" ht="15.75" customHeight="1">
      <c r="A6299" s="1">
        <v>6718.0</v>
      </c>
      <c r="B6299" s="3" t="s">
        <v>6050</v>
      </c>
      <c r="C6299" s="3" t="str">
        <f>IFERROR(__xludf.DUMMYFUNCTION("GOOGLETRANSLATE(B6299,""id"",""en"")"),"['Application', 'Telkomsel', 'No.Bisa', 'Open']")</f>
        <v>['Application', 'Telkomsel', 'No.Bisa', 'Open']</v>
      </c>
      <c r="D6299" s="3">
        <v>5.0</v>
      </c>
    </row>
    <row r="6300" ht="15.75" customHeight="1">
      <c r="A6300" s="1">
        <v>6719.0</v>
      </c>
      <c r="B6300" s="3" t="s">
        <v>6051</v>
      </c>
      <c r="C6300" s="3" t="str">
        <f>IFERROR(__xludf.DUMMYFUNCTION("GOOGLETRANSLATE(B6300,""id"",""en"")"),"['already', 'customers',' loyal ',' cheap ',' ehh ',' expensive ',' njir ',' price ',' package ',' internet ',' diligent ',' contents', ' reset ',' pulse ',' package ',' disappointed ',' mending ',' replace ',' operator ',' ajalah ',' gini ',' mah ']")</f>
        <v>['already', 'customers',' loyal ',' cheap ',' ehh ',' expensive ',' njir ',' price ',' package ',' internet ',' diligent ',' contents', ' reset ',' pulse ',' package ',' disappointed ',' mending ',' replace ',' operator ',' ajalah ',' gini ',' mah ']</v>
      </c>
      <c r="D6300" s="3">
        <v>1.0</v>
      </c>
    </row>
    <row r="6301" ht="15.75" customHeight="1">
      <c r="A6301" s="1">
        <v>6720.0</v>
      </c>
      <c r="B6301" s="3" t="s">
        <v>6052</v>
      </c>
      <c r="C6301" s="3" t="str">
        <f>IFERROR(__xludf.DUMMYFUNCTION("GOOGLETRANSLATE(B6301,""id"",""en"")"),"['Memeless', 'Application', 'Kebuka', '']")</f>
        <v>['Memeless', 'Application', 'Kebuka', '']</v>
      </c>
      <c r="D6301" s="3">
        <v>1.0</v>
      </c>
    </row>
    <row r="6302" ht="15.75" customHeight="1">
      <c r="A6302" s="1">
        <v>6721.0</v>
      </c>
      <c r="B6302" s="3" t="s">
        <v>6053</v>
      </c>
      <c r="C6302" s="3" t="str">
        <f>IFERROR(__xludf.DUMMYFUNCTION("GOOGLETRANSLATE(B6302,""id"",""en"")"),"['version', 'newest', 'application', 'can', 'open']")</f>
        <v>['version', 'newest', 'application', 'can', 'open']</v>
      </c>
      <c r="D6302" s="3">
        <v>1.0</v>
      </c>
    </row>
    <row r="6303" ht="15.75" customHeight="1">
      <c r="A6303" s="1">
        <v>6722.0</v>
      </c>
      <c r="B6303" s="3" t="s">
        <v>6054</v>
      </c>
      <c r="C6303" s="3" t="str">
        <f>IFERROR(__xludf.DUMMYFUNCTION("GOOGLETRANSLATE(B6303,""id"",""en"")"),"['MDH', 'Sustenance', 'DPT', 'Telkomsel', 'Aamiin']")</f>
        <v>['MDH', 'Sustenance', 'DPT', 'Telkomsel', 'Aamiin']</v>
      </c>
      <c r="D6303" s="3">
        <v>5.0</v>
      </c>
    </row>
    <row r="6304" ht="15.75" customHeight="1">
      <c r="A6304" s="1">
        <v>6723.0</v>
      </c>
      <c r="B6304" s="3" t="s">
        <v>6055</v>
      </c>
      <c r="C6304" s="3" t="str">
        <f>IFERROR(__xludf.DUMMYFUNCTION("GOOGLETRANSLATE(B6304,""id"",""en"")"),"['Opened', 'White', 'Doang', 'Android', 'Paketan', 'There', 'Telkomsel', 'Kyk', 'Gajelas', 'The application']")</f>
        <v>['Opened', 'White', 'Doang', 'Android', 'Paketan', 'There', 'Telkomsel', 'Kyk', 'Gajelas', 'The application']</v>
      </c>
      <c r="D6304" s="3">
        <v>1.0</v>
      </c>
    </row>
    <row r="6305" ht="15.75" customHeight="1">
      <c r="A6305" s="1">
        <v>6724.0</v>
      </c>
      <c r="B6305" s="3" t="s">
        <v>6056</v>
      </c>
      <c r="C6305" s="3" t="str">
        <f>IFERROR(__xludf.DUMMYFUNCTION("GOOGLETRANSLATE(B6305,""id"",""en"")"),"['little', 'little', 'update']")</f>
        <v>['little', 'little', 'update']</v>
      </c>
      <c r="D6305" s="3">
        <v>1.0</v>
      </c>
    </row>
    <row r="6306" ht="15.75" customHeight="1">
      <c r="A6306" s="1">
        <v>6725.0</v>
      </c>
      <c r="B6306" s="3" t="s">
        <v>6057</v>
      </c>
      <c r="C6306" s="3" t="str">
        <f>IFERROR(__xludf.DUMMYFUNCTION("GOOGLETRANSLATE(B6306,""id"",""en"")"),"['', 'Update', 'Open', 'for', 'Close', 'Please', 'Fix']")</f>
        <v>['', 'Update', 'Open', 'for', 'Close', 'Please', 'Fix']</v>
      </c>
      <c r="D6306" s="3">
        <v>5.0</v>
      </c>
    </row>
    <row r="6307" ht="15.75" customHeight="1">
      <c r="A6307" s="1">
        <v>6726.0</v>
      </c>
      <c r="B6307" s="3" t="s">
        <v>6058</v>
      </c>
      <c r="C6307" s="3" t="str">
        <f>IFERROR(__xludf.DUMMYFUNCTION("GOOGLETRANSLATE(B6307,""id"",""en"")"),"['signal', 'rival']")</f>
        <v>['signal', 'rival']</v>
      </c>
      <c r="D6307" s="3">
        <v>5.0</v>
      </c>
    </row>
    <row r="6308" ht="15.75" customHeight="1">
      <c r="A6308" s="1">
        <v>6727.0</v>
      </c>
      <c r="B6308" s="3" t="s">
        <v>6059</v>
      </c>
      <c r="C6308" s="3" t="str">
        <f>IFERROR(__xludf.DUMMYFUNCTION("GOOGLETRANSLATE(B6308,""id"",""en"")"),"['Donlot', 'ngak', 'enter', 'the application']")</f>
        <v>['Donlot', 'ngak', 'enter', 'the application']</v>
      </c>
      <c r="D6308" s="3">
        <v>5.0</v>
      </c>
    </row>
    <row r="6309" ht="15.75" customHeight="1">
      <c r="A6309" s="1">
        <v>6728.0</v>
      </c>
      <c r="B6309" s="3" t="s">
        <v>6060</v>
      </c>
      <c r="C6309" s="3" t="str">
        <f>IFERROR(__xludf.DUMMYFUNCTION("GOOGLETRANSLATE(B6309,""id"",""en"")"),"['Signal', 'Telkomsel', 'slow', 'like', 'missing', 'city', 'Jakarta', 'Severe', 'Telkomsel', 'Switch', 'At God', 'City', ' Connection ',' missing ',' ']")</f>
        <v>['Signal', 'Telkomsel', 'slow', 'like', 'missing', 'city', 'Jakarta', 'Severe', 'Telkomsel', 'Switch', 'At God', 'City', ' Connection ',' missing ',' ']</v>
      </c>
      <c r="D6309" s="3">
        <v>1.0</v>
      </c>
    </row>
    <row r="6310" ht="15.75" customHeight="1">
      <c r="A6310" s="1">
        <v>6729.0</v>
      </c>
      <c r="B6310" s="3" t="s">
        <v>6061</v>
      </c>
      <c r="C6310" s="3" t="str">
        <f>IFERROR(__xludf.DUMMYFUNCTION("GOOGLETRANSLATE(B6310,""id"",""en"")"),"['Defend', 'Quality']")</f>
        <v>['Defend', 'Quality']</v>
      </c>
      <c r="D6310" s="3">
        <v>5.0</v>
      </c>
    </row>
    <row r="6311" ht="15.75" customHeight="1">
      <c r="A6311" s="1">
        <v>6730.0</v>
      </c>
      <c r="B6311" s="3" t="s">
        <v>6062</v>
      </c>
      <c r="C6311" s="3" t="str">
        <f>IFERROR(__xludf.DUMMYFUNCTION("GOOGLETRANSLATE(B6311,""id"",""en"")"),"['Telkomsel', 'invited', 'noisy', 'how', 'network', 'Nge', 'lag', 'ngak', 'severe', 'regret', 'buy', 'card']")</f>
        <v>['Telkomsel', 'invited', 'noisy', 'how', 'network', 'Nge', 'lag', 'ngak', 'severe', 'regret', 'buy', 'card']</v>
      </c>
      <c r="D6311" s="3">
        <v>1.0</v>
      </c>
    </row>
    <row r="6312" ht="15.75" customHeight="1">
      <c r="A6312" s="1">
        <v>6731.0</v>
      </c>
      <c r="B6312" s="3" t="s">
        <v>6063</v>
      </c>
      <c r="C6312" s="3" t="str">
        <f>IFERROR(__xludf.DUMMYFUNCTION("GOOGLETRANSLATE(B6312,""id"",""en"")"),"['Telkomsel', 'entry', 'forgiveness', 'Please', 'enlightenment']")</f>
        <v>['Telkomsel', 'entry', 'forgiveness', 'Please', 'enlightenment']</v>
      </c>
      <c r="D6312" s="3">
        <v>1.0</v>
      </c>
    </row>
    <row r="6313" ht="15.75" customHeight="1">
      <c r="A6313" s="1">
        <v>6732.0</v>
      </c>
      <c r="B6313" s="3" t="s">
        <v>6064</v>
      </c>
      <c r="C6313" s="3" t="str">
        <f>IFERROR(__xludf.DUMMYFUNCTION("GOOGLETRANSLATE(B6313,""id"",""en"")"),"['Good', 'really', 'hope', 'jngn', 'slow', 'lgi']")</f>
        <v>['Good', 'really', 'hope', 'jngn', 'slow', 'lgi']</v>
      </c>
      <c r="D6313" s="3">
        <v>5.0</v>
      </c>
    </row>
    <row r="6314" ht="15.75" customHeight="1">
      <c r="A6314" s="1">
        <v>6733.0</v>
      </c>
      <c r="B6314" s="3" t="s">
        <v>6065</v>
      </c>
      <c r="C6314" s="3" t="str">
        <f>IFERROR(__xludf.DUMMYFUNCTION("GOOGLETRANSLATE(B6314,""id"",""en"")"),"['Sometimes', 'difficult', 'enter', 'apps', 'hmm']")</f>
        <v>['Sometimes', 'difficult', 'enter', 'apps', 'hmm']</v>
      </c>
      <c r="D6314" s="3">
        <v>5.0</v>
      </c>
    </row>
    <row r="6315" ht="15.75" customHeight="1">
      <c r="A6315" s="1">
        <v>6734.0</v>
      </c>
      <c r="B6315" s="3" t="s">
        <v>6066</v>
      </c>
      <c r="C6315" s="3" t="str">
        <f>IFERROR(__xludf.DUMMYFUNCTION("GOOGLETRANSLATE(B6315,""id"",""en"")"),"['Open', 'the application', 'please', 'fix']")</f>
        <v>['Open', 'the application', 'please', 'fix']</v>
      </c>
      <c r="D6315" s="3">
        <v>1.0</v>
      </c>
    </row>
    <row r="6316" ht="15.75" customHeight="1">
      <c r="A6316" s="1">
        <v>6735.0</v>
      </c>
      <c r="B6316" s="3" t="s">
        <v>6067</v>
      </c>
      <c r="C6316" s="3" t="str">
        <f>IFERROR(__xludf.DUMMYFUNCTION("GOOGLETRANSLATE(B6316,""id"",""en"")"),"['Log', 'APK', 'Telkomsel']")</f>
        <v>['Log', 'APK', 'Telkomsel']</v>
      </c>
      <c r="D6316" s="3">
        <v>5.0</v>
      </c>
    </row>
    <row r="6317" ht="15.75" customHeight="1">
      <c r="A6317" s="1">
        <v>6736.0</v>
      </c>
      <c r="B6317" s="3" t="s">
        <v>6068</v>
      </c>
      <c r="C6317" s="3" t="str">
        <f>IFERROR(__xludf.DUMMYFUNCTION("GOOGLETRANSLATE(B6317,""id"",""en"")"),"['Rating', '']")</f>
        <v>['Rating', '']</v>
      </c>
      <c r="D6317" s="3">
        <v>5.0</v>
      </c>
    </row>
    <row r="6318" ht="15.75" customHeight="1">
      <c r="A6318" s="1">
        <v>6737.0</v>
      </c>
      <c r="B6318" s="3" t="s">
        <v>6069</v>
      </c>
      <c r="C6318" s="3" t="str">
        <f>IFERROR(__xludf.DUMMYFUNCTION("GOOGLETRANSLATE(B6318,""id"",""en"")"),"['Please', 'Telkomsel', 'Fix', 'Signal', 'Play', 'Game', 'Leg', 'Leg', 'Severe', 'please', ""]")</f>
        <v>['Please', 'Telkomsel', 'Fix', 'Signal', 'Play', 'Game', 'Leg', 'Leg', 'Severe', 'please', "]</v>
      </c>
      <c r="D6318" s="3">
        <v>1.0</v>
      </c>
    </row>
    <row r="6319" ht="15.75" customHeight="1">
      <c r="A6319" s="1">
        <v>6738.0</v>
      </c>
      <c r="B6319" s="3" t="s">
        <v>6070</v>
      </c>
      <c r="C6319" s="3" t="str">
        <f>IFERROR(__xludf.DUMMYFUNCTION("GOOGLETRANSLATE(B6319,""id"",""en"")"),"['apdetan']")</f>
        <v>['apdetan']</v>
      </c>
      <c r="D6319" s="3">
        <v>1.0</v>
      </c>
    </row>
    <row r="6320" ht="15.75" customHeight="1">
      <c r="A6320" s="1">
        <v>6739.0</v>
      </c>
      <c r="B6320" s="3" t="s">
        <v>6071</v>
      </c>
      <c r="C6320" s="3" t="str">
        <f>IFERROR(__xludf.DUMMYFUNCTION("GOOGLETRANSLATE(B6320,""id"",""en"")"),"['The application', 'uninstall', 'good', 'menuhin', 'memory', 'opened', '']")</f>
        <v>['The application', 'uninstall', 'good', 'menuhin', 'memory', 'opened', '']</v>
      </c>
      <c r="D6320" s="3">
        <v>1.0</v>
      </c>
    </row>
    <row r="6321" ht="15.75" customHeight="1">
      <c r="A6321" s="1">
        <v>6740.0</v>
      </c>
      <c r="B6321" s="3" t="s">
        <v>6072</v>
      </c>
      <c r="C6321" s="3" t="str">
        <f>IFERROR(__xludf.DUMMYFUNCTION("GOOGLETRANSLATE(B6321,""id"",""en"")"),"['Network', 'garbage']")</f>
        <v>['Network', 'garbage']</v>
      </c>
      <c r="D6321" s="3">
        <v>1.0</v>
      </c>
    </row>
    <row r="6322" ht="15.75" customHeight="1">
      <c r="A6322" s="1">
        <v>6741.0</v>
      </c>
      <c r="B6322" s="3" t="s">
        <v>6073</v>
      </c>
      <c r="C6322" s="3" t="str">
        <f>IFERROR(__xludf.DUMMYFUNCTION("GOOGLETRANSLATE(B6322,""id"",""en"")"),"['Facts', 'Application', 'Worst', 'MyTelkomsel', 'Telkomsel', '']")</f>
        <v>['Facts', 'Application', 'Worst', 'MyTelkomsel', 'Telkomsel', '']</v>
      </c>
      <c r="D6322" s="3">
        <v>1.0</v>
      </c>
    </row>
    <row r="6323" ht="15.75" customHeight="1">
      <c r="A6323" s="1">
        <v>6742.0</v>
      </c>
      <c r="B6323" s="3" t="s">
        <v>6074</v>
      </c>
      <c r="C6323" s="3" t="str">
        <f>IFERROR(__xludf.DUMMYFUNCTION("GOOGLETRANSLATE(B6323,""id"",""en"")"),"['Best', 'dev', 'hear', 'complaints', 'application', 'compatible', 'android', '']")</f>
        <v>['Best', 'dev', 'hear', 'complaints', 'application', 'compatible', 'android', '']</v>
      </c>
      <c r="D6323" s="3">
        <v>4.0</v>
      </c>
    </row>
    <row r="6324" ht="15.75" customHeight="1">
      <c r="A6324" s="1">
        <v>6743.0</v>
      </c>
      <c r="B6324" s="3" t="s">
        <v>6075</v>
      </c>
      <c r="C6324" s="3" t="str">
        <f>IFERROR(__xludf.DUMMYFUNCTION("GOOGLETRANSLATE(B6324,""id"",""en"")"),"['pulse', 'missing', 'kagak', 'loss', 'loss']")</f>
        <v>['pulse', 'missing', 'kagak', 'loss', 'loss']</v>
      </c>
      <c r="D6324" s="3">
        <v>1.0</v>
      </c>
    </row>
    <row r="6325" ht="15.75" customHeight="1">
      <c r="A6325" s="1">
        <v>6744.0</v>
      </c>
      <c r="B6325" s="3" t="s">
        <v>6076</v>
      </c>
      <c r="C6325" s="3" t="str">
        <f>IFERROR(__xludf.DUMMYFUNCTION("GOOGLETRANSLATE(B6325,""id"",""en"")"),"['mboh', 'tekomsel', 'expensive']")</f>
        <v>['mboh', 'tekomsel', 'expensive']</v>
      </c>
      <c r="D6325" s="3">
        <v>1.0</v>
      </c>
    </row>
    <row r="6326" ht="15.75" customHeight="1">
      <c r="A6326" s="1">
        <v>6745.0</v>
      </c>
      <c r="B6326" s="3" t="s">
        <v>6077</v>
      </c>
      <c r="C6326" s="3" t="str">
        <f>IFERROR(__xludf.DUMMYFUNCTION("GOOGLETRANSLATE(B6326,""id"",""en"")"),"['mebcoba', 'luck']")</f>
        <v>['mebcoba', 'luck']</v>
      </c>
      <c r="D6326" s="3">
        <v>5.0</v>
      </c>
    </row>
    <row r="6327" ht="15.75" customHeight="1">
      <c r="A6327" s="1">
        <v>6746.0</v>
      </c>
      <c r="B6327" s="3" t="s">
        <v>777</v>
      </c>
      <c r="C6327" s="3" t="str">
        <f>IFERROR(__xludf.DUMMYFUNCTION("GOOGLETRANSLATE(B6327,""id"",""en"")"),"['Application', 'Good', '']")</f>
        <v>['Application', 'Good', '']</v>
      </c>
      <c r="D6327" s="3">
        <v>5.0</v>
      </c>
    </row>
    <row r="6328" ht="15.75" customHeight="1">
      <c r="A6328" s="1">
        <v>6749.0</v>
      </c>
      <c r="B6328" s="3" t="s">
        <v>6078</v>
      </c>
      <c r="C6328" s="3" t="str">
        <f>IFERROR(__xludf.DUMMYFUNCTION("GOOGLETRANSLATE(B6328,""id"",""en"")"),"['disappointing', 'update', 'buy', 'package', 'enter', 'enter', 'pulse', 'suck', 'udh', 'until', 'tens',' pulses', ' Take ',' Severe ',' Telkomsel ',' Shy ',' Liat ',' All ',' Reviews', 'Kek', 'Gini', 'Ouch', 'Ouch', 'Ouch']")</f>
        <v>['disappointing', 'update', 'buy', 'package', 'enter', 'enter', 'pulse', 'suck', 'udh', 'until', 'tens',' pulses', ' Take ',' Severe ',' Telkomsel ',' Shy ',' Liat ',' All ',' Reviews', 'Kek', 'Gini', 'Ouch', 'Ouch', 'Ouch']</v>
      </c>
      <c r="D6328" s="3">
        <v>1.0</v>
      </c>
    </row>
    <row r="6329" ht="15.75" customHeight="1">
      <c r="A6329" s="1">
        <v>6750.0</v>
      </c>
      <c r="B6329" s="3" t="s">
        <v>6079</v>
      </c>
      <c r="C6329" s="3" t="str">
        <f>IFERROR(__xludf.DUMMYFUNCTION("GOOGLETRANSLATE(B6329,""id"",""en"")"),"['', 'Telkomsel', 'Open', 'Date', 'Ill', 'Feel', 'Deh', ""]")</f>
        <v>['', 'Telkomsel', 'Open', 'Date', 'Ill', 'Feel', 'Deh', "]</v>
      </c>
      <c r="D6329" s="3">
        <v>1.0</v>
      </c>
    </row>
    <row r="6330" ht="15.75" customHeight="1">
      <c r="A6330" s="1">
        <v>6751.0</v>
      </c>
      <c r="B6330" s="3" t="s">
        <v>6080</v>
      </c>
      <c r="C6330" s="3" t="str">
        <f>IFERROR(__xludf.DUMMYFUNCTION("GOOGLETRANSLATE(B6330,""id"",""en"")"),"['strange', 'got', 'Vocer', 'discoutn', 'thousand', 'dipake', 'vocer', 'display', 'doang', 'regret', 'APK', 'updated', ' open ',' mytelkomsek ',' bad ',' passenger ',' updated ',' open ',' apk ',' oath ',' regret ',' update ',' Telkomsel ',' opened ',' hi"&amp;"s servant ' , 'bad', 'rich', 'signal', 'bad', 'bales', 'operator', 'gara', 'update', 'cape', 'daily', 'check']")</f>
        <v>['strange', 'got', 'Vocer', 'discoutn', 'thousand', 'dipake', 'vocer', 'display', 'doang', 'regret', 'APK', 'updated', ' open ',' mytelkomsek ',' bad ',' passenger ',' updated ',' open ',' apk ',' oath ',' regret ',' update ',' Telkomsel ',' opened ',' his servant ' , 'bad', 'rich', 'signal', 'bad', 'bales', 'operator', 'gara', 'update', 'cape', 'daily', 'check']</v>
      </c>
      <c r="D6330" s="3">
        <v>1.0</v>
      </c>
    </row>
    <row r="6331" ht="15.75" customHeight="1">
      <c r="A6331" s="1">
        <v>6752.0</v>
      </c>
      <c r="B6331" s="3" t="s">
        <v>6081</v>
      </c>
      <c r="C6331" s="3" t="str">
        <f>IFERROR(__xludf.DUMMYFUNCTION("GOOGLETRANSLATE(B6331,""id"",""en"")"),"['Exchange', 'Network', 'Busy', 'Balance', 'Returned', 'Turn', 'Points', 'Hangus', 'Suksez', 'Indeed', 'Fraudster', 'Star']")</f>
        <v>['Exchange', 'Network', 'Busy', 'Balance', 'Returned', 'Turn', 'Points', 'Hangus', 'Suksez', 'Indeed', 'Fraudster', 'Star']</v>
      </c>
      <c r="D6331" s="3">
        <v>1.0</v>
      </c>
    </row>
    <row r="6332" ht="15.75" customHeight="1">
      <c r="A6332" s="1">
        <v>6753.0</v>
      </c>
      <c r="B6332" s="3" t="s">
        <v>6082</v>
      </c>
      <c r="C6332" s="3" t="str">
        <f>IFERROR(__xludf.DUMMYFUNCTION("GOOGLETRANSLATE(B6332,""id"",""en"")"),"['Open', 'People', 'Download', 'Package', 'UDH', 'Download', 'Ntar', 'Nyesek']")</f>
        <v>['Open', 'People', 'Download', 'Package', 'UDH', 'Download', 'Ntar', 'Nyesek']</v>
      </c>
      <c r="D6332" s="3">
        <v>1.0</v>
      </c>
    </row>
    <row r="6333" ht="15.75" customHeight="1">
      <c r="A6333" s="1">
        <v>6754.0</v>
      </c>
      <c r="B6333" s="3" t="s">
        <v>6083</v>
      </c>
      <c r="C6333" s="3" t="str">
        <f>IFERROR(__xludf.DUMMYFUNCTION("GOOGLETRANSLATE(B6333,""id"",""en"")"),"['topup', 'knp', 'writing', 'access', 'reach', 'please', 'veranda', 'why', 'knpaa', 'asw']")</f>
        <v>['topup', 'knp', 'writing', 'access', 'reach', 'please', 'veranda', 'why', 'knpaa', 'asw']</v>
      </c>
      <c r="D6333" s="3">
        <v>1.0</v>
      </c>
    </row>
    <row r="6334" ht="15.75" customHeight="1">
      <c r="A6334" s="1">
        <v>6755.0</v>
      </c>
      <c r="B6334" s="3" t="s">
        <v>6084</v>
      </c>
      <c r="C6334" s="3" t="str">
        <f>IFERROR(__xludf.DUMMYFUNCTION("GOOGLETRANSLATE(B6334,""id"",""en"")"),"['convenience', 'buy', 'package', 'quota', 'data', 'price', 'cheap', 'keep', 'promo', 'cheap']")</f>
        <v>['convenience', 'buy', 'package', 'quota', 'data', 'price', 'cheap', 'keep', 'promo', 'cheap']</v>
      </c>
      <c r="D6334" s="3">
        <v>5.0</v>
      </c>
    </row>
    <row r="6335" ht="15.75" customHeight="1">
      <c r="A6335" s="1">
        <v>6756.0</v>
      </c>
      <c r="B6335" s="3" t="s">
        <v>6085</v>
      </c>
      <c r="C6335" s="3" t="str">
        <f>IFERROR(__xludf.DUMMYFUNCTION("GOOGLETRANSLATE(B6335,""id"",""en"")"),"['easy', 'hopefully', 'voucher', '']")</f>
        <v>['easy', 'hopefully', 'voucher', '']</v>
      </c>
      <c r="D6335" s="3">
        <v>5.0</v>
      </c>
    </row>
    <row r="6336" ht="15.75" customHeight="1">
      <c r="A6336" s="1">
        <v>6757.0</v>
      </c>
      <c r="B6336" s="3" t="s">
        <v>6086</v>
      </c>
      <c r="C6336" s="3" t="str">
        <f>IFERROR(__xludf.DUMMYFUNCTION("GOOGLETRANSLATE(B6336,""id"",""en"")"),"['easy', 'fast', 'thx', 'mytelkomsel']")</f>
        <v>['easy', 'fast', 'thx', 'mytelkomsel']</v>
      </c>
      <c r="D6336" s="3">
        <v>5.0</v>
      </c>
    </row>
    <row r="6337" ht="15.75" customHeight="1">
      <c r="A6337" s="1">
        <v>6758.0</v>
      </c>
      <c r="B6337" s="3" t="s">
        <v>6087</v>
      </c>
      <c r="C6337" s="3" t="str">
        <f>IFERROR(__xludf.DUMMYFUNCTION("GOOGLETRANSLATE(B6337,""id"",""en"")"),"['Hello', 'Sis', 'Telkomsel', 'December', 'Disorders', ""]")</f>
        <v>['Hello', 'Sis', 'Telkomsel', 'December', 'Disorders', "]</v>
      </c>
      <c r="D6337" s="3">
        <v>2.0</v>
      </c>
    </row>
    <row r="6338" ht="15.75" customHeight="1">
      <c r="A6338" s="1">
        <v>6759.0</v>
      </c>
      <c r="B6338" s="3" t="s">
        <v>6088</v>
      </c>
      <c r="C6338" s="3" t="str">
        <f>IFERROR(__xludf.DUMMYFUNCTION("GOOGLETRANSLATE(B6338,""id"",""en"")"),"['zinc', 'ish', 'open', 'application', 'iki', 'zinc', 'opo', 'seh', 'hadewhhh']")</f>
        <v>['zinc', 'ish', 'open', 'application', 'iki', 'zinc', 'opo', 'seh', 'hadewhhh']</v>
      </c>
      <c r="D6338" s="3">
        <v>1.0</v>
      </c>
    </row>
    <row r="6339" ht="15.75" customHeight="1">
      <c r="A6339" s="1">
        <v>6761.0</v>
      </c>
      <c r="B6339" s="3" t="s">
        <v>6089</v>
      </c>
      <c r="C6339" s="3" t="str">
        <f>IFERROR(__xludf.DUMMYFUNCTION("GOOGLETRANSLATE(B6339,""id"",""en"")"),"['Useful', 'Sometimes']")</f>
        <v>['Useful', 'Sometimes']</v>
      </c>
      <c r="D6339" s="3">
        <v>3.0</v>
      </c>
    </row>
    <row r="6340" ht="15.75" customHeight="1">
      <c r="A6340" s="1">
        <v>6762.0</v>
      </c>
      <c r="B6340" s="3" t="s">
        <v>6090</v>
      </c>
      <c r="C6340" s="3" t="str">
        <f>IFERROR(__xludf.DUMMYFUNCTION("GOOGLETRANSLATE(B6340,""id"",""en"")"),"['Where', 'person', 'application', 'application', 'convenience', 'users', 'application', '']")</f>
        <v>['Where', 'person', 'application', 'application', 'convenience', 'users', 'application', '']</v>
      </c>
      <c r="D6340" s="3">
        <v>1.0</v>
      </c>
    </row>
    <row r="6341" ht="15.75" customHeight="1">
      <c r="A6341" s="1">
        <v>6763.0</v>
      </c>
      <c r="B6341" s="3" t="s">
        <v>6091</v>
      </c>
      <c r="C6341" s="3" t="str">
        <f>IFERROR(__xludf.DUMMYFUNCTION("GOOGLETRANSLATE(B6341,""id"",""en"")"),"['thank', 'love', 'migrated', 'card', 'hello', 'unfortunately', 'network', 'slow', 'please', 'repaired', 'thx']")</f>
        <v>['thank', 'love', 'migrated', 'card', 'hello', 'unfortunately', 'network', 'slow', 'please', 'repaired', 'thx']</v>
      </c>
      <c r="D6341" s="3">
        <v>1.0</v>
      </c>
    </row>
    <row r="6342" ht="15.75" customHeight="1">
      <c r="A6342" s="1">
        <v>6764.0</v>
      </c>
      <c r="B6342" s="3" t="s">
        <v>6092</v>
      </c>
      <c r="C6342" s="3" t="str">
        <f>IFERROR(__xludf.DUMMYFUNCTION("GOOGLETRANSLATE(B6342,""id"",""en"")"),"['Please', 'Sorry', 'Understand', 'Write', 'Please', 'Wait', 'Customer', 'Service', 'Safe', 'sellu', 'petrified', 'Please', ' Read ',' comment ',' klw ',' use ',' apk ',' disappointing ',' disappointing ']")</f>
        <v>['Please', 'Sorry', 'Understand', 'Write', 'Please', 'Wait', 'Customer', 'Service', 'Safe', 'sellu', 'petrified', 'Please', ' Read ',' comment ',' klw ',' use ',' apk ',' disappointing ',' disappointing ']</v>
      </c>
      <c r="D6342" s="3">
        <v>1.0</v>
      </c>
    </row>
    <row r="6343" ht="15.75" customHeight="1">
      <c r="A6343" s="1">
        <v>6765.0</v>
      </c>
      <c r="B6343" s="3" t="s">
        <v>6093</v>
      </c>
      <c r="C6343" s="3" t="str">
        <f>IFERROR(__xludf.DUMMYFUNCTION("GOOGLETRANSLATE(B6343,""id"",""en"")"),"['regret', 'buy', 'package', 'application', 'already', 'pay', 'quota', 'package', 'enter', 'love', 'notification', 'payment', ' Failed ',' money ',' already ',' lost ',' package ',' data ',' enter ',' taik ']")</f>
        <v>['regret', 'buy', 'package', 'application', 'already', 'pay', 'quota', 'package', 'enter', 'love', 'notification', 'payment', ' Failed ',' money ',' already ',' lost ',' package ',' data ',' enter ',' taik ']</v>
      </c>
      <c r="D6343" s="3">
        <v>1.0</v>
      </c>
    </row>
    <row r="6344" ht="15.75" customHeight="1">
      <c r="A6344" s="1">
        <v>6766.0</v>
      </c>
      <c r="B6344" s="3" t="s">
        <v>6094</v>
      </c>
      <c r="C6344" s="3" t="str">
        <f>IFERROR(__xludf.DUMMYFUNCTION("GOOGLETRANSLATE(B6344,""id"",""en"")"),"['Knpa', 'Telkomsel', 'Nda', 'open', 'screen', 'white']")</f>
        <v>['Knpa', 'Telkomsel', 'Nda', 'open', 'screen', 'white']</v>
      </c>
      <c r="D6344" s="3">
        <v>1.0</v>
      </c>
    </row>
    <row r="6345" ht="15.75" customHeight="1">
      <c r="A6345" s="1">
        <v>6767.0</v>
      </c>
      <c r="B6345" s="3" t="s">
        <v>6095</v>
      </c>
      <c r="C6345" s="3" t="str">
        <f>IFERROR(__xludf.DUMMYFUNCTION("GOOGLETRANSLATE(B6345,""id"",""en"")"),"['Application', 'December', 'Ngeblank', 'White']")</f>
        <v>['Application', 'December', 'Ngeblank', 'White']</v>
      </c>
      <c r="D6345" s="3">
        <v>2.0</v>
      </c>
    </row>
    <row r="6346" ht="15.75" customHeight="1">
      <c r="A6346" s="1">
        <v>6768.0</v>
      </c>
      <c r="B6346" s="3" t="s">
        <v>6096</v>
      </c>
      <c r="C6346" s="3" t="str">
        <f>IFERROR(__xludf.DUMMYFUNCTION("GOOGLETRANSLATE(B6346,""id"",""en"")"),"['Ouch', 'how', 'White', 'then', 'open', 'APL', 'Nyh', 'Please', 'fix']")</f>
        <v>['Ouch', 'how', 'White', 'then', 'open', 'APL', 'Nyh', 'Please', 'fix']</v>
      </c>
      <c r="D6346" s="3">
        <v>1.0</v>
      </c>
    </row>
    <row r="6347" ht="15.75" customHeight="1">
      <c r="A6347" s="1">
        <v>6769.0</v>
      </c>
      <c r="B6347" s="3" t="s">
        <v>6097</v>
      </c>
      <c r="C6347" s="3" t="str">
        <f>IFERROR(__xludf.DUMMYFUNCTION("GOOGLETRANSLATE(B6347,""id"",""en"")"),"['Quota', 'Full', 'On', 'Internet', 'Network', 'Current', 'Please', 'Confirm', 'Telkomsel']")</f>
        <v>['Quota', 'Full', 'On', 'Internet', 'Network', 'Current', 'Please', 'Confirm', 'Telkomsel']</v>
      </c>
      <c r="D6347" s="3">
        <v>1.0</v>
      </c>
    </row>
    <row r="6348" ht="15.75" customHeight="1">
      <c r="A6348" s="1">
        <v>6770.0</v>
      </c>
      <c r="B6348" s="3" t="s">
        <v>6098</v>
      </c>
      <c r="C6348" s="3" t="str">
        <f>IFERROR(__xludf.DUMMYFUNCTION("GOOGLETRANSLATE(B6348,""id"",""en"")"),"['Honey', 'Telkomsel', 'no', 'quota', 'free']")</f>
        <v>['Honey', 'Telkomsel', 'no', 'quota', 'free']</v>
      </c>
      <c r="D6348" s="3">
        <v>2.0</v>
      </c>
    </row>
    <row r="6349" ht="15.75" customHeight="1">
      <c r="A6349" s="1">
        <v>6771.0</v>
      </c>
      <c r="B6349" s="3" t="s">
        <v>6099</v>
      </c>
      <c r="C6349" s="3" t="str">
        <f>IFERROR(__xludf.DUMMYFUNCTION("GOOGLETRANSLATE(B6349,""id"",""en"")"),"['Please', 'company', 'Telkomsel', 'fix', 'application', 'MyTelkomsel', 'application', 'NGK', 'access']")</f>
        <v>['Please', 'company', 'Telkomsel', 'fix', 'application', 'MyTelkomsel', 'application', 'NGK', 'access']</v>
      </c>
      <c r="D6349" s="3">
        <v>1.0</v>
      </c>
    </row>
    <row r="6350" ht="15.75" customHeight="1">
      <c r="A6350" s="1">
        <v>6772.0</v>
      </c>
      <c r="B6350" s="3" t="s">
        <v>5110</v>
      </c>
      <c r="C6350" s="3" t="str">
        <f>IFERROR(__xludf.DUMMYFUNCTION("GOOGLETRANSLATE(B6350,""id"",""en"")"),"['Difficult', 'enter']")</f>
        <v>['Difficult', 'enter']</v>
      </c>
      <c r="D6350" s="3">
        <v>5.0</v>
      </c>
    </row>
    <row r="6351" ht="15.75" customHeight="1">
      <c r="A6351" s="1">
        <v>6773.0</v>
      </c>
      <c r="B6351" s="3" t="s">
        <v>6100</v>
      </c>
      <c r="C6351" s="3" t="str">
        <f>IFERROR(__xludf.DUMMYFUNCTION("GOOGLETRANSLATE(B6351,""id"",""en"")"),"['week', 'application', 'open', '']")</f>
        <v>['week', 'application', 'open', '']</v>
      </c>
      <c r="D6351" s="3">
        <v>1.0</v>
      </c>
    </row>
    <row r="6352" ht="15.75" customHeight="1">
      <c r="A6352" s="1">
        <v>6774.0</v>
      </c>
      <c r="B6352" s="3" t="s">
        <v>6101</v>
      </c>
      <c r="C6352" s="3" t="str">
        <f>IFERROR(__xludf.DUMMYFUNCTION("GOOGLETRANSLATE(B6352,""id"",""en"")"),"['steady', 'exchange', 'Points', 'Diamond', 'cave', 'like']")</f>
        <v>['steady', 'exchange', 'Points', 'Diamond', 'cave', 'like']</v>
      </c>
      <c r="D6352" s="3">
        <v>5.0</v>
      </c>
    </row>
    <row r="6353" ht="15.75" customHeight="1">
      <c r="A6353" s="1">
        <v>6775.0</v>
      </c>
      <c r="B6353" s="3" t="s">
        <v>6102</v>
      </c>
      <c r="C6353" s="3" t="str">
        <f>IFERROR(__xludf.DUMMYFUNCTION("GOOGLETRANSLATE(B6353,""id"",""en"")"),"['Ngebug', 'Admin', 'Ngeblank', 'White', 'APK', 'Konsolll', 'APK', 'Mending', 'Move', 'Card', 'Dusta', 'Kek', ' dakjallll ']")</f>
        <v>['Ngebug', 'Admin', 'Ngeblank', 'White', 'APK', 'Konsolll', 'APK', 'Mending', 'Move', 'Card', 'Dusta', 'Kek', ' dakjallll ']</v>
      </c>
      <c r="D6353" s="3">
        <v>1.0</v>
      </c>
    </row>
    <row r="6354" ht="15.75" customHeight="1">
      <c r="A6354" s="1">
        <v>6776.0</v>
      </c>
      <c r="B6354" s="3" t="s">
        <v>6103</v>
      </c>
      <c r="C6354" s="3" t="str">
        <f>IFERROR(__xludf.DUMMYFUNCTION("GOOGLETRANSLATE(B6354,""id"",""en"")"),"['Thanks', 'Wear', 'Telkomsel', 'Function']")</f>
        <v>['Thanks', 'Wear', 'Telkomsel', 'Function']</v>
      </c>
      <c r="D6354" s="3">
        <v>5.0</v>
      </c>
    </row>
    <row r="6355" ht="15.75" customHeight="1">
      <c r="A6355" s="1">
        <v>6777.0</v>
      </c>
      <c r="B6355" s="3" t="s">
        <v>6104</v>
      </c>
      <c r="C6355" s="3" t="str">
        <f>IFERROR(__xludf.DUMMYFUNCTION("GOOGLETRANSLATE(B6355,""id"",""en"")"),"['Times',' Install ',' Unisntal ',' Application ',' Yesterday ',' Sempet ',' Hub ',' Call ',' Center ',' Tetep ',' right ',' Read ',' Comment ',' Rich ',' That's', 'Sempet', 'Thinking', 'Karna', 'Load', 'Yes',' Already ',' Nomikutin ',' Suggestion ',' Cal"&amp;"l ',' Center ' , 'Clear', 'Chace', 'Force', 'Stop', 'Tetep']")</f>
        <v>['Times',' Install ',' Unisntal ',' Application ',' Yesterday ',' Sempet ',' Hub ',' Call ',' Center ',' Tetep ',' right ',' Read ',' Comment ',' Rich ',' That's', 'Sempet', 'Thinking', 'Karna', 'Load', 'Yes',' Already ',' Nomikutin ',' Suggestion ',' Call ',' Center ' , 'Clear', 'Chace', 'Force', 'Stop', 'Tetep']</v>
      </c>
      <c r="D6355" s="3">
        <v>1.0</v>
      </c>
    </row>
    <row r="6356" ht="15.75" customHeight="1">
      <c r="A6356" s="1">
        <v>6778.0</v>
      </c>
      <c r="B6356" s="3" t="s">
        <v>6105</v>
      </c>
      <c r="C6356" s="3" t="str">
        <f>IFERROR(__xludf.DUMMYFUNCTION("GOOGLETRANSLATE(B6356,""id"",""en"")"),"['cave', 'update', 'repeated', 'gerangan', 'apasih', 'telkom', ""]")</f>
        <v>['cave', 'update', 'repeated', 'gerangan', 'apasih', 'telkom', "]</v>
      </c>
      <c r="D6356" s="3">
        <v>1.0</v>
      </c>
    </row>
    <row r="6357" ht="15.75" customHeight="1">
      <c r="A6357" s="1">
        <v>6781.0</v>
      </c>
      <c r="B6357" s="3" t="s">
        <v>6106</v>
      </c>
      <c r="C6357" s="3" t="str">
        <f>IFERROR(__xludf.DUMMYFUNCTION("GOOGLETRANSLATE(B6357,""id"",""en"")"),"['application', 'good', 'really', 'buy', 'pulse', '']")</f>
        <v>['application', 'good', 'really', 'buy', 'pulse', '']</v>
      </c>
      <c r="D6357" s="3">
        <v>3.0</v>
      </c>
    </row>
    <row r="6358" ht="15.75" customHeight="1">
      <c r="A6358" s="1">
        <v>6783.0</v>
      </c>
      <c r="B6358" s="3" t="s">
        <v>6107</v>
      </c>
      <c r="C6358" s="3" t="str">
        <f>IFERROR(__xludf.DUMMYFUNCTION("GOOGLETRANSLATE(B6358,""id"",""en"")"),"['application', 'opened', 'palm', 'tok']")</f>
        <v>['application', 'opened', 'palm', 'tok']</v>
      </c>
      <c r="D6358" s="3">
        <v>1.0</v>
      </c>
    </row>
    <row r="6359" ht="15.75" customHeight="1">
      <c r="A6359" s="1">
        <v>6784.0</v>
      </c>
      <c r="B6359" s="3" t="s">
        <v>6108</v>
      </c>
      <c r="C6359" s="3" t="str">
        <f>IFERROR(__xludf.DUMMYFUNCTION("GOOGLETRANSLATE(B6359,""id"",""en"")"),"['Sorry', 'Sorry', 'Application', 'Error', 'Opened', 'Please', 'Fix', 'Fast', 'Kayak', 'Epep']")</f>
        <v>['Sorry', 'Sorry', 'Application', 'Error', 'Opened', 'Please', 'Fix', 'Fast', 'Kayak', 'Epep']</v>
      </c>
      <c r="D6359" s="3">
        <v>1.0</v>
      </c>
    </row>
    <row r="6360" ht="15.75" customHeight="1">
      <c r="A6360" s="1">
        <v>6785.0</v>
      </c>
      <c r="B6360" s="3" t="s">
        <v>6109</v>
      </c>
      <c r="C6360" s="3" t="str">
        <f>IFERROR(__xludf.DUMMYFUNCTION("GOOGLETRANSLATE(B6360,""id"",""en"")"),"['The application', 'Useful', 'Bangett', 'Bang', 'Dev', '']")</f>
        <v>['The application', 'Useful', 'Bangett', 'Bang', 'Dev', '']</v>
      </c>
      <c r="D6360" s="3">
        <v>5.0</v>
      </c>
    </row>
    <row r="6361" ht="15.75" customHeight="1">
      <c r="A6361" s="1">
        <v>6787.0</v>
      </c>
      <c r="B6361" s="3" t="s">
        <v>6110</v>
      </c>
      <c r="C6361" s="3" t="str">
        <f>IFERROR(__xludf.DUMMYFUNCTION("GOOGLETRANSLATE(B6361,""id"",""en"")"),"['Sya', 'already', 'times', 'download', 'APK', 'APK', 'open', 'hnya', 'appears', 'screen', 'white']")</f>
        <v>['Sya', 'already', 'times', 'download', 'APK', 'APK', 'open', 'hnya', 'appears', 'screen', 'white']</v>
      </c>
      <c r="D6361" s="3">
        <v>1.0</v>
      </c>
    </row>
    <row r="6362" ht="15.75" customHeight="1">
      <c r="A6362" s="1">
        <v>6788.0</v>
      </c>
      <c r="B6362" s="3" t="s">
        <v>6111</v>
      </c>
      <c r="C6362" s="3" t="str">
        <f>IFERROR(__xludf.DUMMYFUNCTION("GOOGLETRANSLATE(B6362,""id"",""en"")"),"['oath', 'disappointed', 'really', 'tsel', 'down', 'grade', 'quality', 'network', 'skarang', 'message', 'phone', 'gabisa', ' connected ',' number ',' ngajuin ',' complaints', 'bot', 'tele', 'told', 'code', 'gmn', 'code', 'sms',' kagak ',' nyampe ' , 'slow"&amp;"', 'original', 'already', 'so', 'card', 'jga', 'tsel', 'gini', 'login', 'difficult', 'wait', 'verif', ' Code ',' nyampe ',' nyampe ',' tired ',' tsel ',' ']")</f>
        <v>['oath', 'disappointed', 'really', 'tsel', 'down', 'grade', 'quality', 'network', 'skarang', 'message', 'phone', 'gabisa', ' connected ',' number ',' ngajuin ',' complaints', 'bot', 'tele', 'told', 'code', 'gmn', 'code', 'sms',' kagak ',' nyampe ' , 'slow', 'original', 'already', 'so', 'card', 'jga', 'tsel', 'gini', 'login', 'difficult', 'wait', 'verif', ' Code ',' nyampe ',' nyampe ',' tired ',' tsel ',' ']</v>
      </c>
      <c r="D6362" s="3">
        <v>1.0</v>
      </c>
    </row>
    <row r="6363" ht="15.75" customHeight="1">
      <c r="A6363" s="1">
        <v>6789.0</v>
      </c>
      <c r="B6363" s="3" t="s">
        <v>6112</v>
      </c>
      <c r="C6363" s="3" t="str">
        <f>IFERROR(__xludf.DUMMYFUNCTION("GOOGLETRANSLATE(B6363,""id"",""en"")"),"['price', 'package', 'expensive', 'donk', 'boss']")</f>
        <v>['price', 'package', 'expensive', 'donk', 'boss']</v>
      </c>
      <c r="D6363" s="3">
        <v>3.0</v>
      </c>
    </row>
    <row r="6364" ht="15.75" customHeight="1">
      <c r="A6364" s="1">
        <v>6791.0</v>
      </c>
      <c r="B6364" s="3" t="s">
        <v>6113</v>
      </c>
      <c r="C6364" s="3" t="str">
        <f>IFERROR(__xludf.DUMMYFUNCTION("GOOGLETRANSLATE(B6364,""id"",""en"")"),"['Please', 'details',' knp ',' pulse ',' truncated ',' leftover ',' rupiah ',' leftover ',' pulse ',' lost ',' details', 'use', ' wrong', '']")</f>
        <v>['Please', 'details',' knp ',' pulse ',' truncated ',' leftover ',' rupiah ',' leftover ',' pulse ',' lost ',' details', 'use', ' wrong', '']</v>
      </c>
      <c r="D6364" s="3">
        <v>1.0</v>
      </c>
    </row>
    <row r="6365" ht="15.75" customHeight="1">
      <c r="A6365" s="1">
        <v>6794.0</v>
      </c>
      <c r="B6365" s="3" t="s">
        <v>6114</v>
      </c>
      <c r="C6365" s="3" t="str">
        <f>IFERROR(__xludf.DUMMYFUNCTION("GOOGLETRANSLATE(B6365,""id"",""en"")"),"['APK', 'Good', 'user', 'Telkomsel']")</f>
        <v>['APK', 'Good', 'user', 'Telkomsel']</v>
      </c>
      <c r="D6365" s="3">
        <v>5.0</v>
      </c>
    </row>
    <row r="6366" ht="15.75" customHeight="1">
      <c r="A6366" s="1">
        <v>6795.0</v>
      </c>
      <c r="B6366" s="3" t="s">
        <v>6115</v>
      </c>
      <c r="C6366" s="3" t="str">
        <f>IFERROR(__xludf.DUMMYFUNCTION("GOOGLETRANSLATE(B6366,""id"",""en"")"),"['Please', 'response']")</f>
        <v>['Please', 'response']</v>
      </c>
      <c r="D6366" s="3">
        <v>5.0</v>
      </c>
    </row>
    <row r="6367" ht="15.75" customHeight="1">
      <c r="A6367" s="1">
        <v>6796.0</v>
      </c>
      <c r="B6367" s="3" t="s">
        <v>6116</v>
      </c>
      <c r="C6367" s="3" t="str">
        <f>IFERROR(__xludf.DUMMYFUNCTION("GOOGLETRANSLATE(B6367,""id"",""en"")"),"['buy', 'package', 'it's'', 'MLH', 'lag']")</f>
        <v>['buy', 'package', 'it's'', 'MLH', 'lag']</v>
      </c>
      <c r="D6367" s="3">
        <v>2.0</v>
      </c>
    </row>
    <row r="6368" ht="15.75" customHeight="1">
      <c r="A6368" s="1">
        <v>6797.0</v>
      </c>
      <c r="B6368" s="3" t="s">
        <v>6117</v>
      </c>
      <c r="C6368" s="3" t="str">
        <f>IFERROR(__xludf.DUMMYFUNCTION("GOOGLETRANSLATE(B6368,""id"",""en"")"),"['stop', 'Package', '']")</f>
        <v>['stop', 'Package', '']</v>
      </c>
      <c r="D6368" s="3">
        <v>1.0</v>
      </c>
    </row>
    <row r="6369" ht="15.75" customHeight="1">
      <c r="A6369" s="1">
        <v>6798.0</v>
      </c>
      <c r="B6369" s="3" t="s">
        <v>4859</v>
      </c>
      <c r="C6369" s="3" t="str">
        <f>IFERROR(__xludf.DUMMYFUNCTION("GOOGLETRANSLATE(B6369,""id"",""en"")"),"['APK', 'Good', '']")</f>
        <v>['APK', 'Good', '']</v>
      </c>
      <c r="D6369" s="3">
        <v>5.0</v>
      </c>
    </row>
    <row r="6370" ht="15.75" customHeight="1">
      <c r="A6370" s="1">
        <v>6799.0</v>
      </c>
      <c r="B6370" s="3" t="s">
        <v>6118</v>
      </c>
      <c r="C6370" s="3" t="str">
        <f>IFERROR(__xludf.DUMMYFUNCTION("GOOGLETRANSLATE(B6370,""id"",""en"")"),"['Strong', 'network', 'quota', '']")</f>
        <v>['Strong', 'network', 'quota', '']</v>
      </c>
      <c r="D6370" s="3">
        <v>5.0</v>
      </c>
    </row>
    <row r="6371" ht="15.75" customHeight="1">
      <c r="A6371" s="1">
        <v>6800.0</v>
      </c>
      <c r="B6371" s="3" t="s">
        <v>6119</v>
      </c>
      <c r="C6371" s="3" t="str">
        <f>IFERROR(__xludf.DUMMYFUNCTION("GOOGLETRANSLATE(B6371,""id"",""en"")"),"['Woy', 'Network', 'Telkomsel', 'Terat', 'Difficult', 'Signal', 'Lost', 'Please', 'Improved', 'Fix', 'Customer', ' TELKOM ',' Tetep ']")</f>
        <v>['Woy', 'Network', 'Telkomsel', 'Terat', 'Difficult', 'Signal', 'Lost', 'Please', 'Improved', 'Fix', 'Customer', ' TELKOM ',' Tetep ']</v>
      </c>
      <c r="D6371" s="3">
        <v>1.0</v>
      </c>
    </row>
    <row r="6372" ht="15.75" customHeight="1">
      <c r="A6372" s="1">
        <v>6801.0</v>
      </c>
      <c r="B6372" s="3" t="s">
        <v>6120</v>
      </c>
      <c r="C6372" s="3" t="str">
        <f>IFERROR(__xludf.DUMMYFUNCTION("GOOGLETRANSLATE(B6372,""id"",""en"")"),"['signal', 'good']")</f>
        <v>['signal', 'good']</v>
      </c>
      <c r="D6372" s="3">
        <v>5.0</v>
      </c>
    </row>
    <row r="6373" ht="15.75" customHeight="1">
      <c r="A6373" s="1">
        <v>6802.0</v>
      </c>
      <c r="B6373" s="3" t="s">
        <v>6121</v>
      </c>
      <c r="C6373" s="3" t="str">
        <f>IFERROR(__xludf.DUMMYFUNCTION("GOOGLETRANSLATE(B6373,""id"",""en"")"),"['Please', 'Telkomsel', 'The network', 'Strengthen', 'Region', 'City', 'Pandaan', 'Jatim', 'Network', 'Telkomsel', 'Bad', 'Cook', ' Lost ',' Indosat ']")</f>
        <v>['Please', 'Telkomsel', 'The network', 'Strengthen', 'Region', 'City', 'Pandaan', 'Jatim', 'Network', 'Telkomsel', 'Bad', 'Cook', ' Lost ',' Indosat ']</v>
      </c>
      <c r="D6373" s="3">
        <v>1.0</v>
      </c>
    </row>
    <row r="6374" ht="15.75" customHeight="1">
      <c r="A6374" s="1">
        <v>6803.0</v>
      </c>
      <c r="B6374" s="3" t="s">
        <v>6122</v>
      </c>
      <c r="C6374" s="3" t="str">
        <f>IFERROR(__xludf.DUMMYFUNCTION("GOOGLETRANSLATE(B6374,""id"",""en"")"),"['application', 'useful', 'consumer', 'easy', 'loan', 'service', 'customer', 'decent', 'star', ""]")</f>
        <v>['application', 'useful', 'consumer', 'easy', 'loan', 'service', 'customer', 'decent', 'star', "]</v>
      </c>
      <c r="D6374" s="3">
        <v>5.0</v>
      </c>
    </row>
    <row r="6375" ht="15.75" customHeight="1">
      <c r="A6375" s="1">
        <v>6804.0</v>
      </c>
      <c r="B6375" s="3" t="s">
        <v>6123</v>
      </c>
      <c r="C6375" s="3" t="str">
        <f>IFERROR(__xludf.DUMMYFUNCTION("GOOGLETRANSLATE(B6375,""id"",""en"")"),"['application', 'told', 'login', 'reset', 'network', 'bad']")</f>
        <v>['application', 'told', 'login', 'reset', 'network', 'bad']</v>
      </c>
      <c r="D6375" s="3">
        <v>1.0</v>
      </c>
    </row>
    <row r="6376" ht="15.75" customHeight="1">
      <c r="A6376" s="1">
        <v>6806.0</v>
      </c>
      <c r="B6376" s="3" t="s">
        <v>6124</v>
      </c>
      <c r="C6376" s="3" t="str">
        <f>IFERROR(__xludf.DUMMYFUNCTION("GOOGLETRANSLATE(B6376,""id"",""en"")"),"['Network', 'here', 'idiot', 'sympathy', 'Bentar', 'bankrupt', ""]")</f>
        <v>['Network', 'here', 'idiot', 'sympathy', 'Bentar', 'bankrupt', "]</v>
      </c>
      <c r="D6376" s="3">
        <v>1.0</v>
      </c>
    </row>
    <row r="6377" ht="15.75" customHeight="1">
      <c r="A6377" s="1">
        <v>6807.0</v>
      </c>
      <c r="B6377" s="3" t="s">
        <v>6125</v>
      </c>
      <c r="C6377" s="3" t="str">
        <f>IFERROR(__xludf.DUMMYFUNCTION("GOOGLETRANSLATE(B6377,""id"",""en"")"),"['', 'Delete', 'Review', 'Signal', 'Hot', 'Telkomsel', 'Wonder', 'City', 'Signal', 'Batang']")</f>
        <v>['', 'Delete', 'Review', 'Signal', 'Hot', 'Telkomsel', 'Wonder', 'City', 'Signal', 'Batang']</v>
      </c>
      <c r="D6377" s="3">
        <v>1.0</v>
      </c>
    </row>
    <row r="6378" ht="15.75" customHeight="1">
      <c r="A6378" s="1">
        <v>6808.0</v>
      </c>
      <c r="B6378" s="3" t="s">
        <v>6126</v>
      </c>
      <c r="C6378" s="3" t="str">
        <f>IFERROR(__xludf.DUMMYFUNCTION("GOOGLETRANSLATE(B6378,""id"",""en"")"),"['APLKSI', 'MyTelkomsel', 'NGK', 'Open', 'UDH', 'BLN', 'NGK', 'Open', 'Points',' Biay ',' Exchange ',' What ',' ']")</f>
        <v>['APLKSI', 'MyTelkomsel', 'NGK', 'Open', 'UDH', 'BLN', 'NGK', 'Open', 'Points',' Biay ',' Exchange ',' What ',' ']</v>
      </c>
      <c r="D6378" s="3">
        <v>1.0</v>
      </c>
    </row>
    <row r="6379" ht="15.75" customHeight="1">
      <c r="A6379" s="1">
        <v>6809.0</v>
      </c>
      <c r="B6379" s="3" t="s">
        <v>6127</v>
      </c>
      <c r="C6379" s="3" t="str">
        <f>IFERROR(__xludf.DUMMYFUNCTION("GOOGLETRANSLATE(B6379,""id"",""en"")"),"['second', 'blank', 'white', 'agree', 'uninstall', 'stay', 'detrimental', '']")</f>
        <v>['second', 'blank', 'white', 'agree', 'uninstall', 'stay', 'detrimental', '']</v>
      </c>
      <c r="D6379" s="3">
        <v>1.0</v>
      </c>
    </row>
    <row r="6380" ht="15.75" customHeight="1">
      <c r="A6380" s="1">
        <v>6810.0</v>
      </c>
      <c r="B6380" s="3" t="s">
        <v>6128</v>
      </c>
      <c r="C6380" s="3" t="str">
        <f>IFERROR(__xludf.DUMMYFUNCTION("GOOGLETRANSLATE(B6380,""id"",""en"")"),"['subtract', 'service', 'content', 'artist', 'devote', 'info', 'unreg', 'content', 'content', 'pnghisap', 'pulse', 'multiply', ' Services', 'content', 'education', 'children', 'children', 'school', ""]")</f>
        <v>['subtract', 'service', 'content', 'artist', 'devote', 'info', 'unreg', 'content', 'content', 'pnghisap', 'pulse', 'multiply', ' Services', 'content', 'education', 'children', 'children', 'school', "]</v>
      </c>
      <c r="D6380" s="3">
        <v>4.0</v>
      </c>
    </row>
    <row r="6381" ht="15.75" customHeight="1">
      <c r="A6381" s="1">
        <v>6811.0</v>
      </c>
      <c r="B6381" s="3" t="s">
        <v>6129</v>
      </c>
      <c r="C6381" s="3" t="str">
        <f>IFERROR(__xludf.DUMMYFUNCTION("GOOGLETRANSLATE(B6381,""id"",""en"")"),"['person', 'love', 'rating', 'good', 'provider', 'rich', 'doang', 'emang', 'good', 'telkomsel', 'pulse', 'package', ' expensive ',' signal ',' bad ',' example ',' try ',' play ',' game ',' internet ',' clock ',' night ',' signal ',' crash ',' think ' , 'c"&amp;"lock', 'that way', 'soul', 'rest', 'play', 'signal', 'strong', 'nge', 'lag', 'pulse', 'package', 'expensive', ' wasteful ',' package ',' suck ',' Telkomsel ',' dlm ',' internet ']")</f>
        <v>['person', 'love', 'rating', 'good', 'provider', 'rich', 'doang', 'emang', 'good', 'telkomsel', 'pulse', 'package', ' expensive ',' signal ',' bad ',' example ',' try ',' play ',' game ',' internet ',' clock ',' night ',' signal ',' crash ',' think ' , 'clock', 'that way', 'soul', 'rest', 'play', 'signal', 'strong', 'nge', 'lag', 'pulse', 'package', 'expensive', ' wasteful ',' package ',' suck ',' Telkomsel ',' dlm ',' internet ']</v>
      </c>
      <c r="D6381" s="3">
        <v>1.0</v>
      </c>
    </row>
    <row r="6382" ht="15.75" customHeight="1">
      <c r="A6382" s="1">
        <v>6812.0</v>
      </c>
      <c r="B6382" s="3" t="s">
        <v>6130</v>
      </c>
      <c r="C6382" s="3" t="str">
        <f>IFERROR(__xludf.DUMMYFUNCTION("GOOGLETRANSLATE(B6382,""id"",""en"")"),"['Please', 'The network', 'Maximize', 'Season', 'Bad', 'Card', 'Telkomsel', ""]")</f>
        <v>['Please', 'The network', 'Maximize', 'Season', 'Bad', 'Card', 'Telkomsel', "]</v>
      </c>
      <c r="D6382" s="3">
        <v>1.0</v>
      </c>
    </row>
    <row r="6383" ht="15.75" customHeight="1">
      <c r="A6383" s="1">
        <v>6813.0</v>
      </c>
      <c r="B6383" s="3" t="s">
        <v>6131</v>
      </c>
      <c r="C6383" s="3" t="str">
        <f>IFERROR(__xludf.DUMMYFUNCTION("GOOGLETRANSLATE(B6383,""id"",""en"")"),"['Disappointed', 'play', 'game', 'signal', 'red', 'mulu', 'ugly', 'please', 'fix', 'signal', 'quota', 'signal', ' ugly ',' severe ',' really ']")</f>
        <v>['Disappointed', 'play', 'game', 'signal', 'red', 'mulu', 'ugly', 'please', 'fix', 'signal', 'quota', 'signal', ' ugly ',' severe ',' really ']</v>
      </c>
      <c r="D6383" s="3">
        <v>1.0</v>
      </c>
    </row>
    <row r="6384" ht="15.75" customHeight="1">
      <c r="A6384" s="1">
        <v>6814.0</v>
      </c>
      <c r="B6384" s="3" t="s">
        <v>6132</v>
      </c>
      <c r="C6384" s="3" t="str">
        <f>IFERROR(__xludf.DUMMYFUNCTION("GOOGLETRANSLATE(B6384,""id"",""en"")"),"['Help', 'expensive', 'try', 'reduce', 'little', 'price', ""]")</f>
        <v>['Help', 'expensive', 'try', 'reduce', 'little', 'price', "]</v>
      </c>
      <c r="D6384" s="3">
        <v>5.0</v>
      </c>
    </row>
    <row r="6385" ht="15.75" customHeight="1">
      <c r="A6385" s="1">
        <v>6815.0</v>
      </c>
      <c r="B6385" s="3" t="s">
        <v>6133</v>
      </c>
      <c r="C6385" s="3" t="str">
        <f>IFERROR(__xludf.DUMMYFUNCTION("GOOGLETRANSLATE(B6385,""id"",""en"")"),"['Terbimah', 'Love', 'Service']")</f>
        <v>['Terbimah', 'Love', 'Service']</v>
      </c>
      <c r="D6385" s="3">
        <v>5.0</v>
      </c>
    </row>
    <row r="6386" ht="15.75" customHeight="1">
      <c r="A6386" s="1">
        <v>6816.0</v>
      </c>
      <c r="B6386" s="3" t="s">
        <v>6134</v>
      </c>
      <c r="C6386" s="3" t="str">
        <f>IFERROR(__xludf.DUMMYFUNCTION("GOOGLETRANSLATE(B6386,""id"",""en"")"),"['contents',' pulses', 'thousand', 'contents',' quota ',' Telkomsel ',' pulse ',' wasted ',' please ',' fix ',' pulse ',' sealed ',' system ',' repaired ',' detrimental ',' consumer ']")</f>
        <v>['contents',' pulses', 'thousand', 'contents',' quota ',' Telkomsel ',' pulse ',' wasted ',' please ',' fix ',' pulse ',' sealed ',' system ',' repaired ',' detrimental ',' consumer ']</v>
      </c>
      <c r="D6386" s="3">
        <v>1.0</v>
      </c>
    </row>
    <row r="6387" ht="15.75" customHeight="1">
      <c r="A6387" s="1">
        <v>6817.0</v>
      </c>
      <c r="B6387" s="3" t="s">
        <v>6135</v>
      </c>
      <c r="C6387" s="3" t="str">
        <f>IFERROR(__xludf.DUMMYFUNCTION("GOOGLETRANSLATE(B6387,""id"",""en"")"),"['Boro', 'Open', 'Application', 'Network', 'Quotes', 'Open', 'MyTelkomsel', 'boro']")</f>
        <v>['Boro', 'Open', 'Application', 'Network', 'Quotes', 'Open', 'MyTelkomsel', 'boro']</v>
      </c>
      <c r="D6387" s="3">
        <v>1.0</v>
      </c>
    </row>
    <row r="6388" ht="15.75" customHeight="1">
      <c r="A6388" s="1">
        <v>6818.0</v>
      </c>
      <c r="B6388" s="3" t="s">
        <v>6136</v>
      </c>
      <c r="C6388" s="3" t="str">
        <f>IFERROR(__xludf.DUMMYFUNCTION("GOOGLETRANSLATE(B6388,""id"",""en"")"),"['Signal', 'cloudy', 'open', 'package', 'difficult', 'love', 'star', 'full']")</f>
        <v>['Signal', 'cloudy', 'open', 'package', 'difficult', 'love', 'star', 'full']</v>
      </c>
      <c r="D6388" s="3">
        <v>5.0</v>
      </c>
    </row>
    <row r="6389" ht="15.75" customHeight="1">
      <c r="A6389" s="1">
        <v>6819.0</v>
      </c>
      <c r="B6389" s="3" t="s">
        <v>6137</v>
      </c>
      <c r="C6389" s="3" t="str">
        <f>IFERROR(__xludf.DUMMYFUNCTION("GOOGLETRANSLATE(B6389,""id"",""en"")"),"['knp', 'pulse', 'left', 'buy', 'package', 'berkrng', 'check', 'take', 'bkrg', 'pulse', 'difficult', 'save', ' Credit ',' application ',' ']")</f>
        <v>['knp', 'pulse', 'left', 'buy', 'package', 'berkrng', 'check', 'take', 'bkrg', 'pulse', 'difficult', 'save', ' Credit ',' application ',' ']</v>
      </c>
      <c r="D6389" s="3">
        <v>1.0</v>
      </c>
    </row>
    <row r="6390" ht="15.75" customHeight="1">
      <c r="A6390" s="1">
        <v>6820.0</v>
      </c>
      <c r="B6390" s="3" t="s">
        <v>6138</v>
      </c>
      <c r="C6390" s="3" t="str">
        <f>IFERROR(__xludf.DUMMYFUNCTION("GOOGLETRANSLATE(B6390,""id"",""en"")"),"['week', 'week', 'network', 'ugly', 'tlg', 'noticed']")</f>
        <v>['week', 'week', 'network', 'ugly', 'tlg', 'noticed']</v>
      </c>
      <c r="D6390" s="3">
        <v>4.0</v>
      </c>
    </row>
    <row r="6391" ht="15.75" customHeight="1">
      <c r="A6391" s="1">
        <v>6821.0</v>
      </c>
      <c r="B6391" s="3" t="s">
        <v>6139</v>
      </c>
      <c r="C6391" s="3" t="str">
        <f>IFERROR(__xludf.DUMMYFUNCTION("GOOGLETRANSLATE(B6391,""id"",""en"")"),"['Good', 'really', 'network', 'ngg', 'broke', 'thanks', 'telkomsel', 'good', 'really']")</f>
        <v>['Good', 'really', 'network', 'ngg', 'broke', 'thanks', 'telkomsel', 'good', 'really']</v>
      </c>
      <c r="D6391" s="3">
        <v>5.0</v>
      </c>
    </row>
    <row r="6392" ht="15.75" customHeight="1">
      <c r="A6392" s="1">
        <v>6822.0</v>
      </c>
      <c r="B6392" s="3" t="s">
        <v>6140</v>
      </c>
      <c r="C6392" s="3" t="str">
        <f>IFERROR(__xludf.DUMMYFUNCTION("GOOGLETRANSLATE(B6392,""id"",""en"")"),"['Suitable', 'Safe']")</f>
        <v>['Suitable', 'Safe']</v>
      </c>
      <c r="D6392" s="3">
        <v>5.0</v>
      </c>
    </row>
    <row r="6393" ht="15.75" customHeight="1">
      <c r="A6393" s="1">
        <v>6823.0</v>
      </c>
      <c r="B6393" s="3" t="s">
        <v>6141</v>
      </c>
      <c r="C6393" s="3" t="str">
        <f>IFERROR(__xludf.DUMMYFUNCTION("GOOGLETRANSLATE(B6393,""id"",""en"")"),"['Application', 'Update', 'Direct', 'Ngeblank', '']")</f>
        <v>['Application', 'Update', 'Direct', 'Ngeblank', '']</v>
      </c>
      <c r="D6393" s="3">
        <v>1.0</v>
      </c>
    </row>
    <row r="6394" ht="15.75" customHeight="1">
      <c r="A6394" s="1">
        <v>6824.0</v>
      </c>
      <c r="B6394" s="3" t="s">
        <v>6142</v>
      </c>
      <c r="C6394" s="3" t="str">
        <f>IFERROR(__xludf.DUMMYFUNCTION("GOOGLETRANSLATE(B6394,""id"",""en"")"),"['Increase', 'bonus', 'quota']")</f>
        <v>['Increase', 'bonus', 'quota']</v>
      </c>
      <c r="D6394" s="3">
        <v>4.0</v>
      </c>
    </row>
    <row r="6395" ht="15.75" customHeight="1">
      <c r="A6395" s="1">
        <v>6825.0</v>
      </c>
      <c r="B6395" s="3" t="s">
        <v>6143</v>
      </c>
      <c r="C6395" s="3" t="str">
        <f>IFERROR(__xludf.DUMMYFUNCTION("GOOGLETRANSLATE(B6395,""id"",""en"")"),"['Telkomsel', 'Telkomsel', 'TH', 'Purchase', 'Combosakti', 'Cheap', '']")</f>
        <v>['Telkomsel', 'Telkomsel', 'TH', 'Purchase', 'Combosakti', 'Cheap', '']</v>
      </c>
      <c r="D6395" s="3">
        <v>1.0</v>
      </c>
    </row>
    <row r="6396" ht="15.75" customHeight="1">
      <c r="A6396" s="1">
        <v>6826.0</v>
      </c>
      <c r="B6396" s="3" t="s">
        <v>6144</v>
      </c>
      <c r="C6396" s="3" t="str">
        <f>IFERROR(__xludf.DUMMYFUNCTION("GOOGLETRANSLATE(B6396,""id"",""en"")"),"['screen', 'white', 'many', 'times', 'install', 'uninstall', '']")</f>
        <v>['screen', 'white', 'many', 'times', 'install', 'uninstall', '']</v>
      </c>
      <c r="D6396" s="3">
        <v>1.0</v>
      </c>
    </row>
    <row r="6397" ht="15.75" customHeight="1">
      <c r="A6397" s="1">
        <v>6827.0</v>
      </c>
      <c r="B6397" s="3" t="s">
        <v>6145</v>
      </c>
      <c r="C6397" s="3" t="str">
        <f>IFERROR(__xludf.DUMMYFUNCTION("GOOGLETRANSLATE(B6397,""id"",""en"")"),"['application', 'MyTelkomsel', 'NGK', 'Bukak', 'pressing']")</f>
        <v>['application', 'MyTelkomsel', 'NGK', 'Bukak', 'pressing']</v>
      </c>
      <c r="D6397" s="3">
        <v>1.0</v>
      </c>
    </row>
    <row r="6398" ht="15.75" customHeight="1">
      <c r="A6398" s="1">
        <v>6828.0</v>
      </c>
      <c r="B6398" s="3" t="s">
        <v>6146</v>
      </c>
      <c r="C6398" s="3" t="str">
        <f>IFERROR(__xludf.DUMMYFUNCTION("GOOGLETRANSLATE(B6398,""id"",""en"")"),"['Price', 'Down', '']")</f>
        <v>['Price', 'Down', '']</v>
      </c>
      <c r="D6398" s="3">
        <v>1.0</v>
      </c>
    </row>
    <row r="6399" ht="15.75" customHeight="1">
      <c r="A6399" s="1">
        <v>6829.0</v>
      </c>
      <c r="B6399" s="3" t="s">
        <v>6147</v>
      </c>
      <c r="C6399" s="3" t="str">
        <f>IFERROR(__xludf.DUMMYFUNCTION("GOOGLETRANSLATE(B6399,""id"",""en"")"),"['The application', 'Ngeblur', 'deh', 'pdhl', 'signal', 'already', 'okay', 'knpa', 'tetep', 'gabisa', 'miss',' please ',' ']")</f>
        <v>['The application', 'Ngeblur', 'deh', 'pdhl', 'signal', 'already', 'okay', 'knpa', 'tetep', 'gabisa', 'miss',' please ',' ']</v>
      </c>
      <c r="D6399" s="3">
        <v>1.0</v>
      </c>
    </row>
    <row r="6400" ht="15.75" customHeight="1">
      <c r="A6400" s="1">
        <v>6831.0</v>
      </c>
      <c r="B6400" s="3" t="s">
        <v>6148</v>
      </c>
      <c r="C6400" s="3" t="str">
        <f>IFERROR(__xludf.DUMMYFUNCTION("GOOGLETRANSLATE(B6400,""id"",""en"")"),"['', 'Can't', 'Open']")</f>
        <v>['', 'Can't', 'Open']</v>
      </c>
      <c r="D6400" s="3">
        <v>1.0</v>
      </c>
    </row>
    <row r="6401" ht="15.75" customHeight="1">
      <c r="A6401" s="1">
        <v>6832.0</v>
      </c>
      <c r="B6401" s="3" t="s">
        <v>6149</v>
      </c>
      <c r="C6401" s="3" t="str">
        <f>IFERROR(__xludf.DUMMYFUNCTION("GOOGLETRANSLATE(B6401,""id"",""en"")"),"['Sorry', 'Numpang', 'Telkomsel', 'Package', 'Extend', 'On', 'Card', 'On', 'Quota', ""]")</f>
        <v>['Sorry', 'Numpang', 'Telkomsel', 'Package', 'Extend', 'On', 'Card', 'On', 'Quota', "]</v>
      </c>
      <c r="D6401" s="3">
        <v>4.0</v>
      </c>
    </row>
    <row r="6402" ht="15.75" customHeight="1">
      <c r="A6402" s="1">
        <v>6833.0</v>
      </c>
      <c r="B6402" s="3" t="s">
        <v>6150</v>
      </c>
      <c r="C6402" s="3" t="str">
        <f>IFERROR(__xludf.DUMMYFUNCTION("GOOGLETRANSLATE(B6402,""id"",""en"")"),"['Profitable']")</f>
        <v>['Profitable']</v>
      </c>
      <c r="D6402" s="3">
        <v>5.0</v>
      </c>
    </row>
    <row r="6403" ht="15.75" customHeight="1">
      <c r="A6403" s="1">
        <v>6834.0</v>
      </c>
      <c r="B6403" s="3" t="s">
        <v>6151</v>
      </c>
      <c r="C6403" s="3" t="str">
        <f>IFERROR(__xludf.DUMMYFUNCTION("GOOGLETRANSLATE(B6403,""id"",""en"")"),"['quota', 'expensive', 'network', 'right', 'pasan']")</f>
        <v>['quota', 'expensive', 'network', 'right', 'pasan']</v>
      </c>
      <c r="D6403" s="3">
        <v>1.0</v>
      </c>
    </row>
    <row r="6404" ht="15.75" customHeight="1">
      <c r="A6404" s="1">
        <v>6835.0</v>
      </c>
      <c r="B6404" s="3" t="s">
        <v>6152</v>
      </c>
      <c r="C6404" s="3" t="str">
        <f>IFERROR(__xludf.DUMMYFUNCTION("GOOGLETRANSLATE(B6404,""id"",""en"")"),"['Good', 'really', 'helpful']")</f>
        <v>['Good', 'really', 'helpful']</v>
      </c>
      <c r="D6404" s="3">
        <v>4.0</v>
      </c>
    </row>
    <row r="6405" ht="15.75" customHeight="1">
      <c r="A6405" s="1">
        <v>6836.0</v>
      </c>
      <c r="B6405" s="3" t="s">
        <v>6153</v>
      </c>
      <c r="C6405" s="3" t="str">
        <f>IFERROR(__xludf.DUMMYFUNCTION("GOOGLETRANSLATE(B6405,""id"",""en"")"),"['Quality', 'signal', 'enhanced', 'thank you']")</f>
        <v>['Quality', 'signal', 'enhanced', 'thank you']</v>
      </c>
      <c r="D6405" s="3">
        <v>5.0</v>
      </c>
    </row>
    <row r="6406" ht="15.75" customHeight="1">
      <c r="A6406" s="1">
        <v>6837.0</v>
      </c>
      <c r="B6406" s="3" t="s">
        <v>6154</v>
      </c>
      <c r="C6406" s="3" t="str">
        <f>IFERROR(__xludf.DUMMYFUNCTION("GOOGLETRANSLATE(B6406,""id"",""en"")"),"['Increase', 'Quality']")</f>
        <v>['Increase', 'Quality']</v>
      </c>
      <c r="D6406" s="3">
        <v>1.0</v>
      </c>
    </row>
    <row r="6407" ht="15.75" customHeight="1">
      <c r="A6407" s="1">
        <v>6838.0</v>
      </c>
      <c r="B6407" s="3" t="s">
        <v>6155</v>
      </c>
      <c r="C6407" s="3" t="str">
        <f>IFERROR(__xludf.DUMMYFUNCTION("GOOGLETRANSLATE(B6407,""id"",""en"")"),"['Telkomsel', 'ugly', 'ugly', 'ugly', 'really', 'signal', 'home', 'really', 'road', 'highway', 'internet', ' network ',' already ',' kayak ',' signal ',' ilang ',' mulu ',' already ',' night ',' broke ',' signal ',' forgiveness', 'ugly', 'want' , 'Change'"&amp;", 'replace', 'operator', 'deh', 'contact', 'What's']")</f>
        <v>['Telkomsel', 'ugly', 'ugly', 'ugly', 'really', 'signal', 'home', 'really', 'road', 'highway', 'internet', ' network ',' already ',' kayak ',' signal ',' ilang ',' mulu ',' already ',' night ',' broke ',' signal ',' forgiveness', 'ugly', 'want' , 'Change', 'replace', 'operator', 'deh', 'contact', 'What's']</v>
      </c>
      <c r="D6407" s="3">
        <v>1.0</v>
      </c>
    </row>
    <row r="6408" ht="15.75" customHeight="1">
      <c r="A6408" s="1">
        <v>6839.0</v>
      </c>
      <c r="B6408" s="3" t="s">
        <v>6156</v>
      </c>
      <c r="C6408" s="3" t="str">
        <f>IFERROR(__xludf.DUMMYFUNCTION("GOOGLETRANSLATE(B6408,""id"",""en"")"),"['Already', 'Try', 'Success', 'Screen', 'White', '']")</f>
        <v>['Already', 'Try', 'Success', 'Screen', 'White', '']</v>
      </c>
      <c r="D6408" s="3">
        <v>1.0</v>
      </c>
    </row>
    <row r="6409" ht="15.75" customHeight="1">
      <c r="A6409" s="1">
        <v>6840.0</v>
      </c>
      <c r="B6409" s="3" t="s">
        <v>6157</v>
      </c>
      <c r="C6409" s="3" t="str">
        <f>IFERROR(__xludf.DUMMYFUNCTION("GOOGLETRANSLATE(B6409,""id"",""en"")"),"['Blm', 'opened']")</f>
        <v>['Blm', 'opened']</v>
      </c>
      <c r="D6409" s="3">
        <v>1.0</v>
      </c>
    </row>
    <row r="6410" ht="15.75" customHeight="1">
      <c r="A6410" s="1">
        <v>6841.0</v>
      </c>
      <c r="B6410" s="3" t="s">
        <v>6158</v>
      </c>
      <c r="C6410" s="3" t="str">
        <f>IFERROR(__xludf.DUMMYFUNCTION("GOOGLETRANSLATE(B6410,""id"",""en"")"),"['good', 'thank', 'love', 'cooperation', 'Telkomsel', 'easy', 'ber', 'communication', 'hope', 'useful']")</f>
        <v>['good', 'thank', 'love', 'cooperation', 'Telkomsel', 'easy', 'ber', 'communication', 'hope', 'useful']</v>
      </c>
      <c r="D6410" s="3">
        <v>5.0</v>
      </c>
    </row>
    <row r="6411" ht="15.75" customHeight="1">
      <c r="A6411" s="1">
        <v>6844.0</v>
      </c>
      <c r="B6411" s="3" t="s">
        <v>6159</v>
      </c>
      <c r="C6411" s="3" t="str">
        <f>IFERROR(__xludf.DUMMYFUNCTION("GOOGLETRANSLATE(B6411,""id"",""en"")"),"['Telkomsel', 'how', 'package', 'already', 'replace', 'Helo', 'good', 'crazy', 'cook', 'enter', 'home', 'network', ' Changed ',' house ',' palling ',' severe ',' manteng ',' crazy ',' cave ',' already ',' use ',' card ',' sympathy ',' helo ',' expensive '"&amp;" , 'Siknynya', 'bad', 'package', 'GB', 'kepakai', 'GB', 'the rest', 'scorched', 'detrimental', 'NOT', 'good', 'dilapidated', ' broken ',' change ',' his case ']")</f>
        <v>['Telkomsel', 'how', 'package', 'already', 'replace', 'Helo', 'good', 'crazy', 'cook', 'enter', 'home', 'network', ' Changed ',' house ',' palling ',' severe ',' manteng ',' crazy ',' cave ',' already ',' use ',' card ',' sympathy ',' helo ',' expensive ' , 'Siknynya', 'bad', 'package', 'GB', 'kepakai', 'GB', 'the rest', 'scorched', 'detrimental', 'NOT', 'good', 'dilapidated', ' broken ',' change ',' his case ']</v>
      </c>
      <c r="D6411" s="3">
        <v>1.0</v>
      </c>
    </row>
    <row r="6412" ht="15.75" customHeight="1">
      <c r="A6412" s="1">
        <v>6845.0</v>
      </c>
      <c r="B6412" s="3" t="s">
        <v>6160</v>
      </c>
      <c r="C6412" s="3" t="str">
        <f>IFERROR(__xludf.DUMMYFUNCTION("GOOGLETRANSLATE(B6412,""id"",""en"")"),"['', 'Bgets',' TPI ',' Tlng ',' Increases', 'Signal', 'Clock', 'Busy', 'PGI', 'noon', 'night', 'Rain', 'sagging ',' BGTS ',' aka ',' saggy ',' signal ',' sometimes', 'strip', 'bro', 'ok', 'greetings',' success', 'always',' bro ', 'Ok', 'Amin']")</f>
        <v>['', 'Bgets',' TPI ',' Tlng ',' Increases', 'Signal', 'Clock', 'Busy', 'PGI', 'noon', 'night', 'Rain', 'sagging ',' BGTS ',' aka ',' saggy ',' signal ',' sometimes', 'strip', 'bro', 'ok', 'greetings',' success', 'always',' bro ', 'Ok', 'Amin']</v>
      </c>
      <c r="D6412" s="3">
        <v>5.0</v>
      </c>
    </row>
    <row r="6413" ht="15.75" customHeight="1">
      <c r="A6413" s="1">
        <v>6847.0</v>
      </c>
      <c r="B6413" s="3" t="s">
        <v>6161</v>
      </c>
      <c r="C6413" s="3" t="str">
        <f>IFERROR(__xludf.DUMMYFUNCTION("GOOGLETRANSLATE(B6413,""id"",""en"")"),"['Thank you', 'information', 'help', 'process']")</f>
        <v>['Thank you', 'information', 'help', 'process']</v>
      </c>
      <c r="D6413" s="3">
        <v>5.0</v>
      </c>
    </row>
    <row r="6414" ht="15.75" customHeight="1">
      <c r="A6414" s="1">
        <v>6848.0</v>
      </c>
      <c r="B6414" s="3" t="s">
        <v>6162</v>
      </c>
      <c r="C6414" s="3" t="str">
        <f>IFERROR(__xludf.DUMMYFUNCTION("GOOGLETRANSLATE(B6414,""id"",""en"")"),"['BSA', 'open', 'pdhal', 'cave', 'expensive', 'dsar', 'apk', 'jls']")</f>
        <v>['BSA', 'open', 'pdhal', 'cave', 'expensive', 'dsar', 'apk', 'jls']</v>
      </c>
      <c r="D6414" s="3">
        <v>1.0</v>
      </c>
    </row>
    <row r="6415" ht="15.75" customHeight="1">
      <c r="A6415" s="1">
        <v>6849.0</v>
      </c>
      <c r="B6415" s="3" t="s">
        <v>6163</v>
      </c>
      <c r="C6415" s="3" t="str">
        <f>IFERROR(__xludf.DUMMYFUNCTION("GOOGLETRANSLATE(B6415,""id"",""en"")"),"['Taun', 'Wear', 'Telkomsel', 'Disappointed', 'Service', 'Constraints',' Consumers', 'Yes',' Forgotten ',' Provider ',' Private ',' Pantes', ' Fucked ',' rich ',' government ', ""]")</f>
        <v>['Taun', 'Wear', 'Telkomsel', 'Disappointed', 'Service', 'Constraints',' Consumers', 'Yes',' Forgotten ',' Provider ',' Private ',' Pantes', ' Fucked ',' rich ',' government ', "]</v>
      </c>
      <c r="D6415" s="3">
        <v>1.0</v>
      </c>
    </row>
    <row r="6416" ht="15.75" customHeight="1">
      <c r="A6416" s="1">
        <v>6850.0</v>
      </c>
      <c r="B6416" s="3" t="s">
        <v>6164</v>
      </c>
      <c r="C6416" s="3" t="str">
        <f>IFERROR(__xludf.DUMMYFUNCTION("GOOGLETRANSLATE(B6416,""id"",""en"")"),"['MLS', 'AJG', 'Network', 'Rich', 'Red', 'Cheap', 'Package', 'Expensive', 'Doang', 'Stable', 'Kaga']")</f>
        <v>['MLS', 'AJG', 'Network', 'Rich', 'Red', 'Cheap', 'Package', 'Expensive', 'Doang', 'Stable', 'Kaga']</v>
      </c>
      <c r="D6416" s="3">
        <v>1.0</v>
      </c>
    </row>
    <row r="6417" ht="15.75" customHeight="1">
      <c r="A6417" s="1">
        <v>6851.0</v>
      </c>
      <c r="B6417" s="3" t="s">
        <v>6165</v>
      </c>
      <c r="C6417" s="3" t="str">
        <f>IFERROR(__xludf.DUMMYFUNCTION("GOOGLETRANSLATE(B6417,""id"",""en"")"),"['APK', 'Sometimes', 'gabisa', 'opened', 'buy', 'package', 'quota', 'like', 'pending', 'gabeli']")</f>
        <v>['APK', 'Sometimes', 'gabisa', 'opened', 'buy', 'package', 'quota', 'like', 'pending', 'gabeli']</v>
      </c>
      <c r="D6417" s="3">
        <v>1.0</v>
      </c>
    </row>
    <row r="6418" ht="15.75" customHeight="1">
      <c r="A6418" s="1">
        <v>6852.0</v>
      </c>
      <c r="B6418" s="3" t="s">
        <v>6166</v>
      </c>
      <c r="C6418" s="3" t="str">
        <f>IFERROR(__xludf.DUMMYFUNCTION("GOOGLETRANSLATE(B6418,""id"",""en"")"),"['Telkomsel', 'Sending', 'Points', 'just', ""]")</f>
        <v>['Telkomsel', 'Sending', 'Points', 'just', "]</v>
      </c>
      <c r="D6418" s="3">
        <v>1.0</v>
      </c>
    </row>
    <row r="6419" ht="15.75" customHeight="1">
      <c r="A6419" s="1">
        <v>6853.0</v>
      </c>
      <c r="B6419" s="3" t="s">
        <v>6167</v>
      </c>
      <c r="C6419" s="3" t="str">
        <f>IFERROR(__xludf.DUMMYFUNCTION("GOOGLETRANSLATE(B6419,""id"",""en"")"),"['network', 'signal', 'internet', 'disappointing', 'Telkomsel', 'complaints',' doank ',' signal ',' until ',' quality ',' bad ',' expensive ',' Damn ']")</f>
        <v>['network', 'signal', 'internet', 'disappointing', 'Telkomsel', 'complaints',' doank ',' signal ',' until ',' quality ',' bad ',' expensive ',' Damn ']</v>
      </c>
      <c r="D6419" s="3">
        <v>1.0</v>
      </c>
    </row>
    <row r="6420" ht="15.75" customHeight="1">
      <c r="A6420" s="1">
        <v>6854.0</v>
      </c>
      <c r="B6420" s="3" t="s">
        <v>6168</v>
      </c>
      <c r="C6420" s="3" t="str">
        <f>IFERROR(__xludf.DUMMYFUNCTION("GOOGLETRANSLATE(B6420,""id"",""en"")"),"['prime', 'cheap', 'package', 'data', 'expensive', '']")</f>
        <v>['prime', 'cheap', 'package', 'data', 'expensive', '']</v>
      </c>
      <c r="D6420" s="3">
        <v>1.0</v>
      </c>
    </row>
    <row r="6421" ht="15.75" customHeight="1">
      <c r="A6421" s="1">
        <v>6855.0</v>
      </c>
      <c r="B6421" s="3" t="s">
        <v>6169</v>
      </c>
      <c r="C6421" s="3" t="str">
        <f>IFERROR(__xludf.DUMMYFUNCTION("GOOGLETRANSLATE(B6421,""id"",""en"")"),"['mksih', 'service', 'useful', 'bget', 'cheap']")</f>
        <v>['mksih', 'service', 'useful', 'bget', 'cheap']</v>
      </c>
      <c r="D6421" s="3">
        <v>4.0</v>
      </c>
    </row>
    <row r="6422" ht="15.75" customHeight="1">
      <c r="A6422" s="1">
        <v>6856.0</v>
      </c>
      <c r="B6422" s="3" t="s">
        <v>6170</v>
      </c>
      <c r="C6422" s="3" t="str">
        <f>IFERROR(__xludf.DUMMYFUNCTION("GOOGLETRANSLATE(B6422,""id"",""en"")"),"['right', 'contents',' credit ',' buy ',' combo ',' sakti ',' pecasa ',' right ',' buy ',' package ',' right ',' check ',' Credit ',' Lost ',' How ',' Please ',' Restore ',' Credit ']")</f>
        <v>['right', 'contents',' credit ',' buy ',' combo ',' sakti ',' pecasa ',' right ',' buy ',' package ',' right ',' check ',' Credit ',' Lost ',' How ',' Please ',' Restore ',' Credit ']</v>
      </c>
      <c r="D6422" s="3">
        <v>1.0</v>
      </c>
    </row>
    <row r="6423" ht="15.75" customHeight="1">
      <c r="A6423" s="1">
        <v>6857.0</v>
      </c>
      <c r="B6423" s="3" t="s">
        <v>6171</v>
      </c>
      <c r="C6423" s="3" t="str">
        <f>IFERROR(__xludf.DUMMYFUNCTION("GOOGLETRANSLATE(B6423,""id"",""en"")"),"['Login', 'blank', 'white', 'then', 'damn', 'told', 'report', 'comment', 'try', 'run out', 'think', ' Diem ',' Bae ',' ']")</f>
        <v>['Login', 'blank', 'white', 'then', 'damn', 'told', 'report', 'comment', 'try', 'run out', 'think', ' Diem ',' Bae ',' ']</v>
      </c>
      <c r="D6423" s="3">
        <v>1.0</v>
      </c>
    </row>
    <row r="6424" ht="15.75" customHeight="1">
      <c r="A6424" s="1">
        <v>6858.0</v>
      </c>
      <c r="B6424" s="3" t="s">
        <v>6172</v>
      </c>
      <c r="C6424" s="3" t="str">
        <f>IFERROR(__xludf.DUMMYFUNCTION("GOOGLETRANSLATE(B6424,""id"",""en"")"),"['blank', 'white', 'doang', ""]")</f>
        <v>['blank', 'white', 'doang', "]</v>
      </c>
      <c r="D6424" s="3">
        <v>1.0</v>
      </c>
    </row>
    <row r="6425" ht="15.75" customHeight="1">
      <c r="A6425" s="1">
        <v>6859.0</v>
      </c>
      <c r="B6425" s="3" t="s">
        <v>6173</v>
      </c>
      <c r="C6425" s="3" t="str">
        <f>IFERROR(__xludf.DUMMYFUNCTION("GOOGLETRANSLATE(B6425,""id"",""en"")"),"['Disappointed', 'Ama', 'Telkomsel', 'network', 'okey', 'mantep', 'pulse', 'take', 'mulu', 'buy', 'pulse', 'rb', ' Diemin ',' use ',' data ',' card ',' Disconnect ',' dlu ',' ehk ',' pulse ',' take ',' rb ',' what ',' please ',' take ' , 'Credit', 'Didiem"&amp;"in', 'Dipelunjak', 'already', 'Cape', 'buy', 'pulse', 'ehk', 'right', 'check', 'ngak']")</f>
        <v>['Disappointed', 'Ama', 'Telkomsel', 'network', 'okey', 'mantep', 'pulse', 'take', 'mulu', 'buy', 'pulse', 'rb', ' Diemin ',' use ',' data ',' card ',' Disconnect ',' dlu ',' ehk ',' pulse ',' take ',' rb ',' what ',' please ',' take ' , 'Credit', 'Didiemin', 'Dipelunjak', 'already', 'Cape', 'buy', 'pulse', 'ehk', 'right', 'check', 'ngak']</v>
      </c>
      <c r="D6425" s="3">
        <v>2.0</v>
      </c>
    </row>
    <row r="6426" ht="15.75" customHeight="1">
      <c r="A6426" s="1">
        <v>6860.0</v>
      </c>
      <c r="B6426" s="3" t="s">
        <v>6174</v>
      </c>
      <c r="C6426" s="3" t="str">
        <f>IFERROR(__xludf.DUMMYFUNCTION("GOOGLETRANSLATE(B6426,""id"",""en"")"),"['The application', 'Good', 'Helpful', '']")</f>
        <v>['The application', 'Good', 'Helpful', '']</v>
      </c>
      <c r="D6426" s="3">
        <v>5.0</v>
      </c>
    </row>
    <row r="6427" ht="15.75" customHeight="1">
      <c r="A6427" s="1">
        <v>6861.0</v>
      </c>
      <c r="B6427" s="3" t="s">
        <v>6175</v>
      </c>
      <c r="C6427" s="3" t="str">
        <f>IFERROR(__xludf.DUMMYFUNCTION("GOOGLETRANSLATE(B6427,""id"",""en"")"),"['Sorry', 'KPD', 'Telkomsel', 'Bintang', 'loyal', 'Nealin', 'Disainin', 'Rich', 'Gini', 'Tower', 'Telecommunications',' Matiin ',' hours', 'afternoon', 'afternoon', 'afternoon', 'improvement', 'tower', 'already', 'clock', 'that way', 'dead', 'signal', 'wh"&amp;"ere', 'people' , 'location', 'kab', 'bandung', 'kec', 'pacet', 'des', 'girimulya', 'please', 'response', 'complaint', 'ttangga']")</f>
        <v>['Sorry', 'KPD', 'Telkomsel', 'Bintang', 'loyal', 'Nealin', 'Disainin', 'Rich', 'Gini', 'Tower', 'Telecommunications',' Matiin ',' hours', 'afternoon', 'afternoon', 'afternoon', 'improvement', 'tower', 'already', 'clock', 'that way', 'dead', 'signal', 'where', 'people' , 'location', 'kab', 'bandung', 'kec', 'pacet', 'des', 'girimulya', 'please', 'response', 'complaint', 'ttangga']</v>
      </c>
      <c r="D6427" s="3">
        <v>1.0</v>
      </c>
    </row>
    <row r="6428" ht="15.75" customHeight="1">
      <c r="A6428" s="1">
        <v>6862.0</v>
      </c>
      <c r="B6428" s="3" t="s">
        <v>6176</v>
      </c>
      <c r="C6428" s="3" t="str">
        <f>IFERROR(__xludf.DUMMYFUNCTION("GOOGLETRANSLATE(B6428,""id"",""en"")"),"['apk', 'Telkomsel', 'difficult', 'opened', 'appears', 'color', 'white', 'gmna']")</f>
        <v>['apk', 'Telkomsel', 'difficult', 'opened', 'appears', 'color', 'white', 'gmna']</v>
      </c>
      <c r="D6428" s="3">
        <v>2.0</v>
      </c>
    </row>
    <row r="6429" ht="15.75" customHeight="1">
      <c r="A6429" s="1">
        <v>6863.0</v>
      </c>
      <c r="B6429" s="3" t="s">
        <v>6177</v>
      </c>
      <c r="C6429" s="3" t="str">
        <f>IFERROR(__xludf.DUMMYFUNCTION("GOOGLETRANSLATE(B6429,""id"",""en"")"),"['APK', 'interesting']")</f>
        <v>['APK', 'interesting']</v>
      </c>
      <c r="D6429" s="3">
        <v>2.0</v>
      </c>
    </row>
    <row r="6430" ht="15.75" customHeight="1">
      <c r="A6430" s="1">
        <v>6864.0</v>
      </c>
      <c r="B6430" s="3" t="s">
        <v>6178</v>
      </c>
      <c r="C6430" s="3" t="str">
        <f>IFERROR(__xludf.DUMMYFUNCTION("GOOGLETRANSLATE(B6430,""id"",""en"")"),"['Nambah', 'Point', 'how', 'already', 'TOP', 'pulse']")</f>
        <v>['Nambah', 'Point', 'how', 'already', 'TOP', 'pulse']</v>
      </c>
      <c r="D6430" s="3">
        <v>1.0</v>
      </c>
    </row>
    <row r="6431" ht="15.75" customHeight="1">
      <c r="A6431" s="1">
        <v>6865.0</v>
      </c>
      <c r="B6431" s="3" t="s">
        <v>6179</v>
      </c>
      <c r="C6431" s="3" t="str">
        <f>IFERROR(__xludf.DUMMYFUNCTION("GOOGLETRANSLATE(B6431,""id"",""en"")"),"['Try', 'bnr', 'can', 'gift', 'nuker', 'point', 'already', 'lgsg', 'ksh', 'star', ""]")</f>
        <v>['Try', 'bnr', 'can', 'gift', 'nuker', 'point', 'already', 'lgsg', 'ksh', 'star', "]</v>
      </c>
      <c r="D6431" s="3">
        <v>5.0</v>
      </c>
    </row>
    <row r="6432" ht="15.75" customHeight="1">
      <c r="A6432" s="1">
        <v>6866.0</v>
      </c>
      <c r="B6432" s="3" t="s">
        <v>6180</v>
      </c>
      <c r="C6432" s="3" t="str">
        <f>IFERROR(__xludf.DUMMYFUNCTION("GOOGLETRANSLATE(B6432,""id"",""en"")"),"['buy', 'package', 'use', 'pulse', 'charge', 'open', 'application', 'equivalent', 'rupiah', '']")</f>
        <v>['buy', 'package', 'use', 'pulse', 'charge', 'open', 'application', 'equivalent', 'rupiah', '']</v>
      </c>
      <c r="D6432" s="3">
        <v>1.0</v>
      </c>
    </row>
    <row r="6433" ht="15.75" customHeight="1">
      <c r="A6433" s="1">
        <v>6867.0</v>
      </c>
      <c r="B6433" s="3" t="s">
        <v>6181</v>
      </c>
      <c r="C6433" s="3" t="str">
        <f>IFERROR(__xludf.DUMMYFUNCTION("GOOGLETRANSLATE(B6433,""id"",""en"")"),"['', 'BSA', 'enter']")</f>
        <v>['', 'BSA', 'enter']</v>
      </c>
      <c r="D6433" s="3">
        <v>1.0</v>
      </c>
    </row>
    <row r="6434" ht="15.75" customHeight="1">
      <c r="A6434" s="1">
        <v>6868.0</v>
      </c>
      <c r="B6434" s="3" t="s">
        <v>6182</v>
      </c>
      <c r="C6434" s="3" t="str">
        <f>IFERROR(__xludf.DUMMYFUNCTION("GOOGLETRANSLATE(B6434,""id"",""en"")"),"['Hopefully', 'Good']")</f>
        <v>['Hopefully', 'Good']</v>
      </c>
      <c r="D6434" s="3">
        <v>5.0</v>
      </c>
    </row>
    <row r="6435" ht="15.75" customHeight="1">
      <c r="A6435" s="1">
        <v>6869.0</v>
      </c>
      <c r="B6435" s="3" t="s">
        <v>6183</v>
      </c>
      <c r="C6435" s="3" t="str">
        <f>IFERROR(__xludf.DUMMYFUNCTION("GOOGLETRANSLATE(B6435,""id"",""en"")"),"['Like', 'application', 'ngak', 'open', 'application', 'already', 'delete', 'download', 'reset', 'TPI', 'ngak', 'huka', ' Please, 'Donk', 'Info', 'Cause', '']")</f>
        <v>['Like', 'application', 'ngak', 'open', 'application', 'already', 'delete', 'download', 'reset', 'TPI', 'ngak', 'huka', ' Please, 'Donk', 'Info', 'Cause', '']</v>
      </c>
      <c r="D6435" s="3">
        <v>4.0</v>
      </c>
    </row>
    <row r="6436" ht="15.75" customHeight="1">
      <c r="A6436" s="1">
        <v>6870.0</v>
      </c>
      <c r="B6436" s="3" t="s">
        <v>6184</v>
      </c>
      <c r="C6436" s="3" t="str">
        <f>IFERROR(__xludf.DUMMYFUNCTION("GOOGLETRANSLATE(B6436,""id"",""en"")"),"['Response', 'Application', 'Open', 'Kendaan']")</f>
        <v>['Response', 'Application', 'Open', 'Kendaan']</v>
      </c>
      <c r="D6436" s="3">
        <v>5.0</v>
      </c>
    </row>
    <row r="6437" ht="15.75" customHeight="1">
      <c r="A6437" s="1">
        <v>6871.0</v>
      </c>
      <c r="B6437" s="3" t="s">
        <v>6185</v>
      </c>
      <c r="C6437" s="3" t="str">
        <f>IFERROR(__xludf.DUMMYFUNCTION("GOOGLETRANSLATE(B6437,""id"",""en"")"),"['Telkomsel', 'steady', 'network', 'guoblok', 'distance', 'meter', 'ama', 'tower', 'ples', 'block', 'network', 'jembotttt']")</f>
        <v>['Telkomsel', 'steady', 'network', 'guoblok', 'distance', 'meter', 'ama', 'tower', 'ples', 'block', 'network', 'jembotttt']</v>
      </c>
      <c r="D6437" s="3">
        <v>5.0</v>
      </c>
    </row>
    <row r="6438" ht="15.75" customHeight="1">
      <c r="A6438" s="1">
        <v>6872.0</v>
      </c>
      <c r="B6438" s="3" t="s">
        <v>6186</v>
      </c>
      <c r="C6438" s="3" t="str">
        <f>IFERROR(__xludf.DUMMYFUNCTION("GOOGLETRANSLATE(B6438,""id"",""en"")"),"['update', 'version', 'newest', 'enter', 'APK', '']")</f>
        <v>['update', 'version', 'newest', 'enter', 'APK', '']</v>
      </c>
      <c r="D6438" s="3">
        <v>1.0</v>
      </c>
    </row>
    <row r="6439" ht="15.75" customHeight="1">
      <c r="A6439" s="1">
        <v>6873.0</v>
      </c>
      <c r="B6439" s="3" t="s">
        <v>6187</v>
      </c>
      <c r="C6439" s="3" t="str">
        <f>IFERROR(__xludf.DUMMYFUNCTION("GOOGLETRANSLATE(B6439,""id"",""en"")"),"['Application', 'Good', 'It's easy', 'info', 'reward', 'Telkomsel', 'Increases', 'Quality', 'Hadianya']")</f>
        <v>['Application', 'Good', 'It's easy', 'info', 'reward', 'Telkomsel', 'Increases', 'Quality', 'Hadianya']</v>
      </c>
      <c r="D6439" s="3">
        <v>5.0</v>
      </c>
    </row>
    <row r="6440" ht="15.75" customHeight="1">
      <c r="A6440" s="1">
        <v>6874.0</v>
      </c>
      <c r="B6440" s="3" t="s">
        <v>6188</v>
      </c>
      <c r="C6440" s="3" t="str">
        <f>IFERROR(__xludf.DUMMYFUNCTION("GOOGLETRANSLATE(B6440,""id"",""en"")"),"['Disappointed', 'ama', 'Telkomsel', 'please', 'fix', 'already', 'alternating', 'install', 'ngeblank', 'disappointed', ""]")</f>
        <v>['Disappointed', 'ama', 'Telkomsel', 'please', 'fix', 'already', 'alternating', 'install', 'ngeblank', 'disappointed', "]</v>
      </c>
      <c r="D6440" s="3">
        <v>1.0</v>
      </c>
    </row>
    <row r="6441" ht="15.75" customHeight="1">
      <c r="A6441" s="1">
        <v>6875.0</v>
      </c>
      <c r="B6441" s="3" t="s">
        <v>6189</v>
      </c>
      <c r="C6441" s="3" t="str">
        <f>IFERROR(__xludf.DUMMYFUNCTION("GOOGLETRANSLATE(B6441,""id"",""en"")"),"['signal', 'Tydack', 'friendly', 'emot', 'stone', '']")</f>
        <v>['signal', 'Tydack', 'friendly', 'emot', 'stone', '']</v>
      </c>
      <c r="D6441" s="3">
        <v>1.0</v>
      </c>
    </row>
    <row r="6442" ht="15.75" customHeight="1">
      <c r="A6442" s="1">
        <v>6876.0</v>
      </c>
      <c r="B6442" s="3" t="s">
        <v>6190</v>
      </c>
      <c r="C6442" s="3" t="str">
        <f>IFERROR(__xludf.DUMMYFUNCTION("GOOGLETRANSLATE(B6442,""id"",""en"")"),"['Help', 'Sya', 'like']")</f>
        <v>['Help', 'Sya', 'like']</v>
      </c>
      <c r="D6442" s="3">
        <v>5.0</v>
      </c>
    </row>
    <row r="6443" ht="15.75" customHeight="1">
      <c r="A6443" s="1">
        <v>6877.0</v>
      </c>
      <c r="B6443" s="3" t="s">
        <v>6191</v>
      </c>
      <c r="C6443" s="3" t="str">
        <f>IFERROR(__xludf.DUMMYFUNCTION("GOOGLETRANSLATE(B6443,""id"",""en"")"),"['Steady', 'Kasih', 'Package', 'Maurah']")</f>
        <v>['Steady', 'Kasih', 'Package', 'Maurah']</v>
      </c>
      <c r="D6443" s="3">
        <v>5.0</v>
      </c>
    </row>
    <row r="6444" ht="15.75" customHeight="1">
      <c r="A6444" s="1">
        <v>6878.0</v>
      </c>
      <c r="B6444" s="3" t="s">
        <v>6192</v>
      </c>
      <c r="C6444" s="3" t="str">
        <f>IFERROR(__xludf.DUMMYFUNCTION("GOOGLETRANSLATE(B6444,""id"",""en"")"),"['Slow', 'really', 'Network', 'Luwh', 'Ngasu', 'Gifts',' Clock ',' Network ',' mentok ',' already ',' slow ',' mentok ',' KB ',' ']")</f>
        <v>['Slow', 'really', 'Network', 'Luwh', 'Ngasu', 'Gifts',' Clock ',' Network ',' mentok ',' already ',' slow ',' mentok ',' KB ',' ']</v>
      </c>
      <c r="D6444" s="3">
        <v>1.0</v>
      </c>
    </row>
    <row r="6445" ht="15.75" customHeight="1">
      <c r="A6445" s="1">
        <v>6879.0</v>
      </c>
      <c r="B6445" s="3" t="s">
        <v>6193</v>
      </c>
      <c r="C6445" s="3" t="str">
        <f>IFERROR(__xludf.DUMMYFUNCTION("GOOGLETRANSLATE(B6445,""id"",""en"")"),"['Sangt', 'Margntu']")</f>
        <v>['Sangt', 'Margntu']</v>
      </c>
      <c r="D6445" s="3">
        <v>4.0</v>
      </c>
    </row>
    <row r="6446" ht="15.75" customHeight="1">
      <c r="A6446" s="1">
        <v>6880.0</v>
      </c>
      <c r="B6446" s="3" t="s">
        <v>6194</v>
      </c>
      <c r="C6446" s="3" t="str">
        <f>IFERROR(__xludf.DUMMYFUNCTION("GOOGLETRANSLATE(B6446,""id"",""en"")"),"['Already', 'alternating', 'Install', 'Uninstall', 'Error', 'Min', 'screen', 'White', 'Ngebreeze', 'Logout', ""]")</f>
        <v>['Already', 'alternating', 'Install', 'Uninstall', 'Error', 'Min', 'screen', 'White', 'Ngebreeze', 'Logout', "]</v>
      </c>
      <c r="D6446" s="3">
        <v>3.0</v>
      </c>
    </row>
    <row r="6447" ht="15.75" customHeight="1">
      <c r="A6447" s="1">
        <v>6881.0</v>
      </c>
      <c r="B6447" s="3" t="s">
        <v>6195</v>
      </c>
      <c r="C6447" s="3" t="str">
        <f>IFERROR(__xludf.DUMMYFUNCTION("GOOGLETRANSLATE(B6447,""id"",""en"")"),"['Please', 'Delete', 'Content', 'Content', 'Disright', 'Costumer', 'Ringtone', 'Paid', 'Etc.']")</f>
        <v>['Please', 'Delete', 'Content', 'Content', 'Disright', 'Costumer', 'Ringtone', 'Paid', 'Etc.']</v>
      </c>
      <c r="D6447" s="3">
        <v>1.0</v>
      </c>
    </row>
    <row r="6448" ht="15.75" customHeight="1">
      <c r="A6448" s="1">
        <v>6882.0</v>
      </c>
      <c r="B6448" s="3" t="s">
        <v>6196</v>
      </c>
      <c r="C6448" s="3" t="str">
        <f>IFERROR(__xludf.DUMMYFUNCTION("GOOGLETRANSLATE(B6448,""id"",""en"")"),"['Nicee', 'International']")</f>
        <v>['Nicee', 'International']</v>
      </c>
      <c r="D6448" s="3">
        <v>5.0</v>
      </c>
    </row>
    <row r="6449" ht="15.75" customHeight="1">
      <c r="A6449" s="1">
        <v>6883.0</v>
      </c>
      <c r="B6449" s="3" t="s">
        <v>567</v>
      </c>
      <c r="C6449" s="3" t="str">
        <f>IFERROR(__xludf.DUMMYFUNCTION("GOOGLETRANSLATE(B6449,""id"",""en"")"),"['application']")</f>
        <v>['application']</v>
      </c>
      <c r="D6449" s="3">
        <v>5.0</v>
      </c>
    </row>
    <row r="6450" ht="15.75" customHeight="1">
      <c r="A6450" s="1">
        <v>6884.0</v>
      </c>
      <c r="B6450" s="3" t="s">
        <v>6197</v>
      </c>
      <c r="C6450" s="3" t="str">
        <f>IFERROR(__xludf.DUMMYFUNCTION("GOOGLETRANSLATE(B6450,""id"",""en"")"),"['', 'Buy', 'Package', 'Application', 'Mulu', 'Description', 'Process',' Taunya ',' Until ',' Credit ',' Wrapped ',' Sucked ',' Internet ',' Regular ',' nyeseg ',' aing ']")</f>
        <v>['', 'Buy', 'Package', 'Application', 'Mulu', 'Description', 'Process',' Taunya ',' Until ',' Credit ',' Wrapped ',' Sucked ',' Internet ',' Regular ',' nyeseg ',' aing ']</v>
      </c>
      <c r="D6450" s="3">
        <v>1.0</v>
      </c>
    </row>
    <row r="6451" ht="15.75" customHeight="1">
      <c r="A6451" s="1">
        <v>6885.0</v>
      </c>
      <c r="B6451" s="3" t="s">
        <v>6198</v>
      </c>
      <c r="C6451" s="3" t="str">
        <f>IFERROR(__xludf.DUMMYFUNCTION("GOOGLETRANSLATE(B6451,""id"",""en"")"),"['uda', 'expensive', 'superior', 'here', 'satisfying', 'downhill']")</f>
        <v>['uda', 'expensive', 'superior', 'here', 'satisfying', 'downhill']</v>
      </c>
      <c r="D6451" s="3">
        <v>1.0</v>
      </c>
    </row>
    <row r="6452" ht="15.75" customHeight="1">
      <c r="A6452" s="1">
        <v>6886.0</v>
      </c>
      <c r="B6452" s="3" t="s">
        <v>6199</v>
      </c>
      <c r="C6452" s="3" t="str">
        <f>IFERROR(__xludf.DUMMYFUNCTION("GOOGLETRANSLATE(B6452,""id"",""en"")"),"['Date', 'des',' internet ',' Telkomsel ',' disappointing ',' good ',' safe ',' safe ',' ugly ',' gini ',' internet ',' try ',' You ',' Tube ',' reso ',' jammed ',' jammed ',' fps', 'smooth', 'Jaya', 'even', 'use', 'data', 'tetep', 'smooth' , 'GB', 'alrea"&amp;"dy', 'jammed', 'lag', 'pakek', 'play', 'games',' watch ',' You ',' Tube ',' reso ',' Please ',' repair', '']")</f>
        <v>['Date', 'des',' internet ',' Telkomsel ',' disappointing ',' good ',' safe ',' safe ',' ugly ',' gini ',' internet ',' try ',' You ',' Tube ',' reso ',' jammed ',' jammed ',' fps', 'smooth', 'Jaya', 'even', 'use', 'data', 'tetep', 'smooth' , 'GB', 'already', 'jammed', 'lag', 'pakek', 'play', 'games',' watch ',' You ',' Tube ',' reso ',' Please ',' repair', '']</v>
      </c>
      <c r="D6452" s="3">
        <v>1.0</v>
      </c>
    </row>
    <row r="6453" ht="15.75" customHeight="1">
      <c r="A6453" s="1">
        <v>6887.0</v>
      </c>
      <c r="B6453" s="3" t="s">
        <v>6200</v>
      </c>
      <c r="C6453" s="3" t="str">
        <f>IFERROR(__xludf.DUMMYFUNCTION("GOOGLETRANSLATE(B6453,""id"",""en"")"),"['Use', 'The application', 'blank', '']")</f>
        <v>['Use', 'The application', 'blank', '']</v>
      </c>
      <c r="D6453" s="3">
        <v>1.0</v>
      </c>
    </row>
    <row r="6454" ht="15.75" customHeight="1">
      <c r="A6454" s="1">
        <v>6888.0</v>
      </c>
      <c r="B6454" s="3" t="s">
        <v>6201</v>
      </c>
      <c r="C6454" s="3" t="str">
        <f>IFERROR(__xludf.DUMMYFUNCTION("GOOGLETRANSLATE(B6454,""id"",""en"")"),"['Dear', 'Telkomsel', 'yak', 'watch', 'Tiktok', 'YouTube', 'Facebook', 'is',' video ',' ama ',' photo ',' smooth ',' Main ',' Game ',' Online ',' Lag ',' Telkomsel ']")</f>
        <v>['Dear', 'Telkomsel', 'yak', 'watch', 'Tiktok', 'YouTube', 'Facebook', 'is',' video ',' ama ',' photo ',' smooth ',' Main ',' Game ',' Online ',' Lag ',' Telkomsel ']</v>
      </c>
      <c r="D6454" s="3">
        <v>1.0</v>
      </c>
    </row>
    <row r="6455" ht="15.75" customHeight="1">
      <c r="A6455" s="1">
        <v>6889.0</v>
      </c>
      <c r="B6455" s="3" t="s">
        <v>6202</v>
      </c>
      <c r="C6455" s="3" t="str">
        <f>IFERROR(__xludf.DUMMYFUNCTION("GOOGLETRANSLATE(B6455,""id"",""en"")"),"['contents', 'package', '']")</f>
        <v>['contents', 'package', '']</v>
      </c>
      <c r="D6455" s="3">
        <v>3.0</v>
      </c>
    </row>
    <row r="6456" ht="15.75" customHeight="1">
      <c r="A6456" s="1">
        <v>6890.0</v>
      </c>
      <c r="B6456" s="3" t="s">
        <v>6203</v>
      </c>
      <c r="C6456" s="3" t="str">
        <f>IFERROR(__xludf.DUMMYFUNCTION("GOOGLETRANSLATE(B6456,""id"",""en"")"),"['Contents',' pulse ',' RB ',' APK ',' Fund ',' Date ',' des', 'PKL', 'PKL', 'TPI', 'RB', 'enter', ' Terbitai ', ""]")</f>
        <v>['Contents',' pulse ',' RB ',' APK ',' Fund ',' Date ',' des', 'PKL', 'PKL', 'TPI', 'RB', 'enter', ' Terbitai ', "]</v>
      </c>
      <c r="D6456" s="3">
        <v>4.0</v>
      </c>
    </row>
    <row r="6457" ht="15.75" customHeight="1">
      <c r="A6457" s="1">
        <v>6891.0</v>
      </c>
      <c r="B6457" s="3" t="s">
        <v>6204</v>
      </c>
      <c r="C6457" s="3" t="str">
        <f>IFERROR(__xludf.DUMMYFUNCTION("GOOGLETRANSLATE(B6457,""id"",""en"")"),"['application', 'brc.uality', 'comparable', 'dngan', 'name', 'telkomsel']")</f>
        <v>['application', 'brc.uality', 'comparable', 'dngan', 'name', 'telkomsel']</v>
      </c>
      <c r="D6457" s="3">
        <v>1.0</v>
      </c>
    </row>
    <row r="6458" ht="15.75" customHeight="1">
      <c r="A6458" s="1">
        <v>6892.0</v>
      </c>
      <c r="B6458" s="3" t="s">
        <v>6205</v>
      </c>
      <c r="C6458" s="3" t="str">
        <f>IFERROR(__xludf.DUMMYFUNCTION("GOOGLETRANSLATE(B6458,""id"",""en"")"),"['Telkomsel', 'White', 'Litu', 'screen', 'please', 'repaired']")</f>
        <v>['Telkomsel', 'White', 'Litu', 'screen', 'please', 'repaired']</v>
      </c>
      <c r="D6458" s="3">
        <v>1.0</v>
      </c>
    </row>
    <row r="6459" ht="15.75" customHeight="1">
      <c r="A6459" s="1">
        <v>6893.0</v>
      </c>
      <c r="B6459" s="3" t="s">
        <v>6206</v>
      </c>
      <c r="C6459" s="3" t="str">
        <f>IFERROR(__xludf.DUMMYFUNCTION("GOOGLETRANSLATE(B6459,""id"",""en"")"),"['Paketan', 'number', 'Sya', 'expensive', 'really', 'combo', 'Sakti', 'Different', ""]")</f>
        <v>['Paketan', 'number', 'Sya', 'expensive', 'really', 'combo', 'Sakti', 'Different', "]</v>
      </c>
      <c r="D6459" s="3">
        <v>1.0</v>
      </c>
    </row>
    <row r="6460" ht="15.75" customHeight="1">
      <c r="A6460" s="1">
        <v>6894.0</v>
      </c>
      <c r="B6460" s="3" t="s">
        <v>6207</v>
      </c>
      <c r="C6460" s="3" t="str">
        <f>IFERROR(__xludf.DUMMYFUNCTION("GOOGLETRANSLATE(B6460,""id"",""en"")"),"['Opened', 'blank', 'white']")</f>
        <v>['Opened', 'blank', 'white']</v>
      </c>
      <c r="D6460" s="3">
        <v>1.0</v>
      </c>
    </row>
    <row r="6461" ht="15.75" customHeight="1">
      <c r="A6461" s="1">
        <v>6895.0</v>
      </c>
      <c r="B6461" s="3" t="s">
        <v>6208</v>
      </c>
      <c r="C6461" s="3" t="str">
        <f>IFERROR(__xludf.DUMMYFUNCTION("GOOGLETRANSLATE(B6461,""id"",""en"")"),"['Buy', 'Package', 'Application', 'Telkomsel', 'White', 'Screen', 'Sudab', 'Uninstall', 'APK', 'Reset', 'Data', 'Tetep', ' Open ',' APK ',' please ']")</f>
        <v>['Buy', 'Package', 'Application', 'Telkomsel', 'White', 'Screen', 'Sudab', 'Uninstall', 'APK', 'Reset', 'Data', 'Tetep', ' Open ',' APK ',' please ']</v>
      </c>
      <c r="D6461" s="3">
        <v>1.0</v>
      </c>
    </row>
    <row r="6462" ht="15.75" customHeight="1">
      <c r="A6462" s="1">
        <v>6896.0</v>
      </c>
      <c r="B6462" s="3" t="s">
        <v>6209</v>
      </c>
      <c r="C6462" s="3" t="str">
        <f>IFERROR(__xludf.DUMMYFUNCTION("GOOGLETRANSLATE(B6462,""id"",""en"")"),"['promise']")</f>
        <v>['promise']</v>
      </c>
      <c r="D6462" s="3">
        <v>1.0</v>
      </c>
    </row>
    <row r="6463" ht="15.75" customHeight="1">
      <c r="A6463" s="1">
        <v>6897.0</v>
      </c>
      <c r="B6463" s="3" t="s">
        <v>6210</v>
      </c>
      <c r="C6463" s="3" t="str">
        <f>IFERROR(__xludf.DUMMYFUNCTION("GOOGLETRANSLATE(B6463,""id"",""en"")"),"['Application', 'Telkomsel', 'opened', 'UDH', 'Install', 'Uninstall', 'Time', 'Tetep', 'Error', 'Application', ""]")</f>
        <v>['Application', 'Telkomsel', 'opened', 'UDH', 'Install', 'Uninstall', 'Time', 'Tetep', 'Error', 'Application', "]</v>
      </c>
      <c r="D6463" s="3">
        <v>1.0</v>
      </c>
    </row>
    <row r="6464" ht="15.75" customHeight="1">
      <c r="A6464" s="1">
        <v>6898.0</v>
      </c>
      <c r="B6464" s="3" t="s">
        <v>6211</v>
      </c>
      <c r="C6464" s="3" t="str">
        <f>IFERROR(__xludf.DUMMYFUNCTION("GOOGLETRANSLATE(B6464,""id"",""en"")"),"['Okay', 'really']")</f>
        <v>['Okay', 'really']</v>
      </c>
      <c r="D6464" s="3">
        <v>1.0</v>
      </c>
    </row>
    <row r="6465" ht="15.75" customHeight="1">
      <c r="A6465" s="1">
        <v>6900.0</v>
      </c>
      <c r="B6465" s="3" t="s">
        <v>6212</v>
      </c>
      <c r="C6465" s="3" t="str">
        <f>IFERROR(__xludf.DUMMYFUNCTION("GOOGLETRANSLATE(B6465,""id"",""en"")"),"['Screen', 'White', 'Open', 'Try', 'Do', 'Stop', 'Force', 'Delete', 'Data', 'SUCCESS', '']")</f>
        <v>['Screen', 'White', 'Open', 'Try', 'Do', 'Stop', 'Force', 'Delete', 'Data', 'SUCCESS', '']</v>
      </c>
      <c r="D6465" s="3">
        <v>1.0</v>
      </c>
    </row>
    <row r="6466" ht="15.75" customHeight="1">
      <c r="A6466" s="1">
        <v>6901.0</v>
      </c>
      <c r="B6466" s="3" t="s">
        <v>6213</v>
      </c>
      <c r="C6466" s="3" t="str">
        <f>IFERROR(__xludf.DUMMYFUNCTION("GOOGLETRANSLATE(B6466,""id"",""en"")"),"['already', 'package', 'expensive', 'signal', 'bad']")</f>
        <v>['already', 'package', 'expensive', 'signal', 'bad']</v>
      </c>
      <c r="D6466" s="3">
        <v>1.0</v>
      </c>
    </row>
    <row r="6467" ht="15.75" customHeight="1">
      <c r="A6467" s="1">
        <v>6902.0</v>
      </c>
      <c r="B6467" s="3" t="s">
        <v>6214</v>
      </c>
      <c r="C6467" s="3" t="str">
        <f>IFERROR(__xludf.DUMMYFUNCTION("GOOGLETRANSLATE(B6467,""id"",""en"")"),"['difficult', 'open', 'application', 'Solution', 'Telkomsel']")</f>
        <v>['difficult', 'open', 'application', 'Solution', 'Telkomsel']</v>
      </c>
      <c r="D6467" s="3">
        <v>1.0</v>
      </c>
    </row>
    <row r="6468" ht="15.75" customHeight="1">
      <c r="A6468" s="1">
        <v>6903.0</v>
      </c>
      <c r="B6468" s="3" t="s">
        <v>6215</v>
      </c>
      <c r="C6468" s="3" t="str">
        <f>IFERROR(__xludf.DUMMYFUNCTION("GOOGLETRANSLATE(B6468,""id"",""en"")"),"['Operator', 'bangs',' quota ',' Tetep ',' credit ',' ilang ',' sumps', 'ngeta', 'telkom', 'asw', 'comed', 'pulse', ' ilang ',' bgsd ']")</f>
        <v>['Operator', 'bangs',' quota ',' Tetep ',' credit ',' ilang ',' sumps', 'ngeta', 'telkom', 'asw', 'comed', 'pulse', ' ilang ',' bgsd ']</v>
      </c>
      <c r="D6468" s="3">
        <v>1.0</v>
      </c>
    </row>
    <row r="6469" ht="15.75" customHeight="1">
      <c r="A6469" s="1">
        <v>6904.0</v>
      </c>
      <c r="B6469" s="3" t="s">
        <v>6216</v>
      </c>
      <c r="C6469" s="3" t="str">
        <f>IFERROR(__xludf.DUMMYFUNCTION("GOOGLETRANSLATE(B6469,""id"",""en"")"),"['how', 'APK', 'a month', 'gini', 'open', 'screen', 'white', 'update', 'version', 'newest', 'good', 'ugly', ' open']")</f>
        <v>['how', 'APK', 'a month', 'gini', 'open', 'screen', 'white', 'update', 'version', 'newest', 'good', 'ugly', ' open']</v>
      </c>
      <c r="D6469" s="3">
        <v>1.0</v>
      </c>
    </row>
    <row r="6470" ht="15.75" customHeight="1">
      <c r="A6470" s="1">
        <v>6905.0</v>
      </c>
      <c r="B6470" s="3" t="s">
        <v>6217</v>
      </c>
      <c r="C6470" s="3" t="str">
        <f>IFERROR(__xludf.DUMMYFUNCTION("GOOGLETRANSLATE(B6470,""id"",""en"")"),"['Error', 'Open', 'Android', '']")</f>
        <v>['Error', 'Open', 'Android', '']</v>
      </c>
      <c r="D6470" s="3">
        <v>1.0</v>
      </c>
    </row>
    <row r="6471" ht="15.75" customHeight="1">
      <c r="A6471" s="1">
        <v>6906.0</v>
      </c>
      <c r="B6471" s="3" t="s">
        <v>6218</v>
      </c>
      <c r="C6471" s="3" t="str">
        <f>IFERROR(__xludf.DUMMYFUNCTION("GOOGLETRANSLATE(B6471,""id"",""en"")"),"['easy', 'check', 'pulse', 'prize', '']")</f>
        <v>['easy', 'check', 'pulse', 'prize', '']</v>
      </c>
      <c r="D6471" s="3">
        <v>5.0</v>
      </c>
    </row>
    <row r="6472" ht="15.75" customHeight="1">
      <c r="A6472" s="1">
        <v>6907.0</v>
      </c>
      <c r="B6472" s="3" t="s">
        <v>6219</v>
      </c>
      <c r="C6472" s="3" t="str">
        <f>IFERROR(__xludf.DUMMYFUNCTION("GOOGLETRANSLATE(B6472,""id"",""en"")"),"['complaints', 'Palnggan', 'all', 'application', 'open', 'kluar', 'haya', 'screen', 'white']")</f>
        <v>['complaints', 'Palnggan', 'all', 'application', 'open', 'kluar', 'haya', 'screen', 'white']</v>
      </c>
      <c r="D6472" s="3">
        <v>1.0</v>
      </c>
    </row>
    <row r="6473" ht="15.75" customHeight="1">
      <c r="A6473" s="1">
        <v>6908.0</v>
      </c>
      <c r="B6473" s="3" t="s">
        <v>6220</v>
      </c>
      <c r="C6473" s="3" t="str">
        <f>IFERROR(__xludf.DUMMYFUNCTION("GOOGLETRANSLATE(B6473,""id"",""en"")"),"['used']")</f>
        <v>['used']</v>
      </c>
      <c r="D6473" s="3">
        <v>1.0</v>
      </c>
    </row>
    <row r="6474" ht="15.75" customHeight="1">
      <c r="A6474" s="1">
        <v>6909.0</v>
      </c>
      <c r="B6474" s="3" t="s">
        <v>6221</v>
      </c>
      <c r="C6474" s="3" t="str">
        <f>IFERROR(__xludf.DUMMYFUNCTION("GOOGLETRANSLATE(B6474,""id"",""en"")"),"['pulse', 'run out', 'internet', 'buy', 'package', 'internet', 'monthly', 'rating', 'full', 'change']")</f>
        <v>['pulse', 'run out', 'internet', 'buy', 'package', 'internet', 'monthly', 'rating', 'full', 'change']</v>
      </c>
      <c r="D6474" s="3">
        <v>1.0</v>
      </c>
    </row>
    <row r="6475" ht="15.75" customHeight="1">
      <c r="A6475" s="1">
        <v>6910.0</v>
      </c>
      <c r="B6475" s="3" t="s">
        <v>6222</v>
      </c>
      <c r="C6475" s="3" t="str">
        <f>IFERROR(__xludf.DUMMYFUNCTION("GOOGLETRANSLATE(B6475,""id"",""en"")"),"['Telkomsel', 'number', 'download', 'open', 'srh', 'contents',' package ',' contents', 'msh', 'open', 'telkomsel', 'ber', ' ULNG ',' Solution ',' finished ',' Cape ',' Ngurusnya ',' JUANCUK ',' Telkomsel ']")</f>
        <v>['Telkomsel', 'number', 'download', 'open', 'srh', 'contents',' package ',' contents', 'msh', 'open', 'telkomsel', 'ber', ' ULNG ',' Solution ',' finished ',' Cape ',' Ngurusnya ',' JUANCUK ',' Telkomsel ']</v>
      </c>
      <c r="D6475" s="3">
        <v>1.0</v>
      </c>
    </row>
    <row r="6476" ht="15.75" customHeight="1">
      <c r="A6476" s="1">
        <v>6911.0</v>
      </c>
      <c r="B6476" s="3" t="s">
        <v>6223</v>
      </c>
      <c r="C6476" s="3" t="str">
        <f>IFERROR(__xludf.DUMMYFUNCTION("GOOGLETRANSLATE(B6476,""id"",""en"")"),"['eave', 'update', 'open', 'display', 'application', 'screen', 'colored', 'white', ""]")</f>
        <v>['eave', 'update', 'open', 'display', 'application', 'screen', 'colored', 'white', "]</v>
      </c>
      <c r="D6476" s="3">
        <v>1.0</v>
      </c>
    </row>
    <row r="6477" ht="15.75" customHeight="1">
      <c r="A6477" s="1">
        <v>6912.0</v>
      </c>
      <c r="B6477" s="3" t="s">
        <v>1601</v>
      </c>
      <c r="C6477" s="3" t="str">
        <f>IFERROR(__xludf.DUMMYFUNCTION("GOOGLETRANSLATE(B6477,""id"",""en"")"),"['open']")</f>
        <v>['open']</v>
      </c>
      <c r="D6477" s="3">
        <v>1.0</v>
      </c>
    </row>
    <row r="6478" ht="15.75" customHeight="1">
      <c r="A6478" s="1">
        <v>6914.0</v>
      </c>
      <c r="B6478" s="3" t="s">
        <v>6224</v>
      </c>
      <c r="C6478" s="3" t="str">
        <f>IFERROR(__xludf.DUMMYFUNCTION("GOOGLETRANSLATE(B6478,""id"",""en"")"),"['times',' pulse ',' run out ',' sucked ',' pairs', 'package', 'data', 'help', 'reply', 'served', 'poor', 'Telkomsel', ' ']")</f>
        <v>['times',' pulse ',' run out ',' sucked ',' pairs', 'package', 'data', 'help', 'reply', 'served', 'poor', 'Telkomsel', ' ']</v>
      </c>
      <c r="D6478" s="3">
        <v>1.0</v>
      </c>
    </row>
    <row r="6479" ht="15.75" customHeight="1">
      <c r="A6479" s="1">
        <v>6915.0</v>
      </c>
      <c r="B6479" s="3" t="s">
        <v>6225</v>
      </c>
      <c r="C6479" s="3" t="str">
        <f>IFERROR(__xludf.DUMMYFUNCTION("GOOGLETRANSLATE(B6479,""id"",""en"")"),"['MyTelkomsel', 'blank', 'application', 'opened', 'blank']")</f>
        <v>['MyTelkomsel', 'blank', 'application', 'opened', 'blank']</v>
      </c>
      <c r="D6479" s="3">
        <v>1.0</v>
      </c>
    </row>
    <row r="6480" ht="15.75" customHeight="1">
      <c r="A6480" s="1">
        <v>6916.0</v>
      </c>
      <c r="B6480" s="3" t="s">
        <v>6226</v>
      </c>
      <c r="C6480" s="3" t="str">
        <f>IFERROR(__xludf.DUMMYFUNCTION("GOOGLETRANSLATE(B6480,""id"",""en"")"),"['Points', 'Tuker', 'Package', 'Quota', 'Hoaaaaamm']")</f>
        <v>['Points', 'Tuker', 'Package', 'Quota', 'Hoaaaaamm']</v>
      </c>
      <c r="D6480" s="3">
        <v>1.0</v>
      </c>
    </row>
    <row r="6481" ht="15.75" customHeight="1">
      <c r="A6481" s="1">
        <v>6917.0</v>
      </c>
      <c r="B6481" s="3" t="s">
        <v>6227</v>
      </c>
      <c r="C6481" s="3" t="str">
        <f>IFERROR(__xludf.DUMMYFUNCTION("GOOGLETRANSLATE(B6481,""id"",""en"")"),"['Disappointed', 'Network', 'Telkomsel', 'Batam', 'Package', 'Msih', 'GB', 'Nge', 'Game', 'Sosmed', 'Msih', 'Ngeleg', ' Loading ',' Please ',' Fix ',' Min ']")</f>
        <v>['Disappointed', 'Network', 'Telkomsel', 'Batam', 'Package', 'Msih', 'GB', 'Nge', 'Game', 'Sosmed', 'Msih', 'Ngeleg', ' Loading ',' Please ',' Fix ',' Min ']</v>
      </c>
      <c r="D6481" s="3">
        <v>3.0</v>
      </c>
    </row>
    <row r="6482" ht="15.75" customHeight="1">
      <c r="A6482" s="1">
        <v>6918.0</v>
      </c>
      <c r="B6482" s="3" t="s">
        <v>6228</v>
      </c>
      <c r="C6482" s="3" t="str">
        <f>IFERROR(__xludf.DUMMYFUNCTION("GOOGLETRANSLATE(B6482,""id"",""en"")"),"['WOI', 'TELKOM', 'pig', 'Network', 'You', 'ugly', 'times',' AJ ',' HIGHLY ',' DLU ',' Pig ',' Update ',' TRS ',' Good ',' Network ',' Hbs', 'Package', 'Pig', 'APK', 'Narrow', 'Dama', 'aj', 'sick', 'times',' heart ' , 'Tos', 'Gara', 'Network', '']")</f>
        <v>['WOI', 'TELKOM', 'pig', 'Network', 'You', 'ugly', 'times',' AJ ',' HIGHLY ',' DLU ',' Pig ',' Update ',' TRS ',' Good ',' Network ',' Hbs', 'Package', 'Pig', 'APK', 'Narrow', 'Dama', 'aj', 'sick', 'times',' heart ' , 'Tos', 'Gara', 'Network', '']</v>
      </c>
      <c r="D6482" s="3">
        <v>5.0</v>
      </c>
    </row>
    <row r="6483" ht="15.75" customHeight="1">
      <c r="A6483" s="1">
        <v>6919.0</v>
      </c>
      <c r="B6483" s="3" t="s">
        <v>6229</v>
      </c>
      <c r="C6483" s="3" t="str">
        <f>IFERROR(__xludf.DUMMYFUNCTION("GOOGLETRANSLATE(B6483,""id"",""en"")"),"['easy', 'buy', 'package', 'data']")</f>
        <v>['easy', 'buy', 'package', 'data']</v>
      </c>
      <c r="D6483" s="3">
        <v>5.0</v>
      </c>
    </row>
    <row r="6484" ht="15.75" customHeight="1">
      <c r="A6484" s="1">
        <v>6920.0</v>
      </c>
      <c r="B6484" s="3" t="s">
        <v>6230</v>
      </c>
      <c r="C6484" s="3" t="str">
        <f>IFERROR(__xludf.DUMMYFUNCTION("GOOGLETRANSLATE(B6484,""id"",""en"")"),"['myy', 'no', 'opened', 'application', 'already', 'Try', 'Many', 'Tetep', 'No', 'Already', 'Try', 'Unistal', ' Install ',' Tetep ',' Kayak ',' That's', 'Appears',' Screen ',' White ',' That's']")</f>
        <v>['myy', 'no', 'opened', 'application', 'already', 'Try', 'Many', 'Tetep', 'No', 'Already', 'Try', 'Unistal', ' Install ',' Tetep ',' Kayak ',' That's', 'Appears',' Screen ',' White ',' That's']</v>
      </c>
      <c r="D6484" s="3">
        <v>2.0</v>
      </c>
    </row>
    <row r="6485" ht="15.75" customHeight="1">
      <c r="A6485" s="1">
        <v>6921.0</v>
      </c>
      <c r="B6485" s="3" t="s">
        <v>6231</v>
      </c>
      <c r="C6485" s="3" t="str">
        <f>IFERROR(__xludf.DUMMYFUNCTION("GOOGLETRANSLATE(B6485,""id"",""en"")"),"['GMNA', 'Open', 'App', 'Loading', 'White']")</f>
        <v>['GMNA', 'Open', 'App', 'Loading', 'White']</v>
      </c>
      <c r="D6485" s="3">
        <v>1.0</v>
      </c>
    </row>
    <row r="6486" ht="15.75" customHeight="1">
      <c r="A6486" s="1">
        <v>6922.0</v>
      </c>
      <c r="B6486" s="3" t="s">
        <v>6232</v>
      </c>
      <c r="C6486" s="3" t="str">
        <f>IFERROR(__xludf.DUMMYFUNCTION("GOOGLETRANSLATE(B6486,""id"",""en"")"),"['Bagus', 'hope', 'improve', 'service', 'network', 'promo', 'quota']")</f>
        <v>['Bagus', 'hope', 'improve', 'service', 'network', 'promo', 'quota']</v>
      </c>
      <c r="D6486" s="3">
        <v>5.0</v>
      </c>
    </row>
    <row r="6487" ht="15.75" customHeight="1">
      <c r="A6487" s="1">
        <v>6923.0</v>
      </c>
      <c r="B6487" s="3" t="s">
        <v>6233</v>
      </c>
      <c r="C6487" s="3" t="str">
        <f>IFERROR(__xludf.DUMMYFUNCTION("GOOGLETRANSLATE(B6487,""id"",""en"")"),"['Open', 'Application', 'Try', 'Repair']")</f>
        <v>['Open', 'Application', 'Try', 'Repair']</v>
      </c>
      <c r="D6487" s="3">
        <v>1.0</v>
      </c>
    </row>
    <row r="6488" ht="15.75" customHeight="1">
      <c r="A6488" s="1">
        <v>6924.0</v>
      </c>
      <c r="B6488" s="3" t="s">
        <v>6234</v>
      </c>
      <c r="C6488" s="3" t="str">
        <f>IFERROR(__xludf.DUMMYFUNCTION("GOOGLETRANSLATE(B6488,""id"",""en"")"),"['signal', 'here', 'Severe', 'Worth', 'Worth', 'Price', 'Package', 'Expensive', '']")</f>
        <v>['signal', 'here', 'Severe', 'Worth', 'Worth', 'Price', 'Package', 'Expensive', '']</v>
      </c>
      <c r="D6488" s="3">
        <v>1.0</v>
      </c>
    </row>
    <row r="6489" ht="15.75" customHeight="1">
      <c r="A6489" s="1">
        <v>6925.0</v>
      </c>
      <c r="B6489" s="3" t="s">
        <v>6235</v>
      </c>
      <c r="C6489" s="3" t="str">
        <f>IFERROR(__xludf.DUMMYFUNCTION("GOOGLETRANSLATE(B6489,""id"",""en"")"),"['', 'opened', 'blank', 'white', 'doang']")</f>
        <v>['', 'opened', 'blank', 'white', 'doang']</v>
      </c>
      <c r="D6489" s="3">
        <v>1.0</v>
      </c>
    </row>
    <row r="6490" ht="15.75" customHeight="1">
      <c r="A6490" s="1">
        <v>6926.0</v>
      </c>
      <c r="B6490" s="3" t="s">
        <v>6236</v>
      </c>
      <c r="C6490" s="3" t="str">
        <f>IFERROR(__xludf.DUMMYFUNCTION("GOOGLETRANSLATE(B6490,""id"",""en"")"),"['Knp', 'apk', 'ngak', 'open', 'try', 'clock', 'already', 'dislodial', 'apk', 'pairs',' enter ',' knp ',' ']")</f>
        <v>['Knp', 'apk', 'ngak', 'open', 'try', 'clock', 'already', 'dislodial', 'apk', 'pairs',' enter ',' knp ',' ']</v>
      </c>
      <c r="D6490" s="3">
        <v>1.0</v>
      </c>
    </row>
    <row r="6491" ht="15.75" customHeight="1">
      <c r="A6491" s="1">
        <v>6928.0</v>
      </c>
      <c r="B6491" s="3" t="s">
        <v>6237</v>
      </c>
      <c r="C6491" s="3" t="str">
        <f>IFERROR(__xludf.DUMMYFUNCTION("GOOGLETRANSLATE(B6491,""id"",""en"")"),"['sympathy', 'TPI', 'AKDR', 'Kluhan', 'SDK', 'Kali', 'Down', 'Rain', 'Signal', 'Errr', 'Hujn', 'Hidtle', ' Normal ',' stable ',' knapa ',' mga ',' kdpn ',' mkn ',' Jos', 'mkn', 'success',' mkn ',' jaya ',' air ']")</f>
        <v>['sympathy', 'TPI', 'AKDR', 'Kluhan', 'SDK', 'Kali', 'Down', 'Rain', 'Signal', 'Errr', 'Hujn', 'Hidtle', ' Normal ',' stable ',' knapa ',' mga ',' kdpn ',' mkn ',' Jos', 'mkn', 'success',' mkn ',' jaya ',' air ']</v>
      </c>
      <c r="D6491" s="3">
        <v>5.0</v>
      </c>
    </row>
    <row r="6492" ht="15.75" customHeight="1">
      <c r="A6492" s="1">
        <v>6929.0</v>
      </c>
      <c r="B6492" s="3" t="s">
        <v>6238</v>
      </c>
      <c r="C6492" s="3" t="str">
        <f>IFERROR(__xludf.DUMMYFUNCTION("GOOGLETRANSLATE(B6492,""id"",""en"")"),"['Please', 'Program', 'Exchange', 'Points',' BSA ',' Exchange ',' Credit ',' Gift ',' Uda ',' Nuker ',' Many ',' times', ' TPI ',' Get ']")</f>
        <v>['Please', 'Program', 'Exchange', 'Points',' BSA ',' Exchange ',' Credit ',' Gift ',' Uda ',' Nuker ',' Many ',' times', ' TPI ',' Get ']</v>
      </c>
      <c r="D6492" s="3">
        <v>4.0</v>
      </c>
    </row>
    <row r="6493" ht="15.75" customHeight="1">
      <c r="A6493" s="1">
        <v>6930.0</v>
      </c>
      <c r="B6493" s="3" t="s">
        <v>6239</v>
      </c>
      <c r="C6493" s="3" t="str">
        <f>IFERROR(__xludf.DUMMYFUNCTION("GOOGLETRANSLATE(B6493,""id"",""en"")"),"['activation', 'what's "",' it works', 'already', 'activity', 'Need', 'Paketan', '']")</f>
        <v>['activation', 'what's ",' it works', 'already', 'activity', 'Need', 'Paketan', '']</v>
      </c>
      <c r="D6493" s="3">
        <v>1.0</v>
      </c>
    </row>
    <row r="6494" ht="15.75" customHeight="1">
      <c r="A6494" s="1">
        <v>6931.0</v>
      </c>
      <c r="B6494" s="3" t="s">
        <v>6240</v>
      </c>
      <c r="C6494" s="3" t="str">
        <f>IFERROR(__xludf.DUMMYFUNCTION("GOOGLETRANSLATE(B6494,""id"",""en"")"),"['Sharing', 'Internet', 'Since', 'Package', 'Combo', 'Sakti', 'Package', 'Multimedia', 'Total', 'Package', 'Flash', 'Useful', ' Where ',' wherever ']")</f>
        <v>['Sharing', 'Internet', 'Since', 'Package', 'Combo', 'Sakti', 'Package', 'Multimedia', 'Total', 'Package', 'Flash', 'Useful', ' Where ',' wherever ']</v>
      </c>
      <c r="D6494" s="3">
        <v>3.0</v>
      </c>
    </row>
    <row r="6495" ht="15.75" customHeight="1">
      <c r="A6495" s="1">
        <v>6932.0</v>
      </c>
      <c r="B6495" s="3" t="s">
        <v>6241</v>
      </c>
      <c r="C6495" s="3" t="str">
        <f>IFERROR(__xludf.DUMMYFUNCTION("GOOGLETRANSLATE(B6495,""id"",""en"")"),"['What', 'Help', 'App', 'Telkomsel', 'Open', 'Ngak', 'WhatsApp', 'Reply', 'Veronika', 'Veronika', 'Class',' Telkomsel ',' Threat ',' really ',' Ayokkk ',' help ',' ngak ',' see ',' user ',' love ',' star ']")</f>
        <v>['What', 'Help', 'App', 'Telkomsel', 'Open', 'Ngak', 'WhatsApp', 'Reply', 'Veronika', 'Veronika', 'Class',' Telkomsel ',' Threat ',' really ',' Ayokkk ',' help ',' ngak ',' see ',' user ',' love ',' star ']</v>
      </c>
      <c r="D6495" s="3">
        <v>1.0</v>
      </c>
    </row>
    <row r="6496" ht="15.75" customHeight="1">
      <c r="A6496" s="1">
        <v>6933.0</v>
      </c>
      <c r="B6496" s="3" t="s">
        <v>6242</v>
      </c>
      <c r="C6496" s="3" t="str">
        <f>IFERROR(__xludf.DUMMYFUNCTION("GOOGLETRANSLATE(B6496,""id"",""en"")"),"['Stable', 'just', 'kdng', 'slow', 'no', 'access', 'full', 'signal', ""]")</f>
        <v>['Stable', 'just', 'kdng', 'slow', 'no', 'access', 'full', 'signal', "]</v>
      </c>
      <c r="D6496" s="3">
        <v>5.0</v>
      </c>
    </row>
    <row r="6497" ht="15.75" customHeight="1">
      <c r="A6497" s="1">
        <v>6934.0</v>
      </c>
      <c r="B6497" s="3" t="s">
        <v>6243</v>
      </c>
      <c r="C6497" s="3" t="str">
        <f>IFERROR(__xludf.DUMMYFUNCTION("GOOGLETRANSLATE(B6497,""id"",""en"")"),"['Terbimah', 'Kasi', 'whispered', 'BELOH', 'Datamli', 'Thanks', 'Telkomsel', ""]")</f>
        <v>['Terbimah', 'Kasi', 'whispered', 'BELOH', 'Datamli', 'Thanks', 'Telkomsel', "]</v>
      </c>
      <c r="D6497" s="3">
        <v>5.0</v>
      </c>
    </row>
    <row r="6498" ht="15.75" customHeight="1">
      <c r="A6498" s="1">
        <v>6935.0</v>
      </c>
      <c r="B6498" s="3" t="s">
        <v>6244</v>
      </c>
      <c r="C6498" s="3" t="str">
        <f>IFERROR(__xludf.DUMMYFUNCTION("GOOGLETRANSLATE(B6498,""id"",""en"")"),"['Come on', 'Application', 'Features',' Control ',' Credit ',' Credit ',' Cutting ',' Service ',' Telkomsel ',' Disappointed ',' Credit ',' Cut "" As a result ',' use ',' access', 'internet', 'quota', 'internet', 'wifi', 'truncated', 'sms',' banking ',' s"&amp;"ms', 'subscription', '']")</f>
        <v>['Come on', 'Application', 'Features',' Control ',' Credit ',' Credit ',' Cutting ',' Service ',' Telkomsel ',' Disappointed ',' Credit ',' Cut " As a result ',' use ',' access', 'internet', 'quota', 'internet', 'wifi', 'truncated', 'sms',' banking ',' sms', 'subscription', '']</v>
      </c>
      <c r="D6498" s="3">
        <v>2.0</v>
      </c>
    </row>
    <row r="6499" ht="15.75" customHeight="1">
      <c r="A6499" s="1">
        <v>6936.0</v>
      </c>
      <c r="B6499" s="3" t="s">
        <v>6245</v>
      </c>
      <c r="C6499" s="3" t="str">
        <f>IFERROR(__xludf.DUMMYFUNCTION("GOOGLETRANSLATE(B6499,""id"",""en"")"),"['Out', 'Update', 'Display', 'White', 'Doang', 'Wait', 'Minutes',' Tetep ',' Ajah ',' Kek ',' Gini ',' That's', ' Kmaren ',' update ',' ']")</f>
        <v>['Out', 'Update', 'Display', 'White', 'Doang', 'Wait', 'Minutes',' Tetep ',' Ajah ',' Kek ',' Gini ',' That's', ' Kmaren ',' update ',' ']</v>
      </c>
      <c r="D6499" s="3">
        <v>1.0</v>
      </c>
    </row>
    <row r="6500" ht="15.75" customHeight="1">
      <c r="A6500" s="1">
        <v>6937.0</v>
      </c>
      <c r="B6500" s="3" t="s">
        <v>6246</v>
      </c>
      <c r="C6500" s="3" t="str">
        <f>IFERROR(__xludf.DUMMYFUNCTION("GOOGLETRANSLATE(B6500,""id"",""en"")"),"['ssngat']")</f>
        <v>['ssngat']</v>
      </c>
      <c r="D6500" s="3">
        <v>5.0</v>
      </c>
    </row>
    <row r="6501" ht="15.75" customHeight="1">
      <c r="A6501" s="1">
        <v>6938.0</v>
      </c>
      <c r="B6501" s="3" t="s">
        <v>6247</v>
      </c>
      <c r="C6501" s="3" t="str">
        <f>IFERROR(__xludf.DUMMYFUNCTION("GOOGLETRANSLATE(B6501,""id"",""en"")"),"['Good', 'Bangat', 'Easy', 'Use', 'Sometimes', 'Lemot']")</f>
        <v>['Good', 'Bangat', 'Easy', 'Use', 'Sometimes', 'Lemot']</v>
      </c>
      <c r="D6501" s="3">
        <v>5.0</v>
      </c>
    </row>
    <row r="6502" ht="15.75" customHeight="1">
      <c r="A6502" s="1">
        <v>6939.0</v>
      </c>
      <c r="B6502" s="3" t="s">
        <v>6248</v>
      </c>
      <c r="C6502" s="3" t="str">
        <f>IFERROR(__xludf.DUMMYFUNCTION("GOOGLETRANSLATE(B6502,""id"",""en"")"),"['Bgus', 'jingkannya', 'hrus', 'levelkn', 'kdang', 'ilang', 'embossed']")</f>
        <v>['Bgus', 'jingkannya', 'hrus', 'levelkn', 'kdang', 'ilang', 'embossed']</v>
      </c>
      <c r="D6502" s="3">
        <v>5.0</v>
      </c>
    </row>
    <row r="6503" ht="15.75" customHeight="1">
      <c r="A6503" s="1">
        <v>6940.0</v>
      </c>
      <c r="B6503" s="3" t="s">
        <v>6249</v>
      </c>
      <c r="C6503" s="3" t="str">
        <f>IFERROR(__xludf.DUMMYFUNCTION("GOOGLETRANSLATE(B6503,""id"",""en"")"),"['The application', 'no', 'open', 'already']")</f>
        <v>['The application', 'no', 'open', 'already']</v>
      </c>
      <c r="D6503" s="3">
        <v>5.0</v>
      </c>
    </row>
    <row r="6504" ht="15.75" customHeight="1">
      <c r="A6504" s="1">
        <v>6941.0</v>
      </c>
      <c r="B6504" s="3" t="s">
        <v>6250</v>
      </c>
      <c r="C6504" s="3" t="str">
        <f>IFERROR(__xludf.DUMMYFUNCTION("GOOGLETRANSLATE(B6504,""id"",""en"")"),"['application', 'MyTelkomsel', 'reconstruction', 'most importantly', 'access', 'internet']")</f>
        <v>['application', 'MyTelkomsel', 'reconstruction', 'most importantly', 'access', 'internet']</v>
      </c>
      <c r="D6504" s="3">
        <v>5.0</v>
      </c>
    </row>
    <row r="6505" ht="15.75" customHeight="1">
      <c r="A6505" s="1">
        <v>6942.0</v>
      </c>
      <c r="B6505" s="3" t="s">
        <v>6251</v>
      </c>
      <c r="C6505" s="3" t="str">
        <f>IFERROR(__xludf.DUMMYFUNCTION("GOOGLETRANSLATE(B6505,""id"",""en"")"),"['Kirain', 'Nursing', 'Open', 'App', 'Taunya', 'SPT', 'Natural', 'Strange', 'Telkomsel', 'Slow', 'Response', 'App', ' ngefek ',' Lola ',' Install ',' Normal ',' Moon ',' App ',' Telkomsel ',' Bintang ', ""]")</f>
        <v>['Kirain', 'Nursing', 'Open', 'App', 'Taunya', 'SPT', 'Natural', 'Strange', 'Telkomsel', 'Slow', 'Response', 'App', ' ngefek ',' Lola ',' Install ',' Normal ',' Moon ',' App ',' Telkomsel ',' Bintang ', "]</v>
      </c>
      <c r="D6505" s="3">
        <v>1.0</v>
      </c>
    </row>
    <row r="6506" ht="15.75" customHeight="1">
      <c r="A6506" s="1">
        <v>6943.0</v>
      </c>
      <c r="B6506" s="3" t="s">
        <v>6252</v>
      </c>
      <c r="C6506" s="3" t="str">
        <f>IFERROR(__xludf.DUMMYFUNCTION("GOOGLETRANSLATE(B6506,""id"",""en"")"),"['pulse', 'lost', 'pulse', 'take', 'gift', 'daily', 'checkin']")</f>
        <v>['pulse', 'lost', 'pulse', 'take', 'gift', 'daily', 'checkin']</v>
      </c>
      <c r="D6506" s="3">
        <v>3.0</v>
      </c>
    </row>
    <row r="6507" ht="15.75" customHeight="1">
      <c r="A6507" s="1">
        <v>6944.0</v>
      </c>
      <c r="B6507" s="3" t="s">
        <v>6253</v>
      </c>
      <c r="C6507" s="3" t="str">
        <f>IFERROR(__xludf.DUMMYFUNCTION("GOOGLETRANSLATE(B6507,""id"",""en"")"),"['hope', 'Application', 'Features',' Protector ',' Credit ',' What's', 'The term', 'Anyway', 'pdhal', 'quota', 'pulse', 'first', ' finish']")</f>
        <v>['hope', 'Application', 'Features',' Protector ',' Credit ',' What's', 'The term', 'Anyway', 'pdhal', 'quota', 'pulse', 'first', ' finish']</v>
      </c>
      <c r="D6507" s="3">
        <v>3.0</v>
      </c>
    </row>
    <row r="6508" ht="15.75" customHeight="1">
      <c r="A6508" s="1">
        <v>6945.0</v>
      </c>
      <c r="B6508" s="3" t="s">
        <v>6254</v>
      </c>
      <c r="C6508" s="3" t="str">
        <f>IFERROR(__xludf.DUMMYFUNCTION("GOOGLETRANSLATE(B6508,""id"",""en"")"),"['price', 'expensive', 'quota', 'little', 'slow', 'kagak', 'ngilkak', 'pulse', 'cheek', 'right', 'buy', 'package', ' Like ',' Error ',' Untung ',' Loss']")</f>
        <v>['price', 'expensive', 'quota', 'little', 'slow', 'kagak', 'ngilkak', 'pulse', 'cheek', 'right', 'buy', 'package', ' Like ',' Error ',' Untung ',' Loss']</v>
      </c>
      <c r="D6508" s="3">
        <v>1.0</v>
      </c>
    </row>
    <row r="6509" ht="15.75" customHeight="1">
      <c r="A6509" s="1">
        <v>6946.0</v>
      </c>
      <c r="B6509" s="3" t="s">
        <v>6255</v>
      </c>
      <c r="C6509" s="3" t="str">
        <f>IFERROR(__xludf.DUMMYFUNCTION("GOOGLETRANSLATE(B6509,""id"",""en"")"),"['How', 'Telkomsel', 'Install', 'Uninstall', 'TTTP', 'blank', 'screen', 'white', 'Android', 'Android', 'below', 'strange', ' ']")</f>
        <v>['How', 'Telkomsel', 'Install', 'Uninstall', 'TTTP', 'blank', 'screen', 'white', 'Android', 'Android', 'below', 'strange', ' ']</v>
      </c>
      <c r="D6509" s="3">
        <v>1.0</v>
      </c>
    </row>
    <row r="6510" ht="15.75" customHeight="1">
      <c r="A6510" s="1">
        <v>6947.0</v>
      </c>
      <c r="B6510" s="3" t="s">
        <v>6256</v>
      </c>
      <c r="C6510" s="3" t="str">
        <f>IFERROR(__xludf.DUMMYFUNCTION("GOOGLETRANSLATE(B6510,""id"",""en"")"),"['Already', 'Install', 'Uninstall', 'Application', 'TTP', 'Saying', 'Relationship', 'Confirm', 'Kelian', 'User', 'Application', 'Order', ' Bot ',' Read ',' Woiiii ',' Read ""]")</f>
        <v>['Already', 'Install', 'Uninstall', 'Application', 'TTP', 'Saying', 'Relationship', 'Confirm', 'Kelian', 'User', 'Application', 'Order', ' Bot ',' Read ',' Woiiii ',' Read "]</v>
      </c>
      <c r="D6510" s="3">
        <v>2.0</v>
      </c>
    </row>
    <row r="6511" ht="15.75" customHeight="1">
      <c r="A6511" s="1">
        <v>6949.0</v>
      </c>
      <c r="B6511" s="3" t="s">
        <v>6257</v>
      </c>
      <c r="C6511" s="3" t="str">
        <f>IFERROR(__xludf.DUMMYFUNCTION("GOOGLETRANSLATE(B6511,""id"",""en"")"),"['unclean', 'sympathy', 'bapuk', 'network', 'UDH', 'ngeluh', 'ksana', 'yesterday', 'told', 'setting', 'Udh', 'setting', ' bapuk ',' replace ',' card ',' network ',' then ',' unclean ',' unclean ',' lose ',' povider ',' sblah ']")</f>
        <v>['unclean', 'sympathy', 'bapuk', 'network', 'UDH', 'ngeluh', 'ksana', 'yesterday', 'told', 'setting', 'Udh', 'setting', ' bapuk ',' replace ',' card ',' network ',' then ',' unclean ',' unclean ',' lose ',' povider ',' sblah ']</v>
      </c>
      <c r="D6511" s="3">
        <v>1.0</v>
      </c>
    </row>
    <row r="6512" ht="15.75" customHeight="1">
      <c r="A6512" s="1">
        <v>6950.0</v>
      </c>
      <c r="B6512" s="3" t="s">
        <v>6258</v>
      </c>
      <c r="C6512" s="3" t="str">
        <f>IFERROR(__xludf.DUMMYFUNCTION("GOOGLETRANSLATE(B6512,""id"",""en"")"),"['Telkomsel', 'Good', 'Signal', 'Performance', 'Peace', 'Price', 'Play', 'Game', 'Stable', 'Open', 'Sosmed', 'Stable', ' Fast ',' Play ',' Game ',' Slow ',' Please ',' Fix ',' Most Expressed ',' Game ',' Current ',' Must ']")</f>
        <v>['Telkomsel', 'Good', 'Signal', 'Performance', 'Peace', 'Price', 'Play', 'Game', 'Stable', 'Open', 'Sosmed', 'Stable', ' Fast ',' Play ',' Game ',' Slow ',' Please ',' Fix ',' Most Expressed ',' Game ',' Current ',' Must ']</v>
      </c>
      <c r="D6512" s="3">
        <v>2.0</v>
      </c>
    </row>
    <row r="6513" ht="15.75" customHeight="1">
      <c r="A6513" s="1">
        <v>6951.0</v>
      </c>
      <c r="B6513" s="3" t="s">
        <v>6259</v>
      </c>
      <c r="C6513" s="3" t="str">
        <f>IFERROR(__xludf.DUMMYFUNCTION("GOOGLETRANSLATE(B6513,""id"",""en"")"),"['Safe', 'Controlled', '']")</f>
        <v>['Safe', 'Controlled', '']</v>
      </c>
      <c r="D6513" s="3">
        <v>4.0</v>
      </c>
    </row>
    <row r="6514" ht="15.75" customHeight="1">
      <c r="A6514" s="1">
        <v>6952.0</v>
      </c>
      <c r="B6514" s="3" t="s">
        <v>6260</v>
      </c>
      <c r="C6514" s="3" t="str">
        <f>IFERROR(__xludf.DUMMYFUNCTION("GOOGLETRANSLATE(B6514,""id"",""en"")"),"['Karna', 'internet', 'skali']")</f>
        <v>['Karna', 'internet', 'skali']</v>
      </c>
      <c r="D6514" s="3">
        <v>3.0</v>
      </c>
    </row>
    <row r="6515" ht="15.75" customHeight="1">
      <c r="A6515" s="1">
        <v>6953.0</v>
      </c>
      <c r="B6515" s="3" t="s">
        <v>6261</v>
      </c>
      <c r="C6515" s="3" t="str">
        <f>IFERROR(__xludf.DUMMYFUNCTION("GOOGLETRANSLATE(B6515,""id"",""en"")"),"['The application', 'functioning', 'according to', 'need']")</f>
        <v>['The application', 'functioning', 'according to', 'need']</v>
      </c>
      <c r="D6515" s="3">
        <v>5.0</v>
      </c>
    </row>
    <row r="6516" ht="15.75" customHeight="1">
      <c r="A6516" s="1">
        <v>6954.0</v>
      </c>
      <c r="B6516" s="3" t="s">
        <v>6262</v>
      </c>
      <c r="C6516" s="3" t="str">
        <f>IFERROR(__xludf.DUMMYFUNCTION("GOOGLETRANSLATE(B6516,""id"",""en"")"),"['easy', 'fill', 'quota']")</f>
        <v>['easy', 'fill', 'quota']</v>
      </c>
      <c r="D6516" s="3">
        <v>5.0</v>
      </c>
    </row>
    <row r="6517" ht="15.75" customHeight="1">
      <c r="A6517" s="1">
        <v>6955.0</v>
      </c>
      <c r="B6517" s="3" t="s">
        <v>6263</v>
      </c>
      <c r="C6517" s="3" t="str">
        <f>IFERROR(__xludf.DUMMYFUNCTION("GOOGLETRANSLATE(B6517,""id"",""en"")"),"['Hallo', 'APK', 'Whiteacreen', 'then']")</f>
        <v>['Hallo', 'APK', 'Whiteacreen', 'then']</v>
      </c>
      <c r="D6517" s="3">
        <v>1.0</v>
      </c>
    </row>
    <row r="6518" ht="15.75" customHeight="1">
      <c r="A6518" s="1">
        <v>6956.0</v>
      </c>
      <c r="B6518" s="3" t="s">
        <v>6264</v>
      </c>
      <c r="C6518" s="3" t="str">
        <f>IFERROR(__xludf.DUMMYFUNCTION("GOOGLETRANSLATE(B6518,""id"",""en"")"),"['disappointing', '']")</f>
        <v>['disappointing', '']</v>
      </c>
      <c r="D6518" s="3">
        <v>1.0</v>
      </c>
    </row>
    <row r="6519" ht="15.75" customHeight="1">
      <c r="A6519" s="1">
        <v>6957.0</v>
      </c>
      <c r="B6519" s="3" t="s">
        <v>6265</v>
      </c>
      <c r="C6519" s="3" t="str">
        <f>IFERROR(__xludf.DUMMYFUNCTION("GOOGLETRANSLATE(B6519,""id"",""en"")"),"['', 'Telkomsel', 'gini', 'disappointing', 'customers',' application ',' Telkomsel ',' ngebleng ',' white ',' tetus', 'chaotic', 'gini', 'caranyama ',' ']")</f>
        <v>['', 'Telkomsel', 'gini', 'disappointing', 'customers',' application ',' Telkomsel ',' ngebleng ',' white ',' tetus', 'chaotic', 'gini', 'caranyama ',' ']</v>
      </c>
      <c r="D6519" s="3">
        <v>5.0</v>
      </c>
    </row>
    <row r="6520" ht="15.75" customHeight="1">
      <c r="A6520" s="1">
        <v>6958.0</v>
      </c>
      <c r="B6520" s="3" t="s">
        <v>6266</v>
      </c>
      <c r="C6520" s="3" t="str">
        <f>IFERROR(__xludf.DUMMYFUNCTION("GOOGLETRANSLATE(B6520,""id"",""en"")"),"['application', 'Telkomsel', 'KNP', 'Min', 'upgrade', 'kmrn', 'byk', 'kagak', 'open', 'pdhal', 'udh', 'renewed', ' Samsung ',' Open ',' The application ',' Please ',' Telkonsel ',' Value ',' Increase ',' Customer ',' Card ',' Hallo ',' Move ',' Car ',' Ca"&amp;"rd ' , '']")</f>
        <v>['application', 'Telkomsel', 'KNP', 'Min', 'upgrade', 'kmrn', 'byk', 'kagak', 'open', 'pdhal', 'udh', 'renewed', ' Samsung ',' Open ',' The application ',' Please ',' Telkonsel ',' Value ',' Increase ',' Customer ',' Card ',' Hallo ',' Move ',' Car ',' Card ' , '']</v>
      </c>
      <c r="D6520" s="3">
        <v>2.0</v>
      </c>
    </row>
    <row r="6521" ht="15.75" customHeight="1">
      <c r="A6521" s="1">
        <v>6959.0</v>
      </c>
      <c r="B6521" s="3" t="s">
        <v>6267</v>
      </c>
      <c r="C6521" s="3" t="str">
        <f>IFERROR(__xludf.DUMMYFUNCTION("GOOGLETRANSLATE(B6521,""id"",""en"")"),"['bad', 'upgrade', 'opened', 'screen', 'white', 'doang', ""]")</f>
        <v>['bad', 'upgrade', 'opened', 'screen', 'white', 'doang', "]</v>
      </c>
      <c r="D6521" s="3">
        <v>1.0</v>
      </c>
    </row>
    <row r="6522" ht="15.75" customHeight="1">
      <c r="A6522" s="1">
        <v>6960.0</v>
      </c>
      <c r="B6522" s="3" t="s">
        <v>6268</v>
      </c>
      <c r="C6522" s="3" t="str">
        <f>IFERROR(__xludf.DUMMYFUNCTION("GOOGLETRANSLATE(B6522,""id"",""en"")"),"['Change', 'pulse', 'asw', 'pulse', 'leftover', 'missing', 'belom', 'use']")</f>
        <v>['Change', 'pulse', 'asw', 'pulse', 'leftover', 'missing', 'belom', 'use']</v>
      </c>
      <c r="D6522" s="3">
        <v>1.0</v>
      </c>
    </row>
    <row r="6523" ht="15.75" customHeight="1">
      <c r="A6523" s="1">
        <v>6961.0</v>
      </c>
      <c r="B6523" s="3" t="s">
        <v>6269</v>
      </c>
      <c r="C6523" s="3" t="str">
        <f>IFERROR(__xludf.DUMMYFUNCTION("GOOGLETRANSLATE(B6523,""id"",""en"")"),"['', 'Father', 'Error', 'Application', 'Telkomsel', 'Error', 'Many', 'Try', 'TTP', 'Uninstall', 'Install', 'TTP', 'Huhuuuu ', 'annoyed']")</f>
        <v>['', 'Father', 'Error', 'Application', 'Telkomsel', 'Error', 'Many', 'Try', 'TTP', 'Uninstall', 'Install', 'TTP', 'Huhuuuu ', 'annoyed']</v>
      </c>
      <c r="D6523" s="3">
        <v>2.0</v>
      </c>
    </row>
    <row r="6524" ht="15.75" customHeight="1">
      <c r="A6524" s="1">
        <v>6962.0</v>
      </c>
      <c r="B6524" s="3" t="s">
        <v>6270</v>
      </c>
      <c r="C6524" s="3" t="str">
        <f>IFERROR(__xludf.DUMMYFUNCTION("GOOGLETRANSLATE(B6524,""id"",""en"")"),"['Buy', 'Package', 'Application', 'Gojek', 'Shopee', 'Etc.', 'Kah', '']")</f>
        <v>['Buy', 'Package', 'Application', 'Gojek', 'Shopee', 'Etc.', 'Kah', '']</v>
      </c>
      <c r="D6524" s="3">
        <v>1.0</v>
      </c>
    </row>
    <row r="6525" ht="15.75" customHeight="1">
      <c r="A6525" s="1">
        <v>6963.0</v>
      </c>
      <c r="B6525" s="3" t="s">
        <v>6271</v>
      </c>
      <c r="C6525" s="3" t="str">
        <f>IFERROR(__xludf.DUMMYFUNCTION("GOOGLETRANSLATE(B6525,""id"",""en"")"),"['expensive', 'price', 'package', 'pulse', 'disappear', 'quota', 'internet', 'complain', 'admin', 'network', 'internet', 'ugly', ' user ',' pulse ',' main ',' lho ',' weve ',' wrong ',' signal ',' ilang ',' mah ',' matters', 'provider', 'masaiya', 'consum"&amp;"er' , 'harmed', 'fill in', 'pulse', 'bought', 'use', 'money', 'cuy', ""]")</f>
        <v>['expensive', 'price', 'package', 'pulse', 'disappear', 'quota', 'internet', 'complain', 'admin', 'network', 'internet', 'ugly', ' user ',' pulse ',' main ',' lho ',' weve ',' wrong ',' signal ',' ilang ',' mah ',' matters', 'provider', 'masaiya', 'consumer' , 'harmed', 'fill in', 'pulse', 'bought', 'use', 'money', 'cuy', "]</v>
      </c>
      <c r="D6525" s="3">
        <v>1.0</v>
      </c>
    </row>
    <row r="6526" ht="15.75" customHeight="1">
      <c r="A6526" s="1">
        <v>6964.0</v>
      </c>
      <c r="B6526" s="3" t="s">
        <v>6272</v>
      </c>
      <c r="C6526" s="3" t="str">
        <f>IFERROR(__xludf.DUMMYFUNCTION("GOOGLETRANSLATE(B6526,""id"",""en"")"),"['Hopefully', 'service', 'Tamvah', 'satisfying']")</f>
        <v>['Hopefully', 'service', 'Tamvah', 'satisfying']</v>
      </c>
      <c r="D6526" s="3">
        <v>5.0</v>
      </c>
    </row>
    <row r="6527" ht="15.75" customHeight="1">
      <c r="A6527" s="1">
        <v>6965.0</v>
      </c>
      <c r="B6527" s="3" t="s">
        <v>6273</v>
      </c>
      <c r="C6527" s="3" t="str">
        <f>IFERROR(__xludf.DUMMYFUNCTION("GOOGLETRANSLATE(B6527,""id"",""en"")"),"['Ouch', 'upgraded', 'cheated', 'opened', 'blank', 'white', 'slow', 'loading', '']")</f>
        <v>['Ouch', 'upgraded', 'cheated', 'opened', 'blank', 'white', 'slow', 'loading', '']</v>
      </c>
      <c r="D6527" s="3">
        <v>5.0</v>
      </c>
    </row>
    <row r="6528" ht="15.75" customHeight="1">
      <c r="A6528" s="1">
        <v>6966.0</v>
      </c>
      <c r="B6528" s="3" t="s">
        <v>6274</v>
      </c>
      <c r="C6528" s="3" t="str">
        <f>IFERROR(__xludf.DUMMYFUNCTION("GOOGLETRANSLATE(B6528,""id"",""en"")"),"['already', 'rampant', 'really', 'painful', 'buy', 'package', 'reset', 'times',' transaction ',' succeed ',' pulse ',' nasse ',' pulses', 'silverkk', 'count', 'pulse', 'pakek', 'lost', 'kerjamu', 'telkomselll']")</f>
        <v>['already', 'rampant', 'really', 'painful', 'buy', 'package', 'reset', 'times',' transaction ',' succeed ',' pulse ',' nasse ',' pulses', 'silverkk', 'count', 'pulse', 'pakek', 'lost', 'kerjamu', 'telkomselll']</v>
      </c>
      <c r="D6528" s="3">
        <v>1.0</v>
      </c>
    </row>
    <row r="6529" ht="15.75" customHeight="1">
      <c r="A6529" s="1">
        <v>6967.0</v>
      </c>
      <c r="B6529" s="3" t="s">
        <v>1096</v>
      </c>
      <c r="C6529" s="3" t="str">
        <f>IFERROR(__xludf.DUMMYFUNCTION("GOOGLETRANSLATE(B6529,""id"",""en"")"),"['Application', 'good', 'help']")</f>
        <v>['Application', 'good', 'help']</v>
      </c>
      <c r="D6529" s="3">
        <v>5.0</v>
      </c>
    </row>
    <row r="6530" ht="15.75" customHeight="1">
      <c r="A6530" s="1">
        <v>6968.0</v>
      </c>
      <c r="B6530" s="3" t="s">
        <v>6275</v>
      </c>
      <c r="C6530" s="3" t="str">
        <f>IFERROR(__xludf.DUMMYFUNCTION("GOOGLETRANSLATE(B6530,""id"",""en"")"),"['sell', 'quota', 'internet', 'selling', 'gold', '']")</f>
        <v>['sell', 'quota', 'internet', 'selling', 'gold', '']</v>
      </c>
      <c r="D6530" s="3">
        <v>1.0</v>
      </c>
    </row>
    <row r="6531" ht="15.75" customHeight="1">
      <c r="A6531" s="1">
        <v>6969.0</v>
      </c>
      <c r="B6531" s="3" t="s">
        <v>6276</v>
      </c>
      <c r="C6531" s="3" t="str">
        <f>IFERROR(__xludf.DUMMYFUNCTION("GOOGLETRANSLATE(B6531,""id"",""en"")"),"['', 'December', 'Open', 'My APK', 'Blank', 'White']")</f>
        <v>['', 'December', 'Open', 'My APK', 'Blank', 'White']</v>
      </c>
      <c r="D6531" s="3">
        <v>1.0</v>
      </c>
    </row>
    <row r="6532" ht="15.75" customHeight="1">
      <c r="A6532" s="1">
        <v>6970.0</v>
      </c>
      <c r="B6532" s="3" t="s">
        <v>6277</v>
      </c>
      <c r="C6532" s="3" t="str">
        <f>IFERROR(__xludf.DUMMYFUNCTION("GOOGLETRANSLATE(B6532,""id"",""en"")"),"['Telkomsel', 'teach', 'already', 'Change', 'Different', 'Use', 'Out', 'Install', 'Blank', 'White', 'Doank', 'appears',' already ',' costs', 'expensive', 'service', 'no', 'moral', 'disappearaaaa', '']")</f>
        <v>['Telkomsel', 'teach', 'already', 'Change', 'Different', 'Use', 'Out', 'Install', 'Blank', 'White', 'Doank', 'appears',' already ',' costs', 'expensive', 'service', 'no', 'moral', 'disappearaaaa', '']</v>
      </c>
      <c r="D6532" s="3">
        <v>1.0</v>
      </c>
    </row>
    <row r="6533" ht="15.75" customHeight="1">
      <c r="A6533" s="1">
        <v>6971.0</v>
      </c>
      <c r="B6533" s="3" t="s">
        <v>6278</v>
      </c>
      <c r="C6533" s="3" t="str">
        <f>IFERROR(__xludf.DUMMYFUNCTION("GOOGLETRANSLATE(B6533,""id"",""en"")"),"['blank', 'white', 'doang', 'a month']")</f>
        <v>['blank', 'white', 'doang', 'a month']</v>
      </c>
      <c r="D6533" s="3">
        <v>1.0</v>
      </c>
    </row>
    <row r="6534" ht="15.75" customHeight="1">
      <c r="A6534" s="1">
        <v>6972.0</v>
      </c>
      <c r="B6534" s="3" t="s">
        <v>6279</v>
      </c>
      <c r="C6534" s="3" t="str">
        <f>IFERROR(__xludf.DUMMYFUNCTION("GOOGLETRANSLATE(B6534,""id"",""en"")"),"['The application', 'use', 'bln', 'afterwards', 'blank', 'uninstall', 'install', 'blank', ""]")</f>
        <v>['The application', 'use', 'bln', 'afterwards', 'blank', 'uninstall', 'install', 'blank', "]</v>
      </c>
      <c r="D6534" s="3">
        <v>1.0</v>
      </c>
    </row>
    <row r="6535" ht="15.75" customHeight="1">
      <c r="A6535" s="1">
        <v>6973.0</v>
      </c>
      <c r="B6535" s="3" t="s">
        <v>6280</v>
      </c>
      <c r="C6535" s="3" t="str">
        <f>IFERROR(__xludf.DUMMYFUNCTION("GOOGLETRANSLATE(B6535,""id"",""en"")"),"['quota', 'expensive', 'signal', 'ugly', '']")</f>
        <v>['quota', 'expensive', 'signal', 'ugly', '']</v>
      </c>
      <c r="D6535" s="3">
        <v>1.0</v>
      </c>
    </row>
    <row r="6536" ht="15.75" customHeight="1">
      <c r="A6536" s="1">
        <v>6974.0</v>
      </c>
      <c r="B6536" s="3" t="s">
        <v>6281</v>
      </c>
      <c r="C6536" s="3" t="str">
        <f>IFERROR(__xludf.DUMMYFUNCTION("GOOGLETRANSLATE(B6536,""id"",""en"")"),"['kog', 'update', 'menu', 'no', 'appears',' look ',' screen ',' white ',' udh ',' alternating ',' delete ',' install ',' ',' ']")</f>
        <v>['kog', 'update', 'menu', 'no', 'appears',' look ',' screen ',' white ',' udh ',' alternating ',' delete ',' install ',' ',' ']</v>
      </c>
      <c r="D6536" s="3">
        <v>1.0</v>
      </c>
    </row>
    <row r="6537" ht="15.75" customHeight="1">
      <c r="A6537" s="1">
        <v>6975.0</v>
      </c>
      <c r="B6537" s="3" t="s">
        <v>6282</v>
      </c>
      <c r="C6537" s="3" t="str">
        <f>IFERROR(__xludf.DUMMYFUNCTION("GOOGLETRANSLATE(B6537,""id"",""en"")"),"['Choice', 'Internet']")</f>
        <v>['Choice', 'Internet']</v>
      </c>
      <c r="D6537" s="3">
        <v>1.0</v>
      </c>
    </row>
    <row r="6538" ht="15.75" customHeight="1">
      <c r="A6538" s="1">
        <v>6976.0</v>
      </c>
      <c r="B6538" s="3" t="s">
        <v>284</v>
      </c>
      <c r="C6538" s="3" t="str">
        <f>IFERROR(__xludf.DUMMYFUNCTION("GOOGLETRANSLATE(B6538,""id"",""en"")"),"['', 'help']")</f>
        <v>['', 'help']</v>
      </c>
      <c r="D6538" s="3">
        <v>5.0</v>
      </c>
    </row>
    <row r="6539" ht="15.75" customHeight="1">
      <c r="A6539" s="1">
        <v>6977.0</v>
      </c>
      <c r="B6539" s="3" t="s">
        <v>6283</v>
      </c>
      <c r="C6539" s="3" t="str">
        <f>IFERROR(__xludf.DUMMYFUNCTION("GOOGLETRANSLATE(B6539,""id"",""en"")"),"['Disappointed', 'Service', 'Helping', 'Wonder', 'Register', 'Telkomsel', 'Credit', 'Reduced']")</f>
        <v>['Disappointed', 'Service', 'Helping', 'Wonder', 'Register', 'Telkomsel', 'Credit', 'Reduced']</v>
      </c>
      <c r="D6539" s="3">
        <v>1.0</v>
      </c>
    </row>
    <row r="6540" ht="15.75" customHeight="1">
      <c r="A6540" s="1">
        <v>6978.0</v>
      </c>
      <c r="B6540" s="3" t="s">
        <v>6284</v>
      </c>
      <c r="C6540" s="3" t="str">
        <f>IFERROR(__xludf.DUMMYFUNCTION("GOOGLETRANSLATE(B6540,""id"",""en"")"),"['Network', 'Increase', 'Package', 'Glooms']")</f>
        <v>['Network', 'Increase', 'Package', 'Glooms']</v>
      </c>
      <c r="D6540" s="3">
        <v>3.0</v>
      </c>
    </row>
    <row r="6541" ht="15.75" customHeight="1">
      <c r="A6541" s="1">
        <v>6979.0</v>
      </c>
      <c r="B6541" s="3" t="s">
        <v>6285</v>
      </c>
      <c r="C6541" s="3" t="str">
        <f>IFERROR(__xludf.DUMMYFUNCTION("GOOGLETRANSLATE(B6541,""id"",""en"")"),"['update', 'version', 'opened', 'the application', 'blank', 'white', 'version', '']")</f>
        <v>['update', 'version', 'opened', 'the application', 'blank', 'white', 'version', '']</v>
      </c>
      <c r="D6541" s="3">
        <v>1.0</v>
      </c>
    </row>
    <row r="6542" ht="15.75" customHeight="1">
      <c r="A6542" s="1">
        <v>6980.0</v>
      </c>
      <c r="B6542" s="3" t="s">
        <v>6286</v>
      </c>
      <c r="C6542" s="3" t="str">
        <f>IFERROR(__xludf.DUMMYFUNCTION("GOOGLETRANSLATE(B6542,""id"",""en"")"),"['Bkin', 'Appsi', 'yng', 'bner', 'open', 'slow', 'play']")</f>
        <v>['Bkin', 'Appsi', 'yng', 'bner', 'open', 'slow', 'play']</v>
      </c>
      <c r="D6542" s="3">
        <v>1.0</v>
      </c>
    </row>
    <row r="6543" ht="15.75" customHeight="1">
      <c r="A6543" s="1">
        <v>6981.0</v>
      </c>
      <c r="B6543" s="3" t="s">
        <v>6287</v>
      </c>
      <c r="C6543" s="3" t="str">
        <f>IFERROR(__xludf.DUMMYFUNCTION("GOOGLETRANSLATE(B6543,""id"",""en"")"),"['Update', 'Knpa', 'Open']")</f>
        <v>['Update', 'Knpa', 'Open']</v>
      </c>
      <c r="D6543" s="3">
        <v>5.0</v>
      </c>
    </row>
    <row r="6544" ht="15.75" customHeight="1">
      <c r="A6544" s="1">
        <v>6982.0</v>
      </c>
      <c r="B6544" s="3" t="s">
        <v>6288</v>
      </c>
      <c r="C6544" s="3" t="str">
        <f>IFERROR(__xludf.DUMMYFUNCTION("GOOGLETRANSLATE(B6544,""id"",""en"")"),"['already', 'open', 'application', 'screen', 'ngeblank', 'color', 'white', 'severe']")</f>
        <v>['already', 'open', 'application', 'screen', 'ngeblank', 'color', 'white', 'severe']</v>
      </c>
      <c r="D6544" s="3">
        <v>1.0</v>
      </c>
    </row>
    <row r="6545" ht="15.75" customHeight="1">
      <c r="A6545" s="1">
        <v>6984.0</v>
      </c>
      <c r="B6545" s="3" t="s">
        <v>6289</v>
      </c>
      <c r="C6545" s="3" t="str">
        <f>IFERROR(__xludf.DUMMYFUNCTION("GOOGLETRANSLATE(B6545,""id"",""en"")"),"['Min', 'Please', 'Package', 'Cheap', 'Adin']")</f>
        <v>['Min', 'Please', 'Package', 'Cheap', 'Adin']</v>
      </c>
      <c r="D6545" s="3">
        <v>5.0</v>
      </c>
    </row>
    <row r="6546" ht="15.75" customHeight="1">
      <c r="A6546" s="1">
        <v>6986.0</v>
      </c>
      <c r="B6546" s="3" t="s">
        <v>6290</v>
      </c>
      <c r="C6546" s="3" t="str">
        <f>IFERROR(__xludf.DUMMYFUNCTION("GOOGLETRANSLATE(B6546,""id"",""en"")"),"['min', 'please', 'fix', 'signal', 'buy', 'expensive', 'expensive', 'lag', 'mending', 'operator', 'next door']")</f>
        <v>['min', 'please', 'fix', 'signal', 'buy', 'expensive', 'expensive', 'lag', 'mending', 'operator', 'next door']</v>
      </c>
      <c r="D6546" s="3">
        <v>1.0</v>
      </c>
    </row>
    <row r="6547" ht="15.75" customHeight="1">
      <c r="A6547" s="1">
        <v>6987.0</v>
      </c>
      <c r="B6547" s="3" t="s">
        <v>6291</v>
      </c>
      <c r="C6547" s="3" t="str">
        <f>IFERROR(__xludf.DUMMYFUNCTION("GOOGLETRANSLATE(B6547,""id"",""en"")"),"['Maling', 'pulse', 'emang', 'bonus',' reward ',' daily ',' check ',' pulse ',' take-up ',' already ',' quota ',' disappointed ',' really ',' suer ',' already ',' repeated ',' reset ',' beg ',' repaired ',' checked ',' back ',' pulseku ']")</f>
        <v>['Maling', 'pulse', 'emang', 'bonus',' reward ',' daily ',' check ',' pulse ',' take-up ',' already ',' quota ',' disappointed ',' really ',' suer ',' already ',' repeated ',' reset ',' beg ',' repaired ',' checked ',' back ',' pulseku ']</v>
      </c>
      <c r="D6547" s="3">
        <v>1.0</v>
      </c>
    </row>
    <row r="6548" ht="15.75" customHeight="1">
      <c r="A6548" s="1">
        <v>6988.0</v>
      </c>
      <c r="B6548" s="3" t="s">
        <v>6292</v>
      </c>
      <c r="C6548" s="3" t="str">
        <f>IFERROR(__xludf.DUMMYFUNCTION("GOOGLETRANSLATE(B6548,""id"",""en"")"),"['Download', 'Telkomsel', 'Many', 'Dbuka', 'KOQ', 'NGG', 'NGEBLANK', 'DLAYA', 'Download', 'Application']")</f>
        <v>['Download', 'Telkomsel', 'Many', 'Dbuka', 'KOQ', 'NGG', 'NGEBLANK', 'DLAYA', 'Download', 'Application']</v>
      </c>
      <c r="D6548" s="3">
        <v>2.0</v>
      </c>
    </row>
    <row r="6549" ht="15.75" customHeight="1">
      <c r="A6549" s="1">
        <v>6989.0</v>
      </c>
      <c r="B6549" s="3" t="s">
        <v>6293</v>
      </c>
      <c r="C6549" s="3" t="str">
        <f>IFERROR(__xludf.DUMMYFUNCTION("GOOGLETRANSLATE(B6549,""id"",""en"")"),"['voice', 'clear']")</f>
        <v>['voice', 'clear']</v>
      </c>
      <c r="D6549" s="3">
        <v>4.0</v>
      </c>
    </row>
    <row r="6550" ht="15.75" customHeight="1">
      <c r="A6550" s="1">
        <v>6990.0</v>
      </c>
      <c r="B6550" s="3" t="s">
        <v>6294</v>
      </c>
      <c r="C6550" s="3" t="str">
        <f>IFERROR(__xludf.DUMMYFUNCTION("GOOGLETRANSLATE(B6550,""id"",""en"")"),"['Telkomsel', 'Knp', 'signal', 'ugly', 'continued', 'play', 'gemes',' lag ',' signal ',' tetep ',' ugly ',' at home ',' Telkomsel ',' please ',' fix ',' expensive ',' doang ']")</f>
        <v>['Telkomsel', 'Knp', 'signal', 'ugly', 'continued', 'play', 'gemes',' lag ',' signal ',' tetep ',' ugly ',' at home ',' Telkomsel ',' please ',' fix ',' expensive ',' doang ']</v>
      </c>
      <c r="D6550" s="3">
        <v>2.0</v>
      </c>
    </row>
    <row r="6551" ht="15.75" customHeight="1">
      <c r="A6551" s="1">
        <v>6992.0</v>
      </c>
      <c r="B6551" s="3" t="s">
        <v>6295</v>
      </c>
      <c r="C6551" s="3" t="str">
        <f>IFERROR(__xludf.DUMMYFUNCTION("GOOGLETRANSLATE(B6551,""id"",""en"")"),"['application', 'good', 'promo', 'basically', 'good', 'bangeeeeeeeeeee', '']")</f>
        <v>['application', 'good', 'promo', 'basically', 'good', 'bangeeeeeeeeeee', '']</v>
      </c>
      <c r="D6551" s="3">
        <v>5.0</v>
      </c>
    </row>
    <row r="6552" ht="15.75" customHeight="1">
      <c r="A6552" s="1">
        <v>6993.0</v>
      </c>
      <c r="B6552" s="3" t="s">
        <v>6296</v>
      </c>
      <c r="C6552" s="3" t="str">
        <f>IFERROR(__xludf.DUMMYFUNCTION("GOOGLETRANSLATE(B6552,""id"",""en"")"),"['Telkomsel', 'emang', 'Jos', ""]")</f>
        <v>['Telkomsel', 'emang', 'Jos', "]</v>
      </c>
      <c r="D6552" s="3">
        <v>5.0</v>
      </c>
    </row>
    <row r="6553" ht="15.75" customHeight="1">
      <c r="A6553" s="1">
        <v>6994.0</v>
      </c>
      <c r="B6553" s="3" t="s">
        <v>6297</v>
      </c>
      <c r="C6553" s="3" t="str">
        <f>IFERROR(__xludf.DUMMYFUNCTION("GOOGLETRANSLATE(B6553,""id"",""en"")"),"['destination', 'Telkomsel', 'staff', 'staff', 'grapari', 'busy', 'Telkomsel', 'income', '']")</f>
        <v>['destination', 'Telkomsel', 'staff', 'staff', 'grapari', 'busy', 'Telkomsel', 'income', '']</v>
      </c>
      <c r="D6553" s="3">
        <v>3.0</v>
      </c>
    </row>
    <row r="6554" ht="15.75" customHeight="1">
      <c r="A6554" s="1">
        <v>6995.0</v>
      </c>
      <c r="B6554" s="3" t="s">
        <v>6298</v>
      </c>
      <c r="C6554" s="3" t="str">
        <f>IFERROR(__xludf.DUMMYFUNCTION("GOOGLETRANSLATE(B6554,""id"",""en"")"),"['Telkomsel', 'open', 'appears', 'white', 'uninstall', 'install', 'result', 'Please', 'repair']")</f>
        <v>['Telkomsel', 'open', 'appears', 'white', 'uninstall', 'install', 'result', 'Please', 'repair']</v>
      </c>
      <c r="D6554" s="3">
        <v>3.0</v>
      </c>
    </row>
    <row r="6555" ht="15.75" customHeight="1">
      <c r="A6555" s="1">
        <v>6996.0</v>
      </c>
      <c r="B6555" s="3" t="s">
        <v>6299</v>
      </c>
      <c r="C6555" s="3" t="str">
        <f>IFERROR(__xludf.DUMMYFUNCTION("GOOGLETRANSLATE(B6555,""id"",""en"")"),"['Sorry', 'May', 'Telkomsel', 'Signal', 'Sunday', 'Difficult', 'Access',' Internet ',' Telkomsel ',' times', 'Constraints',' Please ',' His heads', 'Thank you', 'Assalamualaikum', 'warahmatullahi', ""]")</f>
        <v>['Sorry', 'May', 'Telkomsel', 'Signal', 'Sunday', 'Difficult', 'Access',' Internet ',' Telkomsel ',' times', 'Constraints',' Please ',' His heads', 'Thank you', 'Assalamualaikum', 'warahmatullahi', "]</v>
      </c>
      <c r="D6555" s="3">
        <v>1.0</v>
      </c>
    </row>
    <row r="6556" ht="15.75" customHeight="1">
      <c r="A6556" s="1">
        <v>6997.0</v>
      </c>
      <c r="B6556" s="3" t="s">
        <v>6300</v>
      </c>
      <c r="C6556" s="3" t="str">
        <f>IFERROR(__xludf.DUMMYFUNCTION("GOOGLETRANSLATE(B6556,""id"",""en"")"),"['It's easy', 'buy', 'quota', 'internet']")</f>
        <v>['It's easy', 'buy', 'quota', 'internet']</v>
      </c>
      <c r="D6556" s="3">
        <v>5.0</v>
      </c>
    </row>
    <row r="6557" ht="15.75" customHeight="1">
      <c r="A6557" s="1">
        <v>6998.0</v>
      </c>
      <c r="B6557" s="3" t="s">
        <v>6301</v>
      </c>
      <c r="C6557" s="3" t="str">
        <f>IFERROR(__xludf.DUMMYFUNCTION("GOOGLETRANSLATE(B6557,""id"",""en"")"),"['Ngeblank', 'White', 'Enter', 'Udh', 'Tumbuin', 'Ngeblank']")</f>
        <v>['Ngeblank', 'White', 'Enter', 'Udh', 'Tumbuin', 'Ngeblank']</v>
      </c>
      <c r="D6557" s="3">
        <v>1.0</v>
      </c>
    </row>
    <row r="6558" ht="15.75" customHeight="1">
      <c r="A6558" s="1">
        <v>6999.0</v>
      </c>
      <c r="B6558" s="3" t="s">
        <v>6302</v>
      </c>
      <c r="C6558" s="3" t="str">
        <f>IFERROR(__xludf.DUMMYFUNCTION("GOOGLETRANSLATE(B6558,""id"",""en"")"),"['easy', 'in', 'check', 'quota']")</f>
        <v>['easy', 'in', 'check', 'quota']</v>
      </c>
      <c r="D6558" s="3">
        <v>5.0</v>
      </c>
    </row>
    <row r="6559" ht="15.75" customHeight="1">
      <c r="A6559" s="1">
        <v>7000.0</v>
      </c>
      <c r="B6559" s="3" t="s">
        <v>6303</v>
      </c>
      <c r="C6559" s="3" t="str">
        <f>IFERROR(__xludf.DUMMYFUNCTION("GOOGLETRANSLATE(B6559,""id"",""en"")"),"['Telkomsel', 'ugly', 'quota', 'yutube', 'GB', 'watch', 'Yutube', 'slow', 'quota', 'internet', 'good', 'signal', ' Strange ',' Nga ',' Denen ',' Telkomsel ']")</f>
        <v>['Telkomsel', 'ugly', 'quota', 'yutube', 'GB', 'watch', 'Yutube', 'slow', 'quota', 'internet', 'good', 'signal', ' Strange ',' Nga ',' Denen ',' Telkomsel ']</v>
      </c>
      <c r="D6559" s="3">
        <v>1.0</v>
      </c>
    </row>
    <row r="6560" ht="15.75" customHeight="1">
      <c r="A6560" s="1">
        <v>7001.0</v>
      </c>
      <c r="B6560" s="3" t="s">
        <v>6304</v>
      </c>
      <c r="C6560" s="3" t="str">
        <f>IFERROR(__xludf.DUMMYFUNCTION("GOOGLETRANSLATE(B6560,""id"",""en"")"),"['Open', 'application', 'Please', 'instructions']")</f>
        <v>['Open', 'application', 'Please', 'instructions']</v>
      </c>
      <c r="D6560" s="3">
        <v>5.0</v>
      </c>
    </row>
    <row r="6561" ht="15.75" customHeight="1">
      <c r="A6561" s="1">
        <v>7002.0</v>
      </c>
      <c r="B6561" s="3" t="s">
        <v>6305</v>
      </c>
      <c r="C6561" s="3" t="str">
        <f>IFERROR(__xludf.DUMMYFUNCTION("GOOGLETRANSLATE(B6561,""id"",""en"")"),"['how', 'grace', 'Telkomsel', 'package', 'a week', 'already', 'run out', 'grace', 'quota', 'Telkomsel', 'customer', 'arrogant', ' a week ',' count ',' Telkomsel ',' Sultan ',' sympathy ',' here ',' expensive ',' love ',' reward ',' donk ',' customer ',' p"&amp;"oor ']")</f>
        <v>['how', 'grace', 'Telkomsel', 'package', 'a week', 'already', 'run out', 'grace', 'quota', 'Telkomsel', 'customer', 'arrogant', ' a week ',' count ',' Telkomsel ',' Sultan ',' sympathy ',' here ',' expensive ',' love ',' reward ',' donk ',' customer ',' poor ']</v>
      </c>
      <c r="D6561" s="3">
        <v>2.0</v>
      </c>
    </row>
    <row r="6562" ht="15.75" customHeight="1">
      <c r="A6562" s="1">
        <v>7003.0</v>
      </c>
      <c r="B6562" s="3" t="s">
        <v>6306</v>
      </c>
      <c r="C6562" s="3" t="str">
        <f>IFERROR(__xludf.DUMMYFUNCTION("GOOGLETRANSLATE(B6562,""id"",""en"")"),"['difficult', 'enter', '']")</f>
        <v>['difficult', 'enter', '']</v>
      </c>
      <c r="D6562" s="3">
        <v>5.0</v>
      </c>
    </row>
    <row r="6563" ht="15.75" customHeight="1">
      <c r="A6563" s="1">
        <v>7004.0</v>
      </c>
      <c r="B6563" s="3" t="s">
        <v>6307</v>
      </c>
      <c r="C6563" s="3" t="str">
        <f>IFERROR(__xludf.DUMMYFUNCTION("GOOGLETRANSLATE(B6563,""id"",""en"")"),"['Ruwetnya', 'application', 'moved', 'im', '']")</f>
        <v>['Ruwetnya', 'application', 'moved', 'im', '']</v>
      </c>
      <c r="D6563" s="3">
        <v>1.0</v>
      </c>
    </row>
    <row r="6564" ht="15.75" customHeight="1">
      <c r="A6564" s="1">
        <v>7005.0</v>
      </c>
      <c r="B6564" s="3" t="s">
        <v>6308</v>
      </c>
      <c r="C6564" s="3" t="str">
        <f>IFERROR(__xludf.DUMMYFUNCTION("GOOGLETRANSLATE(B6564,""id"",""en"")"),"['Come', 'expensive', 'package', 'buy', 'package', 'thousand', 'buy', 'package', 'price', ""]")</f>
        <v>['Come', 'expensive', 'package', 'buy', 'package', 'thousand', 'buy', 'package', 'price', "]</v>
      </c>
      <c r="D6564" s="3">
        <v>1.0</v>
      </c>
    </row>
    <row r="6565" ht="15.75" customHeight="1">
      <c r="A6565" s="1">
        <v>7006.0</v>
      </c>
      <c r="B6565" s="3" t="s">
        <v>6309</v>
      </c>
      <c r="C6565" s="3" t="str">
        <f>IFERROR(__xludf.DUMMYFUNCTION("GOOGLETRANSLATE(B6565,""id"",""en"")"),"['Provider', 'best', 'the most expensive', 'quality', 'service', 'minimal', '']")</f>
        <v>['Provider', 'best', 'the most expensive', 'quality', 'service', 'minimal', '']</v>
      </c>
      <c r="D6565" s="3">
        <v>1.0</v>
      </c>
    </row>
    <row r="6566" ht="15.75" customHeight="1">
      <c r="A6566" s="1">
        <v>7007.0</v>
      </c>
      <c r="B6566" s="3" t="s">
        <v>6310</v>
      </c>
      <c r="C6566" s="3" t="str">
        <f>IFERROR(__xludf.DUMMYFUNCTION("GOOGLETRANSLATE(B6566,""id"",""en"")"),"['Good', 'makes it easy', 'buy', 'package', 'exchange', 'point', 'check', 'pulse', 'quota']")</f>
        <v>['Good', 'makes it easy', 'buy', 'package', 'exchange', 'point', 'check', 'pulse', 'quota']</v>
      </c>
      <c r="D6566" s="3">
        <v>4.0</v>
      </c>
    </row>
    <row r="6567" ht="15.75" customHeight="1">
      <c r="A6567" s="1">
        <v>7008.0</v>
      </c>
      <c r="B6567" s="3" t="s">
        <v>6311</v>
      </c>
      <c r="C6567" s="3" t="str">
        <f>IFERROR(__xludf.DUMMYFUNCTION("GOOGLETRANSLATE(B6567,""id"",""en"")"),"['Kasi', 'star', 'as followed', 'use', 'annual']")</f>
        <v>['Kasi', 'star', 'as followed', 'use', 'annual']</v>
      </c>
      <c r="D6567" s="3">
        <v>5.0</v>
      </c>
    </row>
    <row r="6568" ht="15.75" customHeight="1">
      <c r="A6568" s="1">
        <v>7009.0</v>
      </c>
      <c r="B6568" s="3" t="s">
        <v>6312</v>
      </c>
      <c r="C6568" s="3" t="str">
        <f>IFERROR(__xludf.DUMMYFUNCTION("GOOGLETRANSLATE(B6568,""id"",""en"")"),"['see', 'screen', 'white']")</f>
        <v>['see', 'screen', 'white']</v>
      </c>
      <c r="D6568" s="3">
        <v>1.0</v>
      </c>
    </row>
    <row r="6569" ht="15.75" customHeight="1">
      <c r="A6569" s="1">
        <v>7010.0</v>
      </c>
      <c r="B6569" s="3" t="s">
        <v>6313</v>
      </c>
      <c r="C6569" s="3" t="str">
        <f>IFERROR(__xludf.DUMMYFUNCTION("GOOGLETRANSLATE(B6569,""id"",""en"")"),"['access', 'internet', 'easy', 'quality', 'network', 'rare', 'slow']")</f>
        <v>['access', 'internet', 'easy', 'quality', 'network', 'rare', 'slow']</v>
      </c>
      <c r="D6569" s="3">
        <v>4.0</v>
      </c>
    </row>
    <row r="6570" ht="15.75" customHeight="1">
      <c r="A6570" s="1">
        <v>7011.0</v>
      </c>
      <c r="B6570" s="3" t="s">
        <v>6314</v>
      </c>
      <c r="C6570" s="3" t="str">
        <f>IFERROR(__xludf.DUMMYFUNCTION("GOOGLETRANSLATE(B6570,""id"",""en"")"),"['Application', 'Telkomsel', 'Open']")</f>
        <v>['Application', 'Telkomsel', 'Open']</v>
      </c>
      <c r="D6570" s="3">
        <v>1.0</v>
      </c>
    </row>
    <row r="6571" ht="15.75" customHeight="1">
      <c r="A6571" s="1">
        <v>7012.0</v>
      </c>
      <c r="B6571" s="3" t="s">
        <v>6315</v>
      </c>
      <c r="C6571" s="3" t="str">
        <f>IFERROR(__xludf.DUMMYFUNCTION("GOOGLETRANSLATE(B6571,""id"",""en"")"),"['Addin', 'Menu', 'History', 'Fill', 'Credit', 'Sis', 'Info', 'Credit', 'Enter', 'APK']")</f>
        <v>['Addin', 'Menu', 'History', 'Fill', 'Credit', 'Sis', 'Info', 'Credit', 'Enter', 'APK']</v>
      </c>
      <c r="D6571" s="3">
        <v>1.0</v>
      </c>
    </row>
    <row r="6572" ht="15.75" customHeight="1">
      <c r="A6572" s="1">
        <v>7013.0</v>
      </c>
      <c r="B6572" s="3" t="s">
        <v>6316</v>
      </c>
      <c r="C6572" s="3" t="str">
        <f>IFERROR(__xludf.DUMMYFUNCTION("GOOGLETRANSLATE(B6572,""id"",""en"")"),"['promo', 'package', 'cheap', '']")</f>
        <v>['promo', 'package', 'cheap', '']</v>
      </c>
      <c r="D6572" s="3">
        <v>5.0</v>
      </c>
    </row>
    <row r="6573" ht="15.75" customHeight="1">
      <c r="A6573" s="1">
        <v>7014.0</v>
      </c>
      <c r="B6573" s="3" t="s">
        <v>6317</v>
      </c>
      <c r="C6573" s="3" t="str">
        <f>IFERROR(__xludf.DUMMYFUNCTION("GOOGLETRANSLATE(B6573,""id"",""en"")"),"['Knp', 'Telkomsel', 'Android', 'version', '']")</f>
        <v>['Knp', 'Telkomsel', 'Android', 'version', '']</v>
      </c>
      <c r="D6573" s="3">
        <v>3.0</v>
      </c>
    </row>
    <row r="6574" ht="15.75" customHeight="1">
      <c r="A6574" s="1">
        <v>7015.0</v>
      </c>
      <c r="B6574" s="3" t="s">
        <v>6318</v>
      </c>
      <c r="C6574" s="3" t="str">
        <f>IFERROR(__xludf.DUMMYFUNCTION("GOOGLETRANSLATE(B6574,""id"",""en"")"),"['update', 'screen', 'white', 'buy', 'package', 'difficult', '']")</f>
        <v>['update', 'screen', 'white', 'buy', 'package', 'difficult', '']</v>
      </c>
      <c r="D6574" s="3">
        <v>1.0</v>
      </c>
    </row>
    <row r="6575" ht="15.75" customHeight="1">
      <c r="A6575" s="1">
        <v>7017.0</v>
      </c>
      <c r="B6575" s="3" t="s">
        <v>6319</v>
      </c>
      <c r="C6575" s="3" t="str">
        <f>IFERROR(__xludf.DUMMYFUNCTION("GOOGLETRANSLATE(B6575,""id"",""en"")"),"['', 'enter']")</f>
        <v>['', 'enter']</v>
      </c>
      <c r="D6575" s="3">
        <v>1.0</v>
      </c>
    </row>
    <row r="6576" ht="15.75" customHeight="1">
      <c r="A6576" s="1">
        <v>7018.0</v>
      </c>
      <c r="B6576" s="3" t="s">
        <v>6320</v>
      </c>
      <c r="C6576" s="3" t="str">
        <f>IFERROR(__xludf.DUMMYFUNCTION("GOOGLETRANSLATE(B6576,""id"",""en"")"),"['already', 'a month', 'open', 'app', 'bluntnk', 'already', 'mention', 'twitter', 'response', 'poor']")</f>
        <v>['already', 'a month', 'open', 'app', 'bluntnk', 'already', 'mention', 'twitter', 'response', 'poor']</v>
      </c>
      <c r="D6576" s="3">
        <v>1.0</v>
      </c>
    </row>
    <row r="6577" ht="15.75" customHeight="1">
      <c r="A6577" s="1">
        <v>7019.0</v>
      </c>
      <c r="B6577" s="3" t="s">
        <v>6321</v>
      </c>
      <c r="C6577" s="3" t="str">
        <f>IFERROR(__xludf.DUMMYFUNCTION("GOOGLETRANSLATE(B6577,""id"",""en"")"),"['Download', 'times', 'open', 'comparable', 'price', 'package', 'internet', 'Please', 'repaired', 'tks']")</f>
        <v>['Download', 'times', 'open', 'comparable', 'price', 'package', 'internet', 'Please', 'repaired', 'tks']</v>
      </c>
      <c r="D6577" s="3">
        <v>2.0</v>
      </c>
    </row>
    <row r="6578" ht="15.75" customHeight="1">
      <c r="A6578" s="1">
        <v>7020.0</v>
      </c>
      <c r="B6578" s="3" t="s">
        <v>6322</v>
      </c>
      <c r="C6578" s="3" t="str">
        <f>IFERROR(__xludf.DUMMYFUNCTION("GOOGLETRANSLATE(B6578,""id"",""en"")"),"['Okay', 'Anyway', 'loyal', 'Customer', 'Telkomsel', '']")</f>
        <v>['Okay', 'Anyway', 'loyal', 'Customer', 'Telkomsel', '']</v>
      </c>
      <c r="D6578" s="3">
        <v>5.0</v>
      </c>
    </row>
    <row r="6579" ht="15.75" customHeight="1">
      <c r="A6579" s="1">
        <v>7021.0</v>
      </c>
      <c r="B6579" s="3" t="s">
        <v>6323</v>
      </c>
      <c r="C6579" s="3" t="str">
        <f>IFERROR(__xludf.DUMMYFUNCTION("GOOGLETRANSLATE(B6579,""id"",""en"")"),"['Like', 'Telkomsel']")</f>
        <v>['Like', 'Telkomsel']</v>
      </c>
      <c r="D6579" s="3">
        <v>5.0</v>
      </c>
    </row>
    <row r="6580" ht="15.75" customHeight="1">
      <c r="A6580" s="1">
        <v>7023.0</v>
      </c>
      <c r="B6580" s="3" t="s">
        <v>6324</v>
      </c>
      <c r="C6580" s="3" t="str">
        <f>IFERROR(__xludf.DUMMYFUNCTION("GOOGLETRANSLATE(B6580,""id"",""en"")"),"['network', 'ugly', 'price', 'kouta', 'exchange', 'point', 'package', 'data', 'tetep', 'pay', 'use', 'pulses',' Points', 'regret', 'use', 'Telkomsel', 'use', 'card', 'card', 'point', 'exchange', 'pakat', 'data', 'signabilia', 'setabilia' , 'honest', 'oath"&amp;"', 'Lord', 'use', 'Telkomsel', 'told', 'people', 'old', 'tasty', 'call', 'Telkomsel', 'disgust', ' Ending ',' SPRTI ',' Greetings', 'Bandar', 'Lampung', 'please', 'DperMudah', '']")</f>
        <v>['network', 'ugly', 'price', 'kouta', 'exchange', 'point', 'package', 'data', 'tetep', 'pay', 'use', 'pulses',' Points', 'regret', 'use', 'Telkomsel', 'use', 'card', 'card', 'point', 'exchange', 'pakat', 'data', 'signabilia', 'setabilia' , 'honest', 'oath', 'Lord', 'use', 'Telkomsel', 'told', 'people', 'old', 'tasty', 'call', 'Telkomsel', 'disgust', ' Ending ',' SPRTI ',' Greetings', 'Bandar', 'Lampung', 'please', 'DperMudah', '']</v>
      </c>
      <c r="D6580" s="3">
        <v>1.0</v>
      </c>
    </row>
    <row r="6581" ht="15.75" customHeight="1">
      <c r="A6581" s="1">
        <v>7024.0</v>
      </c>
      <c r="B6581" s="3" t="s">
        <v>6325</v>
      </c>
      <c r="C6581" s="3" t="str">
        <f>IFERROR(__xludf.DUMMYFUNCTION("GOOGLETRANSLATE(B6581,""id"",""en"")"),"['Donoat', 'Deleted', 'Skarang', 'Try', 'BLM', 'BNTG', '']")</f>
        <v>['Donoat', 'Deleted', 'Skarang', 'Try', 'BLM', 'BNTG', '']</v>
      </c>
      <c r="D6581" s="3">
        <v>3.0</v>
      </c>
    </row>
    <row r="6582" ht="15.75" customHeight="1">
      <c r="A6582" s="1">
        <v>7025.0</v>
      </c>
      <c r="B6582" s="3" t="s">
        <v>6326</v>
      </c>
      <c r="C6582" s="3" t="str">
        <f>IFERROR(__xludf.DUMMYFUNCTION("GOOGLETRANSLATE(B6582,""id"",""en"")"),"['Good', 'Bangat', 'Makasi', 'Telkomsel']")</f>
        <v>['Good', 'Bangat', 'Makasi', 'Telkomsel']</v>
      </c>
      <c r="D6582" s="3">
        <v>5.0</v>
      </c>
    </row>
    <row r="6583" ht="15.75" customHeight="1">
      <c r="A6583" s="1">
        <v>7026.0</v>
      </c>
      <c r="B6583" s="3" t="s">
        <v>6327</v>
      </c>
      <c r="C6583" s="3" t="str">
        <f>IFERROR(__xludf.DUMMYFUNCTION("GOOGLETRANSLATE(B6583,""id"",""en"")"),"['Error', 'Application', 'Install', 'Unistal', 'TTP', 'Richit', 'please', 'fix', 'as soon as possible,' no ',' color ',' white ',' Doank ',' ']")</f>
        <v>['Error', 'Application', 'Install', 'Unistal', 'TTP', 'Richit', 'please', 'fix', 'as soon as possible,' no ',' color ',' white ',' Doank ',' ']</v>
      </c>
      <c r="D6583" s="3">
        <v>3.0</v>
      </c>
    </row>
    <row r="6584" ht="15.75" customHeight="1">
      <c r="A6584" s="1">
        <v>7027.0</v>
      </c>
      <c r="B6584" s="3" t="s">
        <v>6328</v>
      </c>
      <c r="C6584" s="3" t="str">
        <f>IFERROR(__xludf.DUMMYFUNCTION("GOOGLETRANSLATE(B6584,""id"",""en"")"),"['Steady', 'Network', 'Good']")</f>
        <v>['Steady', 'Network', 'Good']</v>
      </c>
      <c r="D6584" s="3">
        <v>5.0</v>
      </c>
    </row>
    <row r="6585" ht="15.75" customHeight="1">
      <c r="A6585" s="1">
        <v>7028.0</v>
      </c>
      <c r="B6585" s="3" t="s">
        <v>6329</v>
      </c>
      <c r="C6585" s="3" t="str">
        <f>IFERROR(__xludf.DUMMYFUNCTION("GOOGLETRANSLATE(B6585,""id"",""en"")"),"['', 'Strengthen', 'signal', 'remote', 'mountain', 'Ari', 'sea', 'building', 'sturdy', 'translucent', 'signal', 'bescam', 'translucent ']")</f>
        <v>['', 'Strengthen', 'signal', 'remote', 'mountain', 'Ari', 'sea', 'building', 'sturdy', 'translucent', 'signal', 'bescam', 'translucent ']</v>
      </c>
      <c r="D6585" s="3">
        <v>5.0</v>
      </c>
    </row>
    <row r="6586" ht="15.75" customHeight="1">
      <c r="A6586" s="1">
        <v>7029.0</v>
      </c>
      <c r="B6586" s="3" t="s">
        <v>6330</v>
      </c>
      <c r="C6586" s="3" t="str">
        <f>IFERROR(__xludf.DUMMYFUNCTION("GOOGLETRANSLATE(B6586,""id"",""en"")"),"['wih', 'cheap', '']")</f>
        <v>['wih', 'cheap', '']</v>
      </c>
      <c r="D6586" s="3">
        <v>5.0</v>
      </c>
    </row>
    <row r="6587" ht="15.75" customHeight="1">
      <c r="A6587" s="1">
        <v>7030.0</v>
      </c>
      <c r="B6587" s="3" t="s">
        <v>6331</v>
      </c>
      <c r="C6587" s="3" t="str">
        <f>IFERROR(__xludf.DUMMYFUNCTION("GOOGLETRANSLATE(B6587,""id"",""en"")"),"['Lemot', 'price', 'package', 'expensive', 'geblek']")</f>
        <v>['Lemot', 'price', 'package', 'expensive', 'geblek']</v>
      </c>
      <c r="D6587" s="3">
        <v>1.0</v>
      </c>
    </row>
    <row r="6588" ht="15.75" customHeight="1">
      <c r="A6588" s="1">
        <v>7031.0</v>
      </c>
      <c r="B6588" s="3" t="s">
        <v>6332</v>
      </c>
      <c r="C6588" s="3" t="str">
        <f>IFERROR(__xludf.DUMMYFUNCTION("GOOGLETRANSLATE(B6588,""id"",""en"")"),"['fun', 'promo']")</f>
        <v>['fun', 'promo']</v>
      </c>
      <c r="D6588" s="3">
        <v>5.0</v>
      </c>
    </row>
    <row r="6589" ht="15.75" customHeight="1">
      <c r="A6589" s="1">
        <v>7032.0</v>
      </c>
      <c r="B6589" s="3" t="s">
        <v>6333</v>
      </c>
      <c r="C6589" s="3" t="str">
        <f>IFERROR(__xludf.DUMMYFUNCTION("GOOGLETRANSLATE(B6589,""id"",""en"")"),"['Claim', 'Daily']")</f>
        <v>['Claim', 'Daily']</v>
      </c>
      <c r="D6589" s="3">
        <v>5.0</v>
      </c>
    </row>
    <row r="6590" ht="15.75" customHeight="1">
      <c r="A6590" s="1">
        <v>7034.0</v>
      </c>
      <c r="B6590" s="3" t="s">
        <v>1601</v>
      </c>
      <c r="C6590" s="3" t="str">
        <f>IFERROR(__xludf.DUMMYFUNCTION("GOOGLETRANSLATE(B6590,""id"",""en"")"),"['open']")</f>
        <v>['open']</v>
      </c>
      <c r="D6590" s="3">
        <v>1.0</v>
      </c>
    </row>
    <row r="6591" ht="15.75" customHeight="1">
      <c r="A6591" s="1">
        <v>7035.0</v>
      </c>
      <c r="B6591" s="3" t="s">
        <v>6334</v>
      </c>
      <c r="C6591" s="3" t="str">
        <f>IFERROR(__xludf.DUMMYFUNCTION("GOOGLETRANSLATE(B6591,""id"",""en"")"),"['PAS', 'YouTube', 'quota', 'main', 'reduce', 'quota', 'unlimited', 'YouTube', '']")</f>
        <v>['PAS', 'YouTube', 'quota', 'main', 'reduce', 'quota', 'unlimited', 'YouTube', '']</v>
      </c>
      <c r="D6591" s="3">
        <v>1.0</v>
      </c>
    </row>
    <row r="6592" ht="15.75" customHeight="1">
      <c r="A6592" s="1">
        <v>7036.0</v>
      </c>
      <c r="B6592" s="3" t="s">
        <v>6335</v>
      </c>
      <c r="C6592" s="3" t="str">
        <f>IFERROR(__xludf.DUMMYFUNCTION("GOOGLETRANSLATE(B6592,""id"",""en"")"),"['Steady', 'response', 'fast', 'rely on']")</f>
        <v>['Steady', 'response', 'fast', 'rely on']</v>
      </c>
      <c r="D6592" s="3">
        <v>5.0</v>
      </c>
    </row>
    <row r="6593" ht="15.75" customHeight="1">
      <c r="A6593" s="1">
        <v>7037.0</v>
      </c>
      <c r="B6593" s="3" t="s">
        <v>6336</v>
      </c>
      <c r="C6593" s="3" t="str">
        <f>IFERROR(__xludf.DUMMYFUNCTION("GOOGLETRANSLATE(B6593,""id"",""en"")"),"['BLN', 'Notif', 'SMS', 'leftover', 'quota', 'MB', 'credit', 'RB', 'Out', 'wasted', 'Sia', 'Sia', ' Severe ',' skrg ',' recurring ',' pulse ',' curry ',' data ',' bangkeeee ',' update ',' uda ',' dlm ',' bln ',' December ',' pulses' 'kepotong', 'data', 'p"&amp;"araaaahhhhhhhhh', 'reports',' telkomsel ',' then ',' because ',' already ',' packaged ',' internet ',' TSEL ',' hrga '' Paketan ',' Stay ',' Down ',' Allah ', ""]")</f>
        <v>['BLN', 'Notif', 'SMS', 'leftover', 'quota', 'MB', 'credit', 'RB', 'Out', 'wasted', 'Sia', 'Sia', ' Severe ',' skrg ',' recurring ',' pulse ',' curry ',' data ',' bangkeeee ',' update ',' uda ',' dlm ',' bln ',' December ',' pulses' 'kepotong', 'data', 'paraaaahhhhhhhhh', 'reports',' telkomsel ',' then ',' because ',' already ',' packaged ',' internet ',' TSEL ',' hrga '' Paketan ',' Stay ',' Down ',' Allah ', "]</v>
      </c>
      <c r="D6593" s="3">
        <v>1.0</v>
      </c>
    </row>
    <row r="6594" ht="15.75" customHeight="1">
      <c r="A6594" s="1">
        <v>7038.0</v>
      </c>
      <c r="B6594" s="3" t="s">
        <v>6337</v>
      </c>
      <c r="C6594" s="3" t="str">
        <f>IFERROR(__xludf.DUMMYFUNCTION("GOOGLETRANSLATE(B6594,""id"",""en"")"),"['Golly', 'signal', 'slow']")</f>
        <v>['Golly', 'signal', 'slow']</v>
      </c>
      <c r="D6594" s="3">
        <v>3.0</v>
      </c>
    </row>
    <row r="6595" ht="15.75" customHeight="1">
      <c r="A6595" s="1">
        <v>7039.0</v>
      </c>
      <c r="B6595" s="3" t="s">
        <v>6338</v>
      </c>
      <c r="C6595" s="3" t="str">
        <f>IFERROR(__xludf.DUMMYFUNCTION("GOOGLETRANSLATE(B6595,""id"",""en"")"),"['Fix', 'Network', 'Application', 'Tarip', 'Expensive', 'Service', 'Customer', '']")</f>
        <v>['Fix', 'Network', 'Application', 'Tarip', 'Expensive', 'Service', 'Customer', '']</v>
      </c>
      <c r="D6595" s="3">
        <v>3.0</v>
      </c>
    </row>
    <row r="6596" ht="15.75" customHeight="1">
      <c r="A6596" s="1">
        <v>7040.0</v>
      </c>
      <c r="B6596" s="3" t="s">
        <v>6339</v>
      </c>
      <c r="C6596" s="3" t="str">
        <f>IFERROR(__xludf.DUMMYFUNCTION("GOOGLETRANSLATE(B6596,""id"",""en"")"),"['steady', 'darling', 'APK', 'Android', 'series', 'down']")</f>
        <v>['steady', 'darling', 'APK', 'Android', 'series', 'down']</v>
      </c>
      <c r="D6596" s="3">
        <v>5.0</v>
      </c>
    </row>
    <row r="6597" ht="15.75" customHeight="1">
      <c r="A6597" s="1">
        <v>7041.0</v>
      </c>
      <c r="B6597" s="3" t="s">
        <v>6340</v>
      </c>
      <c r="C6597" s="3" t="str">
        <f>IFERROR(__xludf.DUMMYFUNCTION("GOOGLETRANSLATE(B6597,""id"",""en"")"),"['Restore', 'Features', 'Buy', 'Package', 'History']")</f>
        <v>['Restore', 'Features', 'Buy', 'Package', 'History']</v>
      </c>
      <c r="D6597" s="3">
        <v>1.0</v>
      </c>
    </row>
    <row r="6598" ht="15.75" customHeight="1">
      <c r="A6598" s="1">
        <v>7042.0</v>
      </c>
      <c r="B6598" s="3" t="s">
        <v>6341</v>
      </c>
      <c r="C6598" s="3" t="str">
        <f>IFERROR(__xludf.DUMMYFUNCTION("GOOGLETRANSLATE(B6598,""id"",""en"")"),"['My signal', 'anjg']")</f>
        <v>['My signal', 'anjg']</v>
      </c>
      <c r="D6598" s="3">
        <v>1.0</v>
      </c>
    </row>
    <row r="6599" ht="15.75" customHeight="1">
      <c r="A6599" s="1">
        <v>7043.0</v>
      </c>
      <c r="B6599" s="3" t="s">
        <v>6342</v>
      </c>
      <c r="C6599" s="3" t="str">
        <f>IFERROR(__xludf.DUMMYFUNCTION("GOOGLETRANSLATE(B6599,""id"",""en"")"),"['Payment', 'complicated']")</f>
        <v>['Payment', 'complicated']</v>
      </c>
      <c r="D6599" s="3">
        <v>2.0</v>
      </c>
    </row>
    <row r="6600" ht="15.75" customHeight="1">
      <c r="A6600" s="1">
        <v>7044.0</v>
      </c>
      <c r="B6600" s="3" t="s">
        <v>6343</v>
      </c>
      <c r="C6600" s="3" t="str">
        <f>IFERROR(__xludf.DUMMYFUNCTION("GOOGLETRANSLATE(B6600,""id"",""en"")"),"['', 'Need', 'Help', 'Telkomsel', 'HR', 'made', 'Disappointed', 'KNP', 'Open', 'Application', 'Tokomsel', 'appears',' Hny ',' screen ',' white ',' entry ',' twiter ',' hsl ',' nil ',' package ',' data ',' hbs', 'hrs',' critics', 'tlg', 'Help', 'Knp', 'App"&amp;"lication', 'Telkomsel', 'Open']")</f>
        <v>['', 'Need', 'Help', 'Telkomsel', 'HR', 'made', 'Disappointed', 'KNP', 'Open', 'Application', 'Tokomsel', 'appears',' Hny ',' screen ',' white ',' entry ',' twiter ',' hsl ',' nil ',' package ',' data ',' hbs', 'hrs',' critics', 'tlg', 'Help', 'Knp', 'Application', 'Telkomsel', 'Open']</v>
      </c>
      <c r="D6600" s="3">
        <v>5.0</v>
      </c>
    </row>
    <row r="6601" ht="15.75" customHeight="1">
      <c r="A6601" s="1">
        <v>7045.0</v>
      </c>
      <c r="B6601" s="3" t="s">
        <v>6344</v>
      </c>
      <c r="C6601" s="3" t="str">
        <f>IFERROR(__xludf.DUMMYFUNCTION("GOOGLETRANSLATE(B6601,""id"",""en"")"),"['', 'Reduce', 'Rupiah']")</f>
        <v>['', 'Reduce', 'Rupiah']</v>
      </c>
      <c r="D6601" s="3">
        <v>5.0</v>
      </c>
    </row>
    <row r="6602" ht="15.75" customHeight="1">
      <c r="A6602" s="1">
        <v>7046.0</v>
      </c>
      <c r="B6602" s="3" t="s">
        <v>6345</v>
      </c>
      <c r="C6602" s="3" t="str">
        <f>IFERROR(__xludf.DUMMYFUNCTION("GOOGLETRANSLATE(B6602,""id"",""en"")"),"['', 'good', 'comfortable', 'APK', 'light']")</f>
        <v>['', 'good', 'comfortable', 'APK', 'light']</v>
      </c>
      <c r="D6602" s="3">
        <v>4.0</v>
      </c>
    </row>
    <row r="6603" ht="15.75" customHeight="1">
      <c r="A6603" s="1">
        <v>7047.0</v>
      </c>
      <c r="B6603" s="3" t="s">
        <v>6346</v>
      </c>
      <c r="C6603" s="3" t="str">
        <f>IFERROR(__xludf.DUMMYFUNCTION("GOOGLETRANSLATE(B6603,""id"",""en"")"),"['', 'go', 'ngebleng', 'white', 'then', 'screen', 'please', 'fix']")</f>
        <v>['', 'go', 'ngebleng', 'white', 'then', 'screen', 'please', 'fix']</v>
      </c>
      <c r="D6603" s="3">
        <v>1.0</v>
      </c>
    </row>
    <row r="6604" ht="15.75" customHeight="1">
      <c r="A6604" s="1">
        <v>7048.0</v>
      </c>
      <c r="B6604" s="3" t="s">
        <v>6347</v>
      </c>
      <c r="C6604" s="3" t="str">
        <f>IFERROR(__xludf.DUMMYFUNCTION("GOOGLETRANSLATE(B6604,""id"",""en"")"),"['Steady', 'like', 'continue', 'works', 'Telkomsel']")</f>
        <v>['Steady', 'like', 'continue', 'works', 'Telkomsel']</v>
      </c>
      <c r="D6604" s="3">
        <v>5.0</v>
      </c>
    </row>
    <row r="6605" ht="15.75" customHeight="1">
      <c r="A6605" s="1">
        <v>7049.0</v>
      </c>
      <c r="B6605" s="3" t="s">
        <v>6348</v>
      </c>
      <c r="C6605" s="3" t="str">
        <f>IFERROR(__xludf.DUMMYFUNCTION("GOOGLETRANSLATE(B6605,""id"",""en"")"),"['Please', 'Telkomsel', 'price', 'package', 'data', 'collapsed', 'price', 'little', 'Indonesia', 'easy', 'bankrupt']")</f>
        <v>['Please', 'Telkomsel', 'price', 'package', 'data', 'collapsed', 'price', 'little', 'Indonesia', 'easy', 'bankrupt']</v>
      </c>
      <c r="D6605" s="3">
        <v>5.0</v>
      </c>
    </row>
    <row r="6606" ht="15.75" customHeight="1">
      <c r="A6606" s="1">
        <v>7051.0</v>
      </c>
      <c r="B6606" s="3" t="s">
        <v>6349</v>
      </c>
      <c r="C6606" s="3" t="str">
        <f>IFERROR(__xludf.DUMMYFUNCTION("GOOGLETRANSLATE(B6606,""id"",""en"")"),"['Coercion', 'Anjim', 'Open', 'Lite', 'TRS', 'Click', 'Link', 'Slalu', 'Notif', 'Loan', 'Package', 'Data', ' MB ',' SNGJA ',' Click ',' Pay ',' Bner ',' Kouta ',' Cave ',' Ngapain ',' Ngutank ',' Kouta ',' Asem ', ""]")</f>
        <v>['Coercion', 'Anjim', 'Open', 'Lite', 'TRS', 'Click', 'Link', 'Slalu', 'Notif', 'Loan', 'Package', 'Data', ' MB ',' SNGJA ',' Click ',' Pay ',' Bner ',' Kouta ',' Cave ',' Ngapain ',' Ngutank ',' Kouta ',' Asem ', "]</v>
      </c>
      <c r="D6606" s="3">
        <v>1.0</v>
      </c>
    </row>
    <row r="6607" ht="15.75" customHeight="1">
      <c r="A6607" s="1">
        <v>7052.0</v>
      </c>
      <c r="B6607" s="3" t="s">
        <v>6350</v>
      </c>
      <c r="C6607" s="3" t="str">
        <f>IFERROR(__xludf.DUMMYFUNCTION("GOOGLETRANSLATE(B6607,""id"",""en"")"),"['Network', 'Good', 'mantapppp']")</f>
        <v>['Network', 'Good', 'mantapppp']</v>
      </c>
      <c r="D6607" s="3">
        <v>5.0</v>
      </c>
    </row>
    <row r="6608" ht="15.75" customHeight="1">
      <c r="A6608" s="1">
        <v>7053.0</v>
      </c>
      <c r="B6608" s="3" t="s">
        <v>6351</v>
      </c>
      <c r="C6608" s="3" t="str">
        <f>IFERROR(__xludf.DUMMYFUNCTION("GOOGLETRANSLATE(B6608,""id"",""en"")"),"['Increases', 'promotion', 'Add', 'option', 'method', 'payment', 'makes it easy', 'process', 'purchase', 'quota', ""]")</f>
        <v>['Increases', 'promotion', 'Add', 'option', 'method', 'payment', 'makes it easy', 'process', 'purchase', 'quota', "]</v>
      </c>
      <c r="D6608" s="3">
        <v>5.0</v>
      </c>
    </row>
    <row r="6609" ht="15.75" customHeight="1">
      <c r="A6609" s="1">
        <v>7054.0</v>
      </c>
      <c r="B6609" s="3" t="s">
        <v>6352</v>
      </c>
      <c r="C6609" s="3" t="str">
        <f>IFERROR(__xludf.DUMMYFUNCTION("GOOGLETRANSLATE(B6609,""id"",""en"")"),"['useful', '']")</f>
        <v>['useful', '']</v>
      </c>
      <c r="D6609" s="3">
        <v>5.0</v>
      </c>
    </row>
    <row r="6610" ht="15.75" customHeight="1">
      <c r="A6610" s="1">
        <v>7055.0</v>
      </c>
      <c r="B6610" s="3" t="s">
        <v>6353</v>
      </c>
      <c r="C6610" s="3" t="str">
        <f>IFERROR(__xludf.DUMMYFUNCTION("GOOGLETRANSLATE(B6610,""id"",""en"")"),"['price', 'compete', 'signal', 'strong', 'fast', '']")</f>
        <v>['price', 'compete', 'signal', 'strong', 'fast', '']</v>
      </c>
      <c r="D6610" s="3">
        <v>4.0</v>
      </c>
    </row>
    <row r="6611" ht="15.75" customHeight="1">
      <c r="A6611" s="1">
        <v>7056.0</v>
      </c>
      <c r="B6611" s="3" t="s">
        <v>6354</v>
      </c>
      <c r="C6611" s="3" t="str">
        <f>IFERROR(__xludf.DUMMYFUNCTION("GOOGLETRANSLATE(B6611,""id"",""en"")"),"['Grinwise', 'Addition', 'Moon']")</f>
        <v>['Grinwise', 'Addition', 'Moon']</v>
      </c>
      <c r="D6611" s="3">
        <v>4.0</v>
      </c>
    </row>
    <row r="6612" ht="15.75" customHeight="1">
      <c r="A6612" s="1">
        <v>7057.0</v>
      </c>
      <c r="B6612" s="3" t="s">
        <v>6355</v>
      </c>
      <c r="C6612" s="3" t="str">
        <f>IFERROR(__xludf.DUMMYFUNCTION("GOOGLETRANSLATE(B6612,""id"",""en"")"),"['Telkomsel', 'reach out', 'community', 'NTT']")</f>
        <v>['Telkomsel', 'reach out', 'community', 'NTT']</v>
      </c>
      <c r="D6612" s="3">
        <v>5.0</v>
      </c>
    </row>
    <row r="6613" ht="15.75" customHeight="1">
      <c r="A6613" s="1">
        <v>7058.0</v>
      </c>
      <c r="B6613" s="3" t="s">
        <v>6356</v>
      </c>
      <c r="C6613" s="3" t="str">
        <f>IFERROR(__xludf.DUMMYFUNCTION("GOOGLETRANSLATE(B6613,""id"",""en"")"),"['signal', 'good', 'cost', 'light']")</f>
        <v>['signal', 'good', 'cost', 'light']</v>
      </c>
      <c r="D6613" s="3">
        <v>4.0</v>
      </c>
    </row>
    <row r="6614" ht="15.75" customHeight="1">
      <c r="A6614" s="1">
        <v>7059.0</v>
      </c>
      <c r="B6614" s="3" t="s">
        <v>6357</v>
      </c>
      <c r="C6614" s="3" t="str">
        <f>IFERROR(__xludf.DUMMYFUNCTION("GOOGLETRANSLATE(B6614,""id"",""en"")"),"['Expired', 'SIM', 'Card', 'Changed', 'Fill', 'Credit', 'Expired', 'February', 'Yahya', 'a week', 'Change', ' Expired ',' December ',' SMS ',' Internet ',' Non ',' Package ',' Data ',' Internet ',' Wife ',' Child ',' Server ',' Telkomsel ',' get ' , 'Viru"&amp;"s', 'wife', 'child', 'Hang', 'server', 'information', 'accurate', ""]")</f>
        <v>['Expired', 'SIM', 'Card', 'Changed', 'Fill', 'Credit', 'Expired', 'February', 'Yahya', 'a week', 'Change', ' Expired ',' December ',' SMS ',' Internet ',' Non ',' Package ',' Data ',' Internet ',' Wife ',' Child ',' Server ',' Telkomsel ',' get ' , 'Virus', 'wife', 'child', 'Hang', 'server', 'information', 'accurate', "]</v>
      </c>
      <c r="D6614" s="3">
        <v>1.0</v>
      </c>
    </row>
    <row r="6615" ht="15.75" customHeight="1">
      <c r="A6615" s="1">
        <v>7061.0</v>
      </c>
      <c r="B6615" s="3" t="s">
        <v>6358</v>
      </c>
      <c r="C6615" s="3" t="str">
        <f>IFERROR(__xludf.DUMMYFUNCTION("GOOGLETRANSLATE(B6615,""id"",""en"")"),"['Help', 'Cool', 'Telkomsel']")</f>
        <v>['Help', 'Cool', 'Telkomsel']</v>
      </c>
      <c r="D6615" s="3">
        <v>5.0</v>
      </c>
    </row>
    <row r="6616" ht="15.75" customHeight="1">
      <c r="A6616" s="1">
        <v>7062.0</v>
      </c>
      <c r="B6616" s="3" t="s">
        <v>6359</v>
      </c>
      <c r="C6616" s="3" t="str">
        <f>IFERROR(__xludf.DUMMYFUNCTION("GOOGLETRANSLATE(B6616,""id"",""en"")"),"['Telkomel', 'dashing', 'now', 'weak', 'open', 'apk', 'difficult', 'please', 'fix']")</f>
        <v>['Telkomel', 'dashing', 'now', 'weak', 'open', 'apk', 'difficult', 'please', 'fix']</v>
      </c>
      <c r="D6616" s="3">
        <v>1.0</v>
      </c>
    </row>
    <row r="6617" ht="15.75" customHeight="1">
      <c r="A6617" s="1">
        <v>7063.0</v>
      </c>
      <c r="B6617" s="3" t="s">
        <v>6360</v>
      </c>
      <c r="C6617" s="3" t="str">
        <f>IFERROR(__xludf.DUMMYFUNCTION("GOOGLETRANSLATE(B6617,""id"",""en"")"),"['knp', 'skrg', 'pke', 'link', 'pay', '']")</f>
        <v>['knp', 'skrg', 'pke', 'link', 'pay', '']</v>
      </c>
      <c r="D6617" s="3">
        <v>2.0</v>
      </c>
    </row>
    <row r="6618" ht="15.75" customHeight="1">
      <c r="A6618" s="1">
        <v>7064.0</v>
      </c>
      <c r="B6618" s="3" t="s">
        <v>6361</v>
      </c>
      <c r="C6618" s="3" t="str">
        <f>IFERROR(__xludf.DUMMYFUNCTION("GOOGLETRANSLATE(B6618,""id"",""en"")"),"['application', 'opened', 'Samsung', 'Galaxy', 'Please', 'fix', 'application', 'difficulty', 'buy', 'quota', 'check', 'quota', ' etc', '']")</f>
        <v>['application', 'opened', 'Samsung', 'Galaxy', 'Please', 'fix', 'application', 'difficulty', 'buy', 'quota', 'check', 'quota', ' etc', '']</v>
      </c>
      <c r="D6618" s="3">
        <v>1.0</v>
      </c>
    </row>
    <row r="6619" ht="15.75" customHeight="1">
      <c r="A6619" s="1">
        <v>7065.0</v>
      </c>
      <c r="B6619" s="3" t="s">
        <v>6362</v>
      </c>
      <c r="C6619" s="3" t="str">
        <f>IFERROR(__xludf.DUMMYFUNCTION("GOOGLETRANSLATE(B6619,""id"",""en"")"),"['Not bad', 'expensive', 'price', 'package']")</f>
        <v>['Not bad', 'expensive', 'price', 'package']</v>
      </c>
      <c r="D6619" s="3">
        <v>4.0</v>
      </c>
    </row>
    <row r="6620" ht="15.75" customHeight="1">
      <c r="A6620" s="1">
        <v>7066.0</v>
      </c>
      <c r="B6620" s="3" t="s">
        <v>6363</v>
      </c>
      <c r="C6620" s="3" t="str">
        <f>IFERROR(__xludf.DUMMYFUNCTION("GOOGLETRANSLATE(B6620,""id"",""en"")"),"['Internet', 'Kenceng', 'spend', 'quota', 'main', 'quota', 'sosmed', '']")</f>
        <v>['Internet', 'Kenceng', 'spend', 'quota', 'main', 'quota', 'sosmed', '']</v>
      </c>
      <c r="D6620" s="3">
        <v>4.0</v>
      </c>
    </row>
    <row r="6621" ht="15.75" customHeight="1">
      <c r="A6621" s="1">
        <v>7067.0</v>
      </c>
      <c r="B6621" s="3" t="s">
        <v>6364</v>
      </c>
      <c r="C6621" s="3" t="str">
        <f>IFERROR(__xludf.DUMMYFUNCTION("GOOGLETRANSLATE(B6621,""id"",""en"")"),"['signal', 'slow', 'until', 'bner', 'bner', 'gada', 'signal', 'what', 'try']")</f>
        <v>['signal', 'slow', 'until', 'bner', 'bner', 'gada', 'signal', 'what', 'try']</v>
      </c>
      <c r="D6621" s="3">
        <v>1.0</v>
      </c>
    </row>
    <row r="6622" ht="15.75" customHeight="1">
      <c r="A6622" s="1">
        <v>7068.0</v>
      </c>
      <c r="B6622" s="3" t="s">
        <v>6365</v>
      </c>
      <c r="C6622" s="3" t="str">
        <f>IFERROR(__xludf.DUMMYFUNCTION("GOOGLETRANSLATE(B6622,""id"",""en"")"),"['Application', 'Daily', 'Login', 'Daily', 'Free', 'Internet', 'Please', 'Married', 'Serimaksih', ""]")</f>
        <v>['Application', 'Daily', 'Login', 'Daily', 'Free', 'Internet', 'Please', 'Married', 'Serimaksih', "]</v>
      </c>
      <c r="D6622" s="3">
        <v>4.0</v>
      </c>
    </row>
    <row r="6623" ht="15.75" customHeight="1">
      <c r="A6623" s="1">
        <v>7069.0</v>
      </c>
      <c r="B6623" s="3" t="s">
        <v>2198</v>
      </c>
      <c r="C6623" s="3" t="str">
        <f>IFERROR(__xludf.DUMMYFUNCTION("GOOGLETRANSLATE(B6623,""id"",""en"")"),"['easy', 'use']")</f>
        <v>['easy', 'use']</v>
      </c>
      <c r="D6623" s="3">
        <v>3.0</v>
      </c>
    </row>
    <row r="6624" ht="15.75" customHeight="1">
      <c r="A6624" s="1">
        <v>7070.0</v>
      </c>
      <c r="B6624" s="3" t="s">
        <v>6366</v>
      </c>
      <c r="C6624" s="3" t="str">
        <f>IFERROR(__xludf.DUMMYFUNCTION("GOOGLETRANSLATE(B6624,""id"",""en"")"),"['use', 'Telkomsel', 'pokonya', 'steady']")</f>
        <v>['use', 'Telkomsel', 'pokonya', 'steady']</v>
      </c>
      <c r="D6624" s="3">
        <v>5.0</v>
      </c>
    </row>
    <row r="6625" ht="15.75" customHeight="1">
      <c r="A6625" s="1">
        <v>7071.0</v>
      </c>
      <c r="B6625" s="3" t="s">
        <v>6367</v>
      </c>
      <c r="C6625" s="3" t="str">
        <f>IFERROR(__xludf.DUMMYFUNCTION("GOOGLETRANSLATE(B6625,""id"",""en"")"),"['Practical', 'fast']")</f>
        <v>['Practical', 'fast']</v>
      </c>
      <c r="D6625" s="3">
        <v>5.0</v>
      </c>
    </row>
    <row r="6626" ht="15.75" customHeight="1">
      <c r="A6626" s="1">
        <v>7072.0</v>
      </c>
      <c r="B6626" s="3" t="s">
        <v>6368</v>
      </c>
      <c r="C6626" s="3" t="str">
        <f>IFERROR(__xludf.DUMMYFUNCTION("GOOGLETRANSLATE(B6626,""id"",""en"")"),"['enter', 'APK', 'screen', 'white', 'then', 'branda']")</f>
        <v>['enter', 'APK', 'screen', 'white', 'then', 'branda']</v>
      </c>
      <c r="D6626" s="3">
        <v>1.0</v>
      </c>
    </row>
    <row r="6627" ht="15.75" customHeight="1">
      <c r="A6627" s="1">
        <v>7073.0</v>
      </c>
      <c r="B6627" s="3" t="s">
        <v>6369</v>
      </c>
      <c r="C6627" s="3" t="str">
        <f>IFERROR(__xludf.DUMMYFUNCTION("GOOGLETRANSLATE(B6627,""id"",""en"")"),"['Accept', 'Kasih', 'Telkomsel', 'SERVICE', 'HOPE', 'Service', 'Increases',' Dimasa ',' Bravo ',' Jaya ',' TRS ',' Telkomsel ',' ']")</f>
        <v>['Accept', 'Kasih', 'Telkomsel', 'SERVICE', 'HOPE', 'Service', 'Increases',' Dimasa ',' Bravo ',' Jaya ',' TRS ',' Telkomsel ',' ']</v>
      </c>
      <c r="D6627" s="3">
        <v>4.0</v>
      </c>
    </row>
    <row r="6628" ht="15.75" customHeight="1">
      <c r="A6628" s="1">
        <v>7074.0</v>
      </c>
      <c r="B6628" s="3" t="s">
        <v>6370</v>
      </c>
      <c r="C6628" s="3" t="str">
        <f>IFERROR(__xludf.DUMMYFUNCTION("GOOGLETRANSLATE(B6628,""id"",""en"")"),"['application', 'class', 'teri', 'difficult', 'open', 'emotion', 'sorry', 'please', 'contact', 'contact', 'person', '']")</f>
        <v>['application', 'class', 'teri', 'difficult', 'open', 'emotion', 'sorry', 'please', 'contact', 'contact', 'person', '']</v>
      </c>
      <c r="D6628" s="3">
        <v>1.0</v>
      </c>
    </row>
    <row r="6629" ht="15.75" customHeight="1">
      <c r="A6629" s="1">
        <v>7075.0</v>
      </c>
      <c r="B6629" s="3" t="s">
        <v>6371</v>
      </c>
      <c r="C6629" s="3" t="str">
        <f>IFERROR(__xludf.DUMMYFUNCTION("GOOGLETRANSLATE(B6629,""id"",""en"")"),"['APK', 'Download', 'open']")</f>
        <v>['APK', 'Download', 'open']</v>
      </c>
      <c r="D6629" s="3">
        <v>2.0</v>
      </c>
    </row>
    <row r="6630" ht="15.75" customHeight="1">
      <c r="A6630" s="1">
        <v>7076.0</v>
      </c>
      <c r="B6630" s="3" t="s">
        <v>6372</v>
      </c>
      <c r="C6630" s="3" t="str">
        <f>IFERROR(__xludf.DUMMYFUNCTION("GOOGLETRANSLATE(B6630,""id"",""en"")"),"['application', 'makes it easy', 'buy', 'package', 'data', 'leftover', 'quota', 'dapetin', 'gift', ""]")</f>
        <v>['application', 'makes it easy', 'buy', 'package', 'data', 'leftover', 'quota', 'dapetin', 'gift', "]</v>
      </c>
      <c r="D6630" s="3">
        <v>5.0</v>
      </c>
    </row>
    <row r="6631" ht="15.75" customHeight="1">
      <c r="A6631" s="1">
        <v>7077.0</v>
      </c>
      <c r="B6631" s="3" t="s">
        <v>6373</v>
      </c>
      <c r="C6631" s="3" t="str">
        <f>IFERROR(__xludf.DUMMYFUNCTION("GOOGLETRANSLATE(B6631,""id"",""en"")"),"['Credit', 'quota', 'expensive', 'network', 'internet', 'bad', 'really', ""]")</f>
        <v>['Credit', 'quota', 'expensive', 'network', 'internet', 'bad', 'really', "]</v>
      </c>
      <c r="D6631" s="3">
        <v>1.0</v>
      </c>
    </row>
    <row r="6632" ht="15.75" customHeight="1">
      <c r="A6632" s="1">
        <v>7078.0</v>
      </c>
      <c r="B6632" s="3" t="s">
        <v>6374</v>
      </c>
      <c r="C6632" s="3" t="str">
        <f>IFERROR(__xludf.DUMMYFUNCTION("GOOGLETRANSLATE(B6632,""id"",""en"")"),"['Trying', 'Understanding', 'Codisi', 'Weather', 'Nuru', 'nuruin', 'Signal', 'Telkom', 'Ujan', 'Gaada', 'Signal', 'Okay', ' Min ']")</f>
        <v>['Trying', 'Understanding', 'Codisi', 'Weather', 'Nuru', 'nuruin', 'Signal', 'Telkom', 'Ujan', 'Gaada', 'Signal', 'Okay', ' Min ']</v>
      </c>
      <c r="D6632" s="3">
        <v>5.0</v>
      </c>
    </row>
    <row r="6633" ht="15.75" customHeight="1">
      <c r="A6633" s="1">
        <v>7079.0</v>
      </c>
      <c r="B6633" s="3" t="s">
        <v>6375</v>
      </c>
      <c r="C6633" s="3" t="str">
        <f>IFERROR(__xludf.DUMMYFUNCTION("GOOGLETRANSLATE(B6633,""id"",""en"")"),"['application', 'choice', 'main']")</f>
        <v>['application', 'choice', 'main']</v>
      </c>
      <c r="D6633" s="3">
        <v>5.0</v>
      </c>
    </row>
    <row r="6634" ht="15.75" customHeight="1">
      <c r="A6634" s="1">
        <v>7080.0</v>
      </c>
      <c r="B6634" s="3" t="s">
        <v>6376</v>
      </c>
      <c r="C6634" s="3" t="str">
        <f>IFERROR(__xludf.DUMMYFUNCTION("GOOGLETRANSLATE(B6634,""id"",""en"")"),"['Application', 'Kayak', 'Look', 'Look', 'Komen', 'comment', 'Ngeblank', 'White', 'already', 'Clear', 'cache', 'already', ' HPUS ',' Data ',' already ',' forced ',' stop ',' already ',' enter ',' Tetep ', ""]")</f>
        <v>['Application', 'Kayak', 'Look', 'Look', 'Komen', 'comment', 'Ngeblank', 'White', 'already', 'Clear', 'cache', 'already', ' HPUS ',' Data ',' already ',' forced ',' stop ',' already ',' enter ',' Tetep ', "]</v>
      </c>
      <c r="D6634" s="3">
        <v>1.0</v>
      </c>
    </row>
    <row r="6635" ht="15.75" customHeight="1">
      <c r="A6635" s="1">
        <v>7081.0</v>
      </c>
      <c r="B6635" s="3" t="s">
        <v>6377</v>
      </c>
      <c r="C6635" s="3" t="str">
        <f>IFERROR(__xludf.DUMMYFUNCTION("GOOGLETRANSLATE(B6635,""id"",""en"")"),"['update', 'bonus', 'package']")</f>
        <v>['update', 'bonus', 'package']</v>
      </c>
      <c r="D6635" s="3">
        <v>5.0</v>
      </c>
    </row>
    <row r="6636" ht="15.75" customHeight="1">
      <c r="A6636" s="1">
        <v>7082.0</v>
      </c>
      <c r="B6636" s="3" t="s">
        <v>6378</v>
      </c>
      <c r="C6636" s="3" t="str">
        <f>IFERROR(__xludf.DUMMYFUNCTION("GOOGLETRANSLATE(B6636,""id"",""en"")"),"['network', 'Telkomsel', 'missing', 'sudden', 'expensive', 'quality']")</f>
        <v>['network', 'Telkomsel', 'missing', 'sudden', 'expensive', 'quality']</v>
      </c>
      <c r="D6636" s="3">
        <v>1.0</v>
      </c>
    </row>
    <row r="6637" ht="15.75" customHeight="1">
      <c r="A6637" s="1">
        <v>7083.0</v>
      </c>
      <c r="B6637" s="3" t="s">
        <v>777</v>
      </c>
      <c r="C6637" s="3" t="str">
        <f>IFERROR(__xludf.DUMMYFUNCTION("GOOGLETRANSLATE(B6637,""id"",""en"")"),"['Application', 'Good', '']")</f>
        <v>['Application', 'Good', '']</v>
      </c>
      <c r="D6637" s="3">
        <v>5.0</v>
      </c>
    </row>
    <row r="6638" ht="15.75" customHeight="1">
      <c r="A6638" s="1">
        <v>7084.0</v>
      </c>
      <c r="B6638" s="3" t="s">
        <v>6379</v>
      </c>
      <c r="C6638" s="3" t="str">
        <f>IFERROR(__xludf.DUMMYFUNCTION("GOOGLETRANSLATE(B6638,""id"",""en"")"),"['Mantab', 'practical']")</f>
        <v>['Mantab', 'practical']</v>
      </c>
      <c r="D6638" s="3">
        <v>5.0</v>
      </c>
    </row>
    <row r="6639" ht="15.75" customHeight="1">
      <c r="A6639" s="1">
        <v>7085.0</v>
      </c>
      <c r="B6639" s="3" t="s">
        <v>6380</v>
      </c>
      <c r="C6639" s="3" t="str">
        <f>IFERROR(__xludf.DUMMYFUNCTION("GOOGLETRANSLATE(B6639,""id"",""en"")"),"['Is there', 'intention', 'Telkomsel', 'Meng', 'update', 'fix', 'application', 'complaints',' user ',' application ',' open ',' solution ',' Confirm ',' account ',' Twitter ',' Telkomsel ',' Etc. ',' ']")</f>
        <v>['Is there', 'intention', 'Telkomsel', 'Meng', 'update', 'fix', 'application', 'complaints',' user ',' application ',' open ',' solution ',' Confirm ',' account ',' Twitter ',' Telkomsel ',' Etc. ',' ']</v>
      </c>
      <c r="D6639" s="3">
        <v>1.0</v>
      </c>
    </row>
    <row r="6640" ht="15.75" customHeight="1">
      <c r="A6640" s="1">
        <v>7086.0</v>
      </c>
      <c r="B6640" s="3" t="s">
        <v>6381</v>
      </c>
      <c r="C6640" s="3" t="str">
        <f>IFERROR(__xludf.DUMMYFUNCTION("GOOGLETRANSLATE(B6640,""id"",""en"")"),"['Kirain', 'access',' Telkomsel ',' user ',' complaints', 'Lho', 'min', 'file', 'garbage', 'chace', 'clean', 'tetep', ' blank ',' white ',' that's', 'open', 'the application', 'please', 'follow up', '']")</f>
        <v>['Kirain', 'access',' Telkomsel ',' user ',' complaints', 'Lho', 'min', 'file', 'garbage', 'chace', 'clean', 'tetep', ' blank ',' white ',' that's', 'open', 'the application', 'please', 'follow up', '']</v>
      </c>
      <c r="D6640" s="3">
        <v>1.0</v>
      </c>
    </row>
    <row r="6641" ht="15.75" customHeight="1">
      <c r="A6641" s="1">
        <v>7087.0</v>
      </c>
      <c r="B6641" s="3" t="s">
        <v>6382</v>
      </c>
      <c r="C6641" s="3" t="str">
        <f>IFERROR(__xludf.DUMMYFUNCTION("GOOGLETRANSLATE(B6641,""id"",""en"")"),"['looks', 'interesting', 'please', 'information', 'updated', '']")</f>
        <v>['looks', 'interesting', 'please', 'information', 'updated', '']</v>
      </c>
      <c r="D6641" s="3">
        <v>5.0</v>
      </c>
    </row>
    <row r="6642" ht="15.75" customHeight="1">
      <c r="A6642" s="1">
        <v>7088.0</v>
      </c>
      <c r="B6642" s="3" t="s">
        <v>6383</v>
      </c>
      <c r="C6642" s="3" t="str">
        <f>IFERROR(__xludf.DUMMYFUNCTION("GOOGLETRANSLATE(B6642,""id"",""en"")"),"['', 'opened', 'blank', 'putib', 'doank', 'husband', 'old school', 'mdh', 'mlh', 'palm', 'blank', 'bkn', 'application ',' accessed ',' Telkomsel ',' Professional ',' Hrsny ',' service ',' comparable ',' farny ',' Mehong ',' Poolll ', ""]")</f>
        <v>['', 'opened', 'blank', 'putib', 'doank', 'husband', 'old school', 'mdh', 'mlh', 'palm', 'blank', 'bkn', 'application ',' accessed ',' Telkomsel ',' Professional ',' Hrsny ',' service ',' comparable ',' farny ',' Mehong ',' Poolll ', "]</v>
      </c>
      <c r="D6642" s="3">
        <v>1.0</v>
      </c>
    </row>
    <row r="6643" ht="15.75" customHeight="1">
      <c r="A6643" s="1">
        <v>7089.0</v>
      </c>
      <c r="B6643" s="3" t="s">
        <v>6384</v>
      </c>
      <c r="C6643" s="3" t="str">
        <f>IFERROR(__xludf.DUMMYFUNCTION("GOOGLETRANSLATE(B6643,""id"",""en"")"),"['Increase', 'promo', 'promo', 'des', 'yaa']")</f>
        <v>['Increase', 'promo', 'promo', 'des', 'yaa']</v>
      </c>
      <c r="D6643" s="3">
        <v>5.0</v>
      </c>
    </row>
    <row r="6644" ht="15.75" customHeight="1">
      <c r="A6644" s="1">
        <v>7090.0</v>
      </c>
      <c r="B6644" s="3" t="s">
        <v>6385</v>
      </c>
      <c r="C6644" s="3" t="str">
        <f>IFERROR(__xludf.DUMMYFUNCTION("GOOGLETRANSLATE(B6644,""id"",""en"")"),"['Internet', 'Telkomsel', 'good', 'satisfying', 'signal', 'good']")</f>
        <v>['Internet', 'Telkomsel', 'good', 'satisfying', 'signal', 'good']</v>
      </c>
      <c r="D6644" s="3">
        <v>4.0</v>
      </c>
    </row>
    <row r="6645" ht="15.75" customHeight="1">
      <c r="A6645" s="1">
        <v>7091.0</v>
      </c>
      <c r="B6645" s="3" t="s">
        <v>6386</v>
      </c>
      <c r="C6645" s="3" t="str">
        <f>IFERROR(__xludf.DUMMYFUNCTION("GOOGLETRANSLATE(B6645,""id"",""en"")"),"['Down', 'star', 'update', 'slow', 'daily', 'chek', 'doang', 'all', 'network', 'kasian', 'in the area', 'pulses',' "", 'Gures', 'Network', 'ugly', 'credit', 'missing', 'internet', 'active', 'Telkomsel', 'propider', 'quota', 'finished', 'eat' , 'Credit', '"&amp;"Telkomsel', 'eat', 'credit', 'trick', 'sales',' Telkomsel ',' Sorry ',' Maling ',' his name ',' please ',' repaired ',' Love ',' Bintang ',' Thank you ', ""]")</f>
        <v>['Down', 'star', 'update', 'slow', 'daily', 'chek', 'doang', 'all', 'network', 'kasian', 'in the area', 'pulses',' ", 'Gures', 'Network', 'ugly', 'credit', 'missing', 'internet', 'active', 'Telkomsel', 'propider', 'quota', 'finished', 'eat' , 'Credit', 'Telkomsel', 'eat', 'credit', 'trick', 'sales',' Telkomsel ',' Sorry ',' Maling ',' his name ',' please ',' repaired ',' Love ',' Bintang ',' Thank you ', "]</v>
      </c>
      <c r="D6645" s="3">
        <v>3.0</v>
      </c>
    </row>
    <row r="6646" ht="15.75" customHeight="1">
      <c r="A6646" s="1">
        <v>7092.0</v>
      </c>
      <c r="B6646" s="3" t="s">
        <v>6387</v>
      </c>
      <c r="C6646" s="3" t="str">
        <f>IFERROR(__xludf.DUMMYFUNCTION("GOOGLETRANSLATE(B6646,""id"",""en"")"),"['Uninstall', 'Crowded', 'Dipake', 'Application']")</f>
        <v>['Uninstall', 'Crowded', 'Dipake', 'Application']</v>
      </c>
      <c r="D6646" s="3">
        <v>1.0</v>
      </c>
    </row>
    <row r="6647" ht="15.75" customHeight="1">
      <c r="A6647" s="1">
        <v>7093.0</v>
      </c>
      <c r="B6647" s="3" t="s">
        <v>6388</v>
      </c>
      <c r="C6647" s="3" t="str">
        <f>IFERROR(__xludf.DUMMYFUNCTION("GOOGLETRANSLATE(B6647,""id"",""en"")"),"['', 'Open', 'the application', 'glassauuuu']")</f>
        <v>['', 'Open', 'the application', 'glassauuuu']</v>
      </c>
      <c r="D6647" s="3">
        <v>1.0</v>
      </c>
    </row>
    <row r="6648" ht="15.75" customHeight="1">
      <c r="A6648" s="1">
        <v>7094.0</v>
      </c>
      <c r="B6648" s="3" t="s">
        <v>6389</v>
      </c>
      <c r="C6648" s="3" t="str">
        <f>IFERROR(__xludf.DUMMYFUNCTION("GOOGLETRANSLATE(B6648,""id"",""en"")"),"['Langaung', 'enter', 'purchase', 'pulse']")</f>
        <v>['Langaung', 'enter', 'purchase', 'pulse']</v>
      </c>
      <c r="D6648" s="3">
        <v>5.0</v>
      </c>
    </row>
    <row r="6649" ht="15.75" customHeight="1">
      <c r="A6649" s="1">
        <v>7095.0</v>
      </c>
      <c r="B6649" s="3" t="s">
        <v>6390</v>
      </c>
      <c r="C6649" s="3" t="str">
        <f>IFERROR(__xludf.DUMMYFUNCTION("GOOGLETRANSLATE(B6649,""id"",""en"")"),"['', 'Useful', 'Open', 'Aplimkasi', 'White', '']")</f>
        <v>['', 'Useful', 'Open', 'Aplimkasi', 'White', '']</v>
      </c>
      <c r="D6649" s="3">
        <v>1.0</v>
      </c>
    </row>
    <row r="6650" ht="15.75" customHeight="1">
      <c r="A6650" s="1">
        <v>7096.0</v>
      </c>
      <c r="B6650" s="3" t="s">
        <v>6391</v>
      </c>
      <c r="C6650" s="3" t="str">
        <f>IFERROR(__xludf.DUMMYFUNCTION("GOOGLETRANSLATE(B6650,""id"",""en"")"),"['Dbuka', 'Telkomsel']")</f>
        <v>['Dbuka', 'Telkomsel']</v>
      </c>
      <c r="D6650" s="3">
        <v>1.0</v>
      </c>
    </row>
    <row r="6651" ht="15.75" customHeight="1">
      <c r="A6651" s="1">
        <v>7097.0</v>
      </c>
      <c r="B6651" s="3" t="s">
        <v>6392</v>
      </c>
      <c r="C6651" s="3" t="str">
        <f>IFERROR(__xludf.DUMMYFUNCTION("GOOGLETRANSLATE(B6651,""id"",""en"")"),"['Slalu', 'best']")</f>
        <v>['Slalu', 'best']</v>
      </c>
      <c r="D6651" s="3">
        <v>5.0</v>
      </c>
    </row>
    <row r="6652" ht="15.75" customHeight="1">
      <c r="A6652" s="1">
        <v>7099.0</v>
      </c>
      <c r="B6652" s="3" t="s">
        <v>6393</v>
      </c>
      <c r="C6652" s="3" t="str">
        <f>IFERROR(__xludf.DUMMYFUNCTION("GOOGLETRANSLATE(B6652,""id"",""en"")"),"['', 'BNTANG', 'DLU', '']")</f>
        <v>['', 'BNTANG', 'DLU', '']</v>
      </c>
      <c r="D6652" s="3">
        <v>1.0</v>
      </c>
    </row>
    <row r="6653" ht="15.75" customHeight="1">
      <c r="A6653" s="1">
        <v>7100.0</v>
      </c>
      <c r="B6653" s="3" t="s">
        <v>6394</v>
      </c>
      <c r="C6653" s="3" t="str">
        <f>IFERROR(__xludf.DUMMYFUNCTION("GOOGLETRANSLATE(B6653,""id"",""en"")"),"['Severe', 'Android', 'Kebuka', 'Dissel', 'Downlod']")</f>
        <v>['Severe', 'Android', 'Kebuka', 'Dissel', 'Downlod']</v>
      </c>
      <c r="D6653" s="3">
        <v>1.0</v>
      </c>
    </row>
    <row r="6654" ht="15.75" customHeight="1">
      <c r="A6654" s="1">
        <v>7101.0</v>
      </c>
      <c r="B6654" s="3" t="s">
        <v>6395</v>
      </c>
      <c r="C6654" s="3" t="str">
        <f>IFERROR(__xludf.DUMMYFUNCTION("GOOGLETRANSLATE(B6654,""id"",""en"")"),"['hopefully', 'in the future', 'Good', 'Lack', 'Telkomsel']")</f>
        <v>['hopefully', 'in the future', 'Good', 'Lack', 'Telkomsel']</v>
      </c>
      <c r="D6654" s="3">
        <v>4.0</v>
      </c>
    </row>
    <row r="6655" ht="15.75" customHeight="1">
      <c r="A6655" s="1">
        <v>7102.0</v>
      </c>
      <c r="B6655" s="3" t="s">
        <v>6396</v>
      </c>
      <c r="C6655" s="3" t="str">
        <f>IFERROR(__xludf.DUMMYFUNCTION("GOOGLETRANSLATE(B6655,""id"",""en"")"),"['The application', 'good', 'info', 'complete', 'accurate', 'increase']")</f>
        <v>['The application', 'good', 'info', 'complete', 'accurate', 'increase']</v>
      </c>
      <c r="D6655" s="3">
        <v>5.0</v>
      </c>
    </row>
    <row r="6656" ht="15.75" customHeight="1">
      <c r="A6656" s="1">
        <v>7103.0</v>
      </c>
      <c r="B6656" s="3" t="s">
        <v>6397</v>
      </c>
      <c r="C6656" s="3" t="str">
        <f>IFERROR(__xludf.DUMMYFUNCTION("GOOGLETRANSLATE(B6656,""id"",""en"")"),"['Severe', 'abiz', 'Telkomsel', 'Different', 'promo', 'cheap', 'begangett', 'peace', 'quality', 'oky', 'Jaya', ""]")</f>
        <v>['Severe', 'abiz', 'Telkomsel', 'Different', 'promo', 'cheap', 'begangett', 'peace', 'quality', 'oky', 'Jaya', "]</v>
      </c>
      <c r="D6656" s="3">
        <v>4.0</v>
      </c>
    </row>
    <row r="6657" ht="15.75" customHeight="1">
      <c r="A6657" s="1">
        <v>7104.0</v>
      </c>
      <c r="B6657" s="3" t="s">
        <v>6398</v>
      </c>
      <c r="C6657" s="3" t="str">
        <f>IFERROR(__xludf.DUMMYFUNCTION("GOOGLETRANSLATE(B6657,""id"",""en"")"),"['Application', 'Bener', 'IN', 'already', 'open', 'ngblank', 'screen', 'white', 'doang', 'yesterday', 'comment', 'application', ' Benerin ',' Komenan ',' Haseinin ', ""]")</f>
        <v>['Application', 'Bener', 'IN', 'already', 'open', 'ngblank', 'screen', 'white', 'doang', 'yesterday', 'comment', 'application', ' Benerin ',' Komenan ',' Haseinin ', "]</v>
      </c>
      <c r="D6657" s="3">
        <v>1.0</v>
      </c>
    </row>
    <row r="6658" ht="15.75" customHeight="1">
      <c r="A6658" s="1">
        <v>7105.0</v>
      </c>
      <c r="B6658" s="3" t="s">
        <v>6399</v>
      </c>
      <c r="C6658" s="3" t="str">
        <f>IFERROR(__xludf.DUMMYFUNCTION("GOOGLETRANSLATE(B6658,""id"",""en"")"),"['satisfying', 'service']")</f>
        <v>['satisfying', 'service']</v>
      </c>
      <c r="D6658" s="3">
        <v>5.0</v>
      </c>
    </row>
    <row r="6659" ht="15.75" customHeight="1">
      <c r="A6659" s="1">
        <v>7107.0</v>
      </c>
      <c r="B6659" s="3" t="s">
        <v>6400</v>
      </c>
      <c r="C6659" s="3" t="str">
        <f>IFERROR(__xludf.DUMMYFUNCTION("GOOGLETRANSLATE(B6659,""id"",""en"")"),"['Disappointed', 'update', 'check', 'pulse', 'quota', 'shopping', 'package', 'internet', 'Telkomsel', 'open', 'white', 'use', ' Good ',' Samsung ',' Samsung ',' Open ',' Application ',' Telkomsel ',' Application ',' Telkomsel ',' People ',' Rich ',' Cheap"&amp;" ',' Android ', ""]")</f>
        <v>['Disappointed', 'update', 'check', 'pulse', 'quota', 'shopping', 'package', 'internet', 'Telkomsel', 'open', 'white', 'use', ' Good ',' Samsung ',' Samsung ',' Open ',' Application ',' Telkomsel ',' Application ',' Telkomsel ',' People ',' Rich ',' Cheap ',' Android ', "]</v>
      </c>
      <c r="D6659" s="3">
        <v>1.0</v>
      </c>
    </row>
    <row r="6660" ht="15.75" customHeight="1">
      <c r="A6660" s="1">
        <v>7108.0</v>
      </c>
      <c r="B6660" s="3" t="s">
        <v>3713</v>
      </c>
      <c r="C6660" s="3" t="str">
        <f>IFERROR(__xludf.DUMMYFUNCTION("GOOGLETRANSLATE(B6660,""id"",""en"")"),"['Steady', 'APK']")</f>
        <v>['Steady', 'APK']</v>
      </c>
      <c r="D6660" s="3">
        <v>5.0</v>
      </c>
    </row>
    <row r="6661" ht="15.75" customHeight="1">
      <c r="A6661" s="1">
        <v>7109.0</v>
      </c>
      <c r="B6661" s="3" t="s">
        <v>6401</v>
      </c>
      <c r="C6661" s="3" t="str">
        <f>IFERROR(__xludf.DUMMYFUNCTION("GOOGLETRANSLATE(B6661,""id"",""en"")"),"['Good', 'quality']")</f>
        <v>['Good', 'quality']</v>
      </c>
      <c r="D6661" s="3">
        <v>5.0</v>
      </c>
    </row>
    <row r="6662" ht="15.75" customHeight="1">
      <c r="A6662" s="1">
        <v>7110.0</v>
      </c>
      <c r="B6662" s="3" t="s">
        <v>6402</v>
      </c>
      <c r="C6662" s="3" t="str">
        <f>IFERROR(__xludf.DUMMYFUNCTION("GOOGLETRANSLATE(B6662,""id"",""en"")"),"['makes it easy for', 'pulse', 'package', 'data']")</f>
        <v>['makes it easy for', 'pulse', 'package', 'data']</v>
      </c>
      <c r="D6662" s="3">
        <v>5.0</v>
      </c>
    </row>
    <row r="6663" ht="15.75" customHeight="1">
      <c r="A6663" s="1">
        <v>7111.0</v>
      </c>
      <c r="B6663" s="3" t="s">
        <v>6403</v>
      </c>
      <c r="C6663" s="3" t="str">
        <f>IFERROR(__xludf.DUMMYFUNCTION("GOOGLETRANSLATE(B6663,""id"",""en"")"),"['', 'down', 'price', '']")</f>
        <v>['', 'down', 'price', '']</v>
      </c>
      <c r="D6663" s="3">
        <v>3.0</v>
      </c>
    </row>
    <row r="6664" ht="15.75" customHeight="1">
      <c r="A6664" s="1">
        <v>7112.0</v>
      </c>
      <c r="B6664" s="3" t="s">
        <v>6404</v>
      </c>
      <c r="C6664" s="3" t="str">
        <f>IFERROR(__xludf.DUMMYFUNCTION("GOOGLETRANSLATE(B6664,""id"",""en"")"),"['ugly', 'open', ""]")</f>
        <v>['ugly', 'open', "]</v>
      </c>
      <c r="D6664" s="3">
        <v>1.0</v>
      </c>
    </row>
    <row r="6665" ht="15.75" customHeight="1">
      <c r="A6665" s="1">
        <v>7113.0</v>
      </c>
      <c r="B6665" s="3" t="s">
        <v>6405</v>
      </c>
      <c r="C6665" s="3" t="str">
        <f>IFERROR(__xludf.DUMMYFUNCTION("GOOGLETRANSLATE(B6665,""id"",""en"")"),"['Good', 'good', 'promo', 'gift', 'darling', 'blm', 'get', 'gift', ""]")</f>
        <v>['Good', 'good', 'promo', 'gift', 'darling', 'blm', 'get', 'gift', "]</v>
      </c>
      <c r="D6665" s="3">
        <v>5.0</v>
      </c>
    </row>
    <row r="6666" ht="15.75" customHeight="1">
      <c r="A6666" s="1">
        <v>7114.0</v>
      </c>
      <c r="B6666" s="3" t="s">
        <v>6406</v>
      </c>
      <c r="C6666" s="3" t="str">
        <f>IFERROR(__xludf.DUMMYFUNCTION("GOOGLETRANSLATE(B6666,""id"",""en"")"),"['interesting', 'good', 'enjoy']")</f>
        <v>['interesting', 'good', 'enjoy']</v>
      </c>
      <c r="D6666" s="3">
        <v>5.0</v>
      </c>
    </row>
    <row r="6667" ht="15.75" customHeight="1">
      <c r="A6667" s="1">
        <v>7115.0</v>
      </c>
      <c r="B6667" s="3" t="s">
        <v>6407</v>
      </c>
      <c r="C6667" s="3" t="str">
        <f>IFERROR(__xludf.DUMMYFUNCTION("GOOGLETRANSLATE(B6667,""id"",""en"")"),"['Network', 'Good', 'Malem', 'Cih', 'Like', 'Sometimes', 'Sometimes', 'ilang', 'Network']")</f>
        <v>['Network', 'Good', 'Malem', 'Cih', 'Like', 'Sometimes', 'Sometimes', 'ilang', 'Network']</v>
      </c>
      <c r="D6667" s="3">
        <v>1.0</v>
      </c>
    </row>
    <row r="6668" ht="15.75" customHeight="1">
      <c r="A6668" s="1">
        <v>7116.0</v>
      </c>
      <c r="B6668" s="3" t="s">
        <v>6408</v>
      </c>
      <c r="C6668" s="3" t="str">
        <f>IFERROR(__xludf.DUMMYFUNCTION("GOOGLETRANSLATE(B6668,""id"",""en"")"),"['Easy', 'buwat', 'transaction']")</f>
        <v>['Easy', 'buwat', 'transaction']</v>
      </c>
      <c r="D6668" s="3">
        <v>5.0</v>
      </c>
    </row>
    <row r="6669" ht="15.75" customHeight="1">
      <c r="A6669" s="1">
        <v>7117.0</v>
      </c>
      <c r="B6669" s="3" t="s">
        <v>6409</v>
      </c>
      <c r="C6669" s="3" t="str">
        <f>IFERROR(__xludf.DUMMYFUNCTION("GOOGLETRANSLATE(B6669,""id"",""en"")"),"['already', 'many', 'times',' Install ',' dapetny ',' screen ',' white ',' doang ',' my coin ',' already ',' entered ',' gover it ',' Stars', 'hopefully', 'disappointed', 'make', 'Iakn', 'friend', '']")</f>
        <v>['already', 'many', 'times',' Install ',' dapetny ',' screen ',' white ',' doang ',' my coin ',' already ',' entered ',' gover it ',' Stars', 'hopefully', 'disappointed', 'make', 'Iakn', 'friend', '']</v>
      </c>
      <c r="D6669" s="3">
        <v>5.0</v>
      </c>
    </row>
    <row r="6670" ht="15.75" customHeight="1">
      <c r="A6670" s="1">
        <v>7118.0</v>
      </c>
      <c r="B6670" s="3" t="s">
        <v>6410</v>
      </c>
      <c r="C6670" s="3" t="str">
        <f>IFERROR(__xludf.DUMMYFUNCTION("GOOGLETRANSLATE(B6670,""id"",""en"")"),"['application', 'bln', 'the application', 'kaga', 'open', 'telkomsel', 'oath', ""]")</f>
        <v>['application', 'bln', 'the application', 'kaga', 'open', 'telkomsel', 'oath', "]</v>
      </c>
      <c r="D6670" s="3">
        <v>1.0</v>
      </c>
    </row>
    <row r="6671" ht="15.75" customHeight="1">
      <c r="A6671" s="1">
        <v>7119.0</v>
      </c>
      <c r="B6671" s="3" t="s">
        <v>6411</v>
      </c>
      <c r="C6671" s="3" t="str">
        <f>IFERROR(__xludf.DUMMYFUNCTION("GOOGLETRANSLATE(B6671,""id"",""en"")"),"['Application', 'Gajelas', 'Provider', 'Gajelas', 'Bill', 'Gede', 'Outside', 'Open', 'Application', 'Blank', 'White', ""]")</f>
        <v>['Application', 'Gajelas', 'Provider', 'Gajelas', 'Bill', 'Gede', 'Outside', 'Open', 'Application', 'Blank', 'White', "]</v>
      </c>
      <c r="D6671" s="3">
        <v>1.0</v>
      </c>
    </row>
    <row r="6672" ht="15.75" customHeight="1">
      <c r="A6672" s="1">
        <v>7120.0</v>
      </c>
      <c r="B6672" s="3" t="s">
        <v>6412</v>
      </c>
      <c r="C6672" s="3" t="str">
        <f>IFERROR(__xludf.DUMMYFUNCTION("GOOGLETRANSLATE(B6672,""id"",""en"")"),"['Disappointed', 'Application', 'here', 'Helping', 'makes it easier', 'mbulet', 'because' robot ',' price ',' package ',' follow ',' erratated ',' Dizziness', 'choice', 'according to', 'need', 'bags',' consumers', '']")</f>
        <v>['Disappointed', 'Application', 'here', 'Helping', 'makes it easier', 'mbulet', 'because' robot ',' price ',' package ',' follow ',' erratated ',' Dizziness', 'choice', 'according to', 'need', 'bags',' consumers', '']</v>
      </c>
      <c r="D6672" s="3">
        <v>1.0</v>
      </c>
    </row>
    <row r="6673" ht="15.75" customHeight="1">
      <c r="A6673" s="1">
        <v>7121.0</v>
      </c>
      <c r="B6673" s="3" t="s">
        <v>6413</v>
      </c>
      <c r="C6673" s="3" t="str">
        <f>IFERROR(__xludf.DUMMYFUNCTION("GOOGLETRANSLATE(B6673,""id"",""en"")"),"['Network', 'ugly', 'package', 'expensive', 'pulp', 'recommend', 'cell']")</f>
        <v>['Network', 'ugly', 'package', 'expensive', 'pulp', 'recommend', 'cell']</v>
      </c>
      <c r="D6673" s="3">
        <v>1.0</v>
      </c>
    </row>
    <row r="6674" ht="15.75" customHeight="1">
      <c r="A6674" s="1">
        <v>7123.0</v>
      </c>
      <c r="B6674" s="3" t="s">
        <v>6414</v>
      </c>
      <c r="C6674" s="3" t="str">
        <f>IFERROR(__xludf.DUMMYFUNCTION("GOOGLETRANSLATE(B6674,""id"",""en"")"),"['already', 'choose', 'package', 'night', 'pulse', 'run out', '']")</f>
        <v>['already', 'choose', 'package', 'night', 'pulse', 'run out', '']</v>
      </c>
      <c r="D6674" s="3">
        <v>1.0</v>
      </c>
    </row>
    <row r="6675" ht="15.75" customHeight="1">
      <c r="A6675" s="1">
        <v>7124.0</v>
      </c>
      <c r="B6675" s="3" t="s">
        <v>6415</v>
      </c>
      <c r="C6675" s="3" t="str">
        <f>IFERROR(__xludf.DUMMYFUNCTION("GOOGLETRANSLATE(B6675,""id"",""en"")"),"['Increase', 'The network']")</f>
        <v>['Increase', 'The network']</v>
      </c>
      <c r="D6675" s="3">
        <v>5.0</v>
      </c>
    </row>
    <row r="6676" ht="15.75" customHeight="1">
      <c r="A6676" s="1">
        <v>7125.0</v>
      </c>
      <c r="B6676" s="3" t="s">
        <v>6416</v>
      </c>
      <c r="C6676" s="3" t="str">
        <f>IFERROR(__xludf.DUMMYFUNCTION("GOOGLETRANSLATE(B6676,""id"",""en"")"),"['knp', 'pulse', 'buy', 'dri', 'kmrin', 'blm', 'entered', 'pdhl', 'dri', 'conter', 'udh', 'success',' send']")</f>
        <v>['knp', 'pulse', 'buy', 'dri', 'kmrin', 'blm', 'entered', 'pdhl', 'dri', 'conter', 'udh', 'success',' send']</v>
      </c>
      <c r="D6676" s="3">
        <v>1.0</v>
      </c>
    </row>
    <row r="6677" ht="15.75" customHeight="1">
      <c r="A6677" s="1">
        <v>7126.0</v>
      </c>
      <c r="B6677" s="3" t="s">
        <v>6417</v>
      </c>
      <c r="C6677" s="3" t="str">
        <f>IFERROR(__xludf.DUMMYFUNCTION("GOOGLETRANSLATE(B6677,""id"",""en"")"),"['Hopefully', 'Lucky', 'Honda', 'Adv', 'Congratulations', 'Christmas', 'Telkomsel', 'Success']")</f>
        <v>['Hopefully', 'Lucky', 'Honda', 'Adv', 'Congratulations', 'Christmas', 'Telkomsel', 'Success']</v>
      </c>
      <c r="D6677" s="3">
        <v>5.0</v>
      </c>
    </row>
    <row r="6678" ht="15.75" customHeight="1">
      <c r="A6678" s="1">
        <v>7127.0</v>
      </c>
      <c r="B6678" s="3" t="s">
        <v>6418</v>
      </c>
      <c r="C6678" s="3" t="str">
        <f>IFERROR(__xludf.DUMMYFUNCTION("GOOGLETRANSLATE(B6678,""id"",""en"")"),"['gabisa', 'open', 'screen', 'white', 'doang', 'already', 'force', 'stop', 'clear', 'chace', 'appain', 'tetep', ' severe ',' update ',' kayak ',' gini ']")</f>
        <v>['gabisa', 'open', 'screen', 'white', 'doang', 'already', 'force', 'stop', 'clear', 'chace', 'appain', 'tetep', ' severe ',' update ',' kayak ',' gini ']</v>
      </c>
      <c r="D6678" s="3">
        <v>1.0</v>
      </c>
    </row>
    <row r="6679" ht="15.75" customHeight="1">
      <c r="A6679" s="1">
        <v>7128.0</v>
      </c>
      <c r="B6679" s="3" t="s">
        <v>6419</v>
      </c>
      <c r="C6679" s="3" t="str">
        <f>IFERROR(__xludf.DUMMYFUNCTION("GOOGLETRANSLATE(B6679,""id"",""en"")"),"['night', 'download', 'application', 'hmm', 'read', 'review', 'owh', 'bngt', 'application', 'open', 'nge', 'blank', ' deh ',' closed ']")</f>
        <v>['night', 'download', 'application', 'hmm', 'read', 'review', 'owh', 'bngt', 'application', 'open', 'nge', 'blank', ' deh ',' closed ']</v>
      </c>
      <c r="D6679" s="3">
        <v>1.0</v>
      </c>
    </row>
    <row r="6680" ht="15.75" customHeight="1">
      <c r="A6680" s="1">
        <v>7129.0</v>
      </c>
      <c r="B6680" s="3" t="s">
        <v>6420</v>
      </c>
      <c r="C6680" s="3" t="str">
        <f>IFERROR(__xludf.DUMMYFUNCTION("GOOGLETRANSLATE(B6680,""id"",""en"")"),"['love', 'star', 'getting', 'soak', 'point', 'love', 'notification', 'mng', 'afraid', 'ktipu']")</f>
        <v>['love', 'star', 'getting', 'soak', 'point', 'love', 'notification', 'mng', 'afraid', 'ktipu']</v>
      </c>
      <c r="D6680" s="3">
        <v>2.0</v>
      </c>
    </row>
    <row r="6681" ht="15.75" customHeight="1">
      <c r="A6681" s="1">
        <v>7130.0</v>
      </c>
      <c r="B6681" s="3" t="s">
        <v>6421</v>
      </c>
      <c r="C6681" s="3" t="str">
        <f>IFERROR(__xludf.DUMMYFUNCTION("GOOGLETRANSLATE(B6681,""id"",""en"")"),"['Kasi', 'star', 'easy', 'hopefully']")</f>
        <v>['Kasi', 'star', 'easy', 'hopefully']</v>
      </c>
      <c r="D6681" s="3">
        <v>5.0</v>
      </c>
    </row>
    <row r="6682" ht="15.75" customHeight="1">
      <c r="A6682" s="1">
        <v>7132.0</v>
      </c>
      <c r="B6682" s="3" t="s">
        <v>1167</v>
      </c>
      <c r="C6682" s="3" t="str">
        <f>IFERROR(__xludf.DUMMYFUNCTION("GOOGLETRANSLATE(B6682,""id"",""en"")"),"['help']")</f>
        <v>['help']</v>
      </c>
      <c r="D6682" s="3">
        <v>5.0</v>
      </c>
    </row>
    <row r="6683" ht="15.75" customHeight="1">
      <c r="A6683" s="1">
        <v>7133.0</v>
      </c>
      <c r="B6683" s="3" t="s">
        <v>6422</v>
      </c>
      <c r="C6683" s="3" t="str">
        <f>IFERROR(__xludf.DUMMYFUNCTION("GOOGLETRANSLATE(B6683,""id"",""en"")"),"['Severe', 'Daily', 'Login', 'Biasany', 'get', 'Koutaa', 'Need', 'Login', 'Skarang', 'Get', 'Kouta', 'GB', ' GB ',' Free ',' Ampe ',' Hazed ',' ']")</f>
        <v>['Severe', 'Daily', 'Login', 'Biasany', 'get', 'Koutaa', 'Need', 'Login', 'Skarang', 'Get', 'Kouta', 'GB', ' GB ',' Free ',' Ampe ',' Hazed ',' ']</v>
      </c>
      <c r="D6683" s="3">
        <v>2.0</v>
      </c>
    </row>
    <row r="6684" ht="15.75" customHeight="1">
      <c r="A6684" s="1">
        <v>7134.0</v>
      </c>
      <c r="B6684" s="3" t="s">
        <v>6423</v>
      </c>
      <c r="C6684" s="3" t="str">
        <f>IFERROR(__xludf.DUMMYFUNCTION("GOOGLETRANSLATE(B6684,""id"",""en"")"),"['Star', 'star', 'network', 'sympathy', 'gabener', 'in the area', 'nap', 'already', 'buy', 'quota', 'expensive', 'play', ' Game ',' internet ',' RTO ',' break up ',' stable ',' as a result ',' reconnect ',' please ',' repaired ',' already ',' sosmed ',' s"&amp;"osmed ',' gada ' , 'response']")</f>
        <v>['Star', 'star', 'network', 'sympathy', 'gabener', 'in the area', 'nap', 'already', 'buy', 'quota', 'expensive', 'play', ' Game ',' internet ',' RTO ',' break up ',' stable ',' as a result ',' reconnect ',' please ',' repaired ',' already ',' sosmed ',' sosmed ',' gada ' , 'response']</v>
      </c>
      <c r="D6684" s="3">
        <v>1.0</v>
      </c>
    </row>
    <row r="6685" ht="15.75" customHeight="1">
      <c r="A6685" s="1">
        <v>7136.0</v>
      </c>
      <c r="B6685" s="3" t="s">
        <v>6424</v>
      </c>
      <c r="C6685" s="3" t="str">
        <f>IFERROR(__xludf.DUMMYFUNCTION("GOOGLETRANSLATE(B6685,""id"",""en"")"),"['Package', 'expensive', 'Wait', 'promo']")</f>
        <v>['Package', 'expensive', 'Wait', 'promo']</v>
      </c>
      <c r="D6685" s="3">
        <v>4.0</v>
      </c>
    </row>
    <row r="6686" ht="15.75" customHeight="1">
      <c r="A6686" s="1">
        <v>7137.0</v>
      </c>
      <c r="B6686" s="3" t="s">
        <v>6425</v>
      </c>
      <c r="C6686" s="3" t="str">
        <f>IFERROR(__xludf.DUMMYFUNCTION("GOOGLETRANSLATE(B6686,""id"",""en"")"),"['quota', 'watch', 'eat', 'quota', 'main', 'quota', 'local', 'Feedah', '']")</f>
        <v>['quota', 'watch', 'eat', 'quota', 'main', 'quota', 'local', 'Feedah', '']</v>
      </c>
      <c r="D6686" s="3">
        <v>4.0</v>
      </c>
    </row>
    <row r="6687" ht="15.75" customHeight="1">
      <c r="A6687" s="1">
        <v>7139.0</v>
      </c>
      <c r="B6687" s="3" t="s">
        <v>6426</v>
      </c>
      <c r="C6687" s="3" t="str">
        <f>IFERROR(__xludf.DUMMYFUNCTION("GOOGLETRANSLATE(B6687,""id"",""en"")"),"['bad', 'disappointed', 'service', 'skrng']")</f>
        <v>['bad', 'disappointed', 'service', 'skrng']</v>
      </c>
      <c r="D6687" s="3">
        <v>1.0</v>
      </c>
    </row>
    <row r="6688" ht="15.75" customHeight="1">
      <c r="A6688" s="1">
        <v>7140.0</v>
      </c>
      <c r="B6688" s="3" t="s">
        <v>6427</v>
      </c>
      <c r="C6688" s="3" t="str">
        <f>IFERROR(__xludf.DUMMYFUNCTION("GOOGLETRANSLATE(B6688,""id"",""en"")"),"['Upgrade', 'open']")</f>
        <v>['Upgrade', 'open']</v>
      </c>
      <c r="D6688" s="3">
        <v>1.0</v>
      </c>
    </row>
    <row r="6689" ht="15.75" customHeight="1">
      <c r="A6689" s="1">
        <v>7141.0</v>
      </c>
      <c r="B6689" s="3" t="s">
        <v>6428</v>
      </c>
      <c r="C6689" s="3" t="str">
        <f>IFERROR(__xludf.DUMMYFUNCTION("GOOGLETRANSLATE(B6689,""id"",""en"")"),"['Vocer', 'discount', 'pakek']")</f>
        <v>['Vocer', 'discount', 'pakek']</v>
      </c>
      <c r="D6689" s="3">
        <v>1.0</v>
      </c>
    </row>
    <row r="6690" ht="15.75" customHeight="1">
      <c r="A6690" s="1">
        <v>7142.0</v>
      </c>
      <c r="B6690" s="3" t="s">
        <v>6429</v>
      </c>
      <c r="C6690" s="3" t="str">
        <f>IFERROR(__xludf.DUMMYFUNCTION("GOOGLETRANSLATE(B6690,""id"",""en"")"),"['signal', 'strange', 'Telkomsel', 'Maen', 'game', 'price', 'expensive', 'quality', 'lose', 'card', 'card', 'cheap']")</f>
        <v>['signal', 'strange', 'Telkomsel', 'Maen', 'game', 'price', 'expensive', 'quality', 'lose', 'card', 'card', 'cheap']</v>
      </c>
      <c r="D6690" s="3">
        <v>1.0</v>
      </c>
    </row>
    <row r="6691" ht="15.75" customHeight="1">
      <c r="A6691" s="1">
        <v>7143.0</v>
      </c>
      <c r="B6691" s="3" t="s">
        <v>6430</v>
      </c>
      <c r="C6691" s="3" t="str">
        <f>IFERROR(__xludf.DUMMYFUNCTION("GOOGLETRANSLATE(B6691,""id"",""en"")"),"['Please', 'Purchase', 'Package', 'Internet', 'Telkomsel', 'Cheap', 'Thank', ""]")</f>
        <v>['Please', 'Purchase', 'Package', 'Internet', 'Telkomsel', 'Cheap', 'Thank', "]</v>
      </c>
      <c r="D6691" s="3">
        <v>5.0</v>
      </c>
    </row>
    <row r="6692" ht="15.75" customHeight="1">
      <c r="A6692" s="1">
        <v>7144.0</v>
      </c>
      <c r="B6692" s="3" t="s">
        <v>6431</v>
      </c>
      <c r="C6692" s="3" t="str">
        <f>IFERROR(__xludf.DUMMYFUNCTION("GOOGLETRANSLATE(B6692,""id"",""en"")"),"['trap', 'Bethmen']")</f>
        <v>['trap', 'Bethmen']</v>
      </c>
      <c r="D6692" s="3">
        <v>1.0</v>
      </c>
    </row>
    <row r="6693" ht="15.75" customHeight="1">
      <c r="A6693" s="1">
        <v>7145.0</v>
      </c>
      <c r="B6693" s="3" t="s">
        <v>6432</v>
      </c>
      <c r="C6693" s="3" t="str">
        <f>IFERROR(__xludf.DUMMYFUNCTION("GOOGLETRANSLATE(B6693,""id"",""en"")"),"['oii', 'ngelag', 'really', 'signal', 'game', 'what', '']")</f>
        <v>['oii', 'ngelag', 'really', 'signal', 'game', 'what', '']</v>
      </c>
      <c r="D6693" s="3">
        <v>1.0</v>
      </c>
    </row>
    <row r="6694" ht="15.75" customHeight="1">
      <c r="A6694" s="1">
        <v>7146.0</v>
      </c>
      <c r="B6694" s="3" t="s">
        <v>6433</v>
      </c>
      <c r="C6694" s="3" t="str">
        <f>IFERROR(__xludf.DUMMYFUNCTION("GOOGLETRANSLATE(B6694,""id"",""en"")"),"['', 'get', 'promo', 'cheap', '']")</f>
        <v>['', 'get', 'promo', 'cheap', '']</v>
      </c>
      <c r="D6694" s="3">
        <v>1.0</v>
      </c>
    </row>
    <row r="6695" ht="15.75" customHeight="1">
      <c r="A6695" s="1">
        <v>7147.0</v>
      </c>
      <c r="B6695" s="3" t="s">
        <v>6434</v>
      </c>
      <c r="C6695" s="3" t="str">
        <f>IFERROR(__xludf.DUMMYFUNCTION("GOOGLETRANSLATE(B6695,""id"",""en"")"),"['Collapin', 'Bintang', 'buy', 'Package', 'GB', 'Available', 'Belom', 'Collapin', 'Star', 'apk', 'Delete']")</f>
        <v>['Collapin', 'Bintang', 'buy', 'Package', 'GB', 'Available', 'Belom', 'Collapin', 'Star', 'apk', 'Delete']</v>
      </c>
      <c r="D6695" s="3">
        <v>1.0</v>
      </c>
    </row>
    <row r="6696" ht="15.75" customHeight="1">
      <c r="A6696" s="1">
        <v>7149.0</v>
      </c>
      <c r="B6696" s="3" t="s">
        <v>6435</v>
      </c>
      <c r="C6696" s="3" t="str">
        <f>IFERROR(__xludf.DUMMYFUNCTION("GOOGLETRANSLATE(B6696,""id"",""en"")"),"['signal', 'Telkomsel', 'ugly', 'package', 'expensive']")</f>
        <v>['signal', 'Telkomsel', 'ugly', 'package', 'expensive']</v>
      </c>
      <c r="D6696" s="3">
        <v>1.0</v>
      </c>
    </row>
    <row r="6697" ht="15.75" customHeight="1">
      <c r="A6697" s="1">
        <v>7150.0</v>
      </c>
      <c r="B6697" s="3" t="s">
        <v>6436</v>
      </c>
      <c r="C6697" s="3" t="str">
        <f>IFERROR(__xludf.DUMMYFUNCTION("GOOGLETRANSLATE(B6697,""id"",""en"")"),"['Komenan', 'deleted']")</f>
        <v>['Komenan', 'deleted']</v>
      </c>
      <c r="D6697" s="3">
        <v>1.0</v>
      </c>
    </row>
    <row r="6698" ht="15.75" customHeight="1">
      <c r="A6698" s="1">
        <v>7151.0</v>
      </c>
      <c r="B6698" s="3" t="s">
        <v>6437</v>
      </c>
      <c r="C6698" s="3" t="str">
        <f>IFERROR(__xludf.DUMMYFUNCTION("GOOGLETRANSLATE(B6698,""id"",""en"")"),"['easy', 'practical']")</f>
        <v>['easy', 'practical']</v>
      </c>
      <c r="D6698" s="3">
        <v>5.0</v>
      </c>
    </row>
    <row r="6699" ht="15.75" customHeight="1">
      <c r="A6699" s="1">
        <v>7152.0</v>
      </c>
      <c r="B6699" s="3" t="s">
        <v>6438</v>
      </c>
      <c r="C6699" s="3" t="str">
        <f>IFERROR(__xludf.DUMMYFUNCTION("GOOGLETRANSLATE(B6699,""id"",""en"")"),"['Personal', 'harmed', 'buy', 'expensive', 'package', 'quota', 'sympathy', 'reliable', 'buy', 'good', 'good', 'nawarin', ' Move ',' Hello ',' Allah ',' Fix ',' System ',' BANGJE ',' ']")</f>
        <v>['Personal', 'harmed', 'buy', 'expensive', 'package', 'quota', 'sympathy', 'reliable', 'buy', 'good', 'good', 'nawarin', ' Move ',' Hello ',' Allah ',' Fix ',' System ',' BANGJE ',' ']</v>
      </c>
      <c r="D6699" s="3">
        <v>1.0</v>
      </c>
    </row>
    <row r="6700" ht="15.75" customHeight="1">
      <c r="A6700" s="1">
        <v>7153.0</v>
      </c>
      <c r="B6700" s="3" t="s">
        <v>6439</v>
      </c>
      <c r="C6700" s="3" t="str">
        <f>IFERROR(__xludf.DUMMYFUNCTION("GOOGLETRANSLATE(B6700,""id"",""en"")"),"['network', 'internet', 'parahhhhhh', 'losing', 'provider', 'increased', 'age', 'Telkomsel', 'decline', 'service', 'moved', 'provider', ' ']")</f>
        <v>['network', 'internet', 'parahhhhhh', 'losing', 'provider', 'increased', 'age', 'Telkomsel', 'decline', 'service', 'moved', 'provider', ' ']</v>
      </c>
      <c r="D6700" s="3">
        <v>1.0</v>
      </c>
    </row>
    <row r="6701" ht="15.75" customHeight="1">
      <c r="A6701" s="1">
        <v>7154.0</v>
      </c>
      <c r="B6701" s="3" t="s">
        <v>6440</v>
      </c>
      <c r="C6701" s="3" t="str">
        <f>IFERROR(__xludf.DUMMYFUNCTION("GOOGLETRANSLATE(B6701,""id"",""en"")"),"['', 'response', 'Hurup', 'Still', 'Believe', 'Data', 'Keneksi', 'Buy', ""]")</f>
        <v>['', 'response', 'Hurup', 'Still', 'Believe', 'Data', 'Keneksi', 'Buy', "]</v>
      </c>
      <c r="D6701" s="3">
        <v>5.0</v>
      </c>
    </row>
    <row r="6702" ht="15.75" customHeight="1">
      <c r="A6702" s="1">
        <v>7155.0</v>
      </c>
      <c r="B6702" s="3" t="s">
        <v>6441</v>
      </c>
      <c r="C6702" s="3" t="str">
        <f>IFERROR(__xludf.DUMMYFUNCTION("GOOGLETRANSLATE(B6702,""id"",""en"")"),"['Cpt', 'process']")</f>
        <v>['Cpt', 'process']</v>
      </c>
      <c r="D6702" s="3">
        <v>2.0</v>
      </c>
    </row>
    <row r="6703" ht="15.75" customHeight="1">
      <c r="A6703" s="1">
        <v>7156.0</v>
      </c>
      <c r="B6703" s="3" t="s">
        <v>6442</v>
      </c>
      <c r="C6703" s="3" t="str">
        <f>IFERROR(__xludf.DUMMYFUNCTION("GOOGLETRANSLATE(B6703,""id"",""en"")"),"['owner', 'officer', 'Telkomsel', 'already', 'rich', 'thief', 'oath', 'pulse', 'sumps',' mulu ',' pdhl ',' data ',' dead ',' gda ',' already ',' abis', 'realize', 'eat', 'money', 'haram', 'dri', 'pulse', 'cut']")</f>
        <v>['owner', 'officer', 'Telkomsel', 'already', 'rich', 'thief', 'oath', 'pulse', 'sumps',' mulu ',' pdhl ',' data ',' dead ',' gda ',' already ',' abis', 'realize', 'eat', 'money', 'haram', 'dri', 'pulse', 'cut']</v>
      </c>
      <c r="D6703" s="3">
        <v>1.0</v>
      </c>
    </row>
    <row r="6704" ht="15.75" customHeight="1">
      <c r="A6704" s="1">
        <v>7157.0</v>
      </c>
      <c r="B6704" s="3" t="s">
        <v>6443</v>
      </c>
      <c r="C6704" s="3" t="str">
        <f>IFERROR(__xludf.DUMMYFUNCTION("GOOGLETRANSLATE(B6704,""id"",""en"")"),"['Increase', 'Quality', 'Fix', 'Service', 'Easy', 'Practical']")</f>
        <v>['Increase', 'Quality', 'Fix', 'Service', 'Easy', 'Practical']</v>
      </c>
      <c r="D6704" s="3">
        <v>5.0</v>
      </c>
    </row>
    <row r="6705" ht="15.75" customHeight="1">
      <c r="A6705" s="1">
        <v>7158.0</v>
      </c>
      <c r="B6705" s="3" t="s">
        <v>6444</v>
      </c>
      <c r="C6705" s="3" t="str">
        <f>IFERROR(__xludf.DUMMYFUNCTION("GOOGLETRANSLATE(B6705,""id"",""en"")"),"['update', 'version', 'emg', 'opened', 'blank', 'white', 'waiting', 'recover', 'uninstall', 'dlu', 'apk', 'donlod', ' Version ',' Telkomsel ',' Google ',' Chrome ',' APK ',' Just ',' Share ',' Info ',' Congratulations', 'Trya', 'Okay']")</f>
        <v>['update', 'version', 'emg', 'opened', 'blank', 'white', 'waiting', 'recover', 'uninstall', 'dlu', 'apk', 'donlod', ' Version ',' Telkomsel ',' Google ',' Chrome ',' APK ',' Just ',' Share ',' Info ',' Congratulations', 'Trya', 'Okay']</v>
      </c>
      <c r="D6705" s="3">
        <v>5.0</v>
      </c>
    </row>
    <row r="6706" ht="15.75" customHeight="1">
      <c r="A6706" s="1">
        <v>7159.0</v>
      </c>
      <c r="B6706" s="3" t="s">
        <v>6445</v>
      </c>
      <c r="C6706" s="3" t="str">
        <f>IFERROR(__xludf.DUMMYFUNCTION("GOOGLETRANSLATE(B6706,""id"",""en"")"),"['Lally', 'promo', 'package', 'internet', '']")</f>
        <v>['Lally', 'promo', 'package', 'internet', '']</v>
      </c>
      <c r="D6706" s="3">
        <v>4.0</v>
      </c>
    </row>
    <row r="6707" ht="15.75" customHeight="1">
      <c r="A6707" s="1">
        <v>7160.0</v>
      </c>
      <c r="B6707" s="3" t="s">
        <v>6446</v>
      </c>
      <c r="C6707" s="3" t="str">
        <f>IFERROR(__xludf.DUMMYFUNCTION("GOOGLETRANSLATE(B6707,""id"",""en"")"),"['Pas', 'Open', 'MyTelkomsel', 'Nealin', 'White', 'Screen', 'Prolonged', 'Continuous', '']")</f>
        <v>['Pas', 'Open', 'MyTelkomsel', 'Nealin', 'White', 'Screen', 'Prolonged', 'Continuous', '']</v>
      </c>
      <c r="D6707" s="3">
        <v>1.0</v>
      </c>
    </row>
    <row r="6708" ht="15.75" customHeight="1">
      <c r="A6708" s="1">
        <v>7161.0</v>
      </c>
      <c r="B6708" s="3" t="s">
        <v>6447</v>
      </c>
      <c r="C6708" s="3" t="str">
        <f>IFERROR(__xludf.DUMMYFUNCTION("GOOGLETRANSLATE(B6708,""id"",""en"")"),"['update', 'opened', 'screen', 'white', 'Please', 'enlightenment', '']")</f>
        <v>['update', 'opened', 'screen', 'white', 'Please', 'enlightenment', '']</v>
      </c>
      <c r="D6708" s="3">
        <v>1.0</v>
      </c>
    </row>
    <row r="6709" ht="15.75" customHeight="1">
      <c r="A6709" s="1">
        <v>7162.0</v>
      </c>
      <c r="B6709" s="3" t="s">
        <v>6448</v>
      </c>
      <c r="C6709" s="3" t="str">
        <f>IFERROR(__xludf.DUMMYFUNCTION("GOOGLETRANSLATE(B6709,""id"",""en"")"),"['love', 'star', 'because', 'paketan', 'bro', 'then', 'example', 'knapa', 'package', 'call', 'expensive', 'please', ' Clarification ',' as clearly ']")</f>
        <v>['love', 'star', 'because', 'paketan', 'bro', 'then', 'example', 'knapa', 'package', 'call', 'expensive', 'please', ' Clarification ',' as clearly ']</v>
      </c>
      <c r="D6709" s="3">
        <v>1.0</v>
      </c>
    </row>
    <row r="6710" ht="15.75" customHeight="1">
      <c r="A6710" s="1">
        <v>7163.0</v>
      </c>
      <c r="B6710" s="3" t="s">
        <v>6449</v>
      </c>
      <c r="C6710" s="3" t="str">
        <f>IFERROR(__xludf.DUMMYFUNCTION("GOOGLETRANSLATE(B6710,""id"",""en"")"),"['Quality', 'Signal', 'Parahhh', '']")</f>
        <v>['Quality', 'Signal', 'Parahhh', '']</v>
      </c>
      <c r="D6710" s="3">
        <v>1.0</v>
      </c>
    </row>
    <row r="6711" ht="15.75" customHeight="1">
      <c r="A6711" s="1">
        <v>7164.0</v>
      </c>
      <c r="B6711" s="3" t="s">
        <v>6450</v>
      </c>
      <c r="C6711" s="3" t="str">
        <f>IFERROR(__xludf.DUMMYFUNCTION("GOOGLETRANSLATE(B6711,""id"",""en"")"),"['Access', 'Increase']")</f>
        <v>['Access', 'Increase']</v>
      </c>
      <c r="D6711" s="3">
        <v>5.0</v>
      </c>
    </row>
    <row r="6712" ht="15.75" customHeight="1">
      <c r="A6712" s="1">
        <v>7165.0</v>
      </c>
      <c r="B6712" s="3" t="s">
        <v>6451</v>
      </c>
      <c r="C6712" s="3" t="str">
        <f>IFERROR(__xludf.DUMMYFUNCTION("GOOGLETRANSLATE(B6712,""id"",""en"")"),"['Helping', 'Thanks', 'Telkomsel', '']")</f>
        <v>['Helping', 'Thanks', 'Telkomsel', '']</v>
      </c>
      <c r="D6712" s="3">
        <v>5.0</v>
      </c>
    </row>
    <row r="6713" ht="15.75" customHeight="1">
      <c r="A6713" s="1">
        <v>7166.0</v>
      </c>
      <c r="B6713" s="3" t="s">
        <v>6452</v>
      </c>
      <c r="C6713" s="3" t="str">
        <f>IFERROR(__xludf.DUMMYFUNCTION("GOOGLETRANSLATE(B6713,""id"",""en"")"),"['APK', 'Open', 'Mending', 'Closed', 'APK', 'Kek', 'Gini']")</f>
        <v>['APK', 'Open', 'Mending', 'Closed', 'APK', 'Kek', 'Gini']</v>
      </c>
      <c r="D6713" s="3">
        <v>1.0</v>
      </c>
    </row>
    <row r="6714" ht="15.75" customHeight="1">
      <c r="A6714" s="1">
        <v>7167.0</v>
      </c>
      <c r="B6714" s="3" t="s">
        <v>6453</v>
      </c>
      <c r="C6714" s="3" t="str">
        <f>IFERROR(__xludf.DUMMYFUNCTION("GOOGLETRANSLATE(B6714,""id"",""en"")"),"['', 'update', 'no', 'open', 'apps', 'klw', 'update', 'system', 'good', 'hancoorrrr', '']")</f>
        <v>['', 'update', 'no', 'open', 'apps', 'klw', 'update', 'system', 'good', 'hancoorrrr', '']</v>
      </c>
      <c r="D6714" s="3">
        <v>2.0</v>
      </c>
    </row>
    <row r="6715" ht="15.75" customHeight="1">
      <c r="A6715" s="1">
        <v>7168.0</v>
      </c>
      <c r="B6715" s="3" t="s">
        <v>6454</v>
      </c>
      <c r="C6715" s="3" t="str">
        <f>IFERROR(__xludf.DUMMYFUNCTION("GOOGLETRANSLATE(B6715,""id"",""en"")"),"['loyal', 'accompanyiku', 'Love', 'Telkomsel', 'TEYAP', 'JAYA', 'Telkomselku']")</f>
        <v>['loyal', 'accompanyiku', 'Love', 'Telkomsel', 'TEYAP', 'JAYA', 'Telkomselku']</v>
      </c>
      <c r="D6715" s="3">
        <v>5.0</v>
      </c>
    </row>
    <row r="6716" ht="15.75" customHeight="1">
      <c r="A6716" s="1">
        <v>7170.0</v>
      </c>
      <c r="B6716" s="3" t="s">
        <v>6455</v>
      </c>
      <c r="C6716" s="3" t="str">
        <f>IFERROR(__xludf.DUMMYFUNCTION("GOOGLETRANSLATE(B6716,""id"",""en"")"),"['network', 'Telkomsel', 'bad', 'customer', 'disappointed', 'signal', 'internet', 'ping', 'slalu', 'above', 'please', 'repair', ' Trimksh ',' ']")</f>
        <v>['network', 'Telkomsel', 'bad', 'customer', 'disappointed', 'signal', 'internet', 'ping', 'slalu', 'above', 'please', 'repair', ' Trimksh ',' ']</v>
      </c>
      <c r="D6716" s="3">
        <v>5.0</v>
      </c>
    </row>
    <row r="6717" ht="15.75" customHeight="1">
      <c r="A6717" s="1">
        <v>7171.0</v>
      </c>
      <c r="B6717" s="3" t="s">
        <v>6456</v>
      </c>
      <c r="C6717" s="3" t="str">
        <f>IFERROR(__xludf.DUMMYFUNCTION("GOOGLETRANSLATE(B6717,""id"",""en"")"),"['Update', 'bad', 'really', 'slow', 'play', 'price', 'quota', 'need', 'boss',' artisan ',' parking ',' market ',' Love ',' already ',' rain ',' signal ',' lost ',' Telkomsel ',' Telkomsel ',' ']")</f>
        <v>['Update', 'bad', 'really', 'slow', 'play', 'price', 'quota', 'need', 'boss',' artisan ',' parking ',' market ',' Love ',' already ',' rain ',' signal ',' lost ',' Telkomsel ',' Telkomsel ',' ']</v>
      </c>
      <c r="D6717" s="3">
        <v>1.0</v>
      </c>
    </row>
    <row r="6718" ht="15.75" customHeight="1">
      <c r="A6718" s="1">
        <v>7172.0</v>
      </c>
      <c r="B6718" s="3" t="s">
        <v>6457</v>
      </c>
      <c r="C6718" s="3" t="str">
        <f>IFERROR(__xludf.DUMMYFUNCTION("GOOGLETRANSLATE(B6718,""id"",""en"")"),"['Disruption', 'Signal', 'Lost', 'Signal', 'All Day', 'Full']")</f>
        <v>['Disruption', 'Signal', 'Lost', 'Signal', 'All Day', 'Full']</v>
      </c>
      <c r="D6718" s="3">
        <v>3.0</v>
      </c>
    </row>
    <row r="6719" ht="15.75" customHeight="1">
      <c r="A6719" s="1">
        <v>7174.0</v>
      </c>
      <c r="B6719" s="3" t="s">
        <v>6458</v>
      </c>
      <c r="C6719" s="3" t="str">
        <f>IFERROR(__xludf.DUMMYFUNCTION("GOOGLETRANSLATE(B6719,""id"",""en"")"),"['signal', 'please', 'help', 'gan']")</f>
        <v>['signal', 'please', 'help', 'gan']</v>
      </c>
      <c r="D6719" s="3">
        <v>3.0</v>
      </c>
    </row>
    <row r="6720" ht="15.75" customHeight="1">
      <c r="A6720" s="1">
        <v>7175.0</v>
      </c>
      <c r="B6720" s="3" t="s">
        <v>6459</v>
      </c>
      <c r="C6720" s="3" t="str">
        <f>IFERROR(__xludf.DUMMYFUNCTION("GOOGLETRANSLATE(B6720,""id"",""en"")"),"['Network', 'Area', 'Mountain', 'Gangsir', 'Beji', 'Pasuruan', 'Strength']")</f>
        <v>['Network', 'Area', 'Mountain', 'Gangsir', 'Beji', 'Pasuruan', 'Strength']</v>
      </c>
      <c r="D6720" s="3">
        <v>5.0</v>
      </c>
    </row>
    <row r="6721" ht="15.75" customHeight="1">
      <c r="A6721" s="1">
        <v>7177.0</v>
      </c>
      <c r="B6721" s="3" t="s">
        <v>6460</v>
      </c>
      <c r="C6721" s="3" t="str">
        <f>IFERROR(__xludf.DUMMYFUNCTION("GOOGLETRANSLATE(B6721,""id"",""en"")"),"['signal', 'package', 'GB', 'network', 'kek', 'card', 'cheap', 'sometimes',' like ',' regret ',' buy ',' packetan ',' Expensive ',' GB ',' Quality ',' KB ',' BORO ',' Mbps', 'Severe', '']")</f>
        <v>['signal', 'package', 'GB', 'network', 'kek', 'card', 'cheap', 'sometimes',' like ',' regret ',' buy ',' packetan ',' Expensive ',' GB ',' Quality ',' KB ',' BORO ',' Mbps', 'Severe', '']</v>
      </c>
      <c r="D6721" s="3">
        <v>1.0</v>
      </c>
    </row>
    <row r="6722" ht="15.75" customHeight="1">
      <c r="A6722" s="1">
        <v>7178.0</v>
      </c>
      <c r="B6722" s="3" t="s">
        <v>6461</v>
      </c>
      <c r="C6722" s="3" t="str">
        <f>IFERROR(__xludf.DUMMYFUNCTION("GOOGLETRANSLATE(B6722,""id"",""en"")"),"['Lemot', 'emotion', ""]")</f>
        <v>['Lemot', 'emotion', "]</v>
      </c>
      <c r="D6722" s="3">
        <v>1.0</v>
      </c>
    </row>
    <row r="6723" ht="15.75" customHeight="1">
      <c r="A6723" s="1">
        <v>7179.0</v>
      </c>
      <c r="B6723" s="3" t="s">
        <v>6462</v>
      </c>
      <c r="C6723" s="3" t="str">
        <f>IFERROR(__xludf.DUMMYFUNCTION("GOOGLETRANSLATE(B6723,""id"",""en"")"),"['Sympathy', 'really', 'cut out', 'pulse', 'feels',' robp ',' non 'rates,' package ',' Blabla ',' Padhl ',' buy ',' package ',' active ',' quota ',' banyang ',' ttp ',' ajah ',' pulse ',' cut ',' rmh ',' jga ',' pdhl ',' wifi ',' package ' , 'Data', 'Non'"&amp;", 'Activate', 'TTP', 'Ajah', 'Mantotin', 'Credit', 'Wonder', 'Geretet', 'Very', 'Kyak', 'Mottin', ' Plsa ',' people ',' emotion ',' ']")</f>
        <v>['Sympathy', 'really', 'cut out', 'pulse', 'feels',' robp ',' non 'rates,' package ',' Blabla ',' Padhl ',' buy ',' package ',' active ',' quota ',' banyang ',' ttp ',' ajah ',' pulse ',' cut ',' rmh ',' jga ',' pdhl ',' wifi ',' package ' , 'Data', 'Non', 'Activate', 'TTP', 'Ajah', 'Mantotin', 'Credit', 'Wonder', 'Geretet', 'Very', 'Kyak', 'Mottin', ' Plsa ',' people ',' emotion ',' ']</v>
      </c>
      <c r="D6723" s="3">
        <v>1.0</v>
      </c>
    </row>
    <row r="6724" ht="15.75" customHeight="1">
      <c r="A6724" s="1">
        <v>7180.0</v>
      </c>
      <c r="B6724" s="3" t="s">
        <v>6463</v>
      </c>
      <c r="C6724" s="3" t="str">
        <f>IFERROR(__xludf.DUMMYFUNCTION("GOOGLETRANSLATE(B6724,""id"",""en"")"),"['update', 'screen', 'white', 'enter', 'application', 'Telkomsel', 'network', 'slow', 'appears',' update ',' please ',' repay ',' Telkomsel ',' ']")</f>
        <v>['update', 'screen', 'white', 'enter', 'application', 'Telkomsel', 'network', 'slow', 'appears',' update ',' please ',' repay ',' Telkomsel ',' ']</v>
      </c>
      <c r="D6724" s="3">
        <v>1.0</v>
      </c>
    </row>
    <row r="6725" ht="15.75" customHeight="1">
      <c r="A6725" s="1">
        <v>7181.0</v>
      </c>
      <c r="B6725" s="3" t="s">
        <v>6464</v>
      </c>
      <c r="C6725" s="3" t="str">
        <f>IFERROR(__xludf.DUMMYFUNCTION("GOOGLETRANSLATE(B6725,""id"",""en"")"),"['signal', 'Low', 'stable', 'UDH', 'subscription', 'yrs',' lbh ',' pdhl ',' dlu ',' so ',' quota ',' unlimited ',' package ',' main ',' run out ',' difficult ',' taste ',' package ',' plus', 'donk', 'min', 'pace', 'cuman', 'kbps',' chat ' , 'Doang', 'kya'"&amp;", 'sms', 'you', 'tube', 'etc.', 'pdhl', 'sdkt', 'expensive', 'dri', 'laen', 'awaited' In the future ',' Hopefully ',' Change ',' Change ',' Laen ',' Telkomsel ',' Thanks']")</f>
        <v>['signal', 'Low', 'stable', 'UDH', 'subscription', 'yrs',' lbh ',' pdhl ',' dlu ',' so ',' quota ',' unlimited ',' package ',' main ',' run out ',' difficult ',' taste ',' package ',' plus', 'donk', 'min', 'pace', 'cuman', 'kbps',' chat ' , 'Doang', 'kya', 'sms', 'you', 'tube', 'etc.', 'pdhl', 'sdkt', 'expensive', 'dri', 'laen', 'awaited' In the future ',' Hopefully ',' Change ',' Change ',' Laen ',' Telkomsel ',' Thanks']</v>
      </c>
      <c r="D6725" s="3">
        <v>3.0</v>
      </c>
    </row>
    <row r="6726" ht="15.75" customHeight="1">
      <c r="A6726" s="1">
        <v>7182.0</v>
      </c>
      <c r="B6726" s="3" t="s">
        <v>6465</v>
      </c>
      <c r="C6726" s="3" t="str">
        <f>IFERROR(__xludf.DUMMYFUNCTION("GOOGLETRANSLATE(B6726,""id"",""en"")"),"['Good', 'Application', 'Us Using', 'Ribetx']")</f>
        <v>['Good', 'Application', 'Us Using', 'Ribetx']</v>
      </c>
      <c r="D6726" s="3">
        <v>5.0</v>
      </c>
    </row>
    <row r="6727" ht="15.75" customHeight="1">
      <c r="A6727" s="1">
        <v>7183.0</v>
      </c>
      <c r="B6727" s="3" t="s">
        <v>6466</v>
      </c>
      <c r="C6727" s="3" t="str">
        <f>IFERROR(__xludf.DUMMYFUNCTION("GOOGLETRANSLATE(B6727,""id"",""en"")"),"['connection', 'good', 'signal', 'stable']")</f>
        <v>['connection', 'good', 'signal', 'stable']</v>
      </c>
      <c r="D6727" s="3">
        <v>2.0</v>
      </c>
    </row>
    <row r="6728" ht="15.75" customHeight="1">
      <c r="A6728" s="1">
        <v>7184.0</v>
      </c>
      <c r="B6728" s="3" t="s">
        <v>6467</v>
      </c>
      <c r="C6728" s="3" t="str">
        <f>IFERROR(__xludf.DUMMYFUNCTION("GOOGLETRANSLATE(B6728,""id"",""en"")"),"['', 'application', 'KNP', 'enter', 'here', 'upstairs', 'no', ""]")</f>
        <v>['', 'application', 'KNP', 'enter', 'here', 'upstairs', 'no', "]</v>
      </c>
      <c r="D6728" s="3">
        <v>1.0</v>
      </c>
    </row>
    <row r="6729" ht="15.75" customHeight="1">
      <c r="A6729" s="1">
        <v>7185.0</v>
      </c>
      <c r="B6729" s="3" t="s">
        <v>6468</v>
      </c>
      <c r="C6729" s="3" t="str">
        <f>IFERROR(__xludf.DUMMYFUNCTION("GOOGLETRANSLATE(B6729,""id"",""en"")"),"['love', 'star', 'Blum', 'quota', 'right', 'please', 'ksih', 'quota', 'mura', 'right', 'bag', 'thank you', ' Entar ',' Klau ',' already ',' package ',' match ',' star ',' again ', ""]")</f>
        <v>['love', 'star', 'Blum', 'quota', 'right', 'please', 'ksih', 'quota', 'mura', 'right', 'bag', 'thank you', ' Entar ',' Klau ',' already ',' package ',' match ',' star ',' again ', "]</v>
      </c>
      <c r="D6729" s="3">
        <v>4.0</v>
      </c>
    </row>
    <row r="6730" ht="15.75" customHeight="1">
      <c r="A6730" s="1">
        <v>7186.0</v>
      </c>
      <c r="B6730" s="3" t="s">
        <v>6469</v>
      </c>
      <c r="C6730" s="3" t="str">
        <f>IFERROR(__xludf.DUMMYFUNCTION("GOOGLETRANSLATE(B6730,""id"",""en"")"),"['Leher', 'signal', 'Telkomsel', 'like', 'stable', 'malem', 'smooth', 'smooth']")</f>
        <v>['Leher', 'signal', 'Telkomsel', 'like', 'stable', 'malem', 'smooth', 'smooth']</v>
      </c>
      <c r="D6730" s="3">
        <v>5.0</v>
      </c>
    </row>
    <row r="6731" ht="15.75" customHeight="1">
      <c r="A6731" s="1">
        <v>7187.0</v>
      </c>
      <c r="B6731" s="3" t="s">
        <v>6470</v>
      </c>
      <c r="C6731" s="3" t="str">
        <f>IFERROR(__xludf.DUMMYFUNCTION("GOOGLETRANSLATE(B6731,""id"",""en"")"),"['', 'responded', 'times', 'opened', 'Lyar', 'White']")</f>
        <v>['', 'responded', 'times', 'opened', 'Lyar', 'White']</v>
      </c>
      <c r="D6731" s="3">
        <v>5.0</v>
      </c>
    </row>
    <row r="6732" ht="15.75" customHeight="1">
      <c r="A6732" s="1">
        <v>7188.0</v>
      </c>
      <c r="B6732" s="3" t="s">
        <v>6471</v>
      </c>
      <c r="C6732" s="3" t="str">
        <f>IFERROR(__xludf.DUMMYFUNCTION("GOOGLETRANSLATE(B6732,""id"",""en"")"),"['The application', 'ngbug', 'open', 'already', 'delete', 'data', 'open', '']")</f>
        <v>['The application', 'ngbug', 'open', 'already', 'delete', 'data', 'open', '']</v>
      </c>
      <c r="D6732" s="3">
        <v>1.0</v>
      </c>
    </row>
    <row r="6733" ht="15.75" customHeight="1">
      <c r="A6733" s="1">
        <v>7190.0</v>
      </c>
      <c r="B6733" s="3" t="s">
        <v>6472</v>
      </c>
      <c r="C6733" s="3" t="str">
        <f>IFERROR(__xludf.DUMMYFUNCTION("GOOGLETRANSLATE(B6733,""id"",""en"")"),"['Operator', 'Telkom', 'Please', 'repaired', 'Network', 'Stable', 'Eat', 'Money', 'People']")</f>
        <v>['Operator', 'Telkom', 'Please', 'repaired', 'Network', 'Stable', 'Eat', 'Money', 'People']</v>
      </c>
      <c r="D6733" s="3">
        <v>1.0</v>
      </c>
    </row>
    <row r="6734" ht="15.75" customHeight="1">
      <c r="A6734" s="1">
        <v>7192.0</v>
      </c>
      <c r="B6734" s="3" t="s">
        <v>6473</v>
      </c>
      <c r="C6734" s="3" t="str">
        <f>IFERROR(__xludf.DUMMYFUNCTION("GOOGLETRANSLATE(B6734,""id"",""en"")"),"['', 'collapsed', 'SKR', 'Exchange', 'Points',' Make ',' Credit ',' Hedew ',' Change ',' Already ',' Contents', 'Credit', 'Points ',' make ',' Points', 'billed', 'pulses',' Huffff ',' ']")</f>
        <v>['', 'collapsed', 'SKR', 'Exchange', 'Points',' Make ',' Credit ',' Hedew ',' Change ',' Already ',' Contents', 'Credit', 'Points ',' make ',' Points', 'billed', 'pulses',' Huffff ',' ']</v>
      </c>
      <c r="D6734" s="3">
        <v>3.0</v>
      </c>
    </row>
    <row r="6735" ht="15.75" customHeight="1">
      <c r="A6735" s="1">
        <v>7193.0</v>
      </c>
      <c r="B6735" s="3" t="s">
        <v>6474</v>
      </c>
      <c r="C6735" s="3" t="str">
        <f>IFERROR(__xludf.DUMMYFUNCTION("GOOGLETRANSLATE(B6735,""id"",""en"")"),"['Please', 'Telkomsel', 'Select', 'Kasih', 'Package', 'Game', 'Max', 'Ngegame', 'Some "",' Type ',' Quota ',' Bonus ',' run out ',' login ',' GB ',' Mending ',' reviewed ',' reset ']")</f>
        <v>['Please', 'Telkomsel', 'Select', 'Kasih', 'Package', 'Game', 'Max', 'Ngegame', 'Some ",' Type ',' Quota ',' Bonus ',' run out ',' login ',' GB ',' Mending ',' reviewed ',' reset ']</v>
      </c>
      <c r="D6735" s="3">
        <v>1.0</v>
      </c>
    </row>
    <row r="6736" ht="15.75" customHeight="1">
      <c r="A6736" s="1">
        <v>7194.0</v>
      </c>
      <c r="B6736" s="3" t="s">
        <v>6475</v>
      </c>
      <c r="C6736" s="3" t="str">
        <f>IFERROR(__xludf.DUMMYFUNCTION("GOOGLETRANSLATE(B6736,""id"",""en"")"),"['posting', 'deleted', 'developer']")</f>
        <v>['posting', 'deleted', 'developer']</v>
      </c>
      <c r="D6736" s="3">
        <v>1.0</v>
      </c>
    </row>
    <row r="6737" ht="15.75" customHeight="1">
      <c r="A6737" s="1">
        <v>7195.0</v>
      </c>
      <c r="B6737" s="3" t="s">
        <v>6476</v>
      </c>
      <c r="C6737" s="3" t="str">
        <f>IFERROR(__xludf.DUMMYFUNCTION("GOOGLETRANSLATE(B6737,""id"",""en"")"),"['bad', 'already', 'bought', 'expensive', 'signal', 'ugly', 'buy', 'quota', 'yutub', 'ultimate', 'tetep', 'quota', ' Regular ',' Sumpot ',' Very ',' badddddddddd ']")</f>
        <v>['bad', 'already', 'bought', 'expensive', 'signal', 'ugly', 'buy', 'quota', 'yutub', 'ultimate', 'tetep', 'quota', ' Regular ',' Sumpot ',' Very ',' badddddddddd ']</v>
      </c>
      <c r="D6737" s="3">
        <v>1.0</v>
      </c>
    </row>
    <row r="6738" ht="15.75" customHeight="1">
      <c r="A6738" s="1">
        <v>7196.0</v>
      </c>
      <c r="B6738" s="3" t="s">
        <v>6477</v>
      </c>
      <c r="C6738" s="3" t="str">
        <f>IFERROR(__xludf.DUMMYFUNCTION("GOOGLETRANSLATE(B6738,""id"",""en"")"),"['buy', 'quota', 'validity', '']")</f>
        <v>['buy', 'quota', 'validity', '']</v>
      </c>
      <c r="D6738" s="3">
        <v>1.0</v>
      </c>
    </row>
    <row r="6739" ht="15.75" customHeight="1">
      <c r="A6739" s="1">
        <v>7197.0</v>
      </c>
      <c r="B6739" s="3" t="s">
        <v>6478</v>
      </c>
      <c r="C6739" s="3" t="str">
        <f>IFERROR(__xludf.DUMMYFUNCTION("GOOGLETRANSLATE(B6739,""id"",""en"")"),"['Network', 'Telkomsel', 'Beres', 'well', 'eryriya', 'user', 'Telkomsel', 'disappointed', 'fix', 'his web', '']")</f>
        <v>['Network', 'Telkomsel', 'Beres', 'well', 'eryriya', 'user', 'Telkomsel', 'disappointed', 'fix', 'his web', '']</v>
      </c>
      <c r="D6739" s="3">
        <v>1.0</v>
      </c>
    </row>
    <row r="6740" ht="15.75" customHeight="1">
      <c r="A6740" s="1">
        <v>7198.0</v>
      </c>
      <c r="B6740" s="3" t="s">
        <v>6479</v>
      </c>
      <c r="C6740" s="3" t="str">
        <f>IFERROR(__xludf.DUMMYFUNCTION("GOOGLETRANSLATE(B6740,""id"",""en"")"),"['Signalny', 'Fixed', 'kntle']")</f>
        <v>['Signalny', 'Fixed', 'kntle']</v>
      </c>
      <c r="D6740" s="3">
        <v>1.0</v>
      </c>
    </row>
    <row r="6741" ht="15.75" customHeight="1">
      <c r="A6741" s="1">
        <v>7199.0</v>
      </c>
      <c r="B6741" s="3" t="s">
        <v>6480</v>
      </c>
      <c r="C6741" s="3" t="str">
        <f>IFERROR(__xludf.DUMMYFUNCTION("GOOGLETRANSLATE(B6741,""id"",""en"")"),"['Ouch', 'Sis', 'Min', 'Please', 'Network', 'Telkom', 'Already', 'Lanjar', 'Lemott']")</f>
        <v>['Ouch', 'Sis', 'Min', 'Please', 'Network', 'Telkom', 'Already', 'Lanjar', 'Lemott']</v>
      </c>
      <c r="D6741" s="3">
        <v>1.0</v>
      </c>
    </row>
    <row r="6742" ht="15.75" customHeight="1">
      <c r="A6742" s="1">
        <v>7200.0</v>
      </c>
      <c r="B6742" s="3" t="s">
        <v>6481</v>
      </c>
      <c r="C6742" s="3" t="str">
        <f>IFERROR(__xludf.DUMMYFUNCTION("GOOGLETRANSLATE(B6742,""id"",""en"")"),"['Download', 'dlu', '']")</f>
        <v>['Download', 'dlu', '']</v>
      </c>
      <c r="D6742" s="3">
        <v>3.0</v>
      </c>
    </row>
    <row r="6743" ht="15.75" customHeight="1">
      <c r="A6743" s="1">
        <v>7201.0</v>
      </c>
      <c r="B6743" s="3" t="s">
        <v>6482</v>
      </c>
      <c r="C6743" s="3" t="str">
        <f>IFERROR(__xludf.DUMMYFUNCTION("GOOGLETRANSLATE(B6743,""id"",""en"")"),"['Please', 'fix', 'knapa', 'just', 'screen', 'white', 'doang']")</f>
        <v>['Please', 'fix', 'knapa', 'just', 'screen', 'white', 'doang']</v>
      </c>
      <c r="D6743" s="3">
        <v>1.0</v>
      </c>
    </row>
    <row r="6744" ht="15.75" customHeight="1">
      <c r="A6744" s="1">
        <v>7202.0</v>
      </c>
      <c r="B6744" s="3" t="s">
        <v>6483</v>
      </c>
      <c r="C6744" s="3" t="str">
        <f>IFERROR(__xludf.DUMMYFUNCTION("GOOGLETRANSLATE(B6744,""id"",""en"")"),"['Telkomsel', 'fooling', 'People', 'Network', 'Signal', 'Taik']")</f>
        <v>['Telkomsel', 'fooling', 'People', 'Network', 'Signal', 'Taik']</v>
      </c>
      <c r="D6744" s="3">
        <v>1.0</v>
      </c>
    </row>
    <row r="6745" ht="15.75" customHeight="1">
      <c r="A6745" s="1">
        <v>7203.0</v>
      </c>
      <c r="B6745" s="3" t="s">
        <v>6484</v>
      </c>
      <c r="C6745" s="3" t="str">
        <f>IFERROR(__xludf.DUMMYFUNCTION("GOOGLETRANSLATE(B6745,""id"",""en"")"),"['Strength', 'signal', 'Region', 'IB', 'City', 'Palembang', 'Down', 'Improved', 'Yesterday']")</f>
        <v>['Strength', 'signal', 'Region', 'IB', 'City', 'Palembang', 'Down', 'Improved', 'Yesterday']</v>
      </c>
      <c r="D6745" s="3">
        <v>1.0</v>
      </c>
    </row>
    <row r="6746" ht="15.75" customHeight="1">
      <c r="A6746" s="1">
        <v>7204.0</v>
      </c>
      <c r="B6746" s="3" t="s">
        <v>6485</v>
      </c>
      <c r="C6746" s="3" t="str">
        <f>IFERROR(__xludf.DUMMYFUNCTION("GOOGLETRANSLATE(B6746,""id"",""en"")"),"['knp', 'hri', 'Neh', 'MyTelkomsel', 'app', 'open', 'blenk', 'white', ""]")</f>
        <v>['knp', 'hri', 'Neh', 'MyTelkomsel', 'app', 'open', 'blenk', 'white', "]</v>
      </c>
      <c r="D6746" s="3">
        <v>1.0</v>
      </c>
    </row>
    <row r="6747" ht="15.75" customHeight="1">
      <c r="A6747" s="1">
        <v>7205.0</v>
      </c>
      <c r="B6747" s="3" t="s">
        <v>6486</v>
      </c>
      <c r="C6747" s="3" t="str">
        <f>IFERROR(__xludf.DUMMYFUNCTION("GOOGLETRANSLATE(B6747,""id"",""en"")"),"['Ahir', 'Kurng', 'stable']")</f>
        <v>['Ahir', 'Kurng', 'stable']</v>
      </c>
      <c r="D6747" s="3">
        <v>1.0</v>
      </c>
    </row>
    <row r="6748" ht="15.75" customHeight="1">
      <c r="A6748" s="1">
        <v>7206.0</v>
      </c>
      <c r="B6748" s="3" t="s">
        <v>6487</v>
      </c>
      <c r="C6748" s="3" t="str">
        <f>IFERROR(__xludf.DUMMYFUNCTION("GOOGLETRANSLATE(B6748,""id"",""en"")"),"['Quota', 'Internet', 'Konec', 'Internet', 'Rich', 'Card', 'Credit', 'Cut', 'Activein', 'Sehen', 'Credit', 'Direct', ' Cut ',' ']")</f>
        <v>['Quota', 'Internet', 'Konec', 'Internet', 'Rich', 'Card', 'Credit', 'Cut', 'Activein', 'Sehen', 'Credit', 'Direct', ' Cut ',' ']</v>
      </c>
      <c r="D6748" s="3">
        <v>1.0</v>
      </c>
    </row>
    <row r="6749" ht="15.75" customHeight="1">
      <c r="A6749" s="1">
        <v>7207.0</v>
      </c>
      <c r="B6749" s="3" t="s">
        <v>6488</v>
      </c>
      <c r="C6749" s="3" t="str">
        <f>IFERROR(__xludf.DUMMYFUNCTION("GOOGLETRANSLATE(B6749,""id"",""en"")"),"['spirit', 'signal', 'Telkomsel', 'Sabang', 'Merke']")</f>
        <v>['spirit', 'signal', 'Telkomsel', 'Sabang', 'Merke']</v>
      </c>
      <c r="D6749" s="3">
        <v>5.0</v>
      </c>
    </row>
    <row r="6750" ht="15.75" customHeight="1">
      <c r="A6750" s="1">
        <v>7208.0</v>
      </c>
      <c r="B6750" s="3" t="s">
        <v>6489</v>
      </c>
      <c r="C6750" s="3" t="str">
        <f>IFERROR(__xludf.DUMMYFUNCTION("GOOGLETRANSLATE(B6750,""id"",""en"")"),"['Appacasiny', 'no', 'open', 'greetings', 'binjay', ""]")</f>
        <v>['Appacasiny', 'no', 'open', 'greetings', 'binjay', "]</v>
      </c>
      <c r="D6750" s="3">
        <v>1.0</v>
      </c>
    </row>
    <row r="6751" ht="15.75" customHeight="1">
      <c r="A6751" s="1">
        <v>7209.0</v>
      </c>
      <c r="B6751" s="3" t="s">
        <v>6490</v>
      </c>
      <c r="C6751" s="3" t="str">
        <f>IFERROR(__xludf.DUMMYFUNCTION("GOOGLETRANSLATE(B6751,""id"",""en"")"),"['Win', 'Gift']")</f>
        <v>['Win', 'Gift']</v>
      </c>
      <c r="D6751" s="3">
        <v>5.0</v>
      </c>
    </row>
    <row r="6752" ht="15.75" customHeight="1">
      <c r="A6752" s="1">
        <v>7210.0</v>
      </c>
      <c r="B6752" s="3" t="s">
        <v>6491</v>
      </c>
      <c r="C6752" s="3" t="str">
        <f>IFERROR(__xludf.DUMMYFUNCTION("GOOGLETRANSLATE(B6752,""id"",""en"")"),"['', 'BLM', 'Open', 'downgrade', 'version', 'notification', 'update', 'update', 'turn off', 'Non', 'Activate', 'setting', 'automatic ',' update ',' application ',' God willing ',' ']")</f>
        <v>['', 'BLM', 'Open', 'downgrade', 'version', 'notification', 'update', 'update', 'turn off', 'Non', 'Activate', 'setting', 'automatic ',' update ',' application ',' God willing ',' ']</v>
      </c>
      <c r="D6752" s="3">
        <v>4.0</v>
      </c>
    </row>
    <row r="6753" ht="15.75" customHeight="1">
      <c r="A6753" s="1">
        <v>7211.0</v>
      </c>
      <c r="B6753" s="3" t="s">
        <v>6492</v>
      </c>
      <c r="C6753" s="3" t="str">
        <f>IFERROR(__xludf.DUMMYFUNCTION("GOOGLETRANSLATE(B6753,""id"",""en"")"),"['application', 'no', 'open', '']")</f>
        <v>['application', 'no', 'open', '']</v>
      </c>
      <c r="D6753" s="3">
        <v>1.0</v>
      </c>
    </row>
    <row r="6754" ht="15.75" customHeight="1">
      <c r="A6754" s="1">
        <v>7212.0</v>
      </c>
      <c r="B6754" s="3" t="s">
        <v>6493</v>
      </c>
      <c r="C6754" s="3" t="str">
        <f>IFERROR(__xludf.DUMMYFUNCTION("GOOGLETRANSLATE(B6754,""id"",""en"")"),"['Package', 'Doank', 'expensive', 'game', 'Donk', 'Siyala', 'ilang', 'Nilagan', 'Samsung', 'RAM', 'GB', 'Power', ' Siyal ',' ugly ']")</f>
        <v>['Package', 'Doank', 'expensive', 'game', 'Donk', 'Siyala', 'ilang', 'Nilagan', 'Samsung', 'RAM', 'GB', 'Power', ' Siyal ',' ugly ']</v>
      </c>
      <c r="D6754" s="3">
        <v>2.0</v>
      </c>
    </row>
    <row r="6755" ht="15.75" customHeight="1">
      <c r="A6755" s="1">
        <v>7213.0</v>
      </c>
      <c r="B6755" s="3" t="s">
        <v>6494</v>
      </c>
      <c r="C6755" s="3" t="str">
        <f>IFERROR(__xludf.DUMMYFUNCTION("GOOGLETRANSLATE(B6755,""id"",""en"")"),"['poor', 'MyTelkomsel', 'Out', 'Update', 'opened', 'Ancur', 'Abiiis']")</f>
        <v>['poor', 'MyTelkomsel', 'Out', 'Update', 'opened', 'Ancur', 'Abiiis']</v>
      </c>
      <c r="D6755" s="3">
        <v>1.0</v>
      </c>
    </row>
    <row r="6756" ht="15.75" customHeight="1">
      <c r="A6756" s="1">
        <v>7214.0</v>
      </c>
      <c r="B6756" s="3" t="s">
        <v>6495</v>
      </c>
      <c r="C6756" s="3" t="str">
        <f>IFERROR(__xludf.DUMMYFUNCTION("GOOGLETRANSLATE(B6756,""id"",""en"")"),"['application', 'error', 'blank', 'white', 'opened', 'android', 'please', 'repaired', 'yaa', 'check', 'quota', 'buy', ' Quota ',' boss', ""]")</f>
        <v>['application', 'error', 'blank', 'white', 'opened', 'android', 'please', 'repaired', 'yaa', 'check', 'quota', 'buy', ' Quota ',' boss', "]</v>
      </c>
      <c r="D6756" s="3">
        <v>1.0</v>
      </c>
    </row>
    <row r="6757" ht="15.75" customHeight="1">
      <c r="A6757" s="1">
        <v>7215.0</v>
      </c>
      <c r="B6757" s="3" t="s">
        <v>6496</v>
      </c>
      <c r="C6757" s="3" t="str">
        <f>IFERROR(__xludf.DUMMYFUNCTION("GOOGLETRANSLATE(B6757,""id"",""en"")"),"['signal', 'stable', 'play', 'game', 'like', 'lag', 'please', 'fix', 'the network', 'gini', 'change', 'card', ' ']")</f>
        <v>['signal', 'stable', 'play', 'game', 'like', 'lag', 'please', 'fix', 'the network', 'gini', 'change', 'card', ' ']</v>
      </c>
      <c r="D6757" s="3">
        <v>1.0</v>
      </c>
    </row>
    <row r="6758" ht="15.75" customHeight="1">
      <c r="A6758" s="1">
        <v>7216.0</v>
      </c>
      <c r="B6758" s="3" t="s">
        <v>6497</v>
      </c>
      <c r="C6758" s="3" t="str">
        <f>IFERROR(__xludf.DUMMYFUNCTION("GOOGLETRANSLATE(B6758,""id"",""en"")"),"['', 'Telkomsel', 'easy', '']")</f>
        <v>['', 'Telkomsel', 'easy', '']</v>
      </c>
      <c r="D6758" s="3">
        <v>5.0</v>
      </c>
    </row>
    <row r="6759" ht="15.75" customHeight="1">
      <c r="A6759" s="1">
        <v>7217.0</v>
      </c>
      <c r="B6759" s="3" t="s">
        <v>6498</v>
      </c>
      <c r="C6759" s="3" t="str">
        <f>IFERROR(__xludf.DUMMYFUNCTION("GOOGLETRANSLATE(B6759,""id"",""en"")"),"['week', 'applinting', 'check', 'kouta', 'instant', 'check', 'manual', 'color', 'white', 'appear', 'then', 'trusan', ' Sight ',' Please ',' Fix ',' ']")</f>
        <v>['week', 'applinting', 'check', 'kouta', 'instant', 'check', 'manual', 'color', 'white', 'appear', 'then', 'trusan', ' Sight ',' Please ',' Fix ',' ']</v>
      </c>
      <c r="D6759" s="3">
        <v>1.0</v>
      </c>
    </row>
    <row r="6760" ht="15.75" customHeight="1">
      <c r="A6760" s="1">
        <v>7218.0</v>
      </c>
      <c r="B6760" s="3" t="s">
        <v>6499</v>
      </c>
      <c r="C6760" s="3" t="str">
        <f>IFERROR(__xludf.DUMMYFUNCTION("GOOGLETRANSLATE(B6760,""id"",""en"")"),"['kkenapa', 'kek', 'gini', 'minnn', 'blankk', 'screenr', 'white', 'please', 'repair', 'fast']")</f>
        <v>['kkenapa', 'kek', 'gini', 'minnn', 'blankk', 'screenr', 'white', 'please', 'repair', 'fast']</v>
      </c>
      <c r="D6760" s="3">
        <v>1.0</v>
      </c>
    </row>
    <row r="6761" ht="15.75" customHeight="1">
      <c r="A6761" s="1">
        <v>7219.0</v>
      </c>
      <c r="B6761" s="3" t="s">
        <v>6500</v>
      </c>
      <c r="C6761" s="3" t="str">
        <f>IFERROR(__xludf.DUMMYFUNCTION("GOOGLETRANSLATE(B6761,""id"",""en"")"),"['Paketan', 'expensive', 'network', 'kek', '']")</f>
        <v>['Paketan', 'expensive', 'network', 'kek', '']</v>
      </c>
      <c r="D6761" s="3">
        <v>1.0</v>
      </c>
    </row>
    <row r="6762" ht="15.75" customHeight="1">
      <c r="A6762" s="1">
        <v>7220.0</v>
      </c>
      <c r="B6762" s="3" t="s">
        <v>6501</v>
      </c>
      <c r="C6762" s="3" t="str">
        <f>IFERROR(__xludf.DUMMYFUNCTION("GOOGLETRANSLATE(B6762,""id"",""en"")"),"['How', 'application', 'open', 'smooth', 'solution']")</f>
        <v>['How', 'application', 'open', 'smooth', 'solution']</v>
      </c>
      <c r="D6762" s="3">
        <v>5.0</v>
      </c>
    </row>
    <row r="6763" ht="15.75" customHeight="1">
      <c r="A6763" s="1">
        <v>7221.0</v>
      </c>
      <c r="B6763" s="3" t="s">
        <v>6502</v>
      </c>
      <c r="C6763" s="3" t="str">
        <f>IFERROR(__xludf.DUMMYFUNCTION("GOOGLETRANSLATE(B6763,""id"",""en"")"),"['Skrng', 'Open', 'Telkomsel', 'Blank', 'Blank', 'White', 'Sudak', 'Try', 'Delete', 'Install', 'reset', 'TTP', ' Try ',' Delete ',' Memory ',' Chache ',' TTP ']")</f>
        <v>['Skrng', 'Open', 'Telkomsel', 'Blank', 'Blank', 'White', 'Sudak', 'Try', 'Delete', 'Install', 'reset', 'TTP', ' Try ',' Delete ',' Memory ',' Chache ',' TTP ']</v>
      </c>
      <c r="D6763" s="3">
        <v>5.0</v>
      </c>
    </row>
    <row r="6764" ht="15.75" customHeight="1">
      <c r="A6764" s="1">
        <v>7222.0</v>
      </c>
      <c r="B6764" s="3" t="s">
        <v>6503</v>
      </c>
      <c r="C6764" s="3" t="str">
        <f>IFERROR(__xludf.DUMMYFUNCTION("GOOGLETRANSLATE(B6764,""id"",""en"")"),"['Network', 'tsel', 'lag', 'difficult', 'use it', 'please', 'rapon']")</f>
        <v>['Network', 'tsel', 'lag', 'difficult', 'use it', 'please', 'rapon']</v>
      </c>
      <c r="D6764" s="3">
        <v>1.0</v>
      </c>
    </row>
    <row r="6765" ht="15.75" customHeight="1">
      <c r="A6765" s="1">
        <v>7223.0</v>
      </c>
      <c r="B6765" s="3" t="s">
        <v>6504</v>
      </c>
      <c r="C6765" s="3" t="str">
        <f>IFERROR(__xludf.DUMMYFUNCTION("GOOGLETRANSLATE(B6765,""id"",""en"")"),"['application', 'quality', 'help', 'anything', 'Pembanggan', 'Telkomsel', 'Sid', 'quality', 'application', 'network', 'tekokomsel', 'in the area', ' "", 'Telkomsel', 'obstacles',""]")</f>
        <v>['application', 'quality', 'help', 'anything', 'Pembanggan', 'Telkomsel', 'Sid', 'quality', 'application', 'network', 'tekokomsel', 'in the area', ' ", 'Telkomsel', 'obstacles',"]</v>
      </c>
      <c r="D6765" s="3">
        <v>1.0</v>
      </c>
    </row>
    <row r="6766" ht="15.75" customHeight="1">
      <c r="A6766" s="1">
        <v>7224.0</v>
      </c>
      <c r="B6766" s="3" t="s">
        <v>6505</v>
      </c>
      <c r="C6766" s="3" t="str">
        <f>IFERROR(__xludf.DUMMYFUNCTION("GOOGLETRANSLATE(B6766,""id"",""en"")"),"['Open', 'Yesterday', 'Delete', 'Install', 'Sampe', 'Times']")</f>
        <v>['Open', 'Yesterday', 'Delete', 'Install', 'Sampe', 'Times']</v>
      </c>
      <c r="D6766" s="3">
        <v>1.0</v>
      </c>
    </row>
    <row r="6767" ht="15.75" customHeight="1">
      <c r="A6767" s="1">
        <v>7225.0</v>
      </c>
      <c r="B6767" s="3" t="s">
        <v>6506</v>
      </c>
      <c r="C6767" s="3" t="str">
        <f>IFERROR(__xludf.DUMMYFUNCTION("GOOGLETRANSLATE(B6767,""id"",""en"")"),"['Sanga', 'Encourage', 'Wear', 'Card', 'subscribe', 'Until', 'Deh', 'Ryesel', 'Loss',' Karna ',' Service ',' Quality ',' signal ',' bad ',' change ',' ']")</f>
        <v>['Sanga', 'Encourage', 'Wear', 'Card', 'subscribe', 'Until', 'Deh', 'Ryesel', 'Loss',' Karna ',' Service ',' Quality ',' signal ',' bad ',' change ',' ']</v>
      </c>
      <c r="D6767" s="3">
        <v>1.0</v>
      </c>
    </row>
    <row r="6768" ht="15.75" customHeight="1">
      <c r="A6768" s="1">
        <v>7226.0</v>
      </c>
      <c r="B6768" s="3" t="s">
        <v>6507</v>
      </c>
      <c r="C6768" s="3" t="str">
        <f>IFERROR(__xludf.DUMMYFUNCTION("GOOGLETRANSLATE(B6768,""id"",""en"")"),"['Sorry', 'Divert', 'Postpaid', 'Marketing', 'Looking', 'Trapped', 'Ending', 'Ribet', 'Neguries',' Non ',' Activate ',' Card ',' Mbak ',' Calls', 'Kmrin', 'Offers',' Postpaid ',' Healthy ',' Mbak ',' Receiving ',' Tuaan ',' Prihal ',' Sage ',' Job ',' Tha"&amp;"nk you ' ]")</f>
        <v>['Sorry', 'Divert', 'Postpaid', 'Marketing', 'Looking', 'Trapped', 'Ending', 'Ribet', 'Neguries',' Non ',' Activate ',' Card ',' Mbak ',' Calls', 'Kmrin', 'Offers',' Postpaid ',' Healthy ',' Mbak ',' Receiving ',' Tuaan ',' Prihal ',' Sage ',' Job ',' Thank you ' ]</v>
      </c>
      <c r="D6768" s="3">
        <v>1.0</v>
      </c>
    </row>
    <row r="6769" ht="15.75" customHeight="1">
      <c r="A6769" s="1">
        <v>7227.0</v>
      </c>
      <c r="B6769" s="3" t="s">
        <v>6508</v>
      </c>
      <c r="C6769" s="3" t="str">
        <f>IFERROR(__xludf.DUMMYFUNCTION("GOOGLETRANSLATE(B6769,""id"",""en"")"),"['alternating', 'Install', 'unistal', 'APK', 'open', 'just', 'color', 'white', 'doang', 'udh', 'delete', 'suggestion', ' Pronica ',' dizziness', 'it's good', 'use', 'next door', 'UDH', 'MRH', 'APK', 'Jga', 'smooth']")</f>
        <v>['alternating', 'Install', 'unistal', 'APK', 'open', 'just', 'color', 'white', 'doang', 'udh', 'delete', 'suggestion', ' Pronica ',' dizziness', 'it's good', 'use', 'next door', 'UDH', 'MRH', 'APK', 'Jga', 'smooth']</v>
      </c>
      <c r="D6769" s="3">
        <v>2.0</v>
      </c>
    </row>
    <row r="6770" ht="15.75" customHeight="1">
      <c r="A6770" s="1">
        <v>7229.0</v>
      </c>
      <c r="B6770" s="3" t="s">
        <v>6509</v>
      </c>
      <c r="C6770" s="3" t="str">
        <f>IFERROR(__xludf.DUMMYFUNCTION("GOOGLETRANSLATE(B6770,""id"",""en"")"),"['Price', 'Package', 'Internet', 'Please', 'Review']")</f>
        <v>['Price', 'Package', 'Internet', 'Please', 'Review']</v>
      </c>
      <c r="D6770" s="3">
        <v>1.0</v>
      </c>
    </row>
    <row r="6771" ht="15.75" customHeight="1">
      <c r="A6771" s="1">
        <v>7230.0</v>
      </c>
      <c r="B6771" s="3" t="s">
        <v>6510</v>
      </c>
      <c r="C6771" s="3" t="str">
        <f>IFERROR(__xludf.DUMMYFUNCTION("GOOGLETRANSLATE(B6771,""id"",""en"")"),"['Follow', 'people', 'star', 'Severe', 'really', 'Ahh', 'network', 'signal', 'class',' Telkomsel ',' open ',' Loding ',' forgiveness', 'Maen', 'game', 'red', 'yellow', 'green', 'briefly', 'right', 'dead', 'severe', 'really', 'dahh', 'mah' , 'sympathy', 's"&amp;"ampi', 'operator', 'mah', 'thank', 'love']")</f>
        <v>['Follow', 'people', 'star', 'Severe', 'really', 'Ahh', 'network', 'signal', 'class',' Telkomsel ',' open ',' Loding ',' forgiveness', 'Maen', 'game', 'red', 'yellow', 'green', 'briefly', 'right', 'dead', 'severe', 'really', 'dahh', 'mah' , 'sympathy', 'sampi', 'operator', 'mah', 'thank', 'love']</v>
      </c>
      <c r="D6771" s="3">
        <v>1.0</v>
      </c>
    </row>
    <row r="6772" ht="15.75" customHeight="1">
      <c r="A6772" s="1">
        <v>7232.0</v>
      </c>
      <c r="B6772" s="3" t="s">
        <v>6511</v>
      </c>
      <c r="C6772" s="3" t="str">
        <f>IFERROR(__xludf.DUMMYFUNCTION("GOOGLETRANSLATE(B6772,""id"",""en"")"),"['thank', 'love', 'bro']")</f>
        <v>['thank', 'love', 'bro']</v>
      </c>
      <c r="D6772" s="3">
        <v>5.0</v>
      </c>
    </row>
    <row r="6773" ht="15.75" customHeight="1">
      <c r="A6773" s="1">
        <v>7233.0</v>
      </c>
      <c r="B6773" s="3" t="s">
        <v>6512</v>
      </c>
      <c r="C6773" s="3" t="str">
        <f>IFERROR(__xludf.DUMMYFUNCTION("GOOGLETRANSLATE(B6773,""id"",""en"")"),"['application', 'error', 'times', 'uninstall', 'dowload', 'screen', 'white', 'appears']")</f>
        <v>['application', 'error', 'times', 'uninstall', 'dowload', 'screen', 'white', 'appears']</v>
      </c>
      <c r="D6773" s="3">
        <v>1.0</v>
      </c>
    </row>
    <row r="6774" ht="15.75" customHeight="1">
      <c r="A6774" s="1">
        <v>7234.0</v>
      </c>
      <c r="B6774" s="3" t="s">
        <v>6513</v>
      </c>
      <c r="C6774" s="3" t="str">
        <f>IFERROR(__xludf.DUMMYFUNCTION("GOOGLETRANSLATE(B6774,""id"",""en"")"),"['Please', 'fix', 'the application', 'MSA', 'already', 'bln', 'the application', 'Masi', 'ngebleng', 'screen', 'white', 'doang', ' Appearing ',' please ',' work ',' weapon ',' kta ',' already ',' peancan ',' loyal ',' application ',' MSA ',' response ',' "&amp;"sms', 'skali' , 'Untk', 'fix']")</f>
        <v>['Please', 'fix', 'the application', 'MSA', 'already', 'bln', 'the application', 'Masi', 'ngebleng', 'screen', 'white', 'doang', ' Appearing ',' please ',' work ',' weapon ',' kta ',' already ',' peancan ',' loyal ',' application ',' MSA ',' response ',' sms', 'skali' , 'Untk', 'fix']</v>
      </c>
      <c r="D6774" s="3">
        <v>1.0</v>
      </c>
    </row>
    <row r="6775" ht="15.75" customHeight="1">
      <c r="A6775" s="1">
        <v>7235.0</v>
      </c>
      <c r="B6775" s="3" t="s">
        <v>6514</v>
      </c>
      <c r="C6775" s="3" t="str">
        <f>IFERROR(__xludf.DUMMYFUNCTION("GOOGLETRANSLATE(B6775,""id"",""en"")"),"['Need', 'APK', 'APK', 'Buy', 'Kouta', 'Combo', 'Sakti', 'GB', 'RB', 'Card', 'Sakti', 'Like']")</f>
        <v>['Need', 'APK', 'APK', 'Buy', 'Kouta', 'Combo', 'Sakti', 'GB', 'RB', 'Card', 'Sakti', 'Like']</v>
      </c>
      <c r="D6775" s="3">
        <v>5.0</v>
      </c>
    </row>
    <row r="6776" ht="15.75" customHeight="1">
      <c r="A6776" s="1">
        <v>7236.0</v>
      </c>
      <c r="B6776" s="3" t="s">
        <v>6515</v>
      </c>
      <c r="C6776" s="3" t="str">
        <f>IFERROR(__xludf.DUMMYFUNCTION("GOOGLETRANSLATE(B6776,""id"",""en"")"),"['Delete', 'Network', 'Telkomsel', 'Price', 'Acting', 'Network', 'populat', 'Original', 'Defeats',' Network ',' Original ',' Disappointed ',' Use ',' Telkomsel ',' The network ']")</f>
        <v>['Delete', 'Network', 'Telkomsel', 'Price', 'Acting', 'Network', 'populat', 'Original', 'Defeats',' Network ',' Original ',' Disappointed ',' Use ',' Telkomsel ',' The network ']</v>
      </c>
      <c r="D6776" s="3">
        <v>1.0</v>
      </c>
    </row>
    <row r="6777" ht="15.75" customHeight="1">
      <c r="A6777" s="1">
        <v>7237.0</v>
      </c>
      <c r="B6777" s="3" t="s">
        <v>6516</v>
      </c>
      <c r="C6777" s="3" t="str">
        <f>IFERROR(__xludf.DUMMYFUNCTION("GOOGLETRANSLATE(B6777,""id"",""en"")"),"['quota', 'cheap', 'cheap']")</f>
        <v>['quota', 'cheap', 'cheap']</v>
      </c>
      <c r="D6777" s="3">
        <v>5.0</v>
      </c>
    </row>
    <row r="6778" ht="15.75" customHeight="1">
      <c r="A6778" s="1">
        <v>7238.0</v>
      </c>
      <c r="B6778" s="3" t="s">
        <v>6517</v>
      </c>
      <c r="C6778" s="3" t="str">
        <f>IFERROR(__xludf.DUMMYFUNCTION("GOOGLETRANSLATE(B6778,""id"",""en"")"),"['combo', 'cheap', '']")</f>
        <v>['combo', 'cheap', '']</v>
      </c>
      <c r="D6778" s="3">
        <v>5.0</v>
      </c>
    </row>
    <row r="6779" ht="15.75" customHeight="1">
      <c r="A6779" s="1">
        <v>7239.0</v>
      </c>
      <c r="B6779" s="3" t="s">
        <v>6518</v>
      </c>
      <c r="C6779" s="3" t="str">
        <f>IFERROR(__xludf.DUMMYFUNCTION("GOOGLETRANSLATE(B6779,""id"",""en"")"),"['Error', 'network', 'Telkomsel', 'network', 'expensive', 'gini', 'kek', 'provider', 'cheap']")</f>
        <v>['Error', 'network', 'Telkomsel', 'network', 'expensive', 'gini', 'kek', 'provider', 'cheap']</v>
      </c>
      <c r="D6779" s="3">
        <v>1.0</v>
      </c>
    </row>
    <row r="6780" ht="15.75" customHeight="1">
      <c r="A6780" s="1">
        <v>7240.0</v>
      </c>
      <c r="B6780" s="3" t="s">
        <v>6519</v>
      </c>
      <c r="C6780" s="3" t="str">
        <f>IFERROR(__xludf.DUMMYFUNCTION("GOOGLETRANSLATE(B6780,""id"",""en"")"),"['Many', 'times',' complement ',' the case ',' disruption ',' normal ',' provider ',' connection ',' home ',' rotten ',' network ',' gave ',' Hope ',' fake ',' aje ',' Season ',' suggestion ',' buy ',' pulse ',' kouta ',' expensive ',' pay attention ',' l"&amp;"ose ',' laen ',' hilarious' , 'NDRO']")</f>
        <v>['Many', 'times',' complement ',' the case ',' disruption ',' normal ',' provider ',' connection ',' home ',' rotten ',' network ',' gave ',' Hope ',' fake ',' aje ',' Season ',' suggestion ',' buy ',' pulse ',' kouta ',' expensive ',' pay attention ',' lose ',' laen ',' hilarious' , 'NDRO']</v>
      </c>
      <c r="D6780" s="3">
        <v>1.0</v>
      </c>
    </row>
    <row r="6781" ht="15.75" customHeight="1">
      <c r="A6781" s="1">
        <v>7241.0</v>
      </c>
      <c r="B6781" s="3" t="s">
        <v>6520</v>
      </c>
      <c r="C6781" s="3" t="str">
        <f>IFERROR(__xludf.DUMMYFUNCTION("GOOGLETRANSLATE(B6781,""id"",""en"")"),"['signal', 'slow', 'price', '']")</f>
        <v>['signal', 'slow', 'price', '']</v>
      </c>
      <c r="D6781" s="3">
        <v>2.0</v>
      </c>
    </row>
    <row r="6782" ht="15.75" customHeight="1">
      <c r="A6782" s="1">
        <v>7242.0</v>
      </c>
      <c r="B6782" s="3" t="s">
        <v>6521</v>
      </c>
      <c r="C6782" s="3" t="str">
        <f>IFERROR(__xludf.DUMMYFUNCTION("GOOGLETRANSLATE(B6782,""id"",""en"")"),"['Try', 'times', 'enter', 'enter', 'verification', 'sms', 'link', 'kaduarsa', 'min']")</f>
        <v>['Try', 'times', 'enter', 'enter', 'verification', 'sms', 'link', 'kaduarsa', 'min']</v>
      </c>
      <c r="D6782" s="3">
        <v>2.0</v>
      </c>
    </row>
    <row r="6783" ht="15.75" customHeight="1">
      <c r="A6783" s="1">
        <v>7243.0</v>
      </c>
      <c r="B6783" s="3" t="s">
        <v>6522</v>
      </c>
      <c r="C6783" s="3" t="str">
        <f>IFERROR(__xludf.DUMMYFUNCTION("GOOGLETRANSLATE(B6783,""id"",""en"")"),"['Stay', 'area', 'urban', 'signal', 'lag', 'package', 'buy', 'expensive', 'tetep', 'kayak', 'bangse', 'Telkomsel', ' Boring ',' ']")</f>
        <v>['Stay', 'area', 'urban', 'signal', 'lag', 'package', 'buy', 'expensive', 'tetep', 'kayak', 'bangse', 'Telkomsel', ' Boring ',' ']</v>
      </c>
      <c r="D6783" s="3">
        <v>1.0</v>
      </c>
    </row>
    <row r="6784" ht="15.75" customHeight="1">
      <c r="A6784" s="1">
        <v>7244.0</v>
      </c>
      <c r="B6784" s="3" t="s">
        <v>6523</v>
      </c>
      <c r="C6784" s="3" t="str">
        <f>IFERROR(__xludf.DUMMYFUNCTION("GOOGLETRANSLATE(B6784,""id"",""en"")"),"['Connection', 'internet', 'ugly', 'parepare', 'down', 'broke', 'connect', 'kek', 'soap opera', 'premium', 'regular', 'slow', ' Speed ​​',' internet ',' people ',' Indonesia ',' like ',' relax ',' internet ',' relax ',' slow ',' bro ', ""]")</f>
        <v>['Connection', 'internet', 'ugly', 'parepare', 'down', 'broke', 'connect', 'kek', 'soap opera', 'premium', 'regular', 'slow', ' Speed ​​',' internet ',' people ',' Indonesia ',' like ',' relax ',' internet ',' relax ',' slow ',' bro ', "]</v>
      </c>
      <c r="D6784" s="3">
        <v>1.0</v>
      </c>
    </row>
    <row r="6785" ht="15.75" customHeight="1">
      <c r="A6785" s="1">
        <v>7245.0</v>
      </c>
      <c r="B6785" s="3" t="s">
        <v>6524</v>
      </c>
      <c r="C6785" s="3" t="str">
        <f>IFERROR(__xludf.DUMMYFUNCTION("GOOGLETRANSLATE(B6785,""id"",""en"")"),"['Please', 'Feature', 'Actfkkan', 'Credit', 'Safe', 'Telkomsel', 'Balance', 'Main', 'Cut "",""]")</f>
        <v>['Please', 'Feature', 'Actfkkan', 'Credit', 'Safe', 'Telkomsel', 'Balance', 'Main', 'Cut ","]</v>
      </c>
      <c r="D6785" s="3">
        <v>3.0</v>
      </c>
    </row>
    <row r="6786" ht="15.75" customHeight="1">
      <c r="A6786" s="1">
        <v>7246.0</v>
      </c>
      <c r="B6786" s="3" t="s">
        <v>6525</v>
      </c>
      <c r="C6786" s="3" t="str">
        <f>IFERROR(__xludf.DUMMYFUNCTION("GOOGLETRANSLATE(B6786,""id"",""en"")"),"['Please', 'repaired', 'as soon as possible', 'opened', 'Android', 'already', 'comment', 'opened', 'replied', 'told', 'check', ' repaired ',' seblum ',' update ',' update ',' severe ',' ngeta ',' ngepain ', ""]")</f>
        <v>['Please', 'repaired', 'as soon as possible', 'opened', 'Android', 'already', 'comment', 'opened', 'replied', 'told', 'check', ' repaired ',' seblum ',' update ',' update ',' severe ',' ngeta ',' ngepain ', "]</v>
      </c>
      <c r="D6786" s="3">
        <v>1.0</v>
      </c>
    </row>
    <row r="6787" ht="15.75" customHeight="1">
      <c r="A6787" s="1">
        <v>7247.0</v>
      </c>
      <c r="B6787" s="3" t="s">
        <v>6526</v>
      </c>
      <c r="C6787" s="3" t="str">
        <f>IFERROR(__xludf.DUMMYFUNCTION("GOOGLETRANSLATE(B6787,""id"",""en"")"),"['', 'Telelkomsel', 'Open', 'APK', 'BURIK', 'APK']")</f>
        <v>['', 'Telelkomsel', 'Open', 'APK', 'BURIK', 'APK']</v>
      </c>
      <c r="D6787" s="3">
        <v>1.0</v>
      </c>
    </row>
    <row r="6788" ht="15.75" customHeight="1">
      <c r="A6788" s="1">
        <v>7248.0</v>
      </c>
      <c r="B6788" s="3" t="s">
        <v>6527</v>
      </c>
      <c r="C6788" s="3" t="str">
        <f>IFERROR(__xludf.DUMMYFUNCTION("GOOGLETRANSLATE(B6788,""id"",""en"")"),"['Cook', 'ngblank', 'white', 'repair', 'disappointed', 'Telkomsel', 'sya']")</f>
        <v>['Cook', 'ngblank', 'white', 'repair', 'disappointed', 'Telkomsel', 'sya']</v>
      </c>
      <c r="D6788" s="3">
        <v>1.0</v>
      </c>
    </row>
    <row r="6789" ht="15.75" customHeight="1">
      <c r="A6789" s="1">
        <v>7249.0</v>
      </c>
      <c r="B6789" s="3" t="s">
        <v>6528</v>
      </c>
      <c r="C6789" s="3" t="str">
        <f>IFERROR(__xludf.DUMMYFUNCTION("GOOGLETRANSLATE(B6789,""id"",""en"")"),"['expensive', 'unlimited', 'network', 'like', 'error', 'solution', 'woi', 'admin', '']")</f>
        <v>['expensive', 'unlimited', 'network', 'like', 'error', 'solution', 'woi', 'admin', '']</v>
      </c>
      <c r="D6789" s="3">
        <v>1.0</v>
      </c>
    </row>
    <row r="6790" ht="15.75" customHeight="1">
      <c r="A6790" s="1">
        <v>7250.0</v>
      </c>
      <c r="B6790" s="3" t="s">
        <v>6529</v>
      </c>
      <c r="C6790" s="3" t="str">
        <f>IFERROR(__xludf.DUMMYFUNCTION("GOOGLETRANSLATE(B6790,""id"",""en"")"),"['version', 'tlng', 'revised', 'user', 'android', 'below', 'login', '']")</f>
        <v>['version', 'tlng', 'revised', 'user', 'android', 'below', 'login', '']</v>
      </c>
      <c r="D6790" s="3">
        <v>5.0</v>
      </c>
    </row>
    <row r="6791" ht="15.75" customHeight="1">
      <c r="A6791" s="1">
        <v>7251.0</v>
      </c>
      <c r="B6791" s="3" t="s">
        <v>6530</v>
      </c>
      <c r="C6791" s="3" t="str">
        <f>IFERROR(__xludf.DUMMYFUNCTION("GOOGLETRANSLATE(B6791,""id"",""en"")"),"['Application', 'Open', 'Android', 'Please', 'Oki', 'APK', 'Open', 'Android', 'Please', 'Network', 'Region', 'ugly', ' Please ',' fix ',' already ',' sorry ',' love ',' star ',' application ',' already ',' open ',' android ',' network ',' already ',' stab"&amp;"le ' , 'love', 'star', 'thank', 'love', ""]")</f>
        <v>['Application', 'Open', 'Android', 'Please', 'Oki', 'APK', 'Open', 'Android', 'Please', 'Network', 'Region', 'ugly', ' Please ',' fix ',' already ',' sorry ',' love ',' star ',' application ',' already ',' open ',' android ',' network ',' already ',' stable ' , 'love', 'star', 'thank', 'love', "]</v>
      </c>
      <c r="D6791" s="3">
        <v>2.0</v>
      </c>
    </row>
    <row r="6792" ht="15.75" customHeight="1">
      <c r="A6792" s="1">
        <v>7252.0</v>
      </c>
      <c r="B6792" s="3" t="s">
        <v>6531</v>
      </c>
      <c r="C6792" s="3" t="str">
        <f>IFERROR(__xludf.DUMMYFUNCTION("GOOGLETRANSLATE(B6792,""id"",""en"")"),"['TOP', 'pulse', 'package', 'expensive', 'package', 'internet']")</f>
        <v>['TOP', 'pulse', 'package', 'expensive', 'package', 'internet']</v>
      </c>
      <c r="D6792" s="3">
        <v>1.0</v>
      </c>
    </row>
    <row r="6793" ht="15.75" customHeight="1">
      <c r="A6793" s="1">
        <v>7253.0</v>
      </c>
      <c r="B6793" s="3" t="s">
        <v>6532</v>
      </c>
      <c r="C6793" s="3" t="str">
        <f>IFERROR(__xludf.DUMMYFUNCTION("GOOGLETRANSLATE(B6793,""id"",""en"")"),"['Please', 'Sorry', 'Nihh', 'I', 'Wrong', 'Ngelaporin', 'Signal', 'Gue', 'ugly', 'really', 'Severe', 'card', ' Tri ',' Bener ',' Bener ',' entered ',' sense ',' location ',' I ',' City ',' Jambi ',' Bener ',' Bener ',' City ',' Ntah ' , 'signal', 'ilang',"&amp;" 'noon', 'night', 'please', 'really', 'yaa']")</f>
        <v>['Please', 'Sorry', 'Nihh', 'I', 'Wrong', 'Ngelaporin', 'Signal', 'Gue', 'ugly', 'really', 'Severe', 'card', ' Tri ',' Bener ',' Bener ',' entered ',' sense ',' location ',' I ',' City ',' Jambi ',' Bener ',' Bener ',' City ',' Ntah ' , 'signal', 'ilang', 'noon', 'night', 'please', 'really', 'yaa']</v>
      </c>
      <c r="D6793" s="3">
        <v>2.0</v>
      </c>
    </row>
    <row r="6794" ht="15.75" customHeight="1">
      <c r="A6794" s="1">
        <v>7254.0</v>
      </c>
      <c r="B6794" s="3" t="s">
        <v>6533</v>
      </c>
      <c r="C6794" s="3" t="str">
        <f>IFERROR(__xludf.DUMMYFUNCTION("GOOGLETRANSLATE(B6794,""id"",""en"")"),"['', 'Ngerti', 'Provider', 'Telkomsel', 'Application', 'Stuck', 'Blank', 'White', 'Rates',' said ',' cheap ',' sometimes', 'ngelamin ',' Internet ',' slow ',' moved ',' provider ',' ']")</f>
        <v>['', 'Ngerti', 'Provider', 'Telkomsel', 'Application', 'Stuck', 'Blank', 'White', 'Rates',' said ',' cheap ',' sometimes', 'ngelamin ',' Internet ',' slow ',' moved ',' provider ',' ']</v>
      </c>
      <c r="D6794" s="3">
        <v>1.0</v>
      </c>
    </row>
    <row r="6795" ht="15.75" customHeight="1">
      <c r="A6795" s="1">
        <v>7255.0</v>
      </c>
      <c r="B6795" s="3" t="s">
        <v>6534</v>
      </c>
      <c r="C6795" s="3" t="str">
        <f>IFERROR(__xludf.DUMMYFUNCTION("GOOGLETRANSLATE(B6795,""id"",""en"")"),"['week', 'huka', 'app', 'screen', 'white', 'gmna', 'this is', 'solutionaaa', 'annoying', 'really']")</f>
        <v>['week', 'huka', 'app', 'screen', 'white', 'gmna', 'this is', 'solutionaaa', 'annoying', 'really']</v>
      </c>
      <c r="D6795" s="3">
        <v>1.0</v>
      </c>
    </row>
    <row r="6796" ht="15.75" customHeight="1">
      <c r="A6796" s="1">
        <v>7256.0</v>
      </c>
      <c r="B6796" s="3" t="s">
        <v>6535</v>
      </c>
      <c r="C6796" s="3" t="str">
        <f>IFERROR(__xludf.DUMMYFUNCTION("GOOGLETRANSLATE(B6796,""id"",""en"")"),"['The application', 'open', 'delete', 'then', 'installed', 'lgi', 'open', 'just', 'white', 'doang', 'emang', 'the application', ' Eror ',' GMN ',' ']")</f>
        <v>['The application', 'open', 'delete', 'then', 'installed', 'lgi', 'open', 'just', 'white', 'doang', 'emang', 'the application', ' Eror ',' GMN ',' ']</v>
      </c>
      <c r="D6796" s="3">
        <v>5.0</v>
      </c>
    </row>
    <row r="6797" ht="15.75" customHeight="1">
      <c r="A6797" s="1">
        <v>7257.0</v>
      </c>
      <c r="B6797" s="3" t="s">
        <v>6536</v>
      </c>
      <c r="C6797" s="3" t="str">
        <f>IFERROR(__xludf.DUMMYFUNCTION("GOOGLETRANSLATE(B6797,""id"",""en"")"),"['Blank', 'White', 'Doang', 'Bulak', 'Uninstall', 'Install', 'Tetep', 'Error', 'Duhh', ""]")</f>
        <v>['Blank', 'White', 'Doang', 'Bulak', 'Uninstall', 'Install', 'Tetep', 'Error', 'Duhh', "]</v>
      </c>
      <c r="D6797" s="3">
        <v>1.0</v>
      </c>
    </row>
    <row r="6798" ht="15.75" customHeight="1">
      <c r="A6798" s="1">
        <v>7258.0</v>
      </c>
      <c r="B6798" s="3" t="s">
        <v>6537</v>
      </c>
      <c r="C6798" s="3" t="str">
        <f>IFERROR(__xludf.DUMMYFUNCTION("GOOGLETRANSLATE(B6798,""id"",""en"")"),"['', 'intention', 'Jarigan', 'Ajing', 'lag', 'pig', 'Mending', 'Disband', 'tri', 'good', 'expensive']")</f>
        <v>['', 'intention', 'Jarigan', 'Ajing', 'lag', 'pig', 'Mending', 'Disband', 'tri', 'good', 'expensive']</v>
      </c>
      <c r="D6798" s="3">
        <v>1.0</v>
      </c>
    </row>
    <row r="6799" ht="15.75" customHeight="1">
      <c r="A6799" s="1">
        <v>7259.0</v>
      </c>
      <c r="B6799" s="3" t="s">
        <v>6538</v>
      </c>
      <c r="C6799" s="3" t="str">
        <f>IFERROR(__xludf.DUMMYFUNCTION("GOOGLETRANSLATE(B6799,""id"",""en"")"),"['active', 'quota', 'stingy', 'really', 'pliss']")</f>
        <v>['active', 'quota', 'stingy', 'really', 'pliss']</v>
      </c>
      <c r="D6799" s="3">
        <v>3.0</v>
      </c>
    </row>
    <row r="6800" ht="15.75" customHeight="1">
      <c r="A6800" s="1">
        <v>7260.0</v>
      </c>
      <c r="B6800" s="3" t="s">
        <v>6539</v>
      </c>
      <c r="C6800" s="3" t="str">
        <f>IFERROR(__xludf.DUMMYFUNCTION("GOOGLETRANSLATE(B6800,""id"",""en"")"),"['', 'pork', 'network', 'rich', 'ajink', 'package', 'expensive', 'expensive', 'kepake', 'ajink']")</f>
        <v>['', 'pork', 'network', 'rich', 'ajink', 'package', 'expensive', 'expensive', 'kepake', 'ajink']</v>
      </c>
      <c r="D6800" s="3">
        <v>1.0</v>
      </c>
    </row>
    <row r="6801" ht="15.75" customHeight="1">
      <c r="A6801" s="1">
        <v>7261.0</v>
      </c>
      <c r="B6801" s="3" t="s">
        <v>6540</v>
      </c>
      <c r="C6801" s="3" t="str">
        <f>IFERROR(__xludf.DUMMYFUNCTION("GOOGLETRANSLATE(B6801,""id"",""en"")"),"['authorized', 'application', 'pay attention', 'constraints', 'experienced', 'people', 'subject', 'opened', 'application', 'Telkomsel', 'beloved', ""]")</f>
        <v>['authorized', 'application', 'pay attention', 'constraints', 'experienced', 'people', 'subject', 'opened', 'application', 'Telkomsel', 'beloved', "]</v>
      </c>
      <c r="D6801" s="3">
        <v>1.0</v>
      </c>
    </row>
    <row r="6802" ht="15.75" customHeight="1">
      <c r="A6802" s="1">
        <v>7262.0</v>
      </c>
      <c r="B6802" s="3" t="s">
        <v>6541</v>
      </c>
      <c r="C6802" s="3" t="str">
        <f>IFERROR(__xludf.DUMMYFUNCTION("GOOGLETRANSLATE(B6802,""id"",""en"")"),"['Steady', 'bonus', 'min']")</f>
        <v>['Steady', 'bonus', 'min']</v>
      </c>
      <c r="D6802" s="3">
        <v>5.0</v>
      </c>
    </row>
    <row r="6803" ht="15.75" customHeight="1">
      <c r="A6803" s="1">
        <v>7263.0</v>
      </c>
      <c r="B6803" s="3" t="s">
        <v>6542</v>
      </c>
      <c r="C6803" s="3" t="str">
        <f>IFERROR(__xludf.DUMMYFUNCTION("GOOGLETRANSLATE(B6803,""id"",""en"")"),"['Time', 'Telkom', 'My account', 'automatic', 'Hadoh', 'Wonder', 'Buknyak', 'Lovers',' APK ',' Fucked ',' Sankat ',' Number ',' Continuing ',' heren ',' deh ']")</f>
        <v>['Time', 'Telkom', 'My account', 'automatic', 'Hadoh', 'Wonder', 'Buknyak', 'Lovers',' APK ',' Fucked ',' Sankat ',' Number ',' Continuing ',' heren ',' deh ']</v>
      </c>
      <c r="D6803" s="3">
        <v>1.0</v>
      </c>
    </row>
    <row r="6804" ht="15.75" customHeight="1">
      <c r="A6804" s="1">
        <v>7264.0</v>
      </c>
      <c r="B6804" s="3" t="s">
        <v>3208</v>
      </c>
      <c r="C6804" s="3" t="str">
        <f>IFERROR(__xludf.DUMMYFUNCTION("GOOGLETRANSLATE(B6804,""id"",""en"")"),"['try']")</f>
        <v>['try']</v>
      </c>
      <c r="D6804" s="3">
        <v>3.0</v>
      </c>
    </row>
    <row r="6805" ht="15.75" customHeight="1">
      <c r="A6805" s="1">
        <v>7266.0</v>
      </c>
      <c r="B6805" s="3" t="s">
        <v>6543</v>
      </c>
      <c r="C6805" s="3" t="str">
        <f>IFERROR(__xludf.DUMMYFUNCTION("GOOGLETRANSLATE(B6805,""id"",""en"")"),"['lag']")</f>
        <v>['lag']</v>
      </c>
      <c r="D6805" s="3">
        <v>3.0</v>
      </c>
    </row>
    <row r="6806" ht="15.75" customHeight="1">
      <c r="A6806" s="1">
        <v>7267.0</v>
      </c>
      <c r="B6806" s="3" t="s">
        <v>6544</v>
      </c>
      <c r="C6806" s="3" t="str">
        <f>IFERROR(__xludf.DUMMYFUNCTION("GOOGLETRANSLATE(B6806,""id"",""en"")"),"['Steady', 'Sometimes', 'Leet', 'Network', 'Good']")</f>
        <v>['Steady', 'Sometimes', 'Leet', 'Network', 'Good']</v>
      </c>
      <c r="D6806" s="3">
        <v>5.0</v>
      </c>
    </row>
    <row r="6807" ht="15.75" customHeight="1">
      <c r="A6807" s="1">
        <v>7268.0</v>
      </c>
      <c r="B6807" s="3" t="s">
        <v>6545</v>
      </c>
      <c r="C6807" s="3" t="str">
        <f>IFERROR(__xludf.DUMMYFUNCTION("GOOGLETRANSLATE(B6807,""id"",""en"")"),"['signal', 'slow', 'bnget', 'anjirrr']")</f>
        <v>['signal', 'slow', 'bnget', 'anjirrr']</v>
      </c>
      <c r="D6807" s="3">
        <v>2.0</v>
      </c>
    </row>
    <row r="6808" ht="15.75" customHeight="1">
      <c r="A6808" s="1">
        <v>7269.0</v>
      </c>
      <c r="B6808" s="3" t="s">
        <v>6546</v>
      </c>
      <c r="C6808" s="3" t="str">
        <f>IFERROR(__xludf.DUMMYFUNCTION("GOOGLETRANSLATE(B6808,""id"",""en"")"),"['complaints',' internet ',' enter ',' type ',' smartphone ',' have ',' right ',' uda ',' click ',' then ',' the question ',' reset ',' GMANA ',' Nanggana ',' complaints', 'consumers',' update ',' apparage ',' high school ',' comfortable ']")</f>
        <v>['complaints',' internet ',' enter ',' type ',' smartphone ',' have ',' right ',' uda ',' click ',' then ',' the question ',' reset ',' GMANA ',' Nanggana ',' complaints', 'consumers',' update ',' apparage ',' high school ',' comfortable ']</v>
      </c>
      <c r="D6808" s="3">
        <v>1.0</v>
      </c>
    </row>
    <row r="6809" ht="15.75" customHeight="1">
      <c r="A6809" s="1">
        <v>7270.0</v>
      </c>
      <c r="B6809" s="3" t="s">
        <v>6547</v>
      </c>
      <c r="C6809" s="3" t="str">
        <f>IFERROR(__xludf.DUMMYFUNCTION("GOOGLETRANSLATE(B6809,""id"",""en"")"),"['why', 'APL', 'Open', 'APL', 'White', 'Screen', 'Doang', 'Ngeselin', 'Emotion', 'Doang', 'Try', 'Email', ' Telkomsel ',' according to ',' suggestion ',' operator ',' PHP ',' response ',' package ',' expensive ',' network ',' error ',' call ',' via ',' ne"&amp;"west ' , 'Check', 'quota', 'check', 'quota', 'APL', 'Telkomsel', 'painful', 'Try', 'complain', 'Telkomsel', 'igninated', 'alias',' Response ',' company ',' segedhe ',' service ',' Professional ',' really ', ""]")</f>
        <v>['why', 'APL', 'Open', 'APL', 'White', 'Screen', 'Doang', 'Ngeselin', 'Emotion', 'Doang', 'Try', 'Email', ' Telkomsel ',' according to ',' suggestion ',' operator ',' PHP ',' response ',' package ',' expensive ',' network ',' error ',' call ',' via ',' newest ' , 'Check', 'quota', 'check', 'quota', 'APL', 'Telkomsel', 'painful', 'Try', 'complain', 'Telkomsel', 'igninated', 'alias',' Response ',' company ',' segedhe ',' service ',' Professional ',' really ', "]</v>
      </c>
      <c r="D6809" s="3">
        <v>1.0</v>
      </c>
    </row>
    <row r="6810" ht="15.75" customHeight="1">
      <c r="A6810" s="1">
        <v>7271.0</v>
      </c>
      <c r="B6810" s="3" t="s">
        <v>6548</v>
      </c>
      <c r="C6810" s="3" t="str">
        <f>IFERROR(__xludf.DUMMYFUNCTION("GOOGLETRANSLATE(B6810,""id"",""en"")"),"['Yesterday', 'AP', 'APK', 'open', 'hafueh', 'how', 'already', 'me', 'delete', 'data', 'open', 'already', ' I ',' Unistal ',' TRS ',' I ',' ISTAL ',' Suggestions', 'Please', 'Help', 'Depelover', 'Yyyy']")</f>
        <v>['Yesterday', 'AP', 'APK', 'open', 'hafueh', 'how', 'already', 'me', 'delete', 'data', 'open', 'already', ' I ',' Unistal ',' TRS ',' I ',' ISTAL ',' Suggestions', 'Please', 'Help', 'Depelover', 'Yyyy']</v>
      </c>
      <c r="D6810" s="3">
        <v>2.0</v>
      </c>
    </row>
    <row r="6811" ht="15.75" customHeight="1">
      <c r="A6811" s="1">
        <v>7272.0</v>
      </c>
      <c r="B6811" s="3" t="s">
        <v>6549</v>
      </c>
      <c r="C6811" s="3" t="str">
        <f>IFERROR(__xludf.DUMMYFUNCTION("GOOGLETRANSLATE(B6811,""id"",""en"")"),"['Application', 'expensive', 'Doang', 'ugly']")</f>
        <v>['Application', 'expensive', 'Doang', 'ugly']</v>
      </c>
      <c r="D6811" s="3">
        <v>1.0</v>
      </c>
    </row>
    <row r="6812" ht="15.75" customHeight="1">
      <c r="A6812" s="1">
        <v>7273.0</v>
      </c>
      <c r="B6812" s="3" t="s">
        <v>6550</v>
      </c>
      <c r="C6812" s="3" t="str">
        <f>IFERROR(__xludf.DUMMYFUNCTION("GOOGLETRANSLATE(B6812,""id"",""en"")"),"['Dihp', 'no', 'mebuka', 'application', '']")</f>
        <v>['Dihp', 'no', 'mebuka', 'application', '']</v>
      </c>
      <c r="D6812" s="3">
        <v>4.0</v>
      </c>
    </row>
    <row r="6813" ht="15.75" customHeight="1">
      <c r="A6813" s="1">
        <v>7274.0</v>
      </c>
      <c r="B6813" s="3" t="s">
        <v>6551</v>
      </c>
      <c r="C6813" s="3" t="str">
        <f>IFERROR(__xludf.DUMMYFUNCTION("GOOGLETRANSLATE(B6813,""id"",""en"")"),"['PERM', 'Install', 'BGS', 'KNP', 'JDI', 'LYR', 'White', 'Doang', 'alternating', 'TTP', 'screen', 'White', ' Fix ',' systemny ']")</f>
        <v>['PERM', 'Install', 'BGS', 'KNP', 'JDI', 'LYR', 'White', 'Doang', 'alternating', 'TTP', 'screen', 'White', ' Fix ',' systemny ']</v>
      </c>
      <c r="D6813" s="3">
        <v>2.0</v>
      </c>
    </row>
    <row r="6814" ht="15.75" customHeight="1">
      <c r="A6814" s="1">
        <v>7275.0</v>
      </c>
      <c r="B6814" s="3" t="s">
        <v>6552</v>
      </c>
      <c r="C6814" s="3" t="str">
        <f>IFERROR(__xludf.DUMMYFUNCTION("GOOGLETRANSLATE(B6814,""id"",""en"")"),"['running smoothly', '']")</f>
        <v>['running smoothly', '']</v>
      </c>
      <c r="D6814" s="3">
        <v>5.0</v>
      </c>
    </row>
    <row r="6815" ht="15.75" customHeight="1">
      <c r="A6815" s="1">
        <v>7276.0</v>
      </c>
      <c r="B6815" s="3" t="s">
        <v>6553</v>
      </c>
      <c r="C6815" s="3" t="str">
        <f>IFERROR(__xludf.DUMMYFUNCTION("GOOGLETRANSLATE(B6815,""id"",""en"")"),"['Telkomsel', 'Network', 'Where', 'Network', 'Internet', 'Slow', 'Please', 'Fix', 'Thank you']")</f>
        <v>['Telkomsel', 'Network', 'Where', 'Network', 'Internet', 'Slow', 'Please', 'Fix', 'Thank you']</v>
      </c>
      <c r="D6815" s="3">
        <v>5.0</v>
      </c>
    </row>
    <row r="6816" ht="15.75" customHeight="1">
      <c r="A6816" s="1">
        <v>7277.0</v>
      </c>
      <c r="B6816" s="3" t="s">
        <v>6554</v>
      </c>
      <c r="C6816" s="3" t="str">
        <f>IFERROR(__xludf.DUMMYFUNCTION("GOOGLETRANSLATE(B6816,""id"",""en"")"),"['transaction', 'disorder', 'emang', 'disorder', ""]")</f>
        <v>['transaction', 'disorder', 'emang', 'disorder', "]</v>
      </c>
      <c r="D6816" s="3">
        <v>3.0</v>
      </c>
    </row>
    <row r="6817" ht="15.75" customHeight="1">
      <c r="A6817" s="1">
        <v>7278.0</v>
      </c>
      <c r="B6817" s="3" t="s">
        <v>6555</v>
      </c>
      <c r="C6817" s="3" t="str">
        <f>IFERROR(__xludf.DUMMYFUNCTION("GOOGLETRANSLATE(B6817,""id"",""en"")"),"['Please', 'Open', 'Please', 'Fix', '']")</f>
        <v>['Please', 'Open', 'Please', 'Fix', '']</v>
      </c>
      <c r="D6817" s="3">
        <v>1.0</v>
      </c>
    </row>
    <row r="6818" ht="15.75" customHeight="1">
      <c r="A6818" s="1">
        <v>7279.0</v>
      </c>
      <c r="B6818" s="3" t="s">
        <v>6556</v>
      </c>
      <c r="C6818" s="3" t="str">
        <f>IFERROR(__xludf.DUMMYFUNCTION("GOOGLETRANSLATE(B6818,""id"",""en"")"),"['', 'Telkomsel', 'Telkomsel', 'Delete', 'then', 'Install', 'TTP', 'opened', 'screen', 'White', ""]")</f>
        <v>['', 'Telkomsel', 'Telkomsel', 'Delete', 'then', 'Install', 'TTP', 'opened', 'screen', 'White', "]</v>
      </c>
      <c r="D6818" s="3">
        <v>5.0</v>
      </c>
    </row>
    <row r="6819" ht="15.75" customHeight="1">
      <c r="A6819" s="1">
        <v>7280.0</v>
      </c>
      <c r="B6819" s="3" t="s">
        <v>6557</v>
      </c>
      <c r="C6819" s="3" t="str">
        <f>IFERROR(__xludf.DUMMYFUNCTION("GOOGLETRANSLATE(B6819,""id"",""en"")"),"['Cheap', 'package']")</f>
        <v>['Cheap', 'package']</v>
      </c>
      <c r="D6819" s="3">
        <v>5.0</v>
      </c>
    </row>
    <row r="6820" ht="15.75" customHeight="1">
      <c r="A6820" s="1">
        <v>7281.0</v>
      </c>
      <c r="B6820" s="3" t="s">
        <v>6558</v>
      </c>
      <c r="C6820" s="3" t="str">
        <f>IFERROR(__xludf.DUMMYFUNCTION("GOOGLETRANSLATE(B6820,""id"",""en"")"),"['hope', 'useful', 'people', 'prioritizes', 'quality', 'service', ""]")</f>
        <v>['hope', 'useful', 'people', 'prioritizes', 'quality', 'service', "]</v>
      </c>
      <c r="D6820" s="3">
        <v>5.0</v>
      </c>
    </row>
    <row r="6821" ht="15.75" customHeight="1">
      <c r="A6821" s="1">
        <v>7282.0</v>
      </c>
      <c r="B6821" s="3" t="s">
        <v>6559</v>
      </c>
      <c r="C6821" s="3" t="str">
        <f>IFERROR(__xludf.DUMMYFUNCTION("GOOGLETRANSLATE(B6821,""id"",""en"")"),"['Please', 'explanation', 'KNPA', 'KOG', 'The application', 'opened', 'tired', 'uninstall', 'download', 'then']")</f>
        <v>['Please', 'explanation', 'KNPA', 'KOG', 'The application', 'opened', 'tired', 'uninstall', 'download', 'then']</v>
      </c>
      <c r="D6821" s="3">
        <v>1.0</v>
      </c>
    </row>
    <row r="6822" ht="15.75" customHeight="1">
      <c r="A6822" s="1">
        <v>7283.0</v>
      </c>
      <c r="B6822" s="3" t="s">
        <v>6560</v>
      </c>
      <c r="C6822" s="3" t="str">
        <f>IFERROR(__xludf.DUMMYFUNCTION("GOOGLETRANSLATE(B6822,""id"",""en"")"),"['Application', 'really', 'UDH', 'Install', 'just', 'appears', 'screen', 'white', 'UDH', 'Delete', 'Chace', ""]")</f>
        <v>['Application', 'really', 'UDH', 'Install', 'just', 'appears', 'screen', 'white', 'UDH', 'Delete', 'Chace', "]</v>
      </c>
      <c r="D6822" s="3">
        <v>1.0</v>
      </c>
    </row>
    <row r="6823" ht="15.75" customHeight="1">
      <c r="A6823" s="1">
        <v>7284.0</v>
      </c>
      <c r="B6823" s="3" t="s">
        <v>6561</v>
      </c>
      <c r="C6823" s="3" t="str">
        <f>IFERROR(__xludf.DUMMYFUNCTION("GOOGLETRANSLATE(B6823,""id"",""en"")"),"['application', 'poor', 'opened', '']")</f>
        <v>['application', 'poor', 'opened', '']</v>
      </c>
      <c r="D6823" s="3">
        <v>1.0</v>
      </c>
    </row>
    <row r="6824" ht="15.75" customHeight="1">
      <c r="A6824" s="1">
        <v>7285.0</v>
      </c>
      <c r="B6824" s="3" t="s">
        <v>6562</v>
      </c>
      <c r="C6824" s="3" t="str">
        <f>IFERROR(__xludf.DUMMYFUNCTION("GOOGLETRANSLATE(B6824,""id"",""en"")"),"['', 'Telkomsel', 'satisfying']")</f>
        <v>['', 'Telkomsel', 'satisfying']</v>
      </c>
      <c r="D6824" s="3">
        <v>5.0</v>
      </c>
    </row>
    <row r="6825" ht="15.75" customHeight="1">
      <c r="A6825" s="1">
        <v>7286.0</v>
      </c>
      <c r="B6825" s="3" t="s">
        <v>6563</v>
      </c>
      <c r="C6825" s="3" t="str">
        <f>IFERROR(__xludf.DUMMYFUNCTION("GOOGLETRANSLATE(B6825,""id"",""en"")"),"['Following', 'direction', 'operator', 'told', 'Wait', 'Jam', 'JUM', 'Blank', 'White', 'How', 'Kinerjamu', 'Telkomsel', ' Waiting ',' work ',' saturate ',' lhooooo ']")</f>
        <v>['Following', 'direction', 'operator', 'told', 'Wait', 'Jam', 'JUM', 'Blank', 'White', 'How', 'Kinerjamu', 'Telkomsel', ' Waiting ',' work ',' saturate ',' lhooooo ']</v>
      </c>
      <c r="D6825" s="3">
        <v>1.0</v>
      </c>
    </row>
    <row r="6826" ht="15.75" customHeight="1">
      <c r="A6826" s="1">
        <v>7287.0</v>
      </c>
      <c r="B6826" s="3" t="s">
        <v>6564</v>
      </c>
      <c r="C6826" s="3" t="str">
        <f>IFERROR(__xludf.DUMMYFUNCTION("GOOGLETRANSLATE(B6826,""id"",""en"")"),"['quota', 'gojek', 'slow', 'quota', 'msh']")</f>
        <v>['quota', 'gojek', 'slow', 'quota', 'msh']</v>
      </c>
      <c r="D6826" s="3">
        <v>1.0</v>
      </c>
    </row>
    <row r="6827" ht="15.75" customHeight="1">
      <c r="A6827" s="1">
        <v>7289.0</v>
      </c>
      <c r="B6827" s="3" t="s">
        <v>6565</v>
      </c>
      <c r="C6827" s="3" t="str">
        <f>IFERROR(__xludf.DUMMYFUNCTION("GOOGLETRANSLATE(B6827,""id"",""en"")"),"['Application', 'slow']")</f>
        <v>['Application', 'slow']</v>
      </c>
      <c r="D6827" s="3">
        <v>4.0</v>
      </c>
    </row>
    <row r="6828" ht="15.75" customHeight="1">
      <c r="A6828" s="1">
        <v>7290.0</v>
      </c>
      <c r="B6828" s="3" t="s">
        <v>6566</v>
      </c>
      <c r="C6828" s="3" t="str">
        <f>IFERROR(__xludf.DUMMYFUNCTION("GOOGLETRANSLATE(B6828,""id"",""en"")"),"['Telkomsel', 'network', 'already', 'week', 'ping', 'mulu', 'likes',' down ',' right ',' play ',' game ',' Please ',' Fix ',' Operator ',' ']")</f>
        <v>['Telkomsel', 'network', 'already', 'week', 'ping', 'mulu', 'likes',' down ',' right ',' play ',' game ',' Please ',' Fix ',' Operator ',' ']</v>
      </c>
      <c r="D6828" s="3">
        <v>1.0</v>
      </c>
    </row>
    <row r="6829" ht="15.75" customHeight="1">
      <c r="A6829" s="1">
        <v>7291.0</v>
      </c>
      <c r="B6829" s="3" t="s">
        <v>6567</v>
      </c>
      <c r="C6829" s="3" t="str">
        <f>IFERROR(__xludf.DUMMYFUNCTION("GOOGLETRANSLATE(B6829,""id"",""en"")"),"['Alpkasi', 'telkosel', 'ngk', 'bjsa', 'open']")</f>
        <v>['Alpkasi', 'telkosel', 'ngk', 'bjsa', 'open']</v>
      </c>
      <c r="D6829" s="3">
        <v>1.0</v>
      </c>
    </row>
    <row r="6830" ht="15.75" customHeight="1">
      <c r="A6830" s="1">
        <v>7292.0</v>
      </c>
      <c r="B6830" s="3" t="s">
        <v>6568</v>
      </c>
      <c r="C6830" s="3" t="str">
        <f>IFERROR(__xludf.DUMMYFUNCTION("GOOGLETRANSLATE(B6830,""id"",""en"")"),"['The info', 'Good', 'just', 'Sometimes', 'slow', 'Loading']")</f>
        <v>['The info', 'Good', 'just', 'Sometimes', 'slow', 'Loading']</v>
      </c>
      <c r="D6830" s="3">
        <v>5.0</v>
      </c>
    </row>
    <row r="6831" ht="15.75" customHeight="1">
      <c r="A6831" s="1">
        <v>7293.0</v>
      </c>
      <c r="B6831" s="3" t="s">
        <v>6569</v>
      </c>
      <c r="C6831" s="3" t="str">
        <f>IFERROR(__xludf.DUMMYFUNCTION("GOOGLETRANSLATE(B6831,""id"",""en"")"),"['Please', 'Sousal', 'Strengthen', 'Play', 'Game', 'Signal', 'Weak', ""]")</f>
        <v>['Please', 'Sousal', 'Strengthen', 'Play', 'Game', 'Signal', 'Weak', "]</v>
      </c>
      <c r="D6831" s="3">
        <v>1.0</v>
      </c>
    </row>
    <row r="6832" ht="15.75" customHeight="1">
      <c r="A6832" s="1">
        <v>7294.0</v>
      </c>
      <c r="B6832" s="3" t="s">
        <v>6570</v>
      </c>
      <c r="C6832" s="3" t="str">
        <f>IFERROR(__xludf.DUMMYFUNCTION("GOOGLETRANSLATE(B6832,""id"",""en"")"),"['Located', 'little', 'min', 'hehehe', '']")</f>
        <v>['Located', 'little', 'min', 'hehehe', '']</v>
      </c>
      <c r="D6832" s="3">
        <v>4.0</v>
      </c>
    </row>
    <row r="6833" ht="15.75" customHeight="1">
      <c r="A6833" s="1">
        <v>7295.0</v>
      </c>
      <c r="B6833" s="3" t="s">
        <v>6571</v>
      </c>
      <c r="C6833" s="3" t="str">
        <f>IFERROR(__xludf.DUMMYFUNCTION("GOOGLETRANSLATE(B6833,""id"",""en"")"),"['', 'boss', 'no', 'obstacles', 'try', 'dowload']")</f>
        <v>['', 'boss', 'no', 'obstacles', 'try', 'dowload']</v>
      </c>
      <c r="D6833" s="3">
        <v>5.0</v>
      </c>
    </row>
    <row r="6834" ht="15.75" customHeight="1">
      <c r="A6834" s="1">
        <v>7296.0</v>
      </c>
      <c r="B6834" s="3" t="s">
        <v>6572</v>
      </c>
      <c r="C6834" s="3" t="str">
        <f>IFERROR(__xludf.DUMMYFUNCTION("GOOGLETRANSLATE(B6834,""id"",""en"")"),"['open', 'application', 'appears',' screen ',' white ',' already ',' delete ',' garbage ',' white ',' just ',' already ',' a week ',' like this', '']")</f>
        <v>['open', 'application', 'appears',' screen ',' white ',' already ',' delete ',' garbage ',' white ',' just ',' already ',' a week ',' like this', '']</v>
      </c>
      <c r="D6834" s="3">
        <v>1.0</v>
      </c>
    </row>
    <row r="6835" ht="15.75" customHeight="1">
      <c r="A6835" s="1">
        <v>7297.0</v>
      </c>
      <c r="B6835" s="3" t="s">
        <v>6573</v>
      </c>
      <c r="C6835" s="3" t="str">
        <f>IFERROR(__xludf.DUMMYFUNCTION("GOOGLETRANSLATE(B6835,""id"",""en"")"),"['Good', 'Help', 'Increase', '']")</f>
        <v>['Good', 'Help', 'Increase', '']</v>
      </c>
      <c r="D6835" s="3">
        <v>4.0</v>
      </c>
    </row>
    <row r="6836" ht="15.75" customHeight="1">
      <c r="A6836" s="1">
        <v>7298.0</v>
      </c>
      <c r="B6836" s="3" t="s">
        <v>6574</v>
      </c>
      <c r="C6836" s="3" t="str">
        <f>IFERROR(__xludf.DUMMYFUNCTION("GOOGLETRANSLATE(B6836,""id"",""en"")"),"['Good', 'Telkomsel', 'Use', 'Application', 'Putie', 'Jooos', 'Mantap']")</f>
        <v>['Good', 'Telkomsel', 'Use', 'Application', 'Putie', 'Jooos', 'Mantap']</v>
      </c>
      <c r="D6836" s="3">
        <v>5.0</v>
      </c>
    </row>
    <row r="6837" ht="15.75" customHeight="1">
      <c r="A6837" s="1">
        <v>7299.0</v>
      </c>
      <c r="B6837" s="3" t="s">
        <v>6575</v>
      </c>
      <c r="C6837" s="3" t="str">
        <f>IFERROR(__xludf.DUMMYFUNCTION("GOOGLETRANSLATE(B6837,""id"",""en"")"),"['thank', 'love', 'Telkomsel', 'application', 'bittu', 'choice', 'quota', 'brbgai', 'choice', 'bgtu', 'interesting', 'brsifat', ' Fortunately ',' I hope ',' sustenance ',' selected ',' Lottery ',' Exchange ',' Points', 'mmbahgiakn']")</f>
        <v>['thank', 'love', 'Telkomsel', 'application', 'bittu', 'choice', 'quota', 'brbgai', 'choice', 'bgtu', 'interesting', 'brsifat', ' Fortunately ',' I hope ',' sustenance ',' selected ',' Lottery ',' Exchange ',' Points', 'mmbahgiakn']</v>
      </c>
      <c r="D6837" s="3">
        <v>5.0</v>
      </c>
    </row>
    <row r="6838" ht="15.75" customHeight="1">
      <c r="A6838" s="1">
        <v>7300.0</v>
      </c>
      <c r="B6838" s="3" t="s">
        <v>6576</v>
      </c>
      <c r="C6838" s="3" t="str">
        <f>IFERROR(__xludf.DUMMYFUNCTION("GOOGLETRANSLATE(B6838,""id"",""en"")"),"['Sya', 'hope', 'signal', 'strong', 'okay', 'hope', 'Telkomsel', 'success', ""]")</f>
        <v>['Sya', 'hope', 'signal', 'strong', 'okay', 'hope', 'Telkomsel', 'success', "]</v>
      </c>
      <c r="D6838" s="3">
        <v>5.0</v>
      </c>
    </row>
    <row r="6839" ht="15.75" customHeight="1">
      <c r="A6839" s="1">
        <v>7301.0</v>
      </c>
      <c r="B6839" s="3" t="s">
        <v>6577</v>
      </c>
      <c r="C6839" s="3" t="str">
        <f>IFERROR(__xludf.DUMMYFUNCTION("GOOGLETRANSLATE(B6839,""id"",""en"")"),"['The application', 'Not bad', 'good', 'darling', 'singually', 'supports', '']")</f>
        <v>['The application', 'Not bad', 'good', 'darling', 'singually', 'supports', '']</v>
      </c>
      <c r="D6839" s="3">
        <v>2.0</v>
      </c>
    </row>
    <row r="6840" ht="15.75" customHeight="1">
      <c r="A6840" s="1">
        <v>7302.0</v>
      </c>
      <c r="B6840" s="3" t="s">
        <v>6578</v>
      </c>
      <c r="C6840" s="3" t="str">
        <f>IFERROR(__xludf.DUMMYFUNCTION("GOOGLETRANSLATE(B6840,""id"",""en"")"),"['Kasi', 'discount', 'cheap', 'min']")</f>
        <v>['Kasi', 'discount', 'cheap', 'min']</v>
      </c>
      <c r="D6840" s="3">
        <v>4.0</v>
      </c>
    </row>
    <row r="6841" ht="15.75" customHeight="1">
      <c r="A6841" s="1">
        <v>7303.0</v>
      </c>
      <c r="B6841" s="3" t="s">
        <v>6579</v>
      </c>
      <c r="C6841" s="3" t="str">
        <f>IFERROR(__xludf.DUMMYFUNCTION("GOOGLETRANSLATE(B6841,""id"",""en"")"),"['BLM', 'Meet', 'Package', 'Internet', 'right', 'Pouch', ""]")</f>
        <v>['BLM', 'Meet', 'Package', 'Internet', 'right', 'Pouch', "]</v>
      </c>
      <c r="D6841" s="3">
        <v>3.0</v>
      </c>
    </row>
    <row r="6842" ht="15.75" customHeight="1">
      <c r="A6842" s="1">
        <v>7304.0</v>
      </c>
      <c r="B6842" s="3" t="s">
        <v>6580</v>
      </c>
      <c r="C6842" s="3" t="str">
        <f>IFERROR(__xludf.DUMMYFUNCTION("GOOGLETRANSLATE(B6842,""id"",""en"")"),"['Woy', 'Kenpah', 'Cave', 'Main', 'Games', 'Signal', 'Bad', 'Damn']")</f>
        <v>['Woy', 'Kenpah', 'Cave', 'Main', 'Games', 'Signal', 'Bad', 'Damn']</v>
      </c>
      <c r="D6842" s="3">
        <v>1.0</v>
      </c>
    </row>
    <row r="6843" ht="15.75" customHeight="1">
      <c r="A6843" s="1">
        <v>7305.0</v>
      </c>
      <c r="B6843" s="3" t="s">
        <v>6581</v>
      </c>
      <c r="C6843" s="3" t="str">
        <f>IFERROR(__xludf.DUMMYFUNCTION("GOOGLETRANSLATE(B6843,""id"",""en"")"),"['Kirain', 'Doang', 'Troubled', 'alternating', 'Install', 'Tetep', 'Ngebleng', 'Screen', 'White', 'Hang out']")</f>
        <v>['Kirain', 'Doang', 'Troubled', 'alternating', 'Install', 'Tetep', 'Ngebleng', 'Screen', 'White', 'Hang out']</v>
      </c>
      <c r="D6843" s="3">
        <v>1.0</v>
      </c>
    </row>
    <row r="6844" ht="15.75" customHeight="1">
      <c r="A6844" s="1">
        <v>7306.0</v>
      </c>
      <c r="B6844" s="3" t="s">
        <v>651</v>
      </c>
      <c r="C6844" s="3" t="str">
        <f>IFERROR(__xludf.DUMMYFUNCTION("GOOGLETRANSLATE(B6844,""id"",""en"")"),"['Network', 'stable']")</f>
        <v>['Network', 'stable']</v>
      </c>
      <c r="D6844" s="3">
        <v>5.0</v>
      </c>
    </row>
    <row r="6845" ht="15.75" customHeight="1">
      <c r="A6845" s="1">
        <v>7307.0</v>
      </c>
      <c r="B6845" s="3" t="s">
        <v>6582</v>
      </c>
      <c r="C6845" s="3" t="str">
        <f>IFERROR(__xludf.DUMMYFUNCTION("GOOGLETRANSLATE(B6845,""id"",""en"")"),"['', 'Samsung', 'Open', 'Blak', 'White', 'Please', 'Fix']")</f>
        <v>['', 'Samsung', 'Open', 'Blak', 'White', 'Please', 'Fix']</v>
      </c>
      <c r="D6845" s="3">
        <v>1.0</v>
      </c>
    </row>
    <row r="6846" ht="15.75" customHeight="1">
      <c r="A6846" s="1">
        <v>7308.0</v>
      </c>
      <c r="B6846" s="3" t="s">
        <v>6583</v>
      </c>
      <c r="C6846" s="3" t="str">
        <f>IFERROR(__xludf.DUMMYFUNCTION("GOOGLETRANSLATE(B6846,""id"",""en"")"),"['Content', 'Features', 'suits', 'Needs', '']")</f>
        <v>['Content', 'Features', 'suits', 'Needs', '']</v>
      </c>
      <c r="D6846" s="3">
        <v>5.0</v>
      </c>
    </row>
    <row r="6847" ht="15.75" customHeight="1">
      <c r="A6847" s="1">
        <v>7309.0</v>
      </c>
      <c r="B6847" s="3" t="s">
        <v>6584</v>
      </c>
      <c r="C6847" s="3" t="str">
        <f>IFERROR(__xludf.DUMMYFUNCTION("GOOGLETRANSLATE(B6847,""id"",""en"")"),"['Application', 'MyTelkomsel', 'Open']")</f>
        <v>['Application', 'MyTelkomsel', 'Open']</v>
      </c>
      <c r="D6847" s="3">
        <v>1.0</v>
      </c>
    </row>
    <row r="6848" ht="15.75" customHeight="1">
      <c r="A6848" s="1">
        <v>7310.0</v>
      </c>
      <c r="B6848" s="3" t="s">
        <v>6585</v>
      </c>
      <c r="C6848" s="3" t="str">
        <f>IFERROR(__xludf.DUMMYFUNCTION("GOOGLETRANSLATE(B6848,""id"",""en"")"),"['Updated', 'apk', 'telkomsrlku', 'nge', 'blank', 'white', 'entry', 'login']")</f>
        <v>['Updated', 'apk', 'telkomsrlku', 'nge', 'blank', 'white', 'entry', 'login']</v>
      </c>
      <c r="D6848" s="3">
        <v>1.0</v>
      </c>
    </row>
    <row r="6849" ht="15.75" customHeight="1">
      <c r="A6849" s="1">
        <v>7311.0</v>
      </c>
      <c r="B6849" s="3" t="s">
        <v>6586</v>
      </c>
      <c r="C6849" s="3" t="str">
        <f>IFERROR(__xludf.DUMMYFUNCTION("GOOGLETRANSLATE(B6849,""id"",""en"")"),"['Telkomsel', 'network', 'rotten', 'really', 'staple', 'Telkomsel']")</f>
        <v>['Telkomsel', 'network', 'rotten', 'really', 'staple', 'Telkomsel']</v>
      </c>
      <c r="D6849" s="3">
        <v>1.0</v>
      </c>
    </row>
    <row r="6850" ht="15.75" customHeight="1">
      <c r="A6850" s="1">
        <v>7312.0</v>
      </c>
      <c r="B6850" s="3" t="s">
        <v>6587</v>
      </c>
      <c r="C6850" s="3" t="str">
        <f>IFERROR(__xludf.DUMMYFUNCTION("GOOGLETRANSLATE(B6850,""id"",""en"")"),"['Promo', 'Package', 'Combo', 'Price', 'Cheap', 'Click', 'Notification', 'Enter', 'Telkomsel', 'Package', 'Number', 'Telkomsel', ' wife ',' package ',' number ',' regional ',' type ',' contact ',' use ',' package ',' expensive ',' org ',' needs', ""]")</f>
        <v>['Promo', 'Package', 'Combo', 'Price', 'Cheap', 'Click', 'Notification', 'Enter', 'Telkomsel', 'Package', 'Number', 'Telkomsel', ' wife ',' package ',' number ',' regional ',' type ',' contact ',' use ',' package ',' expensive ',' org ',' needs', "]</v>
      </c>
      <c r="D6850" s="3">
        <v>1.0</v>
      </c>
    </row>
    <row r="6851" ht="15.75" customHeight="1">
      <c r="A6851" s="1">
        <v>7313.0</v>
      </c>
      <c r="B6851" s="3" t="s">
        <v>6588</v>
      </c>
      <c r="C6851" s="3" t="str">
        <f>IFERROR(__xludf.DUMMYFUNCTION("GOOGLETRANSLATE(B6851,""id"",""en"")"),"['signal', 'missing', 'dead', 'lights']")</f>
        <v>['signal', 'missing', 'dead', 'lights']</v>
      </c>
      <c r="D6851" s="3">
        <v>1.0</v>
      </c>
    </row>
    <row r="6852" ht="15.75" customHeight="1">
      <c r="A6852" s="1">
        <v>7314.0</v>
      </c>
      <c r="B6852" s="3" t="s">
        <v>6589</v>
      </c>
      <c r="C6852" s="3" t="str">
        <f>IFERROR(__xludf.DUMMYFUNCTION("GOOGLETRANSLATE(B6852,""id"",""en"")"),"['Dipake', 'screen', 'white', 'appears', 'mean', 'clean', 'cache', 'restart', 'wholesaled', '']")</f>
        <v>['Dipake', 'screen', 'white', 'appears', 'mean', 'clean', 'cache', 'restart', 'wholesaled', '']</v>
      </c>
      <c r="D6852" s="3">
        <v>1.0</v>
      </c>
    </row>
    <row r="6853" ht="15.75" customHeight="1">
      <c r="A6853" s="1">
        <v>7315.0</v>
      </c>
      <c r="B6853" s="3" t="s">
        <v>6590</v>
      </c>
      <c r="C6853" s="3" t="str">
        <f>IFERROR(__xludf.DUMMYFUNCTION("GOOGLETRANSLATE(B6853,""id"",""en"")"),"['belli', 'package', 'internet', 'application', 'Something', 'Wrong', 'trusssss', 'parahhh']")</f>
        <v>['belli', 'package', 'internet', 'application', 'Something', 'Wrong', 'trusssss', 'parahhh']</v>
      </c>
      <c r="D6853" s="3">
        <v>1.0</v>
      </c>
    </row>
    <row r="6854" ht="15.75" customHeight="1">
      <c r="A6854" s="1">
        <v>7316.0</v>
      </c>
      <c r="B6854" s="3" t="s">
        <v>6591</v>
      </c>
      <c r="C6854" s="3" t="str">
        <f>IFERROR(__xludf.DUMMYFUNCTION("GOOGLETRANSLATE(B6854,""id"",""en"")"),"['network', 'repaired', 'Telkomsel', 'strange', 'quota', 'expensive', 'network', 'minus']")</f>
        <v>['network', 'repaired', 'Telkomsel', 'strange', 'quota', 'expensive', 'network', 'minus']</v>
      </c>
      <c r="D6854" s="3">
        <v>1.0</v>
      </c>
    </row>
    <row r="6855" ht="15.75" customHeight="1">
      <c r="A6855" s="1">
        <v>7318.0</v>
      </c>
      <c r="B6855" s="3" t="s">
        <v>6592</v>
      </c>
      <c r="C6855" s="3" t="str">
        <f>IFERROR(__xludf.DUMMYFUNCTION("GOOGLETRANSLATE(B6855,""id"",""en"")"),"['Severe', 'screen', 'White', 'Daanan']")</f>
        <v>['Severe', 'screen', 'White', 'Daanan']</v>
      </c>
      <c r="D6855" s="3">
        <v>1.0</v>
      </c>
    </row>
    <row r="6856" ht="15.75" customHeight="1">
      <c r="A6856" s="1">
        <v>7319.0</v>
      </c>
      <c r="B6856" s="3" t="s">
        <v>6593</v>
      </c>
      <c r="C6856" s="3" t="str">
        <f>IFERROR(__xludf.DUMMYFUNCTION("GOOGLETRANSLATE(B6856,""id"",""en"")"),"['application', 'opened', 'blank', 'white', 'jdi', 'complicated', 'anjirrr', 'kaga', 'opened']")</f>
        <v>['application', 'opened', 'blank', 'white', 'jdi', 'complicated', 'anjirrr', 'kaga', 'opened']</v>
      </c>
      <c r="D6856" s="3">
        <v>1.0</v>
      </c>
    </row>
    <row r="6857" ht="15.75" customHeight="1">
      <c r="A6857" s="1">
        <v>7320.0</v>
      </c>
      <c r="B6857" s="3" t="s">
        <v>6594</v>
      </c>
      <c r="C6857" s="3" t="str">
        <f>IFERROR(__xludf.DUMMYFUNCTION("GOOGLETRANSLATE(B6857,""id"",""en"")"),"['How', 'Puhak', 'Telkomsel', 'YTH', 'THN', 'Network', 'Error', 'Mulu', 'TLPN', 'Customer', 'Service', 'Repair', ' network ',' sampek ',' corruption ',' finished ',' admit ',' Telkomsel ',' rival ',' Please ',' Telkomsel ',' fast ',' Kelarin ',' Telkomsel"&amp;" ', ""]")</f>
        <v>['How', 'Puhak', 'Telkomsel', 'YTH', 'THN', 'Network', 'Error', 'Mulu', 'TLPN', 'Customer', 'Service', 'Repair', ' network ',' sampek ',' corruption ',' finished ',' admit ',' Telkomsel ',' rival ',' Please ',' Telkomsel ',' fast ',' Kelarin ',' Telkomsel ', "]</v>
      </c>
      <c r="D6857" s="3">
        <v>1.0</v>
      </c>
    </row>
    <row r="6858" ht="15.75" customHeight="1">
      <c r="A6858" s="1">
        <v>7321.0</v>
      </c>
      <c r="B6858" s="3" t="s">
        <v>6595</v>
      </c>
      <c r="C6858" s="3" t="str">
        <f>IFERROR(__xludf.DUMMYFUNCTION("GOOGLETRANSLATE(B6858,""id"",""en"")"),"['Wear', 'Data', 'Special', 'Game', 'Play', 'Mobile', 'Legends',' Fitting ',' Enter ',' Mobile ',' Legends', 'Disappointed', ' thank you']")</f>
        <v>['Wear', 'Data', 'Special', 'Game', 'Play', 'Mobile', 'Legends',' Fitting ',' Enter ',' Mobile ',' Legends', 'Disappointed', ' thank you']</v>
      </c>
      <c r="D6858" s="3">
        <v>1.0</v>
      </c>
    </row>
    <row r="6859" ht="15.75" customHeight="1">
      <c r="A6859" s="1">
        <v>7322.0</v>
      </c>
      <c r="B6859" s="3" t="s">
        <v>6596</v>
      </c>
      <c r="C6859" s="3" t="str">
        <f>IFERROR(__xludf.DUMMYFUNCTION("GOOGLETRANSLATE(B6859,""id"",""en"")"),"['Good', 'price', 'quota', 'reduced', 'kasian', 'soul', 'poor', 'me']")</f>
        <v>['Good', 'price', 'quota', 'reduced', 'kasian', 'soul', 'poor', 'me']</v>
      </c>
      <c r="D6859" s="3">
        <v>5.0</v>
      </c>
    </row>
    <row r="6860" ht="15.75" customHeight="1">
      <c r="A6860" s="1">
        <v>7323.0</v>
      </c>
      <c r="B6860" s="3" t="s">
        <v>6597</v>
      </c>
      <c r="C6860" s="3" t="str">
        <f>IFERROR(__xludf.DUMMYFUNCTION("GOOGLETRANSLATE(B6860,""id"",""en"")"),"['signalnaya', 'maximum', 'just', ""]")</f>
        <v>['signalnaya', 'maximum', 'just', "]</v>
      </c>
      <c r="D6860" s="3">
        <v>5.0</v>
      </c>
    </row>
    <row r="6861" ht="15.75" customHeight="1">
      <c r="A6861" s="1">
        <v>7324.0</v>
      </c>
      <c r="B6861" s="3" t="s">
        <v>6598</v>
      </c>
      <c r="C6861" s="3" t="str">
        <f>IFERROR(__xludf.DUMMYFUNCTION("GOOGLETRANSLATE(B6861,""id"",""en"")"),"['strange', 'pdahal', 'pke', 'internet', 'telkomsel', 'cut', 'pls',' kt ',' cut ',' internen ',' non ',' pket ',' The run ',' KMNA ',' HDEHHH ',' Strange ',' Deh ',' Disright ']")</f>
        <v>['strange', 'pdahal', 'pke', 'internet', 'telkomsel', 'cut', 'pls',' kt ',' cut ',' internen ',' non ',' pket ',' The run ',' KMNA ',' HDEHHH ',' Strange ',' Deh ',' Disright ']</v>
      </c>
      <c r="D6861" s="3">
        <v>1.0</v>
      </c>
    </row>
    <row r="6862" ht="15.75" customHeight="1">
      <c r="A6862" s="1">
        <v>7325.0</v>
      </c>
      <c r="B6862" s="3" t="s">
        <v>6599</v>
      </c>
      <c r="C6862" s="3" t="str">
        <f>IFERROR(__xludf.DUMMYFUNCTION("GOOGLETRANSLATE(B6862,""id"",""en"")"),"['Update', 'Application', 'Open']")</f>
        <v>['Update', 'Application', 'Open']</v>
      </c>
      <c r="D6862" s="3">
        <v>2.0</v>
      </c>
    </row>
    <row r="6863" ht="15.75" customHeight="1">
      <c r="A6863" s="1">
        <v>7326.0</v>
      </c>
      <c r="B6863" s="3" t="s">
        <v>6600</v>
      </c>
      <c r="C6863" s="3" t="str">
        <f>IFERROR(__xludf.DUMMYFUNCTION("GOOGLETRANSLATE(B6863,""id"",""en"")"),"['Open', 'screen', 'white', 'doang', 'look']")</f>
        <v>['Open', 'screen', 'white', 'doang', 'look']</v>
      </c>
      <c r="D6863" s="3">
        <v>1.0</v>
      </c>
    </row>
    <row r="6864" ht="15.75" customHeight="1">
      <c r="A6864" s="1">
        <v>7327.0</v>
      </c>
      <c r="B6864" s="3" t="s">
        <v>6601</v>
      </c>
      <c r="C6864" s="3" t="str">
        <f>IFERROR(__xludf.DUMMYFUNCTION("GOOGLETRANSLATE(B6864,""id"",""en"")"),"['Telkomsel', 'Points']")</f>
        <v>['Telkomsel', 'Points']</v>
      </c>
      <c r="D6864" s="3">
        <v>4.0</v>
      </c>
    </row>
    <row r="6865" ht="15.75" customHeight="1">
      <c r="A6865" s="1">
        <v>7328.0</v>
      </c>
      <c r="B6865" s="3" t="s">
        <v>6602</v>
      </c>
      <c r="C6865" s="3" t="str">
        <f>IFERROR(__xludf.DUMMYFUNCTION("GOOGLETRANSLATE(B6865,""id"",""en"")"),"['Good', 'really', 'exchange', 'points', 'hope', 'lucky']")</f>
        <v>['Good', 'really', 'exchange', 'points', 'hope', 'lucky']</v>
      </c>
      <c r="D6865" s="3">
        <v>5.0</v>
      </c>
    </row>
    <row r="6866" ht="15.75" customHeight="1">
      <c r="A6866" s="1">
        <v>7329.0</v>
      </c>
      <c r="B6866" s="3" t="s">
        <v>6603</v>
      </c>
      <c r="C6866" s="3" t="str">
        <f>IFERROR(__xludf.DUMMYFUNCTION("GOOGLETRANSLATE(B6866,""id"",""en"")"),"['Package', 'cheap', 'buy', 'application', 'lngsung']")</f>
        <v>['Package', 'cheap', 'buy', 'application', 'lngsung']</v>
      </c>
      <c r="D6866" s="3">
        <v>5.0</v>
      </c>
    </row>
    <row r="6867" ht="15.75" customHeight="1">
      <c r="A6867" s="1">
        <v>7330.0</v>
      </c>
      <c r="B6867" s="3" t="s">
        <v>6604</v>
      </c>
      <c r="C6867" s="3" t="str">
        <f>IFERROR(__xludf.DUMMYFUNCTION("GOOGLETRANSLATE(B6867,""id"",""en"")"),"['The application', 'opened', 'difficult', 'or']")</f>
        <v>['The application', 'opened', 'difficult', 'or']</v>
      </c>
      <c r="D6867" s="3">
        <v>5.0</v>
      </c>
    </row>
    <row r="6868" ht="15.75" customHeight="1">
      <c r="A6868" s="1">
        <v>7331.0</v>
      </c>
      <c r="B6868" s="3" t="s">
        <v>6605</v>
      </c>
      <c r="C6868" s="3" t="str">
        <f>IFERROR(__xludf.DUMMYFUNCTION("GOOGLETRANSLATE(B6868,""id"",""en"")"),"['signal', 'Telkomsel', 'my home', 'smooth', ""]")</f>
        <v>['signal', 'Telkomsel', 'my home', 'smooth', "]</v>
      </c>
      <c r="D6868" s="3">
        <v>4.0</v>
      </c>
    </row>
    <row r="6869" ht="15.75" customHeight="1">
      <c r="A6869" s="1">
        <v>7332.0</v>
      </c>
      <c r="B6869" s="3" t="s">
        <v>6606</v>
      </c>
      <c r="C6869" s="3" t="str">
        <f>IFERROR(__xludf.DUMMYFUNCTION("GOOGLETRANSLATE(B6869,""id"",""en"")"),"['', 'please', 'enlightenment', 'already', 'blan', 'Telkomsel', 'ngeblank', 'white', 'what', 'already', 'download', 'already', 'unistale ',' Rich ',' Gtuuu ',' please ',' assisted ',' ']")</f>
        <v>['', 'please', 'enlightenment', 'already', 'blan', 'Telkomsel', 'ngeblank', 'white', 'what', 'already', 'download', 'already', 'unistale ',' Rich ',' Gtuuu ',' please ',' assisted ',' ']</v>
      </c>
      <c r="D6869" s="3">
        <v>1.0</v>
      </c>
    </row>
    <row r="6870" ht="15.75" customHeight="1">
      <c r="A6870" s="1">
        <v>7333.0</v>
      </c>
      <c r="B6870" s="3" t="s">
        <v>6607</v>
      </c>
      <c r="C6870" s="3" t="str">
        <f>IFERROR(__xludf.DUMMYFUNCTION("GOOGLETRANSLATE(B6870,""id"",""en"")"),"['Telkomsel', 'lag', 'mulu', 'networkn', 'down', 'truss', 'mending', 'axis', 'kayak', 'gni', '']")</f>
        <v>['Telkomsel', 'lag', 'mulu', 'networkn', 'down', 'truss', 'mending', 'axis', 'kayak', 'gni', '']</v>
      </c>
      <c r="D6870" s="3">
        <v>1.0</v>
      </c>
    </row>
    <row r="6871" ht="15.75" customHeight="1">
      <c r="A6871" s="1">
        <v>7334.0</v>
      </c>
      <c r="B6871" s="3" t="s">
        <v>6608</v>
      </c>
      <c r="C6871" s="3" t="str">
        <f>IFERROR(__xludf.DUMMYFUNCTION("GOOGLETRANSLATE(B6871,""id"",""en"")"),"['Open', 'Telkomsel', 'trimakasih']")</f>
        <v>['Open', 'Telkomsel', 'trimakasih']</v>
      </c>
      <c r="D6871" s="3">
        <v>5.0</v>
      </c>
    </row>
    <row r="6872" ht="15.75" customHeight="1">
      <c r="A6872" s="1">
        <v>7335.0</v>
      </c>
      <c r="B6872" s="3" t="s">
        <v>6609</v>
      </c>
      <c r="C6872" s="3" t="str">
        <f>IFERROR(__xludf.DUMMYFUNCTION("GOOGLETRANSLATE(B6872,""id"",""en"")"),"['Used', 'The application', 'already', 'IG', 'MNTA', 'Help', 'Follow', 'Tetep', 'Screen', 'White', 'Application', 'Mnta', ' Update ',' swtlah ',' updated ',' bsa ',' dbuka ']")</f>
        <v>['Used', 'The application', 'already', 'IG', 'MNTA', 'Help', 'Follow', 'Tetep', 'Screen', 'White', 'Application', 'Mnta', ' Update ',' swtlah ',' updated ',' bsa ',' dbuka ']</v>
      </c>
      <c r="D6872" s="3">
        <v>1.0</v>
      </c>
    </row>
    <row r="6873" ht="15.75" customHeight="1">
      <c r="A6873" s="1">
        <v>7336.0</v>
      </c>
      <c r="B6873" s="3" t="s">
        <v>6610</v>
      </c>
      <c r="C6873" s="3" t="str">
        <f>IFERROR(__xludf.DUMMYFUNCTION("GOOGLETRANSLATE(B6873,""id"",""en"")"),"['', 'love', 'star']")</f>
        <v>['', 'love', 'star']</v>
      </c>
      <c r="D6873" s="3">
        <v>3.0</v>
      </c>
    </row>
    <row r="6874" ht="15.75" customHeight="1">
      <c r="A6874" s="1">
        <v>7337.0</v>
      </c>
      <c r="B6874" s="3" t="s">
        <v>6611</v>
      </c>
      <c r="C6874" s="3" t="str">
        <f>IFERROR(__xludf.DUMMYFUNCTION("GOOGLETRANSLATE(B6874,""id"",""en"")"),"['Provider', 'thieves', 'pulses', 'main', 'reduced', 'pdhal', 'dipake', '']")</f>
        <v>['Provider', 'thieves', 'pulses', 'main', 'reduced', 'pdhal', 'dipake', '']</v>
      </c>
      <c r="D6874" s="3">
        <v>1.0</v>
      </c>
    </row>
    <row r="6875" ht="15.75" customHeight="1">
      <c r="A6875" s="1">
        <v>7338.0</v>
      </c>
      <c r="B6875" s="3" t="s">
        <v>6612</v>
      </c>
      <c r="C6875" s="3" t="str">
        <f>IFERROR(__xludf.DUMMYFUNCTION("GOOGLETRANSLATE(B6875,""id"",""en"")"),"['Sell', 'quota', 'game', 'nggk', 'diagakai', 'wkwwkkw']")</f>
        <v>['Sell', 'quota', 'game', 'nggk', 'diagakai', 'wkwwkkw']</v>
      </c>
      <c r="D6875" s="3">
        <v>5.0</v>
      </c>
    </row>
    <row r="6876" ht="15.75" customHeight="1">
      <c r="A6876" s="1">
        <v>7339.0</v>
      </c>
      <c r="B6876" s="3" t="s">
        <v>284</v>
      </c>
      <c r="C6876" s="3" t="str">
        <f>IFERROR(__xludf.DUMMYFUNCTION("GOOGLETRANSLATE(B6876,""id"",""en"")"),"['', 'help']")</f>
        <v>['', 'help']</v>
      </c>
      <c r="D6876" s="3">
        <v>5.0</v>
      </c>
    </row>
    <row r="6877" ht="15.75" customHeight="1">
      <c r="A6877" s="1">
        <v>7340.0</v>
      </c>
      <c r="B6877" s="3" t="s">
        <v>6613</v>
      </c>
      <c r="C6877" s="3" t="str">
        <f>IFERROR(__xludf.DUMMYFUNCTION("GOOGLETRANSLATE(B6877,""id"",""en"")"),"['', 'Open', 'Telkomsel', 'Delete', 'Download', 'Open']")</f>
        <v>['', 'Open', 'Telkomsel', 'Delete', 'Download', 'Open']</v>
      </c>
      <c r="D6877" s="3">
        <v>5.0</v>
      </c>
    </row>
    <row r="6878" ht="15.75" customHeight="1">
      <c r="A6878" s="1">
        <v>7341.0</v>
      </c>
      <c r="B6878" s="3" t="s">
        <v>6614</v>
      </c>
      <c r="C6878" s="3" t="str">
        <f>IFERROR(__xludf.DUMMYFUNCTION("GOOGLETRANSLATE(B6878,""id"",""en"")"),"['expensive', 'package', 'combo', 'sick', 'Telkomsel', 'skrg']")</f>
        <v>['expensive', 'package', 'combo', 'sick', 'Telkomsel', 'skrg']</v>
      </c>
      <c r="D6878" s="3">
        <v>1.0</v>
      </c>
    </row>
    <row r="6879" ht="15.75" customHeight="1">
      <c r="A6879" s="1">
        <v>7342.0</v>
      </c>
      <c r="B6879" s="3" t="s">
        <v>6615</v>
      </c>
      <c r="C6879" s="3" t="str">
        <f>IFERROR(__xludf.DUMMYFUNCTION("GOOGLETRANSLATE(B6879,""id"",""en"")"),"['application', 'MyTelkomsel', 'version', 'already', 'cool', '']")</f>
        <v>['application', 'MyTelkomsel', 'version', 'already', 'cool', '']</v>
      </c>
      <c r="D6879" s="3">
        <v>1.0</v>
      </c>
    </row>
    <row r="6880" ht="15.75" customHeight="1">
      <c r="A6880" s="1">
        <v>7343.0</v>
      </c>
      <c r="B6880" s="3" t="s">
        <v>6616</v>
      </c>
      <c r="C6880" s="3" t="str">
        <f>IFERROR(__xludf.DUMMYFUNCTION("GOOGLETRANSLATE(B6880,""id"",""en"")"),"['package', 'quota', 'according to', 'description', 'package', 'unli', 'watch', 'video', 'waste', 'waste', 'money', 'consistent']")</f>
        <v>['package', 'quota', 'according to', 'description', 'package', 'unli', 'watch', 'video', 'waste', 'waste', 'money', 'consistent']</v>
      </c>
      <c r="D6880" s="3">
        <v>1.0</v>
      </c>
    </row>
    <row r="6881" ht="15.75" customHeight="1">
      <c r="A6881" s="1">
        <v>7344.0</v>
      </c>
      <c r="B6881" s="3" t="s">
        <v>6617</v>
      </c>
      <c r="C6881" s="3" t="str">
        <f>IFERROR(__xludf.DUMMYFUNCTION("GOOGLETRANSLATE(B6881,""id"",""en"")"),"['quota', 'MyTelkomsel', 'expensive', 'citizens',' Indonesia ',' income ',' right ',' please ',' ride ',' price ',' see ',' market ',' Please, 'Lower', 'price', 'package', 'issue', 'money', 'so', 'thank you']")</f>
        <v>['quota', 'MyTelkomsel', 'expensive', 'citizens',' Indonesia ',' income ',' right ',' please ',' ride ',' price ',' see ',' market ',' Please, 'Lower', 'price', 'package', 'issue', 'money', 'so', 'thank you']</v>
      </c>
      <c r="D6881" s="3">
        <v>1.0</v>
      </c>
    </row>
    <row r="6882" ht="15.75" customHeight="1">
      <c r="A6882" s="1">
        <v>7345.0</v>
      </c>
      <c r="B6882" s="3" t="s">
        <v>6618</v>
      </c>
      <c r="C6882" s="3" t="str">
        <f>IFERROR(__xludf.DUMMYFUNCTION("GOOGLETRANSLATE(B6882,""id"",""en"")"),"['', 'Telkomsel', 'HATH']")</f>
        <v>['', 'Telkomsel', 'HATH']</v>
      </c>
      <c r="D6882" s="3">
        <v>5.0</v>
      </c>
    </row>
    <row r="6883" ht="15.75" customHeight="1">
      <c r="A6883" s="1">
        <v>7347.0</v>
      </c>
      <c r="B6883" s="3" t="s">
        <v>6619</v>
      </c>
      <c r="C6883" s="3" t="str">
        <f>IFERROR(__xludf.DUMMYFUNCTION("GOOGLETRANSLATE(B6883,""id"",""en"")"),"['Please', 'fix', 'speed', 'signal', 'ngak', 'disappointing']")</f>
        <v>['Please', 'fix', 'speed', 'signal', 'ngak', 'disappointing']</v>
      </c>
      <c r="D6883" s="3">
        <v>1.0</v>
      </c>
    </row>
    <row r="6884" ht="15.75" customHeight="1">
      <c r="A6884" s="1">
        <v>7348.0</v>
      </c>
      <c r="B6884" s="3" t="s">
        <v>6620</v>
      </c>
      <c r="C6884" s="3" t="str">
        <f>IFERROR(__xludf.DUMMYFUNCTION("GOOGLETRANSLATE(B6884,""id"",""en"")"),"['Love', 'promo', 'tantalizing', 'wkwkwkw']")</f>
        <v>['Love', 'promo', 'tantalizing', 'wkwkwkw']</v>
      </c>
      <c r="D6884" s="3">
        <v>5.0</v>
      </c>
    </row>
    <row r="6885" ht="15.75" customHeight="1">
      <c r="A6885" s="1">
        <v>7349.0</v>
      </c>
      <c r="B6885" s="3" t="s">
        <v>6621</v>
      </c>
      <c r="C6885" s="3" t="str">
        <f>IFERROR(__xludf.DUMMYFUNCTION("GOOGLETRANSLATE(B6885,""id"",""en"")"),"['really good', '']")</f>
        <v>['really good', '']</v>
      </c>
      <c r="D6885" s="3">
        <v>5.0</v>
      </c>
    </row>
    <row r="6886" ht="15.75" customHeight="1">
      <c r="A6886" s="1">
        <v>7350.0</v>
      </c>
      <c r="B6886" s="3" t="s">
        <v>6622</v>
      </c>
      <c r="C6886" s="3" t="str">
        <f>IFERROR(__xludf.DUMMYFUNCTION("GOOGLETRANSLATE(B6886,""id"",""en"")"),"['Telkomsel', 'slow', 'Ginih', 'shame', 'Atuh', 'please', 'fix', 'all-round', 'expensive', 'network', 'slow', 'slow', ' Gini ',' please ',' fix ']")</f>
        <v>['Telkomsel', 'slow', 'Ginih', 'shame', 'Atuh', 'please', 'fix', 'all-round', 'expensive', 'network', 'slow', 'slow', ' Gini ',' please ',' fix ']</v>
      </c>
      <c r="D6886" s="3">
        <v>1.0</v>
      </c>
    </row>
    <row r="6887" ht="15.75" customHeight="1">
      <c r="A6887" s="1">
        <v>7351.0</v>
      </c>
      <c r="B6887" s="3" t="s">
        <v>6623</v>
      </c>
      <c r="C6887" s="3" t="str">
        <f>IFERROR(__xludf.DUMMYFUNCTION("GOOGLETRANSLATE(B6887,""id"",""en"")"),"['Woii', 'screen', 'white', 'how', 'bell', 'package', 'data', 'pulse', 'pulses', 'fix', '']")</f>
        <v>['Woii', 'screen', 'white', 'how', 'bell', 'package', 'data', 'pulse', 'pulses', 'fix', '']</v>
      </c>
      <c r="D6887" s="3">
        <v>1.0</v>
      </c>
    </row>
    <row r="6888" ht="15.75" customHeight="1">
      <c r="A6888" s="1">
        <v>7352.0</v>
      </c>
      <c r="B6888" s="3" t="s">
        <v>6624</v>
      </c>
      <c r="C6888" s="3" t="str">
        <f>IFERROR(__xludf.DUMMYFUNCTION("GOOGLETRANSLATE(B6888,""id"",""en"")"),"['apk', 'tupoll', 'open']")</f>
        <v>['apk', 'tupoll', 'open']</v>
      </c>
      <c r="D6888" s="3">
        <v>1.0</v>
      </c>
    </row>
    <row r="6889" ht="15.75" customHeight="1">
      <c r="A6889" s="1">
        <v>7353.0</v>
      </c>
      <c r="B6889" s="3" t="s">
        <v>6625</v>
      </c>
      <c r="C6889" s="3" t="str">
        <f>IFERROR(__xludf.DUMMYFUNCTION("GOOGLETRANSLATE(B6889,""id"",""en"")"),"['College', 'AMA', 'APL', 'Buy', 'Package', 'Data', 'Slalu', 'Server', 'Busy', 'Wait', 'Minute', 'Cave', ' Wait ',' Ampe ',' Delete ',' APL ',' ']")</f>
        <v>['College', 'AMA', 'APL', 'Buy', 'Package', 'Data', 'Slalu', 'Server', 'Busy', 'Wait', 'Minute', 'Cave', ' Wait ',' Ampe ',' Delete ',' APL ',' ']</v>
      </c>
      <c r="D6889" s="3">
        <v>1.0</v>
      </c>
    </row>
    <row r="6890" ht="15.75" customHeight="1">
      <c r="A6890" s="1">
        <v>7354.0</v>
      </c>
      <c r="B6890" s="3" t="s">
        <v>4429</v>
      </c>
      <c r="C6890" s="3" t="str">
        <f>IFERROR(__xludf.DUMMYFUNCTION("GOOGLETRANSLATE(B6890,""id"",""en"")"),"['Easy', 'buy', 'package']")</f>
        <v>['Easy', 'buy', 'package']</v>
      </c>
      <c r="D6890" s="3">
        <v>4.0</v>
      </c>
    </row>
    <row r="6891" ht="15.75" customHeight="1">
      <c r="A6891" s="1">
        <v>7355.0</v>
      </c>
      <c r="B6891" s="3" t="s">
        <v>6626</v>
      </c>
      <c r="C6891" s="3" t="str">
        <f>IFERROR(__xludf.DUMMYFUNCTION("GOOGLETRANSLATE(B6891,""id"",""en"")"),"['UDH', 'Download', 'reset', 'many', 'times', 'Tetep', 'right', 'opened', 'White']")</f>
        <v>['UDH', 'Download', 'reset', 'many', 'times', 'Tetep', 'right', 'opened', 'White']</v>
      </c>
      <c r="D6891" s="3">
        <v>1.0</v>
      </c>
    </row>
    <row r="6892" ht="15.75" customHeight="1">
      <c r="A6892" s="1">
        <v>7356.0</v>
      </c>
      <c r="B6892" s="3" t="s">
        <v>6627</v>
      </c>
      <c r="C6892" s="3" t="str">
        <f>IFERROR(__xludf.DUMMYFUNCTION("GOOGLETRANSLATE(B6892,""id"",""en"")"),"['Lazy', 'Install', 'Uninstall', 'alternating', 'results', 'screen', 'white', 'good', 'replace', 'card', 'internet']")</f>
        <v>['Lazy', 'Install', 'Uninstall', 'alternating', 'results', 'screen', 'white', 'good', 'replace', 'card', 'internet']</v>
      </c>
      <c r="D6892" s="3">
        <v>1.0</v>
      </c>
    </row>
    <row r="6893" ht="15.75" customHeight="1">
      <c r="A6893" s="1">
        <v>7357.0</v>
      </c>
      <c r="B6893" s="3" t="s">
        <v>68</v>
      </c>
      <c r="C6893" s="3" t="str">
        <f>IFERROR(__xludf.DUMMYFUNCTION("GOOGLETRANSLATE(B6893,""id"",""en"")"),"['steady']")</f>
        <v>['steady']</v>
      </c>
      <c r="D6893" s="3">
        <v>5.0</v>
      </c>
    </row>
    <row r="6894" ht="15.75" customHeight="1">
      <c r="A6894" s="1">
        <v>7358.0</v>
      </c>
      <c r="B6894" s="3" t="s">
        <v>6628</v>
      </c>
      <c r="C6894" s="3" t="str">
        <f>IFERROR(__xludf.DUMMYFUNCTION("GOOGLETRANSLATE(B6894,""id"",""en"")"),"['pulse', 'easy', 'suck', 'pulse', 'then', 'right', 'packagein', 'pulse', 'then', 'so', 'until', 'pulses',' ']")</f>
        <v>['pulse', 'easy', 'suck', 'pulse', 'then', 'right', 'packagein', 'pulse', 'then', 'so', 'until', 'pulses',' ']</v>
      </c>
      <c r="D6894" s="3">
        <v>1.0</v>
      </c>
    </row>
    <row r="6895" ht="15.75" customHeight="1">
      <c r="A6895" s="1">
        <v>7359.0</v>
      </c>
      <c r="B6895" s="3" t="s">
        <v>6629</v>
      </c>
      <c r="C6895" s="3" t="str">
        <f>IFERROR(__xludf.DUMMYFUNCTION("GOOGLETRANSLATE(B6895,""id"",""en"")"),"['hope', 'gift']")</f>
        <v>['hope', 'gift']</v>
      </c>
      <c r="D6895" s="3">
        <v>5.0</v>
      </c>
    </row>
    <row r="6896" ht="15.75" customHeight="1">
      <c r="A6896" s="1">
        <v>7361.0</v>
      </c>
      <c r="B6896" s="3" t="s">
        <v>6630</v>
      </c>
      <c r="C6896" s="3" t="str">
        <f>IFERROR(__xludf.DUMMYFUNCTION("GOOGLETRANSLATE(B6896,""id"",""en"")"),"['Slalu', 'informing', 'klu', 'promo', 'telkomsel', 'trims']")</f>
        <v>['Slalu', 'informing', 'klu', 'promo', 'telkomsel', 'trims']</v>
      </c>
      <c r="D6896" s="3">
        <v>5.0</v>
      </c>
    </row>
    <row r="6897" ht="15.75" customHeight="1">
      <c r="A6897" s="1">
        <v>7362.0</v>
      </c>
      <c r="B6897" s="3" t="s">
        <v>6631</v>
      </c>
      <c r="C6897" s="3" t="str">
        <f>IFERROR(__xludf.DUMMYFUNCTION("GOOGLETRANSLATE(B6897,""id"",""en"")"),"['Application', 'Severe', 'really', 'yaa', 'kirain', 'cellphone', 'use', 'just', 'open', 'package', 'expensive', 'severe', ' his writing ',' divided ',' package ',' reality ',' sucked ',' quota ',' main ']")</f>
        <v>['Application', 'Severe', 'really', 'yaa', 'kirain', 'cellphone', 'use', 'just', 'open', 'package', 'expensive', 'severe', ' his writing ',' divided ',' package ',' reality ',' sucked ',' quota ',' main ']</v>
      </c>
      <c r="D6897" s="3">
        <v>1.0</v>
      </c>
    </row>
    <row r="6898" ht="15.75" customHeight="1">
      <c r="A6898" s="1">
        <v>7363.0</v>
      </c>
      <c r="B6898" s="3" t="s">
        <v>6632</v>
      </c>
      <c r="C6898" s="3" t="str">
        <f>IFERROR(__xludf.DUMMYFUNCTION("GOOGLETRANSLATE(B6898,""id"",""en"")"),"['', 'open', 'ngeblank', 'white', 'what']")</f>
        <v>['', 'open', 'ngeblank', 'white', 'what']</v>
      </c>
      <c r="D6898" s="3">
        <v>1.0</v>
      </c>
    </row>
    <row r="6899" ht="15.75" customHeight="1">
      <c r="A6899" s="1">
        <v>7364.0</v>
      </c>
      <c r="B6899" s="3" t="s">
        <v>3287</v>
      </c>
      <c r="C6899" s="3" t="str">
        <f>IFERROR(__xludf.DUMMYFUNCTION("GOOGLETRANSLATE(B6899,""id"",""en"")"),"['', 'open', '']")</f>
        <v>['', 'open', '']</v>
      </c>
      <c r="D6899" s="3">
        <v>1.0</v>
      </c>
    </row>
    <row r="6900" ht="15.75" customHeight="1">
      <c r="A6900" s="1">
        <v>7365.0</v>
      </c>
      <c r="B6900" s="3" t="s">
        <v>6633</v>
      </c>
      <c r="C6900" s="3" t="str">
        <f>IFERROR(__xludf.DUMMYFUNCTION("GOOGLETRANSLATE(B6900,""id"",""en"")"),"['Price', 'expensive', 'quality', 'cheap', 'shame', '']")</f>
        <v>['Price', 'expensive', 'quality', 'cheap', 'shame', '']</v>
      </c>
      <c r="D6900" s="3">
        <v>1.0</v>
      </c>
    </row>
    <row r="6901" ht="15.75" customHeight="1">
      <c r="A6901" s="1">
        <v>7366.0</v>
      </c>
      <c r="B6901" s="3" t="s">
        <v>6634</v>
      </c>
      <c r="C6901" s="3" t="str">
        <f>IFERROR(__xludf.DUMMYFUNCTION("GOOGLETRANSLATE(B6901,""id"",""en"")"),"['operator', 'how', 'network', 'slow', 'times', 'often', 'dead', 'die', 'regret', 'use', 'telkom']")</f>
        <v>['operator', 'how', 'network', 'slow', 'times', 'often', 'dead', 'die', 'regret', 'use', 'telkom']</v>
      </c>
      <c r="D6901" s="3">
        <v>2.0</v>
      </c>
    </row>
    <row r="6902" ht="15.75" customHeight="1">
      <c r="A6902" s="1">
        <v>7367.0</v>
      </c>
      <c r="B6902" s="3" t="s">
        <v>6635</v>
      </c>
      <c r="C6902" s="3" t="str">
        <f>IFERROR(__xludf.DUMMYFUNCTION("GOOGLETRANSLATE(B6902,""id"",""en"")"),"['Application', 'Kaga', 'Open', 'PES', 'Shy', 'Ajah', 'Telkomsel', ""]")</f>
        <v>['Application', 'Kaga', 'Open', 'PES', 'Shy', 'Ajah', 'Telkomsel', "]</v>
      </c>
      <c r="D6902" s="3">
        <v>1.0</v>
      </c>
    </row>
    <row r="6903" ht="15.75" customHeight="1">
      <c r="A6903" s="1">
        <v>7368.0</v>
      </c>
      <c r="B6903" s="3" t="s">
        <v>6636</v>
      </c>
      <c r="C6903" s="3" t="str">
        <f>IFERROR(__xludf.DUMMYFUNCTION("GOOGLETRANSLATE(B6903,""id"",""en"")"),"['Anyway', 'steady']")</f>
        <v>['Anyway', 'steady']</v>
      </c>
      <c r="D6903" s="3">
        <v>5.0</v>
      </c>
    </row>
    <row r="6904" ht="15.75" customHeight="1">
      <c r="A6904" s="1">
        <v>7369.0</v>
      </c>
      <c r="B6904" s="3" t="s">
        <v>6637</v>
      </c>
      <c r="C6904" s="3" t="str">
        <f>IFERROR(__xludf.DUMMYFUNCTION("GOOGLETRANSLATE(B6904,""id"",""en"")"),"['easy', 'cell', 'consistent']")</f>
        <v>['easy', 'cell', 'consistent']</v>
      </c>
      <c r="D6904" s="3">
        <v>3.0</v>
      </c>
    </row>
    <row r="6905" ht="15.75" customHeight="1">
      <c r="A6905" s="1">
        <v>7370.0</v>
      </c>
      <c r="B6905" s="3" t="s">
        <v>6638</v>
      </c>
      <c r="C6905" s="3" t="str">
        <f>IFERROR(__xludf.DUMMYFUNCTION("GOOGLETRANSLATE(B6905,""id"",""en"")"),"['thank', 'love', 'satisfied', 'Telkomsel']")</f>
        <v>['thank', 'love', 'satisfied', 'Telkomsel']</v>
      </c>
      <c r="D6905" s="3">
        <v>5.0</v>
      </c>
    </row>
    <row r="6906" ht="15.75" customHeight="1">
      <c r="A6906" s="1">
        <v>7371.0</v>
      </c>
      <c r="B6906" s="3" t="s">
        <v>6639</v>
      </c>
      <c r="C6906" s="3" t="str">
        <f>IFERROR(__xludf.DUMMYFUNCTION("GOOGLETRANSLATE(B6906,""id"",""en"")"),"['Class', 'Telkomsel', 'App', 'Down', 'Teros', 'Date', 'December', 'December', 'intention', 'repair', 'App', ""]")</f>
        <v>['Class', 'Telkomsel', 'App', 'Down', 'Teros', 'Date', 'December', 'December', 'intention', 'repair', 'App', "]</v>
      </c>
      <c r="D6906" s="3">
        <v>1.0</v>
      </c>
    </row>
    <row r="6907" ht="15.75" customHeight="1">
      <c r="A6907" s="1">
        <v>7372.0</v>
      </c>
      <c r="B6907" s="3" t="s">
        <v>6640</v>
      </c>
      <c r="C6907" s="3" t="str">
        <f>IFERROR(__xludf.DUMMYFUNCTION("GOOGLETRANSLATE(B6907,""id"",""en"")"),"['Update', 'No', 'opened', 'DiNinstall', 'Install', 'Over', 'Update', 'How', ""]")</f>
        <v>['Update', 'No', 'opened', 'DiNinstall', 'Install', 'Over', 'Update', 'How', "]</v>
      </c>
      <c r="D6907" s="3">
        <v>4.0</v>
      </c>
    </row>
    <row r="6908" ht="15.75" customHeight="1">
      <c r="A6908" s="1">
        <v>7373.0</v>
      </c>
      <c r="B6908" s="3" t="s">
        <v>2457</v>
      </c>
      <c r="C6908" s="3" t="str">
        <f>IFERROR(__xludf.DUMMYFUNCTION("GOOGLETRANSLATE(B6908,""id"",""en"")"),"['Yes']")</f>
        <v>['Yes']</v>
      </c>
      <c r="D6908" s="3">
        <v>5.0</v>
      </c>
    </row>
    <row r="6909" ht="15.75" customHeight="1">
      <c r="A6909" s="1">
        <v>7374.0</v>
      </c>
      <c r="B6909" s="3" t="s">
        <v>6641</v>
      </c>
      <c r="C6909" s="3" t="str">
        <f>IFERROR(__xludf.DUMMYFUNCTION("GOOGLETRANSLATE(B6909,""id"",""en"")"),"['Satisfied', 'slow']")</f>
        <v>['Satisfied', 'slow']</v>
      </c>
      <c r="D6909" s="3">
        <v>5.0</v>
      </c>
    </row>
    <row r="6910" ht="15.75" customHeight="1">
      <c r="A6910" s="1">
        <v>7375.0</v>
      </c>
      <c r="B6910" s="3" t="s">
        <v>6642</v>
      </c>
      <c r="C6910" s="3" t="str">
        <f>IFERROR(__xludf.DUMMYFUNCTION("GOOGLETRANSLATE(B6910,""id"",""en"")"),"['feeling', 'stay', 'area', 'remote', 'stay', 'city', 'terminal', 'gemolong', 'signal', 'Telkomsel', 'bad', 'signal', ' corruption ',' official ',' Telkomsel ',' signal ',' dizziness', 'Telkomsel', 'signal', 'worst', 'fed up', 'tekomsel']")</f>
        <v>['feeling', 'stay', 'area', 'remote', 'stay', 'city', 'terminal', 'gemolong', 'signal', 'Telkomsel', 'bad', 'signal', ' corruption ',' official ',' Telkomsel ',' signal ',' dizziness', 'Telkomsel', 'signal', 'worst', 'fed up', 'tekomsel']</v>
      </c>
      <c r="D6910" s="3">
        <v>1.0</v>
      </c>
    </row>
    <row r="6911" ht="15.75" customHeight="1">
      <c r="A6911" s="1">
        <v>7376.0</v>
      </c>
      <c r="B6911" s="3" t="s">
        <v>6643</v>
      </c>
      <c r="C6911" s="3" t="str">
        <f>IFERROR(__xludf.DUMMYFUNCTION("GOOGLETRANSLATE(B6911,""id"",""en"")"),"['Membilan', 'Ngekeg']")</f>
        <v>['Membilan', 'Ngekeg']</v>
      </c>
      <c r="D6911" s="3">
        <v>5.0</v>
      </c>
    </row>
    <row r="6912" ht="15.75" customHeight="1">
      <c r="A6912" s="1">
        <v>7377.0</v>
      </c>
      <c r="B6912" s="3" t="s">
        <v>6644</v>
      </c>
      <c r="C6912" s="3" t="str">
        <f>IFERROR(__xludf.DUMMYFUNCTION("GOOGLETRANSLATE(B6912,""id"",""en"")"),"['Open', 'crooooTT']")</f>
        <v>['Open', 'crooooTT']</v>
      </c>
      <c r="D6912" s="3">
        <v>1.0</v>
      </c>
    </row>
    <row r="6913" ht="15.75" customHeight="1">
      <c r="A6913" s="1">
        <v>7378.0</v>
      </c>
      <c r="B6913" s="3" t="s">
        <v>6645</v>
      </c>
      <c r="C6913" s="3" t="str">
        <f>IFERROR(__xludf.DUMMYFUNCTION("GOOGLETRANSLATE(B6913,""id"",""en"")"),"['APL', 'Help', 'Thanks', 'MyTelkomsel', '']")</f>
        <v>['APL', 'Help', 'Thanks', 'MyTelkomsel', '']</v>
      </c>
      <c r="D6913" s="3">
        <v>5.0</v>
      </c>
    </row>
    <row r="6914" ht="15.75" customHeight="1">
      <c r="A6914" s="1">
        <v>7379.0</v>
      </c>
      <c r="B6914" s="3" t="s">
        <v>6646</v>
      </c>
      <c r="C6914" s="3" t="str">
        <f>IFERROR(__xludf.DUMMYFUNCTION("GOOGLETRANSLATE(B6914,""id"",""en"")"),"['blank', 'white', 'jdi', 'jlk']")</f>
        <v>['blank', 'white', 'jdi', 'jlk']</v>
      </c>
      <c r="D6914" s="3">
        <v>1.0</v>
      </c>
    </row>
    <row r="6915" ht="15.75" customHeight="1">
      <c r="A6915" s="1">
        <v>7380.0</v>
      </c>
      <c r="B6915" s="3" t="s">
        <v>6647</v>
      </c>
      <c r="C6915" s="3" t="str">
        <f>IFERROR(__xludf.DUMMYFUNCTION("GOOGLETRANSLATE(B6915,""id"",""en"")"),"['Telkomsel', 'home', 'difficult', 'network', 'like', 'ilang', 'use', 'loyal', 'Telkomsel', 'sad']")</f>
        <v>['Telkomsel', 'home', 'difficult', 'network', 'like', 'ilang', 'use', 'loyal', 'Telkomsel', 'sad']</v>
      </c>
      <c r="D6915" s="3">
        <v>4.0</v>
      </c>
    </row>
    <row r="6916" ht="15.75" customHeight="1">
      <c r="A6916" s="1">
        <v>7382.0</v>
      </c>
      <c r="B6916" s="3" t="s">
        <v>6648</v>
      </c>
      <c r="C6916" s="3" t="str">
        <f>IFERROR(__xludf.DUMMYFUNCTION("GOOGLETRANSLATE(B6916,""id"",""en"")"),"['Thanks', 'Jagan', 'Bored', 'Kasih', 'Promo', 'Cheap']")</f>
        <v>['Thanks', 'Jagan', 'Bored', 'Kasih', 'Promo', 'Cheap']</v>
      </c>
      <c r="D6916" s="3">
        <v>5.0</v>
      </c>
    </row>
    <row r="6917" ht="15.75" customHeight="1">
      <c r="A6917" s="1">
        <v>7383.0</v>
      </c>
      <c r="B6917" s="3" t="s">
        <v>6649</v>
      </c>
      <c r="C6917" s="3" t="str">
        <f>IFERROR(__xludf.DUMMYFUNCTION("GOOGLETRANSLATE(B6917,""id"",""en"")"),"['tired', 'Call', 'operator', 'Telkomsel', 'The network', 'ugly', ""]")</f>
        <v>['tired', 'Call', 'operator', 'Telkomsel', 'The network', 'ugly', "]</v>
      </c>
      <c r="D6917" s="3">
        <v>1.0</v>
      </c>
    </row>
    <row r="6918" ht="15.75" customHeight="1">
      <c r="A6918" s="1">
        <v>7384.0</v>
      </c>
      <c r="B6918" s="3" t="s">
        <v>6650</v>
      </c>
      <c r="C6918" s="3" t="str">
        <f>IFERROR(__xludf.DUMMYFUNCTION("GOOGLETRANSLATE(B6918,""id"",""en"")"),"['Application', 'opened', 'Vivo', 'Times', 'installed']")</f>
        <v>['Application', 'opened', 'Vivo', 'Times', 'installed']</v>
      </c>
      <c r="D6918" s="3">
        <v>1.0</v>
      </c>
    </row>
    <row r="6919" ht="15.75" customHeight="1">
      <c r="A6919" s="1">
        <v>7385.0</v>
      </c>
      <c r="B6919" s="3" t="s">
        <v>6651</v>
      </c>
      <c r="C6919" s="3" t="str">
        <f>IFERROR(__xludf.DUMMYFUNCTION("GOOGLETRANSLATE(B6919,""id"",""en"")"),"['Inhibits', 'Network']")</f>
        <v>['Inhibits', 'Network']</v>
      </c>
      <c r="D6919" s="3">
        <v>1.0</v>
      </c>
    </row>
    <row r="6920" ht="15.75" customHeight="1">
      <c r="A6920" s="1">
        <v>7386.0</v>
      </c>
      <c r="B6920" s="3" t="s">
        <v>6652</v>
      </c>
      <c r="C6920" s="3" t="str">
        <f>IFERROR(__xludf.DUMMYFUNCTION("GOOGLETRANSLATE(B6920,""id"",""en"")"),"['account', 'Except', 'Click', 'Link', 'Via', 'SMS', 'Choice', 'Via', 'Email', 'Bad', 'Disappointing', 'Please', ' Repaired ']")</f>
        <v>['account', 'Except', 'Click', 'Link', 'Via', 'SMS', 'Choice', 'Via', 'Email', 'Bad', 'Disappointing', 'Please', ' Repaired ']</v>
      </c>
      <c r="D6920" s="3">
        <v>1.0</v>
      </c>
    </row>
    <row r="6921" ht="15.75" customHeight="1">
      <c r="A6921" s="1">
        <v>7387.0</v>
      </c>
      <c r="B6921" s="3" t="s">
        <v>6653</v>
      </c>
      <c r="C6921" s="3" t="str">
        <f>IFERROR(__xludf.DUMMYFUNCTION("GOOGLETRANSLATE(B6921,""id"",""en"")"),"['Telkomsel', 'promotion', 'GB', 'Rp', 'lying']")</f>
        <v>['Telkomsel', 'promotion', 'GB', 'Rp', 'lying']</v>
      </c>
      <c r="D6921" s="3">
        <v>5.0</v>
      </c>
    </row>
    <row r="6922" ht="15.75" customHeight="1">
      <c r="A6922" s="1">
        <v>7388.0</v>
      </c>
      <c r="B6922" s="3" t="s">
        <v>6654</v>
      </c>
      <c r="C6922" s="3" t="str">
        <f>IFERROR(__xludf.DUMMYFUNCTION("GOOGLETRANSLATE(B6922,""id"",""en"")"),"['Application', 'ridiculous']")</f>
        <v>['Application', 'ridiculous']</v>
      </c>
      <c r="D6922" s="3">
        <v>1.0</v>
      </c>
    </row>
    <row r="6923" ht="15.75" customHeight="1">
      <c r="A6923" s="1">
        <v>7389.0</v>
      </c>
      <c r="B6923" s="3" t="s">
        <v>6655</v>
      </c>
      <c r="C6923" s="3" t="str">
        <f>IFERROR(__xludf.DUMMYFUNCTION("GOOGLETRANSLATE(B6923,""id"",""en"")"),"['Network', 'Sultang', 'The Network', 'Blood', 'Mira', 'Telkomsel', 'Sebagus', 'Kayak', ""]")</f>
        <v>['Network', 'Sultang', 'The Network', 'Blood', 'Mira', 'Telkomsel', 'Sebagus', 'Kayak', "]</v>
      </c>
      <c r="D6923" s="3">
        <v>1.0</v>
      </c>
    </row>
    <row r="6924" ht="15.75" customHeight="1">
      <c r="A6924" s="1">
        <v>7390.0</v>
      </c>
      <c r="B6924" s="3" t="s">
        <v>6656</v>
      </c>
      <c r="C6924" s="3" t="str">
        <f>IFERROR(__xludf.DUMMYFUNCTION("GOOGLETRANSLATE(B6924,""id"",""en"")"),"['Please', 'signal', 'repaired', 'Prov', 'Jambi', 'Kab', 'Tanjung', 'Jabung', 'East', 'Kec', 'Mendara', 'Kel', ' Major ',' Ilir ',' times', 'complain', 'Customer', 'Care', 'Action', '']")</f>
        <v>['Please', 'signal', 'repaired', 'Prov', 'Jambi', 'Kab', 'Tanjung', 'Jabung', 'East', 'Kec', 'Mendara', 'Kel', ' Major ',' Ilir ',' times', 'complain', 'Customer', 'Care', 'Action', '']</v>
      </c>
      <c r="D6924" s="3">
        <v>1.0</v>
      </c>
    </row>
    <row r="6925" ht="15.75" customHeight="1">
      <c r="A6925" s="1">
        <v>7391.0</v>
      </c>
      <c r="B6925" s="3" t="s">
        <v>6657</v>
      </c>
      <c r="C6925" s="3" t="str">
        <f>IFERROR(__xludf.DUMMYFUNCTION("GOOGLETRANSLATE(B6925,""id"",""en"")"),"['Severe', 'BNGT', 'Live', 'UDH', 'Packagein', 'Kagii', 'Eat', 'pls',' Doang ',' Maruk ',' Bngt ',' Original ',' signal ',' severe ',' rich ',' mountain ']")</f>
        <v>['Severe', 'BNGT', 'Live', 'UDH', 'Packagein', 'Kagii', 'Eat', 'pls',' Doang ',' Maruk ',' Bngt ',' Original ',' signal ',' severe ',' rich ',' mountain ']</v>
      </c>
      <c r="D6925" s="3">
        <v>1.0</v>
      </c>
    </row>
    <row r="6926" ht="15.75" customHeight="1">
      <c r="A6926" s="1">
        <v>7392.0</v>
      </c>
      <c r="B6926" s="3" t="s">
        <v>6658</v>
      </c>
      <c r="C6926" s="3" t="str">
        <f>IFERROR(__xludf.DUMMYFUNCTION("GOOGLETRANSLATE(B6926,""id"",""en"")"),"['Please', 'Admin', 'Fix', 'The application', 'BSA', 'Dipake', 'Kek', 'blank']")</f>
        <v>['Please', 'Admin', 'Fix', 'The application', 'BSA', 'Dipake', 'Kek', 'blank']</v>
      </c>
      <c r="D6926" s="3">
        <v>1.0</v>
      </c>
    </row>
    <row r="6927" ht="15.75" customHeight="1">
      <c r="A6927" s="1">
        <v>7393.0</v>
      </c>
      <c r="B6927" s="3" t="s">
        <v>6659</v>
      </c>
      <c r="C6927" s="3" t="str">
        <f>IFERROR(__xludf.DUMMYFUNCTION("GOOGLETRANSLATE(B6927,""id"",""en"")"),"['Cantungin', 'Customer', 'Service', 'Difficult', 'Application', 'Telkomsel', 'Topics',' Provided ',' Via ',' WhatsApp ',' Starts', 'Difficult', ' Urgent ',' No ',' contacted ',' Wait ',' ']")</f>
        <v>['Cantungin', 'Customer', 'Service', 'Difficult', 'Application', 'Telkomsel', 'Topics',' Provided ',' Via ',' WhatsApp ',' Starts', 'Difficult', ' Urgent ',' No ',' contacted ',' Wait ',' ']</v>
      </c>
      <c r="D6927" s="3">
        <v>1.0</v>
      </c>
    </row>
    <row r="6928" ht="15.75" customHeight="1">
      <c r="A6928" s="1">
        <v>7394.0</v>
      </c>
      <c r="B6928" s="3" t="s">
        <v>6660</v>
      </c>
      <c r="C6928" s="3" t="str">
        <f>IFERROR(__xludf.DUMMYFUNCTION("GOOGLETRANSLATE(B6928,""id"",""en"")"),"['wake up', 'network', 'Papua', 'Good', 'Pemian', ""]")</f>
        <v>['wake up', 'network', 'Papua', 'Good', 'Pemian', "]</v>
      </c>
      <c r="D6928" s="3">
        <v>1.0</v>
      </c>
    </row>
    <row r="6929" ht="15.75" customHeight="1">
      <c r="A6929" s="1">
        <v>7395.0</v>
      </c>
      <c r="B6929" s="3" t="s">
        <v>6661</v>
      </c>
      <c r="C6929" s="3" t="str">
        <f>IFERROR(__xludf.DUMMYFUNCTION("GOOGLETRANSLATE(B6929,""id"",""en"")"),"['Good', 'skali', 'updated', 'difficult', 'connects',' screen ',' white ',' already ',' complain ',' TPI ',' answered ',' contact ',' Mimin ',' knapa ',' public ',' read ',' Jugakan ',' ']")</f>
        <v>['Good', 'skali', 'updated', 'difficult', 'connects',' screen ',' white ',' already ',' complain ',' TPI ',' answered ',' contact ',' Mimin ',' knapa ',' public ',' read ',' Jugakan ',' ']</v>
      </c>
      <c r="D6929" s="3">
        <v>3.0</v>
      </c>
    </row>
    <row r="6930" ht="15.75" customHeight="1">
      <c r="A6930" s="1">
        <v>7396.0</v>
      </c>
      <c r="B6930" s="3" t="s">
        <v>6662</v>
      </c>
      <c r="C6930" s="3" t="str">
        <f>IFERROR(__xludf.DUMMYFUNCTION("GOOGLETRANSLATE(B6930,""id"",""en"")"),"['quality', 'signal', 'samkin', 'bad', 'please', 'Telkomsel', 'tariff', 'removed', 'quality', 'signal', 'fix', 'customer', ' Faithful ',' Kewaw ']")</f>
        <v>['quality', 'signal', 'samkin', 'bad', 'please', 'Telkomsel', 'tariff', 'removed', 'quality', 'signal', 'fix', 'customer', ' Faithful ',' Kewaw ']</v>
      </c>
      <c r="D6930" s="3">
        <v>1.0</v>
      </c>
    </row>
    <row r="6931" ht="15.75" customHeight="1">
      <c r="A6931" s="1">
        <v>7397.0</v>
      </c>
      <c r="B6931" s="3" t="s">
        <v>6663</v>
      </c>
      <c r="C6931" s="3" t="str">
        <f>IFERROR(__xludf.DUMMYFUNCTION("GOOGLETRANSLATE(B6931,""id"",""en"")"),"['Recommended', 'PKAI', 'EASY', 'PDA', 'Counter', 'Rain', ""]")</f>
        <v>['Recommended', 'PKAI', 'EASY', 'PDA', 'Counter', 'Rain', "]</v>
      </c>
      <c r="D6931" s="3">
        <v>5.0</v>
      </c>
    </row>
    <row r="6932" ht="15.75" customHeight="1">
      <c r="A6932" s="1">
        <v>7398.0</v>
      </c>
      <c r="B6932" s="3" t="s">
        <v>6664</v>
      </c>
      <c r="C6932" s="3" t="str">
        <f>IFERROR(__xludf.DUMMYFUNCTION("GOOGLETRANSLATE(B6932,""id"",""en"")"),"['Simple', 'in', 'transact', 'pulse', 'quota', 'internet']")</f>
        <v>['Simple', 'in', 'transact', 'pulse', 'quota', 'internet']</v>
      </c>
      <c r="D6932" s="3">
        <v>5.0</v>
      </c>
    </row>
    <row r="6933" ht="15.75" customHeight="1">
      <c r="A6933" s="1">
        <v>7399.0</v>
      </c>
      <c r="B6933" s="3" t="s">
        <v>6665</v>
      </c>
      <c r="C6933" s="3" t="str">
        <f>IFERROR(__xludf.DUMMYFUNCTION("GOOGLETRANSLATE(B6933,""id"",""en"")"),"['price', 'quota', 'doang', 'expensive', 'application', 'bug', 'hadehhh', 'lose', 'application', 'purple', 'wkwkw']")</f>
        <v>['price', 'quota', 'doang', 'expensive', 'application', 'bug', 'hadehhh', 'lose', 'application', 'purple', 'wkwkw']</v>
      </c>
      <c r="D6933" s="3">
        <v>2.0</v>
      </c>
    </row>
    <row r="6934" ht="15.75" customHeight="1">
      <c r="A6934" s="1">
        <v>7400.0</v>
      </c>
      <c r="B6934" s="3" t="s">
        <v>6666</v>
      </c>
      <c r="C6934" s="3" t="str">
        <f>IFERROR(__xludf.DUMMYFUNCTION("GOOGLETRANSLATE(B6934,""id"",""en"")"),"['price', 'quota', 'shrinking', 'customers',' Telkomsel ',' run ',' operator ',' quality ',' Telkomsel ',' user ',' customers', 'Telkomsel', ' blur ',' followed ',' run away ',' operator ',' warning ',' notification ',' thank ',' love ', ""]")</f>
        <v>['price', 'quota', 'shrinking', 'customers',' Telkomsel ',' run ',' operator ',' quality ',' Telkomsel ',' user ',' customers', 'Telkomsel', ' blur ',' followed ',' run away ',' operator ',' warning ',' notification ',' thank ',' love ', "]</v>
      </c>
      <c r="D6934" s="3">
        <v>1.0</v>
      </c>
    </row>
    <row r="6935" ht="15.75" customHeight="1">
      <c r="A6935" s="1">
        <v>7401.0</v>
      </c>
      <c r="B6935" s="3" t="s">
        <v>6667</v>
      </c>
      <c r="C6935" s="3" t="str">
        <f>IFERROR(__xludf.DUMMYFUNCTION("GOOGLETRANSLATE(B6935,""id"",""en"")"),"['Julian', 'Aza', 'made easier', 'tkb']")</f>
        <v>['Julian', 'Aza', 'made easier', 'tkb']</v>
      </c>
      <c r="D6935" s="3">
        <v>4.0</v>
      </c>
    </row>
    <row r="6936" ht="15.75" customHeight="1">
      <c r="A6936" s="1">
        <v>7402.0</v>
      </c>
      <c r="B6936" s="3" t="s">
        <v>6668</v>
      </c>
      <c r="C6936" s="3" t="str">
        <f>IFERROR(__xludf.DUMMYFUNCTION("GOOGLETRANSLATE(B6936,""id"",""en"")"),"['application', 'great', 'screen', 'white', 'top', '']")</f>
        <v>['application', 'great', 'screen', 'white', 'top', '']</v>
      </c>
      <c r="D6936" s="3">
        <v>1.0</v>
      </c>
    </row>
    <row r="6937" ht="15.75" customHeight="1">
      <c r="A6937" s="1">
        <v>7403.0</v>
      </c>
      <c r="B6937" s="3" t="s">
        <v>6669</v>
      </c>
      <c r="C6937" s="3" t="str">
        <f>IFERROR(__xludf.DUMMYFUNCTION("GOOGLETRANSLATE(B6937,""id"",""en"")"),"['Network', 'good', 'easy', 'use']")</f>
        <v>['Network', 'good', 'easy', 'use']</v>
      </c>
      <c r="D6937" s="3">
        <v>5.0</v>
      </c>
    </row>
    <row r="6938" ht="15.75" customHeight="1">
      <c r="A6938" s="1">
        <v>7404.0</v>
      </c>
      <c r="B6938" s="3" t="s">
        <v>6670</v>
      </c>
      <c r="C6938" s="3" t="str">
        <f>IFERROR(__xludf.DUMMYFUNCTION("GOOGLETRANSLATE(B6938,""id"",""en"")"),"['Application', 'contents', 'White', 'Screen', '']")</f>
        <v>['Application', 'contents', 'White', 'Screen', '']</v>
      </c>
      <c r="D6938" s="3">
        <v>1.0</v>
      </c>
    </row>
    <row r="6939" ht="15.75" customHeight="1">
      <c r="A6939" s="1">
        <v>7405.0</v>
      </c>
      <c r="B6939" s="3" t="s">
        <v>6671</v>
      </c>
      <c r="C6939" s="3" t="str">
        <f>IFERROR(__xludf.DUMMYFUNCTION("GOOGLETRANSLATE(B6939,""id"",""en"")"),"['Gara', 'Install', 'APK', 'Signal', 'Cave', 'ilang', 'Safe', 'Gada', 'Signal', 'Signal', 'Lost', 'date', ' Des', '']")</f>
        <v>['Gara', 'Install', 'APK', 'Signal', 'Cave', 'ilang', 'Safe', 'Gada', 'Signal', 'Signal', 'Lost', 'date', ' Des', '']</v>
      </c>
      <c r="D6939" s="3">
        <v>1.0</v>
      </c>
    </row>
    <row r="6940" ht="15.75" customHeight="1">
      <c r="A6940" s="1">
        <v>7406.0</v>
      </c>
      <c r="B6940" s="3" t="s">
        <v>6672</v>
      </c>
      <c r="C6940" s="3" t="str">
        <f>IFERROR(__xludf.DUMMYFUNCTION("GOOGLETRANSLATE(B6940,""id"",""en"")"),"['Hello', 'Sis', 'Apps', 'Gag', 'Open']")</f>
        <v>['Hello', 'Sis', 'Apps', 'Gag', 'Open']</v>
      </c>
      <c r="D6940" s="3">
        <v>1.0</v>
      </c>
    </row>
    <row r="6941" ht="15.75" customHeight="1">
      <c r="A6941" s="1">
        <v>7407.0</v>
      </c>
      <c r="B6941" s="3" t="s">
        <v>6673</v>
      </c>
      <c r="C6941" s="3" t="str">
        <f>IFERROR(__xludf.DUMMYFUNCTION("GOOGLETRANSLATE(B6941,""id"",""en"")"),"['Mahall', 'ugly', 'quality', 'network', 'price', 'according to', 'quality', 'nya', '']")</f>
        <v>['Mahall', 'ugly', 'quality', 'network', 'price', 'according to', 'quality', 'nya', '']</v>
      </c>
      <c r="D6941" s="3">
        <v>1.0</v>
      </c>
    </row>
    <row r="6942" ht="15.75" customHeight="1">
      <c r="A6942" s="1">
        <v>7408.0</v>
      </c>
      <c r="B6942" s="3" t="s">
        <v>6674</v>
      </c>
      <c r="C6942" s="3" t="str">
        <f>IFERROR(__xludf.DUMMYFUNCTION("GOOGLETRANSLATE(B6942,""id"",""en"")"),"['How', 'sich', 'contents', 'quota', 'apk', 'Telkomsel', 'screen', 'white', ""]")</f>
        <v>['How', 'sich', 'contents', 'quota', 'apk', 'Telkomsel', 'screen', 'white', "]</v>
      </c>
      <c r="D6942" s="3">
        <v>1.0</v>
      </c>
    </row>
    <row r="6943" ht="15.75" customHeight="1">
      <c r="A6943" s="1">
        <v>7409.0</v>
      </c>
      <c r="B6943" s="3" t="s">
        <v>6675</v>
      </c>
      <c r="C6943" s="3" t="str">
        <f>IFERROR(__xludf.DUMMYFUNCTION("GOOGLETRANSLATE(B6943,""id"",""en"")"),"['Lemot', 'building']")</f>
        <v>['Lemot', 'building']</v>
      </c>
      <c r="D6943" s="3">
        <v>3.0</v>
      </c>
    </row>
    <row r="6944" ht="15.75" customHeight="1">
      <c r="A6944" s="1">
        <v>7410.0</v>
      </c>
      <c r="B6944" s="3" t="s">
        <v>6676</v>
      </c>
      <c r="C6944" s="3" t="str">
        <f>IFERROR(__xludf.DUMMYFUNCTION("GOOGLETRANSLATE(B6944,""id"",""en"")"),"['', 'God', 'Severe', 'The application', 'alternating', 'Delete', 'Install', 'Delete', 'Install', 'Screen', 'White', 'Doang', 'GMN ',' Telkomsel ',' buy ',' package ',' please ',' fix ',' disappointed ',' package ',' pulse ',' difficult ',' regret ',' lov"&amp;"e ',' star ', '']")</f>
        <v>['', 'God', 'Severe', 'The application', 'alternating', 'Delete', 'Install', 'Delete', 'Install', 'Screen', 'White', 'Doang', 'GMN ',' Telkomsel ',' buy ',' package ',' please ',' fix ',' disappointed ',' package ',' pulse ',' difficult ',' regret ',' love ',' star ', '']</v>
      </c>
      <c r="D6944" s="3">
        <v>3.0</v>
      </c>
    </row>
    <row r="6945" ht="15.75" customHeight="1">
      <c r="A6945" s="1">
        <v>7411.0</v>
      </c>
      <c r="B6945" s="3" t="s">
        <v>6677</v>
      </c>
      <c r="C6945" s="3" t="str">
        <f>IFERROR(__xludf.DUMMYFUNCTION("GOOGLETRANSLATE(B6945,""id"",""en"")"),"['package', 'expensive', 'Telkomsel', 'family', 'cheap', 'cheap', 'package', 'hmmmmm']")</f>
        <v>['package', 'expensive', 'Telkomsel', 'family', 'cheap', 'cheap', 'package', 'hmmmmm']</v>
      </c>
      <c r="D6945" s="3">
        <v>1.0</v>
      </c>
    </row>
    <row r="6946" ht="15.75" customHeight="1">
      <c r="A6946" s="1">
        <v>7412.0</v>
      </c>
      <c r="B6946" s="3" t="s">
        <v>6678</v>
      </c>
      <c r="C6946" s="3" t="str">
        <f>IFERROR(__xludf.DUMMYFUNCTION("GOOGLETRANSLATE(B6946,""id"",""en"")"),"['Star', 'network', 'destroyed', 'thank', 'love', 'Telkomsel', '']")</f>
        <v>['Star', 'network', 'destroyed', 'thank', 'love', 'Telkomsel', '']</v>
      </c>
      <c r="D6946" s="3">
        <v>1.0</v>
      </c>
    </row>
    <row r="6947" ht="15.75" customHeight="1">
      <c r="A6947" s="1">
        <v>7413.0</v>
      </c>
      <c r="B6947" s="3" t="s">
        <v>6679</v>
      </c>
      <c r="C6947" s="3" t="str">
        <f>IFERROR(__xludf.DUMMYFUNCTION("GOOGLETRANSLATE(B6947,""id"",""en"")"),"['Kek', 'Taik', 'Most', 'Update', 'APK', 'Open', 'Telkomsel', 'Keisni', 'Dego', 'Pantes',' Lost ',' Competitory ',' Ama ',' laen ']")</f>
        <v>['Kek', 'Taik', 'Most', 'Update', 'APK', 'Open', 'Telkomsel', 'Keisni', 'Dego', 'Pantes',' Lost ',' Competitory ',' Ama ',' laen ']</v>
      </c>
      <c r="D6947" s="3">
        <v>1.0</v>
      </c>
    </row>
    <row r="6948" ht="15.75" customHeight="1">
      <c r="A6948" s="1">
        <v>7414.0</v>
      </c>
      <c r="B6948" s="3" t="s">
        <v>6680</v>
      </c>
      <c r="C6948" s="3" t="str">
        <f>IFERROR(__xludf.DUMMYFUNCTION("GOOGLETRANSLATE(B6948,""id"",""en"")"),"['bad']")</f>
        <v>['bad']</v>
      </c>
      <c r="D6948" s="3">
        <v>4.0</v>
      </c>
    </row>
    <row r="6949" ht="15.75" customHeight="1">
      <c r="A6949" s="1">
        <v>7415.0</v>
      </c>
      <c r="B6949" s="3" t="s">
        <v>6681</v>
      </c>
      <c r="C6949" s="3" t="str">
        <f>IFERROR(__xludf.DUMMYFUNCTION("GOOGLETRANSLATE(B6949,""id"",""en"")"),"['signal', 'strongest', 'remote', 'country']")</f>
        <v>['signal', 'strongest', 'remote', 'country']</v>
      </c>
      <c r="D6949" s="3">
        <v>5.0</v>
      </c>
    </row>
    <row r="6950" ht="15.75" customHeight="1">
      <c r="A6950" s="1">
        <v>7416.0</v>
      </c>
      <c r="B6950" s="3" t="s">
        <v>6682</v>
      </c>
      <c r="C6950" s="3" t="str">
        <f>IFERROR(__xludf.DUMMYFUNCTION("GOOGLETRANSLATE(B6950,""id"",""en"")"),"['Telkomsel', 'border', 'signal', 'application', 'Telkomsel', 'opened', 'disorder', 'atwpun', 'repaired', 'notification', 'use', 'card', ' Hello ',' Blocking ',' Notification ',' Pay ',' Fall ',' Tempo ',' date ',' JDI ',' Males', 'Telkomsel']")</f>
        <v>['Telkomsel', 'border', 'signal', 'application', 'Telkomsel', 'opened', 'disorder', 'atwpun', 'repaired', 'notification', 'use', 'card', ' Hello ',' Blocking ',' Notification ',' Pay ',' Fall ',' Tempo ',' date ',' JDI ',' Males', 'Telkomsel']</v>
      </c>
      <c r="D6950" s="3">
        <v>1.0</v>
      </c>
    </row>
    <row r="6951" ht="15.75" customHeight="1">
      <c r="A6951" s="1">
        <v>7417.0</v>
      </c>
      <c r="B6951" s="3" t="s">
        <v>6683</v>
      </c>
      <c r="C6951" s="3" t="str">
        <f>IFERROR(__xludf.DUMMYFUNCTION("GOOGLETRANSLATE(B6951,""id"",""en"")"),"['Application', 'opened', 'blank', 'white', 'right', 'claim', 'gift', 'crease', 'pulses', 'Considered', 'prize']")</f>
        <v>['Application', 'opened', 'blank', 'white', 'right', 'claim', 'gift', 'crease', 'pulses', 'Considered', 'prize']</v>
      </c>
      <c r="D6951" s="3">
        <v>1.0</v>
      </c>
    </row>
    <row r="6952" ht="15.75" customHeight="1">
      <c r="A6952" s="1">
        <v>7418.0</v>
      </c>
      <c r="B6952" s="3" t="s">
        <v>6684</v>
      </c>
      <c r="C6952" s="3" t="str">
        <f>IFERROR(__xludf.DUMMYFUNCTION("GOOGLETRANSLATE(B6952,""id"",""en"")"),"['ugly', 'really', 'network', 'cook', 'maen', 'lag', 'severe', 'ping', 'ampe', '']")</f>
        <v>['ugly', 'really', 'network', 'cook', 'maen', 'lag', 'severe', 'ping', 'ampe', '']</v>
      </c>
      <c r="D6952" s="3">
        <v>1.0</v>
      </c>
    </row>
    <row r="6953" ht="15.75" customHeight="1">
      <c r="A6953" s="1">
        <v>7419.0</v>
      </c>
      <c r="B6953" s="3" t="s">
        <v>6685</v>
      </c>
      <c r="C6953" s="3" t="str">
        <f>IFERROR(__xludf.DUMMYFUNCTION("GOOGLETRANSLATE(B6953,""id"",""en"")"),"['opened', 'blank', 'wall', 'web', 'package', 'internet', 'complete', '']")</f>
        <v>['opened', 'blank', 'wall', 'web', 'package', 'internet', 'complete', '']</v>
      </c>
      <c r="D6953" s="3">
        <v>1.0</v>
      </c>
    </row>
    <row r="6954" ht="15.75" customHeight="1">
      <c r="A6954" s="1">
        <v>7420.0</v>
      </c>
      <c r="B6954" s="3" t="s">
        <v>6686</v>
      </c>
      <c r="C6954" s="3" t="str">
        <f>IFERROR(__xludf.DUMMYFUNCTION("GOOGLETRANSLATE(B6954,""id"",""en"")"),"['Evo', 'Samsung', 'Android', 'Open', 'Application', 'Telkomsel', 'How', '']")</f>
        <v>['Evo', 'Samsung', 'Android', 'Open', 'Application', 'Telkomsel', 'How', '']</v>
      </c>
      <c r="D6954" s="3">
        <v>2.0</v>
      </c>
    </row>
    <row r="6955" ht="15.75" customHeight="1">
      <c r="A6955" s="1">
        <v>7422.0</v>
      </c>
      <c r="B6955" s="3" t="s">
        <v>6687</v>
      </c>
      <c r="C6955" s="3" t="str">
        <f>IFERROR(__xludf.DUMMYFUNCTION("GOOGLETRANSLATE(B6955,""id"",""en"")"),"['JDI', 'ugly', 'App', 'blank', 'white', 'full', 'screen', '']")</f>
        <v>['JDI', 'ugly', 'App', 'blank', 'white', 'full', 'screen', '']</v>
      </c>
      <c r="D6955" s="3">
        <v>1.0</v>
      </c>
    </row>
    <row r="6956" ht="15.75" customHeight="1">
      <c r="A6956" s="1">
        <v>7423.0</v>
      </c>
      <c r="B6956" s="3" t="s">
        <v>6688</v>
      </c>
      <c r="C6956" s="3" t="str">
        <f>IFERROR(__xludf.DUMMYFUNCTION("GOOGLETRANSLATE(B6956,""id"",""en"")"),"['Please', 'Segara', 'Fix', 'Ngeepotin', 'Tired', 'Network', 'ugly', 'Down', 'Stable', 'Accept', 'Love', ""]")</f>
        <v>['Please', 'Segara', 'Fix', 'Ngeepotin', 'Tired', 'Network', 'ugly', 'Down', 'Stable', 'Accept', 'Love', "]</v>
      </c>
      <c r="D6956" s="3">
        <v>1.0</v>
      </c>
    </row>
    <row r="6957" ht="15.75" customHeight="1">
      <c r="A6957" s="1">
        <v>7425.0</v>
      </c>
      <c r="B6957" s="3" t="s">
        <v>6689</v>
      </c>
      <c r="C6957" s="3" t="str">
        <f>IFERROR(__xludf.DUMMYFUNCTION("GOOGLETRANSLATE(B6957,""id"",""en"")"),"['buy', 'quota', 'kampreeeeet', 'minjam', 'ngaab']")</f>
        <v>['buy', 'quota', 'kampreeeeet', 'minjam', 'ngaab']</v>
      </c>
      <c r="D6957" s="3">
        <v>1.0</v>
      </c>
    </row>
    <row r="6958" ht="15.75" customHeight="1">
      <c r="A6958" s="1">
        <v>7426.0</v>
      </c>
      <c r="B6958" s="3" t="s">
        <v>6690</v>
      </c>
      <c r="C6958" s="3" t="str">
        <f>IFERROR(__xludf.DUMMYFUNCTION("GOOGLETRANSLATE(B6958,""id"",""en"")"),"['Gegara', 'smlem', 'update', 'right', 'dbuka', 'just', 'screen', 'white', 'smpe', 'uninstall', 'then', 'install', ' "", 'You're,' Telkomsel ',' PDHL ',' Syng ',' BNGET ',' Points', 'Shrian', 'Loading', 'Severe', 'NTI', 'Normal', 'Deh' , 'star', '']")</f>
        <v>['Gegara', 'smlem', 'update', 'right', 'dbuka', 'just', 'screen', 'white', 'smpe', 'uninstall', 'then', 'install', ' ", 'You're,' Telkomsel ',' PDHL ',' Syng ',' BNGET ',' Points', 'Shrian', 'Loading', 'Severe', 'NTI', 'Normal', 'Deh' , 'star', '']</v>
      </c>
      <c r="D6958" s="3">
        <v>4.0</v>
      </c>
    </row>
    <row r="6959" ht="15.75" customHeight="1">
      <c r="A6959" s="1">
        <v>7427.0</v>
      </c>
      <c r="B6959" s="3" t="s">
        <v>6691</v>
      </c>
      <c r="C6959" s="3" t="str">
        <f>IFERROR(__xludf.DUMMYFUNCTION("GOOGLETRANSLATE(B6959,""id"",""en"")"),"['Credit', 'Cut', 'use', 'wifi', 'wifi', 'active', 'complain', 'given', 'solution', 'love', 'survey', ' the reason ',' UDH ',' contents', 'survey', 'pdhl', 'contents',' fear ',' obedience ',' ugly ']")</f>
        <v>['Credit', 'Cut', 'use', 'wifi', 'wifi', 'active', 'complain', 'given', 'solution', 'love', 'survey', ' the reason ',' UDH ',' contents', 'survey', 'pdhl', 'contents',' fear ',' obedience ',' ugly ']</v>
      </c>
      <c r="D6959" s="3">
        <v>1.0</v>
      </c>
    </row>
    <row r="6960" ht="15.75" customHeight="1">
      <c r="A6960" s="1">
        <v>7428.0</v>
      </c>
      <c r="B6960" s="3" t="s">
        <v>6692</v>
      </c>
      <c r="C6960" s="3" t="str">
        <f>IFERROR(__xludf.DUMMYFUNCTION("GOOGLETRANSLATE(B6960,""id"",""en"")"),"['Not bad', 'bln']")</f>
        <v>['Not bad', 'bln']</v>
      </c>
      <c r="D6960" s="3">
        <v>4.0</v>
      </c>
    </row>
    <row r="6961" ht="15.75" customHeight="1">
      <c r="A6961" s="1">
        <v>7429.0</v>
      </c>
      <c r="B6961" s="3" t="s">
        <v>6693</v>
      </c>
      <c r="C6961" s="3" t="str">
        <f>IFERROR(__xludf.DUMMYFUNCTION("GOOGLETRANSLATE(B6961,""id"",""en"")"),"['knapa', 'Telkomsel', 'unlimited', 'limit']")</f>
        <v>['knapa', 'Telkomsel', 'unlimited', 'limit']</v>
      </c>
      <c r="D6961" s="3">
        <v>5.0</v>
      </c>
    </row>
    <row r="6962" ht="15.75" customHeight="1">
      <c r="A6962" s="1">
        <v>7430.0</v>
      </c>
      <c r="B6962" s="3" t="s">
        <v>6694</v>
      </c>
      <c r="C6962" s="3" t="str">
        <f>IFERROR(__xludf.DUMMYFUNCTION("GOOGLETRANSLATE(B6962,""id"",""en"")"),"['application', 'help', 'easy', 'bother', 'bother']")</f>
        <v>['application', 'help', 'easy', 'bother', 'bother']</v>
      </c>
      <c r="D6962" s="3">
        <v>5.0</v>
      </c>
    </row>
    <row r="6963" ht="15.75" customHeight="1">
      <c r="A6963" s="1">
        <v>7431.0</v>
      </c>
      <c r="B6963" s="3" t="s">
        <v>6695</v>
      </c>
      <c r="C6963" s="3" t="str">
        <f>IFERROR(__xludf.DUMMYFUNCTION("GOOGLETRANSLATE(B6963,""id"",""en"")"),"['lag', 'mulu', 'sunset', 'play', 'game', 'network', 'down', 'down', 'please', 'fix', 'buy', 'kouta', ' Telkomsel ',' expensive ',' lagg ']")</f>
        <v>['lag', 'mulu', 'sunset', 'play', 'game', 'network', 'down', 'down', 'please', 'fix', 'buy', 'kouta', ' Telkomsel ',' expensive ',' lagg ']</v>
      </c>
      <c r="D6963" s="3">
        <v>1.0</v>
      </c>
    </row>
    <row r="6964" ht="15.75" customHeight="1">
      <c r="A6964" s="1">
        <v>7434.0</v>
      </c>
      <c r="B6964" s="3" t="s">
        <v>6696</v>
      </c>
      <c r="C6964" s="3" t="str">
        <f>IFERROR(__xludf.DUMMYFUNCTION("GOOGLETRANSLATE(B6964,""id"",""en"")"),"['staple', 'steady']")</f>
        <v>['staple', 'steady']</v>
      </c>
      <c r="D6964" s="3">
        <v>5.0</v>
      </c>
    </row>
    <row r="6965" ht="15.75" customHeight="1">
      <c r="A6965" s="1">
        <v>7435.0</v>
      </c>
      <c r="B6965" s="3" t="s">
        <v>6697</v>
      </c>
      <c r="C6965" s="3" t="str">
        <f>IFERROR(__xludf.DUMMYFUNCTION("GOOGLETRANSLATE(B6965,""id"",""en"")"),"['Telkomsel', 'open', 'notification', 'link', 'expired', 'enter', '']")</f>
        <v>['Telkomsel', 'open', 'notification', 'link', 'expired', 'enter', '']</v>
      </c>
      <c r="D6965" s="3">
        <v>1.0</v>
      </c>
    </row>
    <row r="6966" ht="15.75" customHeight="1">
      <c r="A6966" s="1">
        <v>7436.0</v>
      </c>
      <c r="B6966" s="3" t="s">
        <v>6698</v>
      </c>
      <c r="C6966" s="3" t="str">
        <f>IFERROR(__xludf.DUMMYFUNCTION("GOOGLETRANSLATE(B6966,""id"",""en"")"),"['Wear', 'Package', 'Non', 'Rate', 'Remnant', 'Quota', 'Buy', 'Package', 'RB', 'Remnant', 'Credit', 'Application', ' run out ',' disappointed ',' leftover ',' pulse ',' application ',' ends', 'strange', '']")</f>
        <v>['Wear', 'Package', 'Non', 'Rate', 'Remnant', 'Quota', 'Buy', 'Package', 'RB', 'Remnant', 'Credit', 'Application', ' run out ',' disappointed ',' leftover ',' pulse ',' application ',' ends', 'strange', '']</v>
      </c>
      <c r="D6966" s="3">
        <v>1.0</v>
      </c>
    </row>
    <row r="6967" ht="15.75" customHeight="1">
      <c r="A6967" s="1">
        <v>7437.0</v>
      </c>
      <c r="B6967" s="3" t="s">
        <v>6699</v>
      </c>
      <c r="C6967" s="3" t="str">
        <f>IFERROR(__xludf.DUMMYFUNCTION("GOOGLETRANSLATE(B6967,""id"",""en"")"),"['Fast', 'Response', 'Increase', 'Quality']")</f>
        <v>['Fast', 'Response', 'Increase', 'Quality']</v>
      </c>
      <c r="D6967" s="3">
        <v>5.0</v>
      </c>
    </row>
    <row r="6968" ht="15.75" customHeight="1">
      <c r="A6968" s="1">
        <v>7438.0</v>
      </c>
      <c r="B6968" s="3" t="s">
        <v>6700</v>
      </c>
      <c r="C6968" s="3" t="str">
        <f>IFERROR(__xludf.DUMMYFUNCTION("GOOGLETRANSLATE(B6968,""id"",""en"")"),"['The application', 'Open', 'Sudh', 'WEDULLOAD']")</f>
        <v>['The application', 'Open', 'Sudh', 'WEDULLOAD']</v>
      </c>
      <c r="D6968" s="3">
        <v>5.0</v>
      </c>
    </row>
    <row r="6969" ht="15.75" customHeight="1">
      <c r="A6969" s="1">
        <v>7439.0</v>
      </c>
      <c r="B6969" s="3" t="s">
        <v>6701</v>
      </c>
      <c r="C6969" s="3" t="str">
        <f>IFERROR(__xludf.DUMMYFUNCTION("GOOGLETRANSLATE(B6969,""id"",""en"")"),"['chaotic', 'Telkomsel', 'difficult', 'get', 'signal', 'move', 'card']")</f>
        <v>['chaotic', 'Telkomsel', 'difficult', 'get', 'signal', 'move', 'card']</v>
      </c>
      <c r="D6969" s="3">
        <v>1.0</v>
      </c>
    </row>
    <row r="6970" ht="15.75" customHeight="1">
      <c r="A6970" s="1">
        <v>7440.0</v>
      </c>
      <c r="B6970" s="3" t="s">
        <v>6702</v>
      </c>
      <c r="C6970" s="3" t="str">
        <f>IFERROR(__xludf.DUMMYFUNCTION("GOOGLETRANSLATE(B6970,""id"",""en"")"),"['suggestion', 'Heleased', 'package', 'game', 'play', 'game', 'slow', 'forgiveness',' please ',' delete ',' useless', 'package', ' BGtuan ',' Telkom ',' Network ',' Stabill ',' Annjjjinngg ',' brengssekk ', ""]")</f>
        <v>['suggestion', 'Heleased', 'package', 'game', 'play', 'game', 'slow', 'forgiveness',' please ',' delete ',' useless', 'package', ' BGtuan ',' Telkom ',' Network ',' Stabill ',' Annjjjinngg ',' brengssekk ', "]</v>
      </c>
      <c r="D6970" s="3">
        <v>1.0</v>
      </c>
    </row>
    <row r="6971" ht="15.75" customHeight="1">
      <c r="A6971" s="1">
        <v>7441.0</v>
      </c>
      <c r="B6971" s="3" t="s">
        <v>6703</v>
      </c>
      <c r="C6971" s="3" t="str">
        <f>IFERROR(__xludf.DUMMYFUNCTION("GOOGLETRANSLATE(B6971,""id"",""en"")"),"['Bener', 'person', 'Error', 'APK', 'Gini', 'UDH', 'Install', 'Taste', 'TTEP', 'Blank', 'White', ""]")</f>
        <v>['Bener', 'person', 'Error', 'APK', 'Gini', 'UDH', 'Install', 'Taste', 'TTEP', 'Blank', 'White', "]</v>
      </c>
      <c r="D6971" s="3">
        <v>1.0</v>
      </c>
    </row>
    <row r="6972" ht="15.75" customHeight="1">
      <c r="A6972" s="1">
        <v>7442.0</v>
      </c>
      <c r="B6972" s="3" t="s">
        <v>6704</v>
      </c>
      <c r="C6972" s="3" t="str">
        <f>IFERROR(__xludf.DUMMYFUNCTION("GOOGLETRANSLATE(B6972,""id"",""en"")"),"['Opened', 'Apps', '']")</f>
        <v>['Opened', 'Apps', '']</v>
      </c>
      <c r="D6972" s="3">
        <v>1.0</v>
      </c>
    </row>
    <row r="6973" ht="15.75" customHeight="1">
      <c r="A6973" s="1">
        <v>7443.0</v>
      </c>
      <c r="B6973" s="3" t="s">
        <v>6705</v>
      </c>
      <c r="C6973" s="3" t="str">
        <f>IFERROR(__xludf.DUMMYFUNCTION("GOOGLETRANSLATE(B6973,""id"",""en"")"),"['signal', 'Telkomsel', 'ugly', 'used', 'play', 'game', 'online', 'like', 'jump', 'ping', 'nnton', 'surfing', ' ']")</f>
        <v>['signal', 'Telkomsel', 'ugly', 'used', 'play', 'game', 'online', 'like', 'jump', 'ping', 'nnton', 'surfing', ' ']</v>
      </c>
      <c r="D6973" s="3">
        <v>1.0</v>
      </c>
    </row>
    <row r="6974" ht="15.75" customHeight="1">
      <c r="A6974" s="1">
        <v>7444.0</v>
      </c>
      <c r="B6974" s="3" t="s">
        <v>6706</v>
      </c>
      <c r="C6974" s="3" t="str">
        <f>IFERROR(__xludf.DUMMYFUNCTION("GOOGLETRANSLATE(B6974,""id"",""en"")"),"['Telkomsel', 'Please', 'Brain', 'Pakek', 'Save', 'Refrigerator', 'Intention', 'Fix', 'Network', 'Card', 'Network', ' Mending ',' card ',' vaccine ',' already ',' buy ',' package ',' expensive ',' network ',' satisfying ',' customer ',' customer ',' servi"&amp;"ng ',' customer ' , 'Feel', 'satisfaction', 'disappointed', 'Please', 'ibuk', 'brain', 'ipakek', 'so', 'thank', 'love', ""]")</f>
        <v>['Telkomsel', 'Please', 'Brain', 'Pakek', 'Save', 'Refrigerator', 'Intention', 'Fix', 'Network', 'Card', 'Network', ' Mending ',' card ',' vaccine ',' already ',' buy ',' package ',' expensive ',' network ',' satisfying ',' customer ',' customer ',' serving ',' customer ' , 'Feel', 'satisfaction', 'disappointed', 'Please', 'ibuk', 'brain', 'ipakek', 'so', 'thank', 'love', "]</v>
      </c>
      <c r="D6974" s="3">
        <v>1.0</v>
      </c>
    </row>
    <row r="6975" ht="15.75" customHeight="1">
      <c r="A6975" s="1">
        <v>7445.0</v>
      </c>
      <c r="B6975" s="3" t="s">
        <v>6707</v>
      </c>
      <c r="C6975" s="3" t="str">
        <f>IFERROR(__xludf.DUMMYFUNCTION("GOOGLETRANSLATE(B6975,""id"",""en"")"),"['Help', 'Application']")</f>
        <v>['Help', 'Application']</v>
      </c>
      <c r="D6975" s="3">
        <v>5.0</v>
      </c>
    </row>
    <row r="6976" ht="15.75" customHeight="1">
      <c r="A6976" s="1">
        <v>7446.0</v>
      </c>
      <c r="B6976" s="3" t="s">
        <v>6708</v>
      </c>
      <c r="C6976" s="3" t="str">
        <f>IFERROR(__xludf.DUMMYFUNCTION("GOOGLETRANSLATE(B6976,""id"",""en"")"),"['The network', 'ugly', 'use', 'ngebid', 'jek', 'ilang', 'signal', 'chaotic', 'bother', 'driver']")</f>
        <v>['The network', 'ugly', 'use', 'ngebid', 'jek', 'ilang', 'signal', 'chaotic', 'bother', 'driver']</v>
      </c>
      <c r="D6976" s="3">
        <v>1.0</v>
      </c>
    </row>
    <row r="6977" ht="15.75" customHeight="1">
      <c r="A6977" s="1">
        <v>7447.0</v>
      </c>
      <c r="B6977" s="3" t="s">
        <v>6709</v>
      </c>
      <c r="C6977" s="3" t="str">
        <f>IFERROR(__xludf.DUMMYFUNCTION("GOOGLETRANSLATE(B6977,""id"",""en"")"),"['Credit', 'Rb', 'buy', 'Package', 'RB', 'Telkomsel', 'please', 'repaired', 'replace', 'card']")</f>
        <v>['Credit', 'Rb', 'buy', 'Package', 'RB', 'Telkomsel', 'please', 'repaired', 'replace', 'card']</v>
      </c>
      <c r="D6977" s="3">
        <v>1.0</v>
      </c>
    </row>
    <row r="6978" ht="15.75" customHeight="1">
      <c r="A6978" s="1">
        <v>7448.0</v>
      </c>
      <c r="B6978" s="3" t="s">
        <v>478</v>
      </c>
      <c r="C6978" s="3" t="str">
        <f>IFERROR(__xludf.DUMMYFUNCTION("GOOGLETRANSLATE(B6978,""id"",""en"")"),"Of course")</f>
        <v>Of course</v>
      </c>
      <c r="D6978" s="3">
        <v>5.0</v>
      </c>
    </row>
    <row r="6979" ht="15.75" customHeight="1">
      <c r="A6979" s="1">
        <v>7449.0</v>
      </c>
      <c r="B6979" s="3" t="s">
        <v>6710</v>
      </c>
      <c r="C6979" s="3" t="str">
        <f>IFERROR(__xludf.DUMMYFUNCTION("GOOGLETRANSLATE(B6979,""id"",""en"")"),"['Wooww', 'layat', 'Whiteh', 'Out', 'DinupDetee', 'Glassoo', 'ALIII', 'TELKOMSELL', 'INIII']")</f>
        <v>['Wooww', 'layat', 'Whiteh', 'Out', 'DinupDetee', 'Glassoo', 'ALIII', 'TELKOMSELL', 'INIII']</v>
      </c>
      <c r="D6979" s="3">
        <v>1.0</v>
      </c>
    </row>
    <row r="6980" ht="15.75" customHeight="1">
      <c r="A6980" s="1">
        <v>7450.0</v>
      </c>
      <c r="B6980" s="3" t="s">
        <v>6711</v>
      </c>
      <c r="C6980" s="3" t="str">
        <f>IFERROR(__xludf.DUMMYFUNCTION("GOOGLETRANSLATE(B6980,""id"",""en"")"),"['knp', 'area', 'ugly', 'signal', 'according to', 'cost', 'remove', 'disappointed', 'really']")</f>
        <v>['knp', 'area', 'ugly', 'signal', 'according to', 'cost', 'remove', 'disappointed', 'really']</v>
      </c>
      <c r="D6980" s="3">
        <v>2.0</v>
      </c>
    </row>
    <row r="6981" ht="15.75" customHeight="1">
      <c r="A6981" s="1">
        <v>7451.0</v>
      </c>
      <c r="B6981" s="3" t="s">
        <v>6712</v>
      </c>
      <c r="C6981" s="3" t="str">
        <f>IFERROR(__xludf.DUMMYFUNCTION("GOOGLETRANSLATE(B6981,""id"",""en"")"),"['Error', 'Open', 'right', 'Rain']")</f>
        <v>['Error', 'Open', 'right', 'Rain']</v>
      </c>
      <c r="D6981" s="3">
        <v>3.0</v>
      </c>
    </row>
    <row r="6982" ht="15.75" customHeight="1">
      <c r="A6982" s="1">
        <v>7452.0</v>
      </c>
      <c r="B6982" s="3" t="s">
        <v>1694</v>
      </c>
      <c r="C6982" s="3" t="str">
        <f>IFERROR(__xludf.DUMMYFUNCTION("GOOGLETRANSLATE(B6982,""id"",""en"")"),"['bad connection']")</f>
        <v>['bad connection']</v>
      </c>
      <c r="D6982" s="3">
        <v>2.0</v>
      </c>
    </row>
    <row r="6983" ht="15.75" customHeight="1">
      <c r="A6983" s="1">
        <v>7453.0</v>
      </c>
      <c r="B6983" s="3" t="s">
        <v>6713</v>
      </c>
      <c r="C6983" s="3" t="str">
        <f>IFERROR(__xludf.DUMMYFUNCTION("GOOGLETRANSLATE(B6983,""id"",""en"")"),"['Network', 'morning', 'Error', ""]")</f>
        <v>['Network', 'morning', 'Error', "]</v>
      </c>
      <c r="D6983" s="3">
        <v>3.0</v>
      </c>
    </row>
    <row r="6984" ht="15.75" customHeight="1">
      <c r="A6984" s="1">
        <v>7454.0</v>
      </c>
      <c r="B6984" s="3" t="s">
        <v>6714</v>
      </c>
      <c r="C6984" s="3" t="str">
        <f>IFERROR(__xludf.DUMMYFUNCTION("GOOGLETRANSLATE(B6984,""id"",""en"")"),"['Unistal', 'Install', 'Clear', 'Chace', 'contact', 'Telkomsel', 'screen', 'white', 'sighting', 'spend', 'data', ""]")</f>
        <v>['Unistal', 'Install', 'Clear', 'Chace', 'contact', 'Telkomsel', 'screen', 'white', 'sighting', 'spend', 'data', "]</v>
      </c>
      <c r="D6984" s="3">
        <v>1.0</v>
      </c>
    </row>
    <row r="6985" ht="15.75" customHeight="1">
      <c r="A6985" s="1">
        <v>7455.0</v>
      </c>
      <c r="B6985" s="3" t="s">
        <v>6715</v>
      </c>
      <c r="C6985" s="3" t="str">
        <f>IFERROR(__xludf.DUMMYFUNCTION("GOOGLETRANSLATE(B6985,""id"",""en"")"),"['network', 'extensive', 'signal', 'strong', 'promo', 'package', 'emergency', 'hope', 'get', 'Hadia', 'Lucky', 'Draw', ' Telkomsel ',' ']")</f>
        <v>['network', 'extensive', 'signal', 'strong', 'promo', 'package', 'emergency', 'hope', 'get', 'Hadia', 'Lucky', 'Draw', ' Telkomsel ',' ']</v>
      </c>
      <c r="D6985" s="3">
        <v>5.0</v>
      </c>
    </row>
    <row r="6986" ht="15.75" customHeight="1">
      <c r="A6986" s="1">
        <v>7456.0</v>
      </c>
      <c r="B6986" s="3" t="s">
        <v>6716</v>
      </c>
      <c r="C6986" s="3" t="str">
        <f>IFERROR(__xludf.DUMMYFUNCTION("GOOGLETRANSLATE(B6986,""id"",""en"")"),"['cave', 'take', 'apk', 'cave', 'contents', 'take', 'cave', 'borrow', 'repair', 'apk', 'comment', 'ugly']")</f>
        <v>['cave', 'take', 'apk', 'cave', 'contents', 'take', 'cave', 'borrow', 'repair', 'apk', 'comment', 'ugly']</v>
      </c>
      <c r="D6986" s="3">
        <v>1.0</v>
      </c>
    </row>
    <row r="6987" ht="15.75" customHeight="1">
      <c r="A6987" s="1">
        <v>7457.0</v>
      </c>
      <c r="B6987" s="3" t="s">
        <v>6717</v>
      </c>
      <c r="C6987" s="3" t="str">
        <f>IFERROR(__xludf.DUMMYFUNCTION("GOOGLETRANSLATE(B6987,""id"",""en"")"),"['Good', 'really', 'oath', '']")</f>
        <v>['Good', 'really', 'oath', '']</v>
      </c>
      <c r="D6987" s="3">
        <v>5.0</v>
      </c>
    </row>
    <row r="6988" ht="15.75" customHeight="1">
      <c r="A6988" s="1">
        <v>7458.0</v>
      </c>
      <c r="B6988" s="3" t="s">
        <v>6718</v>
      </c>
      <c r="C6988" s="3" t="str">
        <f>IFERROR(__xludf.DUMMYFUNCTION("GOOGLETRANSLATE(B6988,""id"",""en"")"),"['Best', 'buy', 'Package', 'Telkomsel']")</f>
        <v>['Best', 'buy', 'Package', 'Telkomsel']</v>
      </c>
      <c r="D6988" s="3">
        <v>5.0</v>
      </c>
    </row>
    <row r="6989" ht="15.75" customHeight="1">
      <c r="A6989" s="1">
        <v>7459.0</v>
      </c>
      <c r="B6989" s="3" t="s">
        <v>6719</v>
      </c>
      <c r="C6989" s="3" t="str">
        <f>IFERROR(__xludf.DUMMYFUNCTION("GOOGLETRANSLATE(B6989,""id"",""en"")"),"['Telkomsel', 'emng', 'network', 'bad', 'ngeta', ""]")</f>
        <v>['Telkomsel', 'emng', 'network', 'bad', 'ngeta', "]</v>
      </c>
      <c r="D6989" s="3">
        <v>1.0</v>
      </c>
    </row>
    <row r="6990" ht="15.75" customHeight="1">
      <c r="A6990" s="1">
        <v>7460.0</v>
      </c>
      <c r="B6990" s="3" t="s">
        <v>6720</v>
      </c>
      <c r="C6990" s="3" t="str">
        <f>IFERROR(__xludf.DUMMYFUNCTION("GOOGLETRANSLATE(B6990,""id"",""en"")"),"['application', 'Telkomsel', 'no', 'open', 'udh', 'a week', 'no', 'no', 'open', 'look', 'just', 'screen', ' White ',' Try ',' Fix ',' User ',' Telkomsel ',' Happy ',' Satisfied ',' Telkomsel ', ""]")</f>
        <v>['application', 'Telkomsel', 'no', 'open', 'udh', 'a week', 'no', 'no', 'open', 'look', 'just', 'screen', ' White ',' Try ',' Fix ',' User ',' Telkomsel ',' Happy ',' Satisfied ',' Telkomsel ', "]</v>
      </c>
      <c r="D6990" s="3">
        <v>2.0</v>
      </c>
    </row>
    <row r="6991" ht="15.75" customHeight="1">
      <c r="A6991" s="1">
        <v>7461.0</v>
      </c>
      <c r="B6991" s="3" t="s">
        <v>6721</v>
      </c>
      <c r="C6991" s="3" t="str">
        <f>IFERROR(__xludf.DUMMYFUNCTION("GOOGLETRANSLATE(B6991,""id"",""en"")"),"['Since', 'Update', 'disappointing', 'alternating', 'Clear', 'Data', 'Change', 'Uninstall', 'quota', 'Tetep', 'Tetep', ' White ',' please ',' Telkomsel ',' what ',' ']")</f>
        <v>['Since', 'Update', 'disappointing', 'alternating', 'Clear', 'Data', 'Change', 'Uninstall', 'quota', 'Tetep', 'Tetep', ' White ',' please ',' Telkomsel ',' what ',' ']</v>
      </c>
      <c r="D6991" s="3">
        <v>1.0</v>
      </c>
    </row>
    <row r="6992" ht="15.75" customHeight="1">
      <c r="A6992" s="1">
        <v>7462.0</v>
      </c>
      <c r="B6992" s="3" t="s">
        <v>6722</v>
      </c>
      <c r="C6992" s="3" t="str">
        <f>IFERROR(__xludf.DUMMYFUNCTION("GOOGLETRANSLATE(B6992,""id"",""en"")"),"['quality', 'network', 'reduced', 'season', 'rain', 'right', 'electricity', 'dead']")</f>
        <v>['quality', 'network', 'reduced', 'season', 'rain', 'right', 'electricity', 'dead']</v>
      </c>
      <c r="D6992" s="3">
        <v>1.0</v>
      </c>
    </row>
    <row r="6993" ht="15.75" customHeight="1">
      <c r="A6993" s="1">
        <v>7463.0</v>
      </c>
      <c r="B6993" s="3" t="s">
        <v>6723</v>
      </c>
      <c r="C6993" s="3" t="str">
        <f>IFERROR(__xludf.DUMMYFUNCTION("GOOGLETRANSLATE(B6993,""id"",""en"")"),"['Application', 'Not bad', 'satisfying', ""]")</f>
        <v>['Application', 'Not bad', 'satisfying', "]</v>
      </c>
      <c r="D6993" s="3">
        <v>4.0</v>
      </c>
    </row>
    <row r="6994" ht="15.75" customHeight="1">
      <c r="A6994" s="1">
        <v>7464.0</v>
      </c>
      <c r="B6994" s="3" t="s">
        <v>6724</v>
      </c>
      <c r="C6994" s="3" t="str">
        <f>IFERROR(__xludf.DUMMYFUNCTION("GOOGLETRANSLATE(B6994,""id"",""en"")"),"['Mntap', 'Hopefully', 'Keep', 'Quality']")</f>
        <v>['Mntap', 'Hopefully', 'Keep', 'Quality']</v>
      </c>
      <c r="D6994" s="3">
        <v>4.0</v>
      </c>
    </row>
    <row r="6995" ht="15.75" customHeight="1">
      <c r="A6995" s="1">
        <v>7465.0</v>
      </c>
      <c r="B6995" s="3" t="s">
        <v>6725</v>
      </c>
      <c r="C6995" s="3" t="str">
        <f>IFERROR(__xludf.DUMMYFUNCTION("GOOGLETRANSLATE(B6995,""id"",""en"")"),"['Help', 'Feature', 'complete', 'promo', 'quota', 'interesting']")</f>
        <v>['Help', 'Feature', 'complete', 'promo', 'quota', 'interesting']</v>
      </c>
      <c r="D6995" s="3">
        <v>5.0</v>
      </c>
    </row>
    <row r="6996" ht="15.75" customHeight="1">
      <c r="A6996" s="1">
        <v>7466.0</v>
      </c>
      <c r="B6996" s="3" t="s">
        <v>6726</v>
      </c>
      <c r="C6996" s="3" t="str">
        <f>IFERROR(__xludf.DUMMYFUNCTION("GOOGLETRANSLATE(B6996,""id"",""en"")"),"['Miyakan', 'promo', 'kouta', 'cheap']")</f>
        <v>['Miyakan', 'promo', 'kouta', 'cheap']</v>
      </c>
      <c r="D6996" s="3">
        <v>5.0</v>
      </c>
    </row>
    <row r="6997" ht="15.75" customHeight="1">
      <c r="A6997" s="1">
        <v>7467.0</v>
      </c>
      <c r="B6997" s="3" t="s">
        <v>6727</v>
      </c>
      <c r="C6997" s="3" t="str">
        <f>IFERROR(__xludf.DUMMYFUNCTION("GOOGLETRANSLATE(B6997,""id"",""en"")"),"['Success', 'sellu', 'Telkomsel', 'Telkomsel', 'Sakti', 'Yes']")</f>
        <v>['Success', 'sellu', 'Telkomsel', 'Telkomsel', 'Sakti', 'Yes']</v>
      </c>
      <c r="D6997" s="3">
        <v>5.0</v>
      </c>
    </row>
    <row r="6998" ht="15.75" customHeight="1">
      <c r="A6998" s="1">
        <v>7469.0</v>
      </c>
      <c r="B6998" s="3" t="s">
        <v>6728</v>
      </c>
      <c r="C6998" s="3" t="str">
        <f>IFERROR(__xludf.DUMMYFUNCTION("GOOGLETRANSLATE(B6998,""id"",""en"")"),"['APK', 'good', 'exploded', 'pokonamah']")</f>
        <v>['APK', 'good', 'exploded', 'pokonamah']</v>
      </c>
      <c r="D6998" s="3">
        <v>5.0</v>
      </c>
    </row>
    <row r="6999" ht="15.75" customHeight="1">
      <c r="A6999" s="1">
        <v>7470.0</v>
      </c>
      <c r="B6999" s="3" t="s">
        <v>6729</v>
      </c>
      <c r="C6999" s="3" t="str">
        <f>IFERROR(__xludf.DUMMYFUNCTION("GOOGLETRANSLATE(B6999,""id"",""en"")"),"['please', 'stability', 'network', 'noticed', 'speed', 'network', 'little', 'little', 'missing', 'so', 'no', 'stable', ' Rich ',' Network ',' Telkomsel ',' ']")</f>
        <v>['please', 'stability', 'network', 'noticed', 'speed', 'network', 'little', 'little', 'missing', 'so', 'no', 'stable', ' Rich ',' Network ',' Telkomsel ',' ']</v>
      </c>
      <c r="D6999" s="3">
        <v>1.0</v>
      </c>
    </row>
    <row r="7000" ht="15.75" customHeight="1">
      <c r="A7000" s="1">
        <v>7471.0</v>
      </c>
      <c r="B7000" s="3" t="s">
        <v>6730</v>
      </c>
      <c r="C7000" s="3" t="str">
        <f>IFERROR(__xludf.DUMMYFUNCTION("GOOGLETRANSLATE(B7000,""id"",""en"")"),"['disappointing', 'subscription', 'card', 'Hello', 'Pay', 'Tangah', 'Until', 'Open', 'App', 'Telkomsel', 'BANGKE', 'Difficult', ' Non ',' active ',' Hallo ',' Ribet ',' complete ',' moved ',' Telkomsel ']")</f>
        <v>['disappointing', 'subscription', 'card', 'Hello', 'Pay', 'Tangah', 'Until', 'Open', 'App', 'Telkomsel', 'BANGKE', 'Difficult', ' Non ',' active ',' Hallo ',' Ribet ',' complete ',' moved ',' Telkomsel ']</v>
      </c>
      <c r="D7000" s="3">
        <v>1.0</v>
      </c>
    </row>
    <row r="7001" ht="15.75" customHeight="1">
      <c r="A7001" s="1">
        <v>7472.0</v>
      </c>
      <c r="B7001" s="3" t="s">
        <v>6731</v>
      </c>
      <c r="C7001" s="3" t="str">
        <f>IFERROR(__xludf.DUMMYFUNCTION("GOOGLETRANSLATE(B7001,""id"",""en"")"),"['Uninstall', 'Install', 'Clear', 'Chace', 'Clear', 'Data', 'Force', 'Stop', 'Application', 'Opened', 'Application']")</f>
        <v>['Uninstall', 'Install', 'Clear', 'Chace', 'Clear', 'Data', 'Force', 'Stop', 'Application', 'Opened', 'Application']</v>
      </c>
      <c r="D7001" s="3">
        <v>1.0</v>
      </c>
    </row>
    <row r="7002" ht="15.75" customHeight="1">
      <c r="A7002" s="1">
        <v>7473.0</v>
      </c>
      <c r="B7002" s="3" t="s">
        <v>6732</v>
      </c>
      <c r="C7002" s="3" t="str">
        <f>IFERROR(__xludf.DUMMYFUNCTION("GOOGLETRANSLATE(B7002,""id"",""en"")"),"['checked', 'quota', 'run out']")</f>
        <v>['checked', 'quota', 'run out']</v>
      </c>
      <c r="D7002" s="3">
        <v>1.0</v>
      </c>
    </row>
    <row r="7003" ht="15.75" customHeight="1">
      <c r="A7003" s="1">
        <v>7474.0</v>
      </c>
      <c r="B7003" s="3" t="s">
        <v>6733</v>
      </c>
      <c r="C7003" s="3" t="str">
        <f>IFERROR(__xludf.DUMMYFUNCTION("GOOGLETRANSLATE(B7003,""id"",""en"")"),"['Log', 'easy', 'choice', 'customer']")</f>
        <v>['Log', 'easy', 'choice', 'customer']</v>
      </c>
      <c r="D7003" s="3">
        <v>5.0</v>
      </c>
    </row>
    <row r="7004" ht="15.75" customHeight="1">
      <c r="A7004" s="1">
        <v>7475.0</v>
      </c>
      <c r="B7004" s="3" t="s">
        <v>6734</v>
      </c>
      <c r="C7004" s="3" t="str">
        <f>IFERROR(__xludf.DUMMYFUNCTION("GOOGLETRANSLATE(B7004,""id"",""en"")"),"['Please', 'Bukak', 'The application', 'Download', 'version', 'version', 'website', 'uptodown']")</f>
        <v>['Please', 'Bukak', 'The application', 'Download', 'version', 'version', 'website', 'uptodown']</v>
      </c>
      <c r="D7004" s="3">
        <v>1.0</v>
      </c>
    </row>
    <row r="7005" ht="15.75" customHeight="1">
      <c r="A7005" s="1">
        <v>7476.0</v>
      </c>
      <c r="B7005" s="3" t="s">
        <v>6735</v>
      </c>
      <c r="C7005" s="3" t="str">
        <f>IFERROR(__xludf.DUMMYFUNCTION("GOOGLETRANSLATE(B7005,""id"",""en"")"),"['APK', 'opened', 'right', 'opened', 'blank', 'white', ""]")</f>
        <v>['APK', 'opened', 'right', 'opened', 'blank', 'white', "]</v>
      </c>
      <c r="D7005" s="3">
        <v>1.0</v>
      </c>
    </row>
    <row r="7006" ht="15.75" customHeight="1">
      <c r="A7006" s="1">
        <v>7477.0</v>
      </c>
      <c r="B7006" s="3" t="s">
        <v>6736</v>
      </c>
      <c r="C7006" s="3" t="str">
        <f>IFERROR(__xludf.DUMMYFUNCTION("GOOGLETRANSLATE(B7006,""id"",""en"")"),"['signal', 'mwkin', 'slow', 'gmana', 'smooth', 'udh', 'a week', 'signal', 'ilang', '']")</f>
        <v>['signal', 'mwkin', 'slow', 'gmana', 'smooth', 'udh', 'a week', 'signal', 'ilang', '']</v>
      </c>
      <c r="D7006" s="3">
        <v>2.0</v>
      </c>
    </row>
    <row r="7007" ht="15.75" customHeight="1">
      <c r="A7007" s="1">
        <v>7479.0</v>
      </c>
      <c r="B7007" s="3" t="s">
        <v>6737</v>
      </c>
      <c r="C7007" s="3" t="str">
        <f>IFERROR(__xludf.DUMMYFUNCTION("GOOGLETRANSLATE(B7007,""id"",""en"")"),"['Updated', 'Open', 'Screen', 'White', '']")</f>
        <v>['Updated', 'Open', 'Screen', 'White', '']</v>
      </c>
      <c r="D7007" s="3">
        <v>3.0</v>
      </c>
    </row>
    <row r="7008" ht="15.75" customHeight="1">
      <c r="A7008" s="1">
        <v>7480.0</v>
      </c>
      <c r="B7008" s="3" t="s">
        <v>6738</v>
      </c>
      <c r="C7008" s="3" t="str">
        <f>IFERROR(__xludf.DUMMYFUNCTION("GOOGLETRANSLATE(B7008,""id"",""en"")"),"['Bonus', 'Price', 'Expensive', 'Klota', 'fast', 'Out']")</f>
        <v>['Bonus', 'Price', 'Expensive', 'Klota', 'fast', 'Out']</v>
      </c>
      <c r="D7008" s="3">
        <v>3.0</v>
      </c>
    </row>
    <row r="7009" ht="15.75" customHeight="1">
      <c r="A7009" s="1">
        <v>7481.0</v>
      </c>
      <c r="B7009" s="3" t="s">
        <v>6739</v>
      </c>
      <c r="C7009" s="3" t="str">
        <f>IFERROR(__xludf.DUMMYFUNCTION("GOOGLETRANSLATE(B7009,""id"",""en"")"),"['buy', 'quota', 'unlimited', 'youtube', 'kepakai', 'quota', 'main', 'fraud', '']")</f>
        <v>['buy', 'quota', 'unlimited', 'youtube', 'kepakai', 'quota', 'main', 'fraud', '']</v>
      </c>
      <c r="D7009" s="3">
        <v>1.0</v>
      </c>
    </row>
    <row r="7010" ht="15.75" customHeight="1">
      <c r="A7010" s="1">
        <v>7482.0</v>
      </c>
      <c r="B7010" s="3" t="s">
        <v>6740</v>
      </c>
      <c r="C7010" s="3" t="str">
        <f>IFERROR(__xludf.DUMMYFUNCTION("GOOGLETRANSLATE(B7010,""id"",""en"")"),"['Application', 'White', 'Mulu', 'Open']")</f>
        <v>['Application', 'White', 'Mulu', 'Open']</v>
      </c>
      <c r="D7010" s="3">
        <v>1.0</v>
      </c>
    </row>
    <row r="7011" ht="15.75" customHeight="1">
      <c r="A7011" s="1">
        <v>7483.0</v>
      </c>
      <c r="B7011" s="3" t="s">
        <v>6741</v>
      </c>
      <c r="C7011" s="3" t="str">
        <f>IFERROR(__xludf.DUMMYFUNCTION("GOOGLETRANSLATE(B7011,""id"",""en"")"),"['bad network']")</f>
        <v>['bad network']</v>
      </c>
      <c r="D7011" s="3">
        <v>1.0</v>
      </c>
    </row>
    <row r="7012" ht="15.75" customHeight="1">
      <c r="A7012" s="1">
        <v>7484.0</v>
      </c>
      <c r="B7012" s="3" t="s">
        <v>6742</v>
      </c>
      <c r="C7012" s="3" t="str">
        <f>IFERROR(__xludf.DUMMYFUNCTION("GOOGLETRANSLATE(B7012,""id"",""en"")"),"['Please', 'Fix', 'Network', 'Price', 'Expensive', 'Telkomsel', 'Network', 'Burik']")</f>
        <v>['Please', 'Fix', 'Network', 'Price', 'Expensive', 'Telkomsel', 'Network', 'Burik']</v>
      </c>
      <c r="D7012" s="3">
        <v>1.0</v>
      </c>
    </row>
    <row r="7013" ht="15.75" customHeight="1">
      <c r="A7013" s="1">
        <v>7485.0</v>
      </c>
      <c r="B7013" s="3" t="s">
        <v>6743</v>
      </c>
      <c r="C7013" s="3" t="str">
        <f>IFERROR(__xludf.DUMMYFUNCTION("GOOGLETRANSLATE(B7013,""id"",""en"")"),"['Severe', 'blank']")</f>
        <v>['Severe', 'blank']</v>
      </c>
      <c r="D7013" s="3">
        <v>2.0</v>
      </c>
    </row>
    <row r="7014" ht="15.75" customHeight="1">
      <c r="A7014" s="1">
        <v>7486.0</v>
      </c>
      <c r="B7014" s="3" t="s">
        <v>6744</v>
      </c>
      <c r="C7014" s="3" t="str">
        <f>IFERROR(__xludf.DUMMYFUNCTION("GOOGLETRANSLATE(B7014,""id"",""en"")"),"['Telkomsel', 'blank', 'screen', 'white']")</f>
        <v>['Telkomsel', 'blank', 'screen', 'white']</v>
      </c>
      <c r="D7014" s="3">
        <v>1.0</v>
      </c>
    </row>
    <row r="7015" ht="15.75" customHeight="1">
      <c r="A7015" s="1">
        <v>7487.0</v>
      </c>
      <c r="B7015" s="3" t="s">
        <v>6745</v>
      </c>
      <c r="C7015" s="3" t="str">
        <f>IFERROR(__xludf.DUMMYFUNCTION("GOOGLETRANSLATE(B7015,""id"",""en"")"),"['SNGT', 'Good', 'BNYK', 'PROMO']")</f>
        <v>['SNGT', 'Good', 'BNYK', 'PROMO']</v>
      </c>
      <c r="D7015" s="3">
        <v>5.0</v>
      </c>
    </row>
    <row r="7016" ht="15.75" customHeight="1">
      <c r="A7016" s="1">
        <v>7488.0</v>
      </c>
      <c r="B7016" s="3" t="s">
        <v>6746</v>
      </c>
      <c r="C7016" s="3" t="str">
        <f>IFERROR(__xludf.DUMMYFUNCTION("GOOGLETRANSLATE(B7016,""id"",""en"")"),"['Feature', 'drawback']")</f>
        <v>['Feature', 'drawback']</v>
      </c>
      <c r="D7016" s="3">
        <v>2.0</v>
      </c>
    </row>
    <row r="7017" ht="15.75" customHeight="1">
      <c r="A7017" s="1">
        <v>7489.0</v>
      </c>
      <c r="B7017" s="3" t="s">
        <v>6747</v>
      </c>
      <c r="C7017" s="3" t="str">
        <f>IFERROR(__xludf.DUMMYFUNCTION("GOOGLETRANSLATE(B7017,""id"",""en"")"),"['', 'Uninstall', 'Seberap', 'Times', '']")</f>
        <v>['', 'Uninstall', 'Seberap', 'Times', '']</v>
      </c>
      <c r="D7017" s="3">
        <v>1.0</v>
      </c>
    </row>
    <row r="7018" ht="15.75" customHeight="1">
      <c r="A7018" s="1">
        <v>7490.0</v>
      </c>
      <c r="B7018" s="3" t="s">
        <v>6748</v>
      </c>
      <c r="C7018" s="3" t="str">
        <f>IFERROR(__xludf.DUMMYFUNCTION("GOOGLETRANSLATE(B7018,""id"",""en"")"),"['Telkomsel', 'kek', 'package', 'expensive', 'guarantee', 'signal', 'strong', 'crazy', 'ampe', 'times',' signal ',' Telkomsel ',' ugly ',' bet ',' buy ',' GB ',' area ',' City ']")</f>
        <v>['Telkomsel', 'kek', 'package', 'expensive', 'guarantee', 'signal', 'strong', 'crazy', 'ampe', 'times',' signal ',' Telkomsel ',' ugly ',' bet ',' buy ',' GB ',' area ',' City ']</v>
      </c>
      <c r="D7018" s="3">
        <v>1.0</v>
      </c>
    </row>
    <row r="7019" ht="15.75" customHeight="1">
      <c r="A7019" s="1">
        <v>7491.0</v>
      </c>
      <c r="B7019" s="3" t="s">
        <v>6749</v>
      </c>
      <c r="C7019" s="3" t="str">
        <f>IFERROR(__xludf.DUMMYFUNCTION("GOOGLETRANSLATE(B7019,""id"",""en"")"),"['', 'Upgred', 'opened', 'BANGJE']")</f>
        <v>['', 'Upgred', 'opened', 'BANGJE']</v>
      </c>
      <c r="D7019" s="3">
        <v>1.0</v>
      </c>
    </row>
    <row r="7020" ht="15.75" customHeight="1">
      <c r="A7020" s="1">
        <v>7492.0</v>
      </c>
      <c r="B7020" s="3" t="s">
        <v>6750</v>
      </c>
      <c r="C7020" s="3" t="str">
        <f>IFERROR(__xludf.DUMMYFUNCTION("GOOGLETRANSLATE(B7020,""id"",""en"")"),"['Resistance']")</f>
        <v>['Resistance']</v>
      </c>
      <c r="D7020" s="3">
        <v>5.0</v>
      </c>
    </row>
    <row r="7021" ht="15.75" customHeight="1">
      <c r="A7021" s="1">
        <v>7493.0</v>
      </c>
      <c r="B7021" s="3" t="s">
        <v>6751</v>
      </c>
      <c r="C7021" s="3" t="str">
        <f>IFERROR(__xludf.DUMMYFUNCTION("GOOGLETRANSLATE(B7021,""id"",""en"")"),"['Package', 'expensive', 'doang', 'signal', 'ugly', 'kek', 'pig']")</f>
        <v>['Package', 'expensive', 'doang', 'signal', 'ugly', 'kek', 'pig']</v>
      </c>
      <c r="D7021" s="3">
        <v>1.0</v>
      </c>
    </row>
    <row r="7022" ht="15.75" customHeight="1">
      <c r="A7022" s="1">
        <v>7495.0</v>
      </c>
      <c r="B7022" s="3" t="s">
        <v>6752</v>
      </c>
      <c r="C7022" s="3" t="str">
        <f>IFERROR(__xludf.DUMMYFUNCTION("GOOGLETRANSLATE(B7022,""id"",""en"")"),"['thank', 'love', 'mytelkomsel', 'transaction', 'easy', 'practical', 'additional', 'method', 'payment', 'link', 'gopay', 'ovo', ' Shopee ',' Pay ',' ']")</f>
        <v>['thank', 'love', 'mytelkomsel', 'transaction', 'easy', 'practical', 'additional', 'method', 'payment', 'link', 'gopay', 'ovo', ' Shopee ',' Pay ',' ']</v>
      </c>
      <c r="D7022" s="3">
        <v>5.0</v>
      </c>
    </row>
    <row r="7023" ht="15.75" customHeight="1">
      <c r="A7023" s="1">
        <v>7496.0</v>
      </c>
      <c r="B7023" s="3" t="s">
        <v>6753</v>
      </c>
      <c r="C7023" s="3" t="str">
        <f>IFERROR(__xludf.DUMMYFUNCTION("GOOGLETRANSLATE(B7023,""id"",""en"")"),"['APDET', 'TPI', 'Open', 'APK']")</f>
        <v>['APDET', 'TPI', 'Open', 'APK']</v>
      </c>
      <c r="D7023" s="3">
        <v>1.0</v>
      </c>
    </row>
    <row r="7024" ht="15.75" customHeight="1">
      <c r="A7024" s="1">
        <v>7498.0</v>
      </c>
      <c r="B7024" s="3" t="s">
        <v>1647</v>
      </c>
      <c r="C7024" s="3" t="str">
        <f>IFERROR(__xludf.DUMMYFUNCTION("GOOGLETRANSLATE(B7024,""id"",""en"")"),"['Lemot', 'Telkomsel']")</f>
        <v>['Lemot', 'Telkomsel']</v>
      </c>
      <c r="D7024" s="3">
        <v>1.0</v>
      </c>
    </row>
    <row r="7025" ht="15.75" customHeight="1">
      <c r="A7025" s="1">
        <v>7499.0</v>
      </c>
      <c r="B7025" s="3" t="s">
        <v>6754</v>
      </c>
      <c r="C7025" s="3" t="str">
        <f>IFERROR(__xludf.DUMMYFUNCTION("GOOGLETRANSLATE(B7025,""id"",""en"")"),"['Candidww', 'Abis', 'updated', 'opened', 'piye', 'iki', '']")</f>
        <v>['Candidww', 'Abis', 'updated', 'opened', 'piye', 'iki', '']</v>
      </c>
      <c r="D7025" s="3">
        <v>1.0</v>
      </c>
    </row>
    <row r="7026" ht="15.75" customHeight="1">
      <c r="A7026" s="1">
        <v>7501.0</v>
      </c>
      <c r="B7026" s="3" t="s">
        <v>6755</v>
      </c>
      <c r="C7026" s="3" t="str">
        <f>IFERROR(__xludf.DUMMYFUNCTION("GOOGLETRANSLATE(B7026,""id"",""en"")"),"['application', 'ngak', 'open', 'bleng', 'severe']")</f>
        <v>['application', 'ngak', 'open', 'bleng', 'severe']</v>
      </c>
      <c r="D7026" s="3">
        <v>1.0</v>
      </c>
    </row>
    <row r="7027" ht="15.75" customHeight="1">
      <c r="A7027" s="1">
        <v>7502.0</v>
      </c>
      <c r="B7027" s="3" t="s">
        <v>6756</v>
      </c>
      <c r="C7027" s="3" t="str">
        <f>IFERROR(__xludf.DUMMYFUNCTION("GOOGLETRANSLATE(B7027,""id"",""en"")"),"['Please', 'fix', 'network', 'smooth', 'TPI', 'slow', 'really', 'card', 'good', 'network', 'operated', 'expensive', ' LGI ']")</f>
        <v>['Please', 'fix', 'network', 'smooth', 'TPI', 'slow', 'really', 'card', 'good', 'network', 'operated', 'expensive', ' LGI ']</v>
      </c>
      <c r="D7027" s="3">
        <v>2.0</v>
      </c>
    </row>
    <row r="7028" ht="15.75" customHeight="1">
      <c r="A7028" s="1">
        <v>7503.0</v>
      </c>
      <c r="B7028" s="3" t="s">
        <v>6757</v>
      </c>
      <c r="C7028" s="3" t="str">
        <f>IFERROR(__xludf.DUMMYFUNCTION("GOOGLETRANSLATE(B7028,""id"",""en"")"),"['menu', 'ngak', 'open']")</f>
        <v>['menu', 'ngak', 'open']</v>
      </c>
      <c r="D7028" s="3">
        <v>1.0</v>
      </c>
    </row>
    <row r="7029" ht="15.75" customHeight="1">
      <c r="A7029" s="1">
        <v>7504.0</v>
      </c>
      <c r="B7029" s="3" t="s">
        <v>6758</v>
      </c>
      <c r="C7029" s="3" t="str">
        <f>IFERROR(__xludf.DUMMYFUNCTION("GOOGLETRANSLATE(B7029,""id"",""en"")"),"['price', 'package', 'quality', 'network', 'change']")</f>
        <v>['price', 'package', 'quality', 'network', 'change']</v>
      </c>
      <c r="D7029" s="3">
        <v>3.0</v>
      </c>
    </row>
    <row r="7030" ht="15.75" customHeight="1">
      <c r="A7030" s="1">
        <v>7505.0</v>
      </c>
      <c r="B7030" s="3" t="s">
        <v>6759</v>
      </c>
      <c r="C7030" s="3" t="str">
        <f>IFERROR(__xludf.DUMMYFUNCTION("GOOGLETRANSLATE(B7030,""id"",""en"")"),"['', 'signal', 'Telkomsel', 'sin', 'price', 'expensive', 'sinyalll', 'down', 'emang', 'ngak', 'responsible', 'slow', "" ]")</f>
        <v>['', 'signal', 'Telkomsel', 'sin', 'price', 'expensive', 'sinyalll', 'down', 'emang', 'ngak', 'responsible', 'slow', " ]</v>
      </c>
      <c r="D7030" s="3">
        <v>1.0</v>
      </c>
    </row>
    <row r="7031" ht="15.75" customHeight="1">
      <c r="A7031" s="1">
        <v>7506.0</v>
      </c>
      <c r="B7031" s="3" t="s">
        <v>6760</v>
      </c>
      <c r="C7031" s="3" t="str">
        <f>IFERROR(__xludf.DUMMYFUNCTION("GOOGLETRANSLATE(B7031,""id"",""en"")"),"['apk', 'bgus', 'buy', 'pulse', 'apk', 'nominal', 'free']")</f>
        <v>['apk', 'bgus', 'buy', 'pulse', 'apk', 'nominal', 'free']</v>
      </c>
      <c r="D7031" s="3">
        <v>5.0</v>
      </c>
    </row>
    <row r="7032" ht="15.75" customHeight="1">
      <c r="A7032" s="1">
        <v>7507.0</v>
      </c>
      <c r="B7032" s="3" t="s">
        <v>6761</v>
      </c>
      <c r="C7032" s="3" t="str">
        <f>IFERROR(__xludf.DUMMYFUNCTION("GOOGLETRANSLATE(B7032,""id"",""en"")"),"['Network', 'Good', 'Telkomsel', 'Dead', 'Lights',' Empty ',' Network ',' Rain ',' Lost ',' Network ',' Mangkin ',' Telkomsel ',' pigs', 'network', 'people', 'disappointed']")</f>
        <v>['Network', 'Good', 'Telkomsel', 'Dead', 'Lights',' Empty ',' Network ',' Rain ',' Lost ',' Network ',' Mangkin ',' Telkomsel ',' pigs', 'network', 'people', 'disappointed']</v>
      </c>
      <c r="D7032" s="3">
        <v>5.0</v>
      </c>
    </row>
    <row r="7033" ht="15.75" customHeight="1">
      <c r="A7033" s="1">
        <v>7508.0</v>
      </c>
      <c r="B7033" s="3" t="s">
        <v>6762</v>
      </c>
      <c r="C7033" s="3" t="str">
        <f>IFERROR(__xludf.DUMMYFUNCTION("GOOGLETRANSLATE(B7033,""id"",""en"")"),"['COK', 'My screen', 'White', 'Doang', 'Gabisa', 'Enter', ""]")</f>
        <v>['COK', 'My screen', 'White', 'Doang', 'Gabisa', 'Enter', "]</v>
      </c>
      <c r="D7033" s="3">
        <v>1.0</v>
      </c>
    </row>
    <row r="7034" ht="15.75" customHeight="1">
      <c r="A7034" s="1">
        <v>7509.0</v>
      </c>
      <c r="B7034" s="3" t="s">
        <v>6763</v>
      </c>
      <c r="C7034" s="3" t="str">
        <f>IFERROR(__xludf.DUMMYFUNCTION("GOOGLETRANSLATE(B7034,""id"",""en"")"),"['cave', 'disappointed', 'network', 'Telkomsel', 'cave', 'buy', 'package', 'quota', 'expensive', 'kirain', 'cave', 'expensive', ' quota ',' good ',' signal ',' ehh ',' tetep ',' signal ',' kayak ',' knon ', ""]")</f>
        <v>['cave', 'disappointed', 'network', 'Telkomsel', 'cave', 'buy', 'package', 'quota', 'expensive', 'kirain', 'cave', 'expensive', ' quota ',' good ',' signal ',' ehh ',' tetep ',' signal ',' kayak ',' knon ', "]</v>
      </c>
      <c r="D7034" s="3">
        <v>1.0</v>
      </c>
    </row>
    <row r="7035" ht="15.75" customHeight="1">
      <c r="A7035" s="1">
        <v>7510.0</v>
      </c>
      <c r="B7035" s="3" t="s">
        <v>1754</v>
      </c>
      <c r="C7035" s="3" t="str">
        <f>IFERROR(__xludf.DUMMYFUNCTION("GOOGLETRANSLATE(B7035,""id"",""en"")"),"['', 'open']")</f>
        <v>['', 'open']</v>
      </c>
      <c r="D7035" s="3">
        <v>1.0</v>
      </c>
    </row>
    <row r="7036" ht="15.75" customHeight="1">
      <c r="A7036" s="1">
        <v>7512.0</v>
      </c>
      <c r="B7036" s="3" t="s">
        <v>6764</v>
      </c>
      <c r="C7036" s="3" t="str">
        <f>IFERROR(__xludf.DUMMYFUNCTION("GOOGLETRANSLATE(B7036,""id"",""en"")"),"['Woi', 'Sempak', 'Nice', 'Network', 'Region', 'Sumbagut', 'Network', 'Kayak', 'Snail', 'Road', 'Leet', 'Times',' fuck you']")</f>
        <v>['Woi', 'Sempak', 'Nice', 'Network', 'Region', 'Sumbagut', 'Network', 'Kayak', 'Snail', 'Road', 'Leet', 'Times',' fuck you']</v>
      </c>
      <c r="D7036" s="3">
        <v>1.0</v>
      </c>
    </row>
    <row r="7037" ht="15.75" customHeight="1">
      <c r="A7037" s="1">
        <v>7513.0</v>
      </c>
      <c r="B7037" s="3" t="s">
        <v>6765</v>
      </c>
      <c r="C7037" s="3" t="str">
        <f>IFERROR(__xludf.DUMMYFUNCTION("GOOGLETRANSLATE(B7037,""id"",""en"")"),"['Telkomsel', 'Tekomsel', 'Severe', 'The network', 'slow', 'Open', 'APK', 'Package', 'Expensive', 'Please', 'Mealed', 'klw', ' Lonely ',' users', 'Telkomsel', 'thank you']")</f>
        <v>['Telkomsel', 'Tekomsel', 'Severe', 'The network', 'slow', 'Open', 'APK', 'Package', 'Expensive', 'Please', 'Mealed', 'klw', ' Lonely ',' users', 'Telkomsel', 'thank you']</v>
      </c>
      <c r="D7037" s="3">
        <v>1.0</v>
      </c>
    </row>
    <row r="7038" ht="15.75" customHeight="1">
      <c r="A7038" s="1">
        <v>7514.0</v>
      </c>
      <c r="B7038" s="3" t="s">
        <v>6766</v>
      </c>
      <c r="C7038" s="3" t="str">
        <f>IFERROR(__xludf.DUMMYFUNCTION("GOOGLETRANSLATE(B7038,""id"",""en"")"),"['Service', 'steady']")</f>
        <v>['Service', 'steady']</v>
      </c>
      <c r="D7038" s="3">
        <v>4.0</v>
      </c>
    </row>
    <row r="7039" ht="15.75" customHeight="1">
      <c r="A7039" s="1">
        <v>7515.0</v>
      </c>
      <c r="B7039" s="3" t="s">
        <v>6767</v>
      </c>
      <c r="C7039" s="3" t="str">
        <f>IFERROR(__xludf.DUMMYFUNCTION("GOOGLETRANSLATE(B7039,""id"",""en"")"),"['renewal', 'access',' Telkomsel ',' gmn ',' sich ',' delete ',' download ',' delete ',' download ',' run out ',' quota ',' doang ',' Service ',' Please ',' Chek ', ""]")</f>
        <v>['renewal', 'access',' Telkomsel ',' gmn ',' sich ',' delete ',' download ',' delete ',' download ',' run out ',' quota ',' doang ',' Service ',' Please ',' Chek ', "]</v>
      </c>
      <c r="D7039" s="3">
        <v>1.0</v>
      </c>
    </row>
    <row r="7040" ht="15.75" customHeight="1">
      <c r="A7040" s="1">
        <v>7516.0</v>
      </c>
      <c r="B7040" s="3" t="s">
        <v>6768</v>
      </c>
      <c r="C7040" s="3" t="str">
        <f>IFERROR(__xludf.DUMMYFUNCTION("GOOGLETRANSLATE(B7040,""id"",""en"")"),"['skrang', 'Telkomsel', 'open', 'screen', 'white', 'udh', 'lgi', 'application', 'telkomsel']")</f>
        <v>['skrang', 'Telkomsel', 'open', 'screen', 'white', 'udh', 'lgi', 'application', 'telkomsel']</v>
      </c>
      <c r="D7040" s="3">
        <v>1.0</v>
      </c>
    </row>
    <row r="7041" ht="15.75" customHeight="1">
      <c r="A7041" s="1">
        <v>7517.0</v>
      </c>
      <c r="B7041" s="3" t="s">
        <v>6769</v>
      </c>
      <c r="C7041" s="3" t="str">
        <f>IFERROR(__xludf.DUMMYFUNCTION("GOOGLETRANSLATE(B7041,""id"",""en"")"),"['Star', 'dlu', 'Sometimes', 'open']")</f>
        <v>['Star', 'dlu', 'Sometimes', 'open']</v>
      </c>
      <c r="D7041" s="3">
        <v>3.0</v>
      </c>
    </row>
    <row r="7042" ht="15.75" customHeight="1">
      <c r="A7042" s="1">
        <v>7518.0</v>
      </c>
      <c r="B7042" s="3" t="s">
        <v>6770</v>
      </c>
      <c r="C7042" s="3" t="str">
        <f>IFERROR(__xludf.DUMMYFUNCTION("GOOGLETRANSLATE(B7042,""id"",""en"")"),"['Slow', 'really', 'redeem', 'vocher', 'diamond', 'game', 'cave', 'slow', 'emang', 'apk', 'broken', 'gosh', ' Love ',' Suggestion ',' Delete ',' Data ',' UDH ',' Delete ',' Yesterday ']")</f>
        <v>['Slow', 'really', 'redeem', 'vocher', 'diamond', 'game', 'cave', 'slow', 'emang', 'apk', 'broken', 'gosh', ' Love ',' Suggestion ',' Delete ',' Data ',' UDH ',' Delete ',' Yesterday ']</v>
      </c>
      <c r="D7042" s="3">
        <v>1.0</v>
      </c>
    </row>
    <row r="7043" ht="15.75" customHeight="1">
      <c r="A7043" s="1">
        <v>7519.0</v>
      </c>
      <c r="B7043" s="3" t="s">
        <v>6771</v>
      </c>
      <c r="C7043" s="3" t="str">
        <f>IFERROR(__xludf.DUMMYFUNCTION("GOOGLETRANSLATE(B7043,""id"",""en"")"),"['bother', 'counter', 'pulse', 'package', 'combo', 'okay', 'cyke', 'bran', 'okay', 'deh', '']")</f>
        <v>['bother', 'counter', 'pulse', 'package', 'combo', 'okay', 'cyke', 'bran', 'okay', 'deh', '']</v>
      </c>
      <c r="D7043" s="3">
        <v>5.0</v>
      </c>
    </row>
    <row r="7044" ht="15.75" customHeight="1">
      <c r="A7044" s="1">
        <v>7520.0</v>
      </c>
      <c r="B7044" s="3" t="s">
        <v>6772</v>
      </c>
      <c r="C7044" s="3" t="str">
        <f>IFERROR(__xludf.DUMMYFUNCTION("GOOGLETRANSLATE(B7044,""id"",""en"")"),"['', 'Samsung', 'blank', 'white', 'opened']")</f>
        <v>['', 'Samsung', 'blank', 'white', 'opened']</v>
      </c>
      <c r="D7044" s="3">
        <v>2.0</v>
      </c>
    </row>
    <row r="7045" ht="15.75" customHeight="1">
      <c r="A7045" s="1">
        <v>7521.0</v>
      </c>
      <c r="B7045" s="3" t="s">
        <v>6773</v>
      </c>
      <c r="C7045" s="3" t="str">
        <f>IFERROR(__xludf.DUMMYFUNCTION("GOOGLETRANSLATE(B7045,""id"",""en"")"),"['Application', 'Good', 'Bangett', 'Hurry', 'Download']")</f>
        <v>['Application', 'Good', 'Bangett', 'Hurry', 'Download']</v>
      </c>
      <c r="D7045" s="3">
        <v>5.0</v>
      </c>
    </row>
    <row r="7046" ht="15.75" customHeight="1">
      <c r="A7046" s="1">
        <v>7522.0</v>
      </c>
      <c r="B7046" s="3" t="s">
        <v>6774</v>
      </c>
      <c r="C7046" s="3" t="str">
        <f>IFERROR(__xludf.DUMMYFUNCTION("GOOGLETRANSLATE(B7046,""id"",""en"")"),"['Gada', 'Star', 'Bintang', 'Looks',' Blom ',' Pantes', 'Price', 'Expensive', 'Bet', 'People', 'Rich', 'Try', ' Thinking ',' people ',' village ',' people ',' well-off ',' expensive ',' bet ',' signal ',' according to ',' price ',' UDH ',' expensive ',' b"&amp;"et ' , 'signal', 'play', 'play', 'sometimes',' good ',' sometimes', 'just', 'get', 'get', 'gabisa', 'dipake', 'quota', ' Unlimited ',' just ',' Dateng ',' and then ',' expensive ',' bet ',' quota ',' monthly ',' unlimited ',' price ',' pass', 'registered'"&amp;", 'selection' , 'just', 'and then', 'expensive', 'bet']")</f>
        <v>['Gada', 'Star', 'Bintang', 'Looks',' Blom ',' Pantes', 'Price', 'Expensive', 'Bet', 'People', 'Rich', 'Try', ' Thinking ',' people ',' village ',' people ',' well-off ',' expensive ',' bet ',' signal ',' according to ',' price ',' UDH ',' expensive ',' bet ' , 'signal', 'play', 'play', 'sometimes',' good ',' sometimes', 'just', 'get', 'get', 'gabisa', 'dipake', 'quota', ' Unlimited ',' just ',' Dateng ',' and then ',' expensive ',' bet ',' quota ',' monthly ',' unlimited ',' price ',' pass', 'registered', 'selection' , 'just', 'and then', 'expensive', 'bet']</v>
      </c>
      <c r="D7046" s="3">
        <v>1.0</v>
      </c>
    </row>
    <row r="7047" ht="15.75" customHeight="1">
      <c r="A7047" s="1">
        <v>7523.0</v>
      </c>
      <c r="B7047" s="3" t="s">
        <v>6775</v>
      </c>
      <c r="C7047" s="3" t="str">
        <f>IFERROR(__xludf.DUMMYFUNCTION("GOOGLETRANSLATE(B7047,""id"",""en"")"),"['makes it easier', 'choose', 'package', 'internet', 'easy', '']")</f>
        <v>['makes it easier', 'choose', 'package', 'internet', 'easy', '']</v>
      </c>
      <c r="D7047" s="3">
        <v>5.0</v>
      </c>
    </row>
    <row r="7048" ht="15.75" customHeight="1">
      <c r="A7048" s="1">
        <v>7524.0</v>
      </c>
      <c r="B7048" s="3" t="s">
        <v>6776</v>
      </c>
      <c r="C7048" s="3" t="str">
        <f>IFERROR(__xludf.DUMMYFUNCTION("GOOGLETRANSLATE(B7048,""id"",""en"")"),"['', 'open', 'blank', 'white', '']")</f>
        <v>['', 'open', 'blank', 'white', '']</v>
      </c>
      <c r="D7048" s="3">
        <v>1.0</v>
      </c>
    </row>
    <row r="7049" ht="15.75" customHeight="1">
      <c r="A7049" s="1">
        <v>7525.0</v>
      </c>
      <c r="B7049" s="3" t="s">
        <v>6777</v>
      </c>
      <c r="C7049" s="3" t="str">
        <f>IFERROR(__xludf.DUMMYFUNCTION("GOOGLETRANSLATE(B7049,""id"",""en"")"),"['Helping', 'Easy', 'understood', '']")</f>
        <v>['Helping', 'Easy', 'understood', '']</v>
      </c>
      <c r="D7049" s="3">
        <v>5.0</v>
      </c>
    </row>
    <row r="7050" ht="15.75" customHeight="1">
      <c r="A7050" s="1">
        <v>7526.0</v>
      </c>
      <c r="B7050" s="3" t="s">
        <v>6778</v>
      </c>
      <c r="C7050" s="3" t="str">
        <f>IFERROR(__xludf.DUMMYFUNCTION("GOOGLETRANSLATE(B7050,""id"",""en"")"),"['Combonya', 'Different', 'Different', 'Price', 'Card', '']")</f>
        <v>['Combonya', 'Different', 'Different', 'Price', 'Card', '']</v>
      </c>
      <c r="D7050" s="3">
        <v>5.0</v>
      </c>
    </row>
    <row r="7051" ht="15.75" customHeight="1">
      <c r="A7051" s="1">
        <v>7528.0</v>
      </c>
      <c r="B7051" s="3" t="s">
        <v>6779</v>
      </c>
      <c r="C7051" s="3" t="str">
        <f>IFERROR(__xludf.DUMMYFUNCTION("GOOGLETRANSLATE(B7051,""id"",""en"")"),"['updated', 'BSA', 'opened', 'Dri', 'Morning', 'GMN', 'NOT', 'Bagus', 'bother', ""]")</f>
        <v>['updated', 'BSA', 'opened', 'Dri', 'Morning', 'GMN', 'NOT', 'Bagus', 'bother', "]</v>
      </c>
      <c r="D7051" s="3">
        <v>1.0</v>
      </c>
    </row>
    <row r="7052" ht="15.75" customHeight="1">
      <c r="A7052" s="1">
        <v>7529.0</v>
      </c>
      <c r="B7052" s="3" t="s">
        <v>6780</v>
      </c>
      <c r="C7052" s="3" t="str">
        <f>IFERROR(__xludf.DUMMYFUNCTION("GOOGLETRANSLATE(B7052,""id"",""en"")"),"['Love', 'price', 'responsibility', 'responsibility', 'lose', 'IM', '']")</f>
        <v>['Love', 'price', 'responsibility', 'responsibility', 'lose', 'IM', '']</v>
      </c>
      <c r="D7052" s="3">
        <v>4.0</v>
      </c>
    </row>
    <row r="7053" ht="15.75" customHeight="1">
      <c r="A7053" s="1">
        <v>7530.0</v>
      </c>
      <c r="B7053" s="3" t="s">
        <v>6781</v>
      </c>
      <c r="C7053" s="3" t="str">
        <f>IFERROR(__xludf.DUMMYFUNCTION("GOOGLETRANSLATE(B7053,""id"",""en"")"),"['Telkomsel', 'signal', 'sad', 'good', 'signal', 'emotion', '']")</f>
        <v>['Telkomsel', 'signal', 'sad', 'good', 'signal', 'emotion', '']</v>
      </c>
      <c r="D7053" s="3">
        <v>1.0</v>
      </c>
    </row>
    <row r="7054" ht="15.75" customHeight="1">
      <c r="A7054" s="1">
        <v>7531.0</v>
      </c>
      <c r="B7054" s="3" t="s">
        <v>6782</v>
      </c>
      <c r="C7054" s="3" t="str">
        <f>IFERROR(__xludf.DUMMYFUNCTION("GOOGLETRANSLATE(B7054,""id"",""en"")"),"['Network', 'bad', 'pulse', 'run out', 'quota', 'knp', 'pulse', 'suck']")</f>
        <v>['Network', 'bad', 'pulse', 'run out', 'quota', 'knp', 'pulse', 'suck']</v>
      </c>
      <c r="D7054" s="3">
        <v>1.0</v>
      </c>
    </row>
    <row r="7055" ht="15.75" customHeight="1">
      <c r="A7055" s="1">
        <v>7532.0</v>
      </c>
      <c r="B7055" s="3" t="s">
        <v>6783</v>
      </c>
      <c r="C7055" s="3" t="str">
        <f>IFERROR(__xludf.DUMMYFUNCTION("GOOGLETRANSLATE(B7055,""id"",""en"")"),"['', 'Tlkom', 'please', 'package', 'expensive', 'signal', 'destroyed', 'really', 'Jawq', 'Timuran']")</f>
        <v>['', 'Tlkom', 'please', 'package', 'expensive', 'signal', 'destroyed', 'really', 'Jawq', 'Timuran']</v>
      </c>
      <c r="D7055" s="3">
        <v>1.0</v>
      </c>
    </row>
    <row r="7056" ht="15.75" customHeight="1">
      <c r="A7056" s="1">
        <v>7533.0</v>
      </c>
      <c r="B7056" s="3" t="s">
        <v>6784</v>
      </c>
      <c r="C7056" s="3" t="str">
        <f>IFERROR(__xludf.DUMMYFUNCTION("GOOGLETRANSLATE(B7056,""id"",""en"")"),"['application', 'iOS', 'Android', 'already', 'many years', 'application', 'contents', 'quota']")</f>
        <v>['application', 'iOS', 'Android', 'already', 'many years', 'application', 'contents', 'quota']</v>
      </c>
      <c r="D7056" s="3">
        <v>1.0</v>
      </c>
    </row>
    <row r="7057" ht="15.75" customHeight="1">
      <c r="A7057" s="1">
        <v>7534.0</v>
      </c>
      <c r="B7057" s="3" t="s">
        <v>6785</v>
      </c>
      <c r="C7057" s="3" t="str">
        <f>IFERROR(__xludf.DUMMYFUNCTION("GOOGLETRANSLATE(B7057,""id"",""en"")"),"['Since', 'update', 'quota', 'silver', 'gamesmax', 'reduced', 'quota', 'please', 'Telkomsel', 'quota', 'gamesmax', 'plumpss',' very', '']")</f>
        <v>['Since', 'update', 'quota', 'silver', 'gamesmax', 'reduced', 'quota', 'please', 'Telkomsel', 'quota', 'gamesmax', 'plumpss',' very', '']</v>
      </c>
      <c r="D7057" s="3">
        <v>1.0</v>
      </c>
    </row>
    <row r="7058" ht="15.75" customHeight="1">
      <c r="A7058" s="1">
        <v>7535.0</v>
      </c>
      <c r="B7058" s="3" t="s">
        <v>6786</v>
      </c>
      <c r="C7058" s="3" t="str">
        <f>IFERROR(__xludf.DUMMYFUNCTION("GOOGLETRANSLATE(B7058,""id"",""en"")"),"['Benerin', 'application', 'use', '']")</f>
        <v>['Benerin', 'application', 'use', '']</v>
      </c>
      <c r="D7058" s="3">
        <v>1.0</v>
      </c>
    </row>
    <row r="7059" ht="15.75" customHeight="1">
      <c r="A7059" s="1">
        <v>7536.0</v>
      </c>
      <c r="B7059" s="3" t="s">
        <v>6787</v>
      </c>
      <c r="C7059" s="3" t="str">
        <f>IFERROR(__xludf.DUMMYFUNCTION("GOOGLETRANSLATE(B7059,""id"",""en"")"),"['Already', 'Open', 'Applikasinyah', 'Screen', 'Whiteh', 'Ajah', 'Severe', 'Very', ""]")</f>
        <v>['Already', 'Open', 'Applikasinyah', 'Screen', 'Whiteh', 'Ajah', 'Severe', 'Very', "]</v>
      </c>
      <c r="D7059" s="3">
        <v>1.0</v>
      </c>
    </row>
    <row r="7060" ht="15.75" customHeight="1">
      <c r="A7060" s="1">
        <v>7537.0</v>
      </c>
      <c r="B7060" s="3" t="s">
        <v>6788</v>
      </c>
      <c r="C7060" s="3" t="str">
        <f>IFERROR(__xludf.DUMMYFUNCTION("GOOGLETRANSLATE(B7060,""id"",""en"")"),"['Download', 'junk', 'SMS', 'Ad', 'enter', 'SMS', 'Ad', 'Bank', 'Customer', 'Bank', 'tsb', 'disappointing', ' ']")</f>
        <v>['Download', 'junk', 'SMS', 'Ad', 'enter', 'SMS', 'Ad', 'Bank', 'Customer', 'Bank', 'tsb', 'disappointing', ' ']</v>
      </c>
      <c r="D7060" s="3">
        <v>1.0</v>
      </c>
    </row>
    <row r="7061" ht="15.75" customHeight="1">
      <c r="A7061" s="1">
        <v>7538.0</v>
      </c>
      <c r="B7061" s="3" t="s">
        <v>6789</v>
      </c>
      <c r="C7061" s="3" t="str">
        <f>IFERROR(__xludf.DUMMYFUNCTION("GOOGLETRANSLATE(B7061,""id"",""en"")"),"['Overcome', 'Gue', 'Use', 'Application', 'Opened', '']")</f>
        <v>['Overcome', 'Gue', 'Use', 'Application', 'Opened', '']</v>
      </c>
      <c r="D7061" s="3">
        <v>1.0</v>
      </c>
    </row>
    <row r="7062" ht="15.75" customHeight="1">
      <c r="A7062" s="1">
        <v>7539.0</v>
      </c>
      <c r="B7062" s="3" t="s">
        <v>6790</v>
      </c>
      <c r="C7062" s="3" t="str">
        <f>IFERROR(__xludf.DUMMYFUNCTION("GOOGLETRANSLATE(B7062,""id"",""en"")"),"['Severe', 'Application', 'Telkomsel', 'Use', 'Action', 'Admin', 'Telkomsel', 'Delete', 'Appx', 'Play', 'Store', 'Dowload', ' ApplicationX ',' Loss', 'annoyed', 'JOX', '']")</f>
        <v>['Severe', 'Application', 'Telkomsel', 'Use', 'Action', 'Admin', 'Telkomsel', 'Delete', 'Appx', 'Play', 'Store', 'Dowload', ' ApplicationX ',' Loss', 'annoyed', 'JOX', '']</v>
      </c>
      <c r="D7062" s="3">
        <v>1.0</v>
      </c>
    </row>
    <row r="7063" ht="15.75" customHeight="1">
      <c r="A7063" s="1">
        <v>7540.0</v>
      </c>
      <c r="B7063" s="3" t="s">
        <v>6791</v>
      </c>
      <c r="C7063" s="3" t="str">
        <f>IFERROR(__xludf.DUMMYFUNCTION("GOOGLETRANSLATE(B7063,""id"",""en"")"),"['Update', 'Error', 'Opened']")</f>
        <v>['Update', 'Error', 'Opened']</v>
      </c>
      <c r="D7063" s="3">
        <v>1.0</v>
      </c>
    </row>
    <row r="7064" ht="15.75" customHeight="1">
      <c r="A7064" s="1">
        <v>7541.0</v>
      </c>
      <c r="B7064" s="3" t="s">
        <v>6792</v>
      </c>
      <c r="C7064" s="3" t="str">
        <f>IFERROR(__xludf.DUMMYFUNCTION("GOOGLETRANSLATE(B7064,""id"",""en"")"),"['Network', 'Game', 'Mobile', 'Legend', 'Severe', 'Over', 'Fill', 'Quota']")</f>
        <v>['Network', 'Game', 'Mobile', 'Legend', 'Severe', 'Over', 'Fill', 'Quota']</v>
      </c>
      <c r="D7064" s="3">
        <v>1.0</v>
      </c>
    </row>
    <row r="7065" ht="15.75" customHeight="1">
      <c r="A7065" s="1">
        <v>7542.0</v>
      </c>
      <c r="B7065" s="3" t="s">
        <v>6793</v>
      </c>
      <c r="C7065" s="3" t="str">
        <f>IFERROR(__xludf.DUMMYFUNCTION("GOOGLETRANSLATE(B7065,""id"",""en"")"),"['already', 'signal', 'ugly', 'price', 'package', 'expensive', 'signal', 'break up', 'break up', 'proud', 'base', 'noob']")</f>
        <v>['already', 'signal', 'ugly', 'price', 'package', 'expensive', 'signal', 'break up', 'break up', 'proud', 'base', 'noob']</v>
      </c>
      <c r="D7065" s="3">
        <v>1.0</v>
      </c>
    </row>
    <row r="7066" ht="15.75" customHeight="1">
      <c r="A7066" s="1">
        <v>7543.0</v>
      </c>
      <c r="B7066" s="3" t="s">
        <v>6794</v>
      </c>
      <c r="C7066" s="3" t="str">
        <f>IFERROR(__xludf.DUMMYFUNCTION("GOOGLETRANSLATE(B7066,""id"",""en"")"),"['constraints',' network ',' right ',' open ',' application ',' error ',' screen ',' blank ',' transaction ',' difficult ',' delete ',' chance ',' influential ',' Telkomsel ',' famous', 'expensive', 'please', 'fix', 'mslah', 'network', 'transaction', 'use"&amp;"r', 'comfortable', 'disappointed', '']")</f>
        <v>['constraints',' network ',' right ',' open ',' application ',' error ',' screen ',' blank ',' transaction ',' difficult ',' delete ',' chance ',' influential ',' Telkomsel ',' famous', 'expensive', 'please', 'fix', 'mslah', 'network', 'transaction', 'user', 'comfortable', 'disappointed', '']</v>
      </c>
      <c r="D7066" s="3">
        <v>1.0</v>
      </c>
    </row>
    <row r="7067" ht="15.75" customHeight="1">
      <c r="A7067" s="1">
        <v>7544.0</v>
      </c>
      <c r="B7067" s="3" t="s">
        <v>6795</v>
      </c>
      <c r="C7067" s="3" t="str">
        <f>IFERROR(__xludf.DUMMYFUNCTION("GOOGLETRANSLATE(B7067,""id"",""en"")"),"['easy', 'use', 'help', 'business',' work ',' region ',' work ',' wide ',' difficult ',' reach ',' difficult ',' Telkomsel ',' Work ',' Light ',' go ',' keilerah ',' region ',' telephone ',' work ',' easy ',' work ',' difficult ',' travel ',' travel ',' h"&amp;"eavy ' , 'Down', 'hill', 'hill', 'break through', 'meeting', 'Forest', 'Kalimantan', 'Risk', 'Ancomance']")</f>
        <v>['easy', 'use', 'help', 'business',' work ',' region ',' work ',' wide ',' difficult ',' reach ',' difficult ',' Telkomsel ',' Work ',' Light ',' go ',' keilerah ',' region ',' telephone ',' work ',' easy ',' work ',' difficult ',' travel ',' travel ',' heavy ' , 'Down', 'hill', 'hill', 'break through', 'meeting', 'Forest', 'Kalimantan', 'Risk', 'Ancomance']</v>
      </c>
      <c r="D7067" s="3">
        <v>5.0</v>
      </c>
    </row>
    <row r="7068" ht="15.75" customHeight="1">
      <c r="A7068" s="1">
        <v>7545.0</v>
      </c>
      <c r="B7068" s="3" t="s">
        <v>6796</v>
      </c>
      <c r="C7068" s="3" t="str">
        <f>IFERROR(__xludf.DUMMYFUNCTION("GOOGLETRANSLATE(B7068,""id"",""en"")"),"['Sometimes', 'difficult', 'signal', 'stable', 'price', 'package', 'customer', 'loyal', 'Telkomsel']")</f>
        <v>['Sometimes', 'difficult', 'signal', 'stable', 'price', 'package', 'customer', 'loyal', 'Telkomsel']</v>
      </c>
      <c r="D7068" s="3">
        <v>1.0</v>
      </c>
    </row>
    <row r="7069" ht="15.75" customHeight="1">
      <c r="A7069" s="1">
        <v>7546.0</v>
      </c>
      <c r="B7069" s="3" t="s">
        <v>6797</v>
      </c>
      <c r="C7069" s="3" t="str">
        <f>IFERROR(__xludf.DUMMYFUNCTION("GOOGLETRANSLATE(B7069,""id"",""en"")"),"['open', 'stuck', 'blank', 'white', 'already', 'uninstall', 'install', 'times',' contact ',' telegram ',' no ',' choice ',' complaint', '']")</f>
        <v>['open', 'stuck', 'blank', 'white', 'already', 'uninstall', 'install', 'times',' contact ',' telegram ',' no ',' choice ',' complaint', '']</v>
      </c>
      <c r="D7069" s="3">
        <v>1.0</v>
      </c>
    </row>
    <row r="7070" ht="15.75" customHeight="1">
      <c r="A7070" s="1">
        <v>7547.0</v>
      </c>
      <c r="B7070" s="3" t="s">
        <v>6798</v>
      </c>
      <c r="C7070" s="3" t="str">
        <f>IFERROR(__xludf.DUMMYFUNCTION("GOOGLETRANSLATE(B7070,""id"",""en"")"),"['Nda', 'opened', 'PUHH', 'HPUS', 'Bru', 'Download', 'ULANGGG']")</f>
        <v>['Nda', 'opened', 'PUHH', 'HPUS', 'Bru', 'Download', 'ULANGGG']</v>
      </c>
      <c r="D7070" s="3">
        <v>1.0</v>
      </c>
    </row>
    <row r="7071" ht="15.75" customHeight="1">
      <c r="A7071" s="1">
        <v>7548.0</v>
      </c>
      <c r="B7071" s="3" t="s">
        <v>6799</v>
      </c>
      <c r="C7071" s="3" t="str">
        <f>IFERROR(__xludf.DUMMYFUNCTION("GOOGLETRANSLATE(B7071,""id"",""en"")"),"['Application', 'Open', 'Disappointed']")</f>
        <v>['Application', 'Open', 'Disappointed']</v>
      </c>
      <c r="D7071" s="3">
        <v>2.0</v>
      </c>
    </row>
    <row r="7072" ht="15.75" customHeight="1">
      <c r="A7072" s="1">
        <v>7549.0</v>
      </c>
      <c r="B7072" s="3" t="s">
        <v>6800</v>
      </c>
      <c r="C7072" s="3" t="str">
        <f>IFERROR(__xludf.DUMMYFUNCTION("GOOGLETRANSLATE(B7072,""id"",""en"")"),"['', 'Infinix', 'Smart', 'No', 'Bukak', 'Please', 'Help']")</f>
        <v>['', 'Infinix', 'Smart', 'No', 'Bukak', 'Please', 'Help']</v>
      </c>
      <c r="D7072" s="3">
        <v>5.0</v>
      </c>
    </row>
    <row r="7073" ht="15.75" customHeight="1">
      <c r="A7073" s="1">
        <v>7550.0</v>
      </c>
      <c r="B7073" s="3" t="s">
        <v>6801</v>
      </c>
      <c r="C7073" s="3" t="str">
        <f>IFERROR(__xludf.DUMMYFUNCTION("GOOGLETRANSLATE(B7073,""id"",""en"")"),"['difficult', 'user', 'card', 'hello', 'activation', 'mobile', 'banking', 'code', 'otw', 'block', 'sms',' request ',' Send ',' Ribet ',' Provider ',' Bank ']")</f>
        <v>['difficult', 'user', 'card', 'hello', 'activation', 'mobile', 'banking', 'code', 'otw', 'block', 'sms',' request ',' Send ',' Ribet ',' Provider ',' Bank ']</v>
      </c>
      <c r="D7073" s="3">
        <v>1.0</v>
      </c>
    </row>
    <row r="7074" ht="15.75" customHeight="1">
      <c r="A7074" s="1">
        <v>7551.0</v>
      </c>
      <c r="B7074" s="3" t="s">
        <v>6802</v>
      </c>
      <c r="C7074" s="3" t="str">
        <f>IFERROR(__xludf.DUMMYFUNCTION("GOOGLETRANSLATE(B7074,""id"",""en"")"),"['Knp', 'Application', 'MyTelkomsel', 'opened', 'Ribet', 'Customer', 'Disappointing', 'Pelangement', '']")</f>
        <v>['Knp', 'Application', 'MyTelkomsel', 'opened', 'Ribet', 'Customer', 'Disappointing', 'Pelangement', '']</v>
      </c>
      <c r="D7074" s="3">
        <v>1.0</v>
      </c>
    </row>
    <row r="7075" ht="15.75" customHeight="1">
      <c r="A7075" s="1">
        <v>7552.0</v>
      </c>
      <c r="B7075" s="3" t="s">
        <v>6803</v>
      </c>
      <c r="C7075" s="3" t="str">
        <f>IFERROR(__xludf.DUMMYFUNCTION("GOOGLETRANSLATE(B7075,""id"",""en"")"),"['Steady', 'smooth', 'signal']")</f>
        <v>['Steady', 'smooth', 'signal']</v>
      </c>
      <c r="D7075" s="3">
        <v>5.0</v>
      </c>
    </row>
    <row r="7076" ht="15.75" customHeight="1">
      <c r="A7076" s="1">
        <v>7553.0</v>
      </c>
      <c r="B7076" s="3" t="s">
        <v>6804</v>
      </c>
      <c r="C7076" s="3" t="str">
        <f>IFERROR(__xludf.DUMMYFUNCTION("GOOGLETRANSLATE(B7076,""id"",""en"")"),"['AHIR', 'AHIR', 'Network', 'stable']")</f>
        <v>['AHIR', 'AHIR', 'Network', 'stable']</v>
      </c>
      <c r="D7076" s="3">
        <v>1.0</v>
      </c>
    </row>
    <row r="7077" ht="15.75" customHeight="1">
      <c r="A7077" s="1">
        <v>7554.0</v>
      </c>
      <c r="B7077" s="3" t="s">
        <v>6805</v>
      </c>
      <c r="C7077" s="3" t="str">
        <f>IFERROR(__xludf.DUMMYFUNCTION("GOOGLETRANSLATE(B7077,""id"",""en"")"),"['Telkomsel', 'Sinyal', 'already', 'Glow', 'Uda', 'Dead', 'Please', 'Increase']")</f>
        <v>['Telkomsel', 'Sinyal', 'already', 'Glow', 'Uda', 'Dead', 'Please', 'Increase']</v>
      </c>
      <c r="D7077" s="3">
        <v>1.0</v>
      </c>
    </row>
    <row r="7078" ht="15.75" customHeight="1">
      <c r="A7078" s="1">
        <v>7555.0</v>
      </c>
      <c r="B7078" s="3" t="s">
        <v>6806</v>
      </c>
      <c r="C7078" s="3" t="str">
        <f>IFERROR(__xludf.DUMMYFUNCTION("GOOGLETRANSLATE(B7078,""id"",""en"")"),"['application', 'open', 'just', 'blank', 'white', 'doang', 'disappointed', 'severe']")</f>
        <v>['application', 'open', 'just', 'blank', 'white', 'doang', 'disappointed', 'severe']</v>
      </c>
      <c r="D7078" s="3">
        <v>1.0</v>
      </c>
    </row>
    <row r="7079" ht="15.75" customHeight="1">
      <c r="A7079" s="1">
        <v>7556.0</v>
      </c>
      <c r="B7079" s="3" t="s">
        <v>6807</v>
      </c>
      <c r="C7079" s="3" t="str">
        <f>IFERROR(__xludf.DUMMYFUNCTION("GOOGLETRANSLATE(B7079,""id"",""en"")"),"['Please', 'Level', '']")</f>
        <v>['Please', 'Level', '']</v>
      </c>
      <c r="D7079" s="3">
        <v>5.0</v>
      </c>
    </row>
    <row r="7080" ht="15.75" customHeight="1">
      <c r="A7080" s="1">
        <v>7557.0</v>
      </c>
      <c r="B7080" s="3" t="s">
        <v>6808</v>
      </c>
      <c r="C7080" s="3" t="str">
        <f>IFERROR(__xludf.DUMMYFUNCTION("GOOGLETRANSLATE(B7080,""id"",""en"")"),"['Assalamuallaikum', 'Try', 'inform "",' update ',' tan ',' the application ',' ngebug ',""]")</f>
        <v>['Assalamuallaikum', 'Try', 'inform ",' update ',' tan ',' the application ',' ngebug ',"]</v>
      </c>
      <c r="D7080" s="3">
        <v>1.0</v>
      </c>
    </row>
    <row r="7081" ht="15.75" customHeight="1">
      <c r="A7081" s="1">
        <v>7558.0</v>
      </c>
      <c r="B7081" s="3" t="s">
        <v>6809</v>
      </c>
      <c r="C7081" s="3" t="str">
        <f>IFERROR(__xludf.DUMMYFUNCTION("GOOGLETRANSLATE(B7081,""id"",""en"")"),"['Severe', 'nich', 'application', 'already', 'times',' download ',' times', 'delete', 'Jga', 'Tetep', 'BZA', 'open', ' Slalu ',' blank ',' screen ',' white ']")</f>
        <v>['Severe', 'nich', 'application', 'already', 'times',' download ',' times', 'delete', 'Jga', 'Tetep', 'BZA', 'open', ' Slalu ',' blank ',' screen ',' white ']</v>
      </c>
      <c r="D7081" s="3">
        <v>2.0</v>
      </c>
    </row>
    <row r="7082" ht="15.75" customHeight="1">
      <c r="A7082" s="1">
        <v>7559.0</v>
      </c>
      <c r="B7082" s="3" t="s">
        <v>6810</v>
      </c>
      <c r="C7082" s="3" t="str">
        <f>IFERROR(__xludf.DUMMYFUNCTION("GOOGLETRANSLATE(B7082,""id"",""en"")"),"['The application', 'difficult', 'opened', 'need', 'go', 'the network', 'slow', 'really', 'comparable', 'price', 'quota', 'fair', ' expensive']")</f>
        <v>['The application', 'difficult', 'opened', 'need', 'go', 'the network', 'slow', 'really', 'comparable', 'price', 'quota', 'fair', ' expensive']</v>
      </c>
      <c r="D7082" s="3">
        <v>1.0</v>
      </c>
    </row>
    <row r="7083" ht="15.75" customHeight="1">
      <c r="A7083" s="1">
        <v>7560.0</v>
      </c>
      <c r="B7083" s="3" t="s">
        <v>6811</v>
      </c>
      <c r="C7083" s="3" t="str">
        <f>IFERROR(__xludf.DUMMYFUNCTION("GOOGLETRANSLATE(B7083,""id"",""en"")"),"['evaluation']")</f>
        <v>['evaluation']</v>
      </c>
      <c r="D7083" s="3">
        <v>5.0</v>
      </c>
    </row>
    <row r="7084" ht="15.75" customHeight="1">
      <c r="A7084" s="1">
        <v>7561.0</v>
      </c>
      <c r="B7084" s="3" t="s">
        <v>6812</v>
      </c>
      <c r="C7084" s="3" t="str">
        <f>IFERROR(__xludf.DUMMYFUNCTION("GOOGLETRANSLATE(B7084,""id"",""en"")"),"['Cheap', 'festive', 'easy']")</f>
        <v>['Cheap', 'festive', 'easy']</v>
      </c>
      <c r="D7084" s="3">
        <v>5.0</v>
      </c>
    </row>
    <row r="7085" ht="15.75" customHeight="1">
      <c r="A7085" s="1">
        <v>7562.0</v>
      </c>
      <c r="B7085" s="3" t="s">
        <v>619</v>
      </c>
      <c r="C7085" s="3" t="str">
        <f>IFERROR(__xludf.DUMMYFUNCTION("GOOGLETRANSLATE(B7085,""id"",""en"")"),"['Good', 'help']")</f>
        <v>['Good', 'help']</v>
      </c>
      <c r="D7085" s="3">
        <v>5.0</v>
      </c>
    </row>
    <row r="7086" ht="15.75" customHeight="1">
      <c r="A7086" s="1">
        <v>7563.0</v>
      </c>
      <c r="B7086" s="3" t="s">
        <v>6813</v>
      </c>
      <c r="C7086" s="3" t="str">
        <f>IFERROR(__xludf.DUMMYFUNCTION("GOOGLETRANSLATE(B7086,""id"",""en"")"),"['Increase', 'hope', 'success']")</f>
        <v>['Increase', 'hope', 'success']</v>
      </c>
      <c r="D7086" s="3">
        <v>5.0</v>
      </c>
    </row>
    <row r="7087" ht="15.75" customHeight="1">
      <c r="A7087" s="1">
        <v>7564.0</v>
      </c>
      <c r="B7087" s="3" t="s">
        <v>6814</v>
      </c>
      <c r="C7087" s="3" t="str">
        <f>IFERROR(__xludf.DUMMYFUNCTION("GOOGLETRANSLATE(B7087,""id"",""en"")"),"['Raisoh', 'Bukak', 'njirr']")</f>
        <v>['Raisoh', 'Bukak', 'njirr']</v>
      </c>
      <c r="D7087" s="3">
        <v>1.0</v>
      </c>
    </row>
    <row r="7088" ht="15.75" customHeight="1">
      <c r="A7088" s="1">
        <v>7565.0</v>
      </c>
      <c r="B7088" s="3" t="s">
        <v>6815</v>
      </c>
      <c r="C7088" s="3" t="str">
        <f>IFERROR(__xludf.DUMMYFUNCTION("GOOGLETRANSLATE(B7088,""id"",""en"")"),"['Pay', 'expensive', 'expensive', 'dible', 'little', 'signal', 'ugly', 'trs',' tomorrow ',' dipake ',' quota ',' namany ',' Nipu ',' org ',' lucky ',' money ',' vain ',' vain ',' buy ',' quota ',' cheat ',' org ',' trs', 'tasty', 'really' , 'indeed']")</f>
        <v>['Pay', 'expensive', 'expensive', 'dible', 'little', 'signal', 'ugly', 'trs',' tomorrow ',' dipake ',' quota ',' namany ',' Nipu ',' org ',' lucky ',' money ',' vain ',' vain ',' buy ',' quota ',' cheat ',' org ',' trs', 'tasty', 'really' , 'indeed']</v>
      </c>
      <c r="D7088" s="3">
        <v>1.0</v>
      </c>
    </row>
    <row r="7089" ht="15.75" customHeight="1">
      <c r="A7089" s="1">
        <v>7566.0</v>
      </c>
      <c r="B7089" s="3" t="s">
        <v>6816</v>
      </c>
      <c r="C7089" s="3" t="str">
        <f>IFERROR(__xludf.DUMMYFUNCTION("GOOGLETRANSLATE(B7089,""id"",""en"")"),"['Telkomsel', 'Sometimes', 'Rada', 'Package', 'bought']")</f>
        <v>['Telkomsel', 'Sometimes', 'Rada', 'Package', 'bought']</v>
      </c>
      <c r="D7089" s="3">
        <v>1.0</v>
      </c>
    </row>
    <row r="7090" ht="15.75" customHeight="1">
      <c r="A7090" s="1">
        <v>7567.0</v>
      </c>
      <c r="B7090" s="3" t="s">
        <v>6817</v>
      </c>
      <c r="C7090" s="3" t="str">
        <f>IFERROR(__xludf.DUMMYFUNCTION("GOOGLETRANSLATE(B7090,""id"",""en"")"),"['Sorry', 'Application', 'Telkomsel', 'Open', 'Disappointed', 'Application', '']")</f>
        <v>['Sorry', 'Application', 'Telkomsel', 'Open', 'Disappointed', 'Application', '']</v>
      </c>
      <c r="D7090" s="3">
        <v>1.0</v>
      </c>
    </row>
    <row r="7091" ht="15.75" customHeight="1">
      <c r="A7091" s="1">
        <v>7568.0</v>
      </c>
      <c r="B7091" s="3" t="s">
        <v>6818</v>
      </c>
      <c r="C7091" s="3" t="str">
        <f>IFERROR(__xludf.DUMMYFUNCTION("GOOGLETRANSLATE(B7091,""id"",""en"")"),"['', 'bmget', 'sya', 'likes']")</f>
        <v>['', 'bmget', 'sya', 'likes']</v>
      </c>
      <c r="D7091" s="3">
        <v>5.0</v>
      </c>
    </row>
    <row r="7092" ht="15.75" customHeight="1">
      <c r="A7092" s="1">
        <v>7569.0</v>
      </c>
      <c r="B7092" s="3" t="s">
        <v>6819</v>
      </c>
      <c r="C7092" s="3" t="str">
        <f>IFERROR(__xludf.DUMMYFUNCTION("GOOGLETRANSLATE(B7092,""id"",""en"")"),"['Card', 'SIM', 'NDA', 'SIM', 'Safe', 'Safe', 'Center', 'Help', 'Confused', 'Hadaahh']")</f>
        <v>['Card', 'SIM', 'NDA', 'SIM', 'Safe', 'Safe', 'Center', 'Help', 'Confused', 'Hadaahh']</v>
      </c>
      <c r="D7092" s="3">
        <v>1.0</v>
      </c>
    </row>
    <row r="7093" ht="15.75" customHeight="1">
      <c r="A7093" s="1">
        <v>7570.0</v>
      </c>
      <c r="B7093" s="3" t="s">
        <v>6820</v>
      </c>
      <c r="C7093" s="3" t="str">
        <f>IFERROR(__xludf.DUMMYFUNCTION("GOOGLETRANSLATE(B7093,""id"",""en"")"),"['Errrrr', 'Trusss', 'Please', 'concerned', 'Fix', 'I've,' already ',' KLI ',' Install ',' reset ',' TPI ',' TTP ',' The results', ""]")</f>
        <v>['Errrrr', 'Trusss', 'Please', 'concerned', 'Fix', 'I've,' already ',' KLI ',' Install ',' reset ',' TPI ',' TTP ',' The results', "]</v>
      </c>
      <c r="D7093" s="3">
        <v>1.0</v>
      </c>
    </row>
    <row r="7094" ht="15.75" customHeight="1">
      <c r="A7094" s="1">
        <v>7571.0</v>
      </c>
      <c r="B7094" s="3" t="s">
        <v>6821</v>
      </c>
      <c r="C7094" s="3" t="str">
        <f>IFERROR(__xludf.DUMMYFUNCTION("GOOGLETRANSLATE(B7094,""id"",""en"")"),"['Please', 'Sorry', 'APK', 'Open', 'Mentok', 'Screen', 'White', 'Doang', ""]")</f>
        <v>['Please', 'Sorry', 'APK', 'Open', 'Mentok', 'Screen', 'White', 'Doang', "]</v>
      </c>
      <c r="D7094" s="3">
        <v>2.0</v>
      </c>
    </row>
    <row r="7095" ht="15.75" customHeight="1">
      <c r="A7095" s="1">
        <v>7572.0</v>
      </c>
      <c r="B7095" s="3" t="s">
        <v>6822</v>
      </c>
      <c r="C7095" s="3" t="str">
        <f>IFERROR(__xludf.DUMMYFUNCTION("GOOGLETRANSLATE(B7095,""id"",""en"")"),"['Try', 'love', 'discount', 'purchase', 'quota', 'pulse', 'kek']")</f>
        <v>['Try', 'love', 'discount', 'purchase', 'quota', 'pulse', 'kek']</v>
      </c>
      <c r="D7095" s="3">
        <v>5.0</v>
      </c>
    </row>
    <row r="7096" ht="15.75" customHeight="1">
      <c r="A7096" s="1">
        <v>7573.0</v>
      </c>
      <c r="B7096" s="3" t="s">
        <v>6823</v>
      </c>
      <c r="C7096" s="3" t="str">
        <f>IFERROR(__xludf.DUMMYFUNCTION("GOOGLETRANSLATE(B7096,""id"",""en"")"),"['Enter', 'Telkomsel']")</f>
        <v>['Enter', 'Telkomsel']</v>
      </c>
      <c r="D7096" s="3">
        <v>4.0</v>
      </c>
    </row>
    <row r="7097" ht="15.75" customHeight="1">
      <c r="A7097" s="1">
        <v>7574.0</v>
      </c>
      <c r="B7097" s="3" t="s">
        <v>4546</v>
      </c>
      <c r="C7097" s="3" t="str">
        <f>IFERROR(__xludf.DUMMYFUNCTION("GOOGLETRANSLATE(B7097,""id"",""en"")"),"['satisfied']")</f>
        <v>['satisfied']</v>
      </c>
      <c r="D7097" s="3">
        <v>5.0</v>
      </c>
    </row>
    <row r="7098" ht="15.75" customHeight="1">
      <c r="A7098" s="1">
        <v>7575.0</v>
      </c>
      <c r="B7098" s="3" t="s">
        <v>6824</v>
      </c>
      <c r="C7098" s="3" t="str">
        <f>IFERROR(__xludf.DUMMYFUNCTION("GOOGLETRANSLATE(B7098,""id"",""en"")"),"['application', 'buy', 'package', 'data', 'pulse', 'sent', 'a week', 'notif']")</f>
        <v>['application', 'buy', 'package', 'data', 'pulse', 'sent', 'a week', 'notif']</v>
      </c>
      <c r="D7098" s="3">
        <v>1.0</v>
      </c>
    </row>
    <row r="7099" ht="15.75" customHeight="1">
      <c r="A7099" s="1">
        <v>7576.0</v>
      </c>
      <c r="B7099" s="3" t="s">
        <v>6825</v>
      </c>
      <c r="C7099" s="3" t="str">
        <f>IFERROR(__xludf.DUMMYFUNCTION("GOOGLETRANSLATE(B7099,""id"",""en"")"),"['Hopefully', 'results', 'satisfying', '']")</f>
        <v>['Hopefully', 'results', 'satisfying', '']</v>
      </c>
      <c r="D7099" s="3">
        <v>5.0</v>
      </c>
    </row>
    <row r="7100" ht="15.75" customHeight="1">
      <c r="A7100" s="1">
        <v>7577.0</v>
      </c>
      <c r="B7100" s="3" t="s">
        <v>2047</v>
      </c>
      <c r="C7100" s="3" t="str">
        <f>IFERROR(__xludf.DUMMYFUNCTION("GOOGLETRANSLATE(B7100,""id"",""en"")"),"['Application', 'Telkomsel', 'Open', '']")</f>
        <v>['Application', 'Telkomsel', 'Open', '']</v>
      </c>
      <c r="D7100" s="3">
        <v>3.0</v>
      </c>
    </row>
    <row r="7101" ht="15.75" customHeight="1">
      <c r="A7101" s="1">
        <v>7579.0</v>
      </c>
      <c r="B7101" s="3" t="s">
        <v>6826</v>
      </c>
      <c r="C7101" s="3" t="str">
        <f>IFERROR(__xludf.DUMMYFUNCTION("GOOGLETRANSLATE(B7101,""id"",""en"")"),"['buy', 'quota', 'skrng', 'mngkn', 'internet', 'error', ""]")</f>
        <v>['buy', 'quota', 'skrng', 'mngkn', 'internet', 'error', "]</v>
      </c>
      <c r="D7101" s="3">
        <v>5.0</v>
      </c>
    </row>
    <row r="7102" ht="15.75" customHeight="1">
      <c r="A7102" s="1">
        <v>7581.0</v>
      </c>
      <c r="B7102" s="3" t="s">
        <v>6827</v>
      </c>
      <c r="C7102" s="3" t="str">
        <f>IFERROR(__xludf.DUMMYFUNCTION("GOOGLETRANSLATE(B7102,""id"",""en"")"),"['ugly', 'pooooool', 'open', 'blank', 'then', 'menu', 'paint', 'tekomsel', 'bls', 'response', 'download']")</f>
        <v>['ugly', 'pooooool', 'open', 'blank', 'then', 'menu', 'paint', 'tekomsel', 'bls', 'response', 'download']</v>
      </c>
      <c r="D7102" s="3">
        <v>1.0</v>
      </c>
    </row>
    <row r="7103" ht="15.75" customHeight="1">
      <c r="A7103" s="1">
        <v>7582.0</v>
      </c>
      <c r="B7103" s="3" t="s">
        <v>6828</v>
      </c>
      <c r="C7103" s="3" t="str">
        <f>IFERROR(__xludf.DUMMYFUNCTION("GOOGLETRANSLATE(B7103,""id"",""en"")"),"['many years', 'use', 'Telkomsel', 'times', 'disappointed', 'really', 'class', 'Telkomsel', 'the application', 'use', ""]")</f>
        <v>['many years', 'use', 'Telkomsel', 'times', 'disappointed', 'really', 'class', 'Telkomsel', 'the application', 'use', "]</v>
      </c>
      <c r="D7103" s="3">
        <v>1.0</v>
      </c>
    </row>
    <row r="7104" ht="15.75" customHeight="1">
      <c r="A7104" s="1">
        <v>7583.0</v>
      </c>
      <c r="B7104" s="3" t="s">
        <v>6829</v>
      </c>
      <c r="C7104" s="3" t="str">
        <f>IFERROR(__xludf.DUMMYFUNCTION("GOOGLETRANSLATE(B7104,""id"",""en"")"),"['apk', 'Telkomsel', 'help', 'really', ""]")</f>
        <v>['apk', 'Telkomsel', 'help', 'really', "]</v>
      </c>
      <c r="D7104" s="3">
        <v>5.0</v>
      </c>
    </row>
    <row r="7105" ht="15.75" customHeight="1">
      <c r="A7105" s="1">
        <v>7584.0</v>
      </c>
      <c r="B7105" s="3" t="s">
        <v>6830</v>
      </c>
      <c r="C7105" s="3" t="str">
        <f>IFERROR(__xludf.DUMMYFUNCTION("GOOGLETRANSLATE(B7105,""id"",""en"")"),"['Love', 'discount', '']")</f>
        <v>['Love', 'discount', '']</v>
      </c>
      <c r="D7105" s="3">
        <v>4.0</v>
      </c>
    </row>
    <row r="7106" ht="15.75" customHeight="1">
      <c r="A7106" s="1">
        <v>7585.0</v>
      </c>
      <c r="B7106" s="3" t="s">
        <v>6831</v>
      </c>
      <c r="C7106" s="3" t="str">
        <f>IFERROR(__xludf.DUMMYFUNCTION("GOOGLETRANSLATE(B7106,""id"",""en"")"),"['', 'Telkomsel', 'udha', 'buy', 'package', 'unlimted', 'youtube', 'plz', 'take', 'swear', 'ngeselin']")</f>
        <v>['', 'Telkomsel', 'udha', 'buy', 'package', 'unlimted', 'youtube', 'plz', 'take', 'swear', 'ngeselin']</v>
      </c>
      <c r="D7106" s="3">
        <v>1.0</v>
      </c>
    </row>
    <row r="7107" ht="15.75" customHeight="1">
      <c r="A7107" s="1">
        <v>7586.0</v>
      </c>
      <c r="B7107" s="3" t="s">
        <v>6832</v>
      </c>
      <c r="C7107" s="3" t="str">
        <f>IFERROR(__xludf.DUMMYFUNCTION("GOOGLETRANSLATE(B7107,""id"",""en"")"),"['best service']")</f>
        <v>['best service']</v>
      </c>
      <c r="D7107" s="3">
        <v>4.0</v>
      </c>
    </row>
    <row r="7108" ht="15.75" customHeight="1">
      <c r="A7108" s="1">
        <v>7587.0</v>
      </c>
      <c r="B7108" s="3" t="s">
        <v>3293</v>
      </c>
      <c r="C7108" s="3" t="str">
        <f>IFERROR(__xludf.DUMMYFUNCTION("GOOGLETRANSLATE(B7108,""id"",""en"")"),"['bid', 'interesting']")</f>
        <v>['bid', 'interesting']</v>
      </c>
      <c r="D7108" s="3">
        <v>5.0</v>
      </c>
    </row>
    <row r="7109" ht="15.75" customHeight="1">
      <c r="A7109" s="1">
        <v>7588.0</v>
      </c>
      <c r="B7109" s="3" t="s">
        <v>6833</v>
      </c>
      <c r="C7109" s="3" t="str">
        <f>IFERROR(__xludf.DUMMYFUNCTION("GOOGLETRANSLATE(B7109,""id"",""en"")"),"['package', 'expensive', 'signal', 'cheap', 'lemodnya', 'forgiveness',' telkomselelel ',' telkomselemot ',' star ',' minus', 'love', 'star', ' Minus', '']")</f>
        <v>['package', 'expensive', 'signal', 'cheap', 'lemodnya', 'forgiveness',' telkomselelel ',' telkomselemot ',' star ',' minus', 'love', 'star', ' Minus', '']</v>
      </c>
      <c r="D7109" s="3">
        <v>1.0</v>
      </c>
    </row>
    <row r="7110" ht="15.75" customHeight="1">
      <c r="A7110" s="1">
        <v>7589.0</v>
      </c>
      <c r="B7110" s="3" t="s">
        <v>6834</v>
      </c>
      <c r="C7110" s="3" t="str">
        <f>IFERROR(__xludf.DUMMYFUNCTION("GOOGLETRANSLATE(B7110,""id"",""en"")"),"['update', 'version', 'newest', 'error', 'opened', 'blank', 'white', 'close', ""]")</f>
        <v>['update', 'version', 'newest', 'error', 'opened', 'blank', 'white', 'close', "]</v>
      </c>
      <c r="D7110" s="3">
        <v>1.0</v>
      </c>
    </row>
    <row r="7111" ht="15.75" customHeight="1">
      <c r="A7111" s="1">
        <v>7590.0</v>
      </c>
      <c r="B7111" s="3" t="s">
        <v>6835</v>
      </c>
      <c r="C7111" s="3" t="str">
        <f>IFERROR(__xludf.DUMMYFUNCTION("GOOGLETRANSLATE(B7111,""id"",""en"")"),"['Star', 'satisfying', '']")</f>
        <v>['Star', 'satisfying', '']</v>
      </c>
      <c r="D7111" s="3">
        <v>3.0</v>
      </c>
    </row>
    <row r="7112" ht="15.75" customHeight="1">
      <c r="A7112" s="1">
        <v>7591.0</v>
      </c>
      <c r="B7112" s="3" t="s">
        <v>6836</v>
      </c>
      <c r="C7112" s="3" t="str">
        <f>IFERROR(__xludf.DUMMYFUNCTION("GOOGLETRANSLATE(B7112,""id"",""en"")"),"['process', 'payment', 'smple', 'makes it easy', 'customers', '']")</f>
        <v>['process', 'payment', 'smple', 'makes it easy', 'customers', '']</v>
      </c>
      <c r="D7112" s="3">
        <v>4.0</v>
      </c>
    </row>
    <row r="7113" ht="15.75" customHeight="1">
      <c r="A7113" s="1">
        <v>7592.0</v>
      </c>
      <c r="B7113" s="3" t="s">
        <v>6837</v>
      </c>
      <c r="C7113" s="3" t="str">
        <f>IFERROR(__xludf.DUMMYFUNCTION("GOOGLETRANSLATE(B7113,""id"",""en"")"),"['app', 'jdi', 'open']")</f>
        <v>['app', 'jdi', 'open']</v>
      </c>
      <c r="D7113" s="3">
        <v>1.0</v>
      </c>
    </row>
    <row r="7114" ht="15.75" customHeight="1">
      <c r="A7114" s="1">
        <v>7593.0</v>
      </c>
      <c r="B7114" s="3" t="s">
        <v>6838</v>
      </c>
      <c r="C7114" s="3" t="str">
        <f>IFERROR(__xludf.DUMMYFUNCTION("GOOGLETRANSLATE(B7114,""id"",""en"")"),"['signal', 'kek', 'Koontol', 'buy', 'package', 'expensive', 'expensive', 'signal', 'rich', 'liveloo', 'disappointed', 'buy', ' Paketan ',' expensive ',' reverse ',' pulses', 'komtollll', '']")</f>
        <v>['signal', 'kek', 'Koontol', 'buy', 'package', 'expensive', 'expensive', 'signal', 'rich', 'liveloo', 'disappointed', 'buy', ' Paketan ',' expensive ',' reverse ',' pulses', 'komtollll', '']</v>
      </c>
      <c r="D7114" s="3">
        <v>1.0</v>
      </c>
    </row>
    <row r="7115" ht="15.75" customHeight="1">
      <c r="A7115" s="1">
        <v>7594.0</v>
      </c>
      <c r="B7115" s="3" t="s">
        <v>6839</v>
      </c>
      <c r="C7115" s="3" t="str">
        <f>IFERROR(__xludf.DUMMYFUNCTION("GOOGLETRANSLATE(B7115,""id"",""en"")"),"['Open', 'Application', 'Telkomsel', 'Visit', 'GraPARI', 'Solution', ""]")</f>
        <v>['Open', 'Application', 'Telkomsel', 'Visit', 'GraPARI', 'Solution', "]</v>
      </c>
      <c r="D7115" s="3">
        <v>5.0</v>
      </c>
    </row>
    <row r="7116" ht="15.75" customHeight="1">
      <c r="A7116" s="1">
        <v>7595.0</v>
      </c>
      <c r="B7116" s="3" t="s">
        <v>6840</v>
      </c>
      <c r="C7116" s="3" t="str">
        <f>IFERROR(__xludf.DUMMYFUNCTION("GOOGLETRANSLATE(B7116,""id"",""en"")"),"['Applikasih', 'Bukak', 'as sham', 'uprage', 'version', 'disappointing', '']")</f>
        <v>['Applikasih', 'Bukak', 'as sham', 'uprage', 'version', 'disappointing', '']</v>
      </c>
      <c r="D7116" s="3">
        <v>1.0</v>
      </c>
    </row>
    <row r="7117" ht="15.75" customHeight="1">
      <c r="A7117" s="1">
        <v>7596.0</v>
      </c>
      <c r="B7117" s="3" t="s">
        <v>6841</v>
      </c>
      <c r="C7117" s="3" t="str">
        <f>IFERROR(__xludf.DUMMYFUNCTION("GOOGLETRANSLATE(B7117,""id"",""en"")"),"['Severe', 'Nggk', 'Asked', 'Madih', 'Delicious', 'Version']")</f>
        <v>['Severe', 'Nggk', 'Asked', 'Madih', 'Delicious', 'Version']</v>
      </c>
      <c r="D7117" s="3">
        <v>1.0</v>
      </c>
    </row>
    <row r="7118" ht="15.75" customHeight="1">
      <c r="A7118" s="1">
        <v>7597.0</v>
      </c>
      <c r="B7118" s="3" t="s">
        <v>6842</v>
      </c>
      <c r="C7118" s="3" t="str">
        <f>IFERROR(__xludf.DUMMYFUNCTION("GOOGLETRANSLATE(B7118,""id"",""en"")"),"['rich']")</f>
        <v>['rich']</v>
      </c>
      <c r="D7118" s="3">
        <v>1.0</v>
      </c>
    </row>
    <row r="7119" ht="15.75" customHeight="1">
      <c r="A7119" s="1">
        <v>7598.0</v>
      </c>
      <c r="B7119" s="3" t="s">
        <v>6843</v>
      </c>
      <c r="C7119" s="3" t="str">
        <f>IFERROR(__xludf.DUMMYFUNCTION("GOOGLETRANSLATE(B7119,""id"",""en"")"),"['Service', 'good', 'location', 'signal', 'slow', 'package', 'data', 'program', 'expensive', 'expensive']")</f>
        <v>['Service', 'good', 'location', 'signal', 'slow', 'package', 'data', 'program', 'expensive', 'expensive']</v>
      </c>
      <c r="D7119" s="3">
        <v>4.0</v>
      </c>
    </row>
    <row r="7120" ht="15.75" customHeight="1">
      <c r="A7120" s="1">
        <v>7599.0</v>
      </c>
      <c r="B7120" s="3" t="s">
        <v>6844</v>
      </c>
      <c r="C7120" s="3" t="str">
        <f>IFERROR(__xludf.DUMMYFUNCTION("GOOGLETRANSLATE(B7120,""id"",""en"")"),"['Need', 'Plus', 'Feature', 'Design', 'Mantap']")</f>
        <v>['Need', 'Plus', 'Feature', 'Design', 'Mantap']</v>
      </c>
      <c r="D7120" s="3">
        <v>5.0</v>
      </c>
    </row>
    <row r="7121" ht="15.75" customHeight="1">
      <c r="A7121" s="1">
        <v>7600.0</v>
      </c>
      <c r="B7121" s="3" t="s">
        <v>6845</v>
      </c>
      <c r="C7121" s="3" t="str">
        <f>IFERROR(__xludf.DUMMYFUNCTION("GOOGLETRANSLATE(B7121,""id"",""en"")"),"['price', 'package', 'expensive', 'balanced', 'signal', 'good', 'moved', 'provider']")</f>
        <v>['price', 'package', 'expensive', 'balanced', 'signal', 'good', 'moved', 'provider']</v>
      </c>
      <c r="D7121" s="3">
        <v>2.0</v>
      </c>
    </row>
    <row r="7122" ht="15.75" customHeight="1">
      <c r="A7122" s="1">
        <v>7601.0</v>
      </c>
      <c r="B7122" s="3" t="s">
        <v>6846</v>
      </c>
      <c r="C7122" s="3" t="str">
        <f>IFERROR(__xludf.DUMMYFUNCTION("GOOGLETRANSLATE(B7122,""id"",""en"")"),"['taking', 'gift', 'gift']")</f>
        <v>['taking', 'gift', 'gift']</v>
      </c>
      <c r="D7122" s="3">
        <v>4.0</v>
      </c>
    </row>
    <row r="7123" ht="15.75" customHeight="1">
      <c r="A7123" s="1">
        <v>7602.0</v>
      </c>
      <c r="B7123" s="3" t="s">
        <v>6847</v>
      </c>
      <c r="C7123" s="3" t="str">
        <f>IFERROR(__xludf.DUMMYFUNCTION("GOOGLETRANSLATE(B7123,""id"",""en"")"),"['Telkomsel', 'Cobak', 'Network', 'Damaged', 'Network', 'Network', 'Ngeleg', 'then', '']")</f>
        <v>['Telkomsel', 'Cobak', 'Network', 'Damaged', 'Network', 'Network', 'Ngeleg', 'then', '']</v>
      </c>
      <c r="D7123" s="3">
        <v>1.0</v>
      </c>
    </row>
    <row r="7124" ht="15.75" customHeight="1">
      <c r="A7124" s="1">
        <v>7603.0</v>
      </c>
      <c r="B7124" s="3" t="s">
        <v>6848</v>
      </c>
      <c r="C7124" s="3" t="str">
        <f>IFERROR(__xludf.DUMMYFUNCTION("GOOGLETRANSLATE(B7124,""id"",""en"")"),"['Love', 'Star', 'Karna', 'Application', 'Open']")</f>
        <v>['Love', 'Star', 'Karna', 'Application', 'Open']</v>
      </c>
      <c r="D7124" s="3">
        <v>3.0</v>
      </c>
    </row>
    <row r="7125" ht="15.75" customHeight="1">
      <c r="A7125" s="1">
        <v>7604.0</v>
      </c>
      <c r="B7125" s="3" t="s">
        <v>6849</v>
      </c>
      <c r="C7125" s="3" t="str">
        <f>IFERROR(__xludf.DUMMYFUNCTION("GOOGLETRANSLATE(B7125,""id"",""en"")"),"['Package', 'clin', 'expensive', 'network', 'klen', 'macem', 'taik']")</f>
        <v>['Package', 'clin', 'expensive', 'network', 'klen', 'macem', 'taik']</v>
      </c>
      <c r="D7125" s="3">
        <v>1.0</v>
      </c>
    </row>
    <row r="7126" ht="15.75" customHeight="1">
      <c r="A7126" s="1">
        <v>7605.0</v>
      </c>
      <c r="B7126" s="3" t="s">
        <v>625</v>
      </c>
      <c r="C7126" s="3" t="str">
        <f>IFERROR(__xludf.DUMMYFUNCTION("GOOGLETRANSLATE(B7126,""id"",""en"")"),"['enter', '']")</f>
        <v>['enter', '']</v>
      </c>
      <c r="D7126" s="3">
        <v>1.0</v>
      </c>
    </row>
    <row r="7127" ht="15.75" customHeight="1">
      <c r="A7127" s="1">
        <v>7606.0</v>
      </c>
      <c r="B7127" s="3" t="s">
        <v>6850</v>
      </c>
      <c r="C7127" s="3" t="str">
        <f>IFERROR(__xludf.DUMMYFUNCTION("GOOGLETRANSLATE(B7127,""id"",""en"")"),"['The application', 'good', 'signal', 'ugly', '']")</f>
        <v>['The application', 'good', 'signal', 'ugly', '']</v>
      </c>
      <c r="D7127" s="3">
        <v>1.0</v>
      </c>
    </row>
    <row r="7128" ht="15.75" customHeight="1">
      <c r="A7128" s="1">
        <v>7607.0</v>
      </c>
      <c r="B7128" s="3" t="s">
        <v>6851</v>
      </c>
      <c r="C7128" s="3" t="str">
        <f>IFERROR(__xludf.DUMMYFUNCTION("GOOGLETRANSLATE(B7128,""id"",""en"")"),"['IVEN', 'interesting', 'Points', 'server', 'Good']")</f>
        <v>['IVEN', 'interesting', 'Points', 'server', 'Good']</v>
      </c>
      <c r="D7128" s="3">
        <v>3.0</v>
      </c>
    </row>
    <row r="7129" ht="15.75" customHeight="1">
      <c r="A7129" s="1">
        <v>7608.0</v>
      </c>
      <c r="B7129" s="3" t="s">
        <v>6852</v>
      </c>
      <c r="C7129" s="3" t="str">
        <f>IFERROR(__xludf.DUMMYFUNCTION("GOOGLETRANSLATE(B7129,""id"",""en"")"),"['signal', 'anjnggg', 'play', ""]")</f>
        <v>['signal', 'anjnggg', 'play', "]</v>
      </c>
      <c r="D7129" s="3">
        <v>1.0</v>
      </c>
    </row>
    <row r="7130" ht="15.75" customHeight="1">
      <c r="A7130" s="1">
        <v>7609.0</v>
      </c>
      <c r="B7130" s="3" t="s">
        <v>6853</v>
      </c>
      <c r="C7130" s="3" t="str">
        <f>IFERROR(__xludf.DUMMYFUNCTION("GOOGLETRANSLATE(B7130,""id"",""en"")"),"['network', 'Telkomsel', 'Bogor', 'West', 'rich', 'snail', 'lose', 'operator', 'cave', 'love', 'star', 'admin']")</f>
        <v>['network', 'Telkomsel', 'Bogor', 'West', 'rich', 'snail', 'lose', 'operator', 'cave', 'love', 'star', 'admin']</v>
      </c>
      <c r="D7130" s="3">
        <v>1.0</v>
      </c>
    </row>
    <row r="7131" ht="15.75" customHeight="1">
      <c r="A7131" s="1">
        <v>7610.0</v>
      </c>
      <c r="B7131" s="3" t="s">
        <v>6854</v>
      </c>
      <c r="C7131" s="3" t="str">
        <f>IFERROR(__xludf.DUMMYFUNCTION("GOOGLETRANSLATE(B7131,""id"",""en"")"),"['Clean', 'Network', '']")</f>
        <v>['Clean', 'Network', '']</v>
      </c>
      <c r="D7131" s="3">
        <v>5.0</v>
      </c>
    </row>
    <row r="7132" ht="15.75" customHeight="1">
      <c r="A7132" s="1">
        <v>7611.0</v>
      </c>
      <c r="B7132" s="3" t="s">
        <v>6855</v>
      </c>
      <c r="C7132" s="3" t="str">
        <f>IFERROR(__xludf.DUMMYFUNCTION("GOOGLETRANSLATE(B7132,""id"",""en"")"),"['It's easy', 'use', 'equipped', 'features', 'features', 'easy', 'understood', '']")</f>
        <v>['It's easy', 'use', 'equipped', 'features', 'features', 'easy', 'understood', '']</v>
      </c>
      <c r="D7132" s="3">
        <v>4.0</v>
      </c>
    </row>
    <row r="7133" ht="15.75" customHeight="1">
      <c r="A7133" s="1">
        <v>7612.0</v>
      </c>
      <c r="B7133" s="3" t="s">
        <v>6856</v>
      </c>
      <c r="C7133" s="3" t="str">
        <f>IFERROR(__xludf.DUMMYFUNCTION("GOOGLETRANSLATE(B7133,""id"",""en"")"),"['Brand', 'card', 'telephone', 'handful', 'Indonesia']")</f>
        <v>['Brand', 'card', 'telephone', 'handful', 'Indonesia']</v>
      </c>
      <c r="D7133" s="3">
        <v>5.0</v>
      </c>
    </row>
    <row r="7134" ht="15.75" customHeight="1">
      <c r="A7134" s="1">
        <v>7613.0</v>
      </c>
      <c r="B7134" s="3" t="s">
        <v>6857</v>
      </c>
      <c r="C7134" s="3" t="str">
        <f>IFERROR(__xludf.DUMMYFUNCTION("GOOGLETRANSLATE(B7134,""id"",""en"")"),"['expensive', 'expensive', 'buy', 'counter']")</f>
        <v>['expensive', 'expensive', 'buy', 'counter']</v>
      </c>
      <c r="D7134" s="3">
        <v>1.0</v>
      </c>
    </row>
    <row r="7135" ht="15.75" customHeight="1">
      <c r="A7135" s="1">
        <v>7614.0</v>
      </c>
      <c r="B7135" s="3" t="s">
        <v>6858</v>
      </c>
      <c r="C7135" s="3" t="str">
        <f>IFERROR(__xludf.DUMMYFUNCTION("GOOGLETRANSLATE(B7135,""id"",""en"")"),"['application', 'already', 'updated', 'used', '']")</f>
        <v>['application', 'already', 'updated', 'used', '']</v>
      </c>
      <c r="D7135" s="3">
        <v>3.0</v>
      </c>
    </row>
    <row r="7136" ht="15.75" customHeight="1">
      <c r="A7136" s="1">
        <v>7615.0</v>
      </c>
      <c r="B7136" s="3" t="s">
        <v>6859</v>
      </c>
      <c r="C7136" s="3" t="str">
        <f>IFERROR(__xludf.DUMMYFUNCTION("GOOGLETRANSLATE(B7136,""id"",""en"")"),"['The applications', 'Open', 'MyTelkomsel']")</f>
        <v>['The applications', 'Open', 'MyTelkomsel']</v>
      </c>
      <c r="D7136" s="3">
        <v>5.0</v>
      </c>
    </row>
    <row r="7137" ht="15.75" customHeight="1">
      <c r="A7137" s="1">
        <v>7616.0</v>
      </c>
      <c r="B7137" s="3" t="s">
        <v>6860</v>
      </c>
      <c r="C7137" s="3" t="str">
        <f>IFERROR(__xludf.DUMMYFUNCTION("GOOGLETRANSLATE(B7137,""id"",""en"")"),"['Opened', 'Blank', 'White', 'Ribet', ""]")</f>
        <v>['Opened', 'Blank', 'White', 'Ribet', "]</v>
      </c>
      <c r="D7137" s="3">
        <v>2.0</v>
      </c>
    </row>
    <row r="7138" ht="15.75" customHeight="1">
      <c r="A7138" s="1">
        <v>7617.0</v>
      </c>
      <c r="B7138" s="3" t="s">
        <v>6861</v>
      </c>
      <c r="C7138" s="3" t="str">
        <f>IFERROR(__xludf.DUMMYFUNCTION("GOOGLETRANSLATE(B7138,""id"",""en"")"),"['proud', 'Telkomsel', 'buy', 'pulses',' application ',' Cut ',' Costs', 'Admin', 'Eee', 'He received', 'Cut', 'Double', ' Double ',' Circle ',' Severe ',' Severe ']")</f>
        <v>['proud', 'Telkomsel', 'buy', 'pulses',' application ',' Cut ',' Costs', 'Admin', 'Eee', 'He received', 'Cut', 'Double', ' Double ',' Circle ',' Severe ',' Severe ']</v>
      </c>
      <c r="D7138" s="3">
        <v>2.0</v>
      </c>
    </row>
    <row r="7139" ht="15.75" customHeight="1">
      <c r="A7139" s="1">
        <v>7618.0</v>
      </c>
      <c r="B7139" s="3" t="s">
        <v>6862</v>
      </c>
      <c r="C7139" s="3" t="str">
        <f>IFERROR(__xludf.DUMMYFUNCTION("GOOGLETRANSLATE(B7139,""id"",""en"")"),"['ugly', 'performance', 'person', 'person', 'love', 'star', 'aware', ""]")</f>
        <v>['ugly', 'performance', 'person', 'person', 'love', 'star', 'aware', "]</v>
      </c>
      <c r="D7139" s="3">
        <v>1.0</v>
      </c>
    </row>
    <row r="7140" ht="15.75" customHeight="1">
      <c r="A7140" s="1">
        <v>7619.0</v>
      </c>
      <c r="B7140" s="3" t="s">
        <v>6863</v>
      </c>
      <c r="C7140" s="3" t="str">
        <f>IFERROR(__xludf.DUMMYFUNCTION("GOOGLETRANSLATE(B7140,""id"",""en"")"),"['KSRINGN', 'Update', 'Application', 'TPI', 'Gapernah', 'Update', 'Pnting', 'Kyak', 'Feature', 'Safe', 'Credit', 'Kek', ' JDI ',' Package ',' Out ',' Automatic ',' She ',' Pulses', 'Yes',' Class', 'Team', 'Creative', 'Telkomsel', 'Gaada', 'Kinding' , 'bog"&amp;"ituan', 'UDH', 'brapa', 'times',' Kek ',' Gini ',' TPI ',' KLI ',' SAY ',' SSII ',' Krna ',' Udh ',' Ksianan ',' emng ',' wellow ',' jdi ',' pulse ',' person ',' lngsung ',' abis', 'class',' im ',' already ',' pke ',' safe ' , 'Credit', 'Seblum', 'Safe', "&amp;"'Credit', 'Bar', 'Kyak', 'Telkomsel', 'Gini', 'sucked', 'pulse', 'internet', 'pdhl', ' Telkomsel ',' Provider ',' Top ']")</f>
        <v>['KSRINGN', 'Update', 'Application', 'TPI', 'Gapernah', 'Update', 'Pnting', 'Kyak', 'Feature', 'Safe', 'Credit', 'Kek', ' JDI ',' Package ',' Out ',' Automatic ',' She ',' Pulses', 'Yes',' Class', 'Team', 'Creative', 'Telkomsel', 'Gaada', 'Kinding' , 'bogituan', 'UDH', 'brapa', 'times',' Kek ',' Gini ',' TPI ',' KLI ',' SAY ',' SSII ',' Krna ',' Udh ',' Ksianan ',' emng ',' wellow ',' jdi ',' pulse ',' person ',' lngsung ',' abis', 'class',' im ',' already ',' pke ',' safe ' , 'Credit', 'Seblum', 'Safe', 'Credit', 'Bar', 'Kyak', 'Telkomsel', 'Gini', 'sucked', 'pulse', 'internet', 'pdhl', ' Telkomsel ',' Provider ',' Top ']</v>
      </c>
      <c r="D7140" s="3">
        <v>1.0</v>
      </c>
    </row>
    <row r="7141" ht="15.75" customHeight="1">
      <c r="A7141" s="1">
        <v>7620.0</v>
      </c>
      <c r="B7141" s="3" t="s">
        <v>6864</v>
      </c>
      <c r="C7141" s="3" t="str">
        <f>IFERROR(__xludf.DUMMYFUNCTION("GOOGLETRANSLATE(B7141,""id"",""en"")"),"['difficult', 'hub', 'Telkomsel', 'The network', 'slow', 'expensive', 'slow', 'complained', 'KPD', 'Where', 'groove', 'the story']")</f>
        <v>['difficult', 'hub', 'Telkomsel', 'The network', 'slow', 'expensive', 'slow', 'complained', 'KPD', 'Where', 'groove', 'the story']</v>
      </c>
      <c r="D7141" s="3">
        <v>1.0</v>
      </c>
    </row>
    <row r="7142" ht="15.75" customHeight="1">
      <c r="A7142" s="1">
        <v>7621.0</v>
      </c>
      <c r="B7142" s="3" t="s">
        <v>6865</v>
      </c>
      <c r="C7142" s="3" t="str">
        <f>IFERROR(__xludf.DUMMYFUNCTION("GOOGLETRANSLATE(B7142,""id"",""en"")"),"['Hi', 'Mimin', 'Disappointed', 'BNGET', 'Telkom', 'Debt', 'Package', 'Emergency', 'RB', 'TRS', 'Buy', 'Credit', ' Credit ',' Cut ',' Cok ',' Buy ',' Pas', 'Rain', 'Heavy', ""]")</f>
        <v>['Hi', 'Mimin', 'Disappointed', 'BNGET', 'Telkom', 'Debt', 'Package', 'Emergency', 'RB', 'TRS', 'Buy', 'Credit', ' Credit ',' Cut ',' Cok ',' Buy ',' Pas', 'Rain', 'Heavy', "]</v>
      </c>
      <c r="D7142" s="3">
        <v>1.0</v>
      </c>
    </row>
    <row r="7143" ht="15.75" customHeight="1">
      <c r="A7143" s="1">
        <v>7622.0</v>
      </c>
      <c r="B7143" s="3" t="s">
        <v>6866</v>
      </c>
      <c r="C7143" s="3" t="str">
        <f>IFERROR(__xludf.DUMMYFUNCTION("GOOGLETRANSLATE(B7143,""id"",""en"")"),"['package', 'please', 'changed', 'varies', 'rate', 'price', 'package', 'rb', 'rb', 'shown', 'rb', 'up']")</f>
        <v>['package', 'please', 'changed', 'varies', 'rate', 'price', 'package', 'rb', 'rb', 'shown', 'rb', 'up']</v>
      </c>
      <c r="D7143" s="3">
        <v>4.0</v>
      </c>
    </row>
    <row r="7144" ht="15.75" customHeight="1">
      <c r="A7144" s="1">
        <v>7623.0</v>
      </c>
      <c r="B7144" s="3" t="s">
        <v>6867</v>
      </c>
      <c r="C7144" s="3" t="str">
        <f>IFERROR(__xludf.DUMMYFUNCTION("GOOGLETRANSLATE(B7144,""id"",""en"")"),"['Hopefully', 'Win', 'Lottery', 'Car', 'Telkomsel']")</f>
        <v>['Hopefully', 'Win', 'Lottery', 'Car', 'Telkomsel']</v>
      </c>
      <c r="D7144" s="3">
        <v>5.0</v>
      </c>
    </row>
    <row r="7145" ht="15.75" customHeight="1">
      <c r="A7145" s="1">
        <v>7624.0</v>
      </c>
      <c r="B7145" s="3" t="s">
        <v>6868</v>
      </c>
      <c r="C7145" s="3" t="str">
        <f>IFERROR(__xludf.DUMMYFUNCTION("GOOGLETRANSLATE(B7145,""id"",""en"")"),"['network', 'Telkomsel', 'Kek', 'Sumpa', 'expensive', 'expensive', 'blik', 'mlh', 'network']")</f>
        <v>['network', 'Telkomsel', 'Kek', 'Sumpa', 'expensive', 'expensive', 'blik', 'mlh', 'network']</v>
      </c>
      <c r="D7145" s="3">
        <v>1.0</v>
      </c>
    </row>
    <row r="7146" ht="15.75" customHeight="1">
      <c r="A7146" s="1">
        <v>7625.0</v>
      </c>
      <c r="B7146" s="3" t="s">
        <v>6869</v>
      </c>
      <c r="C7146" s="3" t="str">
        <f>IFERROR(__xludf.DUMMYFUNCTION("GOOGLETRANSLATE(B7146,""id"",""en"")"),"['Nyobain', 'love', 'star', 'that way']")</f>
        <v>['Nyobain', 'love', 'star', 'that way']</v>
      </c>
      <c r="D7146" s="3">
        <v>4.0</v>
      </c>
    </row>
    <row r="7147" ht="15.75" customHeight="1">
      <c r="A7147" s="1">
        <v>7626.0</v>
      </c>
      <c r="B7147" s="3" t="s">
        <v>6870</v>
      </c>
      <c r="C7147" s="3" t="str">
        <f>IFERROR(__xludf.DUMMYFUNCTION("GOOGLETRANSLATE(B7147,""id"",""en"")"),"['Blank', 'White', 'White', 'Screen', 'Reduce', 'Star', 'Gaada', 'Change', '']")</f>
        <v>['Blank', 'White', 'White', 'Screen', 'Reduce', 'Star', 'Gaada', 'Change', '']</v>
      </c>
      <c r="D7147" s="3">
        <v>1.0</v>
      </c>
    </row>
    <row r="7148" ht="15.75" customHeight="1">
      <c r="A7148" s="1">
        <v>7627.0</v>
      </c>
      <c r="B7148" s="3" t="s">
        <v>6871</v>
      </c>
      <c r="C7148" s="3" t="str">
        <f>IFERROR(__xludf.DUMMYFUNCTION("GOOGLETRANSLATE(B7148,""id"",""en"")"),"['Promosinya']")</f>
        <v>['Promosinya']</v>
      </c>
      <c r="D7148" s="3">
        <v>3.0</v>
      </c>
    </row>
    <row r="7149" ht="15.75" customHeight="1">
      <c r="A7149" s="1">
        <v>7628.0</v>
      </c>
      <c r="B7149" s="3" t="s">
        <v>6872</v>
      </c>
      <c r="C7149" s="3" t="str">
        <f>IFERROR(__xludf.DUMMYFUNCTION("GOOGLETRANSLATE(B7149,""id"",""en"")"),"['Network', 'Telkomsel', 'problematic']")</f>
        <v>['Network', 'Telkomsel', 'problematic']</v>
      </c>
      <c r="D7149" s="3">
        <v>1.0</v>
      </c>
    </row>
    <row r="7150" ht="15.75" customHeight="1">
      <c r="A7150" s="1">
        <v>7629.0</v>
      </c>
      <c r="B7150" s="3" t="s">
        <v>2372</v>
      </c>
      <c r="C7150" s="3" t="str">
        <f>IFERROR(__xludf.DUMMYFUNCTION("GOOGLETRANSLATE(B7150,""id"",""en"")"),"['', '']")</f>
        <v>['', '']</v>
      </c>
      <c r="D7150" s="3">
        <v>1.0</v>
      </c>
    </row>
    <row r="7151" ht="15.75" customHeight="1">
      <c r="A7151" s="1">
        <v>7630.0</v>
      </c>
      <c r="B7151" s="3" t="s">
        <v>6873</v>
      </c>
      <c r="C7151" s="3" t="str">
        <f>IFERROR(__xludf.DUMMYFUNCTION("GOOGLETRANSLATE(B7151,""id"",""en"")"),"['application', 'open', 'screen', 'white', 'connection', 'safe', '']")</f>
        <v>['application', 'open', 'screen', 'white', 'connection', 'safe', '']</v>
      </c>
      <c r="D7151" s="3">
        <v>4.0</v>
      </c>
    </row>
    <row r="7152" ht="15.75" customHeight="1">
      <c r="A7152" s="1">
        <v>7631.0</v>
      </c>
      <c r="B7152" s="3" t="s">
        <v>6874</v>
      </c>
      <c r="C7152" s="3" t="str">
        <f>IFERROR(__xludf.DUMMYFUNCTION("GOOGLETRANSLATE(B7152,""id"",""en"")"),"['Telkomsel', 'The network', 'as good', ""]")</f>
        <v>['Telkomsel', 'The network', 'as good', "]</v>
      </c>
      <c r="D7152" s="3">
        <v>4.0</v>
      </c>
    </row>
    <row r="7153" ht="15.75" customHeight="1">
      <c r="A7153" s="1">
        <v>7632.0</v>
      </c>
      <c r="B7153" s="3" t="s">
        <v>6875</v>
      </c>
      <c r="C7153" s="3" t="str">
        <f>IFERROR(__xludf.DUMMYFUNCTION("GOOGLETRANSLATE(B7153,""id"",""en"")"),"['sorry', 'love', 'star', 'buy', 'quota', 'apk', 'telkomsel', 'pulse', 'suck', 'rich', 'cpt', 'fill', ' quota ',' direct ',' sucks', 'loss',' jdi ',' sorry ',' love ',' star ',' ']")</f>
        <v>['sorry', 'love', 'star', 'buy', 'quota', 'apk', 'telkomsel', 'pulse', 'suck', 'rich', 'cpt', 'fill', ' quota ',' direct ',' sucks', 'loss',' jdi ',' sorry ',' love ',' star ',' ']</v>
      </c>
      <c r="D7153" s="3">
        <v>2.0</v>
      </c>
    </row>
    <row r="7154" ht="15.75" customHeight="1">
      <c r="A7154" s="1">
        <v>7634.0</v>
      </c>
      <c r="B7154" s="3" t="s">
        <v>6876</v>
      </c>
      <c r="C7154" s="3" t="str">
        <f>IFERROR(__xludf.DUMMYFUNCTION("GOOGLETRANSLATE(B7154,""id"",""en"")"),"['application', 'help', 'eliminate', 'pulse', 'cut', 'pulse', 'TNP', 'Agreement', 'owner', 'disappointing', '']")</f>
        <v>['application', 'help', 'eliminate', 'pulse', 'cut', 'pulse', 'TNP', 'Agreement', 'owner', 'disappointing', '']</v>
      </c>
      <c r="D7154" s="3">
        <v>1.0</v>
      </c>
    </row>
    <row r="7155" ht="15.75" customHeight="1">
      <c r="A7155" s="1">
        <v>7635.0</v>
      </c>
      <c r="B7155" s="3" t="s">
        <v>6877</v>
      </c>
      <c r="C7155" s="3" t="str">
        <f>IFERROR(__xludf.DUMMYFUNCTION("GOOGLETRANSLATE(B7155,""id"",""en"")"),"['Telkomsel', 'Choke onaaaaaaaaaaaaaaaaaaaaaaaaaaaaaaaaaaaaaaaaaaaaaaaan")</f>
        <v>['Telkomsel', 'Choke onaaaaaaaaaaaaaaaaaaaaaaaaaaaaaaaaaaaaaaaaaaaaaaaan</v>
      </c>
      <c r="D7155" s="3">
        <v>1.0</v>
      </c>
    </row>
    <row r="7156" ht="15.75" customHeight="1">
      <c r="A7156" s="1">
        <v>7636.0</v>
      </c>
      <c r="B7156" s="3" t="s">
        <v>6878</v>
      </c>
      <c r="C7156" s="3" t="str">
        <f>IFERROR(__xludf.DUMMYFUNCTION("GOOGLETRANSLATE(B7156,""id"",""en"")"),"['Download', 'time', 'application', 'ugly', 'karna', 'open']")</f>
        <v>['Download', 'time', 'application', 'ugly', 'karna', 'open']</v>
      </c>
      <c r="D7156" s="3">
        <v>1.0</v>
      </c>
    </row>
    <row r="7157" ht="15.75" customHeight="1">
      <c r="A7157" s="1">
        <v>7637.0</v>
      </c>
      <c r="B7157" s="3" t="s">
        <v>6879</v>
      </c>
      <c r="C7157" s="3" t="str">
        <f>IFERROR(__xludf.DUMMYFUNCTION("GOOGLETRANSLATE(B7157,""id"",""en"")"),"['Star', 'questions', 'Telkomsel', 'go', 'bleng', 'white', '']")</f>
        <v>['Star', 'questions', 'Telkomsel', 'go', 'bleng', 'white', '']</v>
      </c>
      <c r="D7157" s="3">
        <v>1.0</v>
      </c>
    </row>
    <row r="7158" ht="15.75" customHeight="1">
      <c r="A7158" s="1">
        <v>7638.0</v>
      </c>
      <c r="B7158" s="3" t="s">
        <v>6880</v>
      </c>
      <c r="C7158" s="3" t="str">
        <f>IFERROR(__xludf.DUMMYFUNCTION("GOOGLETRANSLATE(B7158,""id"",""en"")"),"['Useful', 'APK', 'Easy', 'Check', 'Data', 'Credit', 'Purchase', 'Package', 'Data', 'Cheap', 'Cheap', 'Package', ' Emergency ',' Increase ']")</f>
        <v>['Useful', 'APK', 'Easy', 'Check', 'Data', 'Credit', 'Purchase', 'Package', 'Data', 'Cheap', 'Cheap', 'Package', ' Emergency ',' Increase ']</v>
      </c>
      <c r="D7158" s="3">
        <v>5.0</v>
      </c>
    </row>
    <row r="7159" ht="15.75" customHeight="1">
      <c r="A7159" s="1">
        <v>7639.0</v>
      </c>
      <c r="B7159" s="3" t="s">
        <v>6881</v>
      </c>
      <c r="C7159" s="3" t="str">
        <f>IFERROR(__xludf.DUMMYFUNCTION("GOOGLETRANSLATE(B7159,""id"",""en"")"),"['Ngak', 'enter', 'account', 'Telkomsel', 'bang']")</f>
        <v>['Ngak', 'enter', 'account', 'Telkomsel', 'bang']</v>
      </c>
      <c r="D7159" s="3">
        <v>3.0</v>
      </c>
    </row>
    <row r="7160" ht="15.75" customHeight="1">
      <c r="A7160" s="1">
        <v>7640.0</v>
      </c>
      <c r="B7160" s="3" t="s">
        <v>6882</v>
      </c>
      <c r="C7160" s="3" t="str">
        <f>IFERROR(__xludf.DUMMYFUNCTION("GOOGLETRANSLATE(B7160,""id"",""en"")"),"['Open', 'Disappointed', 'Application', 'Quota', 'Abis', 'Install', 'Delete', 'Install']")</f>
        <v>['Open', 'Disappointed', 'Application', 'Quota', 'Abis', 'Install', 'Delete', 'Install']</v>
      </c>
      <c r="D7160" s="3">
        <v>1.0</v>
      </c>
    </row>
    <row r="7161" ht="15.75" customHeight="1">
      <c r="A7161" s="1">
        <v>7641.0</v>
      </c>
      <c r="B7161" s="3" t="s">
        <v>6883</v>
      </c>
      <c r="C7161" s="3" t="str">
        <f>IFERROR(__xludf.DUMMYFUNCTION("GOOGLETRANSLATE(B7161,""id"",""en"")"),"['Network', 'bad', 'price', 'package', 'data', 'expensive', '']")</f>
        <v>['Network', 'bad', 'price', 'package', 'data', 'expensive', '']</v>
      </c>
      <c r="D7161" s="3">
        <v>1.0</v>
      </c>
    </row>
    <row r="7162" ht="15.75" customHeight="1">
      <c r="A7162" s="1">
        <v>7642.0</v>
      </c>
      <c r="B7162" s="3" t="s">
        <v>1167</v>
      </c>
      <c r="C7162" s="3" t="str">
        <f>IFERROR(__xludf.DUMMYFUNCTION("GOOGLETRANSLATE(B7162,""id"",""en"")"),"['help']")</f>
        <v>['help']</v>
      </c>
      <c r="D7162" s="3">
        <v>5.0</v>
      </c>
    </row>
    <row r="7163" ht="15.75" customHeight="1">
      <c r="A7163" s="1">
        <v>7643.0</v>
      </c>
      <c r="B7163" s="3" t="s">
        <v>6884</v>
      </c>
      <c r="C7163" s="3" t="str">
        <f>IFERROR(__xludf.DUMMYFUNCTION("GOOGLETRANSLATE(B7163,""id"",""en"")"),"['Hope', 'disappointing', '']")</f>
        <v>['Hope', 'disappointing', '']</v>
      </c>
      <c r="D7163" s="3">
        <v>5.0</v>
      </c>
    </row>
    <row r="7164" ht="15.75" customHeight="1">
      <c r="A7164" s="1">
        <v>7645.0</v>
      </c>
      <c r="B7164" s="3" t="s">
        <v>6885</v>
      </c>
      <c r="C7164" s="3" t="str">
        <f>IFERROR(__xludf.DUMMYFUNCTION("GOOGLETRANSLATE(B7164,""id"",""en"")"),"['signal', 'error', 'City', 'Karawang', 'NGK', 'quota', 'full']")</f>
        <v>['signal', 'error', 'City', 'Karawang', 'NGK', 'quota', 'full']</v>
      </c>
      <c r="D7164" s="3">
        <v>3.0</v>
      </c>
    </row>
    <row r="7165" ht="15.75" customHeight="1">
      <c r="A7165" s="1">
        <v>7646.0</v>
      </c>
      <c r="B7165" s="3" t="s">
        <v>6886</v>
      </c>
      <c r="C7165" s="3" t="str">
        <f>IFERROR(__xludf.DUMMYFUNCTION("GOOGLETRANSLATE(B7165,""id"",""en"")"),"['application', 'update', 'right', 'opened', 'screen', 'white', 'what']")</f>
        <v>['application', 'update', 'right', 'opened', 'screen', 'white', 'what']</v>
      </c>
      <c r="D7165" s="3">
        <v>1.0</v>
      </c>
    </row>
    <row r="7166" ht="15.75" customHeight="1">
      <c r="A7166" s="1">
        <v>7647.0</v>
      </c>
      <c r="B7166" s="3" t="s">
        <v>6887</v>
      </c>
      <c r="C7166" s="3" t="str">
        <f>IFERROR(__xludf.DUMMYFUNCTION("GOOGLETRANSLATE(B7166,""id"",""en"")"),"['Update', 'Open', 'App', 'Tsel', 'Please', 'Class',' Child ',' Company ',' Plat ',' Red ',' Private ',' Looks', ' temple ',' Budek ',' listen ',' complaints', 'customer', 'already', 'a week', 'app', 'accessed']")</f>
        <v>['Update', 'Open', 'App', 'Tsel', 'Please', 'Class',' Child ',' Company ',' Plat ',' Red ',' Private ',' Looks', ' temple ',' Budek ',' listen ',' complaints', 'customer', 'already', 'a week', 'app', 'accessed']</v>
      </c>
      <c r="D7166" s="3">
        <v>1.0</v>
      </c>
    </row>
    <row r="7167" ht="15.75" customHeight="1">
      <c r="A7167" s="1">
        <v>7648.0</v>
      </c>
      <c r="B7167" s="3" t="s">
        <v>6888</v>
      </c>
      <c r="C7167" s="3" t="str">
        <f>IFERROR(__xludf.DUMMYFUNCTION("GOOGLETRANSLATE(B7167,""id"",""en"")"),"['Please', 'right', 'open', 'application', 'my cellphone', '']")</f>
        <v>['Please', 'right', 'open', 'application', 'my cellphone', '']</v>
      </c>
      <c r="D7167" s="3">
        <v>1.0</v>
      </c>
    </row>
    <row r="7168" ht="15.75" customHeight="1">
      <c r="A7168" s="1">
        <v>7650.0</v>
      </c>
      <c r="B7168" s="3" t="s">
        <v>6889</v>
      </c>
      <c r="C7168" s="3" t="str">
        <f>IFERROR(__xludf.DUMMYFUNCTION("GOOGLETRANSLATE(B7168,""id"",""en"")"),"['times', 'Download', 'Open']")</f>
        <v>['times', 'Download', 'Open']</v>
      </c>
      <c r="D7168" s="3">
        <v>1.0</v>
      </c>
    </row>
    <row r="7169" ht="15.75" customHeight="1">
      <c r="A7169" s="1">
        <v>7651.0</v>
      </c>
      <c r="B7169" s="3" t="s">
        <v>6890</v>
      </c>
      <c r="C7169" s="3" t="str">
        <f>IFERROR(__xludf.DUMMYFUNCTION("GOOGLETRANSLATE(B7169,""id"",""en"")"),"['Network', 'slow', 'hope', 'in the future', '']")</f>
        <v>['Network', 'slow', 'hope', 'in the future', '']</v>
      </c>
      <c r="D7169" s="3">
        <v>4.0</v>
      </c>
    </row>
    <row r="7170" ht="15.75" customHeight="1">
      <c r="A7170" s="1">
        <v>7652.0</v>
      </c>
      <c r="B7170" s="3" t="s">
        <v>6891</v>
      </c>
      <c r="C7170" s="3" t="str">
        <f>IFERROR(__xludf.DUMMYFUNCTION("GOOGLETRANSLATE(B7170,""id"",""en"")"),"['Help', 'App', 'MyTelkomsel']")</f>
        <v>['Help', 'App', 'MyTelkomsel']</v>
      </c>
      <c r="D7170" s="3">
        <v>5.0</v>
      </c>
    </row>
    <row r="7171" ht="15.75" customHeight="1">
      <c r="A7171" s="1">
        <v>7653.0</v>
      </c>
      <c r="B7171" s="3" t="s">
        <v>6892</v>
      </c>
      <c r="C7171" s="3" t="str">
        <f>IFERROR(__xludf.DUMMYFUNCTION("GOOGLETRANSLATE(B7171,""id"",""en"")"),"['lust', 'error', 'smooth', 'at the time', 'needed', 'love', 'star']")</f>
        <v>['lust', 'error', 'smooth', 'at the time', 'needed', 'love', 'star']</v>
      </c>
      <c r="D7171" s="3">
        <v>1.0</v>
      </c>
    </row>
    <row r="7172" ht="15.75" customHeight="1">
      <c r="A7172" s="1">
        <v>7654.0</v>
      </c>
      <c r="B7172" s="3" t="s">
        <v>6893</v>
      </c>
      <c r="C7172" s="3" t="str">
        <f>IFERROR(__xludf.DUMMYFUNCTION("GOOGLETRANSLATE(B7172,""id"",""en"")"),"['MAF', 'Bintang', 'Difficult', 'Open', 'Screen', 'White', 'Trusss',' Current ',' Strange ',' Application ',' Gini ',' Benerin ',' Lach ',' Current ']")</f>
        <v>['MAF', 'Bintang', 'Difficult', 'Open', 'Screen', 'White', 'Trusss',' Current ',' Strange ',' Application ',' Gini ',' Benerin ',' Lach ',' Current ']</v>
      </c>
      <c r="D7172" s="3">
        <v>1.0</v>
      </c>
    </row>
    <row r="7173" ht="15.75" customHeight="1">
      <c r="A7173" s="1">
        <v>7655.0</v>
      </c>
      <c r="B7173" s="3" t="s">
        <v>6894</v>
      </c>
      <c r="C7173" s="3" t="str">
        <f>IFERROR(__xludf.DUMMYFUNCTION("GOOGLETRANSLATE(B7173,""id"",""en"")"),"['Cutting', 'pulse', 'main', 'permission', 'quota', 'internet', 'run out']")</f>
        <v>['Cutting', 'pulse', 'main', 'permission', 'quota', 'internet', 'run out']</v>
      </c>
      <c r="D7173" s="3">
        <v>2.0</v>
      </c>
    </row>
    <row r="7174" ht="15.75" customHeight="1">
      <c r="A7174" s="1">
        <v>7656.0</v>
      </c>
      <c r="B7174" s="3" t="s">
        <v>6895</v>
      </c>
      <c r="C7174" s="3" t="str">
        <f>IFERROR(__xludf.DUMMYFUNCTION("GOOGLETRANSLATE(B7174,""id"",""en"")"),"['Signal', 'Disability', 'Admin', 'Copas',' Doang ',' Veronika ',' Telkomsel ',' Leet ',' Call ',' Solution ',' Whatever ',' Telkomsel ',' complaint', '']")</f>
        <v>['Signal', 'Disability', 'Admin', 'Copas',' Doang ',' Veronika ',' Telkomsel ',' Leet ',' Call ',' Solution ',' Whatever ',' Telkomsel ',' complaint', '']</v>
      </c>
      <c r="D7174" s="3">
        <v>1.0</v>
      </c>
    </row>
    <row r="7175" ht="15.75" customHeight="1">
      <c r="A7175" s="1">
        <v>7657.0</v>
      </c>
      <c r="B7175" s="3" t="s">
        <v>6896</v>
      </c>
      <c r="C7175" s="3" t="str">
        <f>IFERROR(__xludf.DUMMYFUNCTION("GOOGLETRANSLATE(B7175,""id"",""en"")"),"['Nape', 'Price', 'Kouta', 'Changed', 'Changed', 'Trus',' Already ',' Jdi ',' Needs', 'State', 'Bisni', 'Satan', ' End ',' Price ',' Kouta ',' RUBA ',' DLIL ',' promotion ',' Hadian ',' Massakat ',' End ',' Need ',' Example ',' Kouta ',' brp ' , 'Naikan',"&amp;" 'Suspuated', 'BBM', 'community', 'stupid', 'stupid', 'chase', 'lucky', 'karwawan', 'Becus',' because ',' System ',' Families', 'friends',' urban ',' jdi ',' linta ', ""]")</f>
        <v>['Nape', 'Price', 'Kouta', 'Changed', 'Changed', 'Trus',' Already ',' Jdi ',' Needs', 'State', 'Bisni', 'Satan', ' End ',' Price ',' Kouta ',' RUBA ',' DLIL ',' promotion ',' Hadian ',' Massakat ',' End ',' Need ',' Example ',' Kouta ',' brp ' , 'Naikan', 'Suspuated', 'BBM', 'community', 'stupid', 'stupid', 'chase', 'lucky', 'karwawan', 'Becus',' because ',' System ',' Families', 'friends',' urban ',' jdi ',' linta ', "]</v>
      </c>
      <c r="D7175" s="3">
        <v>5.0</v>
      </c>
    </row>
    <row r="7176" ht="15.75" customHeight="1">
      <c r="A7176" s="1">
        <v>7658.0</v>
      </c>
      <c r="B7176" s="3" t="s">
        <v>6897</v>
      </c>
      <c r="C7176" s="3" t="str">
        <f>IFERROR(__xludf.DUMMYFUNCTION("GOOGLETRANSLATE(B7176,""id"",""en"")"),"['signal', 'pig']")</f>
        <v>['signal', 'pig']</v>
      </c>
      <c r="D7176" s="3">
        <v>1.0</v>
      </c>
    </row>
    <row r="7177" ht="15.75" customHeight="1">
      <c r="A7177" s="1">
        <v>7659.0</v>
      </c>
      <c r="B7177" s="3" t="s">
        <v>6898</v>
      </c>
      <c r="C7177" s="3" t="str">
        <f>IFERROR(__xludf.DUMMYFUNCTION("GOOGLETRANSLATE(B7177,""id"",""en"")"),"['Severe', 'updated', 'gabisa', 'opened', 'just', 'ngeblank', 'white', 'already', 'dislodial', 'pairs',' times', 'no', ' The difference is', 'card', 'prepaid', 'post', 'pay', 'service']")</f>
        <v>['Severe', 'updated', 'gabisa', 'opened', 'just', 'ngeblank', 'white', 'already', 'dislodial', 'pairs',' times', 'no', ' The difference is', 'card', 'prepaid', 'post', 'pay', 'service']</v>
      </c>
      <c r="D7177" s="3">
        <v>1.0</v>
      </c>
    </row>
    <row r="7178" ht="15.75" customHeight="1">
      <c r="A7178" s="1">
        <v>7660.0</v>
      </c>
      <c r="B7178" s="3" t="s">
        <v>6899</v>
      </c>
      <c r="C7178" s="3" t="str">
        <f>IFERROR(__xludf.DUMMYFUNCTION("GOOGLETRANSLATE(B7178,""id"",""en"")"),"['Assalamualaikum', 'Good', 'application']")</f>
        <v>['Assalamualaikum', 'Good', 'application']</v>
      </c>
      <c r="D7178" s="3">
        <v>5.0</v>
      </c>
    </row>
    <row r="7179" ht="15.75" customHeight="1">
      <c r="A7179" s="1">
        <v>7661.0</v>
      </c>
      <c r="B7179" s="3" t="s">
        <v>6900</v>
      </c>
      <c r="C7179" s="3" t="str">
        <f>IFERROR(__xludf.DUMMYFUNCTION("GOOGLETRANSLATE(B7179,""id"",""en"")"),"['Set', 'Update', 'Blank', 'White', 'Android', ""]")</f>
        <v>['Set', 'Update', 'Blank', 'White', 'Android', "]</v>
      </c>
      <c r="D7179" s="3">
        <v>1.0</v>
      </c>
    </row>
    <row r="7180" ht="15.75" customHeight="1">
      <c r="A7180" s="1">
        <v>7662.0</v>
      </c>
      <c r="B7180" s="3" t="s">
        <v>6901</v>
      </c>
      <c r="C7180" s="3" t="str">
        <f>IFERROR(__xludf.DUMMYFUNCTION("GOOGLETRANSLATE(B7180,""id"",""en"")"),"['The network', 'broke', 'broke', 'aka', 'error', 'Telkomsel', 'knp', 'network', 'good', 'error', 'mulu', 'kloq', ' Gini ',' then ',' Mending ',' Switch ',' ']")</f>
        <v>['The network', 'broke', 'broke', 'aka', 'error', 'Telkomsel', 'knp', 'network', 'good', 'error', 'mulu', 'kloq', ' Gini ',' then ',' Mending ',' Switch ',' ']</v>
      </c>
      <c r="D7180" s="3">
        <v>3.0</v>
      </c>
    </row>
    <row r="7181" ht="15.75" customHeight="1">
      <c r="A7181" s="1">
        <v>7663.0</v>
      </c>
      <c r="B7181" s="3" t="s">
        <v>6902</v>
      </c>
      <c r="C7181" s="3" t="str">
        <f>IFERROR(__xludf.DUMMYFUNCTION("GOOGLETRANSLATE(B7181,""id"",""en"")"),"['Week', 'Open', 'Application', 'Telkomsel', 'Application', 'Normal', 'Please', 'Response', 'Telkomsel', 'Tks', ""]")</f>
        <v>['Week', 'Open', 'Application', 'Telkomsel', 'Application', 'Normal', 'Please', 'Response', 'Telkomsel', 'Tks', "]</v>
      </c>
      <c r="D7181" s="3">
        <v>1.0</v>
      </c>
    </row>
    <row r="7182" ht="15.75" customHeight="1">
      <c r="A7182" s="1">
        <v>7664.0</v>
      </c>
      <c r="B7182" s="3" t="s">
        <v>6903</v>
      </c>
      <c r="C7182" s="3" t="str">
        <f>IFERROR(__xludf.DUMMYFUNCTION("GOOGLETRANSLATE(B7182,""id"",""en"")"),"['Bener', 'the application', 'a week', 'rich', 'that's', '']")</f>
        <v>['Bener', 'the application', 'a week', 'rich', 'that's', '']</v>
      </c>
      <c r="D7182" s="3">
        <v>1.0</v>
      </c>
    </row>
    <row r="7183" ht="15.75" customHeight="1">
      <c r="A7183" s="1">
        <v>7665.0</v>
      </c>
      <c r="B7183" s="3" t="s">
        <v>6904</v>
      </c>
      <c r="C7183" s="3" t="str">
        <f>IFERROR(__xludf.DUMMYFUNCTION("GOOGLETRANSLATE(B7183,""id"",""en"")"),"['The network', 'data', 'fix', 'yaa']")</f>
        <v>['The network', 'data', 'fix', 'yaa']</v>
      </c>
      <c r="D7183" s="3">
        <v>5.0</v>
      </c>
    </row>
    <row r="7184" ht="15.75" customHeight="1">
      <c r="A7184" s="1">
        <v>7666.0</v>
      </c>
      <c r="B7184" s="3" t="s">
        <v>6905</v>
      </c>
      <c r="C7184" s="3" t="str">
        <f>IFERROR(__xludf.DUMMYFUNCTION("GOOGLETRANSLATE(B7184,""id"",""en"")"),"['Please', 'check', 'Move', 'Card', 'Telkomsel', 'device', 'Samsung', 'Galaxy', 'Application', 'Opened', 'Loading', 'Screen', ' White ',' Abis', 'Force', 'Close']")</f>
        <v>['Please', 'check', 'Move', 'Card', 'Telkomsel', 'device', 'Samsung', 'Galaxy', 'Application', 'Opened', 'Loading', 'Screen', ' White ',' Abis', 'Force', 'Close']</v>
      </c>
      <c r="D7184" s="3">
        <v>4.0</v>
      </c>
    </row>
    <row r="7185" ht="15.75" customHeight="1">
      <c r="A7185" s="1">
        <v>7667.0</v>
      </c>
      <c r="B7185" s="3" t="s">
        <v>6906</v>
      </c>
      <c r="C7185" s="3" t="str">
        <f>IFERROR(__xludf.DUMMYFUNCTION("GOOGLETRANSLATE(B7185,""id"",""en"")"),"['Telkom', 'BQBI', 'Dajjal', 'Hendry', 'pig']")</f>
        <v>['Telkom', 'BQBI', 'Dajjal', 'Hendry', 'pig']</v>
      </c>
      <c r="D7185" s="3">
        <v>1.0</v>
      </c>
    </row>
    <row r="7186" ht="15.75" customHeight="1">
      <c r="A7186" s="1">
        <v>7668.0</v>
      </c>
      <c r="B7186" s="3" t="s">
        <v>6907</v>
      </c>
      <c r="C7186" s="3" t="str">
        <f>IFERROR(__xludf.DUMMYFUNCTION("GOOGLETRANSLATE(B7186,""id"",""en"")"),"['Lemot', 'Network', 'Open', 'Application']")</f>
        <v>['Lemot', 'Network', 'Open', 'Application']</v>
      </c>
      <c r="D7186" s="3">
        <v>1.0</v>
      </c>
    </row>
    <row r="7187" ht="15.75" customHeight="1">
      <c r="A7187" s="1">
        <v>7669.0</v>
      </c>
      <c r="B7187" s="3" t="s">
        <v>6908</v>
      </c>
      <c r="C7187" s="3" t="str">
        <f>IFERROR(__xludf.DUMMYFUNCTION("GOOGLETRANSLATE(B7187,""id"",""en"")"),"['buy', 'credit', 'ilang', 'wear', 'pulse', 'Rp', 'internet', 'non', 'package', 'Telkomsel', 'pulses',' lost ',' ']")</f>
        <v>['buy', 'credit', 'ilang', 'wear', 'pulse', 'Rp', 'internet', 'non', 'package', 'Telkomsel', 'pulses',' lost ',' ']</v>
      </c>
      <c r="D7187" s="3">
        <v>1.0</v>
      </c>
    </row>
    <row r="7188" ht="15.75" customHeight="1">
      <c r="A7188" s="1">
        <v>7670.0</v>
      </c>
      <c r="B7188" s="3" t="s">
        <v>6909</v>
      </c>
      <c r="C7188" s="3" t="str">
        <f>IFERROR(__xludf.DUMMYFUNCTION("GOOGLETRANSLATE(B7188,""id"",""en"")"),"['skarang', 'open', 'Telkomsel', 'difficult', 'Bener', '']")</f>
        <v>['skarang', 'open', 'Telkomsel', 'difficult', 'Bener', '']</v>
      </c>
      <c r="D7188" s="3">
        <v>2.0</v>
      </c>
    </row>
    <row r="7189" ht="15.75" customHeight="1">
      <c r="A7189" s="1">
        <v>7671.0</v>
      </c>
      <c r="B7189" s="3" t="s">
        <v>6910</v>
      </c>
      <c r="C7189" s="3" t="str">
        <f>IFERROR(__xludf.DUMMYFUNCTION("GOOGLETRANSLATE(B7189,""id"",""en"")"),"['Application', 'interesting']")</f>
        <v>['Application', 'interesting']</v>
      </c>
      <c r="D7189" s="3">
        <v>5.0</v>
      </c>
    </row>
    <row r="7190" ht="15.75" customHeight="1">
      <c r="A7190" s="1">
        <v>7673.0</v>
      </c>
      <c r="B7190" s="3" t="s">
        <v>6911</v>
      </c>
      <c r="C7190" s="3" t="str">
        <f>IFERROR(__xludf.DUMMYFUNCTION("GOOGLETRANSLATE(B7190,""id"",""en"")"),"['price', 'expensive', 'signal', 'ugly', 'really', 'right', 'rain', 'disappointed', 'user', 'card', 'sympathy']")</f>
        <v>['price', 'expensive', 'signal', 'ugly', 'really', 'right', 'rain', 'disappointed', 'user', 'card', 'sympathy']</v>
      </c>
      <c r="D7190" s="3">
        <v>1.0</v>
      </c>
    </row>
    <row r="7191" ht="15.75" customHeight="1">
      <c r="A7191" s="1">
        <v>7674.0</v>
      </c>
      <c r="B7191" s="3" t="s">
        <v>6912</v>
      </c>
      <c r="C7191" s="3" t="str">
        <f>IFERROR(__xludf.DUMMYFUNCTION("GOOGLETRANSLATE(B7191,""id"",""en"")"),"['Accurate', 'fast', 'cheap']")</f>
        <v>['Accurate', 'fast', 'cheap']</v>
      </c>
      <c r="D7191" s="3">
        <v>5.0</v>
      </c>
    </row>
    <row r="7192" ht="15.75" customHeight="1">
      <c r="A7192" s="1">
        <v>7675.0</v>
      </c>
      <c r="B7192" s="3" t="s">
        <v>6913</v>
      </c>
      <c r="C7192" s="3" t="str">
        <f>IFERROR(__xludf.DUMMYFUNCTION("GOOGLETRANSLATE(B7192,""id"",""en"")"),"['slow', 'signal', 'pay', 'late', 'use', 'post', 'pay', 'category', 'good', 'how', 'decline', 'quality', ' Please ',' Enhanced '' Service ']")</f>
        <v>['slow', 'signal', 'pay', 'late', 'use', 'post', 'pay', 'category', 'good', 'how', 'decline', 'quality', ' Please ',' Enhanced '' Service ']</v>
      </c>
      <c r="D7192" s="3">
        <v>1.0</v>
      </c>
    </row>
    <row r="7193" ht="15.75" customHeight="1">
      <c r="A7193" s="1">
        <v>7676.0</v>
      </c>
      <c r="B7193" s="3" t="s">
        <v>6914</v>
      </c>
      <c r="C7193" s="3" t="str">
        <f>IFERROR(__xludf.DUMMYFUNCTION("GOOGLETRANSLATE(B7193,""id"",""en"")"),"['check', 'riview', 'experience', 'application', 'blank', 'white', 'opened', '']")</f>
        <v>['check', 'riview', 'experience', 'application', 'blank', 'white', 'opened', '']</v>
      </c>
      <c r="D7193" s="3">
        <v>1.0</v>
      </c>
    </row>
    <row r="7194" ht="15.75" customHeight="1">
      <c r="A7194" s="1">
        <v>7677.0</v>
      </c>
      <c r="B7194" s="3" t="s">
        <v>6915</v>
      </c>
      <c r="C7194" s="3" t="str">
        <f>IFERROR(__xludf.DUMMYFUNCTION("GOOGLETRANSLATE(B7194,""id"",""en"")"),"['Telkomsel', 'price', 'package', 'edge', 'service', 'kayak', 'oak', 'should', 'pakek', 'expensive', 'service', 'good', ' Beautiful ',' expensive ',' Bukak ',' Google ',' intention ',' Kadi ',' card ',' Indo ',' Better ',' Pensi ',' Telkomsel ']")</f>
        <v>['Telkomsel', 'price', 'package', 'edge', 'service', 'kayak', 'oak', 'should', 'pakek', 'expensive', 'service', 'good', ' Beautiful ',' expensive ',' Bukak ',' Google ',' intention ',' Kadi ',' card ',' Indo ',' Better ',' Pensi ',' Telkomsel ']</v>
      </c>
      <c r="D7194" s="3">
        <v>1.0</v>
      </c>
    </row>
    <row r="7195" ht="15.75" customHeight="1">
      <c r="A7195" s="1">
        <v>7678.0</v>
      </c>
      <c r="B7195" s="3" t="s">
        <v>6916</v>
      </c>
      <c r="C7195" s="3" t="str">
        <f>IFERROR(__xludf.DUMMYFUNCTION("GOOGLETRANSLATE(B7195,""id"",""en"")"),"['Enter', 'Telkomsel', 'Uninstall', 'Install', 'reset', 'Tetep', 'Displays', 'Blank', 'Scren', 'Color', 'White', ""]")</f>
        <v>['Enter', 'Telkomsel', 'Uninstall', 'Install', 'reset', 'Tetep', 'Displays', 'Blank', 'Scren', 'Color', 'White', "]</v>
      </c>
      <c r="D7195" s="3">
        <v>2.0</v>
      </c>
    </row>
    <row r="7196" ht="15.75" customHeight="1">
      <c r="A7196" s="1">
        <v>7679.0</v>
      </c>
      <c r="B7196" s="3" t="s">
        <v>6917</v>
      </c>
      <c r="C7196" s="3" t="str">
        <f>IFERROR(__xludf.DUMMYFUNCTION("GOOGLETRANSLATE(B7196,""id"",""en"")"),"['Network', 'broad', 'Where']")</f>
        <v>['Network', 'broad', 'Where']</v>
      </c>
      <c r="D7196" s="3">
        <v>5.0</v>
      </c>
    </row>
    <row r="7197" ht="15.75" customHeight="1">
      <c r="A7197" s="1">
        <v>7680.0</v>
      </c>
      <c r="B7197" s="3" t="s">
        <v>6918</v>
      </c>
      <c r="C7197" s="3" t="str">
        <f>IFERROR(__xludf.DUMMYFUNCTION("GOOGLETRANSLATE(B7197,""id"",""en"")"),"['The application', 'accessed', 'how', 'solution', '']")</f>
        <v>['The application', 'accessed', 'how', 'solution', '']</v>
      </c>
      <c r="D7197" s="3">
        <v>1.0</v>
      </c>
    </row>
    <row r="7198" ht="15.75" customHeight="1">
      <c r="A7198" s="1">
        <v>7682.0</v>
      </c>
      <c r="B7198" s="3" t="s">
        <v>6919</v>
      </c>
      <c r="C7198" s="3" t="str">
        <f>IFERROR(__xludf.DUMMYFUNCTION("GOOGLETRANSLATE(B7198,""id"",""en"")"),"['noon', 'kak', 'please', 'fix', 'application', 'telkosmel', 'nyaaaa', 'sumpaahhh', 'disappointed', 'bgttt', 'kak', 'please', ' KNP ',' Application ',' Telkomsel ',' Opened ',' Dbuka ',' Image ',' White ',' Already ',' Uninstall ',' App ',' Hub ',' Call '"&amp;",' Center ' , 'results', 'nihil', 'please', 'response', 'improvement', '']")</f>
        <v>['noon', 'kak', 'please', 'fix', 'application', 'telkosmel', 'nyaaaa', 'sumpaahhh', 'disappointed', 'bgttt', 'kak', 'please', ' KNP ',' Application ',' Telkomsel ',' Opened ',' Dbuka ',' Image ',' White ',' Already ',' Uninstall ',' App ',' Hub ',' Call ',' Center ' , 'results', 'nihil', 'please', 'response', 'improvement', '']</v>
      </c>
      <c r="D7198" s="3">
        <v>1.0</v>
      </c>
    </row>
    <row r="7199" ht="15.75" customHeight="1">
      <c r="A7199" s="1">
        <v>7683.0</v>
      </c>
      <c r="B7199" s="3" t="s">
        <v>6920</v>
      </c>
      <c r="C7199" s="3" t="str">
        <f>IFERROR(__xludf.DUMMYFUNCTION("GOOGLETRANSLATE(B7199,""id"",""en"")"),"['signal', 'bad']")</f>
        <v>['signal', 'bad']</v>
      </c>
      <c r="D7199" s="3">
        <v>1.0</v>
      </c>
    </row>
    <row r="7200" ht="15.75" customHeight="1">
      <c r="A7200" s="1">
        <v>7684.0</v>
      </c>
      <c r="B7200" s="3" t="s">
        <v>6921</v>
      </c>
      <c r="C7200" s="3" t="str">
        <f>IFERROR(__xludf.DUMMYFUNCTION("GOOGLETRANSLATE(B7200,""id"",""en"")"),"['expensive', 'doang', 'network', 'jump']")</f>
        <v>['expensive', 'doang', 'network', 'jump']</v>
      </c>
      <c r="D7200" s="3">
        <v>1.0</v>
      </c>
    </row>
    <row r="7201" ht="15.75" customHeight="1">
      <c r="A7201" s="1">
        <v>7685.0</v>
      </c>
      <c r="B7201" s="3" t="s">
        <v>4050</v>
      </c>
      <c r="C7201" s="3" t="str">
        <f>IFERROR(__xludf.DUMMYFUNCTION("GOOGLETRANSLATE(B7201,""id"",""en"")"),"['fast']")</f>
        <v>['fast']</v>
      </c>
      <c r="D7201" s="3">
        <v>5.0</v>
      </c>
    </row>
    <row r="7202" ht="15.75" customHeight="1">
      <c r="A7202" s="1">
        <v>7686.0</v>
      </c>
      <c r="B7202" s="3" t="s">
        <v>6922</v>
      </c>
      <c r="C7202" s="3" t="str">
        <f>IFERROR(__xludf.DUMMYFUNCTION("GOOGLETRANSLATE(B7202,""id"",""en"")"),"['expensive', 'really', 'price', 'package', 'internet', '']")</f>
        <v>['expensive', 'really', 'price', 'package', 'internet', '']</v>
      </c>
      <c r="D7202" s="3">
        <v>3.0</v>
      </c>
    </row>
    <row r="7203" ht="15.75" customHeight="1">
      <c r="A7203" s="1">
        <v>7687.0</v>
      </c>
      <c r="B7203" s="3" t="s">
        <v>6923</v>
      </c>
      <c r="C7203" s="3" t="str">
        <f>IFERROR(__xludf.DUMMYFUNCTION("GOOGLETRANSLATE(B7203,""id"",""en"")"),"['Mahaalll', 'Recent']")</f>
        <v>['Mahaalll', 'Recent']</v>
      </c>
      <c r="D7203" s="3">
        <v>1.0</v>
      </c>
    </row>
    <row r="7204" ht="15.75" customHeight="1">
      <c r="A7204" s="1">
        <v>7688.0</v>
      </c>
      <c r="B7204" s="3" t="s">
        <v>6924</v>
      </c>
      <c r="C7204" s="3" t="str">
        <f>IFERROR(__xludf.DUMMYFUNCTION("GOOGLETRANSLATE(B7204,""id"",""en"")"),"['Kasi', 'ratings', 'quota', 'bonus', 'minimal', 'min', 'rich', 'quota', 'tri']")</f>
        <v>['Kasi', 'ratings', 'quota', 'bonus', 'minimal', 'min', 'rich', 'quota', 'tri']</v>
      </c>
      <c r="D7204" s="3">
        <v>5.0</v>
      </c>
    </row>
    <row r="7205" ht="15.75" customHeight="1">
      <c r="A7205" s="1">
        <v>7689.0</v>
      </c>
      <c r="B7205" s="3" t="s">
        <v>6925</v>
      </c>
      <c r="C7205" s="3" t="str">
        <f>IFERROR(__xludf.DUMMYFUNCTION("GOOGLETRANSLATE(B7205,""id"",""en"")"),"['Helpful', 'love', 'star', '']")</f>
        <v>['Helpful', 'love', 'star', '']</v>
      </c>
      <c r="D7205" s="3">
        <v>5.0</v>
      </c>
    </row>
    <row r="7206" ht="15.75" customHeight="1">
      <c r="A7206" s="1">
        <v>7690.0</v>
      </c>
      <c r="B7206" s="3" t="s">
        <v>6926</v>
      </c>
      <c r="C7206" s="3" t="str">
        <f>IFERROR(__xludf.DUMMYFUNCTION("GOOGLETRANSLATE(B7206,""id"",""en"")"),"['Application', 'Nidak', 'opened', '']")</f>
        <v>['Application', 'Nidak', 'opened', '']</v>
      </c>
      <c r="D7206" s="3">
        <v>1.0</v>
      </c>
    </row>
    <row r="7207" ht="15.75" customHeight="1">
      <c r="A7207" s="1">
        <v>7691.0</v>
      </c>
      <c r="B7207" s="3" t="s">
        <v>6927</v>
      </c>
      <c r="C7207" s="3" t="str">
        <f>IFERROR(__xludf.DUMMYFUNCTION("GOOGLETRANSLATE(B7207,""id"",""en"")"),"['AVV', 'like', ""]")</f>
        <v>['AVV', 'like', "]</v>
      </c>
      <c r="D7207" s="3">
        <v>5.0</v>
      </c>
    </row>
    <row r="7208" ht="15.75" customHeight="1">
      <c r="A7208" s="1">
        <v>7692.0</v>
      </c>
      <c r="B7208" s="3" t="s">
        <v>6928</v>
      </c>
      <c r="C7208" s="3" t="str">
        <f>IFERROR(__xludf.DUMMYFUNCTION("GOOGLETRANSLATE(B7208,""id"",""en"")"),"['', 'hope', 'dead', 'lights', 'network', 'missing']")</f>
        <v>['', 'hope', 'dead', 'lights', 'network', 'missing']</v>
      </c>
      <c r="D7208" s="3">
        <v>4.0</v>
      </c>
    </row>
    <row r="7209" ht="15.75" customHeight="1">
      <c r="A7209" s="1">
        <v>7693.0</v>
      </c>
      <c r="B7209" s="3" t="s">
        <v>6929</v>
      </c>
      <c r="C7209" s="3" t="str">
        <f>IFERROR(__xludf.DUMMYFUNCTION("GOOGLETRANSLATE(B7209,""id"",""en"")"),"['pulse', 'sumps',' contents', 'pulse', 'right', 'enter', 'inside', 'application', 'tekomsel', 'pulse', 'sumps',' times', ' Sumpot ',' pulse ', ""]")</f>
        <v>['pulse', 'sumps',' contents', 'pulse', 'right', 'enter', 'inside', 'application', 'tekomsel', 'pulse', 'sumps',' times', ' Sumpot ',' pulse ', "]</v>
      </c>
      <c r="D7209" s="3">
        <v>1.0</v>
      </c>
    </row>
    <row r="7210" ht="15.75" customHeight="1">
      <c r="A7210" s="1">
        <v>7694.0</v>
      </c>
      <c r="B7210" s="3" t="s">
        <v>6930</v>
      </c>
      <c r="C7210" s="3" t="str">
        <f>IFERROR(__xludf.DUMMYFUNCTION("GOOGLETRANSLATE(B7210,""id"",""en"")"),"['Please', 'Fix', 'Telkomsel', 'Related', 'Application', 'Troubled', 'Update', 'Screen', 'Blank', 'White', 'Menu', 'Main', ' ']")</f>
        <v>['Please', 'Fix', 'Telkomsel', 'Related', 'Application', 'Troubled', 'Update', 'Screen', 'Blank', 'White', 'Menu', 'Main', ' ']</v>
      </c>
      <c r="D7210" s="3">
        <v>1.0</v>
      </c>
    </row>
    <row r="7211" ht="15.75" customHeight="1">
      <c r="A7211" s="1">
        <v>7695.0</v>
      </c>
      <c r="B7211" s="3" t="s">
        <v>6931</v>
      </c>
      <c r="C7211" s="3" t="str">
        <f>IFERROR(__xludf.DUMMYFUNCTION("GOOGLETRANSLATE(B7211,""id"",""en"")"),"['Opened', 'Severe', '']")</f>
        <v>['Opened', 'Severe', '']</v>
      </c>
      <c r="D7211" s="3">
        <v>1.0</v>
      </c>
    </row>
    <row r="7212" ht="15.75" customHeight="1">
      <c r="A7212" s="1">
        <v>7696.0</v>
      </c>
      <c r="B7212" s="3" t="s">
        <v>6932</v>
      </c>
      <c r="C7212" s="3" t="str">
        <f>IFERROR(__xludf.DUMMYFUNCTION("GOOGLETRANSLATE(B7212,""id"",""en"")"),"['price', 'expensive', 'promo', 'operator', 'dmana', 'promo', 'price', 'tilted', 'please', 'multiply', 'promo', 'tilt', ' Price ',' Satisfied ']")</f>
        <v>['price', 'expensive', 'promo', 'operator', 'dmana', 'promo', 'price', 'tilted', 'please', 'multiply', 'promo', 'tilt', ' Price ',' Satisfied ']</v>
      </c>
      <c r="D7212" s="3">
        <v>3.0</v>
      </c>
    </row>
    <row r="7213" ht="15.75" customHeight="1">
      <c r="A7213" s="1">
        <v>7697.0</v>
      </c>
      <c r="B7213" s="3" t="s">
        <v>6933</v>
      </c>
      <c r="C7213" s="3" t="str">
        <f>IFERROR(__xludf.DUMMYFUNCTION("GOOGLETRANSLATE(B7213,""id"",""en"")"),"['buy', 'pulse', 'no', 'minutes',' already ',' chick ',' yesterday ',' buy ',' pulse ',' no ',' minutes', 'already', ' Cut ',' Padaha ',' Condition ',' Data ',' Dead ',' History ',' Subscriptions', 'Bill', 'Telkomsel', 'Disappointing', 'Disappearing', 'Cu"&amp;"stomer', 'Change' , 'card', 'lazy', 'disappointing']")</f>
        <v>['buy', 'pulse', 'no', 'minutes',' already ',' chick ',' yesterday ',' buy ',' pulse ',' no ',' minutes', 'already', ' Cut ',' Padaha ',' Condition ',' Data ',' Dead ',' History ',' Subscriptions', 'Bill', 'Telkomsel', 'Disappointing', 'Disappearing', 'Customer', 'Change' , 'card', 'lazy', 'disappointing']</v>
      </c>
      <c r="D7213" s="3">
        <v>1.0</v>
      </c>
    </row>
    <row r="7214" ht="15.75" customHeight="1">
      <c r="A7214" s="1">
        <v>7698.0</v>
      </c>
      <c r="B7214" s="3" t="s">
        <v>6934</v>
      </c>
      <c r="C7214" s="3" t="str">
        <f>IFERROR(__xludf.DUMMYFUNCTION("GOOGLETRANSLATE(B7214,""id"",""en"")"),"['sting', 'happy', 'Makai', 'card', 'Telkomsel', 'economical']")</f>
        <v>['sting', 'happy', 'Makai', 'card', 'Telkomsel', 'economical']</v>
      </c>
      <c r="D7214" s="3">
        <v>5.0</v>
      </c>
    </row>
    <row r="7215" ht="15.75" customHeight="1">
      <c r="A7215" s="1">
        <v>7699.0</v>
      </c>
      <c r="B7215" s="3" t="s">
        <v>6935</v>
      </c>
      <c r="C7215" s="3" t="str">
        <f>IFERROR(__xludf.DUMMYFUNCTION("GOOGLETRANSLATE(B7215,""id"",""en"")"),"['Good', 'really', 'help', 'users', 'provider', 'Telkomsel']")</f>
        <v>['Good', 'really', 'help', 'users', 'provider', 'Telkomsel']</v>
      </c>
      <c r="D7215" s="3">
        <v>5.0</v>
      </c>
    </row>
    <row r="7216" ht="15.75" customHeight="1">
      <c r="A7216" s="1">
        <v>7700.0</v>
      </c>
      <c r="B7216" s="3" t="s">
        <v>6936</v>
      </c>
      <c r="C7216" s="3" t="str">
        <f>IFERROR(__xludf.DUMMYFUNCTION("GOOGLETRANSLATE(B7216,""id"",""en"")"),"['fun', 'Telkomsel', 'quota', 'telephone', 'internet', 'dansms',' pulses', 'stored', 'missing', 'where', 'package', 'subscription', ' disappointed']")</f>
        <v>['fun', 'Telkomsel', 'quota', 'telephone', 'internet', 'dansms',' pulses', 'stored', 'missing', 'where', 'package', 'subscription', ' disappointed']</v>
      </c>
      <c r="D7216" s="3">
        <v>1.0</v>
      </c>
    </row>
    <row r="7217" ht="15.75" customHeight="1">
      <c r="A7217" s="1">
        <v>7702.0</v>
      </c>
      <c r="B7217" s="3" t="s">
        <v>6937</v>
      </c>
      <c r="C7217" s="3" t="str">
        <f>IFERROR(__xludf.DUMMYFUNCTION("GOOGLETRANSLATE(B7217,""id"",""en"")"),"['price', 'package', 'combo', 'Cepe', 'wrong', 'price', 'naek', 'udh', 'signal', 'kagak', 'ilang', 'org', ' Taun ',' yes', 'given', 'discount', 'vield', 'ntar', 'replace', 'operator', 'rich', 'gini', 'udh', 'so', 'open' , 'site', 'bnyak', 'blocked', 'look"&amp;"ed', 'file', 'like', 'difficult', 'meet', ""]")</f>
        <v>['price', 'package', 'combo', 'Cepe', 'wrong', 'price', 'naek', 'udh', 'signal', 'kagak', 'ilang', 'org', ' Taun ',' yes', 'given', 'discount', 'vield', 'ntar', 'replace', 'operator', 'rich', 'gini', 'udh', 'so', 'open' , 'site', 'bnyak', 'blocked', 'looked', 'file', 'like', 'difficult', 'meet', "]</v>
      </c>
      <c r="D7217" s="3">
        <v>1.0</v>
      </c>
    </row>
    <row r="7218" ht="15.75" customHeight="1">
      <c r="A7218" s="1">
        <v>7703.0</v>
      </c>
      <c r="B7218" s="3" t="s">
        <v>6938</v>
      </c>
      <c r="C7218" s="3" t="str">
        <f>IFERROR(__xludf.DUMMYFUNCTION("GOOGLETRANSLATE(B7218,""id"",""en"")"),"['Network', 'slow', 'really', 'play', 'game', 'no', 'motion', 'lag', 'really', 'Please', 'repaired', ""]")</f>
        <v>['Network', 'slow', 'really', 'play', 'game', 'no', 'motion', 'lag', 'really', 'Please', 'repaired', "]</v>
      </c>
      <c r="D7218" s="3">
        <v>1.0</v>
      </c>
    </row>
    <row r="7219" ht="15.75" customHeight="1">
      <c r="A7219" s="1">
        <v>7704.0</v>
      </c>
      <c r="B7219" s="3" t="s">
        <v>6939</v>
      </c>
      <c r="C7219" s="3" t="str">
        <f>IFERROR(__xludf.DUMMYFUNCTION("GOOGLETRANSLATE(B7219,""id"",""en"")"),"['Star', 'Top', 'deh', 'poko']")</f>
        <v>['Star', 'Top', 'deh', 'poko']</v>
      </c>
      <c r="D7219" s="3">
        <v>5.0</v>
      </c>
    </row>
    <row r="7220" ht="15.75" customHeight="1">
      <c r="A7220" s="1">
        <v>7705.0</v>
      </c>
      <c r="B7220" s="3" t="s">
        <v>6940</v>
      </c>
      <c r="C7220" s="3" t="str">
        <f>IFERROR(__xludf.DUMMYFUNCTION("GOOGLETRANSLATE(B7220,""id"",""en"")"),"['ugly', 'signal', 'match', 'game', 'signal', 'stable']")</f>
        <v>['ugly', 'signal', 'match', 'game', 'signal', 'stable']</v>
      </c>
      <c r="D7220" s="3">
        <v>1.0</v>
      </c>
    </row>
    <row r="7221" ht="15.75" customHeight="1">
      <c r="A7221" s="1">
        <v>7706.0</v>
      </c>
      <c r="B7221" s="3" t="s">
        <v>6941</v>
      </c>
      <c r="C7221" s="3" t="str">
        <f>IFERROR(__xludf.DUMMYFUNCTION("GOOGLETRANSLATE(B7221,""id"",""en"")"),"['Mending', 'cheap', 'internet', 'ugly', 'expensive', 'slow', 'Gosha', 'knapa', 'Telkomsel', 'nii']")</f>
        <v>['Mending', 'cheap', 'internet', 'ugly', 'expensive', 'slow', 'Gosha', 'knapa', 'Telkomsel', 'nii']</v>
      </c>
      <c r="D7221" s="3">
        <v>1.0</v>
      </c>
    </row>
    <row r="7222" ht="15.75" customHeight="1">
      <c r="A7222" s="1">
        <v>7707.0</v>
      </c>
      <c r="B7222" s="3" t="s">
        <v>859</v>
      </c>
      <c r="C7222" s="3" t="str">
        <f>IFERROR(__xludf.DUMMYFUNCTION("GOOGLETRANSLATE(B7222,""id"",""en"")"),"['help', '']")</f>
        <v>['help', '']</v>
      </c>
      <c r="D7222" s="3">
        <v>5.0</v>
      </c>
    </row>
    <row r="7223" ht="15.75" customHeight="1">
      <c r="A7223" s="1">
        <v>7708.0</v>
      </c>
      <c r="B7223" s="3" t="s">
        <v>6942</v>
      </c>
      <c r="C7223" s="3" t="str">
        <f>IFERROR(__xludf.DUMMYFUNCTION("GOOGLETRANSLATE(B7223,""id"",""en"")"),"['Provide', 'Promos', 'Internet', 'Cheap', 'Thank you', 'Telkomsel']")</f>
        <v>['Provide', 'Promos', 'Internet', 'Cheap', 'Thank you', 'Telkomsel']</v>
      </c>
      <c r="D7223" s="3">
        <v>5.0</v>
      </c>
    </row>
    <row r="7224" ht="15.75" customHeight="1">
      <c r="A7224" s="1">
        <v>7709.0</v>
      </c>
      <c r="B7224" s="3" t="s">
        <v>6943</v>
      </c>
      <c r="C7224" s="3" t="str">
        <f>IFERROR(__xludf.DUMMYFUNCTION("GOOGLETRANSLATE(B7224,""id"",""en"")"),"['Please', 'price', 'package', 'populyat']")</f>
        <v>['Please', 'price', 'package', 'populyat']</v>
      </c>
      <c r="D7224" s="3">
        <v>5.0</v>
      </c>
    </row>
    <row r="7225" ht="15.75" customHeight="1">
      <c r="A7225" s="1">
        <v>7710.0</v>
      </c>
      <c r="B7225" s="3" t="s">
        <v>6944</v>
      </c>
      <c r="C7225" s="3" t="str">
        <f>IFERROR(__xludf.DUMMYFUNCTION("GOOGLETRANSLATE(B7225,""id"",""en"")"),"['application', 'Telkomsel', 'open', 'blank', 'screen', 'white', 'doank', 'rich', 'makes it easier', 'custamer', 'contents',' package ',' Open ',' application ']")</f>
        <v>['application', 'Telkomsel', 'open', 'blank', 'screen', 'white', 'doank', 'rich', 'makes it easier', 'custamer', 'contents',' package ',' Open ',' application ']</v>
      </c>
      <c r="D7225" s="3">
        <v>3.0</v>
      </c>
    </row>
    <row r="7226" ht="15.75" customHeight="1">
      <c r="A7226" s="1">
        <v>7711.0</v>
      </c>
      <c r="B7226" s="3" t="s">
        <v>6945</v>
      </c>
      <c r="C7226" s="3" t="str">
        <f>IFERROR(__xludf.DUMMYFUNCTION("GOOGLETRANSLATE(B7226,""id"",""en"")"),"['Star', 'complain', 'suggestion', 'Telkomsel', 'care', 'Please', 'sorry', 'discomfort', 'try', 'as soon as possible', 'boro', 'reasons',' Doang ']")</f>
        <v>['Star', 'complain', 'suggestion', 'Telkomsel', 'care', 'Please', 'sorry', 'discomfort', 'try', 'as soon as possible', 'boro', 'reasons',' Doang ']</v>
      </c>
      <c r="D7226" s="3">
        <v>1.0</v>
      </c>
    </row>
    <row r="7227" ht="15.75" customHeight="1">
      <c r="A7227" s="1">
        <v>7712.0</v>
      </c>
      <c r="B7227" s="3" t="s">
        <v>6946</v>
      </c>
      <c r="C7227" s="3" t="str">
        <f>IFERROR(__xludf.DUMMYFUNCTION("GOOGLETRANSLATE(B7227,""id"",""en"")"),"['come here', 'disappointing', 'as soon as possible', 'fix', 'promo', 'mulu']")</f>
        <v>['come here', 'disappointing', 'as soon as possible', 'fix', 'promo', 'mulu']</v>
      </c>
      <c r="D7227" s="3">
        <v>1.0</v>
      </c>
    </row>
    <row r="7228" ht="15.75" customHeight="1">
      <c r="A7228" s="1">
        <v>7714.0</v>
      </c>
      <c r="B7228" s="3" t="s">
        <v>6947</v>
      </c>
      <c r="C7228" s="3" t="str">
        <f>IFERROR(__xludf.DUMMYFUNCTION("GOOGLETRANSLATE(B7228,""id"",""en"")"),"['Difficult', 'Msuk', 'alternating', 'Delete', 'Download', 'Tetep', 'BSA']")</f>
        <v>['Difficult', 'Msuk', 'alternating', 'Delete', 'Download', 'Tetep', 'BSA']</v>
      </c>
      <c r="D7228" s="3">
        <v>1.0</v>
      </c>
    </row>
    <row r="7229" ht="15.75" customHeight="1">
      <c r="A7229" s="1">
        <v>7715.0</v>
      </c>
      <c r="B7229" s="3" t="s">
        <v>6948</v>
      </c>
      <c r="C7229" s="3" t="str">
        <f>IFERROR(__xludf.DUMMYFUNCTION("GOOGLETRANSLATE(B7229,""id"",""en"")"),"['The slogan', 'network', 'anti', 'slow', 'package', 'data', 'expensive', 'compared to', 'provider', 'network', 'slow', 'emang', ' already ',' slow ',' confirm ',' change ',' package ',' data ',' expensive ',' speed ',' kek ',' snail ']")</f>
        <v>['The slogan', 'network', 'anti', 'slow', 'package', 'data', 'expensive', 'compared to', 'provider', 'network', 'slow', 'emang', ' already ',' slow ',' confirm ',' change ',' package ',' data ',' expensive ',' speed ',' kek ',' snail ']</v>
      </c>
      <c r="D7229" s="3">
        <v>1.0</v>
      </c>
    </row>
    <row r="7230" ht="15.75" customHeight="1">
      <c r="A7230" s="1">
        <v>7716.0</v>
      </c>
      <c r="B7230" s="3" t="s">
        <v>6949</v>
      </c>
      <c r="C7230" s="3" t="str">
        <f>IFERROR(__xludf.DUMMYFUNCTION("GOOGLETRANSLATE(B7230,""id"",""en"")"),"['hope you win']")</f>
        <v>['hope you win']</v>
      </c>
      <c r="D7230" s="3">
        <v>5.0</v>
      </c>
    </row>
    <row r="7231" ht="15.75" customHeight="1">
      <c r="A7231" s="1">
        <v>7717.0</v>
      </c>
      <c r="B7231" s="3" t="s">
        <v>6950</v>
      </c>
      <c r="C7231" s="3" t="str">
        <f>IFERROR(__xludf.DUMMYFUNCTION("GOOGLETRANSLATE(B7231,""id"",""en"")"),"['Points',' Telkomsel ',' Nga ',' use ',' Gift ',' BLM ',' DPT ',' Follow ',' Lottery ',' Expect ',' DPT ',' Motor ',' Samsung ',' Dream ',' Doang ',' Motor ',' Beat ',' Need ',' Narik ',' Ojol ',' Bridden ',' Family ',' Disappointed ',' Harapan ',' Motor"&amp;"cycle ' , 'Dream', 'Nga', 'real', '']")</f>
        <v>['Points',' Telkomsel ',' Nga ',' use ',' Gift ',' BLM ',' DPT ',' Follow ',' Lottery ',' Expect ',' DPT ',' Motor ',' Samsung ',' Dream ',' Doang ',' Motor ',' Beat ',' Need ',' Narik ',' Ojol ',' Bridden ',' Family ',' Disappointed ',' Harapan ',' Motorcycle ' , 'Dream', 'Nga', 'real', '']</v>
      </c>
      <c r="D7231" s="3">
        <v>2.0</v>
      </c>
    </row>
    <row r="7232" ht="15.75" customHeight="1">
      <c r="A7232" s="1">
        <v>7719.0</v>
      </c>
      <c r="B7232" s="3" t="s">
        <v>1934</v>
      </c>
      <c r="C7232" s="3" t="str">
        <f>IFERROR(__xludf.DUMMYFUNCTION("GOOGLETRANSLATE(B7232,""id"",""en"")"),"['Application', 'Telkomsel', 'Open']")</f>
        <v>['Application', 'Telkomsel', 'Open']</v>
      </c>
      <c r="D7232" s="3">
        <v>5.0</v>
      </c>
    </row>
    <row r="7233" ht="15.75" customHeight="1">
      <c r="A7233" s="1">
        <v>7720.0</v>
      </c>
      <c r="B7233" s="3" t="s">
        <v>6951</v>
      </c>
      <c r="C7233" s="3" t="str">
        <f>IFERROR(__xludf.DUMMYFUNCTION("GOOGLETRANSLATE(B7233,""id"",""en"")"),"['try', 'card', 'Telkomsel', 'easy']")</f>
        <v>['try', 'card', 'Telkomsel', 'easy']</v>
      </c>
      <c r="D7233" s="3">
        <v>5.0</v>
      </c>
    </row>
    <row r="7234" ht="15.75" customHeight="1">
      <c r="A7234" s="1">
        <v>7721.0</v>
      </c>
      <c r="B7234" s="3" t="s">
        <v>6952</v>
      </c>
      <c r="C7234" s="3" t="str">
        <f>IFERROR(__xludf.DUMMYFUNCTION("GOOGLETRANSLATE(B7234,""id"",""en"")"),"['Telkomsel', 'network', 'stable', 'Sometimes',' slow ',' lbh ',' good ',' package ',' package ',' quota ',' call ',' expensive ',' quota ',' wasteful ',' really ',' balanced ',' severe ',' fear ',' pulse ',' sumps', 'automatic', 'klw', 'tkota', 'finished"&amp;"', 'buy' , 'call', 'village', 'Sya', 'rare', 'Telkomsel', 'expensive', 'coral', 'network', 'ilang', 'losing', 'lagging', 'operator']")</f>
        <v>['Telkomsel', 'network', 'stable', 'Sometimes',' slow ',' lbh ',' good ',' package ',' package ',' quota ',' call ',' expensive ',' quota ',' wasteful ',' really ',' balanced ',' severe ',' fear ',' pulse ',' sumps', 'automatic', 'klw', 'tkota', 'finished', 'buy' , 'call', 'village', 'Sya', 'rare', 'Telkomsel', 'expensive', 'coral', 'network', 'ilang', 'losing', 'lagging', 'operator']</v>
      </c>
      <c r="D7234" s="3">
        <v>1.0</v>
      </c>
    </row>
    <row r="7235" ht="15.75" customHeight="1">
      <c r="A7235" s="1">
        <v>7722.0</v>
      </c>
      <c r="B7235" s="3" t="s">
        <v>6953</v>
      </c>
      <c r="C7235" s="3" t="str">
        <f>IFERROR(__xludf.DUMMYFUNCTION("GOOGLETRANSLATE(B7235,""id"",""en"")"),"['Congratulations',' Morning ',' Affected ',' Lies', 'System', 'Provider', 'Telkomsel', 'Contents',' Credit ',' Rb ',' Buy ',' Package ',' rb ',' quota ',' GB ',' lgsg ',' truncated ',' as', 'consumer', 'pulse', 'cut', 'finished', 'pulses',' put ',' quota"&amp;" ' , 'Internet', 'Please', 'Telkomsel', 'Reasons', 'Telkomsel', 'Error', 'System', 'exposed', 'Imbas', 'Consumer', ""]")</f>
        <v>['Congratulations',' Morning ',' Affected ',' Lies', 'System', 'Provider', 'Telkomsel', 'Contents',' Credit ',' Rb ',' Buy ',' Package ',' rb ',' quota ',' GB ',' lgsg ',' truncated ',' as', 'consumer', 'pulse', 'cut', 'finished', 'pulses',' put ',' quota ' , 'Internet', 'Please', 'Telkomsel', 'Reasons', 'Telkomsel', 'Error', 'System', 'exposed', 'Imbas', 'Consumer', "]</v>
      </c>
      <c r="D7235" s="3">
        <v>1.0</v>
      </c>
    </row>
    <row r="7236" ht="15.75" customHeight="1">
      <c r="A7236" s="1">
        <v>7723.0</v>
      </c>
      <c r="B7236" s="3" t="s">
        <v>6954</v>
      </c>
      <c r="C7236" s="3" t="str">
        <f>IFERROR(__xludf.DUMMYFUNCTION("GOOGLETRANSLATE(B7236,""id"",""en"")"),"['card', 'Sultan', 'poor', 'signal', 'quota', 'emergency', 'turn', 'contents',' plsa ',' ilang ',' emng ',' flower ',' Knp ',' love ',' notification ']")</f>
        <v>['card', 'Sultan', 'poor', 'signal', 'quota', 'emergency', 'turn', 'contents',' plsa ',' ilang ',' emng ',' flower ',' Knp ',' love ',' notification ']</v>
      </c>
      <c r="D7236" s="3">
        <v>1.0</v>
      </c>
    </row>
    <row r="7237" ht="15.75" customHeight="1">
      <c r="A7237" s="1">
        <v>7724.0</v>
      </c>
      <c r="B7237" s="3" t="s">
        <v>6955</v>
      </c>
      <c r="C7237" s="3" t="str">
        <f>IFERROR(__xludf.DUMMYFUNCTION("GOOGLETRANSLATE(B7237,""id"",""en"")"),"['', 'Mohammad', 'Yasin', 'Telkomsel', 'Increases', 'Service', 'Compact', 'Greetings', 'Success', 'Child', 'Cucu']")</f>
        <v>['', 'Mohammad', 'Yasin', 'Telkomsel', 'Increases', 'Service', 'Compact', 'Greetings', 'Success', 'Child', 'Cucu']</v>
      </c>
      <c r="D7237" s="3">
        <v>5.0</v>
      </c>
    </row>
    <row r="7238" ht="15.75" customHeight="1">
      <c r="A7238" s="1">
        <v>7725.0</v>
      </c>
      <c r="B7238" s="3" t="s">
        <v>6956</v>
      </c>
      <c r="C7238" s="3" t="str">
        <f>IFERROR(__xludf.DUMMYFUNCTION("GOOGLETRANSLATE(B7238,""id"",""en"")"),"['opened', 'application', 'buy', 'data', 'internet', 'pulse', 'blur', 'white', 'bete', 'please', 'enhanced', 'quality', ' Customers', 'loyal', 'disappointed', '']")</f>
        <v>['opened', 'application', 'buy', 'data', 'internet', 'pulse', 'blur', 'white', 'bete', 'please', 'enhanced', 'quality', ' Customers', 'loyal', 'disappointed', '']</v>
      </c>
      <c r="D7238" s="3">
        <v>1.0</v>
      </c>
    </row>
    <row r="7239" ht="15.75" customHeight="1">
      <c r="A7239" s="1">
        <v>7726.0</v>
      </c>
      <c r="B7239" s="3" t="s">
        <v>6957</v>
      </c>
      <c r="C7239" s="3" t="str">
        <f>IFERROR(__xludf.DUMMYFUNCTION("GOOGLETRANSLATE(B7239,""id"",""en"")"),"['Sorry', 'Jngn', 'BNYK', 'Telkomsel', 'Network', 'Severe', 'KLH', 'Operator', ""]")</f>
        <v>['Sorry', 'Jngn', 'BNYK', 'Telkomsel', 'Network', 'Severe', 'KLH', 'Operator', "]</v>
      </c>
      <c r="D7239" s="3">
        <v>1.0</v>
      </c>
    </row>
    <row r="7240" ht="15.75" customHeight="1">
      <c r="A7240" s="1">
        <v>7727.0</v>
      </c>
      <c r="B7240" s="3" t="s">
        <v>6958</v>
      </c>
      <c r="C7240" s="3" t="str">
        <f>IFERROR(__xludf.DUMMYFUNCTION("GOOGLETRANSLATE(B7240,""id"",""en"")"),"['Please', 'concerned', 'Signal', 'Stabilized', 'Supya', 'Make', 'Telkomsel', 'Comfortable']")</f>
        <v>['Please', 'concerned', 'Signal', 'Stabilized', 'Supya', 'Make', 'Telkomsel', 'Comfortable']</v>
      </c>
      <c r="D7240" s="3">
        <v>1.0</v>
      </c>
    </row>
    <row r="7241" ht="15.75" customHeight="1">
      <c r="A7241" s="1">
        <v>7728.0</v>
      </c>
      <c r="B7241" s="3" t="s">
        <v>6959</v>
      </c>
      <c r="C7241" s="3" t="str">
        <f>IFERROR(__xludf.DUMMYFUNCTION("GOOGLETRANSLATE(B7241,""id"",""en"")"),"['Telkomsel', 'Please', 'Jua', 'KTNG', 'Maluku', 'Masohi', 'Knp', 'Network', 'Trusss',' please ',' Kasi ',' star ',' Udh ',' fed up ',' emang ',' Telkomsel ',' Becus', 'Sia', 'buy', 'package', 'network', 'good', 'truss',' disappointed ', ""]")</f>
        <v>['Telkomsel', 'Please', 'Jua', 'KTNG', 'Maluku', 'Masohi', 'Knp', 'Network', 'Trusss',' please ',' Kasi ',' star ',' Udh ',' fed up ',' emang ',' Telkomsel ',' Becus', 'Sia', 'buy', 'package', 'network', 'good', 'truss',' disappointed ', "]</v>
      </c>
      <c r="D7241" s="3">
        <v>1.0</v>
      </c>
    </row>
    <row r="7242" ht="15.75" customHeight="1">
      <c r="A7242" s="1">
        <v>7729.0</v>
      </c>
      <c r="B7242" s="3" t="s">
        <v>6960</v>
      </c>
      <c r="C7242" s="3" t="str">
        <f>IFERROR(__xludf.DUMMYFUNCTION("GOOGLETRANSLATE(B7242,""id"",""en"")"),"['Please', 'fix', 'signal', 'harga', 'city', 'signal', 'lemod', 'please', 'fix']")</f>
        <v>['Please', 'fix', 'signal', 'harga', 'city', 'signal', 'lemod', 'please', 'fix']</v>
      </c>
      <c r="D7242" s="3">
        <v>1.0</v>
      </c>
    </row>
    <row r="7243" ht="15.75" customHeight="1">
      <c r="A7243" s="1">
        <v>7730.0</v>
      </c>
      <c r="B7243" s="3" t="s">
        <v>6961</v>
      </c>
      <c r="C7243" s="3" t="str">
        <f>IFERROR(__xludf.DUMMYFUNCTION("GOOGLETRANSLATE(B7243,""id"",""en"")"),"['Please', 'sorry', 'tri', 'signal', 'ugly', 'move', 'telkom', 'ugly', 'min', 'dlu', 'good', 'really', ' skrg ',' sinya ',' telkom ',' comparable ',' rich ',' price ',' sorry ',' min ',' disappointed ']")</f>
        <v>['Please', 'sorry', 'tri', 'signal', 'ugly', 'move', 'telkom', 'ugly', 'min', 'dlu', 'good', 'really', ' skrg ',' sinya ',' telkom ',' comparable ',' rich ',' price ',' sorry ',' min ',' disappointed ']</v>
      </c>
      <c r="D7243" s="3">
        <v>1.0</v>
      </c>
    </row>
    <row r="7244" ht="15.75" customHeight="1">
      <c r="A7244" s="1">
        <v>7731.0</v>
      </c>
      <c r="B7244" s="3" t="s">
        <v>6962</v>
      </c>
      <c r="C7244" s="3" t="str">
        <f>IFERROR(__xludf.DUMMYFUNCTION("GOOGLETRANSLATE(B7244,""id"",""en"")"),"['Buy', 'Kouta', 'System', 'Busy', 'Wait', 'Minutes', 'Already', 'Make', 'Telkomsel', 'Disappointed']")</f>
        <v>['Buy', 'Kouta', 'System', 'Busy', 'Wait', 'Minutes', 'Already', 'Make', 'Telkomsel', 'Disappointed']</v>
      </c>
      <c r="D7244" s="3">
        <v>2.0</v>
      </c>
    </row>
    <row r="7245" ht="15.75" customHeight="1">
      <c r="A7245" s="1">
        <v>7732.0</v>
      </c>
      <c r="B7245" s="3" t="s">
        <v>6963</v>
      </c>
      <c r="C7245" s="3" t="str">
        <f>IFERROR(__xludf.DUMMYFUNCTION("GOOGLETRANSLATE(B7245,""id"",""en"")"),"['satisfaction', 'consumer']")</f>
        <v>['satisfaction', 'consumer']</v>
      </c>
      <c r="D7245" s="3">
        <v>5.0</v>
      </c>
    </row>
    <row r="7246" ht="15.75" customHeight="1">
      <c r="A7246" s="1">
        <v>7733.0</v>
      </c>
      <c r="B7246" s="3" t="s">
        <v>6964</v>
      </c>
      <c r="C7246" s="3" t="str">
        <f>IFERROR(__xludf.DUMMYFUNCTION("GOOGLETRANSLATE(B7246,""id"",""en"")"),"['a month', 'open', 'white']")</f>
        <v>['a month', 'open', 'white']</v>
      </c>
      <c r="D7246" s="3">
        <v>2.0</v>
      </c>
    </row>
    <row r="7247" ht="15.75" customHeight="1">
      <c r="A7247" s="1">
        <v>7734.0</v>
      </c>
      <c r="B7247" s="3" t="s">
        <v>986</v>
      </c>
      <c r="C7247" s="3" t="str">
        <f>IFERROR(__xludf.DUMMYFUNCTION("GOOGLETRANSLATE(B7247,""id"",""en"")"),"['service', '']")</f>
        <v>['service', '']</v>
      </c>
      <c r="D7247" s="3">
        <v>5.0</v>
      </c>
    </row>
    <row r="7248" ht="15.75" customHeight="1">
      <c r="A7248" s="1">
        <v>7735.0</v>
      </c>
      <c r="B7248" s="3" t="s">
        <v>6965</v>
      </c>
      <c r="C7248" s="3" t="str">
        <f>IFERROR(__xludf.DUMMYFUNCTION("GOOGLETRANSLATE(B7248,""id"",""en"")"),"['ugly', 'NGK', 'Open', 'Out', 'Update', 'NHK', 'Open', '']")</f>
        <v>['ugly', 'NGK', 'Open', 'Out', 'Update', 'NHK', 'Open', '']</v>
      </c>
      <c r="D7248" s="3">
        <v>1.0</v>
      </c>
    </row>
    <row r="7249" ht="15.75" customHeight="1">
      <c r="A7249" s="1">
        <v>7736.0</v>
      </c>
      <c r="B7249" s="3" t="s">
        <v>6966</v>
      </c>
      <c r="C7249" s="3" t="str">
        <f>IFERROR(__xludf.DUMMYFUNCTION("GOOGLETRANSLATE(B7249,""id"",""en"")"),"['Aduhhh', 'Network', 'Lemot', 'Bener', 'Please', 'Network', 'Lemot', ""]")</f>
        <v>['Aduhhh', 'Network', 'Lemot', 'Bener', 'Please', 'Network', 'Lemot', "]</v>
      </c>
      <c r="D7249" s="3">
        <v>3.0</v>
      </c>
    </row>
    <row r="7250" ht="15.75" customHeight="1">
      <c r="A7250" s="1">
        <v>7737.0</v>
      </c>
      <c r="B7250" s="3" t="s">
        <v>2047</v>
      </c>
      <c r="C7250" s="3" t="str">
        <f>IFERROR(__xludf.DUMMYFUNCTION("GOOGLETRANSLATE(B7250,""id"",""en"")"),"['Application', 'Telkomsel', 'Open', '']")</f>
        <v>['Application', 'Telkomsel', 'Open', '']</v>
      </c>
      <c r="D7250" s="3">
        <v>3.0</v>
      </c>
    </row>
    <row r="7251" ht="15.75" customHeight="1">
      <c r="A7251" s="1">
        <v>7738.0</v>
      </c>
      <c r="B7251" s="3" t="s">
        <v>6967</v>
      </c>
      <c r="C7251" s="3" t="str">
        <f>IFERROR(__xludf.DUMMYFUNCTION("GOOGLETRANSLATE(B7251,""id"",""en"")"),"['best', 'cellular', 'dream', 'Trima', 'love', 'Telkomsel']")</f>
        <v>['best', 'cellular', 'dream', 'Trima', 'love', 'Telkomsel']</v>
      </c>
      <c r="D7251" s="3">
        <v>5.0</v>
      </c>
    </row>
    <row r="7252" ht="15.75" customHeight="1">
      <c r="A7252" s="1">
        <v>7739.0</v>
      </c>
      <c r="B7252" s="3" t="s">
        <v>6968</v>
      </c>
      <c r="C7252" s="3" t="str">
        <f>IFERROR(__xludf.DUMMYFUNCTION("GOOGLETRANSLATE(B7252,""id"",""en"")"),"['Meng', 'dwonlod', 'apk', 'tekomsel', 'apk', 'tekomsel', 'lite', 'telkomsel', 'sukak', 'gentle']")</f>
        <v>['Meng', 'dwonlod', 'apk', 'tekomsel', 'apk', 'tekomsel', 'lite', 'telkomsel', 'sukak', 'gentle']</v>
      </c>
      <c r="D7252" s="3">
        <v>5.0</v>
      </c>
    </row>
    <row r="7253" ht="15.75" customHeight="1">
      <c r="A7253" s="1">
        <v>7740.0</v>
      </c>
      <c r="B7253" s="3" t="s">
        <v>6969</v>
      </c>
      <c r="C7253" s="3" t="str">
        <f>IFERROR(__xludf.DUMMYFUNCTION("GOOGLETRANSLATE(B7253,""id"",""en"")"),"['price', 'plate', 'red', 'expensive', 'expensive', 'package', 'darling', 'signal', 'ugly', 'really', 'ujan', 'beam', ' signal ',' ilang ',' funny ',' already ',' so ',' report ',' told ',' sosmed ',' system ',' bot ',' wkwkwk ',' answer ',' help ' , 'imp"&amp;"rovement', 'its network', 'expensive', 'doang', 'told', 'speeding', 'wkwkwk']")</f>
        <v>['price', 'plate', 'red', 'expensive', 'expensive', 'package', 'darling', 'signal', 'ugly', 'really', 'ujan', 'beam', ' signal ',' ilang ',' funny ',' already ',' so ',' report ',' told ',' sosmed ',' system ',' bot ',' wkwkwk ',' answer ',' help ' , 'improvement', 'its network', 'expensive', 'doang', 'told', 'speeding', 'wkwkwk']</v>
      </c>
      <c r="D7253" s="3">
        <v>1.0</v>
      </c>
    </row>
    <row r="7254" ht="15.75" customHeight="1">
      <c r="A7254" s="1">
        <v>7741.0</v>
      </c>
      <c r="B7254" s="3" t="s">
        <v>6970</v>
      </c>
      <c r="C7254" s="3" t="str">
        <f>IFERROR(__xludf.DUMMYFUNCTION("GOOGLETRANSLATE(B7254,""id"",""en"")"),"['', 'open', 'app', 'Telkomsel', 'complicated', 'business', 'so', 'please', 'explanation', 'dongggg', 'operator', 'thank', 'love' ']")</f>
        <v>['', 'open', 'app', 'Telkomsel', 'complicated', 'business', 'so', 'please', 'explanation', 'dongggg', 'operator', 'thank', 'love' ']</v>
      </c>
      <c r="D7254" s="3">
        <v>5.0</v>
      </c>
    </row>
    <row r="7255" ht="15.75" customHeight="1">
      <c r="A7255" s="1">
        <v>7742.0</v>
      </c>
      <c r="B7255" s="3" t="s">
        <v>6971</v>
      </c>
      <c r="C7255" s="3" t="str">
        <f>IFERROR(__xludf.DUMMYFUNCTION("GOOGLETRANSLATE(B7255,""id"",""en"")"),"['Sorry', 'Sis', 'Udh', 'The application', 'BSA', 'Open', 'Please', 'Help', 'Sis']")</f>
        <v>['Sorry', 'Sis', 'Udh', 'The application', 'BSA', 'Open', 'Please', 'Help', 'Sis']</v>
      </c>
      <c r="D7255" s="3">
        <v>3.0</v>
      </c>
    </row>
    <row r="7256" ht="15.75" customHeight="1">
      <c r="A7256" s="1">
        <v>7743.0</v>
      </c>
      <c r="B7256" s="3" t="s">
        <v>6972</v>
      </c>
      <c r="C7256" s="3" t="str">
        <f>IFERROR(__xludf.DUMMYFUNCTION("GOOGLETRANSLATE(B7256,""id"",""en"")"),"['benefits', 'myriad', 'profit']")</f>
        <v>['benefits', 'myriad', 'profit']</v>
      </c>
      <c r="D7256" s="3">
        <v>5.0</v>
      </c>
    </row>
    <row r="7257" ht="15.75" customHeight="1">
      <c r="A7257" s="1">
        <v>7744.0</v>
      </c>
      <c r="B7257" s="3" t="s">
        <v>6973</v>
      </c>
      <c r="C7257" s="3" t="str">
        <f>IFERROR(__xludf.DUMMYFUNCTION("GOOGLETRANSLATE(B7257,""id"",""en"")"),"['Makjn', 'opened', 'screen', 'white']")</f>
        <v>['Makjn', 'opened', 'screen', 'white']</v>
      </c>
      <c r="D7257" s="3">
        <v>2.0</v>
      </c>
    </row>
    <row r="7258" ht="15.75" customHeight="1">
      <c r="A7258" s="1">
        <v>7745.0</v>
      </c>
      <c r="B7258" s="3" t="s">
        <v>6974</v>
      </c>
      <c r="C7258" s="3" t="str">
        <f>IFERROR(__xludf.DUMMYFUNCTION("GOOGLETRANSLATE(B7258,""id"",""en"")"),"['Signal', 'severe', 'really', 'area', 'Malang', 'Rain', 'Disappointed', 'Customer']")</f>
        <v>['Signal', 'severe', 'really', 'area', 'Malang', 'Rain', 'Disappointed', 'Customer']</v>
      </c>
      <c r="D7258" s="3">
        <v>2.0</v>
      </c>
    </row>
    <row r="7259" ht="15.75" customHeight="1">
      <c r="A7259" s="1">
        <v>7746.0</v>
      </c>
      <c r="B7259" s="3" t="s">
        <v>6975</v>
      </c>
      <c r="C7259" s="3" t="str">
        <f>IFERROR(__xludf.DUMMYFUNCTION("GOOGLETRANSLATE(B7259,""id"",""en"")"),"['hurry', 'fixs', 'min', 'bug', 'rich', 'gini', 'feels', '']")</f>
        <v>['hurry', 'fixs', 'min', 'bug', 'rich', 'gini', 'feels', '']</v>
      </c>
      <c r="D7259" s="3">
        <v>1.0</v>
      </c>
    </row>
    <row r="7260" ht="15.75" customHeight="1">
      <c r="A7260" s="1">
        <v>7747.0</v>
      </c>
      <c r="B7260" s="3" t="s">
        <v>6976</v>
      </c>
      <c r="C7260" s="3" t="str">
        <f>IFERROR(__xludf.DUMMYFUNCTION("GOOGLETRANSLATE(B7260,""id"",""en"")"),"['App', 'apparatts', 'swear', 'open', 'nge', 'stuck', 'screen', 'white', 'then', 'screen', '']")</f>
        <v>['App', 'apparatts', 'swear', 'open', 'nge', 'stuck', 'screen', 'white', 'then', 'screen', '']</v>
      </c>
      <c r="D7260" s="3">
        <v>1.0</v>
      </c>
    </row>
    <row r="7261" ht="15.75" customHeight="1">
      <c r="A7261" s="1">
        <v>7748.0</v>
      </c>
      <c r="B7261" s="3" t="s">
        <v>6977</v>
      </c>
      <c r="C7261" s="3" t="str">
        <f>IFERROR(__xludf.DUMMYFUNCTION("GOOGLETRANSLATE(B7261,""id"",""en"")"),"['poor', 'opened', 'stuck', 'blank', 'white', 'gini', 'usaj', 'updated', 'ribet']")</f>
        <v>['poor', 'opened', 'stuck', 'blank', 'white', 'gini', 'usaj', 'updated', 'ribet']</v>
      </c>
      <c r="D7261" s="3">
        <v>1.0</v>
      </c>
    </row>
    <row r="7262" ht="15.75" customHeight="1">
      <c r="A7262" s="1">
        <v>7749.0</v>
      </c>
      <c r="B7262" s="3" t="s">
        <v>3208</v>
      </c>
      <c r="C7262" s="3" t="str">
        <f>IFERROR(__xludf.DUMMYFUNCTION("GOOGLETRANSLATE(B7262,""id"",""en"")"),"['try']")</f>
        <v>['try']</v>
      </c>
      <c r="D7262" s="3">
        <v>5.0</v>
      </c>
    </row>
    <row r="7263" ht="15.75" customHeight="1">
      <c r="A7263" s="1">
        <v>7750.0</v>
      </c>
      <c r="B7263" s="3" t="s">
        <v>6978</v>
      </c>
      <c r="C7263" s="3" t="str">
        <f>IFERROR(__xludf.DUMMYFUNCTION("GOOGLETRANSLATE(B7263,""id"",""en"")"),"['Steady', 'forward', 'Telkomsel', '']")</f>
        <v>['Steady', 'forward', 'Telkomsel', '']</v>
      </c>
      <c r="D7263" s="3">
        <v>5.0</v>
      </c>
    </row>
    <row r="7264" ht="15.75" customHeight="1">
      <c r="A7264" s="1">
        <v>7751.0</v>
      </c>
      <c r="B7264" s="3" t="s">
        <v>6979</v>
      </c>
      <c r="C7264" s="3" t="str">
        <f>IFERROR(__xludf.DUMMYFUNCTION("GOOGLETRANSLATE(B7264,""id"",""en"")"),"['Open', 'Application', 'Mobile', 'Samsung']")</f>
        <v>['Open', 'Application', 'Mobile', 'Samsung']</v>
      </c>
      <c r="D7264" s="3">
        <v>4.0</v>
      </c>
    </row>
    <row r="7265" ht="15.75" customHeight="1">
      <c r="A7265" s="1">
        <v>7752.0</v>
      </c>
      <c r="B7265" s="3" t="s">
        <v>6980</v>
      </c>
      <c r="C7265" s="3" t="str">
        <f>IFERROR(__xludf.DUMMYFUNCTION("GOOGLETRANSLATE(B7265,""id"",""en"")"),"['Difficult', 'enter', 'Application', '']")</f>
        <v>['Difficult', 'enter', 'Application', '']</v>
      </c>
      <c r="D7265" s="3">
        <v>1.0</v>
      </c>
    </row>
    <row r="7266" ht="15.75" customHeight="1">
      <c r="A7266" s="1">
        <v>7753.0</v>
      </c>
      <c r="B7266" s="3" t="s">
        <v>6981</v>
      </c>
      <c r="C7266" s="3" t="str">
        <f>IFERROR(__xludf.DUMMYFUNCTION("GOOGLETRANSLATE(B7266,""id"",""en"")"),"['Chaising', 'Telkomsel', 'Application', 'Stop', 'Install', 'reset', 'Different', 'Application', 'aspects',' offer ',' kuototua ',' expensive ',' compete ',' aspects', 'privileges',' speed ',' tidam ',' special ']")</f>
        <v>['Chaising', 'Telkomsel', 'Application', 'Stop', 'Install', 'reset', 'Different', 'Application', 'aspects',' offer ',' kuototua ',' expensive ',' compete ',' aspects', 'privileges',' speed ',' tidam ',' special ']</v>
      </c>
      <c r="D7266" s="3">
        <v>1.0</v>
      </c>
    </row>
    <row r="7267" ht="15.75" customHeight="1">
      <c r="A7267" s="1">
        <v>7754.0</v>
      </c>
      <c r="B7267" s="3" t="s">
        <v>6982</v>
      </c>
      <c r="C7267" s="3" t="str">
        <f>IFERROR(__xludf.DUMMYFUNCTION("GOOGLETRANSLATE(B7267,""id"",""en"")"),"['signal', 'missing', 'skrang', 'lost', 'minute', 'pdhal', 'jakarta', '']")</f>
        <v>['signal', 'missing', 'skrang', 'lost', 'minute', 'pdhal', 'jakarta', '']</v>
      </c>
      <c r="D7267" s="3">
        <v>1.0</v>
      </c>
    </row>
    <row r="7268" ht="15.75" customHeight="1">
      <c r="A7268" s="1">
        <v>7755.0</v>
      </c>
      <c r="B7268" s="3" t="s">
        <v>6983</v>
      </c>
      <c r="C7268" s="3" t="str">
        <f>IFERROR(__xludf.DUMMYFUNCTION("GOOGLETRANSLATE(B7268,""id"",""en"")"),"['skrng', 'Telkomsel', 'no', 'open']")</f>
        <v>['skrng', 'Telkomsel', 'no', 'open']</v>
      </c>
      <c r="D7268" s="3">
        <v>1.0</v>
      </c>
    </row>
    <row r="7269" ht="15.75" customHeight="1">
      <c r="A7269" s="1">
        <v>7756.0</v>
      </c>
      <c r="B7269" s="3" t="s">
        <v>6984</v>
      </c>
      <c r="C7269" s="3" t="str">
        <f>IFERROR(__xludf.DUMMYFUNCTION("GOOGLETRANSLATE(B7269,""id"",""en"")"),"['already', 'uninstall', 'trs', 'install', 'go', '']")</f>
        <v>['already', 'uninstall', 'trs', 'install', 'go', '']</v>
      </c>
      <c r="D7269" s="3">
        <v>1.0</v>
      </c>
    </row>
    <row r="7270" ht="15.75" customHeight="1">
      <c r="A7270" s="1">
        <v>7757.0</v>
      </c>
      <c r="B7270" s="3" t="s">
        <v>6985</v>
      </c>
      <c r="C7270" s="3" t="str">
        <f>IFERROR(__xludf.DUMMYFUNCTION("GOOGLETRANSLATE(B7270,""id"",""en"")"),"['disappointing', 'Price', 'Package', 'Not bad', 'Stable', 'Please', 'Network', 'Stable', 'Night', ""]")</f>
        <v>['disappointing', 'Price', 'Package', 'Not bad', 'Stable', 'Please', 'Network', 'Stable', 'Night', "]</v>
      </c>
      <c r="D7270" s="3">
        <v>4.0</v>
      </c>
    </row>
    <row r="7271" ht="15.75" customHeight="1">
      <c r="A7271" s="1">
        <v>7758.0</v>
      </c>
      <c r="B7271" s="3" t="s">
        <v>6986</v>
      </c>
      <c r="C7271" s="3" t="str">
        <f>IFERROR(__xludf.DUMMYFUNCTION("GOOGLETRANSLATE(B7271,""id"",""en"")"),"['katany', 'provider', 'BUMN', 'expensive', 'sangt', 'for', 'class',' menengh ',' package ',' cheap ',' rb ',' Gb ',' slow ',' mercy ',' jerk ',' bngt ',' udh ',' gtu ',' leftover ',' pulse ',' run out ',' dengn ',' knp ',' kayak ',' tikusss' , 'crogging'"&amp;", 'rice', 'like', 'provider', 'tri', 'greedy', 'quota', 'hbs',' pulse ',' mrka ',' take ',' by "" SNGT ',' Professional ',' impression ',' greedy ',' provider ',' Telkomsel ',' ngaca ',' jngn ',' mouse ',' BUMN ',' MLK ',' people ', ""]")</f>
        <v>['katany', 'provider', 'BUMN', 'expensive', 'sangt', 'for', 'class',' menengh ',' package ',' cheap ',' rb ',' Gb ',' slow ',' mercy ',' jerk ',' bngt ',' udh ',' gtu ',' leftover ',' pulse ',' run out ',' dengn ',' knp ',' kayak ',' tikusss' , 'crogging', 'rice', 'like', 'provider', 'tri', 'greedy', 'quota', 'hbs',' pulse ',' mrka ',' take ',' by " SNGT ',' Professional ',' impression ',' greedy ',' provider ',' Telkomsel ',' ngaca ',' jngn ',' mouse ',' BUMN ',' MLK ',' people ', "]</v>
      </c>
      <c r="D7271" s="3">
        <v>1.0</v>
      </c>
    </row>
    <row r="7272" ht="15.75" customHeight="1">
      <c r="A7272" s="1">
        <v>7759.0</v>
      </c>
      <c r="B7272" s="3" t="s">
        <v>6987</v>
      </c>
      <c r="C7272" s="3" t="str">
        <f>IFERROR(__xludf.DUMMYFUNCTION("GOOGLETRANSLATE(B7272,""id"",""en"")"),"['Contact', 'Telkomsel', 'how', 'Min', '']")</f>
        <v>['Contact', 'Telkomsel', 'how', 'Min', '']</v>
      </c>
      <c r="D7272" s="3">
        <v>4.0</v>
      </c>
    </row>
    <row r="7273" ht="15.75" customHeight="1">
      <c r="A7273" s="1">
        <v>7760.0</v>
      </c>
      <c r="B7273" s="3" t="s">
        <v>6988</v>
      </c>
      <c r="C7273" s="3" t="str">
        <f>IFERROR(__xludf.DUMMYFUNCTION("GOOGLETRANSLATE(B7273,""id"",""en"")"),"['Honest', 'like', 'really', 'Telkomsel', 'Since', 'Features',' Package ',' Internet ',' Yangmurah ',' Eliminated ',' Disappointed ',' Very ',' Returned ',' Package ',' Internet ',' ']")</f>
        <v>['Honest', 'like', 'really', 'Telkomsel', 'Since', 'Features',' Package ',' Internet ',' Yangmurah ',' Eliminated ',' Disappointed ',' Very ',' Returned ',' Package ',' Internet ',' ']</v>
      </c>
      <c r="D7273" s="3">
        <v>2.0</v>
      </c>
    </row>
    <row r="7274" ht="15.75" customHeight="1">
      <c r="A7274" s="1">
        <v>7761.0</v>
      </c>
      <c r="B7274" s="3" t="s">
        <v>6989</v>
      </c>
      <c r="C7274" s="3" t="str">
        <f>IFERROR(__xludf.DUMMYFUNCTION("GOOGLETRANSLATE(B7274,""id"",""en"")"),"['Hopefully', 'in the future']")</f>
        <v>['Hopefully', 'in the future']</v>
      </c>
      <c r="D7274" s="3">
        <v>5.0</v>
      </c>
    </row>
    <row r="7275" ht="15.75" customHeight="1">
      <c r="A7275" s="1">
        <v>7762.0</v>
      </c>
      <c r="B7275" s="3" t="s">
        <v>6990</v>
      </c>
      <c r="C7275" s="3" t="str">
        <f>IFERROR(__xludf.DUMMYFUNCTION("GOOGLETRANSLATE(B7275,""id"",""en"")"),"['Sorry', 'Telkom', 'just now', 'buy', 'ngekame', 'signal', 'Please', 'fix', 'talk', 'Please', 'sorry', 'min', ' Already ',' Restless', 'Please', 'Work', 'Samanya']")</f>
        <v>['Sorry', 'Telkom', 'just now', 'buy', 'ngekame', 'signal', 'Please', 'fix', 'talk', 'Please', 'sorry', 'min', ' Already ',' Restless', 'Please', 'Work', 'Samanya']</v>
      </c>
      <c r="D7275" s="3">
        <v>1.0</v>
      </c>
    </row>
    <row r="7276" ht="15.75" customHeight="1">
      <c r="A7276" s="1">
        <v>7763.0</v>
      </c>
      <c r="B7276" s="3" t="s">
        <v>6991</v>
      </c>
      <c r="C7276" s="3" t="str">
        <f>IFERROR(__xludf.DUMMYFUNCTION("GOOGLETRANSLATE(B7276,""id"",""en"")"),"['APK', 'Error', 'Open']")</f>
        <v>['APK', 'Error', 'Open']</v>
      </c>
      <c r="D7276" s="3">
        <v>1.0</v>
      </c>
    </row>
    <row r="7277" ht="15.75" customHeight="1">
      <c r="A7277" s="1">
        <v>7764.0</v>
      </c>
      <c r="B7277" s="3" t="s">
        <v>6992</v>
      </c>
      <c r="C7277" s="3" t="str">
        <f>IFERROR(__xludf.DUMMYFUNCTION("GOOGLETRANSLATE(B7277,""id"",""en"")"),"['times', 'disappointed', 'open', 'application', 'see', 'screen', 'white', 'that's', 'UDH', 'Uninstall', 'Download', ""]")</f>
        <v>['times', 'disappointed', 'open', 'application', 'see', 'screen', 'white', 'that's', 'UDH', 'Uninstall', 'Download', "]</v>
      </c>
      <c r="D7277" s="3">
        <v>1.0</v>
      </c>
    </row>
    <row r="7278" ht="15.75" customHeight="1">
      <c r="A7278" s="1">
        <v>7765.0</v>
      </c>
      <c r="B7278" s="3" t="s">
        <v>4434</v>
      </c>
      <c r="C7278" s="3" t="str">
        <f>IFERROR(__xludf.DUMMYFUNCTION("GOOGLETRANSLATE(B7278,""id"",""en"")"),"['Application', 'opened', '']")</f>
        <v>['Application', 'opened', '']</v>
      </c>
      <c r="D7278" s="3">
        <v>1.0</v>
      </c>
    </row>
    <row r="7279" ht="15.75" customHeight="1">
      <c r="A7279" s="1">
        <v>7766.0</v>
      </c>
      <c r="B7279" s="3" t="s">
        <v>6993</v>
      </c>
      <c r="C7279" s="3" t="str">
        <f>IFERROR(__xludf.DUMMYFUNCTION("GOOGLETRANSLATE(B7279,""id"",""en"")"),"['Dahlah', 'a week', 'Bener', 'already', 'chaotic', 'tasty', 'tasty', 'play', 'game', 'signal', 'Hadeh', 'kplak']")</f>
        <v>['Dahlah', 'a week', 'Bener', 'already', 'chaotic', 'tasty', 'tasty', 'play', 'game', 'signal', 'Hadeh', 'kplak']</v>
      </c>
      <c r="D7279" s="3">
        <v>1.0</v>
      </c>
    </row>
    <row r="7280" ht="15.75" customHeight="1">
      <c r="A7280" s="1">
        <v>7767.0</v>
      </c>
      <c r="B7280" s="3" t="s">
        <v>6994</v>
      </c>
      <c r="C7280" s="3" t="str">
        <f>IFERROR(__xludf.DUMMYFUNCTION("GOOGLETRANSLATE(B7280,""id"",""en"")"),"['Request', 'Fix', 'Application', 'UDH', 'A Week', 'Access',' Severe ',' Service ',' Kagak ',' Human ',' Work ',' Operator ',' Complaints ',' Dsini ',' Blas ',' Bot ',' Sosmed ',' Reply ',' Bot ',' Karna ',' Operators ',' TRS ',' Service ',']]")</f>
        <v>['Request', 'Fix', 'Application', 'UDH', 'A Week', 'Access',' Severe ',' Service ',' Kagak ',' Human ',' Work ',' Operator ',' Complaints ',' Dsini ',' Blas ',' Bot ',' Sosmed ',' Reply ',' Bot ',' Karna ',' Operators ',' TRS ',' Service ',']]</v>
      </c>
      <c r="D7280" s="3">
        <v>1.0</v>
      </c>
    </row>
    <row r="7281" ht="15.75" customHeight="1">
      <c r="A7281" s="1">
        <v>7768.0</v>
      </c>
      <c r="B7281" s="3" t="s">
        <v>6995</v>
      </c>
      <c r="C7281" s="3" t="str">
        <f>IFERROR(__xludf.DUMMYFUNCTION("GOOGLETRANSLATE(B7281,""id"",""en"")"),"['skrg', 'Telkomsel', 'slow', 'open', 'Telkomsel', 'ngelag']")</f>
        <v>['skrg', 'Telkomsel', 'slow', 'open', 'Telkomsel', 'ngelag']</v>
      </c>
      <c r="D7281" s="3">
        <v>3.0</v>
      </c>
    </row>
    <row r="7282" ht="15.75" customHeight="1">
      <c r="A7282" s="1">
        <v>7769.0</v>
      </c>
      <c r="B7282" s="3" t="s">
        <v>6996</v>
      </c>
      <c r="C7282" s="3" t="str">
        <f>IFERROR(__xludf.DUMMYFUNCTION("GOOGLETRANSLATE(B7282,""id"",""en"")"),"['Help', 'trim', 'tekomsel', 'increase', 'service', 'loyal']")</f>
        <v>['Help', 'trim', 'tekomsel', 'increase', 'service', 'loyal']</v>
      </c>
      <c r="D7282" s="3">
        <v>5.0</v>
      </c>
    </row>
    <row r="7283" ht="15.75" customHeight="1">
      <c r="A7283" s="1">
        <v>7770.0</v>
      </c>
      <c r="B7283" s="3" t="s">
        <v>6997</v>
      </c>
      <c r="C7283" s="3" t="str">
        <f>IFERROR(__xludf.DUMMYFUNCTION("GOOGLETRANSLATE(B7283,""id"",""en"")"),"['expensive', 'quota', 'pulse', 'sumps']")</f>
        <v>['expensive', 'quota', 'pulse', 'sumps']</v>
      </c>
      <c r="D7283" s="3">
        <v>1.0</v>
      </c>
    </row>
    <row r="7284" ht="15.75" customHeight="1">
      <c r="A7284" s="1">
        <v>7771.0</v>
      </c>
      <c r="B7284" s="3" t="s">
        <v>6998</v>
      </c>
      <c r="C7284" s="3" t="str">
        <f>IFERROR(__xludf.DUMMYFUNCTION("GOOGLETRANSLATE(B7284,""id"",""en"")"),"['ngak', 'open', 'looks', 'screen', 'color', 'white']")</f>
        <v>['ngak', 'open', 'looks', 'screen', 'color', 'white']</v>
      </c>
      <c r="D7284" s="3">
        <v>2.0</v>
      </c>
    </row>
    <row r="7285" ht="15.75" customHeight="1">
      <c r="A7285" s="1">
        <v>7772.0</v>
      </c>
      <c r="B7285" s="3" t="s">
        <v>6999</v>
      </c>
      <c r="C7285" s="3" t="str">
        <f>IFERROR(__xludf.DUMMYFUNCTION("GOOGLETRANSLATE(B7285,""id"",""en"")"),"['Baguuussss', 'pwdage']")</f>
        <v>['Baguuussss', 'pwdage']</v>
      </c>
      <c r="D7285" s="3">
        <v>4.0</v>
      </c>
    </row>
    <row r="7286" ht="15.75" customHeight="1">
      <c r="A7286" s="1">
        <v>7773.0</v>
      </c>
      <c r="B7286" s="3" t="s">
        <v>7000</v>
      </c>
      <c r="C7286" s="3" t="str">
        <f>IFERROR(__xludf.DUMMYFUNCTION("GOOGLETRANSLATE(B7286,""id"",""en"")"),"['Bagus', 'knpa', 'price', 'naiiik', 'already', 'tasty', 'package', 'price', 'naek', 'hadeeh']")</f>
        <v>['Bagus', 'knpa', 'price', 'naiiik', 'already', 'tasty', 'package', 'price', 'naek', 'hadeeh']</v>
      </c>
      <c r="D7286" s="3">
        <v>4.0</v>
      </c>
    </row>
    <row r="7287" ht="15.75" customHeight="1">
      <c r="A7287" s="1">
        <v>7775.0</v>
      </c>
      <c r="B7287" s="3" t="s">
        <v>7001</v>
      </c>
      <c r="C7287" s="3" t="str">
        <f>IFERROR(__xludf.DUMMYFUNCTION("GOOGLETRANSLATE(B7287,""id"",""en"")"),"['apk', 'bgus', 'mkasih', 'telkomswl']")</f>
        <v>['apk', 'bgus', 'mkasih', 'telkomswl']</v>
      </c>
      <c r="D7287" s="3">
        <v>5.0</v>
      </c>
    </row>
    <row r="7288" ht="15.75" customHeight="1">
      <c r="A7288" s="1">
        <v>7776.0</v>
      </c>
      <c r="B7288" s="3" t="s">
        <v>7002</v>
      </c>
      <c r="C7288" s="3" t="str">
        <f>IFERROR(__xludf.DUMMYFUNCTION("GOOGLETRANSLATE(B7288,""id"",""en"")"),"['APK', 'opened', 'Bener', '']")</f>
        <v>['APK', 'opened', 'Bener', '']</v>
      </c>
      <c r="D7288" s="3">
        <v>1.0</v>
      </c>
    </row>
    <row r="7289" ht="15.75" customHeight="1">
      <c r="A7289" s="1">
        <v>7777.0</v>
      </c>
      <c r="B7289" s="3" t="s">
        <v>7003</v>
      </c>
      <c r="C7289" s="3" t="str">
        <f>IFERROR(__xludf.DUMMYFUNCTION("GOOGLETRANSLATE(B7289,""id"",""en"")"),"['Application', 'Optimal', 'Consume', 'Battery', 'Denged']")</f>
        <v>['Application', 'Optimal', 'Consume', 'Battery', 'Denged']</v>
      </c>
      <c r="D7289" s="3">
        <v>1.0</v>
      </c>
    </row>
    <row r="7290" ht="15.75" customHeight="1">
      <c r="A7290" s="1">
        <v>7778.0</v>
      </c>
      <c r="B7290" s="3" t="s">
        <v>7004</v>
      </c>
      <c r="C7290" s="3" t="str">
        <f>IFERROR(__xludf.DUMMYFUNCTION("GOOGLETRANSLATE(B7290,""id"",""en"")"),"['Josss', 'subscription', 'Please', 'In the first', 'given', 'discount', 'cashback']")</f>
        <v>['Josss', 'subscription', 'Please', 'In the first', 'given', 'discount', 'cashback']</v>
      </c>
      <c r="D7290" s="3">
        <v>5.0</v>
      </c>
    </row>
    <row r="7291" ht="15.75" customHeight="1">
      <c r="A7291" s="1">
        <v>7779.0</v>
      </c>
      <c r="B7291" s="3" t="s">
        <v>7005</v>
      </c>
      <c r="C7291" s="3" t="str">
        <f>IFERROR(__xludf.DUMMYFUNCTION("GOOGLETRANSLATE(B7291,""id"",""en"")"),"['Telkomsel', 'Kemrn', 'opened', 'open', 'surprised', 'knp', 'outlet', 'kmrn', 'high school', 'error', 'dark', 'what', ' Please, 'Telkom']")</f>
        <v>['Telkomsel', 'Kemrn', 'opened', 'open', 'surprised', 'knp', 'outlet', 'kmrn', 'high school', 'error', 'dark', 'what', ' Please, 'Telkom']</v>
      </c>
      <c r="D7291" s="3">
        <v>1.0</v>
      </c>
    </row>
    <row r="7292" ht="15.75" customHeight="1">
      <c r="A7292" s="1">
        <v>7780.0</v>
      </c>
      <c r="B7292" s="3" t="s">
        <v>7006</v>
      </c>
      <c r="C7292" s="3" t="str">
        <f>IFERROR(__xludf.DUMMYFUNCTION("GOOGLETRANSLATE(B7292,""id"",""en"")"),"['HBIS', 'Updete', 'Open']")</f>
        <v>['HBIS', 'Updete', 'Open']</v>
      </c>
      <c r="D7292" s="3">
        <v>1.0</v>
      </c>
    </row>
    <row r="7293" ht="15.75" customHeight="1">
      <c r="A7293" s="1">
        <v>7781.0</v>
      </c>
      <c r="B7293" s="3" t="s">
        <v>7007</v>
      </c>
      <c r="C7293" s="3" t="str">
        <f>IFERROR(__xludf.DUMMYFUNCTION("GOOGLETRANSLATE(B7293,""id"",""en"")"),"['', 'Telkomsel', 'open', 'application', 'display', 'screen', 'white', '']")</f>
        <v>['', 'Telkomsel', 'open', 'application', 'display', 'screen', 'white', '']</v>
      </c>
      <c r="D7293" s="3">
        <v>1.0</v>
      </c>
    </row>
    <row r="7294" ht="15.75" customHeight="1">
      <c r="A7294" s="1">
        <v>7782.0</v>
      </c>
      <c r="B7294" s="3" t="s">
        <v>7008</v>
      </c>
      <c r="C7294" s="3" t="str">
        <f>IFERROR(__xludf.DUMMYFUNCTION("GOOGLETRANSLATE(B7294,""id"",""en"")"),"['MyTelkomsel', 'Enhanced', 'Explanation', 'Function', 'Internet', 'Multifunction']")</f>
        <v>['MyTelkomsel', 'Enhanced', 'Explanation', 'Function', 'Internet', 'Multifunction']</v>
      </c>
      <c r="D7294" s="3">
        <v>2.0</v>
      </c>
    </row>
    <row r="7295" ht="15.75" customHeight="1">
      <c r="A7295" s="1">
        <v>7783.0</v>
      </c>
      <c r="B7295" s="3" t="s">
        <v>7009</v>
      </c>
      <c r="C7295" s="3" t="str">
        <f>IFERROR(__xludf.DUMMYFUNCTION("GOOGLETRANSLATE(B7295,""id"",""en"")"),"['Please', 'fix', 'as soon as possible', 'KNPA', 'open', 'application', '']")</f>
        <v>['Please', 'fix', 'as soon as possible', 'KNPA', 'open', 'application', '']</v>
      </c>
      <c r="D7295" s="3">
        <v>1.0</v>
      </c>
    </row>
    <row r="7296" ht="15.75" customHeight="1">
      <c r="A7296" s="1">
        <v>7784.0</v>
      </c>
      <c r="B7296" s="3" t="s">
        <v>7010</v>
      </c>
      <c r="C7296" s="3" t="str">
        <f>IFERROR(__xludf.DUMMYFUNCTION("GOOGLETRANSLATE(B7296,""id"",""en"")"),"['open', 'the application', 'want', 'check', 'kouta', 'hope', 'fast', 'right', ""]")</f>
        <v>['open', 'the application', 'want', 'check', 'kouta', 'hope', 'fast', 'right', "]</v>
      </c>
      <c r="D7296" s="3">
        <v>1.0</v>
      </c>
    </row>
    <row r="7297" ht="15.75" customHeight="1">
      <c r="A7297" s="1">
        <v>7785.0</v>
      </c>
      <c r="B7297" s="3" t="s">
        <v>7011</v>
      </c>
      <c r="C7297" s="3" t="str">
        <f>IFERROR(__xludf.DUMMYFUNCTION("GOOGLETRANSLATE(B7297,""id"",""en"")"),"['Yesterday', 'promo', 'quota', 'GB', 'apply', 'Stela', 'buy', 'Ter', 'real', 'DAK', 'Pakek', 'internet', ' Ter ',' Tipu ',' Telkomsel ']")</f>
        <v>['Yesterday', 'promo', 'quota', 'GB', 'apply', 'Stela', 'buy', 'Ter', 'real', 'DAK', 'Pakek', 'internet', ' Ter ',' Tipu ',' Telkomsel ']</v>
      </c>
      <c r="D7297" s="3">
        <v>1.0</v>
      </c>
    </row>
    <row r="7298" ht="15.75" customHeight="1">
      <c r="A7298" s="1">
        <v>7786.0</v>
      </c>
      <c r="B7298" s="3" t="s">
        <v>7012</v>
      </c>
      <c r="C7298" s="3" t="str">
        <f>IFERROR(__xludf.DUMMYFUNCTION("GOOGLETRANSLATE(B7298,""id"",""en"")"),"['Steady', 'Blom', 'Post', 'Pay']")</f>
        <v>['Steady', 'Blom', 'Post', 'Pay']</v>
      </c>
      <c r="D7298" s="3">
        <v>5.0</v>
      </c>
    </row>
    <row r="7299" ht="15.75" customHeight="1">
      <c r="A7299" s="1">
        <v>7787.0</v>
      </c>
      <c r="B7299" s="3" t="s">
        <v>7013</v>
      </c>
      <c r="C7299" s="3" t="str">
        <f>IFERROR(__xludf.DUMMYFUNCTION("GOOGLETRANSLATE(B7299,""id"",""en"")"),"['rotten', 'signal', 'Telkomsel', 'Severe', '']")</f>
        <v>['rotten', 'signal', 'Telkomsel', 'Severe', '']</v>
      </c>
      <c r="D7299" s="3">
        <v>1.0</v>
      </c>
    </row>
    <row r="7300" ht="15.75" customHeight="1">
      <c r="A7300" s="1">
        <v>7788.0</v>
      </c>
      <c r="B7300" s="3" t="s">
        <v>7014</v>
      </c>
      <c r="C7300" s="3" t="str">
        <f>IFERROR(__xludf.DUMMYFUNCTION("GOOGLETRANSLATE(B7300,""id"",""en"")"),"['Help', 'Sometimes', 'open', 'the application', 'difficult', 'tried', 'many', 'times']")</f>
        <v>['Help', 'Sometimes', 'open', 'the application', 'difficult', 'tried', 'many', 'times']</v>
      </c>
      <c r="D7300" s="3">
        <v>4.0</v>
      </c>
    </row>
    <row r="7301" ht="15.75" customHeight="1">
      <c r="A7301" s="1">
        <v>7789.0</v>
      </c>
      <c r="B7301" s="3" t="s">
        <v>7015</v>
      </c>
      <c r="C7301" s="3" t="str">
        <f>IFERROR(__xludf.DUMMYFUNCTION("GOOGLETRANSLATE(B7301,""id"",""en"")"),"['Satisfied', 'serve']")</f>
        <v>['Satisfied', 'serve']</v>
      </c>
      <c r="D7301" s="3">
        <v>5.0</v>
      </c>
    </row>
    <row r="7302" ht="15.75" customHeight="1">
      <c r="A7302" s="1">
        <v>7791.0</v>
      </c>
      <c r="B7302" s="3" t="s">
        <v>7016</v>
      </c>
      <c r="C7302" s="3" t="str">
        <f>IFERROR(__xludf.DUMMYFUNCTION("GOOGLETRANSLATE(B7302,""id"",""en"")"),"['thank', 'love', 'service', 'service']")</f>
        <v>['thank', 'love', 'service', 'service']</v>
      </c>
      <c r="D7302" s="3">
        <v>4.0</v>
      </c>
    </row>
    <row r="7303" ht="15.75" customHeight="1">
      <c r="A7303" s="1">
        <v>7792.0</v>
      </c>
      <c r="B7303" s="3" t="s">
        <v>7017</v>
      </c>
      <c r="C7303" s="3" t="str">
        <f>IFERROR(__xludf.DUMMYFUNCTION("GOOGLETRANSLATE(B7303,""id"",""en"")"),"['Severe', 'Really', 'Signal', 'Telkomsel', 'Meaning', 'Main', 'Game', 'Severe', 'bin', 'Amit', 'Amit', 'Ngelag', ' Severe ',' Application ',' Telkomsel ',' Out ',' Update ',' Open ',' Difficult ',' Costs', 'Expensive', 'Quality', 'Rich', 'Gini', ""]")</f>
        <v>['Severe', 'Really', 'Signal', 'Telkomsel', 'Meaning', 'Main', 'Game', 'Severe', 'bin', 'Amit', 'Amit', 'Ngelag', ' Severe ',' Application ',' Telkomsel ',' Out ',' Update ',' Open ',' Difficult ',' Costs', 'Expensive', 'Quality', 'Rich', 'Gini', "]</v>
      </c>
      <c r="D7303" s="3">
        <v>1.0</v>
      </c>
    </row>
    <row r="7304" ht="15.75" customHeight="1">
      <c r="A7304" s="1">
        <v>7794.0</v>
      </c>
      <c r="B7304" s="3" t="s">
        <v>7018</v>
      </c>
      <c r="C7304" s="3" t="str">
        <f>IFERROR(__xludf.DUMMYFUNCTION("GOOGLETRANSLATE(B7304,""id"",""en"")"),"['Useful', 'BNYK', 'promo', 'balance', 'pulse', 'sufficient', 'Spray', 'banking']")</f>
        <v>['Useful', 'BNYK', 'promo', 'balance', 'pulse', 'sufficient', 'Spray', 'banking']</v>
      </c>
      <c r="D7304" s="3">
        <v>4.0</v>
      </c>
    </row>
    <row r="7305" ht="15.75" customHeight="1">
      <c r="A7305" s="1">
        <v>7795.0</v>
      </c>
      <c r="B7305" s="3" t="s">
        <v>7019</v>
      </c>
      <c r="C7305" s="3" t="str">
        <f>IFERROR(__xludf.DUMMYFUNCTION("GOOGLETRANSLATE(B7305,""id"",""en"")"),"['Please', 'Application', 'repaired', 'Cust', 'application', 'make it difficult', '']")</f>
        <v>['Please', 'Application', 'repaired', 'Cust', 'application', 'make it difficult', '']</v>
      </c>
      <c r="D7305" s="3">
        <v>2.0</v>
      </c>
    </row>
    <row r="7306" ht="15.75" customHeight="1">
      <c r="A7306" s="1">
        <v>7796.0</v>
      </c>
      <c r="B7306" s="3" t="s">
        <v>7020</v>
      </c>
      <c r="C7306" s="3" t="str">
        <f>IFERROR(__xludf.DUMMYFUNCTION("GOOGLETRANSLATE(B7306,""id"",""en"")"),"['Maff', 'update', 'NGK', 'opened', 'Printing', 'Sams', 'Thank', 'Love', ""]")</f>
        <v>['Maff', 'update', 'NGK', 'opened', 'Printing', 'Sams', 'Thank', 'Love', "]</v>
      </c>
      <c r="D7306" s="3">
        <v>2.0</v>
      </c>
    </row>
    <row r="7307" ht="15.75" customHeight="1">
      <c r="A7307" s="1">
        <v>7798.0</v>
      </c>
      <c r="B7307" s="3" t="s">
        <v>7021</v>
      </c>
      <c r="C7307" s="3" t="str">
        <f>IFERROR(__xludf.DUMMYFUNCTION("GOOGLETRANSLATE(B7307,""id"",""en"")"),"['Reach', 'broad']")</f>
        <v>['Reach', 'broad']</v>
      </c>
      <c r="D7307" s="3">
        <v>5.0</v>
      </c>
    </row>
    <row r="7308" ht="15.75" customHeight="1">
      <c r="A7308" s="1">
        <v>7799.0</v>
      </c>
      <c r="B7308" s="3" t="s">
        <v>7022</v>
      </c>
      <c r="C7308" s="3" t="str">
        <f>IFERROR(__xludf.DUMMYFUNCTION("GOOGLETRANSLATE(B7308,""id"",""en"")"),"['Difficult', 'Open', 'Application', 'Lemot', '']")</f>
        <v>['Difficult', 'Open', 'Application', 'Lemot', '']</v>
      </c>
      <c r="D7308" s="3">
        <v>2.0</v>
      </c>
    </row>
    <row r="7309" ht="15.75" customHeight="1">
      <c r="A7309" s="1">
        <v>7800.0</v>
      </c>
      <c r="B7309" s="3" t="s">
        <v>7023</v>
      </c>
      <c r="C7309" s="3" t="str">
        <f>IFERROR(__xludf.DUMMYFUNCTION("GOOGLETRANSLATE(B7309,""id"",""en"")"),"['Network', 'Telkomsel', 'Severe', 'really', 'gabisa', 'play', 'game', 'AFK', 'Gara', 'Gara', 'jaringaan', 'stable', ' Disight ',' Even though ',' Jangkauwan ',' Network ',' The widest ',' stable ',' Severe ',' really ',' here ',' crazy ',' network ',' em"&amp;"ang ',' right ' , 'Ingame', 'network', 'broken', 'disappointed', 'really', 'Telkomsel']")</f>
        <v>['Network', 'Telkomsel', 'Severe', 'really', 'gabisa', 'play', 'game', 'AFK', 'Gara', 'Gara', 'jaringaan', 'stable', ' Disight ',' Even though ',' Jangkauwan ',' Network ',' The widest ',' stable ',' Severe ',' really ',' here ',' crazy ',' network ',' emang ',' right ' , 'Ingame', 'network', 'broken', 'disappointed', 'really', 'Telkomsel']</v>
      </c>
      <c r="D7309" s="3">
        <v>1.0</v>
      </c>
    </row>
    <row r="7310" ht="15.75" customHeight="1">
      <c r="A7310" s="1">
        <v>7802.0</v>
      </c>
      <c r="B7310" s="3" t="s">
        <v>7024</v>
      </c>
      <c r="C7310" s="3" t="str">
        <f>IFERROR(__xludf.DUMMYFUNCTION("GOOGLETRANSLATE(B7310,""id"",""en"")"),"['honest', 'users',' Telkomsel ',' disappointed ',' oath ',' application ',' benefits', 'open', 'application', 'screen', 'direct', 'white', ' Install ',' Masi ',' White ',' Telkomsel ',' Please ',' Action ',' Continue ',' Disappointed ',' Oath ', ""]")</f>
        <v>['honest', 'users',' Telkomsel ',' disappointed ',' oath ',' application ',' benefits', 'open', 'application', 'screen', 'direct', 'white', ' Install ',' Masi ',' White ',' Telkomsel ',' Please ',' Action ',' Continue ',' Disappointed ',' Oath ', "]</v>
      </c>
      <c r="D7310" s="3">
        <v>1.0</v>
      </c>
    </row>
    <row r="7311" ht="15.75" customHeight="1">
      <c r="A7311" s="1">
        <v>7803.0</v>
      </c>
      <c r="B7311" s="3" t="s">
        <v>7025</v>
      </c>
      <c r="C7311" s="3" t="str">
        <f>IFERROR(__xludf.DUMMYFUNCTION("GOOGLETRANSLATE(B7311,""id"",""en"")"),"['choice', 'package', 'ilang', 'Display', 'complicated', 'info', 'package', 'detail', 'chat', 'veronika', 'pocket', ' bad', '']")</f>
        <v>['choice', 'package', 'ilang', 'Display', 'complicated', 'info', 'package', 'detail', 'chat', 'veronika', 'pocket', ' bad', '']</v>
      </c>
      <c r="D7311" s="3">
        <v>2.0</v>
      </c>
    </row>
    <row r="7312" ht="15.75" customHeight="1">
      <c r="A7312" s="1">
        <v>7804.0</v>
      </c>
      <c r="B7312" s="3" t="s">
        <v>7026</v>
      </c>
      <c r="C7312" s="3" t="str">
        <f>IFERROR(__xludf.DUMMYFUNCTION("GOOGLETRANSLATE(B7312,""id"",""en"")"),"['application', 'easy', 'bngtttt', 'buy', 'package', 'intrenet', 'TPI', 'LGii', 'lgii', 'help', 'right', 'Bukak', ' White ',' empty ',' plis', '']")</f>
        <v>['application', 'easy', 'bngtttt', 'buy', 'package', 'intrenet', 'TPI', 'LGii', 'lgii', 'help', 'right', 'Bukak', ' White ',' empty ',' plis', '']</v>
      </c>
      <c r="D7312" s="3">
        <v>3.0</v>
      </c>
    </row>
    <row r="7313" ht="15.75" customHeight="1">
      <c r="A7313" s="1">
        <v>7805.0</v>
      </c>
      <c r="B7313" s="3" t="s">
        <v>312</v>
      </c>
      <c r="C7313" s="3" t="str">
        <f>IFERROR(__xludf.DUMMYFUNCTION("GOOGLETRANSLATE(B7313,""id"",""en"")"),"['best']")</f>
        <v>['best']</v>
      </c>
      <c r="D7313" s="3">
        <v>5.0</v>
      </c>
    </row>
    <row r="7314" ht="15.75" customHeight="1">
      <c r="A7314" s="1">
        <v>7806.0</v>
      </c>
      <c r="B7314" s="3" t="s">
        <v>7027</v>
      </c>
      <c r="C7314" s="3" t="str">
        <f>IFERROR(__xludf.DUMMYFUNCTION("GOOGLETRANSLATE(B7314,""id"",""en"")"),"['how', 'twigs', 'the application', 'white', 'doang', 'check', '']")</f>
        <v>['how', 'twigs', 'the application', 'white', 'doang', 'check', '']</v>
      </c>
      <c r="D7314" s="3">
        <v>1.0</v>
      </c>
    </row>
    <row r="7315" ht="15.75" customHeight="1">
      <c r="A7315" s="1">
        <v>7807.0</v>
      </c>
      <c r="B7315" s="3" t="s">
        <v>859</v>
      </c>
      <c r="C7315" s="3" t="str">
        <f>IFERROR(__xludf.DUMMYFUNCTION("GOOGLETRANSLATE(B7315,""id"",""en"")"),"['help', '']")</f>
        <v>['help', '']</v>
      </c>
      <c r="D7315" s="3">
        <v>5.0</v>
      </c>
    </row>
    <row r="7316" ht="15.75" customHeight="1">
      <c r="A7316" s="1">
        <v>7808.0</v>
      </c>
      <c r="B7316" s="3" t="s">
        <v>7028</v>
      </c>
      <c r="C7316" s="3" t="str">
        <f>IFERROR(__xludf.DUMMYFUNCTION("GOOGLETRANSLATE(B7316,""id"",""en"")"),"['Service', 'quality']")</f>
        <v>['Service', 'quality']</v>
      </c>
      <c r="D7316" s="3">
        <v>5.0</v>
      </c>
    </row>
    <row r="7317" ht="15.75" customHeight="1">
      <c r="A7317" s="1">
        <v>7809.0</v>
      </c>
      <c r="B7317" s="3" t="s">
        <v>7029</v>
      </c>
      <c r="C7317" s="3" t="str">
        <f>IFERROR(__xludf.DUMMYFUNCTION("GOOGLETRANSLATE(B7317,""id"",""en"")"),"['Ahhh', 'steady', 'bonus', 'Christmas', '']")</f>
        <v>['Ahhh', 'steady', 'bonus', 'Christmas', '']</v>
      </c>
      <c r="D7317" s="3">
        <v>5.0</v>
      </c>
    </row>
    <row r="7318" ht="15.75" customHeight="1">
      <c r="A7318" s="1">
        <v>7810.0</v>
      </c>
      <c r="B7318" s="3" t="s">
        <v>7030</v>
      </c>
      <c r="C7318" s="3" t="str">
        <f>IFERROR(__xludf.DUMMYFUNCTION("GOOGLETRANSLATE(B7318,""id"",""en"")"),"['expensive', 'times', 'buy', 'package', 'mirah']")</f>
        <v>['expensive', 'times', 'buy', 'package', 'mirah']</v>
      </c>
      <c r="D7318" s="3">
        <v>1.0</v>
      </c>
    </row>
    <row r="7319" ht="15.75" customHeight="1">
      <c r="A7319" s="1">
        <v>7811.0</v>
      </c>
      <c r="B7319" s="3" t="s">
        <v>7031</v>
      </c>
      <c r="C7319" s="3" t="str">
        <f>IFERROR(__xludf.DUMMYFUNCTION("GOOGLETRANSLATE(B7319,""id"",""en"")"),"['System', 'Telkomsel', 'Data', 'Out', 'Credit', 'Taken', 'Internet', 'Road', 'People', 'Forgot', 'Buy', 'Package', ' run out ',' pulse ',' data ',' live ',' Telkomsel ',' keprah ',' system ',' comfortable ',' consumer ',' Telkomsel ']")</f>
        <v>['System', 'Telkomsel', 'Data', 'Out', 'Credit', 'Taken', 'Internet', 'Road', 'People', 'Forgot', 'Buy', 'Package', ' run out ',' pulse ',' data ',' live ',' Telkomsel ',' keprah ',' system ',' comfortable ',' consumer ',' Telkomsel ']</v>
      </c>
      <c r="D7319" s="3">
        <v>4.0</v>
      </c>
    </row>
    <row r="7320" ht="15.75" customHeight="1">
      <c r="A7320" s="1">
        <v>7812.0</v>
      </c>
      <c r="B7320" s="3" t="s">
        <v>7032</v>
      </c>
      <c r="C7320" s="3" t="str">
        <f>IFERROR(__xludf.DUMMYFUNCTION("GOOGLETRANSLATE(B7320,""id"",""en"")"),"['price', 'expensive', 'doang', 'network', 'chaotic', '']")</f>
        <v>['price', 'expensive', 'doang', 'network', 'chaotic', '']</v>
      </c>
      <c r="D7320" s="3">
        <v>1.0</v>
      </c>
    </row>
    <row r="7321" ht="15.75" customHeight="1">
      <c r="A7321" s="1">
        <v>7813.0</v>
      </c>
      <c r="B7321" s="3" t="s">
        <v>7033</v>
      </c>
      <c r="C7321" s="3" t="str">
        <f>IFERROR(__xludf.DUMMYFUNCTION("GOOGLETRANSLATE(B7321,""id"",""en"")"),"['BURIK', 'Open', 'APKNY']")</f>
        <v>['BURIK', 'Open', 'APKNY']</v>
      </c>
      <c r="D7321" s="3">
        <v>1.0</v>
      </c>
    </row>
    <row r="7322" ht="15.75" customHeight="1">
      <c r="A7322" s="1">
        <v>7814.0</v>
      </c>
      <c r="B7322" s="3" t="s">
        <v>7034</v>
      </c>
      <c r="C7322" s="3" t="str">
        <f>IFERROR(__xludf.DUMMYFUNCTION("GOOGLETRANSLATE(B7322,""id"",""en"")"),"['December', 'fertilier', 'lag', 'network', 'error', 'play', 'game', 'error', 'signal', 'ngaco', 'me', 'already', ' Quota ',' Paketan ',' Berciled ',' Giga ',' Lag ',' Kacauu ',' Telkom ', ""]")</f>
        <v>['December', 'fertilier', 'lag', 'network', 'error', 'play', 'game', 'error', 'signal', 'ngaco', 'me', 'already', ' Quota ',' Paketan ',' Berciled ',' Giga ',' Lag ',' Kacauu ',' Telkom ', "]</v>
      </c>
      <c r="D7322" s="3">
        <v>1.0</v>
      </c>
    </row>
    <row r="7323" ht="15.75" customHeight="1">
      <c r="A7323" s="1">
        <v>7815.0</v>
      </c>
      <c r="B7323" s="3" t="s">
        <v>7035</v>
      </c>
      <c r="C7323" s="3" t="str">
        <f>IFERROR(__xludf.DUMMYFUNCTION("GOOGLETRANSLATE(B7323,""id"",""en"")"),"['Buy', 'practical', 'Katux', 'expensive', 'appeal', 'net']")</f>
        <v>['Buy', 'practical', 'Katux', 'expensive', 'appeal', 'net']</v>
      </c>
      <c r="D7323" s="3">
        <v>4.0</v>
      </c>
    </row>
    <row r="7324" ht="15.75" customHeight="1">
      <c r="A7324" s="1">
        <v>7816.0</v>
      </c>
      <c r="B7324" s="3" t="s">
        <v>7036</v>
      </c>
      <c r="C7324" s="3" t="str">
        <f>IFERROR(__xludf.DUMMYFUNCTION("GOOGLETRANSLATE(B7324,""id"",""en"")"),"['Yesterday', 'date', 'December', 'clock', 'check', 'quota', 'Telkomsel', 'leftover', 'GB', 'morning', 'check', 'hours',' The rest of ',' GB ',' YouTube ',' Check ',' Play ',' Store ',' Update ',' Automatic ',' Reduced ',' Not bad ',' Clock ',' Morning ',"&amp;"' Check ' , 'leftover', 'GB', 'SKR', 'Telkomsel', 'yaah', 'reduction', 'quota', 'usage', 'NOMKR', ""]")</f>
        <v>['Yesterday', 'date', 'December', 'clock', 'check', 'quota', 'Telkomsel', 'leftover', 'GB', 'morning', 'check', 'hours',' The rest of ',' GB ',' YouTube ',' Check ',' Play ',' Store ',' Update ',' Automatic ',' Reduced ',' Not bad ',' Clock ',' Morning ',' Check ' , 'leftover', 'GB', 'SKR', 'Telkomsel', 'yaah', 'reduction', 'quota', 'usage', 'NOMKR', "]</v>
      </c>
      <c r="D7324" s="3">
        <v>1.0</v>
      </c>
    </row>
    <row r="7325" ht="15.75" customHeight="1">
      <c r="A7325" s="1">
        <v>7817.0</v>
      </c>
      <c r="B7325" s="3" t="s">
        <v>7037</v>
      </c>
      <c r="C7325" s="3" t="str">
        <f>IFERROR(__xludf.DUMMYFUNCTION("GOOGLETRANSLATE(B7325,""id"",""en"")"),"['Telkomsel', 'maximum']")</f>
        <v>['Telkomsel', 'maximum']</v>
      </c>
      <c r="D7325" s="3">
        <v>4.0</v>
      </c>
    </row>
    <row r="7326" ht="15.75" customHeight="1">
      <c r="A7326" s="1">
        <v>7818.0</v>
      </c>
      <c r="B7326" s="3" t="s">
        <v>7038</v>
      </c>
      <c r="C7326" s="3" t="str">
        <f>IFERROR(__xludf.DUMMYFUNCTION("GOOGLETRANSLATE(B7326,""id"",""en"")"),"['Network', 'no', 'stable', 'eman', 'eman', 'tenan']")</f>
        <v>['Network', 'no', 'stable', 'eman', 'eman', 'tenan']</v>
      </c>
      <c r="D7326" s="3">
        <v>1.0</v>
      </c>
    </row>
    <row r="7327" ht="15.75" customHeight="1">
      <c r="A7327" s="1">
        <v>7819.0</v>
      </c>
      <c r="B7327" s="3" t="s">
        <v>7039</v>
      </c>
      <c r="C7327" s="3" t="str">
        <f>IFERROR(__xludf.DUMMYFUNCTION("GOOGLETRANSLATE(B7327,""id"",""en"")"),"['Danglunh', 'Digital', 'Request', 'responded']")</f>
        <v>['Danglunh', 'Digital', 'Request', 'responded']</v>
      </c>
      <c r="D7327" s="3">
        <v>3.0</v>
      </c>
    </row>
    <row r="7328" ht="15.75" customHeight="1">
      <c r="A7328" s="1">
        <v>7820.0</v>
      </c>
      <c r="B7328" s="3" t="s">
        <v>7040</v>
      </c>
      <c r="C7328" s="3" t="str">
        <f>IFERROR(__xludf.DUMMYFUNCTION("GOOGLETRANSLATE(B7328,""id"",""en"")"),"['White', 'Screen', 'Response', 'Suggested', 'Friends',' Friends', 'Download', 'Via', 'Google', 'Web', 'Application', 'Version', ' Samsung ',' Function ',' ']")</f>
        <v>['White', 'Screen', 'Response', 'Suggested', 'Friends',' Friends', 'Download', 'Via', 'Google', 'Web', 'Application', 'Version', ' Samsung ',' Function ',' ']</v>
      </c>
      <c r="D7328" s="3">
        <v>1.0</v>
      </c>
    </row>
    <row r="7329" ht="15.75" customHeight="1">
      <c r="A7329" s="1">
        <v>7821.0</v>
      </c>
      <c r="B7329" s="3" t="s">
        <v>7041</v>
      </c>
      <c r="C7329" s="3" t="str">
        <f>IFERROR(__xludf.DUMMYFUNCTION("GOOGLETRANSLATE(B7329,""id"",""en"")"),"['Star', 'represents', 'turned', 'car', 'heart', 'Telkomsel', ""]")</f>
        <v>['Star', 'represents', 'turned', 'car', 'heart', 'Telkomsel', "]</v>
      </c>
      <c r="D7329" s="3">
        <v>5.0</v>
      </c>
    </row>
    <row r="7330" ht="15.75" customHeight="1">
      <c r="A7330" s="1">
        <v>7822.0</v>
      </c>
      <c r="B7330" s="3" t="s">
        <v>7042</v>
      </c>
      <c r="C7330" s="3" t="str">
        <f>IFERROR(__xludf.DUMMYFUNCTION("GOOGLETRANSLATE(B7330,""id"",""en"")"),"['Network', 'ugly', 'really', 'unlimited', 'sosmed', 'games',' chat ',' slow ',' forgiveness', 'regret', 'want', 'replace', ' card ',' Make ',' Telkomsel ',' Mending ',' Change ',' card ',' ugly ',' really ',' Telkomsel ',' Udhamah ',' expensive ']")</f>
        <v>['Network', 'ugly', 'really', 'unlimited', 'sosmed', 'games',' chat ',' slow ',' forgiveness', 'regret', 'want', 'replace', ' card ',' Make ',' Telkomsel ',' Mending ',' Change ',' card ',' ugly ',' really ',' Telkomsel ',' Udhamah ',' expensive ']</v>
      </c>
      <c r="D7330" s="3">
        <v>1.0</v>
      </c>
    </row>
    <row r="7331" ht="15.75" customHeight="1">
      <c r="A7331" s="1">
        <v>7823.0</v>
      </c>
      <c r="B7331" s="3" t="s">
        <v>7043</v>
      </c>
      <c r="C7331" s="3" t="str">
        <f>IFERROR(__xludf.DUMMYFUNCTION("GOOGLETRANSLATE(B7331,""id"",""en"")"),"['Increase', 'service', 'quality', 'exciting', 'exit', 'JAYA', 'SUCCESS', 'SLL']")</f>
        <v>['Increase', 'service', 'quality', 'exciting', 'exit', 'JAYA', 'SUCCESS', 'SLL']</v>
      </c>
      <c r="D7331" s="3">
        <v>5.0</v>
      </c>
    </row>
    <row r="7332" ht="15.75" customHeight="1">
      <c r="A7332" s="1">
        <v>7824.0</v>
      </c>
      <c r="B7332" s="3" t="s">
        <v>7044</v>
      </c>
      <c r="C7332" s="3" t="str">
        <f>IFERROR(__xludf.DUMMYFUNCTION("GOOGLETRANSLATE(B7332,""id"",""en"")"),"['card', 'please', 'update']")</f>
        <v>['card', 'please', 'update']</v>
      </c>
      <c r="D7332" s="3">
        <v>5.0</v>
      </c>
    </row>
    <row r="7333" ht="15.75" customHeight="1">
      <c r="A7333" s="1">
        <v>7825.0</v>
      </c>
      <c r="B7333" s="3" t="s">
        <v>7045</v>
      </c>
      <c r="C7333" s="3" t="str">
        <f>IFERROR(__xludf.DUMMYFUNCTION("GOOGLETRANSLATE(B7333,""id"",""en"")"),"['Mahalllllllllllllll', 'here', 'price', 'package', 'rb', 'per month', 'nyampe', 'thousand', 'person', 'raced', 'cheap', 'mah', ' parahhhhhhhhhhh ',' crazy ', ""]")</f>
        <v>['Mahalllllllllllllll', 'here', 'price', 'package', 'rb', 'per month', 'nyampe', 'thousand', 'person', 'raced', 'cheap', 'mah', ' parahhhhhhhhhhh ',' crazy ', "]</v>
      </c>
      <c r="D7333" s="3">
        <v>1.0</v>
      </c>
    </row>
    <row r="7334" ht="15.75" customHeight="1">
      <c r="A7334" s="1">
        <v>7826.0</v>
      </c>
      <c r="B7334" s="3" t="s">
        <v>7046</v>
      </c>
      <c r="C7334" s="3" t="str">
        <f>IFERROR(__xludf.DUMMYFUNCTION("GOOGLETRANSLATE(B7334,""id"",""en"")"),"['Kuora', 'Games',' left ',' Login ',' Mobile ',' Legends', 'Login', 'Damn', 'buy', 'quota', 'expensive', 'expensive', ' The contents', 'PHP', 'Doang', 'Kombo', 'Sakti', 'Najis']")</f>
        <v>['Kuora', 'Games',' left ',' Login ',' Mobile ',' Legends', 'Login', 'Damn', 'buy', 'quota', 'expensive', 'expensive', ' The contents', 'PHP', 'Doang', 'Kombo', 'Sakti', 'Najis']</v>
      </c>
      <c r="D7334" s="3">
        <v>1.0</v>
      </c>
    </row>
    <row r="7335" ht="15.75" customHeight="1">
      <c r="A7335" s="1">
        <v>7827.0</v>
      </c>
      <c r="B7335" s="3" t="s">
        <v>7047</v>
      </c>
      <c r="C7335" s="3" t="str">
        <f>IFERROR(__xludf.DUMMYFUNCTION("GOOGLETRANSLATE(B7335,""id"",""en"")"),"['', 'Komsel', 'pulp', 'yak', 'that's']")</f>
        <v>['', 'Komsel', 'pulp', 'yak', 'that's']</v>
      </c>
      <c r="D7335" s="3">
        <v>1.0</v>
      </c>
    </row>
    <row r="7336" ht="15.75" customHeight="1">
      <c r="A7336" s="1">
        <v>7828.0</v>
      </c>
      <c r="B7336" s="3" t="s">
        <v>7048</v>
      </c>
      <c r="C7336" s="3" t="str">
        <f>IFERROR(__xludf.DUMMYFUNCTION("GOOGLETRANSLATE(B7336,""id"",""en"")"),"['Help', 'thank', 'love', 'app', 'Telkomsel']")</f>
        <v>['Help', 'thank', 'love', 'app', 'Telkomsel']</v>
      </c>
      <c r="D7336" s="3">
        <v>5.0</v>
      </c>
    </row>
    <row r="7337" ht="15.75" customHeight="1">
      <c r="A7337" s="1">
        <v>7829.0</v>
      </c>
      <c r="B7337" s="3" t="s">
        <v>7049</v>
      </c>
      <c r="C7337" s="3" t="str">
        <f>IFERROR(__xludf.DUMMYFUNCTION("GOOGLETRANSLATE(B7337,""id"",""en"")"),"['Recomended', 'App', 'User', 'Telkomsel']")</f>
        <v>['Recomended', 'App', 'User', 'Telkomsel']</v>
      </c>
      <c r="D7337" s="3">
        <v>5.0</v>
      </c>
    </row>
    <row r="7338" ht="15.75" customHeight="1">
      <c r="A7338" s="1">
        <v>7832.0</v>
      </c>
      <c r="B7338" s="3" t="s">
        <v>7050</v>
      </c>
      <c r="C7338" s="3" t="str">
        <f>IFERROR(__xludf.DUMMYFUNCTION("GOOGLETRANSLATE(B7338,""id"",""en"")"),"['active', 'short']")</f>
        <v>['active', 'short']</v>
      </c>
      <c r="D7338" s="3">
        <v>5.0</v>
      </c>
    </row>
    <row r="7339" ht="15.75" customHeight="1">
      <c r="A7339" s="1">
        <v>7833.0</v>
      </c>
      <c r="B7339" s="3" t="s">
        <v>7051</v>
      </c>
      <c r="C7339" s="3" t="str">
        <f>IFERROR(__xludf.DUMMYFUNCTION("GOOGLETRANSLATE(B7339,""id"",""en"")"),"['Price', 'expensive', 'signal', 'satisfying']")</f>
        <v>['Price', 'expensive', 'signal', 'satisfying']</v>
      </c>
      <c r="D7339" s="3">
        <v>1.0</v>
      </c>
    </row>
    <row r="7340" ht="15.75" customHeight="1">
      <c r="A7340" s="1">
        <v>7834.0</v>
      </c>
      <c r="B7340" s="3" t="s">
        <v>7052</v>
      </c>
      <c r="C7340" s="3" t="str">
        <f>IFERROR(__xludf.DUMMYFUNCTION("GOOGLETRANSLATE(B7340,""id"",""en"")"),"['Transaction', 'Easy', 'Telkomsel']")</f>
        <v>['Transaction', 'Easy', 'Telkomsel']</v>
      </c>
      <c r="D7340" s="3">
        <v>5.0</v>
      </c>
    </row>
    <row r="7341" ht="15.75" customHeight="1">
      <c r="A7341" s="1">
        <v>7835.0</v>
      </c>
      <c r="B7341" s="3" t="s">
        <v>7053</v>
      </c>
      <c r="C7341" s="3" t="str">
        <f>IFERROR(__xludf.DUMMYFUNCTION("GOOGLETRANSLATE(B7341,""id"",""en"")"),"['Telkomsel', 'open']")</f>
        <v>['Telkomsel', 'open']</v>
      </c>
      <c r="D7341" s="3">
        <v>1.0</v>
      </c>
    </row>
    <row r="7342" ht="15.75" customHeight="1">
      <c r="A7342" s="1">
        <v>7836.0</v>
      </c>
      <c r="B7342" s="3" t="s">
        <v>7054</v>
      </c>
      <c r="C7342" s="3" t="str">
        <f>IFERROR(__xludf.DUMMYFUNCTION("GOOGLETRANSLATE(B7342,""id"",""en"")"),"['Error', 'NOT']")</f>
        <v>['Error', 'NOT']</v>
      </c>
      <c r="D7342" s="3">
        <v>1.0</v>
      </c>
    </row>
    <row r="7343" ht="15.75" customHeight="1">
      <c r="A7343" s="1">
        <v>7837.0</v>
      </c>
      <c r="B7343" s="3" t="s">
        <v>7055</v>
      </c>
      <c r="C7343" s="3" t="str">
        <f>IFERROR(__xludf.DUMMYFUNCTION("GOOGLETRANSLATE(B7343,""id"",""en"")"),"['Abis', 'update', 'opened', 'severe', 'package', 'Wktnya', 'buy', 'depends', 'wifi', 'warkop', 'mulu', ""]")</f>
        <v>['Abis', 'update', 'opened', 'severe', 'package', 'Wktnya', 'buy', 'depends', 'wifi', 'warkop', 'mulu', "]</v>
      </c>
      <c r="D7343" s="3">
        <v>1.0</v>
      </c>
    </row>
    <row r="7344" ht="15.75" customHeight="1">
      <c r="A7344" s="1">
        <v>7838.0</v>
      </c>
      <c r="B7344" s="3" t="s">
        <v>7056</v>
      </c>
      <c r="C7344" s="3" t="str">
        <f>IFERROR(__xludf.DUMMYFUNCTION("GOOGLETRANSLATE(B7344,""id"",""en"")"),"['application', 'makes it easy', 'users', 'cellphone', 'check', 'pulse', 'data', 'purchase', 'pulse', 'package']")</f>
        <v>['application', 'makes it easy', 'users', 'cellphone', 'check', 'pulse', 'data', 'purchase', 'pulse', 'package']</v>
      </c>
      <c r="D7344" s="3">
        <v>5.0</v>
      </c>
    </row>
    <row r="7345" ht="15.75" customHeight="1">
      <c r="A7345" s="1">
        <v>7839.0</v>
      </c>
      <c r="B7345" s="3" t="s">
        <v>7057</v>
      </c>
      <c r="C7345" s="3" t="str">
        <f>IFERROR(__xludf.DUMMYFUNCTION("GOOGLETRANSLATE(B7345,""id"",""en"")"),"['Please', 'Increase', 'Promo', 'Under', 'thousand', 'Litu', 'Thank you', ""]")</f>
        <v>['Please', 'Increase', 'Promo', 'Under', 'thousand', 'Litu', 'Thank you', "]</v>
      </c>
      <c r="D7345" s="3">
        <v>5.0</v>
      </c>
    </row>
    <row r="7346" ht="15.75" customHeight="1">
      <c r="A7346" s="1">
        <v>7840.0</v>
      </c>
      <c r="B7346" s="3" t="s">
        <v>7058</v>
      </c>
      <c r="C7346" s="3" t="str">
        <f>IFERROR(__xludf.DUMMYFUNCTION("GOOGLETRANSLATE(B7346,""id"",""en"")"),"['signal', 'ugly', 'night', 'muter', 'doang', '']")</f>
        <v>['signal', 'ugly', 'night', 'muter', 'doang', '']</v>
      </c>
      <c r="D7346" s="3">
        <v>2.0</v>
      </c>
    </row>
    <row r="7347" ht="15.75" customHeight="1">
      <c r="A7347" s="1">
        <v>7841.0</v>
      </c>
      <c r="B7347" s="3" t="s">
        <v>7059</v>
      </c>
      <c r="C7347" s="3" t="str">
        <f>IFERROR(__xludf.DUMMYFUNCTION("GOOGLETRANSLATE(B7347,""id"",""en"")"),"['entry', 'application', 'anjirrr', 'the application', 'bug', 'how', 'sih']")</f>
        <v>['entry', 'application', 'anjirrr', 'the application', 'bug', 'how', 'sih']</v>
      </c>
      <c r="D7347" s="3">
        <v>1.0</v>
      </c>
    </row>
    <row r="7348" ht="15.75" customHeight="1">
      <c r="A7348" s="1">
        <v>7842.0</v>
      </c>
      <c r="B7348" s="3" t="s">
        <v>7060</v>
      </c>
      <c r="C7348" s="3" t="str">
        <f>IFERROR(__xludf.DUMMYFUNCTION("GOOGLETRANSLATE(B7348,""id"",""en"")"),"['updated', 'version', 'Mlah', 'no', 'opened', 'screen', 'white', 'purpose', ""]")</f>
        <v>['updated', 'version', 'Mlah', 'no', 'opened', 'screen', 'white', 'purpose', "]</v>
      </c>
      <c r="D7348" s="3">
        <v>5.0</v>
      </c>
    </row>
    <row r="7349" ht="15.75" customHeight="1">
      <c r="A7349" s="1">
        <v>7843.0</v>
      </c>
      <c r="B7349" s="3" t="s">
        <v>7061</v>
      </c>
      <c r="C7349" s="3" t="str">
        <f>IFERROR(__xludf.DUMMYFUNCTION("GOOGLETRANSLATE(B7349,""id"",""en"")"),"['arrghh', 'skrg', 'date', 'AGT', 'Telkomsel', 'slow', 'tmp', 'June', 'comment', 'blm', 'change', 'hard', ' December ',' poor ',' Veronika ',' hilarious', 'cs',' human ',' service ',' clock ',' now ',' cs', 'machine', 'clock', 'segini' , 'already', 'delay"&amp;"', 'machine', 'profit', 'smartfren', 'as' card ',' card ',' main ',' nehh ',' obstacle ',' slow ',' Genesis', 'date', 'AGT', 'Kendaan', 'quota', 'multimedia']")</f>
        <v>['arrghh', 'skrg', 'date', 'AGT', 'Telkomsel', 'slow', 'tmp', 'June', 'comment', 'blm', 'change', 'hard', ' December ',' poor ',' Veronika ',' hilarious', 'cs',' human ',' service ',' clock ',' now ',' cs', 'machine', 'clock', 'segini' , 'already', 'delay', 'machine', 'profit', 'smartfren', 'as' card ',' card ',' main ',' nehh ',' obstacle ',' slow ',' Genesis', 'date', 'AGT', 'Kendaan', 'quota', 'multimedia']</v>
      </c>
      <c r="D7349" s="3">
        <v>1.0</v>
      </c>
    </row>
    <row r="7350" ht="15.75" customHeight="1">
      <c r="A7350" s="1">
        <v>7844.0</v>
      </c>
      <c r="B7350" s="3" t="s">
        <v>7062</v>
      </c>
      <c r="C7350" s="3" t="str">
        <f>IFERROR(__xludf.DUMMYFUNCTION("GOOGLETRANSLATE(B7350,""id"",""en"")"),"['according to', 'promise', 'title', '']")</f>
        <v>['according to', 'promise', 'title', '']</v>
      </c>
      <c r="D7350" s="3">
        <v>5.0</v>
      </c>
    </row>
    <row r="7351" ht="15.75" customHeight="1">
      <c r="A7351" s="1">
        <v>7845.0</v>
      </c>
      <c r="B7351" s="3" t="s">
        <v>7063</v>
      </c>
      <c r="C7351" s="3" t="str">
        <f>IFERROR(__xludf.DUMMYFUNCTION("GOOGLETRANSLATE(B7351,""id"",""en"")"),"['complaints', 'version', 'the latest', 'suggested', 'Telkomsel', 'version', 'Google', 'Chrome', '']")</f>
        <v>['complaints', 'version', 'the latest', 'suggested', 'Telkomsel', 'version', 'Google', 'Chrome', '']</v>
      </c>
      <c r="D7351" s="3">
        <v>5.0</v>
      </c>
    </row>
    <row r="7352" ht="15.75" customHeight="1">
      <c r="A7352" s="1">
        <v>7846.0</v>
      </c>
      <c r="B7352" s="3" t="s">
        <v>7064</v>
      </c>
      <c r="C7352" s="3" t="str">
        <f>IFERROR(__xludf.DUMMYFUNCTION("GOOGLETRANSLATE(B7352,""id"",""en"")"),"['Cut', 'pulse']")</f>
        <v>['Cut', 'pulse']</v>
      </c>
      <c r="D7352" s="3">
        <v>1.0</v>
      </c>
    </row>
    <row r="7353" ht="15.75" customHeight="1">
      <c r="A7353" s="1">
        <v>7847.0</v>
      </c>
      <c r="B7353" s="3" t="s">
        <v>7065</v>
      </c>
      <c r="C7353" s="3" t="str">
        <f>IFERROR(__xludf.DUMMYFUNCTION("GOOGLETRANSLATE(B7353,""id"",""en"")"),"['Signal', 'Bapuk', 'Region', 'Jakarta', 'West', 'Tangerang', 'South', 'accessed', 'Severe', 'ugly', 'really', 'signal', ' Signal ',' Telkomsel ',' weak ',' difficulty ',' access', 'anything', 'really', 'loading', '']")</f>
        <v>['Signal', 'Bapuk', 'Region', 'Jakarta', 'West', 'Tangerang', 'South', 'accessed', 'Severe', 'ugly', 'really', 'signal', ' Signal ',' Telkomsel ',' weak ',' difficulty ',' access', 'anything', 'really', 'loading', '']</v>
      </c>
      <c r="D7353" s="3">
        <v>2.0</v>
      </c>
    </row>
    <row r="7354" ht="15.75" customHeight="1">
      <c r="A7354" s="1">
        <v>7848.0</v>
      </c>
      <c r="B7354" s="3" t="s">
        <v>7066</v>
      </c>
      <c r="C7354" s="3" t="str">
        <f>IFERROR(__xludf.DUMMYFUNCTION("GOOGLETRANSLATE(B7354,""id"",""en"")"),"['makes it easier', 'promo', 'bonus',' quota ',' pulak ',' darling ',' claim ',' quota ',' free ',' point ',' check ',' pulse ',' Impressed ',' willing ',' Ngani ',' Bonus', '']")</f>
        <v>['makes it easier', 'promo', 'bonus',' quota ',' pulak ',' darling ',' claim ',' quota ',' free ',' point ',' check ',' pulse ',' Impressed ',' willing ',' Ngani ',' Bonus', '']</v>
      </c>
      <c r="D7354" s="3">
        <v>4.0</v>
      </c>
    </row>
    <row r="7355" ht="15.75" customHeight="1">
      <c r="A7355" s="1">
        <v>7849.0</v>
      </c>
      <c r="B7355" s="3" t="s">
        <v>7067</v>
      </c>
      <c r="C7355" s="3" t="str">
        <f>IFERROR(__xludf.DUMMYFUNCTION("GOOGLETRANSLATE(B7355,""id"",""en"")"),"['network', 'slow', 'price', 'package']")</f>
        <v>['network', 'slow', 'price', 'package']</v>
      </c>
      <c r="D7355" s="3">
        <v>3.0</v>
      </c>
    </row>
    <row r="7356" ht="15.75" customHeight="1">
      <c r="A7356" s="1">
        <v>7850.0</v>
      </c>
      <c r="B7356" s="3" t="s">
        <v>7068</v>
      </c>
      <c r="C7356" s="3" t="str">
        <f>IFERROR(__xludf.DUMMYFUNCTION("GOOGLETRANSLATE(B7356,""id"",""en"")"),"['parahh', 'package', 'expensive', 'doang', 'network', 'down', 'severe', 'access',' all-round ',' slow ',' original ',' regret ',' Bener ',' yes', 'fix', 'obstacle', 'rich', 'gini', ""]")</f>
        <v>['parahh', 'package', 'expensive', 'doang', 'network', 'down', 'severe', 'access',' all-round ',' slow ',' original ',' regret ',' Bener ',' yes', 'fix', 'obstacle', 'rich', 'gini', "]</v>
      </c>
      <c r="D7356" s="3">
        <v>1.0</v>
      </c>
    </row>
    <row r="7357" ht="15.75" customHeight="1">
      <c r="A7357" s="1">
        <v>7851.0</v>
      </c>
      <c r="B7357" s="3" t="s">
        <v>7069</v>
      </c>
      <c r="C7357" s="3" t="str">
        <f>IFERROR(__xludf.DUMMYFUNCTION("GOOGLETRANSLATE(B7357,""id"",""en"")"),"['hope', 'motorbike', 'amen']")</f>
        <v>['hope', 'motorbike', 'amen']</v>
      </c>
      <c r="D7357" s="3">
        <v>5.0</v>
      </c>
    </row>
    <row r="7358" ht="15.75" customHeight="1">
      <c r="A7358" s="1">
        <v>7852.0</v>
      </c>
      <c r="B7358" s="3" t="s">
        <v>7070</v>
      </c>
      <c r="C7358" s="3" t="str">
        <f>IFERROR(__xludf.DUMMYFUNCTION("GOOGLETRANSLATE(B7358,""id"",""en"")"),"['Congratulations', 'Morning', 'Telkom', 'Success', 'Telkomsel']")</f>
        <v>['Congratulations', 'Morning', 'Telkom', 'Success', 'Telkomsel']</v>
      </c>
      <c r="D7358" s="3">
        <v>5.0</v>
      </c>
    </row>
    <row r="7359" ht="15.75" customHeight="1">
      <c r="A7359" s="1">
        <v>7853.0</v>
      </c>
      <c r="B7359" s="3" t="s">
        <v>7071</v>
      </c>
      <c r="C7359" s="3" t="str">
        <f>IFERROR(__xludf.DUMMYFUNCTION("GOOGLETRANSLATE(B7359,""id"",""en"")"),"['Update', 'opened', 'Stuck', 'splash', 'Screen', 'blank', 'white', 'device', 'Samsung', ""]")</f>
        <v>['Update', 'opened', 'Stuck', 'splash', 'Screen', 'blank', 'white', 'device', 'Samsung', "]</v>
      </c>
      <c r="D7359" s="3">
        <v>2.0</v>
      </c>
    </row>
    <row r="7360" ht="15.75" customHeight="1">
      <c r="A7360" s="1">
        <v>7854.0</v>
      </c>
      <c r="B7360" s="3" t="s">
        <v>7072</v>
      </c>
      <c r="C7360" s="3" t="str">
        <f>IFERROR(__xludf.DUMMYFUNCTION("GOOGLETRANSLATE(B7360,""id"",""en"")"),"['signal', 'stable', 'like', 'missing', 'signal', 'rich', 'watch', 'youtube', 'buffering', 'second']")</f>
        <v>['signal', 'stable', 'like', 'missing', 'signal', 'rich', 'watch', 'youtube', 'buffering', 'second']</v>
      </c>
      <c r="D7360" s="3">
        <v>1.0</v>
      </c>
    </row>
    <row r="7361" ht="15.75" customHeight="1">
      <c r="A7361" s="1">
        <v>7855.0</v>
      </c>
      <c r="B7361" s="3" t="s">
        <v>7073</v>
      </c>
      <c r="C7361" s="3" t="str">
        <f>IFERROR(__xludf.DUMMYFUNCTION("GOOGLETRANSLATE(B7361,""id"",""en"")"),"['Severe', 'cell', 'already', 'tariff', 'expensive', 'signal', 'ugly', 'good', 'download', 'cell', 'ngebleng', 'white', ' opened ',' hadeeehhh ',' please ',' enhanced ',' quality ']")</f>
        <v>['Severe', 'cell', 'already', 'tariff', 'expensive', 'signal', 'ugly', 'good', 'download', 'cell', 'ngebleng', 'white', ' opened ',' hadeeehhh ',' please ',' enhanced ',' quality ']</v>
      </c>
      <c r="D7361" s="3">
        <v>1.0</v>
      </c>
    </row>
    <row r="7362" ht="15.75" customHeight="1">
      <c r="A7362" s="1">
        <v>7856.0</v>
      </c>
      <c r="B7362" s="3" t="s">
        <v>7074</v>
      </c>
      <c r="C7362" s="3" t="str">
        <f>IFERROR(__xludf.DUMMYFUNCTION("GOOGLETRANSLATE(B7362,""id"",""en"")"),"['Contents', 'quota', 'open', 'application', 'blank', 'white', 'gini', 'update', 'chaotic', 'contents', 'quota']")</f>
        <v>['Contents', 'quota', 'open', 'application', 'blank', 'white', 'gini', 'update', 'chaotic', 'contents', 'quota']</v>
      </c>
      <c r="D7362" s="3">
        <v>1.0</v>
      </c>
    </row>
    <row r="7363" ht="15.75" customHeight="1">
      <c r="A7363" s="1">
        <v>7857.0</v>
      </c>
      <c r="B7363" s="3" t="s">
        <v>7075</v>
      </c>
      <c r="C7363" s="3" t="str">
        <f>IFERROR(__xludf.DUMMYFUNCTION("GOOGLETRANSLATE(B7363,""id"",""en"")"),"['Please', 'number', 'pairs', 'package', 'internet', 'cheap', 'thank', 'love', 'max', 'telkomsel']")</f>
        <v>['Please', 'number', 'pairs', 'package', 'internet', 'cheap', 'thank', 'love', 'max', 'telkomsel']</v>
      </c>
      <c r="D7363" s="3">
        <v>4.0</v>
      </c>
    </row>
    <row r="7364" ht="15.75" customHeight="1">
      <c r="A7364" s="1">
        <v>7858.0</v>
      </c>
      <c r="B7364" s="3" t="s">
        <v>7076</v>
      </c>
      <c r="C7364" s="3" t="str">
        <f>IFERROR(__xludf.DUMMYFUNCTION("GOOGLETRANSLATE(B7364,""id"",""en"")"),"['Access', 'Samsung', 'Galaxy', '']")</f>
        <v>['Access', 'Samsung', 'Galaxy', '']</v>
      </c>
      <c r="D7364" s="3">
        <v>1.0</v>
      </c>
    </row>
    <row r="7365" ht="15.75" customHeight="1">
      <c r="A7365" s="1">
        <v>7859.0</v>
      </c>
      <c r="B7365" s="3" t="s">
        <v>7077</v>
      </c>
      <c r="C7365" s="3" t="str">
        <f>IFERROR(__xludf.DUMMYFUNCTION("GOOGLETRANSLATE(B7365,""id"",""en"")"),"['Min', 'Bukak', 'Stuck', 'Screen', 'White', 'BANTU', '']")</f>
        <v>['Min', 'Bukak', 'Stuck', 'Screen', 'White', 'BANTU', '']</v>
      </c>
      <c r="D7365" s="3">
        <v>2.0</v>
      </c>
    </row>
    <row r="7366" ht="15.75" customHeight="1">
      <c r="A7366" s="1">
        <v>7860.0</v>
      </c>
      <c r="B7366" s="3" t="s">
        <v>7078</v>
      </c>
      <c r="C7366" s="3" t="str">
        <f>IFERROR(__xludf.DUMMYFUNCTION("GOOGLETRANSLATE(B7366,""id"",""en"")"),"['Trus', 'promo', 'brother']")</f>
        <v>['Trus', 'promo', 'brother']</v>
      </c>
      <c r="D7366" s="3">
        <v>5.0</v>
      </c>
    </row>
    <row r="7367" ht="15.75" customHeight="1">
      <c r="A7367" s="1">
        <v>7861.0</v>
      </c>
      <c r="B7367" s="3" t="s">
        <v>7079</v>
      </c>
      <c r="C7367" s="3" t="str">
        <f>IFERROR(__xludf.DUMMYFUNCTION("GOOGLETRANSLATE(B7367,""id"",""en"")"),"['mmbantu', 'trimakasih', 'telkomsel']")</f>
        <v>['mmbantu', 'trimakasih', 'telkomsel']</v>
      </c>
      <c r="D7367" s="3">
        <v>4.0</v>
      </c>
    </row>
    <row r="7368" ht="15.75" customHeight="1">
      <c r="A7368" s="1">
        <v>7862.0</v>
      </c>
      <c r="B7368" s="3" t="s">
        <v>7080</v>
      </c>
      <c r="C7368" s="3" t="str">
        <f>IFERROR(__xludf.DUMMYFUNCTION("GOOGLETRANSLATE(B7368,""id"",""en"")"),"['hmmm', 'the application', 'opened', '']")</f>
        <v>['hmmm', 'the application', 'opened', '']</v>
      </c>
      <c r="D7368" s="3">
        <v>1.0</v>
      </c>
    </row>
    <row r="7369" ht="15.75" customHeight="1">
      <c r="A7369" s="1">
        <v>7863.0</v>
      </c>
      <c r="B7369" s="3" t="s">
        <v>7081</v>
      </c>
      <c r="C7369" s="3" t="str">
        <f>IFERROR(__xludf.DUMMYFUNCTION("GOOGLETRANSLATE(B7369,""id"",""en"")"),"['Price', 'Paketan', 'Lower']")</f>
        <v>['Price', 'Paketan', 'Lower']</v>
      </c>
      <c r="D7369" s="3">
        <v>5.0</v>
      </c>
    </row>
    <row r="7370" ht="15.75" customHeight="1">
      <c r="A7370" s="1">
        <v>7864.0</v>
      </c>
      <c r="B7370" s="3" t="s">
        <v>7082</v>
      </c>
      <c r="C7370" s="3" t="str">
        <f>IFERROR(__xludf.DUMMYFUNCTION("GOOGLETRANSLATE(B7370,""id"",""en"")"),"['application', 'ngak', 'open', '']")</f>
        <v>['application', 'ngak', 'open', '']</v>
      </c>
      <c r="D7370" s="3">
        <v>2.0</v>
      </c>
    </row>
    <row r="7371" ht="15.75" customHeight="1">
      <c r="A7371" s="1">
        <v>7866.0</v>
      </c>
      <c r="B7371" s="3" t="s">
        <v>7083</v>
      </c>
      <c r="C7371" s="3" t="str">
        <f>IFERROR(__xludf.DUMMYFUNCTION("GOOGLETRANSLATE(B7371,""id"",""en"")"),"['Please', 'repaired', 'already', 'grained', 'times', 'download', 'msh', 'difficult', 'opened', 'detrimental', 'customer']")</f>
        <v>['Please', 'repaired', 'already', 'grained', 'times', 'download', 'msh', 'difficult', 'opened', 'detrimental', 'customer']</v>
      </c>
      <c r="D7371" s="3">
        <v>1.0</v>
      </c>
    </row>
    <row r="7372" ht="15.75" customHeight="1">
      <c r="A7372" s="1">
        <v>7867.0</v>
      </c>
      <c r="B7372" s="3" t="s">
        <v>7084</v>
      </c>
      <c r="C7372" s="3" t="str">
        <f>IFERROR(__xludf.DUMMYFUNCTION("GOOGLETRANSLATE(B7372,""id"",""en"")"),"['Please', 'Telkomsel', 'Changed', 'System', 'Operator', 'Quota', 'Out', 'Credit', 'Direct', 'Used', 'Automatic', 'Deficiency', ' okay']")</f>
        <v>['Please', 'Telkomsel', 'Changed', 'System', 'Operator', 'Quota', 'Out', 'Credit', 'Direct', 'Used', 'Automatic', 'Deficiency', ' okay']</v>
      </c>
      <c r="D7372" s="3">
        <v>3.0</v>
      </c>
    </row>
    <row r="7373" ht="15.75" customHeight="1">
      <c r="A7373" s="1">
        <v>7868.0</v>
      </c>
      <c r="B7373" s="3" t="s">
        <v>7085</v>
      </c>
      <c r="C7373" s="3" t="str">
        <f>IFERROR(__xludf.DUMMYFUNCTION("GOOGLETRANSLATE(B7373,""id"",""en"")"),"['application', 'Telkomsel', 'tdak', 'open', 'Please', 'help']")</f>
        <v>['application', 'Telkomsel', 'tdak', 'open', 'Please', 'help']</v>
      </c>
      <c r="D7373" s="3">
        <v>5.0</v>
      </c>
    </row>
    <row r="7374" ht="15.75" customHeight="1">
      <c r="A7374" s="1">
        <v>7869.0</v>
      </c>
      <c r="B7374" s="3" t="s">
        <v>7086</v>
      </c>
      <c r="C7374" s="3" t="str">
        <f>IFERROR(__xludf.DUMMYFUNCTION("GOOGLETRANSLATE(B7374,""id"",""en"")"),"['How', 'open', 'screen', 'white', 'please', 'fix']")</f>
        <v>['How', 'open', 'screen', 'white', 'please', 'fix']</v>
      </c>
      <c r="D7374" s="3">
        <v>2.0</v>
      </c>
    </row>
    <row r="7375" ht="15.75" customHeight="1">
      <c r="A7375" s="1">
        <v>7870.0</v>
      </c>
      <c r="B7375" s="3" t="s">
        <v>7087</v>
      </c>
      <c r="C7375" s="3" t="str">
        <f>IFERROR(__xludf.DUMMYFUNCTION("GOOGLETRANSLATE(B7375,""id"",""en"")"),"['improved']")</f>
        <v>['improved']</v>
      </c>
      <c r="D7375" s="3">
        <v>3.0</v>
      </c>
    </row>
    <row r="7376" ht="15.75" customHeight="1">
      <c r="A7376" s="1">
        <v>7871.0</v>
      </c>
      <c r="B7376" s="3" t="s">
        <v>7088</v>
      </c>
      <c r="C7376" s="3" t="str">
        <f>IFERROR(__xludf.DUMMYFUNCTION("GOOGLETRANSLATE(B7376,""id"",""en"")"),"['How', 'Telkomsel', 'Settings',' Written ',' FUP ',' Buy ',' Package ',' Koutaa ',' Powered ',' Direct ',' Appear ',' FUP ',' reduced ',' hilarious', 'kouta', 'unlimited', 'fupnya', 'already', 'kouta', 'expensive', 'eee', 'fup', 'feeling', 'Telkomsel', '"&amp;"gini' , 'gini']")</f>
        <v>['How', 'Telkomsel', 'Settings',' Written ',' FUP ',' Buy ',' Package ',' Koutaa ',' Powered ',' Direct ',' Appear ',' FUP ',' reduced ',' hilarious', 'kouta', 'unlimited', 'fupnya', 'already', 'kouta', 'expensive', 'eee', 'fup', 'feeling', 'Telkomsel', 'gini' , 'gini']</v>
      </c>
      <c r="D7376" s="3">
        <v>1.0</v>
      </c>
    </row>
    <row r="7377" ht="15.75" customHeight="1">
      <c r="A7377" s="1">
        <v>7872.0</v>
      </c>
      <c r="B7377" s="3" t="s">
        <v>7089</v>
      </c>
      <c r="C7377" s="3" t="str">
        <f>IFERROR(__xludf.DUMMYFUNCTION("GOOGLETRANSLATE(B7377,""id"",""en"")"),"['update', 'application', 'no', 'open', 'stuck', 'screen', 'white']")</f>
        <v>['update', 'application', 'no', 'open', 'stuck', 'screen', 'white']</v>
      </c>
      <c r="D7377" s="3">
        <v>1.0</v>
      </c>
    </row>
    <row r="7378" ht="15.75" customHeight="1">
      <c r="A7378" s="1">
        <v>7873.0</v>
      </c>
      <c r="B7378" s="3" t="s">
        <v>7090</v>
      </c>
      <c r="C7378" s="3" t="str">
        <f>IFERROR(__xludf.DUMMYFUNCTION("GOOGLETRANSLATE(B7378,""id"",""en"")"),"['Package', 'night', 'Telkomsel', 'card', 'Telkomsel', 'buy', 'package', 'night', 'night', 'network', 'is difficult', 'beg', ' Expand ',' Network ',' Telkomsel ',' Lampung ',' County ',' Pesawaran ',' District ',' Negrikaton ',' Village ',' Reef ',' Rejo "&amp;"',' Please ',' Expand ' , 'network', 'strengthen', 'user', 'difficult', 'network', 'card']")</f>
        <v>['Package', 'night', 'Telkomsel', 'card', 'Telkomsel', 'buy', 'package', 'night', 'night', 'network', 'is difficult', 'beg', ' Expand ',' Network ',' Telkomsel ',' Lampung ',' County ',' Pesawaran ',' District ',' Negrikaton ',' Village ',' Reef ',' Rejo ',' Please ',' Expand ' , 'network', 'strengthen', 'user', 'difficult', 'network', 'card']</v>
      </c>
      <c r="D7378" s="3">
        <v>1.0</v>
      </c>
    </row>
    <row r="7379" ht="15.75" customHeight="1">
      <c r="A7379" s="1">
        <v>7875.0</v>
      </c>
      <c r="B7379" s="3" t="s">
        <v>7091</v>
      </c>
      <c r="C7379" s="3" t="str">
        <f>IFERROR(__xludf.DUMMYFUNCTION("GOOGLETRANSLATE(B7379,""id"",""en"")"),"['Sorry', 'Telkomsel', 'love', 'star', 'check', 'daily', 'quota', 'right', 'claims',' pulses', 'mortal', 'rupiah', ' Access', 'Sosmed', 'Cut', 'Credit', 'Disappointed', '']")</f>
        <v>['Sorry', 'Telkomsel', 'love', 'star', 'check', 'daily', 'quota', 'right', 'claims',' pulses', 'mortal', 'rupiah', ' Access', 'Sosmed', 'Cut', 'Credit', 'Disappointed', '']</v>
      </c>
      <c r="D7379" s="3">
        <v>1.0</v>
      </c>
    </row>
    <row r="7380" ht="15.75" customHeight="1">
      <c r="A7380" s="1">
        <v>7876.0</v>
      </c>
      <c r="B7380" s="3" t="s">
        <v>7092</v>
      </c>
      <c r="C7380" s="3" t="str">
        <f>IFERROR(__xludf.DUMMYFUNCTION("GOOGLETRANSLATE(B7380,""id"",""en"")"),"['', 'decent', 'star', '']")</f>
        <v>['', 'decent', 'star', '']</v>
      </c>
      <c r="D7380" s="3">
        <v>3.0</v>
      </c>
    </row>
    <row r="7381" ht="15.75" customHeight="1">
      <c r="A7381" s="1">
        <v>7877.0</v>
      </c>
      <c r="B7381" s="3" t="s">
        <v>7093</v>
      </c>
      <c r="C7381" s="3" t="str">
        <f>IFERROR(__xludf.DUMMYFUNCTION("GOOGLETRANSLATE(B7381,""id"",""en"")"),"['Steady', 'help', 'really']")</f>
        <v>['Steady', 'help', 'really']</v>
      </c>
      <c r="D7381" s="3">
        <v>5.0</v>
      </c>
    </row>
    <row r="7382" ht="15.75" customHeight="1">
      <c r="A7382" s="1">
        <v>7878.0</v>
      </c>
      <c r="B7382" s="3" t="s">
        <v>7094</v>
      </c>
      <c r="C7382" s="3" t="str">
        <f>IFERROR(__xludf.DUMMYFUNCTION("GOOGLETRANSLATE(B7382,""id"",""en"")"),"['Program', 'Different', 'Application']")</f>
        <v>['Program', 'Different', 'Application']</v>
      </c>
      <c r="D7382" s="3">
        <v>2.0</v>
      </c>
    </row>
    <row r="7383" ht="15.75" customHeight="1">
      <c r="A7383" s="1">
        <v>7879.0</v>
      </c>
      <c r="B7383" s="3" t="s">
        <v>7095</v>
      </c>
      <c r="C7383" s="3" t="str">
        <f>IFERROR(__xludf.DUMMYFUNCTION("GOOGLETRANSLATE(B7383,""id"",""en"")"),"['Gemana', 'knapa', 'screen', 'Telkomsel', 'white', 'go', 'Please', 'help']")</f>
        <v>['Gemana', 'knapa', 'screen', 'Telkomsel', 'white', 'go', 'Please', 'help']</v>
      </c>
      <c r="D7383" s="3">
        <v>1.0</v>
      </c>
    </row>
    <row r="7384" ht="15.75" customHeight="1">
      <c r="A7384" s="1">
        <v>7880.0</v>
      </c>
      <c r="B7384" s="3" t="s">
        <v>7096</v>
      </c>
      <c r="C7384" s="3" t="str">
        <f>IFERROR(__xludf.DUMMYFUNCTION("GOOGLETRANSLATE(B7384,""id"",""en"")"),"['Paketan', 'Mahall', 'bro']")</f>
        <v>['Paketan', 'Mahall', 'bro']</v>
      </c>
      <c r="D7384" s="3">
        <v>4.0</v>
      </c>
    </row>
    <row r="7385" ht="15.75" customHeight="1">
      <c r="A7385" s="1">
        <v>7881.0</v>
      </c>
      <c r="B7385" s="3" t="s">
        <v>7097</v>
      </c>
      <c r="C7385" s="3" t="str">
        <f>IFERROR(__xludf.DUMMYFUNCTION("GOOGLETRANSLATE(B7385,""id"",""en"")"),"['', 'Update', 'version', 'Mlah', 'blank', 'WRNA', 'White', 'downgrade', 'version', ""]")</f>
        <v>['', 'Update', 'version', 'Mlah', 'blank', 'WRNA', 'White', 'downgrade', 'version', "]</v>
      </c>
      <c r="D7385" s="3">
        <v>5.0</v>
      </c>
    </row>
    <row r="7386" ht="15.75" customHeight="1">
      <c r="A7386" s="1">
        <v>7882.0</v>
      </c>
      <c r="B7386" s="3" t="s">
        <v>7098</v>
      </c>
      <c r="C7386" s="3" t="str">
        <f>IFERROR(__xludf.DUMMYFUNCTION("GOOGLETRANSLATE(B7386,""id"",""en"")"),"['already', 'week', 'buy', 'package', 'Telkomsel', 'writing', 'sorry', 'disorder', 'system', 'pulse', 'sumps',' sms', ' Telkomsel ',' Bner ',' annoying ']")</f>
        <v>['already', 'week', 'buy', 'package', 'Telkomsel', 'writing', 'sorry', 'disorder', 'system', 'pulse', 'sumps',' sms', ' Telkomsel ',' Bner ',' annoying ']</v>
      </c>
      <c r="D7386" s="3">
        <v>1.0</v>
      </c>
    </row>
    <row r="7387" ht="15.75" customHeight="1">
      <c r="A7387" s="1">
        <v>7883.0</v>
      </c>
      <c r="B7387" s="3" t="s">
        <v>7099</v>
      </c>
      <c r="C7387" s="3" t="str">
        <f>IFERROR(__xludf.DUMMYFUNCTION("GOOGLETRANSLATE(B7387,""id"",""en"")"),"['Buy', 'Package', 'Internet', 'FAILURE', 'Activate', 'Credit', 'Cut', 'Terms', 'Commurfection']")</f>
        <v>['Buy', 'Package', 'Internet', 'FAILURE', 'Activate', 'Credit', 'Cut', 'Terms', 'Commurfection']</v>
      </c>
      <c r="D7387" s="3">
        <v>1.0</v>
      </c>
    </row>
    <row r="7388" ht="15.75" customHeight="1">
      <c r="A7388" s="1">
        <v>7884.0</v>
      </c>
      <c r="B7388" s="3" t="s">
        <v>7100</v>
      </c>
      <c r="C7388" s="3" t="str">
        <f>IFERROR(__xludf.DUMMYFUNCTION("GOOGLETRANSLATE(B7388,""id"",""en"")"),"['surprised', 'bin', 'magical', 'telephone', 'buy', 'data', 'purchase', 'lost', 'really', 'tragic', 'pangs',' government ',' Being ',' above ',' ']")</f>
        <v>['surprised', 'bin', 'magical', 'telephone', 'buy', 'data', 'purchase', 'lost', 'really', 'tragic', 'pangs',' government ',' Being ',' above ',' ']</v>
      </c>
      <c r="D7388" s="3">
        <v>1.0</v>
      </c>
    </row>
    <row r="7389" ht="15.75" customHeight="1">
      <c r="A7389" s="1">
        <v>7885.0</v>
      </c>
      <c r="B7389" s="3" t="s">
        <v>7101</v>
      </c>
      <c r="C7389" s="3" t="str">
        <f>IFERROR(__xludf.DUMMYFUNCTION("GOOGLETRANSLATE(B7389,""id"",""en"")"),"['TELKOM', 'Auto', 'Cut', 'Credit', 'Mmg', 'The plan', 'BLM', 'buy', 'package', 'notification', 'Kek', 'Ehh', ' Play ',' Cut ',' TTG ',' nominal ',' right ',' access', 'pulses',' buy ',' ']")</f>
        <v>['TELKOM', 'Auto', 'Cut', 'Credit', 'Mmg', 'The plan', 'BLM', 'buy', 'package', 'notification', 'Kek', 'Ehh', ' Play ',' Cut ',' TTG ',' nominal ',' right ',' access', 'pulses',' buy ',' ']</v>
      </c>
      <c r="D7389" s="3">
        <v>1.0</v>
      </c>
    </row>
    <row r="7390" ht="15.75" customHeight="1">
      <c r="A7390" s="1">
        <v>7887.0</v>
      </c>
      <c r="B7390" s="3" t="s">
        <v>7102</v>
      </c>
      <c r="C7390" s="3" t="str">
        <f>IFERROR(__xludf.DUMMYFUNCTION("GOOGLETRANSLATE(B7390,""id"",""en"")"),"['Exchange', 'Points', 'Region', 'Javanese', 'West', 'Semarang', 'No', 'Use', 'Region', 'Semarang', ""]")</f>
        <v>['Exchange', 'Points', 'Region', 'Javanese', 'West', 'Semarang', 'No', 'Use', 'Region', 'Semarang', "]</v>
      </c>
      <c r="D7390" s="3">
        <v>2.0</v>
      </c>
    </row>
    <row r="7391" ht="15.75" customHeight="1">
      <c r="A7391" s="1">
        <v>7888.0</v>
      </c>
      <c r="B7391" s="3" t="s">
        <v>7103</v>
      </c>
      <c r="C7391" s="3" t="str">
        <f>IFERROR(__xludf.DUMMYFUNCTION("GOOGLETRANSLATE(B7391,""id"",""en"")"),"['Luka', 'Ngeblank', 'Hope', 'Stable', 'Bgini', '']")</f>
        <v>['Luka', 'Ngeblank', 'Hope', 'Stable', 'Bgini', '']</v>
      </c>
      <c r="D7391" s="3">
        <v>4.0</v>
      </c>
    </row>
    <row r="7392" ht="15.75" customHeight="1">
      <c r="A7392" s="1">
        <v>7889.0</v>
      </c>
      <c r="B7392" s="3" t="s">
        <v>7104</v>
      </c>
      <c r="C7392" s="3" t="str">
        <f>IFERROR(__xludf.DUMMYFUNCTION("GOOGLETRANSLATE(B7392,""id"",""en"")"),"['Good', 'practical']")</f>
        <v>['Good', 'practical']</v>
      </c>
      <c r="D7392" s="3">
        <v>5.0</v>
      </c>
    </row>
    <row r="7393" ht="15.75" customHeight="1">
      <c r="A7393" s="1">
        <v>7891.0</v>
      </c>
      <c r="B7393" s="3" t="s">
        <v>7105</v>
      </c>
      <c r="C7393" s="3" t="str">
        <f>IFERROR(__xludf.DUMMYFUNCTION("GOOGLETRANSLATE(B7393,""id"",""en"")"),"['Difficult', 'Bangettt', 'Login', '']")</f>
        <v>['Difficult', 'Bangettt', 'Login', '']</v>
      </c>
      <c r="D7393" s="3">
        <v>1.0</v>
      </c>
    </row>
    <row r="7394" ht="15.75" customHeight="1">
      <c r="A7394" s="1">
        <v>7892.0</v>
      </c>
      <c r="B7394" s="3" t="s">
        <v>7106</v>
      </c>
      <c r="C7394" s="3" t="str">
        <f>IFERROR(__xludf.DUMMYFUNCTION("GOOGLETRANSLATE(B7394,""id"",""en"")"),"['Buy', 'Package', 'Data', 'Credit', 'FAIL']")</f>
        <v>['Buy', 'Package', 'Data', 'Credit', 'FAIL']</v>
      </c>
      <c r="D7394" s="3">
        <v>1.0</v>
      </c>
    </row>
    <row r="7395" ht="15.75" customHeight="1">
      <c r="A7395" s="1">
        <v>7893.0</v>
      </c>
      <c r="B7395" s="3" t="s">
        <v>7107</v>
      </c>
      <c r="C7395" s="3" t="str">
        <f>IFERROR(__xludf.DUMMYFUNCTION("GOOGLETRANSLATE(B7395,""id"",""en"")"),"['Help', 'really', 'dlm', 'purchase', 'kouta']")</f>
        <v>['Help', 'really', 'dlm', 'purchase', 'kouta']</v>
      </c>
      <c r="D7395" s="3">
        <v>5.0</v>
      </c>
    </row>
    <row r="7396" ht="15.75" customHeight="1">
      <c r="A7396" s="1">
        <v>7894.0</v>
      </c>
      <c r="B7396" s="3" t="s">
        <v>7108</v>
      </c>
      <c r="C7396" s="3" t="str">
        <f>IFERROR(__xludf.DUMMYFUNCTION("GOOGLETRANSLATE(B7396,""id"",""en"")"),"['Please', 'Fix', 'Network', 'Internet', 'Aceh', 'Housing', 'Gajahayye', 'Sometimes', 'Service']")</f>
        <v>['Please', 'Fix', 'Network', 'Internet', 'Aceh', 'Housing', 'Gajahayye', 'Sometimes', 'Service']</v>
      </c>
      <c r="D7396" s="3">
        <v>1.0</v>
      </c>
    </row>
    <row r="7397" ht="15.75" customHeight="1">
      <c r="A7397" s="1">
        <v>7895.0</v>
      </c>
      <c r="B7397" s="3" t="s">
        <v>7109</v>
      </c>
      <c r="C7397" s="3" t="str">
        <f>IFERROR(__xludf.DUMMYFUNCTION("GOOGLETRANSLATE(B7397,""id"",""en"")"),"['hope', 'my fortune', 'can', 'lottery', 'Telkomsel']")</f>
        <v>['hope', 'my fortune', 'can', 'lottery', 'Telkomsel']</v>
      </c>
      <c r="D7397" s="3">
        <v>5.0</v>
      </c>
    </row>
    <row r="7398" ht="15.75" customHeight="1">
      <c r="A7398" s="1">
        <v>7896.0</v>
      </c>
      <c r="B7398" s="3" t="s">
        <v>7110</v>
      </c>
      <c r="C7398" s="3" t="str">
        <f>IFERROR(__xludf.DUMMYFUNCTION("GOOGLETRANSLATE(B7398,""id"",""en"")"),"['The application', 'Hamsyong', 'Open', 'Application', 'Stack', 'Screen', 'White', 'Install', 'Uninstall', 'Tetep', 'Ngefek', ""]")</f>
        <v>['The application', 'Hamsyong', 'Open', 'Application', 'Stack', 'Screen', 'White', 'Install', 'Uninstall', 'Tetep', 'Ngefek', "]</v>
      </c>
      <c r="D7398" s="3">
        <v>1.0</v>
      </c>
    </row>
    <row r="7399" ht="15.75" customHeight="1">
      <c r="A7399" s="1">
        <v>7897.0</v>
      </c>
      <c r="B7399" s="3" t="s">
        <v>7111</v>
      </c>
      <c r="C7399" s="3" t="str">
        <f>IFERROR(__xludf.DUMMYFUNCTION("GOOGLETRANSLATE(B7399,""id"",""en"")"),"['APK', 'good', 'bangattttttttttttttttttttttttttttttttttttttttttttttttttttttttttt")</f>
        <v>['APK', 'good', 'bangattttttttttttttttttttttttttttttttttttttttttttttttttttttttttt</v>
      </c>
      <c r="D7399" s="3">
        <v>5.0</v>
      </c>
    </row>
    <row r="7400" ht="15.75" customHeight="1">
      <c r="A7400" s="1">
        <v>7898.0</v>
      </c>
      <c r="B7400" s="3" t="s">
        <v>7112</v>
      </c>
      <c r="C7400" s="3" t="str">
        <f>IFERROR(__xludf.DUMMYFUNCTION("GOOGLETRANSLATE(B7400,""id"",""en"")"),"['Sis', 'expensive', 'friend', 'cheap', 'got', '']")</f>
        <v>['Sis', 'expensive', 'friend', 'cheap', 'got', '']</v>
      </c>
      <c r="D7400" s="3">
        <v>4.0</v>
      </c>
    </row>
    <row r="7401" ht="15.75" customHeight="1">
      <c r="A7401" s="1">
        <v>7899.0</v>
      </c>
      <c r="B7401" s="3" t="s">
        <v>7113</v>
      </c>
      <c r="C7401" s="3" t="str">
        <f>IFERROR(__xludf.DUMMYFUNCTION("GOOGLETRANSLATE(B7401,""id"",""en"")"),"['Severe', 'already', 'Mingu', 'application', 'open', 'rich', 'cost', 'creep', 'application', 'detrimental', 'user', 'Telkomsel', ' ']")</f>
        <v>['Severe', 'already', 'Mingu', 'application', 'open', 'rich', 'cost', 'creep', 'application', 'detrimental', 'user', 'Telkomsel', ' ']</v>
      </c>
      <c r="D7401" s="3">
        <v>1.0</v>
      </c>
    </row>
    <row r="7402" ht="15.75" customHeight="1">
      <c r="A7402" s="1">
        <v>7900.0</v>
      </c>
      <c r="B7402" s="3" t="s">
        <v>7114</v>
      </c>
      <c r="C7402" s="3" t="str">
        <f>IFERROR(__xludf.DUMMYFUNCTION("GOOGLETRANSLATE(B7402,""id"",""en"")"),"[ 'SAYAA', 'aaaaaaaaaaaaaaaaaa', 'Star', 'satuuuuuuuuuu', 'because', 'application', 'dibukaaaaaaaaaaaaaaaaaaaaaaaaaaaaaaaaaaaaaaaaaaaaaaaaaaaaaaaaaaaaaaaaaaaaaaaaaaaaaaaaaaaaaaaaaaaaaaaaaaaaa', 'please', 'balikin', 'quota', '']")</f>
        <v>[ 'SAYAA', 'aaaaaaaaaaaaaaaaaa', 'Star', 'satuuuuuuuuuu', 'because', 'application', 'dibukaaaaaaaaaaaaaaaaaaaaaaaaaaaaaaaaaaaaaaaaaaaaaaaaaaaaaaaaaaaaaaaaaaaaaaaaaaaaaaaaaaaaaaaaaaaaaaaaaaaaa', 'please', 'balikin', 'quota', '']</v>
      </c>
      <c r="D7402" s="3">
        <v>1.0</v>
      </c>
    </row>
    <row r="7403" ht="15.75" customHeight="1">
      <c r="A7403" s="1">
        <v>7901.0</v>
      </c>
      <c r="B7403" s="3" t="s">
        <v>7115</v>
      </c>
      <c r="C7403" s="3" t="str">
        <f>IFERROR(__xludf.DUMMYFUNCTION("GOOGLETRANSLATE(B7403,""id"",""en"")"),"['Disband', 'Telkomsel', 'compete', 'win', 'expensive', 'doang', 'network', 'slow', 'rich', 'grandma', ""]")</f>
        <v>['Disband', 'Telkomsel', 'compete', 'win', 'expensive', 'doang', 'network', 'slow', 'rich', 'grandma', "]</v>
      </c>
      <c r="D7403" s="3">
        <v>1.0</v>
      </c>
    </row>
    <row r="7404" ht="15.75" customHeight="1">
      <c r="A7404" s="1">
        <v>7902.0</v>
      </c>
      <c r="B7404" s="3" t="s">
        <v>7116</v>
      </c>
      <c r="C7404" s="3" t="str">
        <f>IFERROR(__xludf.DUMMYFUNCTION("GOOGLETRANSLATE(B7404,""id"",""en"")"),"['', 'many years', 'Aflication', 'Telkomsel', 'Open', 'Disappointed', 'Download', 'Many', 'times', 'Msh', 'Open']")</f>
        <v>['', 'many years', 'Aflication', 'Telkomsel', 'Open', 'Disappointed', 'Download', 'Many', 'times', 'Msh', 'Open']</v>
      </c>
      <c r="D7404" s="3">
        <v>2.0</v>
      </c>
    </row>
    <row r="7405" ht="15.75" customHeight="1">
      <c r="A7405" s="1">
        <v>7903.0</v>
      </c>
      <c r="B7405" s="3" t="s">
        <v>7117</v>
      </c>
      <c r="C7405" s="3" t="str">
        <f>IFERROR(__xludf.DUMMYFUNCTION("GOOGLETRANSLATE(B7405,""id"",""en"")"),"['YTH', 'Telkomsel', 'buy', 'package', 'pulse', 'Tetep', 'take', 'pay', 'count', 'expensive', 'a month', 'Rb', ' BLM ',' Take ',' Credit ',' Network ',' Down ',' Stable ',' Play ',' Game ',' Online ',' Difficult "", 'Very', 'Plis', 'Fix' , 'Telkomsel', 'B"&amp;"KN', 'a year', ""]")</f>
        <v>['YTH', 'Telkomsel', 'buy', 'package', 'pulse', 'Tetep', 'take', 'pay', 'count', 'expensive', 'a month', 'Rb', ' BLM ',' Take ',' Credit ',' Network ',' Down ',' Stable ',' Play ',' Game ',' Online ',' Difficult ", 'Very', 'Plis', 'Fix' , 'Telkomsel', 'BKN', 'a year', "]</v>
      </c>
      <c r="D7405" s="3">
        <v>2.0</v>
      </c>
    </row>
    <row r="7406" ht="15.75" customHeight="1">
      <c r="A7406" s="1">
        <v>7904.0</v>
      </c>
      <c r="B7406" s="3" t="s">
        <v>7118</v>
      </c>
      <c r="C7406" s="3" t="str">
        <f>IFERROR(__xludf.DUMMYFUNCTION("GOOGLETRANSLATE(B7406,""id"",""en"")"),"['The application', 'Bukai', 'Padaha', 'signal', 'good', 'UDH', 'Try', 'Install', 'reset', 'Tetep', 'Bukak']")</f>
        <v>['The application', 'Bukai', 'Padaha', 'signal', 'good', 'UDH', 'Try', 'Install', 'reset', 'Tetep', 'Bukak']</v>
      </c>
      <c r="D7406" s="3">
        <v>3.0</v>
      </c>
    </row>
    <row r="7407" ht="15.75" customHeight="1">
      <c r="A7407" s="1">
        <v>7905.0</v>
      </c>
      <c r="B7407" s="3" t="s">
        <v>7119</v>
      </c>
      <c r="C7407" s="3" t="str">
        <f>IFERROR(__xludf.DUMMYFUNCTION("GOOGLETRANSLATE(B7407,""id"",""en"")"),"['Severe', 'Application', 'Plate', 'Red', 'Download', 'Open', 'Severe']")</f>
        <v>['Severe', 'Application', 'Plate', 'Red', 'Download', 'Open', 'Severe']</v>
      </c>
      <c r="D7407" s="3">
        <v>2.0</v>
      </c>
    </row>
    <row r="7408" ht="15.75" customHeight="1">
      <c r="A7408" s="1">
        <v>7906.0</v>
      </c>
      <c r="B7408" s="3" t="s">
        <v>7120</v>
      </c>
      <c r="C7408" s="3" t="str">
        <f>IFERROR(__xludf.DUMMYFUNCTION("GOOGLETRANSLATE(B7408,""id"",""en"")"),"['Delicious', 'APK', 'Telkomsel', 'Hopefully', 'Combo', 'Sakti', 'Cheap', 'Aaamin']")</f>
        <v>['Delicious', 'APK', 'Telkomsel', 'Hopefully', 'Combo', 'Sakti', 'Cheap', 'Aaamin']</v>
      </c>
      <c r="D7408" s="3">
        <v>5.0</v>
      </c>
    </row>
    <row r="7409" ht="15.75" customHeight="1">
      <c r="A7409" s="1">
        <v>7907.0</v>
      </c>
      <c r="B7409" s="3" t="s">
        <v>7121</v>
      </c>
      <c r="C7409" s="3" t="str">
        <f>IFERROR(__xludf.DUMMYFUNCTION("GOOGLETRANSLATE(B7409,""id"",""en"")"),"['baguuuuus', 'area', 'sometimes', 'xox', 'slow', 'beg', 'repaired', 'system', 'network']")</f>
        <v>['baguuuuus', 'area', 'sometimes', 'xox', 'slow', 'beg', 'repaired', 'system', 'network']</v>
      </c>
      <c r="D7409" s="3">
        <v>5.0</v>
      </c>
    </row>
    <row r="7410" ht="15.75" customHeight="1">
      <c r="A7410" s="1">
        <v>7908.0</v>
      </c>
      <c r="B7410" s="3" t="s">
        <v>7122</v>
      </c>
      <c r="C7410" s="3" t="str">
        <f>IFERROR(__xludf.DUMMYFUNCTION("GOOGLETRANSLATE(B7410,""id"",""en"")"),"['Stable', 'Network', '']")</f>
        <v>['Stable', 'Network', '']</v>
      </c>
      <c r="D7410" s="3">
        <v>1.0</v>
      </c>
    </row>
    <row r="7411" ht="15.75" customHeight="1">
      <c r="A7411" s="1">
        <v>7909.0</v>
      </c>
      <c r="B7411" s="3" t="s">
        <v>7123</v>
      </c>
      <c r="C7411" s="3" t="str">
        <f>IFERROR(__xludf.DUMMYFUNCTION("GOOGLETRANSLATE(B7411,""id"",""en"")"),"['Stuck', 'blank', 'White', 'Delete', 'Chace', 'Delete', 'then', 'Install', 'Sampek', 'Tetep', 'already', ' BSA ']")</f>
        <v>['Stuck', 'blank', 'White', 'Delete', 'Chace', 'Delete', 'then', 'Install', 'Sampek', 'Tetep', 'already', ' BSA ']</v>
      </c>
      <c r="D7411" s="3">
        <v>1.0</v>
      </c>
    </row>
    <row r="7412" ht="15.75" customHeight="1">
      <c r="A7412" s="1">
        <v>7910.0</v>
      </c>
      <c r="B7412" s="3" t="s">
        <v>7124</v>
      </c>
      <c r="C7412" s="3" t="str">
        <f>IFERROR(__xludf.DUMMYFUNCTION("GOOGLETRANSLATE(B7412,""id"",""en"")"),"['bad', 'sebeloh', 'signal', 'rich', 'think', 'buy', 'quota', 'money', 'donggo', 'server', 'dick', 'Gara', ' signal ',' donggo ',' difficult ']")</f>
        <v>['bad', 'sebeloh', 'signal', 'rich', 'think', 'buy', 'quota', 'money', 'donggo', 'server', 'dick', 'Gara', ' signal ',' donggo ',' difficult ']</v>
      </c>
      <c r="D7412" s="3">
        <v>1.0</v>
      </c>
    </row>
    <row r="7413" ht="15.75" customHeight="1">
      <c r="A7413" s="1">
        <v>7911.0</v>
      </c>
      <c r="B7413" s="3" t="s">
        <v>7125</v>
      </c>
      <c r="C7413" s="3" t="str">
        <f>IFERROR(__xludf.DUMMYFUNCTION("GOOGLETRANSLATE(B7413,""id"",""en"")"),"['signal', 'here', 'suraaaam', 'stable', 'panassss',' price ',' package ',' naek ',' truss', 'quality', 'signal', 'turuun', ' Trusss']")</f>
        <v>['signal', 'here', 'suraaaam', 'stable', 'panassss',' price ',' package ',' naek ',' truss', 'quality', 'signal', 'turuun', ' Trusss']</v>
      </c>
      <c r="D7413" s="3">
        <v>1.0</v>
      </c>
    </row>
    <row r="7414" ht="15.75" customHeight="1">
      <c r="A7414" s="1">
        <v>7912.0</v>
      </c>
      <c r="B7414" s="3" t="s">
        <v>7126</v>
      </c>
      <c r="C7414" s="3" t="str">
        <f>IFERROR(__xludf.DUMMYFUNCTION("GOOGLETRANSLATE(B7414,""id"",""en"")"),"['', 'opened', 'the application', 'blank', 'white', ""]")</f>
        <v>['', 'opened', 'the application', 'blank', 'white', "]</v>
      </c>
      <c r="D7414" s="3">
        <v>2.0</v>
      </c>
    </row>
    <row r="7415" ht="15.75" customHeight="1">
      <c r="A7415" s="1">
        <v>7914.0</v>
      </c>
      <c r="B7415" s="3" t="s">
        <v>7127</v>
      </c>
      <c r="C7415" s="3" t="str">
        <f>IFERROR(__xludf.DUMMYFUNCTION("GOOGLETRANSLATE(B7415,""id"",""en"")"),"['according to', 'Expetation', 'Features', 'Doang', 'Most', 'Price', 'Network', 'Internet', 'Mending', 'Next to', '']")</f>
        <v>['according to', 'Expetation', 'Features', 'Doang', 'Most', 'Price', 'Network', 'Internet', 'Mending', 'Next to', '']</v>
      </c>
      <c r="D7415" s="3">
        <v>1.0</v>
      </c>
    </row>
    <row r="7416" ht="15.75" customHeight="1">
      <c r="A7416" s="1">
        <v>7915.0</v>
      </c>
      <c r="B7416" s="3" t="s">
        <v>4752</v>
      </c>
      <c r="C7416" s="3" t="str">
        <f>IFERROR(__xludf.DUMMYFUNCTION("GOOGLETRANSLATE(B7416,""id"",""en"")"),"['expensive', 'slow']")</f>
        <v>['expensive', 'slow']</v>
      </c>
      <c r="D7416" s="3">
        <v>1.0</v>
      </c>
    </row>
    <row r="7417" ht="15.75" customHeight="1">
      <c r="A7417" s="1">
        <v>7916.0</v>
      </c>
      <c r="B7417" s="3" t="s">
        <v>7128</v>
      </c>
      <c r="C7417" s="3" t="str">
        <f>IFERROR(__xludf.DUMMYFUNCTION("GOOGLETRANSLATE(B7417,""id"",""en"")"),"['Good', 'really', 'APK', 'promo', 'lho', '']")</f>
        <v>['Good', 'really', 'APK', 'promo', 'lho', '']</v>
      </c>
      <c r="D7417" s="3">
        <v>5.0</v>
      </c>
    </row>
    <row r="7418" ht="15.75" customHeight="1">
      <c r="A7418" s="1">
        <v>7917.0</v>
      </c>
      <c r="B7418" s="3" t="s">
        <v>7129</v>
      </c>
      <c r="C7418" s="3" t="str">
        <f>IFERROR(__xludf.DUMMYFUNCTION("GOOGLETRANSLATE(B7418,""id"",""en"")"),"['Alhamdulillah', 'service', 'interesting', 'package', 'cheap', 'really', 'hope', 'in the future', 'service', 'application', 'mytelkomsel', 'forward', ' Success', 'Interest', 'Violations',' Special ',' Telkomsel ',' Forward ',' Telkomsel ', ""]")</f>
        <v>['Alhamdulillah', 'service', 'interesting', 'package', 'cheap', 'really', 'hope', 'in the future', 'service', 'application', 'mytelkomsel', 'forward', ' Success', 'Interest', 'Violations',' Special ',' Telkomsel ',' Forward ',' Telkomsel ', "]</v>
      </c>
      <c r="D7418" s="3">
        <v>5.0</v>
      </c>
    </row>
    <row r="7419" ht="15.75" customHeight="1">
      <c r="A7419" s="1">
        <v>7918.0</v>
      </c>
      <c r="B7419" s="3" t="s">
        <v>5368</v>
      </c>
      <c r="C7419" s="3" t="str">
        <f>IFERROR(__xludf.DUMMYFUNCTION("GOOGLETRANSLATE(B7419,""id"",""en"")"),"['Network', 'fast']")</f>
        <v>['Network', 'fast']</v>
      </c>
      <c r="D7419" s="3">
        <v>5.0</v>
      </c>
    </row>
    <row r="7420" ht="15.75" customHeight="1">
      <c r="A7420" s="1">
        <v>7919.0</v>
      </c>
      <c r="B7420" s="3" t="s">
        <v>708</v>
      </c>
      <c r="C7420" s="3" t="str">
        <f>IFERROR(__xludf.DUMMYFUNCTION("GOOGLETRANSLATE(B7420,""id"",""en"")"),"['easy', 'help']")</f>
        <v>['easy', 'help']</v>
      </c>
      <c r="D7420" s="3">
        <v>5.0</v>
      </c>
    </row>
    <row r="7421" ht="15.75" customHeight="1">
      <c r="A7421" s="1">
        <v>7920.0</v>
      </c>
      <c r="B7421" s="3" t="s">
        <v>7130</v>
      </c>
      <c r="C7421" s="3" t="str">
        <f>IFERROR(__xludf.DUMMYFUNCTION("GOOGLETRANSLATE(B7421,""id"",""en"")"),"['Assalamualaikum', 'Yes', 'Helpful', 'Thank "",' Kasih ',' KKA ',' Greetings ',' Child ',' son ',' Dayak ',' Barito ',' Kalimantan ',' ']")</f>
        <v>['Assalamualaikum', 'Yes', 'Helpful', 'Thank ",' Kasih ',' KKA ',' Greetings ',' Child ',' son ',' Dayak ',' Barito ',' Kalimantan ',' ']</v>
      </c>
      <c r="D7421" s="3">
        <v>5.0</v>
      </c>
    </row>
    <row r="7422" ht="15.75" customHeight="1">
      <c r="A7422" s="1">
        <v>7921.0</v>
      </c>
      <c r="B7422" s="3" t="s">
        <v>7131</v>
      </c>
      <c r="C7422" s="3" t="str">
        <f>IFERROR(__xludf.DUMMYFUNCTION("GOOGLETRANSLATE(B7422,""id"",""en"")"),"['price', 'package', 'quota', 'internet', 'odd', 'add', 'a thousand', 'buy', 'pulse', 'even', 'tip', 'buy', ' Credit ',' Add ',' Minimal ',' RB ',' Package ',' Drain ',' Sasar ',' Subscriptions', 'SMS', 'Prepaid', 'Appear', 'Automatic', 'Friend' , 'Stop',"&amp;" 'Lagih']")</f>
        <v>['price', 'package', 'quota', 'internet', 'odd', 'add', 'a thousand', 'buy', 'pulse', 'even', 'tip', 'buy', ' Credit ',' Add ',' Minimal ',' RB ',' Package ',' Drain ',' Sasar ',' Subscriptions', 'SMS', 'Prepaid', 'Appear', 'Automatic', 'Friend' , 'Stop', 'Lagih']</v>
      </c>
      <c r="D7422" s="3">
        <v>1.0</v>
      </c>
    </row>
    <row r="7423" ht="15.75" customHeight="1">
      <c r="A7423" s="1">
        <v>7922.0</v>
      </c>
      <c r="B7423" s="3" t="s">
        <v>7132</v>
      </c>
      <c r="C7423" s="3" t="str">
        <f>IFERROR(__xludf.DUMMYFUNCTION("GOOGLETRANSLATE(B7423,""id"",""en"")"),"['Udeh', 'expensive', 'network', 'yellow', 'mulu', ""]")</f>
        <v>['Udeh', 'expensive', 'network', 'yellow', 'mulu', "]</v>
      </c>
      <c r="D7423" s="3">
        <v>1.0</v>
      </c>
    </row>
    <row r="7424" ht="15.75" customHeight="1">
      <c r="A7424" s="1">
        <v>7923.0</v>
      </c>
      <c r="B7424" s="3" t="s">
        <v>7133</v>
      </c>
      <c r="C7424" s="3" t="str">
        <f>IFERROR(__xludf.DUMMYFUNCTION("GOOGLETRANSLATE(B7424,""id"",""en"")"),"['Likes', 'PERMACTION', 'TELCOMSEL']")</f>
        <v>['Likes', 'PERMACTION', 'TELCOMSEL']</v>
      </c>
      <c r="D7424" s="3">
        <v>5.0</v>
      </c>
    </row>
    <row r="7425" ht="15.75" customHeight="1">
      <c r="A7425" s="1">
        <v>7924.0</v>
      </c>
      <c r="B7425" s="3" t="s">
        <v>7134</v>
      </c>
      <c r="C7425" s="3" t="str">
        <f>IFERROR(__xludf.DUMMYFUNCTION("GOOGLETRANSLATE(B7425,""id"",""en"")"),"['Love', 'free', 'mimin', 'cute']")</f>
        <v>['Love', 'free', 'mimin', 'cute']</v>
      </c>
      <c r="D7425" s="3">
        <v>5.0</v>
      </c>
    </row>
    <row r="7426" ht="15.75" customHeight="1">
      <c r="A7426" s="1">
        <v>7925.0</v>
      </c>
      <c r="B7426" s="3" t="s">
        <v>7135</v>
      </c>
      <c r="C7426" s="3" t="str">
        <f>IFERROR(__xludf.DUMMYFUNCTION("GOOGLETRANSLATE(B7426,""id"",""en"")"),"['Level', 'Network', 'Internet']")</f>
        <v>['Level', 'Network', 'Internet']</v>
      </c>
      <c r="D7426" s="3">
        <v>5.0</v>
      </c>
    </row>
    <row r="7427" ht="15.75" customHeight="1">
      <c r="A7427" s="1">
        <v>7927.0</v>
      </c>
      <c r="B7427" s="3" t="s">
        <v>7136</v>
      </c>
      <c r="C7427" s="3" t="str">
        <f>IFERROR(__xludf.DUMMYFUNCTION("GOOGLETRANSLATE(B7427,""id"",""en"")"),"['', 'really', 'Anyway']")</f>
        <v>['', 'really', 'Anyway']</v>
      </c>
      <c r="D7427" s="3">
        <v>5.0</v>
      </c>
    </row>
    <row r="7428" ht="15.75" customHeight="1">
      <c r="A7428" s="1">
        <v>7928.0</v>
      </c>
      <c r="B7428" s="3" t="s">
        <v>7137</v>
      </c>
      <c r="C7428" s="3" t="str">
        <f>IFERROR(__xludf.DUMMYFUNCTION("GOOGLETRANSLATE(B7428,""id"",""en"")"),"['bad', 'network', 'region', 'win', 'name', 'doang', 'garbage']")</f>
        <v>['bad', 'network', 'region', 'win', 'name', 'doang', 'garbage']</v>
      </c>
      <c r="D7428" s="3">
        <v>1.0</v>
      </c>
    </row>
    <row r="7429" ht="15.75" customHeight="1">
      <c r="A7429" s="1">
        <v>7929.0</v>
      </c>
      <c r="B7429" s="3" t="s">
        <v>7138</v>
      </c>
      <c r="C7429" s="3" t="str">
        <f>IFERROR(__xludf.DUMMYFUNCTION("GOOGLETRANSLATE(B7429,""id"",""en"")"),"['satisfying', 'network', 'smooth', 'obstacles', 'game', 'task', 'task']")</f>
        <v>['satisfying', 'network', 'smooth', 'obstacles', 'game', 'task', 'task']</v>
      </c>
      <c r="D7429" s="3">
        <v>5.0</v>
      </c>
    </row>
    <row r="7430" ht="15.75" customHeight="1">
      <c r="A7430" s="1">
        <v>7930.0</v>
      </c>
      <c r="B7430" s="3" t="s">
        <v>7139</v>
      </c>
      <c r="C7430" s="3" t="str">
        <f>IFERROR(__xludf.DUMMYFUNCTION("GOOGLETRANSLATE(B7430,""id"",""en"")"),"['application', 'error', 'screen', 'white', 'ngak', 'entry', 'notification', 'friend', 'screen', 'white', ""]")</f>
        <v>['application', 'error', 'screen', 'white', 'ngak', 'entry', 'notification', 'friend', 'screen', 'white', "]</v>
      </c>
      <c r="D7430" s="3">
        <v>1.0</v>
      </c>
    </row>
    <row r="7431" ht="15.75" customHeight="1">
      <c r="A7431" s="1">
        <v>7931.0</v>
      </c>
      <c r="B7431" s="3" t="s">
        <v>7140</v>
      </c>
      <c r="C7431" s="3" t="str">
        <f>IFERROR(__xludf.DUMMYFUNCTION("GOOGLETRANSLATE(B7431,""id"",""en"")"),"['a week', 'accessed', '']")</f>
        <v>['a week', 'accessed', '']</v>
      </c>
      <c r="D7431" s="3">
        <v>1.0</v>
      </c>
    </row>
    <row r="7432" ht="15.75" customHeight="1">
      <c r="A7432" s="1">
        <v>7932.0</v>
      </c>
      <c r="B7432" s="3" t="s">
        <v>7141</v>
      </c>
      <c r="C7432" s="3" t="str">
        <f>IFERROR(__xludf.DUMMYFUNCTION("GOOGLETRANSLATE(B7432,""id"",""en"")"),"['Please', 'Increase', 'Network', 'Internet', 'Free', 'Open', 'Application', 'Easy', 'Purchase', 'Package', 'TRIMS']")</f>
        <v>['Please', 'Increase', 'Network', 'Internet', 'Free', 'Open', 'Application', 'Easy', 'Purchase', 'Package', 'TRIMS']</v>
      </c>
      <c r="D7432" s="3">
        <v>5.0</v>
      </c>
    </row>
    <row r="7433" ht="15.75" customHeight="1">
      <c r="A7433" s="1">
        <v>7933.0</v>
      </c>
      <c r="B7433" s="3" t="s">
        <v>7142</v>
      </c>
      <c r="C7433" s="3" t="str">
        <f>IFERROR(__xludf.DUMMYFUNCTION("GOOGLETRANSLATE(B7433,""id"",""en"")"),"['Maen', 'game', 'signal', 'ilang', 'kayak', 'go bankrupt', 'kah', 'yes',' hopefully ',' fast ',' bankrupt ',' sono ',' expensive ',' doang ',' signal ',' rotten ']")</f>
        <v>['Maen', 'game', 'signal', 'ilang', 'kayak', 'go bankrupt', 'kah', 'yes',' hopefully ',' fast ',' bankrupt ',' sono ',' expensive ',' doang ',' signal ',' rotten ']</v>
      </c>
      <c r="D7433" s="3">
        <v>1.0</v>
      </c>
    </row>
    <row r="7434" ht="15.75" customHeight="1">
      <c r="A7434" s="1">
        <v>7934.0</v>
      </c>
      <c r="B7434" s="3" t="s">
        <v>570</v>
      </c>
      <c r="C7434" s="3" t="str">
        <f>IFERROR(__xludf.DUMMYFUNCTION("GOOGLETRANSLATE(B7434,""id"",""en"")"),"['try', '']")</f>
        <v>['try', '']</v>
      </c>
      <c r="D7434" s="3">
        <v>5.0</v>
      </c>
    </row>
    <row r="7435" ht="15.75" customHeight="1">
      <c r="A7435" s="1">
        <v>7935.0</v>
      </c>
      <c r="B7435" s="3" t="s">
        <v>7143</v>
      </c>
      <c r="C7435" s="3" t="str">
        <f>IFERROR(__xludf.DUMMYFUNCTION("GOOGLETRANSLATE(B7435,""id"",""en"")"),"['Sorry', 'Application', 'Telkomsel', 'Open', 'Update', '']")</f>
        <v>['Sorry', 'Application', 'Telkomsel', 'Open', 'Update', '']</v>
      </c>
      <c r="D7435" s="3">
        <v>4.0</v>
      </c>
    </row>
    <row r="7436" ht="15.75" customHeight="1">
      <c r="A7436" s="1">
        <v>7937.0</v>
      </c>
      <c r="B7436" s="3" t="s">
        <v>7144</v>
      </c>
      <c r="C7436" s="3" t="str">
        <f>IFERROR(__xludf.DUMMYFUNCTION("GOOGLETRANSLATE(B7436,""id"",""en"")"),"['Open', 'Application', 'Telkomsel', 'Delete', 'Install', 'Open', 'Screen', 'White', 'Doang', ""]")</f>
        <v>['Open', 'Application', 'Telkomsel', 'Delete', 'Install', 'Open', 'Screen', 'White', 'Doang', "]</v>
      </c>
      <c r="D7436" s="3">
        <v>5.0</v>
      </c>
    </row>
    <row r="7437" ht="15.75" customHeight="1">
      <c r="A7437" s="1">
        <v>7938.0</v>
      </c>
      <c r="B7437" s="3" t="s">
        <v>7145</v>
      </c>
      <c r="C7437" s="3" t="str">
        <f>IFERROR(__xludf.DUMMYFUNCTION("GOOGLETRANSLATE(B7437,""id"",""en"")"),"['puncture', 'service', 'good']")</f>
        <v>['puncture', 'service', 'good']</v>
      </c>
      <c r="D7437" s="3">
        <v>5.0</v>
      </c>
    </row>
    <row r="7438" ht="15.75" customHeight="1">
      <c r="A7438" s="1">
        <v>7939.0</v>
      </c>
      <c r="B7438" s="3" t="s">
        <v>7146</v>
      </c>
      <c r="C7438" s="3" t="str">
        <f>IFERROR(__xludf.DUMMYFUNCTION("GOOGLETRANSLATE(B7438,""id"",""en"")"),"['Useful', 'really', 'confused', 'his draw', 'how', 'UDH', 'Exchange', '']")</f>
        <v>['Useful', 'really', 'confused', 'his draw', 'how', 'UDH', 'Exchange', '']</v>
      </c>
      <c r="D7438" s="3">
        <v>5.0</v>
      </c>
    </row>
    <row r="7439" ht="15.75" customHeight="1">
      <c r="A7439" s="1">
        <v>7941.0</v>
      </c>
      <c r="B7439" s="3" t="s">
        <v>7147</v>
      </c>
      <c r="C7439" s="3" t="str">
        <f>IFERROR(__xludf.DUMMYFUNCTION("GOOGLETRANSLATE(B7439,""id"",""en"")"),"['Telkomsel', 'application', 'slow', 'open', 'application', 'please', 'noticed', 'application', 'Telkomsel']")</f>
        <v>['Telkomsel', 'application', 'slow', 'open', 'application', 'please', 'noticed', 'application', 'Telkomsel']</v>
      </c>
      <c r="D7439" s="3">
        <v>1.0</v>
      </c>
    </row>
    <row r="7440" ht="15.75" customHeight="1">
      <c r="A7440" s="1">
        <v>7942.0</v>
      </c>
      <c r="B7440" s="3" t="s">
        <v>7148</v>
      </c>
      <c r="C7440" s="3" t="str">
        <f>IFERROR(__xludf.DUMMYFUNCTION("GOOGLETRANSLATE(B7440,""id"",""en"")"),"['Dul', 'easy', 'skrg', 'difficult', 'knpa', 'kya', 'ngblaeng', 'white', 'doang', 'bgus',' down ',' noh ',' The star ',' ']")</f>
        <v>['Dul', 'easy', 'skrg', 'difficult', 'knpa', 'kya', 'ngblaeng', 'white', 'doang', 'bgus',' down ',' noh ',' The star ',' ']</v>
      </c>
      <c r="D7440" s="3">
        <v>2.0</v>
      </c>
    </row>
    <row r="7441" ht="15.75" customHeight="1">
      <c r="A7441" s="1">
        <v>7943.0</v>
      </c>
      <c r="B7441" s="3" t="s">
        <v>7149</v>
      </c>
      <c r="C7441" s="3" t="str">
        <f>IFERROR(__xludf.DUMMYFUNCTION("GOOGLETRANSLATE(B7441,""id"",""en"")"),"['Satisfied', 'service', 'network', 'smooth', 'sympathy', 'others',' abal ',' abal ',' murce ',' udh ',' kaga ',' dipake ',' Thank you ',' sympathy ', ""]")</f>
        <v>['Satisfied', 'service', 'network', 'smooth', 'sympathy', 'others',' abal ',' abal ',' murce ',' udh ',' kaga ',' dipake ',' Thank you ',' sympathy ', "]</v>
      </c>
      <c r="D7441" s="3">
        <v>5.0</v>
      </c>
    </row>
    <row r="7442" ht="15.75" customHeight="1">
      <c r="A7442" s="1">
        <v>7944.0</v>
      </c>
      <c r="B7442" s="3" t="s">
        <v>7150</v>
      </c>
      <c r="C7442" s="3" t="str">
        <f>IFERROR(__xludf.DUMMYFUNCTION("GOOGLETRANSLATE(B7442,""id"",""en"")"),"['Come on', 'semernat', 'Telkomsel', 'brkmbang', 'dlu']")</f>
        <v>['Come on', 'semernat', 'Telkomsel', 'brkmbang', 'dlu']</v>
      </c>
      <c r="D7442" s="3">
        <v>5.0</v>
      </c>
    </row>
    <row r="7443" ht="15.75" customHeight="1">
      <c r="A7443" s="1">
        <v>7945.0</v>
      </c>
      <c r="B7443" s="3" t="s">
        <v>7151</v>
      </c>
      <c r="C7443" s="3" t="str">
        <f>IFERROR(__xludf.DUMMYFUNCTION("GOOGLETRANSLATE(B7443,""id"",""en"")"),"['network', 'deformed', 'garbage', 'regret', 'really', 'Telkomsel', ""]")</f>
        <v>['network', 'deformed', 'garbage', 'regret', 'really', 'Telkomsel', "]</v>
      </c>
      <c r="D7443" s="3">
        <v>1.0</v>
      </c>
    </row>
    <row r="7444" ht="15.75" customHeight="1">
      <c r="A7444" s="1">
        <v>7946.0</v>
      </c>
      <c r="B7444" s="3" t="s">
        <v>7152</v>
      </c>
      <c r="C7444" s="3" t="str">
        <f>IFERROR(__xludf.DUMMYFUNCTION("GOOGLETRANSLATE(B7444,""id"",""en"")"),"['Telkomsel', 'fast', 'hahhh', 'just', 'expensive', 'doang', 'price', 'according to', 'service', 'love', 'network', ' Stable ',' here ',' ugly ',' Telkomsel ',' like ',' Telkomsel ',' network ',' smooth ',' stable ',' slow ',' price ',' expensive ',' sell"&amp;" ' , 'CONTACT', 'AMIN', 'CONTACT', 'ADMIN', 'MERKEK', 'Telkomsel', 'just', 'Fix', 'Network', 'people', 'just', 'people', ' Complaints', 'just', 'service', 'satisfying']")</f>
        <v>['Telkomsel', 'fast', 'hahhh', 'just', 'expensive', 'doang', 'price', 'according to', 'service', 'love', 'network', ' Stable ',' here ',' ugly ',' Telkomsel ',' like ',' Telkomsel ',' network ',' smooth ',' stable ',' slow ',' price ',' expensive ',' sell ' , 'CONTACT', 'AMIN', 'CONTACT', 'ADMIN', 'MERKEK', 'Telkomsel', 'just', 'Fix', 'Network', 'people', 'just', 'people', ' Complaints', 'just', 'service', 'satisfying']</v>
      </c>
      <c r="D7444" s="3">
        <v>1.0</v>
      </c>
    </row>
    <row r="7445" ht="15.75" customHeight="1">
      <c r="A7445" s="1">
        <v>7947.0</v>
      </c>
      <c r="B7445" s="3" t="s">
        <v>7153</v>
      </c>
      <c r="C7445" s="3" t="str">
        <f>IFERROR(__xludf.DUMMYFUNCTION("GOOGLETRANSLATE(B7445,""id"",""en"")"),"['application', 'Telkomsel', 'kagak', 'open', '']")</f>
        <v>['application', 'Telkomsel', 'kagak', 'open', '']</v>
      </c>
      <c r="D7445" s="3">
        <v>3.0</v>
      </c>
    </row>
    <row r="7446" ht="15.75" customHeight="1">
      <c r="A7446" s="1">
        <v>7948.0</v>
      </c>
      <c r="B7446" s="3" t="s">
        <v>7154</v>
      </c>
      <c r="C7446" s="3" t="str">
        <f>IFERROR(__xludf.DUMMYFUNCTION("GOOGLETRANSLATE(B7446,""id"",""en"")"),"['years',' PKA ',' TELKOMSEN ',' APL ',' sophisticated ',' TPI ',' Honey ',' connection ',' bad ',' clock ',' card ',' missing ',' signal ',' TPL ',' tsel ',' say it ',' explanation ',' hang ',' satisfying ',' obstacles', 'obstacles',' please ',' connecti"&amp;"on ',' fix ']")</f>
        <v>['years',' PKA ',' TELKOMSEN ',' APL ',' sophisticated ',' TPI ',' Honey ',' connection ',' bad ',' clock ',' card ',' missing ',' signal ',' TPL ',' tsel ',' say it ',' explanation ',' hang ',' satisfying ',' obstacles', 'obstacles',' please ',' connection ',' fix ']</v>
      </c>
      <c r="D7446" s="3">
        <v>1.0</v>
      </c>
    </row>
    <row r="7447" ht="15.75" customHeight="1">
      <c r="A7447" s="1">
        <v>7949.0</v>
      </c>
      <c r="B7447" s="3" t="s">
        <v>7155</v>
      </c>
      <c r="C7447" s="3" t="str">
        <f>IFERROR(__xludf.DUMMYFUNCTION("GOOGLETRANSLATE(B7447,""id"",""en"")"),"['Sell', 'Package', 'Cheap', 'Signal', 'SERES', 'Fast', 'Money', 'Maen', 'Game', 'Package', 'Msh', 'yes',' Ngeleq ',' Bener ',' Ngapa ',' Marug ',' Bener ',' Telkom ',' Doubt ',' Money ',' Doang ',' APK ',' Benerin ', ""]")</f>
        <v>['Sell', 'Package', 'Cheap', 'Signal', 'SERES', 'Fast', 'Money', 'Maen', 'Game', 'Package', 'Msh', 'yes',' Ngeleq ',' Bener ',' Ngapa ',' Marug ',' Bener ',' Telkom ',' Doubt ',' Money ',' Doang ',' APK ',' Benerin ', "]</v>
      </c>
      <c r="D7447" s="3">
        <v>1.0</v>
      </c>
    </row>
    <row r="7448" ht="15.75" customHeight="1">
      <c r="A7448" s="1">
        <v>7950.0</v>
      </c>
      <c r="B7448" s="3" t="s">
        <v>7156</v>
      </c>
      <c r="C7448" s="3" t="str">
        <f>IFERROR(__xludf.DUMMYFUNCTION("GOOGLETRANSLATE(B7448,""id"",""en"")"),"['Network', 'steady', '']")</f>
        <v>['Network', 'steady', '']</v>
      </c>
      <c r="D7448" s="3">
        <v>5.0</v>
      </c>
    </row>
    <row r="7449" ht="15.75" customHeight="1">
      <c r="A7449" s="1">
        <v>7951.0</v>
      </c>
      <c r="B7449" s="3" t="s">
        <v>7157</v>
      </c>
      <c r="C7449" s="3" t="str">
        <f>IFERROR(__xludf.DUMMYFUNCTION("GOOGLETRANSLATE(B7449,""id"",""en"")"),"['package', 'Doank', 'expensive', 'signal', 'pulp', 'cook', 'signal', ""]")</f>
        <v>['package', 'Doank', 'expensive', 'signal', 'pulp', 'cook', 'signal', "]</v>
      </c>
      <c r="D7449" s="3">
        <v>1.0</v>
      </c>
    </row>
    <row r="7450" ht="15.75" customHeight="1">
      <c r="A7450" s="1">
        <v>7953.0</v>
      </c>
      <c r="B7450" s="3" t="s">
        <v>7158</v>
      </c>
      <c r="C7450" s="3" t="str">
        <f>IFERROR(__xludf.DUMMYFUNCTION("GOOGLETRANSLATE(B7450,""id"",""en"")"),"['love', 'star', 'replace', 'star', 'updated', 'screen', 'white', 'Telkomsel', 'disappointing']")</f>
        <v>['love', 'star', 'replace', 'star', 'updated', 'screen', 'white', 'Telkomsel', 'disappointing']</v>
      </c>
      <c r="D7450" s="3">
        <v>1.0</v>
      </c>
    </row>
    <row r="7451" ht="15.75" customHeight="1">
      <c r="A7451" s="1">
        <v>7954.0</v>
      </c>
      <c r="B7451" s="3" t="s">
        <v>7159</v>
      </c>
      <c r="C7451" s="3" t="str">
        <f>IFERROR(__xludf.DUMMYFUNCTION("GOOGLETRANSLATE(B7451,""id"",""en"")"),"['Alignment', 'no', 'open', 'can', 'bonus', 'GB', 'cheat', 'cell', ""]")</f>
        <v>['Alignment', 'no', 'open', 'can', 'bonus', 'GB', 'cheat', 'cell', "]</v>
      </c>
      <c r="D7451" s="3">
        <v>1.0</v>
      </c>
    </row>
    <row r="7452" ht="15.75" customHeight="1">
      <c r="A7452" s="1">
        <v>7955.0</v>
      </c>
      <c r="B7452" s="3" t="s">
        <v>7160</v>
      </c>
      <c r="C7452" s="3" t="str">
        <f>IFERROR(__xludf.DUMMYFUNCTION("GOOGLETRANSLATE(B7452,""id"",""en"")"),"['complicated', 'fill', 'reset', 'pulse', 'buy', 'quota', 'difficult', 'right', 'application', 'balance', 'already', 'cut', ' Ovo ',' Telkomsel ',' update ',' purchase ',' quota ', ""]")</f>
        <v>['complicated', 'fill', 'reset', 'pulse', 'buy', 'quota', 'difficult', 'right', 'application', 'balance', 'already', 'cut', ' Ovo ',' Telkomsel ',' update ',' purchase ',' quota ', "]</v>
      </c>
      <c r="D7452" s="3">
        <v>1.0</v>
      </c>
    </row>
    <row r="7453" ht="15.75" customHeight="1">
      <c r="A7453" s="1">
        <v>7956.0</v>
      </c>
      <c r="B7453" s="3" t="s">
        <v>7161</v>
      </c>
      <c r="C7453" s="3" t="str">
        <f>IFERROR(__xludf.DUMMYFUNCTION("GOOGLETRANSLATE(B7453,""id"",""en"")"),"['Steady', 'cheap', 'fast']")</f>
        <v>['Steady', 'cheap', 'fast']</v>
      </c>
      <c r="D7453" s="3">
        <v>5.0</v>
      </c>
    </row>
    <row r="7454" ht="15.75" customHeight="1">
      <c r="A7454" s="1">
        <v>7957.0</v>
      </c>
      <c r="B7454" s="3" t="s">
        <v>7162</v>
      </c>
      <c r="C7454" s="3" t="str">
        <f>IFERROR(__xludf.DUMMYFUNCTION("GOOGLETRANSLATE(B7454,""id"",""en"")"),"['Severe', 'Signal', 'Telkomsel', 'Ngecewain', 'noon', 'malem', 'night', 'signal', 'poor', ""]")</f>
        <v>['Severe', 'Signal', 'Telkomsel', 'Ngecewain', 'noon', 'malem', 'night', 'signal', 'poor', "]</v>
      </c>
      <c r="D7454" s="3">
        <v>1.0</v>
      </c>
    </row>
    <row r="7455" ht="15.75" customHeight="1">
      <c r="A7455" s="1">
        <v>7958.0</v>
      </c>
      <c r="B7455" s="3" t="s">
        <v>7163</v>
      </c>
      <c r="C7455" s="3" t="str">
        <f>IFERROR(__xludf.DUMMYFUNCTION("GOOGLETRANSLATE(B7455,""id"",""en"")"),"['Network', 'setabilia', 'quota', 'hadeh', 'please', 'detrimental', 'customer']")</f>
        <v>['Network', 'setabilia', 'quota', 'hadeh', 'please', 'detrimental', 'customer']</v>
      </c>
      <c r="D7455" s="3">
        <v>1.0</v>
      </c>
    </row>
    <row r="7456" ht="15.75" customHeight="1">
      <c r="A7456" s="1">
        <v>7959.0</v>
      </c>
      <c r="B7456" s="3" t="s">
        <v>7164</v>
      </c>
      <c r="C7456" s="3" t="str">
        <f>IFERROR(__xludf.DUMMYFUNCTION("GOOGLETRANSLATE(B7456,""id"",""en"")"),"['Taun', 'use', 'Telkomsel', 'times', 'ngelamin', 'network', 'ugly']")</f>
        <v>['Taun', 'use', 'Telkomsel', 'times', 'ngelamin', 'network', 'ugly']</v>
      </c>
      <c r="D7456" s="3">
        <v>3.0</v>
      </c>
    </row>
    <row r="7457" ht="15.75" customHeight="1">
      <c r="A7457" s="1">
        <v>7960.0</v>
      </c>
      <c r="B7457" s="3" t="s">
        <v>7165</v>
      </c>
      <c r="C7457" s="3" t="str">
        <f>IFERROR(__xludf.DUMMYFUNCTION("GOOGLETRANSLATE(B7457,""id"",""en"")"),"['Trus',' Increase ',' Convenience ',' Application ',' Pas', 'Update', 'Update', 'Points',' Lost ',' Strange ',' Tuker ',' Telkomsel ',' Points', 'input', 'code', 'OTP', 'already', 'love', 'code', 'OTP', 'Telkomsel']")</f>
        <v>['Trus',' Increase ',' Convenience ',' Application ',' Pas', 'Update', 'Update', 'Points',' Lost ',' Strange ',' Tuker ',' Telkomsel ',' Points', 'input', 'code', 'OTP', 'already', 'love', 'code', 'OTP', 'Telkomsel']</v>
      </c>
      <c r="D7457" s="3">
        <v>3.0</v>
      </c>
    </row>
    <row r="7458" ht="15.75" customHeight="1">
      <c r="A7458" s="1">
        <v>7961.0</v>
      </c>
      <c r="B7458" s="3" t="s">
        <v>7166</v>
      </c>
      <c r="C7458" s="3" t="str">
        <f>IFERROR(__xludf.DUMMYFUNCTION("GOOGLETRANSLATE(B7458,""id"",""en"")"),"['Sudi', 'gave', 'star', 'sick', 'actually', 'provider', 'package', 'here', 'expensive', 'quality', 'internet', 'improved', ' here ',' rotten ',' kek ',' expensive ',' according to ',' quality ',' mah ',' complain ',' bales', 'just', 'bot', ""]")</f>
        <v>['Sudi', 'gave', 'star', 'sick', 'actually', 'provider', 'package', 'here', 'expensive', 'quality', 'internet', 'improved', ' here ',' rotten ',' kek ',' expensive ',' according to ',' quality ',' mah ',' complain ',' bales', 'just', 'bot', "]</v>
      </c>
      <c r="D7458" s="3">
        <v>1.0</v>
      </c>
    </row>
    <row r="7459" ht="15.75" customHeight="1">
      <c r="A7459" s="1">
        <v>7962.0</v>
      </c>
      <c r="B7459" s="3" t="s">
        <v>7167</v>
      </c>
      <c r="C7459" s="3" t="str">
        <f>IFERROR(__xludf.DUMMYFUNCTION("GOOGLETRANSLATE(B7459,""id"",""en"")"),"['Internet', 'Gembel', 'Dead', 'Gajelas']")</f>
        <v>['Internet', 'Gembel', 'Dead', 'Gajelas']</v>
      </c>
      <c r="D7459" s="3">
        <v>1.0</v>
      </c>
    </row>
    <row r="7460" ht="15.75" customHeight="1">
      <c r="A7460" s="1">
        <v>7963.0</v>
      </c>
      <c r="B7460" s="3" t="s">
        <v>7168</v>
      </c>
      <c r="C7460" s="3" t="str">
        <f>IFERROR(__xludf.DUMMYFUNCTION("GOOGLETRANSLATE(B7460,""id"",""en"")"),"['Buy', 'Vouch', 'Sorry', 'Busy', 'Try', 'GTU', 'GTU', 'bete', 'Telkomsel', 'chaotic']")</f>
        <v>['Buy', 'Vouch', 'Sorry', 'Busy', 'Try', 'GTU', 'GTU', 'bete', 'Telkomsel', 'chaotic']</v>
      </c>
      <c r="D7460" s="3">
        <v>1.0</v>
      </c>
    </row>
    <row r="7461" ht="15.75" customHeight="1">
      <c r="A7461" s="1">
        <v>7964.0</v>
      </c>
      <c r="B7461" s="3" t="s">
        <v>7169</v>
      </c>
      <c r="C7461" s="3" t="str">
        <f>IFERROR(__xludf.DUMMYFUNCTION("GOOGLETRANSLATE(B7461,""id"",""en"")"),"['Help', 'signal', 'still', 'ALLII', 'NGERTI', 'Pay', 'expensive', 'expensive', 'Telkomsel', 'signal', 'bad']")</f>
        <v>['Help', 'signal', 'still', 'ALLII', 'NGERTI', 'Pay', 'expensive', 'expensive', 'Telkomsel', 'signal', 'bad']</v>
      </c>
      <c r="D7461" s="3">
        <v>1.0</v>
      </c>
    </row>
    <row r="7462" ht="15.75" customHeight="1">
      <c r="A7462" s="1">
        <v>7965.0</v>
      </c>
      <c r="B7462" s="3" t="s">
        <v>7170</v>
      </c>
      <c r="C7462" s="3" t="str">
        <f>IFERROR(__xludf.DUMMYFUNCTION("GOOGLETRANSLATE(B7462,""id"",""en"")"),"['The network', 'slow', 'really', 'missing', 'signal', 'report', 'action', '']")</f>
        <v>['The network', 'slow', 'really', 'missing', 'signal', 'report', 'action', '']</v>
      </c>
      <c r="D7462" s="3">
        <v>1.0</v>
      </c>
    </row>
    <row r="7463" ht="15.75" customHeight="1">
      <c r="A7463" s="1">
        <v>7966.0</v>
      </c>
      <c r="B7463" s="3" t="s">
        <v>7171</v>
      </c>
      <c r="C7463" s="3" t="str">
        <f>IFERROR(__xludf.DUMMYFUNCTION("GOOGLETRANSLATE(B7463,""id"",""en"")"),"['Buy', 'Package', 'Hardy', 'Maen', 'Anjingg', 'Boro', 'Boro', 'Love', 'Free', 'Asuuuu']")</f>
        <v>['Buy', 'Package', 'Hardy', 'Maen', 'Anjingg', 'Boro', 'Boro', 'Love', 'Free', 'Asuuuu']</v>
      </c>
      <c r="D7463" s="3">
        <v>1.0</v>
      </c>
    </row>
    <row r="7464" ht="15.75" customHeight="1">
      <c r="A7464" s="1">
        <v>7967.0</v>
      </c>
      <c r="B7464" s="3" t="s">
        <v>7172</v>
      </c>
      <c r="C7464" s="3" t="str">
        <f>IFERROR(__xludf.DUMMYFUNCTION("GOOGLETRANSLATE(B7464,""id"",""en"")"),"['already', 'download', 'get', 'picture', 'white', 'clean', 'good', 'application', 'class', 'Telkomsel', 'sad', ""]")</f>
        <v>['already', 'download', 'get', 'picture', 'white', 'clean', 'good', 'application', 'class', 'Telkomsel', 'sad', "]</v>
      </c>
      <c r="D7464" s="3">
        <v>1.0</v>
      </c>
    </row>
    <row r="7465" ht="15.75" customHeight="1">
      <c r="A7465" s="1">
        <v>7968.0</v>
      </c>
      <c r="B7465" s="3" t="s">
        <v>1463</v>
      </c>
      <c r="C7465" s="3" t="str">
        <f>IFERROR(__xludf.DUMMYFUNCTION("GOOGLETRANSLATE(B7465,""id"",""en"")"),"['It's easier for']")</f>
        <v>['It's easier for']</v>
      </c>
      <c r="D7465" s="3">
        <v>5.0</v>
      </c>
    </row>
    <row r="7466" ht="15.75" customHeight="1">
      <c r="A7466" s="1">
        <v>7969.0</v>
      </c>
      <c r="B7466" s="3" t="s">
        <v>7173</v>
      </c>
      <c r="C7466" s="3" t="str">
        <f>IFERROR(__xludf.DUMMYFUNCTION("GOOGLETRANSLATE(B7466,""id"",""en"")"),"['Network', 'bad', 'loyal', 'price', 'package', 'expensive']")</f>
        <v>['Network', 'bad', 'loyal', 'price', 'package', 'expensive']</v>
      </c>
      <c r="D7466" s="3">
        <v>1.0</v>
      </c>
    </row>
    <row r="7467" ht="15.75" customHeight="1">
      <c r="A7467" s="1">
        <v>7970.0</v>
      </c>
      <c r="B7467" s="3" t="s">
        <v>7174</v>
      </c>
      <c r="C7467" s="3" t="str">
        <f>IFERROR(__xludf.DUMMYFUNCTION("GOOGLETRANSLATE(B7467,""id"",""en"")"),"['signal', 'the strongest', '']")</f>
        <v>['signal', 'the strongest', '']</v>
      </c>
      <c r="D7467" s="3">
        <v>5.0</v>
      </c>
    </row>
    <row r="7468" ht="15.75" customHeight="1">
      <c r="A7468" s="1">
        <v>7971.0</v>
      </c>
      <c r="B7468" s="3" t="s">
        <v>7175</v>
      </c>
      <c r="C7468" s="3" t="str">
        <f>IFERROR(__xludf.DUMMYFUNCTION("GOOGLETRANSLATE(B7468,""id"",""en"")"),"['Price', 'RB', 'RB', 'RB', 'Hmm']")</f>
        <v>['Price', 'RB', 'RB', 'RB', 'Hmm']</v>
      </c>
      <c r="D7468" s="3">
        <v>3.0</v>
      </c>
    </row>
    <row r="7469" ht="15.75" customHeight="1">
      <c r="A7469" s="1">
        <v>7972.0</v>
      </c>
      <c r="B7469" s="3" t="s">
        <v>7176</v>
      </c>
      <c r="C7469" s="3" t="str">
        <f>IFERROR(__xludf.DUMMYFUNCTION("GOOGLETRANSLATE(B7469,""id"",""en"")"),"['Good', 'strong', 'signal', 'wherever', '']")</f>
        <v>['Good', 'strong', 'signal', 'wherever', '']</v>
      </c>
      <c r="D7469" s="3">
        <v>5.0</v>
      </c>
    </row>
    <row r="7470" ht="15.75" customHeight="1">
      <c r="A7470" s="1">
        <v>7973.0</v>
      </c>
      <c r="B7470" s="3" t="s">
        <v>7177</v>
      </c>
      <c r="C7470" s="3" t="str">
        <f>IFERROR(__xludf.DUMMYFUNCTION("GOOGLETRANSLATE(B7470,""id"",""en"")"),"['opened', 'update', 'solution', '']")</f>
        <v>['opened', 'update', 'solution', '']</v>
      </c>
      <c r="D7470" s="3">
        <v>1.0</v>
      </c>
    </row>
    <row r="7471" ht="15.75" customHeight="1">
      <c r="A7471" s="1">
        <v>7975.0</v>
      </c>
      <c r="B7471" s="3" t="s">
        <v>7178</v>
      </c>
      <c r="C7471" s="3" t="str">
        <f>IFERROR(__xludf.DUMMYFUNCTION("GOOGLETRANSLATE(B7471,""id"",""en"")"),"['easy', 'fast', 'choice', 'access', 'MyTelkomsel', 'offline']")</f>
        <v>['easy', 'fast', 'choice', 'access', 'MyTelkomsel', 'offline']</v>
      </c>
      <c r="D7471" s="3">
        <v>5.0</v>
      </c>
    </row>
    <row r="7472" ht="15.75" customHeight="1">
      <c r="A7472" s="1">
        <v>7976.0</v>
      </c>
      <c r="B7472" s="3" t="s">
        <v>7179</v>
      </c>
      <c r="C7472" s="3" t="str">
        <f>IFERROR(__xludf.DUMMYFUNCTION("GOOGLETRANSLATE(B7472,""id"",""en"")"),"['Disappointed', 'Telkomsel', 'Package', 'On', 'Credit', 'Out', 'Sexotted', 'Please', ""]")</f>
        <v>['Disappointed', 'Telkomsel', 'Package', 'On', 'Credit', 'Out', 'Sexotted', 'Please', "]</v>
      </c>
      <c r="D7472" s="3">
        <v>1.0</v>
      </c>
    </row>
    <row r="7473" ht="15.75" customHeight="1">
      <c r="A7473" s="1">
        <v>7977.0</v>
      </c>
      <c r="B7473" s="3" t="s">
        <v>7180</v>
      </c>
      <c r="C7473" s="3" t="str">
        <f>IFERROR(__xludf.DUMMYFUNCTION("GOOGLETRANSLATE(B7473,""id"",""en"")"),"['Telkomsel', 'best', 'service', 'network', 'forward', 'Telkomsel', '']")</f>
        <v>['Telkomsel', 'best', 'service', 'network', 'forward', 'Telkomsel', '']</v>
      </c>
      <c r="D7473" s="3">
        <v>5.0</v>
      </c>
    </row>
    <row r="7474" ht="15.75" customHeight="1">
      <c r="A7474" s="1">
        <v>7978.0</v>
      </c>
      <c r="B7474" s="3" t="s">
        <v>7181</v>
      </c>
      <c r="C7474" s="3" t="str">
        <f>IFERROR(__xludf.DUMMYFUNCTION("GOOGLETRANSLATE(B7474,""id"",""en"")"),"['difficult', 'opened', 'application', 'slow', '']")</f>
        <v>['difficult', 'opened', 'application', 'slow', '']</v>
      </c>
      <c r="D7474" s="3">
        <v>2.0</v>
      </c>
    </row>
    <row r="7475" ht="15.75" customHeight="1">
      <c r="A7475" s="1">
        <v>7979.0</v>
      </c>
      <c r="B7475" s="3" t="s">
        <v>7182</v>
      </c>
      <c r="C7475" s="3" t="str">
        <f>IFERROR(__xludf.DUMMYFUNCTION("GOOGLETRANSLATE(B7475,""id"",""en"")"),"['Please', 'Fix', 'Network', 'Asik', 'Ngegame', 'Network', 'Drop', 'Lost', 'Koneski', 'Kali', 'Karna', ' Review ',' ']")</f>
        <v>['Please', 'Fix', 'Network', 'Asik', 'Ngegame', 'Network', 'Drop', 'Lost', 'Koneski', 'Kali', 'Karna', ' Review ',' ']</v>
      </c>
      <c r="D7475" s="3">
        <v>1.0</v>
      </c>
    </row>
    <row r="7476" ht="15.75" customHeight="1">
      <c r="A7476" s="1">
        <v>7980.0</v>
      </c>
      <c r="B7476" s="3" t="s">
        <v>7183</v>
      </c>
      <c r="C7476" s="3" t="str">
        <f>IFERROR(__xludf.DUMMYFUNCTION("GOOGLETRANSLATE(B7476,""id"",""en"")"),"['suggestion', 'yaaa', 'sebage', 'user', 'telkomsel', 'already', 'package', 'setabilin', 'GB', 'down', 'replace', 'card', ' Points', 'Fox', 'LGI', 'Rich', 'Tuker', 'Games',' Mobilegend ',' Please ',' Benerin ',' Bintang ',' Karna ',' Disappointed ',' Pric"&amp;"e ' , 'Package', 'JLS', 'Changed', 'Change']")</f>
        <v>['suggestion', 'yaaa', 'sebage', 'user', 'telkomsel', 'already', 'package', 'setabilin', 'GB', 'down', 'replace', 'card', ' Points', 'Fox', 'LGI', 'Rich', 'Tuker', 'Games',' Mobilegend ',' Please ',' Benerin ',' Bintang ',' Karna ',' Disappointed ',' Price ' , 'Package', 'JLS', 'Changed', 'Change']</v>
      </c>
      <c r="D7476" s="3">
        <v>1.0</v>
      </c>
    </row>
    <row r="7477" ht="15.75" customHeight="1">
      <c r="A7477" s="1">
        <v>7981.0</v>
      </c>
      <c r="B7477" s="3" t="s">
        <v>7184</v>
      </c>
      <c r="C7477" s="3" t="str">
        <f>IFERROR(__xludf.DUMMYFUNCTION("GOOGLETRANSLATE(B7477,""id"",""en"")"),"['Ngellag']")</f>
        <v>['Ngellag']</v>
      </c>
      <c r="D7477" s="3">
        <v>1.0</v>
      </c>
    </row>
    <row r="7478" ht="15.75" customHeight="1">
      <c r="A7478" s="1">
        <v>7982.0</v>
      </c>
      <c r="B7478" s="3" t="s">
        <v>7185</v>
      </c>
      <c r="C7478" s="3" t="str">
        <f>IFERROR(__xludf.DUMMYFUNCTION("GOOGLETRANSLATE(B7478,""id"",""en"")"),"['The network', 'LEG']")</f>
        <v>['The network', 'LEG']</v>
      </c>
      <c r="D7478" s="3">
        <v>1.0</v>
      </c>
    </row>
    <row r="7479" ht="15.75" customHeight="1">
      <c r="A7479" s="1">
        <v>7983.0</v>
      </c>
      <c r="B7479" s="3" t="s">
        <v>7186</v>
      </c>
      <c r="C7479" s="3" t="str">
        <f>IFERROR(__xludf.DUMMYFUNCTION("GOOGLETRANSLATE(B7479,""id"",""en"")"),"['opened', 'application', 'Telkomsel', 'Sometimes', 'signal', 'like', 'dead', 'slow', 'expensive', 'satisfying']")</f>
        <v>['opened', 'application', 'Telkomsel', 'Sometimes', 'signal', 'like', 'dead', 'slow', 'expensive', 'satisfying']</v>
      </c>
      <c r="D7479" s="3">
        <v>2.0</v>
      </c>
    </row>
    <row r="7480" ht="15.75" customHeight="1">
      <c r="A7480" s="1">
        <v>7984.0</v>
      </c>
      <c r="B7480" s="3" t="s">
        <v>7187</v>
      </c>
      <c r="C7480" s="3" t="str">
        <f>IFERROR(__xludf.DUMMYFUNCTION("GOOGLETRANSLATE(B7480,""id"",""en"")"),"['Application', 'Useful', 'Disappointed', 'Update', 'Out', 'Install', 'Opened', '']")</f>
        <v>['Application', 'Useful', 'Disappointed', 'Update', 'Out', 'Install', 'Opened', '']</v>
      </c>
      <c r="D7480" s="3">
        <v>1.0</v>
      </c>
    </row>
    <row r="7481" ht="15.75" customHeight="1">
      <c r="A7481" s="1">
        <v>7985.0</v>
      </c>
      <c r="B7481" s="3" t="s">
        <v>7188</v>
      </c>
      <c r="C7481" s="3" t="str">
        <f>IFERROR(__xludf.DUMMYFUNCTION("GOOGLETRANSLATE(B7481,""id"",""en"")"),"['UDH', 'a month', 'ngeblank', 'screen', 'white', 'trick', 'use', 'donlot', 'diplaystore', 'alternating', 'benefit', 'google', ' Install ',' Unistal ',' Unistal ',' Install ',' Fix ',' Problem ']")</f>
        <v>['UDH', 'a month', 'ngeblank', 'screen', 'white', 'trick', 'use', 'donlot', 'diplaystore', 'alternating', 'benefit', 'google', ' Install ',' Unistal ',' Unistal ',' Install ',' Fix ',' Problem ']</v>
      </c>
      <c r="D7481" s="3">
        <v>1.0</v>
      </c>
    </row>
    <row r="7482" ht="15.75" customHeight="1">
      <c r="A7482" s="1">
        <v>7986.0</v>
      </c>
      <c r="B7482" s="3" t="s">
        <v>7189</v>
      </c>
      <c r="C7482" s="3" t="str">
        <f>IFERROR(__xludf.DUMMYFUNCTION("GOOGLETRANSLATE(B7482,""id"",""en"")"),"['fast', 'transaction']")</f>
        <v>['fast', 'transaction']</v>
      </c>
      <c r="D7482" s="3">
        <v>5.0</v>
      </c>
    </row>
    <row r="7483" ht="15.75" customHeight="1">
      <c r="A7483" s="1">
        <v>7988.0</v>
      </c>
      <c r="B7483" s="3" t="s">
        <v>7190</v>
      </c>
      <c r="C7483" s="3" t="str">
        <f>IFERROR(__xludf.DUMMYFUNCTION("GOOGLETRANSLATE(B7483,""id"",""en"")"),"['Application', 'Telkomsel', 'opened', 'screen', 'white']")</f>
        <v>['Application', 'Telkomsel', 'opened', 'screen', 'white']</v>
      </c>
      <c r="D7483" s="3">
        <v>3.0</v>
      </c>
    </row>
    <row r="7484" ht="15.75" customHeight="1">
      <c r="A7484" s="1">
        <v>7989.0</v>
      </c>
      <c r="B7484" s="3" t="s">
        <v>7191</v>
      </c>
      <c r="C7484" s="3" t="str">
        <f>IFERROR(__xludf.DUMMYFUNCTION("GOOGLETRANSLATE(B7484,""id"",""en"")"),"['Taiiii', 'Asked', 'already', 'suntuk']")</f>
        <v>['Taiiii', 'Asked', 'already', 'suntuk']</v>
      </c>
      <c r="D7484" s="3">
        <v>5.0</v>
      </c>
    </row>
    <row r="7485" ht="15.75" customHeight="1">
      <c r="A7485" s="1">
        <v>7990.0</v>
      </c>
      <c r="B7485" s="3" t="s">
        <v>7192</v>
      </c>
      <c r="C7485" s="3" t="str">
        <f>IFERROR(__xludf.DUMMYFUNCTION("GOOGLETRANSLATE(B7485,""id"",""en"")"),"['Please', 'yaa', 'Telkomsel', 'heart', 'signal', 'restore', 'fluent', 'Jaya', 'signal', 'difficult', 'really', 'Khantall', ' kek ',' search ',' work ',' ayok ',' telkomsel ',' yaa ',' please ',' please ',' khantall ',' yaa ',' time ',' greetings', 'binja"&amp;"y' , 'waterparkk', 'Men', 'Coeggg', 'Ajg', 'Lahh']")</f>
        <v>['Please', 'yaa', 'Telkomsel', 'heart', 'signal', 'restore', 'fluent', 'Jaya', 'signal', 'difficult', 'really', 'Khantall', ' kek ',' search ',' work ',' ayok ',' telkomsel ',' yaa ',' please ',' please ',' khantall ',' yaa ',' time ',' greetings', 'binjay' , 'waterparkk', 'Men', 'Coeggg', 'Ajg', 'Lahh']</v>
      </c>
      <c r="D7485" s="3">
        <v>1.0</v>
      </c>
    </row>
    <row r="7486" ht="15.75" customHeight="1">
      <c r="A7486" s="1">
        <v>7992.0</v>
      </c>
      <c r="B7486" s="3" t="s">
        <v>7193</v>
      </c>
      <c r="C7486" s="3" t="str">
        <f>IFERROR(__xludf.DUMMYFUNCTION("GOOGLETRANSLATE(B7486,""id"",""en"")"),"['Please', 'Sorry', 'Kenpa', 'Telkomsel', 'Sinyal', 'Stable', 'Difficult', 'BGI', 'Work', 'Open', 'APK', 'Others',' Term ',' love ']")</f>
        <v>['Please', 'Sorry', 'Kenpa', 'Telkomsel', 'Sinyal', 'Stable', 'Difficult', 'BGI', 'Work', 'Open', 'APK', 'Others',' Term ',' love ']</v>
      </c>
      <c r="D7486" s="3">
        <v>5.0</v>
      </c>
    </row>
    <row r="7487" ht="15.75" customHeight="1">
      <c r="A7487" s="1">
        <v>7993.0</v>
      </c>
      <c r="B7487" s="3" t="s">
        <v>644</v>
      </c>
      <c r="C7487" s="3" t="str">
        <f>IFERROR(__xludf.DUMMYFUNCTION("GOOGLETRANSLATE(B7487,""id"",""en"")"),"['Promo']")</f>
        <v>['Promo']</v>
      </c>
      <c r="D7487" s="3">
        <v>3.0</v>
      </c>
    </row>
    <row r="7488" ht="15.75" customHeight="1">
      <c r="A7488" s="1">
        <v>7994.0</v>
      </c>
      <c r="B7488" s="3" t="s">
        <v>7194</v>
      </c>
      <c r="C7488" s="3" t="str">
        <f>IFERROR(__xludf.DUMMYFUNCTION("GOOGLETRANSLATE(B7488,""id"",""en"")"),"['Price', 'Affordable', 'Mamtap']")</f>
        <v>['Price', 'Affordable', 'Mamtap']</v>
      </c>
      <c r="D7488" s="3">
        <v>5.0</v>
      </c>
    </row>
    <row r="7489" ht="15.75" customHeight="1">
      <c r="A7489" s="1">
        <v>7995.0</v>
      </c>
      <c r="B7489" s="3" t="s">
        <v>7195</v>
      </c>
      <c r="C7489" s="3" t="str">
        <f>IFERROR(__xludf.DUMMYFUNCTION("GOOGLETRANSLATE(B7489,""id"",""en"")"),"['sorry', 'unlimited', 'bundling', 'quota', 'main', 'run out', 'unlimited', 'kepake', 'gatau', 'ndak', 'times',' level ',' The service is', 'Review', 'Twitt', 'Telegram', 'Line', 'Telkom']")</f>
        <v>['sorry', 'unlimited', 'bundling', 'quota', 'main', 'run out', 'unlimited', 'kepake', 'gatau', 'ndak', 'times',' level ',' The service is', 'Review', 'Twitt', 'Telegram', 'Line', 'Telkom']</v>
      </c>
      <c r="D7489" s="3">
        <v>3.0</v>
      </c>
    </row>
    <row r="7490" ht="15.75" customHeight="1">
      <c r="A7490" s="1">
        <v>7996.0</v>
      </c>
      <c r="B7490" s="3" t="s">
        <v>7196</v>
      </c>
      <c r="C7490" s="3" t="str">
        <f>IFERROR(__xludf.DUMMYFUNCTION("GOOGLETRANSLATE(B7490,""id"",""en"")"),"['Opened', 'Application', 'Mending', 'Delete', 'Playstore']")</f>
        <v>['Opened', 'Application', 'Mending', 'Delete', 'Playstore']</v>
      </c>
      <c r="D7490" s="3">
        <v>1.0</v>
      </c>
    </row>
    <row r="7491" ht="15.75" customHeight="1">
      <c r="A7491" s="1">
        <v>7997.0</v>
      </c>
      <c r="B7491" s="3" t="s">
        <v>7197</v>
      </c>
      <c r="C7491" s="3" t="str">
        <f>IFERROR(__xludf.DUMMYFUNCTION("GOOGLETRANSLATE(B7491,""id"",""en"")"),"['', 'satisfied']")</f>
        <v>['', 'satisfied']</v>
      </c>
      <c r="D7491" s="3">
        <v>5.0</v>
      </c>
    </row>
    <row r="7492" ht="15.75" customHeight="1">
      <c r="A7492" s="1">
        <v>7998.0</v>
      </c>
      <c r="B7492" s="3" t="s">
        <v>7198</v>
      </c>
      <c r="C7492" s="3" t="str">
        <f>IFERROR(__xludf.DUMMYFUNCTION("GOOGLETRANSLATE(B7492,""id"",""en"")"),"['Payment', 'Top', 'Game', 'Clash', 'Royale', 'Google', 'Play', '']")</f>
        <v>['Payment', 'Top', 'Game', 'Clash', 'Royale', 'Google', 'Play', '']</v>
      </c>
      <c r="D7492" s="3">
        <v>1.0</v>
      </c>
    </row>
    <row r="7493" ht="15.75" customHeight="1">
      <c r="A7493" s="1">
        <v>7999.0</v>
      </c>
      <c r="B7493" s="3" t="s">
        <v>7199</v>
      </c>
      <c r="C7493" s="3" t="str">
        <f>IFERROR(__xludf.DUMMYFUNCTION("GOOGLETRANSLATE(B7493,""id"",""en"")"),"['price', 'package', 'network', 'difficult', 'stay', 'Batam', 'package', 'internet', 'rise', 'odd', 'bambank', 'Gara', ' Gara ',' palm ',' expensive ',' emang ',' Indonesia ',' advanced ', ""]")</f>
        <v>['price', 'package', 'network', 'difficult', 'stay', 'Batam', 'package', 'internet', 'rise', 'odd', 'bambank', 'Gara', ' Gara ',' palm ',' expensive ',' emang ',' Indonesia ',' advanced ', "]</v>
      </c>
      <c r="D7493" s="3">
        <v>1.0</v>
      </c>
    </row>
    <row r="7494" ht="15.75" customHeight="1">
      <c r="A7494" s="1">
        <v>8000.0</v>
      </c>
      <c r="B7494" s="3" t="s">
        <v>7200</v>
      </c>
      <c r="C7494" s="3" t="str">
        <f>IFERROR(__xludf.DUMMYFUNCTION("GOOGLETRANSLATE(B7494,""id"",""en"")"),"['Hallo', 'Telkomsel', 'Beloved', 'EAT', 'HARD', 'SUPER', 'SELET', 'PANGKALPINANG', 'BANGKA']")</f>
        <v>['Hallo', 'Telkomsel', 'Beloved', 'EAT', 'HARD', 'SUPER', 'SELET', 'PANGKALPINANG', 'BANGKA']</v>
      </c>
      <c r="D7494" s="3">
        <v>4.0</v>
      </c>
    </row>
    <row r="7495" ht="15.75" customHeight="1">
      <c r="A7495" s="1">
        <v>8001.0</v>
      </c>
      <c r="B7495" s="3" t="s">
        <v>7201</v>
      </c>
      <c r="C7495" s="3" t="str">
        <f>IFERROR(__xludf.DUMMYFUNCTION("GOOGLETRANSLATE(B7495,""id"",""en"")"),"['Network', 'Good', 'Weather', 'Season', 'Rain']")</f>
        <v>['Network', 'Good', 'Weather', 'Season', 'Rain']</v>
      </c>
      <c r="D7495" s="3">
        <v>5.0</v>
      </c>
    </row>
    <row r="7496" ht="15.75" customHeight="1">
      <c r="A7496" s="1">
        <v>8002.0</v>
      </c>
      <c r="B7496" s="3" t="s">
        <v>7202</v>
      </c>
      <c r="C7496" s="3" t="str">
        <f>IFERROR(__xludf.DUMMYFUNCTION("GOOGLETRANSLATE(B7496,""id"",""en"")"),"['expensive', 'package', 'internet', 'GB', 'package', 'GB', 'GB', 'Kliatan', 'cheap', 'GB', 'price', 'trnyata', ' LOL ',' Enter ',' suburbs', 'city', 'signal', 'Wasalam', '']")</f>
        <v>['expensive', 'package', 'internet', 'GB', 'package', 'GB', 'GB', 'Kliatan', 'cheap', 'GB', 'price', 'trnyata', ' LOL ',' Enter ',' suburbs', 'city', 'signal', 'Wasalam', '']</v>
      </c>
      <c r="D7496" s="3">
        <v>1.0</v>
      </c>
    </row>
    <row r="7497" ht="15.75" customHeight="1">
      <c r="A7497" s="1">
        <v>8003.0</v>
      </c>
      <c r="B7497" s="3" t="s">
        <v>7203</v>
      </c>
      <c r="C7497" s="3" t="str">
        <f>IFERROR(__xludf.DUMMYFUNCTION("GOOGLETRANSLATE(B7497,""id"",""en"")"),"['pig', 'eat', 'pulse']")</f>
        <v>['pig', 'eat', 'pulse']</v>
      </c>
      <c r="D7497" s="3">
        <v>1.0</v>
      </c>
    </row>
    <row r="7498" ht="15.75" customHeight="1">
      <c r="A7498" s="1">
        <v>8005.0</v>
      </c>
      <c r="B7498" s="3" t="s">
        <v>7204</v>
      </c>
      <c r="C7498" s="3" t="str">
        <f>IFERROR(__xludf.DUMMYFUNCTION("GOOGLETRANSLATE(B7498,""id"",""en"")"),"['slow', 'difficult', 'open', 'disappointed', 'bingtang', ""]")</f>
        <v>['slow', 'difficult', 'open', 'disappointed', 'bingtang', "]</v>
      </c>
      <c r="D7498" s="3">
        <v>1.0</v>
      </c>
    </row>
    <row r="7499" ht="15.75" customHeight="1">
      <c r="A7499" s="1">
        <v>8006.0</v>
      </c>
      <c r="B7499" s="3" t="s">
        <v>7205</v>
      </c>
      <c r="C7499" s="3" t="str">
        <f>IFERROR(__xludf.DUMMYFUNCTION("GOOGLETRANSLATE(B7499,""id"",""en"")"),"['Honest', 'buy', 'quota', 'gamesmax', 'silver', 'play', 'mobile', 'legend', 'doang', 'play', 'game', 'AOV', ' etc. ',' open ',' quota ',' gamesmax ',' silver ',' problem ',' times', 'play', 'mobile', 'legend', 'signal', 'lag', 'lost' , 'Please', 'repair'"&amp;", 'Please', 'Sorry', 'Mistake', 'Maap', 'Love', 'Star', 'Fix', 'Love', 'star', ""]")</f>
        <v>['Honest', 'buy', 'quota', 'gamesmax', 'silver', 'play', 'mobile', 'legend', 'doang', 'play', 'game', 'AOV', ' etc. ',' open ',' quota ',' gamesmax ',' silver ',' problem ',' times', 'play', 'mobile', 'legend', 'signal', 'lag', 'lost' , 'Please', 'repair', 'Please', 'Sorry', 'Mistake', 'Maap', 'Love', 'Star', 'Fix', 'Love', 'star', "]</v>
      </c>
      <c r="D7499" s="3">
        <v>3.0</v>
      </c>
    </row>
    <row r="7500" ht="15.75" customHeight="1">
      <c r="A7500" s="1">
        <v>8007.0</v>
      </c>
      <c r="B7500" s="3" t="s">
        <v>7206</v>
      </c>
      <c r="C7500" s="3" t="str">
        <f>IFERROR(__xludf.DUMMYFUNCTION("GOOGLETRANSLATE(B7500,""id"",""en"")"),"['Please', 'Quality', 'Network', 'Normal', 'Present', 'Manang', 'Name', 'Price', 'Package', 'Expensive', 'Quality', 'Network', ' Kayak ',' Tempekk ',' boadk ', ""]")</f>
        <v>['Please', 'Quality', 'Network', 'Normal', 'Present', 'Manang', 'Name', 'Price', 'Package', 'Expensive', 'Quality', 'Network', ' Kayak ',' Tempekk ',' boadk ', "]</v>
      </c>
      <c r="D7500" s="3">
        <v>1.0</v>
      </c>
    </row>
    <row r="7501" ht="15.75" customHeight="1">
      <c r="A7501" s="1">
        <v>8008.0</v>
      </c>
      <c r="B7501" s="3" t="s">
        <v>7207</v>
      </c>
      <c r="C7501" s="3" t="str">
        <f>IFERROR(__xludf.DUMMYFUNCTION("GOOGLETRANSLATE(B7501,""id"",""en"")"),"['It's easier for', 'buy', 'package', 'just', 'like', 'really', 'APK', 'MyTelkomsel', ""]")</f>
        <v>['It's easier for', 'buy', 'package', 'just', 'like', 'really', 'APK', 'MyTelkomsel', "]</v>
      </c>
      <c r="D7501" s="3">
        <v>5.0</v>
      </c>
    </row>
    <row r="7502" ht="15.75" customHeight="1">
      <c r="A7502" s="1">
        <v>8009.0</v>
      </c>
      <c r="B7502" s="3" t="s">
        <v>7208</v>
      </c>
      <c r="C7502" s="3" t="str">
        <f>IFERROR(__xludf.DUMMYFUNCTION("GOOGLETRANSLATE(B7502,""id"",""en"")"),"['cave', 'love', 'star', 'honest', 'complicated', 'Telkomsel', 'price', 'expensive', 'expensive', 'network', 'nglag', 'play', ' The network ',' Pink ',' Mulu ',' Disappointed ',' Very ',' Oath ',' UDH ',' Rich ',' Simple ',' Register ',' Package ',' Cheap"&amp;" ',' Stable ' , '']")</f>
        <v>['cave', 'love', 'star', 'honest', 'complicated', 'Telkomsel', 'price', 'expensive', 'expensive', 'network', 'nglag', 'play', ' The network ',' Pink ',' Mulu ',' Disappointed ',' Very ',' Oath ',' UDH ',' Rich ',' Simple ',' Register ',' Package ',' Cheap ',' Stable ' , '']</v>
      </c>
      <c r="D7502" s="3">
        <v>2.0</v>
      </c>
    </row>
    <row r="7503" ht="15.75" customHeight="1">
      <c r="A7503" s="1">
        <v>8010.0</v>
      </c>
      <c r="B7503" s="3" t="s">
        <v>7209</v>
      </c>
      <c r="C7503" s="3" t="str">
        <f>IFERROR(__xludf.DUMMYFUNCTION("GOOGLETRANSLATE(B7503,""id"",""en"")"),"['Please', 'Sorry', 'Application', 'Telkomsel', 'Lemot', 'Kali', 'Click', 'Bngt', 'Look "",' Card ',' Telkomsel ',' The card ',' BLM ',' Wear ',' Application ',' Telkomsel ',' Designation ',' Good ',' Please ',' Sorry ',' Please ',' Fix ',' ']")</f>
        <v>['Please', 'Sorry', 'Application', 'Telkomsel', 'Lemot', 'Kali', 'Click', 'Bngt', 'Look ",' Card ',' Telkomsel ',' The card ',' BLM ',' Wear ',' Application ',' Telkomsel ',' Designation ',' Good ',' Please ',' Sorry ',' Please ',' Fix ',' ']</v>
      </c>
      <c r="D7503" s="3">
        <v>2.0</v>
      </c>
    </row>
    <row r="7504" ht="15.75" customHeight="1">
      <c r="A7504" s="1">
        <v>8011.0</v>
      </c>
      <c r="B7504" s="3" t="s">
        <v>7210</v>
      </c>
      <c r="C7504" s="3" t="str">
        <f>IFERROR(__xludf.DUMMYFUNCTION("GOOGLETRANSLATE(B7504,""id"",""en"")"),"['It's easier for', 'users']")</f>
        <v>['It's easier for', 'users']</v>
      </c>
      <c r="D7504" s="3">
        <v>5.0</v>
      </c>
    </row>
    <row r="7505" ht="15.75" customHeight="1">
      <c r="A7505" s="1">
        <v>8012.0</v>
      </c>
      <c r="B7505" s="3" t="s">
        <v>1257</v>
      </c>
      <c r="C7505" s="3" t="str">
        <f>IFERROR(__xludf.DUMMYFUNCTION("GOOGLETRANSLATE(B7505,""id"",""en"")"),"['Opened']")</f>
        <v>['Opened']</v>
      </c>
      <c r="D7505" s="3">
        <v>1.0</v>
      </c>
    </row>
    <row r="7506" ht="15.75" customHeight="1">
      <c r="A7506" s="1">
        <v>8013.0</v>
      </c>
      <c r="B7506" s="3" t="s">
        <v>7211</v>
      </c>
      <c r="C7506" s="3" t="str">
        <f>IFERROR(__xludf.DUMMYFUNCTION("GOOGLETRANSLATE(B7506,""id"",""en"")"),"['Thank you', 'Ribet', 'Open']")</f>
        <v>['Thank you', 'Ribet', 'Open']</v>
      </c>
      <c r="D7506" s="3">
        <v>5.0</v>
      </c>
    </row>
    <row r="7507" ht="15.75" customHeight="1">
      <c r="A7507" s="1">
        <v>8014.0</v>
      </c>
      <c r="B7507" s="3" t="s">
        <v>7212</v>
      </c>
      <c r="C7507" s="3" t="str">
        <f>IFERROR(__xludf.DUMMYFUNCTION("GOOGLETRANSLATE(B7507,""id"",""en"")"),"['Please', 'Kartuku', 'turned on']")</f>
        <v>['Please', 'Kartuku', 'turned on']</v>
      </c>
      <c r="D7507" s="3">
        <v>5.0</v>
      </c>
    </row>
    <row r="7508" ht="15.75" customHeight="1">
      <c r="A7508" s="1">
        <v>8015.0</v>
      </c>
      <c r="B7508" s="3" t="s">
        <v>7213</v>
      </c>
      <c r="C7508" s="3" t="str">
        <f>IFERROR(__xludf.DUMMYFUNCTION("GOOGLETRANSLATE(B7508,""id"",""en"")"),"['It's easy', 'contents']")</f>
        <v>['It's easy', 'contents']</v>
      </c>
      <c r="D7508" s="3">
        <v>5.0</v>
      </c>
    </row>
    <row r="7509" ht="15.75" customHeight="1">
      <c r="A7509" s="1">
        <v>8016.0</v>
      </c>
      <c r="B7509" s="3" t="s">
        <v>7214</v>
      </c>
      <c r="C7509" s="3" t="str">
        <f>IFERROR(__xludf.DUMMYFUNCTION("GOOGLETRANSLATE(B7509,""id"",""en"")"),"['Star', 'difficult', 'access', 'Telkomsel', 'knp', 'slow', 'that's', '']")</f>
        <v>['Star', 'difficult', 'access', 'Telkomsel', 'knp', 'slow', 'that's', '']</v>
      </c>
      <c r="D7509" s="3">
        <v>2.0</v>
      </c>
    </row>
    <row r="7510" ht="15.75" customHeight="1">
      <c r="A7510" s="1">
        <v>8017.0</v>
      </c>
      <c r="B7510" s="3" t="s">
        <v>7215</v>
      </c>
      <c r="C7510" s="3" t="str">
        <f>IFERROR(__xludf.DUMMYFUNCTION("GOOGLETRANSLATE(B7510,""id"",""en"")"),"['Good', 'Easy', 'Fast', 'Ribet']")</f>
        <v>['Good', 'Easy', 'Fast', 'Ribet']</v>
      </c>
      <c r="D7510" s="3">
        <v>5.0</v>
      </c>
    </row>
    <row r="7511" ht="15.75" customHeight="1">
      <c r="A7511" s="1">
        <v>8018.0</v>
      </c>
      <c r="B7511" s="3" t="s">
        <v>7216</v>
      </c>
      <c r="C7511" s="3" t="str">
        <f>IFERROR(__xludf.DUMMYFUNCTION("GOOGLETRANSLATE(B7511,""id"",""en"")"),"['Update', 'troubles']")</f>
        <v>['Update', 'troubles']</v>
      </c>
      <c r="D7511" s="3">
        <v>1.0</v>
      </c>
    </row>
    <row r="7512" ht="15.75" customHeight="1">
      <c r="A7512" s="1">
        <v>8019.0</v>
      </c>
      <c r="B7512" s="3" t="s">
        <v>7217</v>
      </c>
      <c r="C7512" s="3" t="str">
        <f>IFERROR(__xludf.DUMMYFUNCTION("GOOGLETRANSLATE(B7512,""id"",""en"")"),"['satisfying', 'promo', 'promo']")</f>
        <v>['satisfying', 'promo', 'promo']</v>
      </c>
      <c r="D7512" s="3">
        <v>3.0</v>
      </c>
    </row>
    <row r="7513" ht="15.75" customHeight="1">
      <c r="A7513" s="1">
        <v>8020.0</v>
      </c>
      <c r="B7513" s="3" t="s">
        <v>7218</v>
      </c>
      <c r="C7513" s="3" t="str">
        <f>IFERROR(__xludf.DUMMYFUNCTION("GOOGLETRANSLATE(B7513,""id"",""en"")"),"['Need', 'Package', 'Data', 'Divided']")</f>
        <v>['Need', 'Package', 'Data', 'Divided']</v>
      </c>
      <c r="D7513" s="3">
        <v>5.0</v>
      </c>
    </row>
    <row r="7514" ht="15.75" customHeight="1">
      <c r="A7514" s="1">
        <v>8021.0</v>
      </c>
      <c r="B7514" s="3" t="s">
        <v>7219</v>
      </c>
      <c r="C7514" s="3" t="str">
        <f>IFERROR(__xludf.DUMMYFUNCTION("GOOGLETRANSLATE(B7514,""id"",""en"")"),"['PLARE']")</f>
        <v>['PLARE']</v>
      </c>
      <c r="D7514" s="3">
        <v>5.0</v>
      </c>
    </row>
    <row r="7515" ht="15.75" customHeight="1">
      <c r="A7515" s="1">
        <v>8022.0</v>
      </c>
      <c r="B7515" s="3" t="s">
        <v>7220</v>
      </c>
      <c r="C7515" s="3" t="str">
        <f>IFERROR(__xludf.DUMMYFUNCTION("GOOGLETRANSLATE(B7515,""id"",""en"")"),"['Please', 'cook', 'card', 'network', 'poll', 'good', 'game', 'signal', 'down', 'wonder', 'times', 'times']")</f>
        <v>['Please', 'cook', 'card', 'network', 'poll', 'good', 'game', 'signal', 'down', 'wonder', 'times', 'times']</v>
      </c>
      <c r="D7515" s="3">
        <v>1.0</v>
      </c>
    </row>
    <row r="7516" ht="15.75" customHeight="1">
      <c r="A7516" s="1">
        <v>8023.0</v>
      </c>
      <c r="B7516" s="3" t="s">
        <v>7221</v>
      </c>
      <c r="C7516" s="3" t="str">
        <f>IFERROR(__xludf.DUMMYFUNCTION("GOOGLETRANSLATE(B7516,""id"",""en"")"),"['skrng', 'signal', 'Telkomsel', 'no', 'stable', 'Different', 'subscription', 'now', 'Different', 'Sorry', 'love', 'star', ' ']")</f>
        <v>['skrng', 'signal', 'Telkomsel', 'no', 'stable', 'Different', 'subscription', 'now', 'Different', 'Sorry', 'love', 'star', ' ']</v>
      </c>
      <c r="D7516" s="3">
        <v>1.0</v>
      </c>
    </row>
    <row r="7517" ht="15.75" customHeight="1">
      <c r="A7517" s="1">
        <v>8024.0</v>
      </c>
      <c r="B7517" s="3" t="s">
        <v>471</v>
      </c>
      <c r="C7517" s="3" t="str">
        <f>IFERROR(__xludf.DUMMYFUNCTION("GOOGLETRANSLATE(B7517,""id"",""en"")"),"['']")</f>
        <v>['']</v>
      </c>
      <c r="D7517" s="3">
        <v>5.0</v>
      </c>
    </row>
    <row r="7518" ht="15.75" customHeight="1">
      <c r="A7518" s="1">
        <v>8025.0</v>
      </c>
      <c r="B7518" s="3" t="s">
        <v>7222</v>
      </c>
      <c r="C7518" s="3" t="str">
        <f>IFERROR(__xludf.DUMMYFUNCTION("GOOGLETRANSLATE(B7518,""id"",""en"")"),"['The application', 'difficult', 'open', 'blank']")</f>
        <v>['The application', 'difficult', 'open', 'blank']</v>
      </c>
      <c r="D7518" s="3">
        <v>2.0</v>
      </c>
    </row>
    <row r="7519" ht="15.75" customHeight="1">
      <c r="A7519" s="1">
        <v>8026.0</v>
      </c>
      <c r="B7519" s="3" t="s">
        <v>7223</v>
      </c>
      <c r="C7519" s="3" t="str">
        <f>IFERROR(__xludf.DUMMYFUNCTION("GOOGLETRANSLATE(B7519,""id"",""en"")"),"['Severe', 'opened', 'Nge', 'blank', 'screen', 'white', 'already', 'install', 'reset', 'etc.', 'ttp', 'hadeuh', ' critical']")</f>
        <v>['Severe', 'opened', 'Nge', 'blank', 'screen', 'white', 'already', 'install', 'reset', 'etc.', 'ttp', 'hadeuh', ' critical']</v>
      </c>
      <c r="D7519" s="3">
        <v>1.0</v>
      </c>
    </row>
    <row r="7520" ht="15.75" customHeight="1">
      <c r="A7520" s="1">
        <v>8027.0</v>
      </c>
      <c r="B7520" s="3" t="s">
        <v>7224</v>
      </c>
      <c r="C7520" s="3" t="str">
        <f>IFERROR(__xludf.DUMMYFUNCTION("GOOGLETRANSLATE(B7520,""id"",""en"")"),"['Please', 'admin', 'Telkomsel', 'signal', 'Telkomsel', 'Sestabil', 'Card', 'Telkomsel', 'City', ""]")</f>
        <v>['Please', 'admin', 'Telkomsel', 'signal', 'Telkomsel', 'Sestabil', 'Card', 'Telkomsel', 'City', "]</v>
      </c>
      <c r="D7520" s="3">
        <v>1.0</v>
      </c>
    </row>
    <row r="7521" ht="15.75" customHeight="1">
      <c r="A7521" s="1">
        <v>8028.0</v>
      </c>
      <c r="B7521" s="3" t="s">
        <v>7225</v>
      </c>
      <c r="C7521" s="3" t="str">
        <f>IFERROR(__xludf.DUMMYFUNCTION("GOOGLETRANSLATE(B7521,""id"",""en"")"),"['Please', 'repaired', 'the application', 'update', 'improvement', 'down', 'Performance', 'Error', 'Loading', 'Package', 'Sometimes',' Notification ',' late ',' annoying ',' hope ',' beg ',' repaired ',' ']")</f>
        <v>['Please', 'repaired', 'the application', 'update', 'improvement', 'down', 'Performance', 'Error', 'Loading', 'Package', 'Sometimes',' Notification ',' late ',' annoying ',' hope ',' beg ',' repaired ',' ']</v>
      </c>
      <c r="D7521" s="3">
        <v>1.0</v>
      </c>
    </row>
    <row r="7522" ht="15.75" customHeight="1">
      <c r="A7522" s="1">
        <v>8029.0</v>
      </c>
      <c r="B7522" s="3" t="s">
        <v>7226</v>
      </c>
      <c r="C7522" s="3" t="str">
        <f>IFERROR(__xludf.DUMMYFUNCTION("GOOGLETRANSLATE(B7522,""id"",""en"")"),"['', 'ksih', 'full', 'star', 'please', 'stone', 'konici', 'intrnt', 'lapr', 'tingi', 'for', 'knotting', 'quata ',' prntng ',' interit ',' smooth ',' lbih ',' Mahl ',' boss', '']")</f>
        <v>['', 'ksih', 'full', 'star', 'please', 'stone', 'konici', 'intrnt', 'lapr', 'tingi', 'for', 'knotting', 'quata ',' prntng ',' interit ',' smooth ',' lbih ',' Mahl ',' boss', '']</v>
      </c>
      <c r="D7522" s="3">
        <v>5.0</v>
      </c>
    </row>
    <row r="7523" ht="15.75" customHeight="1">
      <c r="A7523" s="1">
        <v>8030.0</v>
      </c>
      <c r="B7523" s="3" t="s">
        <v>7227</v>
      </c>
      <c r="C7523" s="3" t="str">
        <f>IFERROR(__xludf.DUMMYFUNCTION("GOOGLETRANSLATE(B7523,""id"",""en"")"),"['', 'Install', 'Read', 'Review', 'BERES', 'Looks', 'Move', 'Operator', ""]")</f>
        <v>['', 'Install', 'Read', 'Review', 'BERES', 'Looks', 'Move', 'Operator', "]</v>
      </c>
      <c r="D7523" s="3">
        <v>1.0</v>
      </c>
    </row>
    <row r="7524" ht="15.75" customHeight="1">
      <c r="A7524" s="1">
        <v>8032.0</v>
      </c>
      <c r="B7524" s="3" t="s">
        <v>1905</v>
      </c>
      <c r="C7524" s="3" t="str">
        <f>IFERROR(__xludf.DUMMYFUNCTION("GOOGLETRANSLATE(B7524,""id"",""en"")"),"['Good', 'network']")</f>
        <v>['Good', 'network']</v>
      </c>
      <c r="D7524" s="3">
        <v>4.0</v>
      </c>
    </row>
    <row r="7525" ht="15.75" customHeight="1">
      <c r="A7525" s="1">
        <v>8033.0</v>
      </c>
      <c r="B7525" s="3" t="s">
        <v>7228</v>
      </c>
      <c r="C7525" s="3" t="str">
        <f>IFERROR(__xludf.DUMMYFUNCTION("GOOGLETRANSLATE(B7525,""id"",""en"")"),"['Forward', 'Telkomsel']")</f>
        <v>['Forward', 'Telkomsel']</v>
      </c>
      <c r="D7525" s="3">
        <v>5.0</v>
      </c>
    </row>
    <row r="7526" ht="15.75" customHeight="1">
      <c r="A7526" s="1">
        <v>8034.0</v>
      </c>
      <c r="B7526" s="3" t="s">
        <v>7229</v>
      </c>
      <c r="C7526" s="3" t="str">
        <f>IFERROR(__xludf.DUMMYFUNCTION("GOOGLETRANSLATE(B7526,""id"",""en"")"),"['customer', 'loyal', 'Telkomsel', 'era', 'Try', 'download', 'Telkomsel', 'just', 'screen', 'white', 'doang', 'please', ' Telkomsel ',' please ',' review ',' comment ',' read ',' complaint ']")</f>
        <v>['customer', 'loyal', 'Telkomsel', 'era', 'Try', 'download', 'Telkomsel', 'just', 'screen', 'white', 'doang', 'please', ' Telkomsel ',' please ',' review ',' comment ',' read ',' complaint ']</v>
      </c>
      <c r="D7526" s="3">
        <v>1.0</v>
      </c>
    </row>
    <row r="7527" ht="15.75" customHeight="1">
      <c r="A7527" s="1">
        <v>8035.0</v>
      </c>
      <c r="B7527" s="3" t="s">
        <v>7230</v>
      </c>
      <c r="C7527" s="3" t="str">
        <f>IFERROR(__xludf.DUMMYFUNCTION("GOOGLETRANSLATE(B7527,""id"",""en"")"),"['', 'promo', 'package', 'internet', 'user']")</f>
        <v>['', 'promo', 'package', 'internet', 'user']</v>
      </c>
      <c r="D7527" s="3">
        <v>5.0</v>
      </c>
    </row>
    <row r="7528" ht="15.75" customHeight="1">
      <c r="A7528" s="1">
        <v>8036.0</v>
      </c>
      <c r="B7528" s="3" t="s">
        <v>7231</v>
      </c>
      <c r="C7528" s="3" t="str">
        <f>IFERROR(__xludf.DUMMYFUNCTION("GOOGLETRANSLATE(B7528,""id"",""en"")"),"['app', 'open', 'safe', 'install', 'reset', 'tetep', 'open']")</f>
        <v>['app', 'open', 'safe', 'install', 'reset', 'tetep', 'open']</v>
      </c>
      <c r="D7528" s="3">
        <v>1.0</v>
      </c>
    </row>
    <row r="7529" ht="15.75" customHeight="1">
      <c r="A7529" s="1">
        <v>8037.0</v>
      </c>
      <c r="B7529" s="3" t="s">
        <v>7232</v>
      </c>
      <c r="C7529" s="3" t="str">
        <f>IFERROR(__xludf.DUMMYFUNCTION("GOOGLETRANSLATE(B7529,""id"",""en"")"),"['Likes', 'Ngelag']")</f>
        <v>['Likes', 'Ngelag']</v>
      </c>
      <c r="D7529" s="3">
        <v>1.0</v>
      </c>
    </row>
    <row r="7530" ht="15.75" customHeight="1">
      <c r="A7530" s="1">
        <v>8038.0</v>
      </c>
      <c r="B7530" s="3" t="s">
        <v>7233</v>
      </c>
      <c r="C7530" s="3" t="str">
        <f>IFERROR(__xludf.DUMMYFUNCTION("GOOGLETRANSLATE(B7530,""id"",""en"")"),"['Haloooooo', 'KNP', 'Login', 'OTP', 'VIA', 'Email', 'Haloooooo']")</f>
        <v>['Haloooooo', 'KNP', 'Login', 'OTP', 'VIA', 'Email', 'Haloooooo']</v>
      </c>
      <c r="D7530" s="3">
        <v>2.0</v>
      </c>
    </row>
    <row r="7531" ht="15.75" customHeight="1">
      <c r="A7531" s="1">
        <v>8039.0</v>
      </c>
      <c r="B7531" s="3" t="s">
        <v>7234</v>
      </c>
      <c r="C7531" s="3" t="str">
        <f>IFERROR(__xludf.DUMMYFUNCTION("GOOGLETRANSLATE(B7531,""id"",""en"")"),"['Please', 'signal', 'Ujan', 'Jja', 'ugly', 'bngt', 'package', 'expensive', 'expensive', 'signal', 'ugly', 'play', ' Game ',' Jja ',' Difficult ',' Bngt ',' Connection ',' Bad ',' Mulu ']")</f>
        <v>['Please', 'signal', 'Ujan', 'Jja', 'ugly', 'bngt', 'package', 'expensive', 'expensive', 'signal', 'ugly', 'play', ' Game ',' Jja ',' Difficult ',' Bngt ',' Connection ',' Bad ',' Mulu ']</v>
      </c>
      <c r="D7531" s="3">
        <v>1.0</v>
      </c>
    </row>
    <row r="7532" ht="15.75" customHeight="1">
      <c r="A7532" s="1">
        <v>8040.0</v>
      </c>
      <c r="B7532" s="3" t="s">
        <v>7235</v>
      </c>
      <c r="C7532" s="3" t="str">
        <f>IFERROR(__xludf.DUMMYFUNCTION("GOOGLETRANSLATE(B7532,""id"",""en"")"),"['application', 'good', 'darling', 'Telkomsel', 'Hello', 'internet', 'like', 'signal', 'full', 'quota']")</f>
        <v>['application', 'good', 'darling', 'Telkomsel', 'Hello', 'internet', 'like', 'signal', 'full', 'quota']</v>
      </c>
      <c r="D7532" s="3">
        <v>4.0</v>
      </c>
    </row>
    <row r="7533" ht="15.75" customHeight="1">
      <c r="A7533" s="1">
        <v>8041.0</v>
      </c>
      <c r="B7533" s="3" t="s">
        <v>7236</v>
      </c>
      <c r="C7533" s="3" t="str">
        <f>IFERROR(__xludf.DUMMYFUNCTION("GOOGLETRANSLATE(B7533,""id"",""en"")"),"['a year', 'Telkomsel', 'strength', 'signal', 'declined', 'please', 'fix', 'convenience', 'consumer', ""]")</f>
        <v>['a year', 'Telkomsel', 'strength', 'signal', 'declined', 'please', 'fix', 'convenience', 'consumer', "]</v>
      </c>
      <c r="D7533" s="3">
        <v>2.0</v>
      </c>
    </row>
    <row r="7534" ht="15.75" customHeight="1">
      <c r="A7534" s="1">
        <v>8042.0</v>
      </c>
      <c r="B7534" s="3" t="s">
        <v>7237</v>
      </c>
      <c r="C7534" s="3" t="str">
        <f>IFERROR(__xludf.DUMMYFUNCTION("GOOGLETRANSLATE(B7534,""id"",""en"")"),"['Useful', 'economical', 'purchase', '']")</f>
        <v>['Useful', 'economical', 'purchase', '']</v>
      </c>
      <c r="D7534" s="3">
        <v>3.0</v>
      </c>
    </row>
    <row r="7535" ht="15.75" customHeight="1">
      <c r="A7535" s="1">
        <v>8043.0</v>
      </c>
      <c r="B7535" s="3" t="s">
        <v>7238</v>
      </c>
      <c r="C7535" s="3" t="str">
        <f>IFERROR(__xludf.DUMMYFUNCTION("GOOGLETRANSLATE(B7535,""id"",""en"")"),"['open', 'application', 'blank', 'color', 'white', 'screen', 'wait', 'hmm', ""]")</f>
        <v>['open', 'application', 'blank', 'color', 'white', 'screen', 'wait', 'hmm', "]</v>
      </c>
      <c r="D7535" s="3">
        <v>1.0</v>
      </c>
    </row>
    <row r="7536" ht="15.75" customHeight="1">
      <c r="A7536" s="1">
        <v>8044.0</v>
      </c>
      <c r="B7536" s="3" t="s">
        <v>7239</v>
      </c>
      <c r="C7536" s="3" t="str">
        <f>IFERROR(__xludf.DUMMYFUNCTION("GOOGLETRANSLATE(B7536,""id"",""en"")"),"['APK', 'buy', 'quota', 'apk', 'signal', 'ngelg', 'oath', 'really', 'AKP', 'just', 'spend', 'money', ' Ajg ']")</f>
        <v>['APK', 'buy', 'quota', 'apk', 'signal', 'ngelg', 'oath', 'really', 'AKP', 'just', 'spend', 'money', ' Ajg ']</v>
      </c>
      <c r="D7536" s="3">
        <v>1.0</v>
      </c>
    </row>
    <row r="7537" ht="15.75" customHeight="1">
      <c r="A7537" s="1">
        <v>8045.0</v>
      </c>
      <c r="B7537" s="3" t="s">
        <v>7240</v>
      </c>
      <c r="C7537" s="3" t="str">
        <f>IFERROR(__xludf.DUMMYFUNCTION("GOOGLETRANSLATE(B7537,""id"",""en"")"),"['many years', 'Telkomsel', 'Network', 'Good', 'The Network', 'Bad']")</f>
        <v>['many years', 'Telkomsel', 'Network', 'Good', 'The Network', 'Bad']</v>
      </c>
      <c r="D7537" s="3">
        <v>1.0</v>
      </c>
    </row>
    <row r="7538" ht="15.75" customHeight="1">
      <c r="A7538" s="1">
        <v>8046.0</v>
      </c>
      <c r="B7538" s="3" t="s">
        <v>7241</v>
      </c>
      <c r="C7538" s="3" t="str">
        <f>IFERROR(__xludf.DUMMYFUNCTION("GOOGLETRANSLATE(B7538,""id"",""en"")"),"['Telkomsel', 'opened', 'gini', 'custamer', 'disappointed', 'fix', 'donk', 'please']")</f>
        <v>['Telkomsel', 'opened', 'gini', 'custamer', 'disappointed', 'fix', 'donk', 'please']</v>
      </c>
      <c r="D7538" s="3">
        <v>1.0</v>
      </c>
    </row>
    <row r="7539" ht="15.75" customHeight="1">
      <c r="A7539" s="1">
        <v>8047.0</v>
      </c>
      <c r="B7539" s="3" t="s">
        <v>7242</v>
      </c>
      <c r="C7539" s="3" t="str">
        <f>IFERROR(__xludf.DUMMYFUNCTION("GOOGLETRANSLATE(B7539,""id"",""en"")"),"['Application', 'Simple', 'Good', 'Bagnget']")</f>
        <v>['Application', 'Simple', 'Good', 'Bagnget']</v>
      </c>
      <c r="D7539" s="3">
        <v>5.0</v>
      </c>
    </row>
    <row r="7540" ht="15.75" customHeight="1">
      <c r="A7540" s="1">
        <v>8048.0</v>
      </c>
      <c r="B7540" s="3" t="s">
        <v>7243</v>
      </c>
      <c r="C7540" s="3" t="str">
        <f>IFERROR(__xludf.DUMMYFUNCTION("GOOGLETRANSLATE(B7540,""id"",""en"")"),"['Horrified', 'Price', 'Package', 'Already', 'GTU', 'Quota', 'Kirain', 'Logo', 'Management', 'Change', ""]")</f>
        <v>['Horrified', 'Price', 'Package', 'Already', 'GTU', 'Quota', 'Kirain', 'Logo', 'Management', 'Change', "]</v>
      </c>
      <c r="D7540" s="3">
        <v>1.0</v>
      </c>
    </row>
    <row r="7541" ht="15.75" customHeight="1">
      <c r="A7541" s="1">
        <v>8049.0</v>
      </c>
      <c r="B7541" s="3" t="s">
        <v>7244</v>
      </c>
      <c r="C7541" s="3" t="str">
        <f>IFERROR(__xludf.DUMMYFUNCTION("GOOGLETRANSLATE(B7541,""id"",""en"")"),"['Alang', 'Kah', 'Happy', 'Society', 'Motor', 'Max']")</f>
        <v>['Alang', 'Kah', 'Happy', 'Society', 'Motor', 'Max']</v>
      </c>
      <c r="D7541" s="3">
        <v>5.0</v>
      </c>
    </row>
    <row r="7542" ht="15.75" customHeight="1">
      <c r="A7542" s="1">
        <v>8050.0</v>
      </c>
      <c r="B7542" s="3" t="s">
        <v>7245</v>
      </c>
      <c r="C7542" s="3" t="str">
        <f>IFERROR(__xludf.DUMMYFUNCTION("GOOGLETRANSLATE(B7542,""id"",""en"")"),"['', 'knapa', 'Telkomsel', 'expanded', 'turn', 'upgraded', 'enter', 'all', 'screen', 'white', 'uninstall', 'install', 'repeat ',' BGTU ',' please ',' Murah ',' donk ',' check ',' quota ',' pulse ',' seh ',' thank ',' love ', ""]")</f>
        <v>['', 'knapa', 'Telkomsel', 'expanded', 'turn', 'upgraded', 'enter', 'all', 'screen', 'white', 'uninstall', 'install', 'repeat ',' BGTU ',' please ',' Murah ',' donk ',' check ',' quota ',' pulse ',' seh ',' thank ',' love ', "]</v>
      </c>
      <c r="D7542" s="3">
        <v>2.0</v>
      </c>
    </row>
    <row r="7543" ht="15.75" customHeight="1">
      <c r="A7543" s="1">
        <v>8051.0</v>
      </c>
      <c r="B7543" s="3" t="s">
        <v>7246</v>
      </c>
      <c r="C7543" s="3" t="str">
        <f>IFERROR(__xludf.DUMMYFUNCTION("GOOGLETRANSLATE(B7543,""id"",""en"")"),"['Open', 'Application']")</f>
        <v>['Open', 'Application']</v>
      </c>
      <c r="D7543" s="3">
        <v>2.0</v>
      </c>
    </row>
    <row r="7544" ht="15.75" customHeight="1">
      <c r="A7544" s="1">
        <v>8052.0</v>
      </c>
      <c r="B7544" s="3" t="s">
        <v>7247</v>
      </c>
      <c r="C7544" s="3" t="str">
        <f>IFERROR(__xludf.DUMMYFUNCTION("GOOGLETRANSLATE(B7544,""id"",""en"")"),"['Good', 'easy', 'transaction']")</f>
        <v>['Good', 'easy', 'transaction']</v>
      </c>
      <c r="D7544" s="3">
        <v>4.0</v>
      </c>
    </row>
    <row r="7545" ht="15.75" customHeight="1">
      <c r="A7545" s="1">
        <v>8053.0</v>
      </c>
      <c r="B7545" s="3" t="s">
        <v>7248</v>
      </c>
      <c r="C7545" s="3" t="str">
        <f>IFERROR(__xludf.DUMMYFUNCTION("GOOGLETRANSLATE(B7545,""id"",""en"")"),"['Price', 'expensive', 'quality', 'low']")</f>
        <v>['Price', 'expensive', 'quality', 'low']</v>
      </c>
      <c r="D7545" s="3">
        <v>1.0</v>
      </c>
    </row>
    <row r="7546" ht="15.75" customHeight="1">
      <c r="A7546" s="1">
        <v>8054.0</v>
      </c>
      <c r="B7546" s="3" t="s">
        <v>7249</v>
      </c>
      <c r="C7546" s="3" t="str">
        <f>IFERROR(__xludf.DUMMYFUNCTION("GOOGLETRANSLATE(B7546,""id"",""en"")"),"['update', 'dbuka']")</f>
        <v>['update', 'dbuka']</v>
      </c>
      <c r="D7546" s="3">
        <v>1.0</v>
      </c>
    </row>
    <row r="7547" ht="15.75" customHeight="1">
      <c r="A7547" s="1">
        <v>8055.0</v>
      </c>
      <c r="B7547" s="3" t="s">
        <v>7250</v>
      </c>
      <c r="C7547" s="3" t="str">
        <f>IFERROR(__xludf.DUMMYFUNCTION("GOOGLETRANSLATE(B7547,""id"",""en"")"),"['Kereeeen', 'Application', 'Telkomsel', '']")</f>
        <v>['Kereeeen', 'Application', 'Telkomsel', '']</v>
      </c>
      <c r="D7547" s="3">
        <v>5.0</v>
      </c>
    </row>
    <row r="7548" ht="15.75" customHeight="1">
      <c r="A7548" s="1">
        <v>8056.0</v>
      </c>
      <c r="B7548" s="3" t="s">
        <v>1601</v>
      </c>
      <c r="C7548" s="3" t="str">
        <f>IFERROR(__xludf.DUMMYFUNCTION("GOOGLETRANSLATE(B7548,""id"",""en"")"),"['open']")</f>
        <v>['open']</v>
      </c>
      <c r="D7548" s="3">
        <v>1.0</v>
      </c>
    </row>
    <row r="7549" ht="15.75" customHeight="1">
      <c r="A7549" s="1">
        <v>8057.0</v>
      </c>
      <c r="B7549" s="3" t="s">
        <v>7251</v>
      </c>
      <c r="C7549" s="3" t="str">
        <f>IFERROR(__xludf.DUMMYFUNCTION("GOOGLETRANSLATE(B7549,""id"",""en"")"),"['Help', 'buy', 'package', 'kouta']")</f>
        <v>['Help', 'buy', 'package', 'kouta']</v>
      </c>
      <c r="D7549" s="3">
        <v>5.0</v>
      </c>
    </row>
    <row r="7550" ht="15.75" customHeight="1">
      <c r="A7550" s="1">
        <v>8058.0</v>
      </c>
      <c r="B7550" s="3" t="s">
        <v>7252</v>
      </c>
      <c r="C7550" s="3" t="str">
        <f>IFERROR(__xludf.DUMMYFUNCTION("GOOGLETRANSLATE(B7550,""id"",""en"")"),"['App', 'screen', 'white', 'for days', 'contents', 'quota', 'difficult']")</f>
        <v>['App', 'screen', 'white', 'for days', 'contents', 'quota', 'difficult']</v>
      </c>
      <c r="D7550" s="3">
        <v>1.0</v>
      </c>
    </row>
    <row r="7551" ht="15.75" customHeight="1">
      <c r="A7551" s="1">
        <v>8059.0</v>
      </c>
      <c r="B7551" s="3" t="s">
        <v>7253</v>
      </c>
      <c r="C7551" s="3" t="str">
        <f>IFERROR(__xludf.DUMMYFUNCTION("GOOGLETRANSLATE(B7551,""id"",""en"")"),"['apk', 'steady', 'kouta', 'cave', 'hospot']")</f>
        <v>['apk', 'steady', 'kouta', 'cave', 'hospot']</v>
      </c>
      <c r="D7551" s="3">
        <v>5.0</v>
      </c>
    </row>
    <row r="7552" ht="15.75" customHeight="1">
      <c r="A7552" s="1">
        <v>8060.0</v>
      </c>
      <c r="B7552" s="3" t="s">
        <v>7254</v>
      </c>
      <c r="C7552" s="3" t="str">
        <f>IFERROR(__xludf.DUMMYFUNCTION("GOOGLETRANSLATE(B7552,""id"",""en"")"),"['signal', 'slow', 'Woyy', 'expensive', 'doang', 'for a while', 'for a while', 'ganguan', 'send', 'data', 'doang', 'slow', ' slow ',' person ',' work ', ""]")</f>
        <v>['signal', 'slow', 'Woyy', 'expensive', 'doang', 'for a while', 'for a while', 'ganguan', 'send', 'data', 'doang', 'slow', ' slow ',' person ',' work ', "]</v>
      </c>
      <c r="D7552" s="3">
        <v>1.0</v>
      </c>
    </row>
    <row r="7553" ht="15.75" customHeight="1">
      <c r="A7553" s="1">
        <v>8061.0</v>
      </c>
      <c r="B7553" s="3" t="s">
        <v>7255</v>
      </c>
      <c r="C7553" s="3" t="str">
        <f>IFERROR(__xludf.DUMMYFUNCTION("GOOGLETRANSLATE(B7553,""id"",""en"")"),"['voucher', 'Telkomsel', 'coinworks',' used ',' min ',' Telkomsel ',' promo ',' knowledge ',' coinworks', 'coinwork', 'loss',' promo ',' Telkomsel ',' Display ',' Telkomsel ',' responds', 'complaints',' promo ',' formality ',' coin ',' trick ',' entertain"&amp;"ment ',' The ',' database ',' will ' , 'Guarantee', 'Telkomsel', 'Does', 'Not', 'Respond', '']")</f>
        <v>['voucher', 'Telkomsel', 'coinworks',' used ',' min ',' Telkomsel ',' promo ',' knowledge ',' coinworks', 'coinwork', 'loss',' promo ',' Telkomsel ',' Display ',' Telkomsel ',' responds', 'complaints',' promo ',' formality ',' coin ',' trick ',' entertainment ',' The ',' database ',' will ' , 'Guarantee', 'Telkomsel', 'Does', 'Not', 'Respond', '']</v>
      </c>
      <c r="D7553" s="3">
        <v>1.0</v>
      </c>
    </row>
    <row r="7554" ht="15.75" customHeight="1">
      <c r="A7554" s="1">
        <v>8062.0</v>
      </c>
      <c r="B7554" s="3" t="s">
        <v>7256</v>
      </c>
      <c r="C7554" s="3" t="str">
        <f>IFERROR(__xludf.DUMMYFUNCTION("GOOGLETRANSLATE(B7554,""id"",""en"")"),"['Change', 'Bintang', 'Application', 'Blank', 'White', 'Komplein', 'Repaired', 'Klu', 'Troubled', 'Knp', 'Repaired', 'Ush', ' Help ',' contact ',' via ',' twiter ',' What's', 'Direct', 'Love', 'Ush', 'bother', 'people', 'Udh', 'troubles',' Gara ' , 'appli"&amp;"cation', '']")</f>
        <v>['Change', 'Bintang', 'Application', 'Blank', 'White', 'Komplein', 'Repaired', 'Klu', 'Troubled', 'Knp', 'Repaired', 'Ush', ' Help ',' contact ',' via ',' twiter ',' What's', 'Direct', 'Love', 'Ush', 'bother', 'people', 'Udh', 'troubles',' Gara ' , 'application', '']</v>
      </c>
      <c r="D7554" s="3">
        <v>1.0</v>
      </c>
    </row>
    <row r="7555" ht="15.75" customHeight="1">
      <c r="A7555" s="1">
        <v>8063.0</v>
      </c>
      <c r="B7555" s="3" t="s">
        <v>7257</v>
      </c>
      <c r="C7555" s="3" t="str">
        <f>IFERROR(__xludf.DUMMYFUNCTION("GOOGLETRANSLATE(B7555,""id"",""en"")"),"['Price', 'expensive', 'quality', 'disappointing']")</f>
        <v>['Price', 'expensive', 'quality', 'disappointing']</v>
      </c>
      <c r="D7555" s="3">
        <v>3.0</v>
      </c>
    </row>
    <row r="7556" ht="15.75" customHeight="1">
      <c r="A7556" s="1">
        <v>8064.0</v>
      </c>
      <c r="B7556" s="3" t="s">
        <v>7258</v>
      </c>
      <c r="C7556" s="3" t="str">
        <f>IFERROR(__xludf.DUMMYFUNCTION("GOOGLETRANSLATE(B7556,""id"",""en"")"),"['Severe', 'Ngak', 'Open', 'Screen', 'White', 'Doang', 'Buy', 'Content', 'Quota', 'Ribet', 'Solution', ""]")</f>
        <v>['Severe', 'Ngak', 'Open', 'Screen', 'White', 'Doang', 'Buy', 'Content', 'Quota', 'Ribet', 'Solution', "]</v>
      </c>
      <c r="D7556" s="3">
        <v>1.0</v>
      </c>
    </row>
    <row r="7557" ht="15.75" customHeight="1">
      <c r="A7557" s="1">
        <v>8065.0</v>
      </c>
      <c r="B7557" s="3" t="s">
        <v>7259</v>
      </c>
      <c r="C7557" s="3" t="str">
        <f>IFERROR(__xludf.DUMMYFUNCTION("GOOGLETRANSLATE(B7557,""id"",""en"")"),"['Application', 'Open', 'Open', 'Please', 'Fix']")</f>
        <v>['Application', 'Open', 'Open', 'Please', 'Fix']</v>
      </c>
      <c r="D7557" s="3">
        <v>2.0</v>
      </c>
    </row>
    <row r="7558" ht="15.75" customHeight="1">
      <c r="A7558" s="1">
        <v>8066.0</v>
      </c>
      <c r="B7558" s="3" t="s">
        <v>7260</v>
      </c>
      <c r="C7558" s="3" t="str">
        <f>IFERROR(__xludf.DUMMYFUNCTION("GOOGLETRANSLATE(B7558,""id"",""en"")"),"['Telkomsel', 'products', 'price', 'expensive', 'competitors', 'network', 'rotatekk', '']")</f>
        <v>['Telkomsel', 'products', 'price', 'expensive', 'competitors', 'network', 'rotatekk', '']</v>
      </c>
      <c r="D7558" s="3">
        <v>1.0</v>
      </c>
    </row>
    <row r="7559" ht="15.75" customHeight="1">
      <c r="A7559" s="1">
        <v>8067.0</v>
      </c>
      <c r="B7559" s="3" t="s">
        <v>7261</v>
      </c>
      <c r="C7559" s="3" t="str">
        <f>IFERROR(__xludf.DUMMYFUNCTION("GOOGLETRANSLATE(B7559,""id"",""en"")"),"['Changed', 'Star', 'Application', 'Application', 'BUMN', 'Quality', 'Shy', 'In', ""]")</f>
        <v>['Changed', 'Star', 'Application', 'Application', 'BUMN', 'Quality', 'Shy', 'In', "]</v>
      </c>
      <c r="D7559" s="3">
        <v>1.0</v>
      </c>
    </row>
    <row r="7560" ht="15.75" customHeight="1">
      <c r="A7560" s="1">
        <v>8068.0</v>
      </c>
      <c r="B7560" s="3" t="s">
        <v>7262</v>
      </c>
      <c r="C7560" s="3" t="str">
        <f>IFERROR(__xludf.DUMMYFUNCTION("GOOGLETRANSLATE(B7560,""id"",""en"")"),"['Severe', 'Sekrg', 'App', 'Telkomsel', 'opened', 'App', 'Telkomsel', 'skrg', 'Ginih', 'Its "",' Ribet ',' Disappointed ',' ']")</f>
        <v>['Severe', 'Sekrg', 'App', 'Telkomsel', 'opened', 'App', 'Telkomsel', 'skrg', 'Ginih', 'Its ",' Ribet ',' Disappointed ',' ']</v>
      </c>
      <c r="D7560" s="3">
        <v>1.0</v>
      </c>
    </row>
    <row r="7561" ht="15.75" customHeight="1">
      <c r="A7561" s="1">
        <v>8069.0</v>
      </c>
      <c r="B7561" s="3" t="s">
        <v>7263</v>
      </c>
      <c r="C7561" s="3" t="str">
        <f>IFERROR(__xludf.DUMMYFUNCTION("GOOGLETRANSLATE(B7561,""id"",""en"")"),"['promo', 'purchase', 'quota', 'already', 'use']")</f>
        <v>['promo', 'purchase', 'quota', 'already', 'use']</v>
      </c>
      <c r="D7561" s="3">
        <v>5.0</v>
      </c>
    </row>
    <row r="7562" ht="15.75" customHeight="1">
      <c r="A7562" s="1">
        <v>8070.0</v>
      </c>
      <c r="B7562" s="3" t="s">
        <v>7264</v>
      </c>
      <c r="C7562" s="3" t="str">
        <f>IFERROR(__xludf.DUMMYFUNCTION("GOOGLETRANSLATE(B7562,""id"",""en"")"),"['Good', 'connection', 'fast', 'smooth', 'open', 'the application', 'Telkomsel', ""]")</f>
        <v>['Good', 'connection', 'fast', 'smooth', 'open', 'the application', 'Telkomsel', "]</v>
      </c>
      <c r="D7562" s="3">
        <v>5.0</v>
      </c>
    </row>
    <row r="7563" ht="15.75" customHeight="1">
      <c r="A7563" s="1">
        <v>8071.0</v>
      </c>
      <c r="B7563" s="3" t="s">
        <v>7265</v>
      </c>
      <c r="C7563" s="3" t="str">
        <f>IFERROR(__xludf.DUMMYFUNCTION("GOOGLETRANSLATE(B7563,""id"",""en"")"),"['Sorry', 'sympathy', 'toll', 'disappointing', 'really', 'please', 'repaired', 'ngelaaaag', 'toll', ""]")</f>
        <v>['Sorry', 'sympathy', 'toll', 'disappointing', 'really', 'please', 'repaired', 'ngelaaaag', 'toll', "]</v>
      </c>
      <c r="D7563" s="3">
        <v>1.0</v>
      </c>
    </row>
    <row r="7564" ht="15.75" customHeight="1">
      <c r="A7564" s="1">
        <v>8072.0</v>
      </c>
      <c r="B7564" s="3" t="s">
        <v>7266</v>
      </c>
      <c r="C7564" s="3" t="str">
        <f>IFERROR(__xludf.DUMMYFUNCTION("GOOGLETRANSLATE(B7564,""id"",""en"")"),"['Supports', 'activity']")</f>
        <v>['Supports', 'activity']</v>
      </c>
      <c r="D7564" s="3">
        <v>5.0</v>
      </c>
    </row>
    <row r="7565" ht="15.75" customHeight="1">
      <c r="A7565" s="1">
        <v>8073.0</v>
      </c>
      <c r="B7565" s="3" t="s">
        <v>7267</v>
      </c>
      <c r="C7565" s="3" t="str">
        <f>IFERROR(__xludf.DUMMYFUNCTION("GOOGLETRANSLATE(B7565,""id"",""en"")"),"['Telkomsel', 'wasteful', 'expensive', 'search', 'lucky', 'plus', 'signal', 'ugly']")</f>
        <v>['Telkomsel', 'wasteful', 'expensive', 'search', 'lucky', 'plus', 'signal', 'ugly']</v>
      </c>
      <c r="D7565" s="3">
        <v>1.0</v>
      </c>
    </row>
    <row r="7566" ht="15.75" customHeight="1">
      <c r="A7566" s="1">
        <v>8074.0</v>
      </c>
      <c r="B7566" s="3" t="s">
        <v>7268</v>
      </c>
      <c r="C7566" s="3" t="str">
        <f>IFERROR(__xludf.DUMMYFUNCTION("GOOGLETRANSLATE(B7566,""id"",""en"")"),"['Since', 'Update', 'GBSA', 'Open', 'Blank', 'Color', 'White', 'Uda', 'Uninstall', 'Install', 'ullang', 'TTP', ' GBSA ',' Please ',' repaired ',' class', 'Telkomsel', 'APK', 'Rich', 'Gini', ""]")</f>
        <v>['Since', 'Update', 'GBSA', 'Open', 'Blank', 'Color', 'White', 'Uda', 'Uninstall', 'Install', 'ullang', 'TTP', ' GBSA ',' Please ',' repaired ',' class', 'Telkomsel', 'APK', 'Rich', 'Gini', "]</v>
      </c>
      <c r="D7566" s="3">
        <v>1.0</v>
      </c>
    </row>
    <row r="7567" ht="15.75" customHeight="1">
      <c r="A7567" s="1">
        <v>8075.0</v>
      </c>
      <c r="B7567" s="3" t="s">
        <v>7269</v>
      </c>
      <c r="C7567" s="3" t="str">
        <f>IFERROR(__xludf.DUMMYFUNCTION("GOOGLETRANSLATE(B7567,""id"",""en"")"),"['already', 'Males', 'Telkomsel', 'Slalu', 'disappointing', 'signal']")</f>
        <v>['already', 'Males', 'Telkomsel', 'Slalu', 'disappointing', 'signal']</v>
      </c>
      <c r="D7567" s="3">
        <v>2.0</v>
      </c>
    </row>
    <row r="7568" ht="15.75" customHeight="1">
      <c r="A7568" s="1">
        <v>8076.0</v>
      </c>
      <c r="B7568" s="3" t="s">
        <v>7270</v>
      </c>
      <c r="C7568" s="3" t="str">
        <f>IFERROR(__xludf.DUMMYFUNCTION("GOOGLETRANSLATE(B7568,""id"",""en"")"),"['WOI', 'Development', 'Ngen', 'Benerin', 'Signal', 'lag', 'TRZ', 'BLM', 'right', 'Rain', 'forgiveness',' Hadehh ',' ']")</f>
        <v>['WOI', 'Development', 'Ngen', 'Benerin', 'Signal', 'lag', 'TRZ', 'BLM', 'right', 'Rain', 'forgiveness',' Hadehh ',' ']</v>
      </c>
      <c r="D7568" s="3">
        <v>2.0</v>
      </c>
    </row>
    <row r="7569" ht="15.75" customHeight="1">
      <c r="A7569" s="1">
        <v>8077.0</v>
      </c>
      <c r="B7569" s="3" t="s">
        <v>7271</v>
      </c>
      <c r="C7569" s="3" t="str">
        <f>IFERROR(__xludf.DUMMYFUNCTION("GOOGLETRANSLATE(B7569,""id"",""en"")"),"['Sis',' what ',' APK ',' MyTelkomsel ',' opened ',' date ',' December ',' White ',' blank ',' Uninstall ',' alternating ',' memory ',' APK ',' UDH ',' updated ',' UDH ',' Clear ',' Canche ',' UDH ',' TWT ',' Response ',' Please ',' Help ', ""]")</f>
        <v>['Sis',' what ',' APK ',' MyTelkomsel ',' opened ',' date ',' December ',' White ',' blank ',' Uninstall ',' alternating ',' memory ',' APK ',' UDH ',' updated ',' UDH ',' Clear ',' Canche ',' UDH ',' TWT ',' Response ',' Please ',' Help ', "]</v>
      </c>
      <c r="D7569" s="3">
        <v>1.0</v>
      </c>
    </row>
    <row r="7570" ht="15.75" customHeight="1">
      <c r="A7570" s="1">
        <v>8079.0</v>
      </c>
      <c r="B7570" s="3" t="s">
        <v>7272</v>
      </c>
      <c r="C7570" s="3" t="str">
        <f>IFERROR(__xludf.DUMMYFUNCTION("GOOGLETRANSLATE(B7570,""id"",""en"")"),"['min', 'Telkomsel', 'open', 'blang', 'white', 'appears',' severe ',' bah ',' uda ',' network ',' disappointing ',' please ',' Fix ',' Indonesia ',' Show ',' Quality ',' Customer ',' Setia ']")</f>
        <v>['min', 'Telkomsel', 'open', 'blang', 'white', 'appears',' severe ',' bah ',' uda ',' network ',' disappointing ',' please ',' Fix ',' Indonesia ',' Show ',' Quality ',' Customer ',' Setia ']</v>
      </c>
      <c r="D7570" s="3">
        <v>2.0</v>
      </c>
    </row>
    <row r="7571" ht="15.75" customHeight="1">
      <c r="A7571" s="1">
        <v>8081.0</v>
      </c>
      <c r="B7571" s="3" t="s">
        <v>7273</v>
      </c>
      <c r="C7571" s="3" t="str">
        <f>IFERROR(__xludf.DUMMYFUNCTION("GOOGLETRANSLATE(B7571,""id"",""en"")"),"['Playstore', 'Please', 'Delete', 'Application', 'Laknat', 'Application', 'Pig', 'Like', 'Owner', 'Application']")</f>
        <v>['Playstore', 'Please', 'Delete', 'Application', 'Laknat', 'Application', 'Pig', 'Like', 'Owner', 'Application']</v>
      </c>
      <c r="D7571" s="3">
        <v>1.0</v>
      </c>
    </row>
    <row r="7572" ht="15.75" customHeight="1">
      <c r="A7572" s="1">
        <v>8082.0</v>
      </c>
      <c r="B7572" s="3" t="s">
        <v>7274</v>
      </c>
      <c r="C7572" s="3" t="str">
        <f>IFERROR(__xludf.DUMMYFUNCTION("GOOGLETRANSLATE(B7572,""id"",""en"")"),"['Sorry', 'Application', 'Dihp', 'White', 'Mulu', 'PDHAL', 'UDH', 'WAITING', 'MOH'S,' HOURS ',' TPI ',' Tetep ',' White']")</f>
        <v>['Sorry', 'Application', 'Dihp', 'White', 'Mulu', 'PDHAL', 'UDH', 'WAITING', 'MOH'S,' HOURS ',' TPI ',' Tetep ',' White']</v>
      </c>
      <c r="D7572" s="3">
        <v>3.0</v>
      </c>
    </row>
    <row r="7573" ht="15.75" customHeight="1">
      <c r="A7573" s="1">
        <v>8083.0</v>
      </c>
      <c r="B7573" s="3" t="s">
        <v>7275</v>
      </c>
      <c r="C7573" s="3" t="str">
        <f>IFERROR(__xludf.DUMMYFUNCTION("GOOGLETRANSLATE(B7573,""id"",""en"")"),"['application', 'useful', 'easy']")</f>
        <v>['application', 'useful', 'easy']</v>
      </c>
      <c r="D7573" s="3">
        <v>5.0</v>
      </c>
    </row>
    <row r="7574" ht="15.75" customHeight="1">
      <c r="A7574" s="1">
        <v>8084.0</v>
      </c>
      <c r="B7574" s="3" t="s">
        <v>7276</v>
      </c>
      <c r="C7574" s="3" t="str">
        <f>IFERROR(__xludf.DUMMYFUNCTION("GOOGLETRANSLATE(B7574,""id"",""en"")"),"['Telkomsel', 'Open', 'Uda', '']")</f>
        <v>['Telkomsel', 'Open', 'Uda', '']</v>
      </c>
      <c r="D7574" s="3">
        <v>1.0</v>
      </c>
    </row>
    <row r="7575" ht="15.75" customHeight="1">
      <c r="A7575" s="1">
        <v>8085.0</v>
      </c>
      <c r="B7575" s="3" t="s">
        <v>7277</v>
      </c>
      <c r="C7575" s="3" t="str">
        <f>IFERROR(__xludf.DUMMYFUNCTION("GOOGLETRANSLATE(B7575,""id"",""en"")"),"['signal', 'good', 'play', 'game', 'bad', '']")</f>
        <v>['signal', 'good', 'play', 'game', 'bad', '']</v>
      </c>
      <c r="D7575" s="3">
        <v>1.0</v>
      </c>
    </row>
    <row r="7576" ht="15.75" customHeight="1">
      <c r="A7576" s="1">
        <v>8086.0</v>
      </c>
      <c r="B7576" s="3" t="s">
        <v>7278</v>
      </c>
      <c r="C7576" s="3" t="str">
        <f>IFERROR(__xludf.DUMMYFUNCTION("GOOGLETRANSLATE(B7576,""id"",""en"")"),"['Benwal', 'star', 'or', 'UDH', 'WEEK', 'Application', 'opened']")</f>
        <v>['Benwal', 'star', 'or', 'UDH', 'WEEK', 'Application', 'opened']</v>
      </c>
      <c r="D7576" s="3">
        <v>1.0</v>
      </c>
    </row>
    <row r="7577" ht="15.75" customHeight="1">
      <c r="A7577" s="1">
        <v>8087.0</v>
      </c>
      <c r="B7577" s="3" t="s">
        <v>7279</v>
      </c>
      <c r="C7577" s="3" t="str">
        <f>IFERROR(__xludf.DUMMYFUNCTION("GOOGLETRANSLATE(B7577,""id"",""en"")"),"['screen', 'white', '']")</f>
        <v>['screen', 'white', '']</v>
      </c>
      <c r="D7577" s="3">
        <v>1.0</v>
      </c>
    </row>
    <row r="7578" ht="15.75" customHeight="1">
      <c r="A7578" s="1">
        <v>8088.0</v>
      </c>
      <c r="B7578" s="3" t="s">
        <v>7280</v>
      </c>
      <c r="C7578" s="3" t="str">
        <f>IFERROR(__xludf.DUMMYFUNCTION("GOOGLETRANSLATE(B7578,""id"",""en"")"),"['', 'anjg', 'please', 'yaaa', 'network', 'repaired', 'super', 'slow', 'expensive', 'network', 'slow', 'lose', 'provider ',' Tri ',' Indosat ',' Diplokok ',' Already ',' Affordable ',' Nares', 'Nyah', 'Really', 'Raying', 'Buy', 'Promo', 'Rb', 'GB', 'slow'"&amp;", 'Gini', 'Diplokok', 'usually', 'used', 'in the city', 'doang', 'unclean', 'gabakal', 'interested', 'lgi', 'dikasi ',' promo ',' high school ',' kelen ',' gaguna ',' network ',' kelen ',' emotion ', ""]")</f>
        <v>['', 'anjg', 'please', 'yaaa', 'network', 'repaired', 'super', 'slow', 'expensive', 'network', 'slow', 'lose', 'provider ',' Tri ',' Indosat ',' Diplokok ',' Already ',' Affordable ',' Nares', 'Nyah', 'Really', 'Raying', 'Buy', 'Promo', 'Rb', 'GB', 'slow', 'Gini', 'Diplokok', 'usually', 'used', 'in the city', 'doang', 'unclean', 'gabakal', 'interested', 'lgi', 'dikasi ',' promo ',' high school ',' kelen ',' gaguna ',' network ',' kelen ',' emotion ', "]</v>
      </c>
      <c r="D7578" s="3">
        <v>1.0</v>
      </c>
    </row>
    <row r="7579" ht="15.75" customHeight="1">
      <c r="A7579" s="1">
        <v>8089.0</v>
      </c>
      <c r="B7579" s="3" t="s">
        <v>7281</v>
      </c>
      <c r="C7579" s="3" t="str">
        <f>IFERROR(__xludf.DUMMYFUNCTION("GOOGLETRANSLATE(B7579,""id"",""en"")"),"['UDH', 'Install', 'The application', 'makes it easier', 'transaction', 'opened', 'effort', 'krm', 'email', 'replied', 'krm', 'twitter', ' reply ',' gmn ',' solution ']")</f>
        <v>['UDH', 'Install', 'The application', 'makes it easier', 'transaction', 'opened', 'effort', 'krm', 'email', 'replied', 'krm', 'twitter', ' reply ',' gmn ',' solution ']</v>
      </c>
      <c r="D7579" s="3">
        <v>2.0</v>
      </c>
    </row>
    <row r="7580" ht="15.75" customHeight="1">
      <c r="A7580" s="1">
        <v>8090.0</v>
      </c>
      <c r="B7580" s="3" t="s">
        <v>7282</v>
      </c>
      <c r="C7580" s="3" t="str">
        <f>IFERROR(__xludf.DUMMYFUNCTION("GOOGLETRANSLATE(B7580,""id"",""en"")"),"['package', 'expensive', 'network', 'kek', 'snail', 'hadeh', 'disappointed', 'really', 'telkomsel', 'the application', 'bug', 'sometimes' Package ',' bought ',' Hadehhhhhhhhhh ',' ']")</f>
        <v>['package', 'expensive', 'network', 'kek', 'snail', 'hadeh', 'disappointed', 'really', 'telkomsel', 'the application', 'bug', 'sometimes' Package ',' bought ',' Hadehhhhhhhhhh ',' ']</v>
      </c>
      <c r="D7580" s="3">
        <v>1.0</v>
      </c>
    </row>
    <row r="7581" ht="15.75" customHeight="1">
      <c r="A7581" s="1">
        <v>8091.0</v>
      </c>
      <c r="B7581" s="3" t="s">
        <v>7283</v>
      </c>
      <c r="C7581" s="3" t="str">
        <f>IFERROR(__xludf.DUMMYFUNCTION("GOOGLETRANSLATE(B7581,""id"",""en"")"),"['appears', 'APK', 'screen']")</f>
        <v>['appears', 'APK', 'screen']</v>
      </c>
      <c r="D7581" s="3">
        <v>5.0</v>
      </c>
    </row>
    <row r="7582" ht="15.75" customHeight="1">
      <c r="A7582" s="1">
        <v>8092.0</v>
      </c>
      <c r="B7582" s="3" t="s">
        <v>3894</v>
      </c>
      <c r="C7582" s="3" t="str">
        <f>IFERROR(__xludf.DUMMYFUNCTION("GOOGLETRANSLATE(B7582,""id"",""en"")"),"['The application']")</f>
        <v>['The application']</v>
      </c>
      <c r="D7582" s="3">
        <v>5.0</v>
      </c>
    </row>
    <row r="7583" ht="15.75" customHeight="1">
      <c r="A7583" s="1">
        <v>8093.0</v>
      </c>
      <c r="B7583" s="3" t="s">
        <v>7284</v>
      </c>
      <c r="C7583" s="3" t="str">
        <f>IFERROR(__xludf.DUMMYFUNCTION("GOOGLETRANSLATE(B7583,""id"",""en"")"),"['Come', 'expensive', 'quota', 'signal', 'already', 'ngak', 'good', 'package', 'content', 'paid', 'knowledge', 'user', ' service ',' bad ',' oath ',' use ',' number ',' disappointed ',' really ',' Telkomsel ',' lottery ',' ngak ',' choose ',' love ',' it'"&amp;"s better ' , 'replace', 'provider', 'ngak', 'quality', 'use', 'ttelkomsel', 'guys',' price ',' brick ',' signal ',' bad ',' service ',' Ngak ',' good ',' element ',' fraud ',' Telkomsel ',' ']")</f>
        <v>['Come', 'expensive', 'quota', 'signal', 'already', 'ngak', 'good', 'package', 'content', 'paid', 'knowledge', 'user', ' service ',' bad ',' oath ',' use ',' number ',' disappointed ',' really ',' Telkomsel ',' lottery ',' ngak ',' choose ',' love ',' it's better ' , 'replace', 'provider', 'ngak', 'quality', 'use', 'ttelkomsel', 'guys',' price ',' brick ',' signal ',' bad ',' service ',' Ngak ',' good ',' element ',' fraud ',' Telkomsel ',' ']</v>
      </c>
      <c r="D7583" s="3">
        <v>1.0</v>
      </c>
    </row>
    <row r="7584" ht="15.75" customHeight="1">
      <c r="A7584" s="1">
        <v>8094.0</v>
      </c>
      <c r="B7584" s="3" t="s">
        <v>7285</v>
      </c>
      <c r="C7584" s="3" t="str">
        <f>IFERROR(__xludf.DUMMYFUNCTION("GOOGLETRANSLATE(B7584,""id"",""en"")"),"['blenk', 'white', 'no', 'opened', '']")</f>
        <v>['blenk', 'white', 'no', 'opened', '']</v>
      </c>
      <c r="D7584" s="3">
        <v>1.0</v>
      </c>
    </row>
    <row r="7585" ht="15.75" customHeight="1">
      <c r="A7585" s="1">
        <v>8095.0</v>
      </c>
      <c r="B7585" s="3" t="s">
        <v>7286</v>
      </c>
      <c r="C7585" s="3" t="str">
        <f>IFERROR(__xludf.DUMMYFUNCTION("GOOGLETRANSLATE(B7585,""id"",""en"")"),"['Thanks', 'help']")</f>
        <v>['Thanks', 'help']</v>
      </c>
      <c r="D7585" s="3">
        <v>5.0</v>
      </c>
    </row>
    <row r="7586" ht="15.75" customHeight="1">
      <c r="A7586" s="1">
        <v>8096.0</v>
      </c>
      <c r="B7586" s="3" t="s">
        <v>7287</v>
      </c>
      <c r="C7586" s="3" t="str">
        <f>IFERROR(__xludf.DUMMYFUNCTION("GOOGLETRANSLATE(B7586,""id"",""en"")"),"['Help', 'Bagu']")</f>
        <v>['Help', 'Bagu']</v>
      </c>
      <c r="D7586" s="3">
        <v>5.0</v>
      </c>
    </row>
    <row r="7587" ht="15.75" customHeight="1">
      <c r="A7587" s="1">
        <v>8097.0</v>
      </c>
      <c r="B7587" s="3" t="s">
        <v>7288</v>
      </c>
      <c r="C7587" s="3" t="str">
        <f>IFERROR(__xludf.DUMMYFUNCTION("GOOGLETRANSLATE(B7587,""id"",""en"")"),"['Transaction', 'fast']")</f>
        <v>['Transaction', 'fast']</v>
      </c>
      <c r="D7587" s="3">
        <v>5.0</v>
      </c>
    </row>
    <row r="7588" ht="15.75" customHeight="1">
      <c r="A7588" s="1">
        <v>8098.0</v>
      </c>
      <c r="B7588" s="3" t="s">
        <v>7289</v>
      </c>
      <c r="C7588" s="3" t="str">
        <f>IFERROR(__xludf.DUMMYFUNCTION("GOOGLETRANSLATE(B7588,""id"",""en"")"),"['Steady', 'Telkomsel', 'Sometimes', 'Ngelag', 'Dida', 'Kaltara']")</f>
        <v>['Steady', 'Telkomsel', 'Sometimes', 'Ngelag', 'Dida', 'Kaltara']</v>
      </c>
      <c r="D7588" s="3">
        <v>5.0</v>
      </c>
    </row>
    <row r="7589" ht="15.75" customHeight="1">
      <c r="A7589" s="1">
        <v>8099.0</v>
      </c>
      <c r="B7589" s="3" t="s">
        <v>7290</v>
      </c>
      <c r="C7589" s="3" t="str">
        <f>IFERROR(__xludf.DUMMYFUNCTION("GOOGLETRANSLATE(B7589,""id"",""en"")"),"['Application', 'satisfying']")</f>
        <v>['Application', 'satisfying']</v>
      </c>
      <c r="D7589" s="3">
        <v>5.0</v>
      </c>
    </row>
    <row r="7590" ht="15.75" customHeight="1">
      <c r="A7590" s="1">
        <v>8100.0</v>
      </c>
      <c r="B7590" s="3" t="s">
        <v>7291</v>
      </c>
      <c r="C7590" s="3" t="str">
        <f>IFERROR(__xludf.DUMMYFUNCTION("GOOGLETRANSLATE(B7590,""id"",""en"")"),"['Hopefully', 'Jaya', 'then', 'Telkomsell', 'Network', 'Lemott', 'network', 'Super', 'speeding', 'Trying', 'Luck', 'Win', ' interesting prizes']")</f>
        <v>['Hopefully', 'Jaya', 'then', 'Telkomsell', 'Network', 'Lemott', 'network', 'Super', 'speeding', 'Trying', 'Luck', 'Win', ' interesting prizes']</v>
      </c>
      <c r="D7590" s="3">
        <v>5.0</v>
      </c>
    </row>
    <row r="7591" ht="15.75" customHeight="1">
      <c r="A7591" s="1">
        <v>8101.0</v>
      </c>
      <c r="B7591" s="3" t="s">
        <v>7292</v>
      </c>
      <c r="C7591" s="3" t="str">
        <f>IFERROR(__xludf.DUMMYFUNCTION("GOOGLETRANSLATE(B7591,""id"",""en"")"),"['Complaint', 'Network', 'Where', 'Ribet', 'Quality', 'BUMN', 'Kayak', 'Gini', ""]")</f>
        <v>['Complaint', 'Network', 'Where', 'Ribet', 'Quality', 'BUMN', 'Kayak', 'Gini', "]</v>
      </c>
      <c r="D7591" s="3">
        <v>1.0</v>
      </c>
    </row>
    <row r="7592" ht="15.75" customHeight="1">
      <c r="A7592" s="1">
        <v>8102.0</v>
      </c>
      <c r="B7592" s="3" t="s">
        <v>7293</v>
      </c>
      <c r="C7592" s="3" t="str">
        <f>IFERROR(__xludf.DUMMYFUNCTION("GOOGLETRANSLATE(B7592,""id"",""en"")"),"['love', 'promo', 'yng', 'dached', '']")</f>
        <v>['love', 'promo', 'yng', 'dached', '']</v>
      </c>
      <c r="D7592" s="3">
        <v>5.0</v>
      </c>
    </row>
    <row r="7593" ht="15.75" customHeight="1">
      <c r="A7593" s="1">
        <v>8103.0</v>
      </c>
      <c r="B7593" s="3" t="s">
        <v>7294</v>
      </c>
      <c r="C7593" s="3" t="str">
        <f>IFERROR(__xludf.DUMMYFUNCTION("GOOGLETRANSLATE(B7593,""id"",""en"")"),"['Good', 'save', 'use', 'Telkomsel', '']")</f>
        <v>['Good', 'save', 'use', 'Telkomsel', '']</v>
      </c>
      <c r="D7593" s="3">
        <v>4.0</v>
      </c>
    </row>
    <row r="7594" ht="15.75" customHeight="1">
      <c r="A7594" s="1">
        <v>8104.0</v>
      </c>
      <c r="B7594" s="3" t="s">
        <v>7295</v>
      </c>
      <c r="C7594" s="3" t="str">
        <f>IFERROR(__xludf.DUMMYFUNCTION("GOOGLETRANSLATE(B7594,""id"",""en"")"),"['Open', 'screen', 'BEWARNA', 'White', 'explained', '']")</f>
        <v>['Open', 'screen', 'BEWARNA', 'White', 'explained', '']</v>
      </c>
      <c r="D7594" s="3">
        <v>1.0</v>
      </c>
    </row>
    <row r="7595" ht="15.75" customHeight="1">
      <c r="A7595" s="1">
        <v>8105.0</v>
      </c>
      <c r="B7595" s="3" t="s">
        <v>7296</v>
      </c>
      <c r="C7595" s="3" t="str">
        <f>IFERROR(__xludf.DUMMYFUNCTION("GOOGLETRANSLATE(B7595,""id"",""en"")"),"['Please', 'Atmin', 'Application', 'Bukak', ""]")</f>
        <v>['Please', 'Atmin', 'Application', 'Bukak', "]</v>
      </c>
      <c r="D7595" s="3">
        <v>5.0</v>
      </c>
    </row>
    <row r="7596" ht="15.75" customHeight="1">
      <c r="A7596" s="1">
        <v>8106.0</v>
      </c>
      <c r="B7596" s="3" t="s">
        <v>7297</v>
      </c>
      <c r="C7596" s="3" t="str">
        <f>IFERROR(__xludf.DUMMYFUNCTION("GOOGLETRANSLATE(B7596,""id"",""en"")"),"['information', 'Helpful']")</f>
        <v>['information', 'Helpful']</v>
      </c>
      <c r="D7596" s="3">
        <v>5.0</v>
      </c>
    </row>
    <row r="7597" ht="15.75" customHeight="1">
      <c r="A7597" s="1">
        <v>8107.0</v>
      </c>
      <c r="B7597" s="3" t="s">
        <v>7298</v>
      </c>
      <c r="C7597" s="3" t="str">
        <f>IFERROR(__xludf.DUMMYFUNCTION("GOOGLETRANSLATE(B7597,""id"",""en"")"),"['buy', 'package', 'unlimited', 'max', 'GB', 'credit', 'reduced', 'writing', 'left', 'fup', 'buy', 'slow', ' connection']")</f>
        <v>['buy', 'package', 'unlimited', 'max', 'GB', 'credit', 'reduced', 'writing', 'left', 'fup', 'buy', 'slow', ' connection']</v>
      </c>
      <c r="D7597" s="3">
        <v>1.0</v>
      </c>
    </row>
    <row r="7598" ht="15.75" customHeight="1">
      <c r="A7598" s="1">
        <v>8108.0</v>
      </c>
      <c r="B7598" s="3" t="s">
        <v>7299</v>
      </c>
      <c r="C7598" s="3" t="str">
        <f>IFERROR(__xludf.DUMMYFUNCTION("GOOGLETRANSLATE(B7598,""id"",""en"")"),"['repeat', 'condition', 'koq', 'open', 'color', 'white', 'plain', 'pass',' you ',' please ',' contact ',' bla ',' blah ',' direct ',' served ',' responded ',' Yaqin ',' client ',' complain ',' contact ',' directly ',' completed ',' shape ',' service ' , '"&amp;"Best', 'awaited', 'solution', '']")</f>
        <v>['repeat', 'condition', 'koq', 'open', 'color', 'white', 'plain', 'pass',' you ',' please ',' contact ',' bla ',' blah ',' direct ',' served ',' responded ',' Yaqin ',' client ',' complain ',' contact ',' directly ',' completed ',' shape ',' service ' , 'Best', 'awaited', 'solution', '']</v>
      </c>
      <c r="D7598" s="3">
        <v>1.0</v>
      </c>
    </row>
    <row r="7599" ht="15.75" customHeight="1">
      <c r="A7599" s="1">
        <v>8109.0</v>
      </c>
      <c r="B7599" s="3" t="s">
        <v>7300</v>
      </c>
      <c r="C7599" s="3" t="str">
        <f>IFERROR(__xludf.DUMMYFUNCTION("GOOGLETRANSLATE(B7599,""id"",""en"")"),"['love', 'star', 'application', 'Telkomsel', 'error', 'blank', 'white', 'already', 'week']")</f>
        <v>['love', 'star', 'application', 'Telkomsel', 'error', 'blank', 'white', 'already', 'week']</v>
      </c>
      <c r="D7599" s="3">
        <v>3.0</v>
      </c>
    </row>
    <row r="7600" ht="15.75" customHeight="1">
      <c r="A7600" s="1">
        <v>8110.0</v>
      </c>
      <c r="B7600" s="3" t="s">
        <v>7301</v>
      </c>
      <c r="C7600" s="3" t="str">
        <f>IFERROR(__xludf.DUMMYFUNCTION("GOOGLETRANSLATE(B7600,""id"",""en"")"),"['gabisa', 'login', 'already', 'enter', 'nomet', 'button', 'enter', 'click', 'poor']")</f>
        <v>['gabisa', 'login', 'already', 'enter', 'nomet', 'button', 'enter', 'click', 'poor']</v>
      </c>
      <c r="D7600" s="3">
        <v>1.0</v>
      </c>
    </row>
    <row r="7601" ht="15.75" customHeight="1">
      <c r="A7601" s="1">
        <v>8111.0</v>
      </c>
      <c r="B7601" s="3" t="s">
        <v>7302</v>
      </c>
      <c r="C7601" s="3" t="str">
        <f>IFERROR(__xludf.DUMMYFUNCTION("GOOGLETRANSLATE(B7601,""id"",""en"")"),"['Ngak', 'appears', '']")</f>
        <v>['Ngak', 'appears', '']</v>
      </c>
      <c r="D7601" s="3">
        <v>5.0</v>
      </c>
    </row>
    <row r="7602" ht="15.75" customHeight="1">
      <c r="A7602" s="1">
        <v>8112.0</v>
      </c>
      <c r="B7602" s="3" t="s">
        <v>312</v>
      </c>
      <c r="C7602" s="3" t="str">
        <f>IFERROR(__xludf.DUMMYFUNCTION("GOOGLETRANSLATE(B7602,""id"",""en"")"),"['best']")</f>
        <v>['best']</v>
      </c>
      <c r="D7602" s="3">
        <v>5.0</v>
      </c>
    </row>
    <row r="7603" ht="15.75" customHeight="1">
      <c r="A7603" s="1">
        <v>8113.0</v>
      </c>
      <c r="B7603" s="3" t="s">
        <v>7303</v>
      </c>
      <c r="C7603" s="3" t="str">
        <f>IFERROR(__xludf.DUMMYFUNCTION("GOOGLETRANSLATE(B7603,""id"",""en"")"),"['Yehh', 'easy', 'dehh', 'buy', 'pulse', 'direct', 'package', 'telkomsel', 'thank you', 'application', 'nya', 'hope', ' Telkomsel ',' advanced ',' then ']")</f>
        <v>['Yehh', 'easy', 'dehh', 'buy', 'pulse', 'direct', 'package', 'telkomsel', 'thank you', 'application', 'nya', 'hope', ' Telkomsel ',' advanced ',' then ']</v>
      </c>
      <c r="D7603" s="3">
        <v>5.0</v>
      </c>
    </row>
    <row r="7604" ht="15.75" customHeight="1">
      <c r="A7604" s="1">
        <v>8114.0</v>
      </c>
      <c r="B7604" s="3" t="s">
        <v>7304</v>
      </c>
      <c r="C7604" s="3" t="str">
        <f>IFERROR(__xludf.DUMMYFUNCTION("GOOGLETRANSLATE(B7604,""id"",""en"")"),"['signalny', 'like', 'ngilance', 'mbuh']")</f>
        <v>['signalny', 'like', 'ngilance', 'mbuh']</v>
      </c>
      <c r="D7604" s="3">
        <v>1.0</v>
      </c>
    </row>
    <row r="7605" ht="15.75" customHeight="1">
      <c r="A7605" s="1">
        <v>8115.0</v>
      </c>
      <c r="B7605" s="3" t="s">
        <v>7305</v>
      </c>
      <c r="C7605" s="3" t="str">
        <f>IFERROR(__xludf.DUMMYFUNCTION("GOOGLETRANSLATE(B7605,""id"",""en"")"),"['How', 'Pay', 'Bill', 'Card', 'Hello', 'Gabisa', 'Open', 'APK', 'All', 'Click', 'Stuck', 'Screen', ' White ',' beg ',' work ',' weapon ',' Telkomsel ']")</f>
        <v>['How', 'Pay', 'Bill', 'Card', 'Hello', 'Gabisa', 'Open', 'APK', 'All', 'Click', 'Stuck', 'Screen', ' White ',' beg ',' work ',' weapon ',' Telkomsel ']</v>
      </c>
      <c r="D7605" s="3">
        <v>1.0</v>
      </c>
    </row>
    <row r="7606" ht="15.75" customHeight="1">
      <c r="A7606" s="1">
        <v>8116.0</v>
      </c>
      <c r="B7606" s="3" t="s">
        <v>7306</v>
      </c>
      <c r="C7606" s="3" t="str">
        <f>IFERROR(__xludf.DUMMYFUNCTION("GOOGLETRANSLATE(B7606,""id"",""en"")"),"['Telkomsel', 'OK', 'Many', 'Install', 'Package', 'Nelp', 'Night', 'Enter', 'Balance', 'Cut', 'Time', 'Damn', ' ']")</f>
        <v>['Telkomsel', 'OK', 'Many', 'Install', 'Package', 'Nelp', 'Night', 'Enter', 'Balance', 'Cut', 'Time', 'Damn', ' ']</v>
      </c>
      <c r="D7606" s="3">
        <v>1.0</v>
      </c>
    </row>
    <row r="7607" ht="15.75" customHeight="1">
      <c r="A7607" s="1">
        <v>8117.0</v>
      </c>
      <c r="B7607" s="3" t="s">
        <v>7307</v>
      </c>
      <c r="C7607" s="3" t="str">
        <f>IFERROR(__xludf.DUMMYFUNCTION("GOOGLETRANSLATE(B7607,""id"",""en"")"),"['Parahh', 'nihh', 'open', 'part', 'contact', 'WhatsApp', 'Telkomsel', 'response', 'Dimnta', 'waiting', 'chat', ' Fill ',' Thank "", 'Love', 'Waiting', 'Veronika', 'Looking', 'Friend', 'Customer', 'Service', 'Help', 'Wait',""]")</f>
        <v>['Parahh', 'nihh', 'open', 'part', 'contact', 'WhatsApp', 'Telkomsel', 'response', 'Dimnta', 'waiting', 'chat', ' Fill ',' Thank ", 'Love', 'Waiting', 'Veronika', 'Looking', 'Friend', 'Customer', 'Service', 'Help', 'Wait',"]</v>
      </c>
      <c r="D7607" s="3">
        <v>1.0</v>
      </c>
    </row>
    <row r="7608" ht="15.75" customHeight="1">
      <c r="A7608" s="1">
        <v>8119.0</v>
      </c>
      <c r="B7608" s="3" t="s">
        <v>7308</v>
      </c>
      <c r="C7608" s="3" t="str">
        <f>IFERROR(__xludf.DUMMYFUNCTION("GOOGLETRANSLATE(B7608,""id"",""en"")"),"['SNNG', 'Telkomsel', 'help', 'convenience', 'access',' internet ',' hope ',' Truzzz ',' Jaya ',' Telkomsel ',' Anyway ',' Muuuuaaaaaantep ',' Puoooool ',' Deachhhh ',' ']")</f>
        <v>['SNNG', 'Telkomsel', 'help', 'convenience', 'access',' internet ',' hope ',' Truzzz ',' Jaya ',' Telkomsel ',' Anyway ',' Muuuuaaaaaantep ',' Puoooool ',' Deachhhh ',' ']</v>
      </c>
      <c r="D7608" s="3">
        <v>5.0</v>
      </c>
    </row>
    <row r="7609" ht="15.75" customHeight="1">
      <c r="A7609" s="1">
        <v>8120.0</v>
      </c>
      <c r="B7609" s="3" t="s">
        <v>7309</v>
      </c>
      <c r="C7609" s="3" t="str">
        <f>IFERROR(__xludf.DUMMYFUNCTION("GOOGLETRANSLATE(B7609,""id"",""en"")"),"['The network', 'ugly', 'really', 'lifting', 'mode', 'plane', 'smooth', 'drag', '']")</f>
        <v>['The network', 'ugly', 'really', 'lifting', 'mode', 'plane', 'smooth', 'drag', '']</v>
      </c>
      <c r="D7609" s="3">
        <v>1.0</v>
      </c>
    </row>
    <row r="7610" ht="15.75" customHeight="1">
      <c r="A7610" s="1">
        <v>8122.0</v>
      </c>
      <c r="B7610" s="3" t="s">
        <v>7310</v>
      </c>
      <c r="C7610" s="3" t="str">
        <f>IFERROR(__xludf.DUMMYFUNCTION("GOOGLETRANSLATE(B7610,""id"",""en"")"),"['expanded', 'NOT', 'good', 'ugly', 'opened', 'screen', 'white', 'run out']")</f>
        <v>['expanded', 'NOT', 'good', 'ugly', 'opened', 'screen', 'white', 'run out']</v>
      </c>
      <c r="D7610" s="3">
        <v>1.0</v>
      </c>
    </row>
    <row r="7611" ht="15.75" customHeight="1">
      <c r="A7611" s="1">
        <v>8123.0</v>
      </c>
      <c r="B7611" s="3" t="s">
        <v>7311</v>
      </c>
      <c r="C7611" s="3" t="str">
        <f>IFERROR(__xludf.DUMMYFUNCTION("GOOGLETRANSLATE(B7611,""id"",""en"")"),"['', 'enter', 'screen', 'appears', 'white', 'plain']")</f>
        <v>['', 'enter', 'screen', 'appears', 'white', 'plain']</v>
      </c>
      <c r="D7611" s="3">
        <v>1.0</v>
      </c>
    </row>
    <row r="7612" ht="15.75" customHeight="1">
      <c r="A7612" s="1">
        <v>8124.0</v>
      </c>
      <c r="B7612" s="3" t="s">
        <v>7312</v>
      </c>
      <c r="C7612" s="3" t="str">
        <f>IFERROR(__xludf.DUMMYFUNCTION("GOOGLETRANSLATE(B7612,""id"",""en"")"),"['Telkomsel', 'good', 'help', 'user', 'Telkomsel', 'location', 'LEG']")</f>
        <v>['Telkomsel', 'good', 'help', 'user', 'Telkomsel', 'location', 'LEG']</v>
      </c>
      <c r="D7612" s="3">
        <v>5.0</v>
      </c>
    </row>
    <row r="7613" ht="15.75" customHeight="1">
      <c r="A7613" s="1">
        <v>8125.0</v>
      </c>
      <c r="B7613" s="3" t="s">
        <v>7313</v>
      </c>
      <c r="C7613" s="3" t="str">
        <f>IFERROR(__xludf.DUMMYFUNCTION("GOOGLETRANSLATE(B7613,""id"",""en"")"),"['Jga', 'dowload', 'open']")</f>
        <v>['Jga', 'dowload', 'open']</v>
      </c>
      <c r="D7613" s="3">
        <v>1.0</v>
      </c>
    </row>
    <row r="7614" ht="15.75" customHeight="1">
      <c r="A7614" s="1">
        <v>8126.0</v>
      </c>
      <c r="B7614" s="3" t="s">
        <v>7314</v>
      </c>
      <c r="C7614" s="3" t="str">
        <f>IFERROR(__xludf.DUMMYFUNCTION("GOOGLETRANSLATE(B7614,""id"",""en"")"),"['expensive', 'sajah', 'package', 'quota', 'please', 'sultan', 'package', 'quota', 'expensive', 'gini', 'moved', 'subscription', ' Network ',' stable ', ""]")</f>
        <v>['expensive', 'sajah', 'package', 'quota', 'please', 'sultan', 'package', 'quota', 'expensive', 'gini', 'moved', 'subscription', ' Network ',' stable ', "]</v>
      </c>
      <c r="D7614" s="3">
        <v>1.0</v>
      </c>
    </row>
    <row r="7615" ht="15.75" customHeight="1">
      <c r="A7615" s="1">
        <v>8127.0</v>
      </c>
      <c r="B7615" s="3" t="s">
        <v>7315</v>
      </c>
      <c r="C7615" s="3" t="str">
        <f>IFERROR(__xludf.DUMMYFUNCTION("GOOGLETRANSLATE(B7615,""id"",""en"")"),"['Telkomsel', 'quality', 'ugly', 'price', 'package', 'expensive', 'quality', 'network', 'ugly', 'package', 'free', 'youtube', ' unlimited ',' network ',' ugly ',' please ',' price ',' doang ',' expensive ',' quality ',' ugly ',' ']")</f>
        <v>['Telkomsel', 'quality', 'ugly', 'price', 'package', 'expensive', 'quality', 'network', 'ugly', 'package', 'free', 'youtube', ' unlimited ',' network ',' ugly ',' please ',' price ',' doang ',' expensive ',' quality ',' ugly ',' ']</v>
      </c>
      <c r="D7615" s="3">
        <v>1.0</v>
      </c>
    </row>
    <row r="7616" ht="15.75" customHeight="1">
      <c r="A7616" s="1">
        <v>8129.0</v>
      </c>
      <c r="B7616" s="3" t="s">
        <v>7316</v>
      </c>
      <c r="C7616" s="3" t="str">
        <f>IFERROR(__xludf.DUMMYFUNCTION("GOOGLETRANSLATE(B7616,""id"",""en"")"),"['APS', 'opened', 'Errr']")</f>
        <v>['APS', 'opened', 'Errr']</v>
      </c>
      <c r="D7616" s="3">
        <v>1.0</v>
      </c>
    </row>
    <row r="7617" ht="15.75" customHeight="1">
      <c r="A7617" s="1">
        <v>8130.0</v>
      </c>
      <c r="B7617" s="3" t="s">
        <v>7317</v>
      </c>
      <c r="C7617" s="3" t="str">
        <f>IFERROR(__xludf.DUMMYFUNCTION("GOOGLETRANSLATE(B7617,""id"",""en"")"),"['Error', 'My APK', 'cell phone', '']")</f>
        <v>['Error', 'My APK', 'cell phone', '']</v>
      </c>
      <c r="D7617" s="3">
        <v>2.0</v>
      </c>
    </row>
    <row r="7618" ht="15.75" customHeight="1">
      <c r="A7618" s="1">
        <v>8131.0</v>
      </c>
      <c r="B7618" s="3" t="s">
        <v>7318</v>
      </c>
      <c r="C7618" s="3" t="str">
        <f>IFERROR(__xludf.DUMMYFUNCTION("GOOGLETRANSLATE(B7618,""id"",""en"")"),"['Sya', 'Yesterday', 'Pay', 'Card', 'Hallo', 'Shopeepay', 'Shopee', 'Payment', 'Success',' Application ',' Telkomsel ',' Msh ',' TTP ',' billed ',' smpe ',' Sya ',' complain ',' funds', 'Sya', 'finished', 'high school', 'shopee', 'whole', 'okay', 'smpe' ,"&amp;" 'Sya', 'billed', 'Sya', 'automatically', 'Wait', 'billed', 'gabisa', 'pay', 'bill', 'bill', 'blm', 'sya', ' Bru ',' billed ',' tight ',' right ',' date ',' falls', 'tempos',' night ',' clock ',' wr. ',' sya ',' see ',' sms' , 'automatic', 'card', 'Sya', "&amp;"'Akn', 'trbobly', 'tomorrow', 'day', 'disappointed', 'as', 'customer']")</f>
        <v>['Sya', 'Yesterday', 'Pay', 'Card', 'Hallo', 'Shopeepay', 'Shopee', 'Payment', 'Success',' Application ',' Telkomsel ',' Msh ',' TTP ',' billed ',' smpe ',' Sya ',' complain ',' funds', 'Sya', 'finished', 'high school', 'shopee', 'whole', 'okay', 'smpe' , 'Sya', 'billed', 'Sya', 'automatically', 'Wait', 'billed', 'gabisa', 'pay', 'bill', 'bill', 'blm', 'sya', ' Bru ',' billed ',' tight ',' right ',' date ',' falls', 'tempos',' night ',' clock ',' wr. ',' sya ',' see ',' sms' , 'automatic', 'card', 'Sya', 'Akn', 'trbobly', 'tomorrow', 'day', 'disappointed', 'as', 'customer']</v>
      </c>
      <c r="D7618" s="3">
        <v>1.0</v>
      </c>
    </row>
    <row r="7619" ht="15.75" customHeight="1">
      <c r="A7619" s="1">
        <v>8133.0</v>
      </c>
      <c r="B7619" s="3" t="s">
        <v>7319</v>
      </c>
      <c r="C7619" s="3" t="str">
        <f>IFERROR(__xludf.DUMMYFUNCTION("GOOGLETRANSLATE(B7619,""id"",""en"")"),"['Help', 'TPI', 'Please', 'Telkosel', 'Purchase', 'Package', 'Cheap', '']")</f>
        <v>['Help', 'TPI', 'Please', 'Telkosel', 'Purchase', 'Package', 'Cheap', '']</v>
      </c>
      <c r="D7619" s="3">
        <v>5.0</v>
      </c>
    </row>
    <row r="7620" ht="15.75" customHeight="1">
      <c r="A7620" s="1">
        <v>8134.0</v>
      </c>
      <c r="B7620" s="3" t="s">
        <v>7320</v>
      </c>
      <c r="C7620" s="3" t="str">
        <f>IFERROR(__xludf.DUMMYFUNCTION("GOOGLETRANSLATE(B7620,""id"",""en"")"),"['Maen', 'Game', 'Emel', 'Telkomsel', 'Current', 'Entering', 'October', 'December', 'Signal', 'Stable', 'Maen', 'Sight', ' Buy ',' Internet ',' Telkomsel ',' Maen ',' Game ',' Signal ',' Disappointed ',' ']")</f>
        <v>['Maen', 'Game', 'Emel', 'Telkomsel', 'Current', 'Entering', 'October', 'December', 'Signal', 'Stable', 'Maen', 'Sight', ' Buy ',' Internet ',' Telkomsel ',' Maen ',' Game ',' Signal ',' Disappointed ',' ']</v>
      </c>
      <c r="D7620" s="3">
        <v>1.0</v>
      </c>
    </row>
    <row r="7621" ht="15.75" customHeight="1">
      <c r="A7621" s="1">
        <v>8135.0</v>
      </c>
      <c r="B7621" s="3" t="s">
        <v>7321</v>
      </c>
      <c r="C7621" s="3" t="str">
        <f>IFERROR(__xludf.DUMMYFUNCTION("GOOGLETRANSLATE(B7621,""id"",""en"")"),"['Signal', 'ugly']")</f>
        <v>['Signal', 'ugly']</v>
      </c>
      <c r="D7621" s="3">
        <v>2.0</v>
      </c>
    </row>
    <row r="7622" ht="15.75" customHeight="1">
      <c r="A7622" s="1">
        <v>8136.0</v>
      </c>
      <c r="B7622" s="3" t="s">
        <v>7322</v>
      </c>
      <c r="C7622" s="3" t="str">
        <f>IFERROR(__xludf.DUMMYFUNCTION("GOOGLETRANSLATE(B7622,""id"",""en"")"),"['Telkomsel', 'Best']")</f>
        <v>['Telkomsel', 'Best']</v>
      </c>
      <c r="D7622" s="3">
        <v>5.0</v>
      </c>
    </row>
    <row r="7623" ht="15.75" customHeight="1">
      <c r="A7623" s="1">
        <v>8137.0</v>
      </c>
      <c r="B7623" s="3" t="s">
        <v>7323</v>
      </c>
      <c r="C7623" s="3" t="str">
        <f>IFERROR(__xludf.DUMMYFUNCTION("GOOGLETRANSLATE(B7623,""id"",""en"")"),"['min', 'application', 'open', 'Android', 'the latest', 'right', 'open', 'blank', 'white', 'doang', 'Uninstall', ' Download ',' Please ',' explanation ',' solution ',' ']")</f>
        <v>['min', 'application', 'open', 'Android', 'the latest', 'right', 'open', 'blank', 'white', 'doang', 'Uninstall', ' Download ',' Please ',' explanation ',' solution ',' ']</v>
      </c>
      <c r="D7623" s="3">
        <v>2.0</v>
      </c>
    </row>
    <row r="7624" ht="15.75" customHeight="1">
      <c r="A7624" s="1">
        <v>8139.0</v>
      </c>
      <c r="B7624" s="3" t="s">
        <v>7324</v>
      </c>
      <c r="C7624" s="3" t="str">
        <f>IFERROR(__xludf.DUMMYFUNCTION("GOOGLETRANSLATE(B7624,""id"",""en"")"),"['', 'bintamg', 'bru', 'tried']")</f>
        <v>['', 'bintamg', 'bru', 'tried']</v>
      </c>
      <c r="D7624" s="3">
        <v>2.0</v>
      </c>
    </row>
    <row r="7625" ht="15.75" customHeight="1">
      <c r="A7625" s="1">
        <v>8140.0</v>
      </c>
      <c r="B7625" s="3" t="s">
        <v>7325</v>
      </c>
      <c r="C7625" s="3" t="str">
        <f>IFERROR(__xludf.DUMMYFUNCTION("GOOGLETRANSLATE(B7625,""id"",""en"")"),"['Update', 'Open', 'My HP', 'Screen', 'White', 'Hadeh', 'Download', 'Auto', 'Unistal', 'reset']")</f>
        <v>['Update', 'Open', 'My HP', 'Screen', 'White', 'Hadeh', 'Download', 'Auto', 'Unistal', 'reset']</v>
      </c>
      <c r="D7625" s="3">
        <v>1.0</v>
      </c>
    </row>
    <row r="7626" ht="15.75" customHeight="1">
      <c r="A7626" s="1">
        <v>8141.0</v>
      </c>
      <c r="B7626" s="3" t="s">
        <v>7326</v>
      </c>
      <c r="C7626" s="3" t="str">
        <f>IFERROR(__xludf.DUMMYFUNCTION("GOOGLETRANSLATE(B7626,""id"",""en"")"),"['Telkomsel', 'pay', 'card', 'Hello', '']")</f>
        <v>['Telkomsel', 'pay', 'card', 'Hello', '']</v>
      </c>
      <c r="D7626" s="3">
        <v>5.0</v>
      </c>
    </row>
    <row r="7627" ht="15.75" customHeight="1">
      <c r="A7627" s="1">
        <v>8142.0</v>
      </c>
      <c r="B7627" s="3" t="s">
        <v>7327</v>
      </c>
      <c r="C7627" s="3" t="str">
        <f>IFERROR(__xludf.DUMMYFUNCTION("GOOGLETRANSLATE(B7627,""id"",""en"")"),"['strange', 'yes', 'open', 'screen', 'blank', 'white', 'internet', 'okay']")</f>
        <v>['strange', 'yes', 'open', 'screen', 'blank', 'white', 'internet', 'okay']</v>
      </c>
      <c r="D7627" s="3">
        <v>1.0</v>
      </c>
    </row>
    <row r="7628" ht="15.75" customHeight="1">
      <c r="A7628" s="1">
        <v>8143.0</v>
      </c>
      <c r="B7628" s="3" t="s">
        <v>7328</v>
      </c>
      <c r="C7628" s="3" t="str">
        <f>IFERROR(__xludf.DUMMYFUNCTION("GOOGLETRANSLATE(B7628,""id"",""en"")"),"['buy', 'package', 'anything', 'pulse', 'missing']")</f>
        <v>['buy', 'package', 'anything', 'pulse', 'missing']</v>
      </c>
      <c r="D7628" s="3">
        <v>1.0</v>
      </c>
    </row>
    <row r="7629" ht="15.75" customHeight="1">
      <c r="A7629" s="1">
        <v>8144.0</v>
      </c>
      <c r="B7629" s="3" t="s">
        <v>7329</v>
      </c>
      <c r="C7629" s="3" t="str">
        <f>IFERROR(__xludf.DUMMYFUNCTION("GOOGLETRANSLATE(B7629,""id"",""en"")"),"['Cheap', 'promo']")</f>
        <v>['Cheap', 'promo']</v>
      </c>
      <c r="D7629" s="3">
        <v>5.0</v>
      </c>
    </row>
    <row r="7630" ht="15.75" customHeight="1">
      <c r="A7630" s="1">
        <v>8145.0</v>
      </c>
      <c r="B7630" s="3" t="s">
        <v>7330</v>
      </c>
      <c r="C7630" s="3" t="str">
        <f>IFERROR(__xludf.DUMMYFUNCTION("GOOGLETRANSLATE(B7630,""id"",""en"")"),"['hope', 'my computer', 'cheap', '']")</f>
        <v>['hope', 'my computer', 'cheap', '']</v>
      </c>
      <c r="D7630" s="3">
        <v>5.0</v>
      </c>
    </row>
    <row r="7631" ht="15.75" customHeight="1">
      <c r="A7631" s="1">
        <v>8146.0</v>
      </c>
      <c r="B7631" s="3" t="s">
        <v>7331</v>
      </c>
      <c r="C7631" s="3" t="str">
        <f>IFERROR(__xludf.DUMMYFUNCTION("GOOGLETRANSLATE(B7631,""id"",""en"")"),"['Kalu', 'Bener', 'Bener', 'gift', 'Telkomsel', 'darling', 'input', 'code', 'OTP', 'FAIL', '']")</f>
        <v>['Kalu', 'Bener', 'Bener', 'gift', 'Telkomsel', 'darling', 'input', 'code', 'OTP', 'FAIL', '']</v>
      </c>
      <c r="D7631" s="3">
        <v>4.0</v>
      </c>
    </row>
    <row r="7632" ht="15.75" customHeight="1">
      <c r="A7632" s="1">
        <v>8147.0</v>
      </c>
      <c r="B7632" s="3" t="s">
        <v>7332</v>
      </c>
      <c r="C7632" s="3" t="str">
        <f>IFERROR(__xludf.DUMMYFUNCTION("GOOGLETRANSLATE(B7632,""id"",""en"")"),"['Network', 'experience', 'disruption', 'repairs',' Telkomsel ',' location ',' village ',' mountain ',' king ',' sub-district ',' Lubai ',' district ',' Muara ',' Enim ', ""]")</f>
        <v>['Network', 'experience', 'disruption', 'repairs',' Telkomsel ',' location ',' village ',' mountain ',' king ',' sub-district ',' Lubai ',' district ',' Muara ',' Enim ', "]</v>
      </c>
      <c r="D7632" s="3">
        <v>1.0</v>
      </c>
    </row>
    <row r="7633" ht="15.75" customHeight="1">
      <c r="A7633" s="1">
        <v>8148.0</v>
      </c>
      <c r="B7633" s="3" t="s">
        <v>7333</v>
      </c>
      <c r="C7633" s="3" t="str">
        <f>IFERROR(__xludf.DUMMYFUNCTION("GOOGLETRANSLATE(B7633,""id"",""en"")"),"['Error', 'GMN', 'Week', 'Open', 'The Application']")</f>
        <v>['Error', 'GMN', 'Week', 'Open', 'The Application']</v>
      </c>
      <c r="D7633" s="3">
        <v>3.0</v>
      </c>
    </row>
    <row r="7634" ht="15.75" customHeight="1">
      <c r="A7634" s="1">
        <v>8149.0</v>
      </c>
      <c r="B7634" s="3" t="s">
        <v>7334</v>
      </c>
      <c r="C7634" s="3" t="str">
        <f>IFERROR(__xludf.DUMMYFUNCTION("GOOGLETRANSLATE(B7634,""id"",""en"")"),"['Update', 'Mulu', 'Network', 'Kek', 'BANGJE']")</f>
        <v>['Update', 'Mulu', 'Network', 'Kek', 'BANGJE']</v>
      </c>
      <c r="D7634" s="3">
        <v>1.0</v>
      </c>
    </row>
    <row r="7635" ht="15.75" customHeight="1">
      <c r="A7635" s="1">
        <v>8151.0</v>
      </c>
      <c r="B7635" s="3" t="s">
        <v>7335</v>
      </c>
      <c r="C7635" s="3" t="str">
        <f>IFERROR(__xludf.DUMMYFUNCTION("GOOGLETRANSLATE(B7635,""id"",""en"")"),"['Nge', 'Blank', 'White', 'Telkomsel', 'Severe']")</f>
        <v>['Nge', 'Blank', 'White', 'Telkomsel', 'Severe']</v>
      </c>
      <c r="D7635" s="3">
        <v>1.0</v>
      </c>
    </row>
    <row r="7636" ht="15.75" customHeight="1">
      <c r="A7636" s="1">
        <v>8152.0</v>
      </c>
      <c r="B7636" s="3" t="s">
        <v>7336</v>
      </c>
      <c r="C7636" s="3" t="str">
        <f>IFERROR(__xludf.DUMMYFUNCTION("GOOGLETRANSLATE(B7636,""id"",""en"")"),"['Update', 'opened', 'pressing', 'Application', 'Color', 'White', 'Bngt', ""]")</f>
        <v>['Update', 'opened', 'pressing', 'Application', 'Color', 'White', 'Bngt', "]</v>
      </c>
      <c r="D7636" s="3">
        <v>1.0</v>
      </c>
    </row>
    <row r="7637" ht="15.75" customHeight="1">
      <c r="A7637" s="1">
        <v>8153.0</v>
      </c>
      <c r="B7637" s="3" t="s">
        <v>7337</v>
      </c>
      <c r="C7637" s="3" t="str">
        <f>IFERROR(__xludf.DUMMYFUNCTION("GOOGLETRANSLATE(B7637,""id"",""en"")"),"['The network', 'slow', 'already', 'uda', 'lose', 'ama', 'provider', 'next door', 'dkit', 'obstacle', 'weather', 'uda', ' slow ',' already ',' replace ',' provider ']")</f>
        <v>['The network', 'slow', 'already', 'uda', 'lose', 'ama', 'provider', 'next door', 'dkit', 'obstacle', 'weather', 'uda', ' slow ',' already ',' replace ',' provider ']</v>
      </c>
      <c r="D7637" s="3">
        <v>1.0</v>
      </c>
    </row>
    <row r="7638" ht="15.75" customHeight="1">
      <c r="A7638" s="1">
        <v>8154.0</v>
      </c>
      <c r="B7638" s="3" t="s">
        <v>7338</v>
      </c>
      <c r="C7638" s="3" t="str">
        <f>IFERROR(__xludf.DUMMYFUNCTION("GOOGLETRANSLATE(B7638,""id"",""en"")"),"['Telkomsel', 'price', 'pulses',' love ',' Turung ',' lgi ',' little ',' dlu ',' cma ',' skrn ',' cma ',' buy ',' pulses', 'doang', 'unlimited', 'NGK', 'as soon as',' dlu ',' unlimited ',' ngk ',' limited ',' skrn ',' use ',' dta ',' salting ' , 'Times', "&amp;"'Bagusan', 'Dlu', 'PDA', 'skrn', 'hopefully', 'read', 'komen', ""]")</f>
        <v>['Telkomsel', 'price', 'pulses',' love ',' Turung ',' lgi ',' little ',' dlu ',' cma ',' skrn ',' cma ',' buy ',' pulses', 'doang', 'unlimited', 'NGK', 'as soon as',' dlu ',' unlimited ',' ngk ',' limited ',' skrn ',' use ',' dta ',' salting ' , 'Times', 'Bagusan', 'Dlu', 'PDA', 'skrn', 'hopefully', 'read', 'komen', "]</v>
      </c>
      <c r="D7638" s="3">
        <v>5.0</v>
      </c>
    </row>
    <row r="7639" ht="15.75" customHeight="1">
      <c r="A7639" s="1">
        <v>8156.0</v>
      </c>
      <c r="B7639" s="3" t="s">
        <v>7339</v>
      </c>
      <c r="C7639" s="3" t="str">
        <f>IFERROR(__xludf.DUMMYFUNCTION("GOOGLETRANSLATE(B7639,""id"",""en"")"),"['Operator', 'Goblokk', 'Data', 'Turn Off', 'Content', 'Credit', 'Rb', 'Rb', 'right', 'enter', 'check', 'buy', ' Quota ',' Price ',' Rb ',' Goblokkk ',' ']")</f>
        <v>['Operator', 'Goblokk', 'Data', 'Turn Off', 'Content', 'Credit', 'Rb', 'Rb', 'right', 'enter', 'check', 'buy', ' Quota ',' Price ',' Rb ',' Goblokkk ',' ']</v>
      </c>
      <c r="D7639" s="3">
        <v>1.0</v>
      </c>
    </row>
    <row r="7640" ht="15.75" customHeight="1">
      <c r="A7640" s="1">
        <v>8157.0</v>
      </c>
      <c r="B7640" s="3" t="s">
        <v>7340</v>
      </c>
      <c r="C7640" s="3" t="str">
        <f>IFERROR(__xludf.DUMMYFUNCTION("GOOGLETRANSLATE(B7640,""id"",""en"")"),"['UDH', 'subscribe', 'Telkomsel', 'many years',' SGT ',' Disappointed ',' Signal ',' Telkomsel ',' Stable ',' The Network ',' Like ',' Lemot ',' Oath ',' slow ', ""]")</f>
        <v>['UDH', 'subscribe', 'Telkomsel', 'many years',' SGT ',' Disappointed ',' Signal ',' Telkomsel ',' Stable ',' The Network ',' Like ',' Lemot ',' Oath ',' slow ', "]</v>
      </c>
      <c r="D7640" s="3">
        <v>1.0</v>
      </c>
    </row>
    <row r="7641" ht="15.75" customHeight="1">
      <c r="A7641" s="1">
        <v>8158.0</v>
      </c>
      <c r="B7641" s="3" t="s">
        <v>7341</v>
      </c>
      <c r="C7641" s="3" t="str">
        <f>IFERROR(__xludf.DUMMYFUNCTION("GOOGLETRANSLATE(B7641,""id"",""en"")"),"['blank', 'ngak', 'open']")</f>
        <v>['blank', 'ngak', 'open']</v>
      </c>
      <c r="D7641" s="3">
        <v>1.0</v>
      </c>
    </row>
    <row r="7642" ht="15.75" customHeight="1">
      <c r="A7642" s="1">
        <v>8159.0</v>
      </c>
      <c r="B7642" s="3" t="s">
        <v>7342</v>
      </c>
      <c r="C7642" s="3" t="str">
        <f>IFERROR(__xludf.DUMMYFUNCTION("GOOGLETRANSLATE(B7642,""id"",""en"")"),"['Service', 'best', 'telecommunications']")</f>
        <v>['Service', 'best', 'telecommunications']</v>
      </c>
      <c r="D7642" s="3">
        <v>4.0</v>
      </c>
    </row>
    <row r="7643" ht="15.75" customHeight="1">
      <c r="A7643" s="1">
        <v>8160.0</v>
      </c>
      <c r="B7643" s="3" t="s">
        <v>7343</v>
      </c>
      <c r="C7643" s="3" t="str">
        <f>IFERROR(__xludf.DUMMYFUNCTION("GOOGLETRANSLATE(B7643,""id"",""en"")"),"['Application', 'Telkomsel', 'Buaka']")</f>
        <v>['Application', 'Telkomsel', 'Buaka']</v>
      </c>
      <c r="D7643" s="3">
        <v>5.0</v>
      </c>
    </row>
    <row r="7644" ht="15.75" customHeight="1">
      <c r="A7644" s="1">
        <v>8161.0</v>
      </c>
      <c r="B7644" s="3" t="s">
        <v>7344</v>
      </c>
      <c r="C7644" s="3" t="str">
        <f>IFERROR(__xludf.DUMMYFUNCTION("GOOGLETRANSLATE(B7644,""id"",""en"")"),"['confused', 'open', 'the application', 'Samsung', 'smntara', 'reinstall', 'min', 'installed', 'star']")</f>
        <v>['confused', 'open', 'the application', 'Samsung', 'smntara', 'reinstall', 'min', 'installed', 'star']</v>
      </c>
      <c r="D7644" s="3">
        <v>2.0</v>
      </c>
    </row>
    <row r="7645" ht="15.75" customHeight="1">
      <c r="A7645" s="1">
        <v>8162.0</v>
      </c>
      <c r="B7645" s="3" t="s">
        <v>7345</v>
      </c>
      <c r="C7645" s="3" t="str">
        <f>IFERROR(__xludf.DUMMYFUNCTION("GOOGLETRANSLATE(B7645,""id"",""en"")"),"['pakek', 'application', 'tasty', 'slow', 'yaa', 'appears', 'white', 'screen', '']")</f>
        <v>['pakek', 'application', 'tasty', 'slow', 'yaa', 'appears', 'white', 'screen', '']</v>
      </c>
      <c r="D7645" s="3">
        <v>3.0</v>
      </c>
    </row>
    <row r="7646" ht="15.75" customHeight="1">
      <c r="A7646" s="1">
        <v>8163.0</v>
      </c>
      <c r="B7646" s="3" t="s">
        <v>7346</v>
      </c>
      <c r="C7646" s="3" t="str">
        <f>IFERROR(__xludf.DUMMYFUNCTION("GOOGLETRANSLATE(B7646,""id"",""en"")"),"['Star', 'the application', 'opened', 'comfortable', 'buy', 'quota']")</f>
        <v>['Star', 'the application', 'opened', 'comfortable', 'buy', 'quota']</v>
      </c>
      <c r="D7646" s="3">
        <v>2.0</v>
      </c>
    </row>
    <row r="7647" ht="15.75" customHeight="1">
      <c r="A7647" s="1">
        <v>8164.0</v>
      </c>
      <c r="B7647" s="3" t="s">
        <v>7347</v>
      </c>
      <c r="C7647" s="3" t="str">
        <f>IFERROR(__xludf.DUMMYFUNCTION("GOOGLETRANSLATE(B7647,""id"",""en"")"),"['easy', 'access', 'Telkomsel']")</f>
        <v>['easy', 'access', 'Telkomsel']</v>
      </c>
      <c r="D7647" s="3">
        <v>4.0</v>
      </c>
    </row>
    <row r="7648" ht="15.75" customHeight="1">
      <c r="A7648" s="1">
        <v>8165.0</v>
      </c>
      <c r="B7648" s="3" t="s">
        <v>7348</v>
      </c>
      <c r="C7648" s="3" t="str">
        <f>IFERROR(__xludf.DUMMYFUNCTION("GOOGLETRANSLATE(B7648,""id"",""en"")"),"['Application', 'opened', 'Stack', 'White', 'Delete', 'Install', 'Tetep', 'gabisa']")</f>
        <v>['Application', 'opened', 'Stack', 'White', 'Delete', 'Install', 'Tetep', 'gabisa']</v>
      </c>
      <c r="D7648" s="3">
        <v>1.0</v>
      </c>
    </row>
    <row r="7649" ht="15.75" customHeight="1">
      <c r="A7649" s="1">
        <v>8167.0</v>
      </c>
      <c r="B7649" s="3" t="s">
        <v>7349</v>
      </c>
      <c r="C7649" s="3" t="str">
        <f>IFERROR(__xludf.DUMMYFUNCTION("GOOGLETRANSLATE(B7649,""id"",""en"")"),"['Good', 'makes it easy']")</f>
        <v>['Good', 'makes it easy']</v>
      </c>
      <c r="D7649" s="3">
        <v>5.0</v>
      </c>
    </row>
    <row r="7650" ht="15.75" customHeight="1">
      <c r="A7650" s="1">
        <v>8168.0</v>
      </c>
      <c r="B7650" s="3" t="s">
        <v>5916</v>
      </c>
      <c r="C7650" s="3" t="str">
        <f>IFERROR(__xludf.DUMMYFUNCTION("GOOGLETRANSLATE(B7650,""id"",""en"")"),"['Good', 'That's']")</f>
        <v>['Good', 'That's']</v>
      </c>
      <c r="D7650" s="3">
        <v>5.0</v>
      </c>
    </row>
    <row r="7651" ht="15.75" customHeight="1">
      <c r="A7651" s="1">
        <v>8169.0</v>
      </c>
      <c r="B7651" s="3" t="s">
        <v>7350</v>
      </c>
      <c r="C7651" s="3" t="str">
        <f>IFERROR(__xludf.DUMMYFUNCTION("GOOGLETRANSLATE(B7651,""id"",""en"")"),"['TKS', 'Inpo', 'Helpful', 'Products', 'Telkomsel']")</f>
        <v>['TKS', 'Inpo', 'Helpful', 'Products', 'Telkomsel']</v>
      </c>
      <c r="D7651" s="3">
        <v>5.0</v>
      </c>
    </row>
    <row r="7652" ht="15.75" customHeight="1">
      <c r="A7652" s="1">
        <v>8170.0</v>
      </c>
      <c r="B7652" s="3" t="s">
        <v>7351</v>
      </c>
      <c r="C7652" s="3" t="str">
        <f>IFERROR(__xludf.DUMMYFUNCTION("GOOGLETRANSLATE(B7652,""id"",""en"")"),"['signal', 'rotten', 'rain', 'severe', 'signal', 'domicile', 'city', 'how', 'suburbs',' city ',' please ',' fix ',' Quality ',' Jngn ',' price ',' expensive ',' quality ',' rotten ',' ']")</f>
        <v>['signal', 'rotten', 'rain', 'severe', 'signal', 'domicile', 'city', 'how', 'suburbs',' city ',' please ',' fix ',' Quality ',' Jngn ',' price ',' expensive ',' quality ',' rotten ',' ']</v>
      </c>
      <c r="D7652" s="3">
        <v>1.0</v>
      </c>
    </row>
    <row r="7653" ht="15.75" customHeight="1">
      <c r="A7653" s="1">
        <v>8171.0</v>
      </c>
      <c r="B7653" s="3" t="s">
        <v>7352</v>
      </c>
      <c r="C7653" s="3" t="str">
        <f>IFERROR(__xludf.DUMMYFUNCTION("GOOGLETRANSLATE(B7653,""id"",""en"")"),"['Cave', 'GB', 'Sebulan', 'MGGU', 'Amsioong "",' ']")</f>
        <v>['Cave', 'GB', 'Sebulan', 'MGGU', 'Amsioong ",' ']</v>
      </c>
      <c r="D7653" s="3">
        <v>2.0</v>
      </c>
    </row>
    <row r="7654" ht="15.75" customHeight="1">
      <c r="A7654" s="1">
        <v>8172.0</v>
      </c>
      <c r="B7654" s="3" t="s">
        <v>7353</v>
      </c>
      <c r="C7654" s="3" t="str">
        <f>IFERROR(__xludf.DUMMYFUNCTION("GOOGLETRANSLATE(B7654,""id"",""en"")"),"['Please', 'Telkomsel', 'knpa', 'signal', 'bad', 'pke', 'card', 'manteng', 'pke', 'telomsel', 'slow', 'forgiveness',' Please '""Fix']")</f>
        <v>['Please', 'Telkomsel', 'knpa', 'signal', 'bad', 'pke', 'card', 'manteng', 'pke', 'telomsel', 'slow', 'forgiveness',' Please '"Fix']</v>
      </c>
      <c r="D7654" s="3">
        <v>3.0</v>
      </c>
    </row>
    <row r="7655" ht="15.75" customHeight="1">
      <c r="A7655" s="1">
        <v>8173.0</v>
      </c>
      <c r="B7655" s="3" t="s">
        <v>6150</v>
      </c>
      <c r="C7655" s="3" t="str">
        <f>IFERROR(__xludf.DUMMYFUNCTION("GOOGLETRANSLATE(B7655,""id"",""en"")"),"['Profitable']")</f>
        <v>['Profitable']</v>
      </c>
      <c r="D7655" s="3">
        <v>1.0</v>
      </c>
    </row>
    <row r="7656" ht="15.75" customHeight="1">
      <c r="A7656" s="1">
        <v>8174.0</v>
      </c>
      <c r="B7656" s="3" t="s">
        <v>7354</v>
      </c>
      <c r="C7656" s="3" t="str">
        <f>IFERROR(__xludf.DUMMYFUNCTION("GOOGLETRANSLATE(B7656,""id"",""en"")"),"['signal', 'disappointing', 'tower', 'househhhhhh', '']")</f>
        <v>['signal', 'disappointing', 'tower', 'househhhhhh', '']</v>
      </c>
      <c r="D7656" s="3">
        <v>1.0</v>
      </c>
    </row>
    <row r="7657" ht="15.75" customHeight="1">
      <c r="A7657" s="1">
        <v>8175.0</v>
      </c>
      <c r="B7657" s="3" t="s">
        <v>7355</v>
      </c>
      <c r="C7657" s="3" t="str">
        <f>IFERROR(__xludf.DUMMYFUNCTION("GOOGLETRANSLATE(B7657,""id"",""en"")"),"['Download', 'already', 'open', 'application', 'ugly', 'cave', 'see', 'leftover', 'quota', 'cave', 'severe', 'contents',' reset ',' quota ',' huuhhhhhhh ',' troubling ',' please ',' fix ',' ommm ', ""]")</f>
        <v>['Download', 'already', 'open', 'application', 'ugly', 'cave', 'see', 'leftover', 'quota', 'cave', 'severe', 'contents',' reset ',' quota ',' huuhhhhhhh ',' troubling ',' please ',' fix ',' ommm ', "]</v>
      </c>
      <c r="D7657" s="3">
        <v>5.0</v>
      </c>
    </row>
    <row r="7658" ht="15.75" customHeight="1">
      <c r="A7658" s="1">
        <v>8176.0</v>
      </c>
      <c r="B7658" s="3" t="s">
        <v>7356</v>
      </c>
      <c r="C7658" s="3" t="str">
        <f>IFERROR(__xludf.DUMMYFUNCTION("GOOGLETRANSLATE(B7658,""id"",""en"")"),"['Whatever', 'please', 'work', 'network', 'Telkomsel', 'already', 'user', 'ngak', 'funny', 'search', 'operator']")</f>
        <v>['Whatever', 'please', 'work', 'network', 'Telkomsel', 'already', 'user', 'ngak', 'funny', 'search', 'operator']</v>
      </c>
      <c r="D7658" s="3">
        <v>2.0</v>
      </c>
    </row>
    <row r="7659" ht="15.75" customHeight="1">
      <c r="A7659" s="1">
        <v>8177.0</v>
      </c>
      <c r="B7659" s="3" t="s">
        <v>7357</v>
      </c>
      <c r="C7659" s="3" t="str">
        <f>IFERROR(__xludf.DUMMYFUNCTION("GOOGLETRANSLATE(B7659,""id"",""en"")"),"['complaint', 'expensive', 'price', 'quota', 'maklumi', 'signal', 'stable', 'game', 'watch', 'vidio', 'reliable', 'please' Developer ',' repaired ',' Credit ',' ']")</f>
        <v>['complaint', 'expensive', 'price', 'quota', 'maklumi', 'signal', 'stable', 'game', 'watch', 'vidio', 'reliable', 'please' Developer ',' repaired ',' Credit ',' ']</v>
      </c>
      <c r="D7659" s="3">
        <v>1.0</v>
      </c>
    </row>
    <row r="7660" ht="15.75" customHeight="1">
      <c r="A7660" s="1">
        <v>8178.0</v>
      </c>
      <c r="B7660" s="3" t="s">
        <v>7358</v>
      </c>
      <c r="C7660" s="3" t="str">
        <f>IFERROR(__xludf.DUMMYFUNCTION("GOOGLETRANSLATE(B7660,""id"",""en"")"),"['Application', 'Blank', 'White', 'Display']")</f>
        <v>['Application', 'Blank', 'White', 'Display']</v>
      </c>
      <c r="D7660" s="3">
        <v>1.0</v>
      </c>
    </row>
    <row r="7661" ht="15.75" customHeight="1">
      <c r="A7661" s="1">
        <v>8179.0</v>
      </c>
      <c r="B7661" s="3" t="s">
        <v>7359</v>
      </c>
      <c r="C7661" s="3" t="str">
        <f>IFERROR(__xludf.DUMMYFUNCTION("GOOGLETRANSLATE(B7661,""id"",""en"")"),"['Open', 'times', 'downlod']")</f>
        <v>['Open', 'times', 'downlod']</v>
      </c>
      <c r="D7661" s="3">
        <v>1.0</v>
      </c>
    </row>
    <row r="7662" ht="15.75" customHeight="1">
      <c r="A7662" s="1">
        <v>8180.0</v>
      </c>
      <c r="B7662" s="3" t="s">
        <v>7360</v>
      </c>
      <c r="C7662" s="3" t="str">
        <f>IFERROR(__xludf.DUMMYFUNCTION("GOOGLETRANSLATE(B7662,""id"",""en"")"),"['Kepana', 'Dbuka', ""]")</f>
        <v>['Kepana', 'Dbuka', "]</v>
      </c>
      <c r="D7662" s="3">
        <v>5.0</v>
      </c>
    </row>
    <row r="7663" ht="15.75" customHeight="1">
      <c r="A7663" s="1">
        <v>8181.0</v>
      </c>
      <c r="B7663" s="3" t="s">
        <v>7361</v>
      </c>
      <c r="C7663" s="3" t="str">
        <f>IFERROR(__xludf.DUMMYFUNCTION("GOOGLETRANSLATE(B7663,""id"",""en"")"),"['Mantab', 'spirit', 'Telkomsel']")</f>
        <v>['Mantab', 'spirit', 'Telkomsel']</v>
      </c>
      <c r="D7663" s="3">
        <v>5.0</v>
      </c>
    </row>
    <row r="7664" ht="15.75" customHeight="1">
      <c r="A7664" s="1">
        <v>8182.0</v>
      </c>
      <c r="B7664" s="3" t="s">
        <v>7362</v>
      </c>
      <c r="C7664" s="3" t="str">
        <f>IFERROR(__xludf.DUMMYFUNCTION("GOOGLETRANSLATE(B7664,""id"",""en"")"),"['Open', 'Application', 'Delete', 'My APK', 'Dwonload', 'Opened', 'Please', 'Fix', 'As soon as']")</f>
        <v>['Open', 'Application', 'Delete', 'My APK', 'Dwonload', 'Opened', 'Please', 'Fix', 'As soon as']</v>
      </c>
      <c r="D7664" s="3">
        <v>1.0</v>
      </c>
    </row>
    <row r="7665" ht="15.75" customHeight="1">
      <c r="A7665" s="1">
        <v>8184.0</v>
      </c>
      <c r="B7665" s="3" t="s">
        <v>7363</v>
      </c>
      <c r="C7665" s="3" t="str">
        <f>IFERROR(__xludf.DUMMYFUNCTION("GOOGLETRANSLATE(B7665,""id"",""en"")"),"['Nggk', 'quota', 'free', 'hhh']")</f>
        <v>['Nggk', 'quota', 'free', 'hhh']</v>
      </c>
      <c r="D7665" s="3">
        <v>1.0</v>
      </c>
    </row>
    <row r="7666" ht="15.75" customHeight="1">
      <c r="A7666" s="1">
        <v>8185.0</v>
      </c>
      <c r="B7666" s="3" t="s">
        <v>7364</v>
      </c>
      <c r="C7666" s="3" t="str">
        <f>IFERROR(__xludf.DUMMYFUNCTION("GOOGLETRANSLATE(B7666,""id"",""en"")"),"['Telkomtot', 'good', 'network', 'dead', 'life', 'network', 'type', 'quota', 'MINTAIN']")</f>
        <v>['Telkomtot', 'good', 'network', 'dead', 'life', 'network', 'type', 'quota', 'MINTAIN']</v>
      </c>
      <c r="D7666" s="3">
        <v>2.0</v>
      </c>
    </row>
    <row r="7667" ht="15.75" customHeight="1">
      <c r="A7667" s="1">
        <v>8186.0</v>
      </c>
      <c r="B7667" s="3" t="s">
        <v>7365</v>
      </c>
      <c r="C7667" s="3" t="str">
        <f>IFERROR(__xludf.DUMMYFUNCTION("GOOGLETRANSLATE(B7667,""id"",""en"")"),"['quota', 'family']")</f>
        <v>['quota', 'family']</v>
      </c>
      <c r="D7667" s="3">
        <v>1.0</v>
      </c>
    </row>
    <row r="7668" ht="15.75" customHeight="1">
      <c r="A7668" s="1">
        <v>8187.0</v>
      </c>
      <c r="B7668" s="3" t="s">
        <v>7366</v>
      </c>
      <c r="C7668" s="3" t="str">
        <f>IFERROR(__xludf.DUMMYFUNCTION("GOOGLETRANSLATE(B7668,""id"",""en"")"),"['Applicationaa', 'open', 'buy', 'package', 'manual', 'complicated', 'please', 'fix', 'yaa']")</f>
        <v>['Applicationaa', 'open', 'buy', 'package', 'manual', 'complicated', 'please', 'fix', 'yaa']</v>
      </c>
      <c r="D7668" s="3">
        <v>1.0</v>
      </c>
    </row>
    <row r="7669" ht="15.75" customHeight="1">
      <c r="A7669" s="1">
        <v>8188.0</v>
      </c>
      <c r="B7669" s="3" t="s">
        <v>7367</v>
      </c>
      <c r="C7669" s="3" t="str">
        <f>IFERROR(__xludf.DUMMYFUNCTION("GOOGLETRANSLATE(B7669,""id"",""en"")"),"['Severe', 'really', 'Telkomsel', 'Tower', 'meter', 'Telkomsel', 'Sinyal', 'stable', 'already', 'buy', 'expensive', 'expensive']")</f>
        <v>['Severe', 'really', 'Telkomsel', 'Tower', 'meter', 'Telkomsel', 'Sinyal', 'stable', 'already', 'buy', 'expensive', 'expensive']</v>
      </c>
      <c r="D7669" s="3">
        <v>1.0</v>
      </c>
    </row>
    <row r="7670" ht="15.75" customHeight="1">
      <c r="A7670" s="1">
        <v>8189.0</v>
      </c>
      <c r="B7670" s="3" t="s">
        <v>7368</v>
      </c>
      <c r="C7670" s="3" t="str">
        <f>IFERROR(__xludf.DUMMYFUNCTION("GOOGLETRANSLATE(B7670,""id"",""en"")"),"['Telkomsel', 'signal', 'spacious', 'plosok', 'village', 'package', 'cheap', 'signal', 'evenly', '']")</f>
        <v>['Telkomsel', 'signal', 'spacious', 'plosok', 'village', 'package', 'cheap', 'signal', 'evenly', '']</v>
      </c>
      <c r="D7670" s="3">
        <v>5.0</v>
      </c>
    </row>
    <row r="7671" ht="15.75" customHeight="1">
      <c r="A7671" s="1">
        <v>8190.0</v>
      </c>
      <c r="B7671" s="3" t="s">
        <v>7369</v>
      </c>
      <c r="C7671" s="3" t="str">
        <f>IFERROR(__xludf.DUMMYFUNCTION("GOOGLETRANSLATE(B7671,""id"",""en"")"),"['', 'opened', ""]")</f>
        <v>['', 'opened', "]</v>
      </c>
      <c r="D7671" s="3">
        <v>1.0</v>
      </c>
    </row>
    <row r="7672" ht="15.75" customHeight="1">
      <c r="A7672" s="1">
        <v>8191.0</v>
      </c>
      <c r="B7672" s="3" t="s">
        <v>7370</v>
      </c>
      <c r="C7672" s="3" t="str">
        <f>IFERROR(__xludf.DUMMYFUNCTION("GOOGLETRANSLATE(B7672,""id"",""en"")"),"['Gara', 'pulse', 'steal', 'match', 'star', 'love', 'star', 'mending', 'mgasih', 'star']")</f>
        <v>['Gara', 'pulse', 'steal', 'match', 'star', 'love', 'star', 'mending', 'mgasih', 'star']</v>
      </c>
      <c r="D7672" s="3">
        <v>1.0</v>
      </c>
    </row>
    <row r="7673" ht="15.75" customHeight="1">
      <c r="A7673" s="1">
        <v>8192.0</v>
      </c>
      <c r="B7673" s="3" t="s">
        <v>7371</v>
      </c>
      <c r="C7673" s="3" t="str">
        <f>IFERROR(__xludf.DUMMYFUNCTION("GOOGLETRANSLATE(B7673,""id"",""en"")"),"['really', 'really', 'shopping', 'Telkomsel', 'updated', 'opened', 'system', 'how', 'already', 'comfortable', 'Telkomsel', 'please', ' Return ',' like ',' Kayak ',' Gini ',' Thank you ']")</f>
        <v>['really', 'really', 'shopping', 'Telkomsel', 'updated', 'opened', 'system', 'how', 'already', 'comfortable', 'Telkomsel', 'please', ' Return ',' like ',' Kayak ',' Gini ',' Thank you ']</v>
      </c>
      <c r="D7673" s="3">
        <v>1.0</v>
      </c>
    </row>
    <row r="7674" ht="15.75" customHeight="1">
      <c r="A7674" s="1">
        <v>8193.0</v>
      </c>
      <c r="B7674" s="3" t="s">
        <v>7372</v>
      </c>
      <c r="C7674" s="3" t="str">
        <f>IFERROR(__xludf.DUMMYFUNCTION("GOOGLETRANSLATE(B7674,""id"",""en"")"),"['Telcom', 'hanging out', 'The', 'Best', 'hopefully', 'success', 'Telcom', 'Thank you', 'quota', ""]")</f>
        <v>['Telcom', 'hanging out', 'The', 'Best', 'hopefully', 'success', 'Telcom', 'Thank you', 'quota', "]</v>
      </c>
      <c r="D7674" s="3">
        <v>5.0</v>
      </c>
    </row>
    <row r="7675" ht="15.75" customHeight="1">
      <c r="A7675" s="1">
        <v>8195.0</v>
      </c>
      <c r="B7675" s="3" t="s">
        <v>7373</v>
      </c>
      <c r="C7675" s="3" t="str">
        <f>IFERROR(__xludf.DUMMYFUNCTION("GOOGLETRANSLATE(B7675,""id"",""en"")"),"['Telkomsel', 'Ngak', 'opened', '']")</f>
        <v>['Telkomsel', 'Ngak', 'opened', '']</v>
      </c>
      <c r="D7675" s="3">
        <v>1.0</v>
      </c>
    </row>
    <row r="7676" ht="15.75" customHeight="1">
      <c r="A7676" s="1">
        <v>8196.0</v>
      </c>
      <c r="B7676" s="3" t="s">
        <v>7374</v>
      </c>
      <c r="C7676" s="3" t="str">
        <f>IFERROR(__xludf.DUMMYFUNCTION("GOOGLETRANSLATE(B7676,""id"",""en"")"),"['check', 'transaction', 'pulse', 'easy', 'suggestion', 'convenience', 'free', 'package', 'open', 'Telkomsel']")</f>
        <v>['check', 'transaction', 'pulse', 'easy', 'suggestion', 'convenience', 'free', 'package', 'open', 'Telkomsel']</v>
      </c>
      <c r="D7676" s="3">
        <v>4.0</v>
      </c>
    </row>
    <row r="7677" ht="15.75" customHeight="1">
      <c r="A7677" s="1">
        <v>8198.0</v>
      </c>
      <c r="B7677" s="3" t="s">
        <v>7375</v>
      </c>
      <c r="C7677" s="3" t="str">
        <f>IFERROR(__xludf.DUMMYFUNCTION("GOOGLETRANSLATE(B7677,""id"",""en"")"),"['Disappointed', 'internet', 'slow', 'price', 'expensive', '']")</f>
        <v>['Disappointed', 'internet', 'slow', 'price', 'expensive', '']</v>
      </c>
      <c r="D7677" s="3">
        <v>1.0</v>
      </c>
    </row>
    <row r="7678" ht="15.75" customHeight="1">
      <c r="A7678" s="1">
        <v>8199.0</v>
      </c>
      <c r="B7678" s="3" t="s">
        <v>7376</v>
      </c>
      <c r="C7678" s="3" t="str">
        <f>IFERROR(__xludf.DUMMYFUNCTION("GOOGLETRANSLATE(B7678,""id"",""en"")"),"['Easy', 'Run']")</f>
        <v>['Easy', 'Run']</v>
      </c>
      <c r="D7678" s="3">
        <v>5.0</v>
      </c>
    </row>
    <row r="7679" ht="15.75" customHeight="1">
      <c r="A7679" s="1">
        <v>8200.0</v>
      </c>
      <c r="B7679" s="3" t="s">
        <v>7377</v>
      </c>
      <c r="C7679" s="3" t="str">
        <f>IFERROR(__xludf.DUMMYFUNCTION("GOOGLETRANSLATE(B7679,""id"",""en"")"),"['The application', 'Good', 'min']")</f>
        <v>['The application', 'Good', 'min']</v>
      </c>
      <c r="D7679" s="3">
        <v>5.0</v>
      </c>
    </row>
    <row r="7680" ht="15.75" customHeight="1">
      <c r="A7680" s="1">
        <v>8201.0</v>
      </c>
      <c r="B7680" s="3" t="s">
        <v>7378</v>
      </c>
      <c r="C7680" s="3" t="str">
        <f>IFERROR(__xludf.DUMMYFUNCTION("GOOGLETRANSLATE(B7680,""id"",""en"")"),"['Price', 'Kouta', 'times',' subscribe ',' price ',' expensive ',' price ',' package ',' kouta ',' internet ',' laen ',' network ',' stable', '']")</f>
        <v>['Price', 'Kouta', 'times',' subscribe ',' price ',' expensive ',' price ',' package ',' kouta ',' internet ',' laen ',' network ',' stable', '']</v>
      </c>
      <c r="D7680" s="3">
        <v>1.0</v>
      </c>
    </row>
    <row r="7681" ht="15.75" customHeight="1">
      <c r="A7681" s="1">
        <v>8202.0</v>
      </c>
      <c r="B7681" s="3" t="s">
        <v>7379</v>
      </c>
      <c r="C7681" s="3" t="str">
        <f>IFERROR(__xludf.DUMMYFUNCTION("GOOGLETRANSLATE(B7681,""id"",""en"")"),"['', 'Telkomsel', 'good', 'help', 'buy', 'pulse', 'package', 'data']")</f>
        <v>['', 'Telkomsel', 'good', 'help', 'buy', 'pulse', 'package', 'data']</v>
      </c>
      <c r="D7681" s="3">
        <v>5.0</v>
      </c>
    </row>
    <row r="7682" ht="15.75" customHeight="1">
      <c r="A7682" s="1">
        <v>8203.0</v>
      </c>
      <c r="B7682" s="3" t="s">
        <v>7380</v>
      </c>
      <c r="C7682" s="3" t="str">
        <f>IFERROR(__xludf.DUMMYFUNCTION("GOOGLETRANSLATE(B7682,""id"",""en"")"),"['difficult', 'enter', 'skrng', 'cpet', 'happy', 'bngt', 'skrng', 'duakali', 'download', 'difficult', 'gyma', 'buy', ' quota ',' donk ']")</f>
        <v>['difficult', 'enter', 'skrng', 'cpet', 'happy', 'bngt', 'skrng', 'duakali', 'download', 'difficult', 'gyma', 'buy', ' quota ',' donk ']</v>
      </c>
      <c r="D7682" s="3">
        <v>1.0</v>
      </c>
    </row>
    <row r="7683" ht="15.75" customHeight="1">
      <c r="A7683" s="1">
        <v>8204.0</v>
      </c>
      <c r="B7683" s="3" t="s">
        <v>7381</v>
      </c>
      <c r="C7683" s="3" t="str">
        <f>IFERROR(__xludf.DUMMYFUNCTION("GOOGLETRANSLATE(B7683,""id"",""en"")"),"['memalankn', 'pokonya', '']")</f>
        <v>['memalankn', 'pokonya', '']</v>
      </c>
      <c r="D7683" s="3">
        <v>4.0</v>
      </c>
    </row>
    <row r="7684" ht="15.75" customHeight="1">
      <c r="A7684" s="1">
        <v>8205.0</v>
      </c>
      <c r="B7684" s="3" t="s">
        <v>7382</v>
      </c>
      <c r="C7684" s="3" t="str">
        <f>IFERROR(__xludf.DUMMYFUNCTION("GOOGLETRANSLATE(B7684,""id"",""en"")"),"['Satisfied', 'mntap']")</f>
        <v>['Satisfied', 'mntap']</v>
      </c>
      <c r="D7684" s="3">
        <v>5.0</v>
      </c>
    </row>
    <row r="7685" ht="15.75" customHeight="1">
      <c r="A7685" s="1">
        <v>8206.0</v>
      </c>
      <c r="B7685" s="3" t="s">
        <v>7383</v>
      </c>
      <c r="C7685" s="3" t="str">
        <f>IFERROR(__xludf.DUMMYFUNCTION("GOOGLETRANSLATE(B7685,""id"",""en"")"),"['Sanjung', 'Maintain', 'Application', 'Kyak', 'Satan', 'Fix', 'Gombin', 'Consumer', 'Application']")</f>
        <v>['Sanjung', 'Maintain', 'Application', 'Kyak', 'Satan', 'Fix', 'Gombin', 'Consumer', 'Application']</v>
      </c>
      <c r="D7685" s="3">
        <v>1.0</v>
      </c>
    </row>
    <row r="7686" ht="15.75" customHeight="1">
      <c r="A7686" s="1">
        <v>8207.0</v>
      </c>
      <c r="B7686" s="3" t="s">
        <v>7384</v>
      </c>
      <c r="C7686" s="3" t="str">
        <f>IFERROR(__xludf.DUMMYFUNCTION("GOOGLETRANSLATE(B7686,""id"",""en"")"),"['Update', 'just', 'Dipake', 'Android', 'Pekah', 'Telkomsel']")</f>
        <v>['Update', 'just', 'Dipake', 'Android', 'Pekah', 'Telkomsel']</v>
      </c>
      <c r="D7686" s="3">
        <v>1.0</v>
      </c>
    </row>
    <row r="7687" ht="15.75" customHeight="1">
      <c r="A7687" s="1">
        <v>8208.0</v>
      </c>
      <c r="B7687" s="3" t="s">
        <v>7385</v>
      </c>
      <c r="C7687" s="3" t="str">
        <f>IFERROR(__xludf.DUMMYFUNCTION("GOOGLETRANSLATE(B7687,""id"",""en"")"),"['screen', 'white', 'already', 'install', 'tetep']")</f>
        <v>['screen', 'white', 'already', 'install', 'tetep']</v>
      </c>
      <c r="D7687" s="3">
        <v>1.0</v>
      </c>
    </row>
    <row r="7688" ht="15.75" customHeight="1">
      <c r="A7688" s="1">
        <v>8209.0</v>
      </c>
      <c r="B7688" s="3" t="s">
        <v>7386</v>
      </c>
      <c r="C7688" s="3" t="str">
        <f>IFERROR(__xludf.DUMMYFUNCTION("GOOGLETRANSLATE(B7688,""id"",""en"")"),"['Ngebug', 'Mulu', 'The application']")</f>
        <v>['Ngebug', 'Mulu', 'The application']</v>
      </c>
      <c r="D7688" s="3">
        <v>1.0</v>
      </c>
    </row>
    <row r="7689" ht="15.75" customHeight="1">
      <c r="A7689" s="1">
        <v>8210.0</v>
      </c>
      <c r="B7689" s="3" t="s">
        <v>7387</v>
      </c>
      <c r="C7689" s="3" t="str">
        <f>IFERROR(__xludf.DUMMYFUNCTION("GOOGLETRANSLATE(B7689,""id"",""en"")"),"['Not bad', 'package', 'cheap', 'dunk']")</f>
        <v>['Not bad', 'package', 'cheap', 'dunk']</v>
      </c>
      <c r="D7689" s="3">
        <v>4.0</v>
      </c>
    </row>
    <row r="7690" ht="15.75" customHeight="1">
      <c r="A7690" s="1">
        <v>8211.0</v>
      </c>
      <c r="B7690" s="3" t="s">
        <v>7388</v>
      </c>
      <c r="C7690" s="3" t="str">
        <f>IFERROR(__xludf.DUMMYFUNCTION("GOOGLETRANSLATE(B7690,""id"",""en"")"),"['Help', 'affordable']")</f>
        <v>['Help', 'affordable']</v>
      </c>
      <c r="D7690" s="3">
        <v>5.0</v>
      </c>
    </row>
    <row r="7691" ht="15.75" customHeight="1">
      <c r="A7691" s="1">
        <v>8212.0</v>
      </c>
      <c r="B7691" s="3" t="s">
        <v>7389</v>
      </c>
      <c r="C7691" s="3" t="str">
        <f>IFERROR(__xludf.DUMMYFUNCTION("GOOGLETRANSLATE(B7691,""id"",""en"")"),"['Disruption', 'Nukar', 'Points', 'Soon', 'Logan', 'Scorched', 'Collecting', 'Points', 'A Year', ""]")</f>
        <v>['Disruption', 'Nukar', 'Points', 'Soon', 'Logan', 'Scorched', 'Collecting', 'Points', 'A Year', "]</v>
      </c>
      <c r="D7691" s="3">
        <v>2.0</v>
      </c>
    </row>
    <row r="7692" ht="15.75" customHeight="1">
      <c r="A7692" s="1">
        <v>8213.0</v>
      </c>
      <c r="B7692" s="3" t="s">
        <v>7390</v>
      </c>
      <c r="C7692" s="3" t="str">
        <f>IFERROR(__xludf.DUMMYFUNCTION("GOOGLETRANSLATE(B7692,""id"",""en"")"),"['Getting', 'Gift', 'Layi', 'Undi', 'Telkomsel']")</f>
        <v>['Getting', 'Gift', 'Layi', 'Undi', 'Telkomsel']</v>
      </c>
      <c r="D7692" s="3">
        <v>5.0</v>
      </c>
    </row>
    <row r="7693" ht="15.75" customHeight="1">
      <c r="A7693" s="1">
        <v>8214.0</v>
      </c>
      <c r="B7693" s="3" t="s">
        <v>7391</v>
      </c>
      <c r="C7693" s="3" t="str">
        <f>IFERROR(__xludf.DUMMYFUNCTION("GOOGLETRANSLATE(B7693,""id"",""en"")"),"['Network', 'Good', 'Auto', 'Move', 'ProvDR']")</f>
        <v>['Network', 'Good', 'Auto', 'Move', 'ProvDR']</v>
      </c>
      <c r="D7693" s="3">
        <v>1.0</v>
      </c>
    </row>
    <row r="7694" ht="15.75" customHeight="1">
      <c r="A7694" s="1">
        <v>8215.0</v>
      </c>
      <c r="B7694" s="3" t="s">
        <v>7392</v>
      </c>
      <c r="C7694" s="3" t="str">
        <f>IFERROR(__xludf.DUMMYFUNCTION("GOOGLETRANSLATE(B7694,""id"",""en"")"),"['verytt', 'help']")</f>
        <v>['verytt', 'help']</v>
      </c>
      <c r="D7694" s="3">
        <v>5.0</v>
      </c>
    </row>
    <row r="7695" ht="15.75" customHeight="1">
      <c r="A7695" s="1">
        <v>8216.0</v>
      </c>
      <c r="B7695" s="3" t="s">
        <v>7393</v>
      </c>
      <c r="C7695" s="3" t="str">
        <f>IFERROR(__xludf.DUMMYFUNCTION("GOOGLETRANSLATE(B7695,""id"",""en"")"),"['petrified', 'good', 'application', 'love', 'star']")</f>
        <v>['petrified', 'good', 'application', 'love', 'star']</v>
      </c>
      <c r="D7695" s="3">
        <v>5.0</v>
      </c>
    </row>
    <row r="7696" ht="15.75" customHeight="1">
      <c r="A7696" s="1">
        <v>8219.0</v>
      </c>
      <c r="B7696" s="3" t="s">
        <v>7394</v>
      </c>
      <c r="C7696" s="3" t="str">
        <f>IFERROR(__xludf.DUMMYFUNCTION("GOOGLETRANSLATE(B7696,""id"",""en"")"),"['AJG', 'KNP', 'Telkomsel', 'The network', 'Kek', 'pig', 'Cog', 'Delicious',' really ',' Loch ',' Fix ',' Ajg ',' ']")</f>
        <v>['AJG', 'KNP', 'Telkomsel', 'The network', 'Kek', 'pig', 'Cog', 'Delicious',' really ',' Loch ',' Fix ',' Ajg ',' ']</v>
      </c>
      <c r="D7696" s="3">
        <v>1.0</v>
      </c>
    </row>
    <row r="7697" ht="15.75" customHeight="1">
      <c r="A7697" s="1">
        <v>8220.0</v>
      </c>
      <c r="B7697" s="3" t="s">
        <v>7395</v>
      </c>
      <c r="C7697" s="3" t="str">
        <f>IFERROR(__xludf.DUMMYFUNCTION("GOOGLETRANSLATE(B7697,""id"",""en"")"),"['quality', 'signal', 'ugly', 'price', 'package', 'internet', 'expensive', 'compared', 'provider', 'signal', 'disappointing', '']")</f>
        <v>['quality', 'signal', 'ugly', 'price', 'package', 'internet', 'expensive', 'compared', 'provider', 'signal', 'disappointing', '']</v>
      </c>
      <c r="D7697" s="3">
        <v>1.0</v>
      </c>
    </row>
    <row r="7698" ht="15.75" customHeight="1">
      <c r="A7698" s="1">
        <v>8221.0</v>
      </c>
      <c r="B7698" s="3" t="s">
        <v>7396</v>
      </c>
      <c r="C7698" s="3" t="str">
        <f>IFERROR(__xludf.DUMMYFUNCTION("GOOGLETRANSLATE(B7698,""id"",""en"")"),"['Knp', 'log', 'quota', 'enter', 'hope', 'fix', 'already', 'try', 'times', 'enter']")</f>
        <v>['Knp', 'log', 'quota', 'enter', 'hope', 'fix', 'already', 'try', 'times', 'enter']</v>
      </c>
      <c r="D7698" s="3">
        <v>2.0</v>
      </c>
    </row>
    <row r="7699" ht="15.75" customHeight="1">
      <c r="A7699" s="1">
        <v>8222.0</v>
      </c>
      <c r="B7699" s="3" t="s">
        <v>7397</v>
      </c>
      <c r="C7699" s="3" t="str">
        <f>IFERROR(__xludf.DUMMYFUNCTION("GOOGLETRANSLATE(B7699,""id"",""en"")"),"['Many', 'times', 'enter', 'failed', 'APK', 'weird']")</f>
        <v>['Many', 'times', 'enter', 'failed', 'APK', 'weird']</v>
      </c>
      <c r="D7699" s="3">
        <v>1.0</v>
      </c>
    </row>
    <row r="7700" ht="15.75" customHeight="1">
      <c r="A7700" s="1">
        <v>8223.0</v>
      </c>
      <c r="B7700" s="3" t="s">
        <v>7398</v>
      </c>
      <c r="C7700" s="3" t="str">
        <f>IFERROR(__xludf.DUMMYFUNCTION("GOOGLETRANSLATE(B7700,""id"",""en"")"),"['Good', 'nominal', 'pulse', 'ovo', '']")</f>
        <v>['Good', 'nominal', 'pulse', 'ovo', '']</v>
      </c>
      <c r="D7700" s="3">
        <v>4.0</v>
      </c>
    </row>
    <row r="7701" ht="15.75" customHeight="1">
      <c r="A7701" s="1">
        <v>8224.0</v>
      </c>
      <c r="B7701" s="3" t="s">
        <v>478</v>
      </c>
      <c r="C7701" s="3" t="str">
        <f>IFERROR(__xludf.DUMMYFUNCTION("GOOGLETRANSLATE(B7701,""id"",""en"")"),"Of course")</f>
        <v>Of course</v>
      </c>
      <c r="D7701" s="3">
        <v>5.0</v>
      </c>
    </row>
    <row r="7702" ht="15.75" customHeight="1">
      <c r="A7702" s="1">
        <v>8225.0</v>
      </c>
      <c r="B7702" s="3" t="s">
        <v>7399</v>
      </c>
      <c r="C7702" s="3" t="str">
        <f>IFERROR(__xludf.DUMMYFUNCTION("GOOGLETRANSLATE(B7702,""id"",""en"")"),"['Sya', 'Win', 'Jga']")</f>
        <v>['Sya', 'Win', 'Jga']</v>
      </c>
      <c r="D7702" s="3">
        <v>1.0</v>
      </c>
    </row>
    <row r="7703" ht="15.75" customHeight="1">
      <c r="A7703" s="1">
        <v>8226.0</v>
      </c>
      <c r="B7703" s="3" t="s">
        <v>7400</v>
      </c>
      <c r="C7703" s="3" t="str">
        <f>IFERROR(__xludf.DUMMYFUNCTION("GOOGLETRANSLATE(B7703,""id"",""en"")"),"['The application', 'opened', '']")</f>
        <v>['The application', 'opened', '']</v>
      </c>
      <c r="D7703" s="3">
        <v>1.0</v>
      </c>
    </row>
    <row r="7704" ht="15.75" customHeight="1">
      <c r="A7704" s="1">
        <v>8227.0</v>
      </c>
      <c r="B7704" s="3" t="s">
        <v>7401</v>
      </c>
      <c r="C7704" s="3" t="str">
        <f>IFERROR(__xludf.DUMMYFUNCTION("GOOGLETRANSLATE(B7704,""id"",""en"")"),"['Aduhhh', 'buy', 'package', 'vinegar', 'gmana', 'application']")</f>
        <v>['Aduhhh', 'buy', 'package', 'vinegar', 'gmana', 'application']</v>
      </c>
      <c r="D7704" s="3">
        <v>5.0</v>
      </c>
    </row>
    <row r="7705" ht="15.75" customHeight="1">
      <c r="A7705" s="1">
        <v>8228.0</v>
      </c>
      <c r="B7705" s="3" t="s">
        <v>592</v>
      </c>
      <c r="C7705" s="3" t="str">
        <f>IFERROR(__xludf.DUMMYFUNCTION("GOOGLETRANSLATE(B7705,""id"",""en"")"),"['Telkomsel']")</f>
        <v>['Telkomsel']</v>
      </c>
      <c r="D7705" s="3">
        <v>5.0</v>
      </c>
    </row>
    <row r="7706" ht="15.75" customHeight="1">
      <c r="A7706" s="1">
        <v>8229.0</v>
      </c>
      <c r="B7706" s="3" t="s">
        <v>7402</v>
      </c>
      <c r="C7706" s="3" t="str">
        <f>IFERROR(__xludf.DUMMYFUNCTION("GOOGLETRANSLATE(B7706,""id"",""en"")"),"['increase', 'tariff', '']")</f>
        <v>['increase', 'tariff', '']</v>
      </c>
      <c r="D7706" s="3">
        <v>1.0</v>
      </c>
    </row>
    <row r="7707" ht="15.75" customHeight="1">
      <c r="A7707" s="1">
        <v>8231.0</v>
      </c>
      <c r="B7707" s="3" t="s">
        <v>7403</v>
      </c>
      <c r="C7707" s="3" t="str">
        <f>IFERROR(__xludf.DUMMYFUNCTION("GOOGLETRANSLATE(B7707,""id"",""en"")"),"['Telkomsel', 'makes it easy', 'customers', 'Telkomsel', '']")</f>
        <v>['Telkomsel', 'makes it easy', 'customers', 'Telkomsel', '']</v>
      </c>
      <c r="D7707" s="3">
        <v>5.0</v>
      </c>
    </row>
    <row r="7708" ht="15.75" customHeight="1">
      <c r="A7708" s="1">
        <v>8232.0</v>
      </c>
      <c r="B7708" s="3" t="s">
        <v>7404</v>
      </c>
      <c r="C7708" s="3" t="str">
        <f>IFERROR(__xludf.DUMMYFUNCTION("GOOGLETRANSLATE(B7708,""id"",""en"")"),"['Severe', 'Network', 'Telkomsel', 'ugly', 'really']")</f>
        <v>['Severe', 'Network', 'Telkomsel', 'ugly', 'really']</v>
      </c>
      <c r="D7708" s="3">
        <v>1.0</v>
      </c>
    </row>
    <row r="7709" ht="15.75" customHeight="1">
      <c r="A7709" s="1">
        <v>8233.0</v>
      </c>
      <c r="B7709" s="3" t="s">
        <v>7405</v>
      </c>
      <c r="C7709" s="3" t="str">
        <f>IFERROR(__xludf.DUMMYFUNCTION("GOOGLETRANSLATE(B7709,""id"",""en"")"),"['okay', 'quota', 'internet', 'special', 'available', 'GB', 'Wait', 'active', 'thank you', 'best', ""]")</f>
        <v>['okay', 'quota', 'internet', 'special', 'available', 'GB', 'Wait', 'active', 'thank you', 'best', "]</v>
      </c>
      <c r="D7709" s="3">
        <v>5.0</v>
      </c>
    </row>
    <row r="7710" ht="15.75" customHeight="1">
      <c r="A7710" s="1">
        <v>8234.0</v>
      </c>
      <c r="B7710" s="3" t="s">
        <v>7406</v>
      </c>
      <c r="C7710" s="3" t="str">
        <f>IFERROR(__xludf.DUMMYFUNCTION("GOOGLETRANSLATE(B7710,""id"",""en"")"),"['user', 'loyal', 'Telkomsel', 'Package', 'Kouta', 'Telkomsel', 'expensive', 'user', 'priority', 'given', 'promo', 'user', ' Buy ',' Since ',' Network ',' Tri ',' Enter ',' Switch ',' Tri ',' Kouta ',' Cheap ',' Network ',' Stable ',' Good ',' Bye ' , 'Te"&amp;"lkomsel']")</f>
        <v>['user', 'loyal', 'Telkomsel', 'Package', 'Kouta', 'Telkomsel', 'expensive', 'user', 'priority', 'given', 'promo', 'user', ' Buy ',' Since ',' Network ',' Tri ',' Enter ',' Switch ',' Tri ',' Kouta ',' Cheap ',' Network ',' Stable ',' Good ',' Bye ' , 'Telkomsel']</v>
      </c>
      <c r="D7710" s="3">
        <v>2.0</v>
      </c>
    </row>
    <row r="7711" ht="15.75" customHeight="1">
      <c r="A7711" s="1">
        <v>8235.0</v>
      </c>
      <c r="B7711" s="3" t="s">
        <v>2704</v>
      </c>
      <c r="C7711" s="3" t="str">
        <f>IFERROR(__xludf.DUMMYFUNCTION("GOOGLETRANSLATE(B7711,""id"",""en"")"),"['Package', 'expensive']")</f>
        <v>['Package', 'expensive']</v>
      </c>
      <c r="D7711" s="3">
        <v>1.0</v>
      </c>
    </row>
    <row r="7712" ht="15.75" customHeight="1">
      <c r="A7712" s="1">
        <v>8236.0</v>
      </c>
      <c r="B7712" s="3" t="s">
        <v>7407</v>
      </c>
      <c r="C7712" s="3" t="str">
        <f>IFERROR(__xludf.DUMMYFUNCTION("GOOGLETRANSLATE(B7712,""id"",""en"")"),"['Help', 'promo', 'package']")</f>
        <v>['Help', 'promo', 'package']</v>
      </c>
      <c r="D7712" s="3">
        <v>5.0</v>
      </c>
    </row>
    <row r="7713" ht="15.75" customHeight="1">
      <c r="A7713" s="1">
        <v>8237.0</v>
      </c>
      <c r="B7713" s="3" t="s">
        <v>7408</v>
      </c>
      <c r="C7713" s="3" t="str">
        <f>IFERROR(__xludf.DUMMYFUNCTION("GOOGLETRANSLATE(B7713,""id"",""en"")"),"['Sorry', 'stop', 'subscribe', 'Telkomsel', 'Hello', 'card', 'number', 'slakk', 'data', 'hook', 'number', 'Mebuka', ' data ',' forget ',' password ',' data ',' number ']")</f>
        <v>['Sorry', 'stop', 'subscribe', 'Telkomsel', 'Hello', 'card', 'number', 'slakk', 'data', 'hook', 'number', 'Mebuka', ' data ',' forget ',' password ',' data ',' number ']</v>
      </c>
      <c r="D7713" s="3">
        <v>1.0</v>
      </c>
    </row>
    <row r="7714" ht="15.75" customHeight="1">
      <c r="A7714" s="1">
        <v>8238.0</v>
      </c>
      <c r="B7714" s="3" t="s">
        <v>7409</v>
      </c>
      <c r="C7714" s="3" t="str">
        <f>IFERROR(__xludf.DUMMYFUNCTION("GOOGLETRANSLATE(B7714,""id"",""en"")"),"['steady', 'Appl', '']")</f>
        <v>['steady', 'Appl', '']</v>
      </c>
      <c r="D7714" s="3">
        <v>5.0</v>
      </c>
    </row>
    <row r="7715" ht="15.75" customHeight="1">
      <c r="A7715" s="1">
        <v>8239.0</v>
      </c>
      <c r="B7715" s="3" t="s">
        <v>7410</v>
      </c>
      <c r="C7715" s="3" t="str">
        <f>IFERROR(__xludf.DUMMYFUNCTION("GOOGLETRANSLATE(B7715,""id"",""en"")"),"['little', 'little', 'update', 'bug', 'gabisa', 'check', 'leftover', 'quota', 'update']")</f>
        <v>['little', 'little', 'update', 'bug', 'gabisa', 'check', 'leftover', 'quota', 'update']</v>
      </c>
      <c r="D7715" s="3">
        <v>1.0</v>
      </c>
    </row>
    <row r="7716" ht="15.75" customHeight="1">
      <c r="A7716" s="1">
        <v>8240.0</v>
      </c>
      <c r="B7716" s="3" t="s">
        <v>7411</v>
      </c>
      <c r="C7716" s="3" t="str">
        <f>IFERROR(__xludf.DUMMYFUNCTION("GOOGLETRANSLATE(B7716,""id"",""en"")"),"['application', 'Slow', 'disappointing', 'already', 'enter', 'link', 'told', 'verification']")</f>
        <v>['application', 'Slow', 'disappointing', 'already', 'enter', 'link', 'told', 'verification']</v>
      </c>
      <c r="D7716" s="3">
        <v>1.0</v>
      </c>
    </row>
    <row r="7717" ht="15.75" customHeight="1">
      <c r="A7717" s="1">
        <v>8241.0</v>
      </c>
      <c r="B7717" s="3" t="s">
        <v>7412</v>
      </c>
      <c r="C7717" s="3" t="str">
        <f>IFERROR(__xludf.DUMMYFUNCTION("GOOGLETRANSLATE(B7717,""id"",""en"")"),"['Signal', 'difficult', 'trouble', 'package', 'expensive', 'hadeeehh', '']")</f>
        <v>['Signal', 'difficult', 'trouble', 'package', 'expensive', 'hadeeehh', '']</v>
      </c>
      <c r="D7717" s="3">
        <v>1.0</v>
      </c>
    </row>
    <row r="7718" ht="15.75" customHeight="1">
      <c r="A7718" s="1">
        <v>8242.0</v>
      </c>
      <c r="B7718" s="3" t="s">
        <v>7413</v>
      </c>
      <c r="C7718" s="3" t="str">
        <f>IFERROR(__xludf.DUMMYFUNCTION("GOOGLETRANSLATE(B7718,""id"",""en"")"),"['Quota', 'internet', 'Sakti', 'Combo', 'Sakti', 'figuratively', 'buy', 'quota', 'try', 'repeated', 'repeated', ' For days, 'buy', 'quota', 'expensive', 'other', '']")</f>
        <v>['Quota', 'internet', 'Sakti', 'Combo', 'Sakti', 'figuratively', 'buy', 'quota', 'try', 'repeated', 'repeated', ' For days, 'buy', 'quota', 'expensive', 'other', '']</v>
      </c>
      <c r="D7718" s="3">
        <v>1.0</v>
      </c>
    </row>
    <row r="7719" ht="15.75" customHeight="1">
      <c r="A7719" s="1">
        <v>8243.0</v>
      </c>
      <c r="B7719" s="3" t="s">
        <v>7414</v>
      </c>
      <c r="C7719" s="3" t="str">
        <f>IFERROR(__xludf.DUMMYFUNCTION("GOOGLETRANSLATE(B7719,""id"",""en"")"),"['Telkomsel', 'open', 'blank', 'white', 'beg', 'solution', 'admin', 'Thanks']")</f>
        <v>['Telkomsel', 'open', 'blank', 'white', 'beg', 'solution', 'admin', 'Thanks']</v>
      </c>
      <c r="D7719" s="3">
        <v>5.0</v>
      </c>
    </row>
    <row r="7720" ht="15.75" customHeight="1">
      <c r="A7720" s="1">
        <v>8244.0</v>
      </c>
      <c r="B7720" s="3" t="s">
        <v>7415</v>
      </c>
      <c r="C7720" s="3" t="str">
        <f>IFERROR(__xludf.DUMMYFUNCTION("GOOGLETRANSLATE(B7720,""id"",""en"")"),"['number', 'sympathy', 'Telkomsel', 'cook', 'list', 'Telkomsel', 'enter', 'writing', 'hope', 'input', 'Telkomsel', 'enter', ' Simpati ',' sympathy ',' Telkomsel ',' ']")</f>
        <v>['number', 'sympathy', 'Telkomsel', 'cook', 'list', 'Telkomsel', 'enter', 'writing', 'hope', 'input', 'Telkomsel', 'enter', ' Simpati ',' sympathy ',' Telkomsel ',' ']</v>
      </c>
      <c r="D7720" s="3">
        <v>1.0</v>
      </c>
    </row>
    <row r="7721" ht="15.75" customHeight="1">
      <c r="A7721" s="1">
        <v>8245.0</v>
      </c>
      <c r="B7721" s="3" t="s">
        <v>7416</v>
      </c>
      <c r="C7721" s="3" t="str">
        <f>IFERROR(__xludf.DUMMYFUNCTION("GOOGLETRANSLATE(B7721,""id"",""en"")"),"['', 'Twlkomsel', 'Blank', 'White', 'Tumben', 'Twlkomsel', 'SKR', 'ugly']")</f>
        <v>['', 'Twlkomsel', 'Blank', 'White', 'Tumben', 'Twlkomsel', 'SKR', 'ugly']</v>
      </c>
      <c r="D7721" s="3">
        <v>1.0</v>
      </c>
    </row>
    <row r="7722" ht="15.75" customHeight="1">
      <c r="A7722" s="1">
        <v>8246.0</v>
      </c>
      <c r="B7722" s="3" t="s">
        <v>7417</v>
      </c>
      <c r="C7722" s="3" t="str">
        <f>IFERROR(__xludf.DUMMYFUNCTION("GOOGLETRANSLATE(B7722,""id"",""en"")"),"['GDK', 'Bgus',' AJG ',' Sinyl ',' Macem ',' Taik ',' LEG ',' Delay ',' SMPK ',' Cave ',' Troubled ',' Lecturer ',' Doseny ',' believe ',' Taik ',' crazy ',' complaints', 'signal', 'down', 'stable', 'night', 'signal', 'error', 'connection', 'internet' , '"&amp;"The network', 'GDK', 'Please', 'Fix', 'Gini', 'The story', 'Cave', 'Gakan', 'Pakek', 'Telkomsel', 'Mending', 'Move', ' cheap ',' signal ',' stable ',' expensive ',' signal ',' stable ',' pulak ',' worktide ']")</f>
        <v>['GDK', 'Bgus',' AJG ',' Sinyl ',' Macem ',' Taik ',' LEG ',' Delay ',' SMPK ',' Cave ',' Troubled ',' Lecturer ',' Doseny ',' believe ',' Taik ',' crazy ',' complaints', 'signal', 'down', 'stable', 'night', 'signal', 'error', 'connection', 'internet' , 'The network', 'GDK', 'Please', 'Fix', 'Gini', 'The story', 'Cave', 'Gakan', 'Pakek', 'Telkomsel', 'Mending', 'Move', ' cheap ',' signal ',' stable ',' expensive ',' signal ',' stable ',' pulak ',' worktide ']</v>
      </c>
      <c r="D7722" s="3">
        <v>1.0</v>
      </c>
    </row>
    <row r="7723" ht="15.75" customHeight="1">
      <c r="A7723" s="1">
        <v>8248.0</v>
      </c>
      <c r="B7723" s="3" t="s">
        <v>7418</v>
      </c>
      <c r="C7723" s="3" t="str">
        <f>IFERROR(__xludf.DUMMYFUNCTION("GOOGLETRANSLATE(B7723,""id"",""en"")"),"['Bru', 'update', 'open']")</f>
        <v>['Bru', 'update', 'open']</v>
      </c>
      <c r="D7723" s="3">
        <v>5.0</v>
      </c>
    </row>
    <row r="7724" ht="15.75" customHeight="1">
      <c r="A7724" s="1">
        <v>8249.0</v>
      </c>
      <c r="B7724" s="3" t="s">
        <v>7419</v>
      </c>
      <c r="C7724" s="3" t="str">
        <f>IFERROR(__xludf.DUMMYFUNCTION("GOOGLETRANSLATE(B7724,""id"",""en"")"),"['oath', 'kaga', 'signal', 'slow', 'really', 'severe', 'kaga', 'internet', 'Telkomsel', '']")</f>
        <v>['oath', 'kaga', 'signal', 'slow', 'really', 'severe', 'kaga', 'internet', 'Telkomsel', '']</v>
      </c>
      <c r="D7724" s="3">
        <v>1.0</v>
      </c>
    </row>
    <row r="7725" ht="15.75" customHeight="1">
      <c r="A7725" s="1">
        <v>8250.0</v>
      </c>
      <c r="B7725" s="3" t="s">
        <v>4845</v>
      </c>
      <c r="C7725" s="3" t="str">
        <f>IFERROR(__xludf.DUMMYFUNCTION("GOOGLETRANSLATE(B7725,""id"",""en"")"),"['Package', 'expensive']")</f>
        <v>['Package', 'expensive']</v>
      </c>
      <c r="D7725" s="3">
        <v>4.0</v>
      </c>
    </row>
    <row r="7726" ht="15.75" customHeight="1">
      <c r="A7726" s="1">
        <v>8251.0</v>
      </c>
      <c r="B7726" s="3" t="s">
        <v>7420</v>
      </c>
      <c r="C7726" s="3" t="str">
        <f>IFERROR(__xludf.DUMMYFUNCTION("GOOGLETRANSLATE(B7726,""id"",""en"")"),"['yeah', 'difficult', 'open', 'application', 'mytelkomsek', '']")</f>
        <v>['yeah', 'difficult', 'open', 'application', 'mytelkomsek', '']</v>
      </c>
      <c r="D7726" s="3">
        <v>5.0</v>
      </c>
    </row>
    <row r="7727" ht="15.75" customHeight="1">
      <c r="A7727" s="1">
        <v>8252.0</v>
      </c>
      <c r="B7727" s="3" t="s">
        <v>7421</v>
      </c>
      <c r="C7727" s="3" t="str">
        <f>IFERROR(__xludf.DUMMYFUNCTION("GOOGLETRANSLATE(B7727,""id"",""en"")"),"['Telkomsel', 'Open', 'Ngblank', 'White', ""]")</f>
        <v>['Telkomsel', 'Open', 'Ngblank', 'White', "]</v>
      </c>
      <c r="D7727" s="3">
        <v>1.0</v>
      </c>
    </row>
    <row r="7728" ht="15.75" customHeight="1">
      <c r="A7728" s="1">
        <v>8253.0</v>
      </c>
      <c r="B7728" s="3" t="s">
        <v>7422</v>
      </c>
      <c r="C7728" s="3" t="str">
        <f>IFERROR(__xludf.DUMMYFUNCTION("GOOGLETRANSLATE(B7728,""id"",""en"")"),"['Weve', 'Severe', 'Bukak', ""]")</f>
        <v>['Weve', 'Severe', 'Bukak', "]</v>
      </c>
      <c r="D7728" s="3">
        <v>1.0</v>
      </c>
    </row>
    <row r="7729" ht="15.75" customHeight="1">
      <c r="A7729" s="1">
        <v>8254.0</v>
      </c>
      <c r="B7729" s="3" t="s">
        <v>1492</v>
      </c>
      <c r="C7729" s="3" t="str">
        <f>IFERROR(__xludf.DUMMYFUNCTION("GOOGLETRANSLATE(B7729,""id"",""en"")"),"['Download']")</f>
        <v>['Download']</v>
      </c>
      <c r="D7729" s="3">
        <v>5.0</v>
      </c>
    </row>
    <row r="7730" ht="15.75" customHeight="1">
      <c r="A7730" s="1">
        <v>8255.0</v>
      </c>
      <c r="B7730" s="3" t="s">
        <v>7423</v>
      </c>
      <c r="C7730" s="3" t="str">
        <f>IFERROR(__xludf.DUMMYFUNCTION("GOOGLETRANSLATE(B7730,""id"",""en"")"),"['Enter', 'repeat', 'times', 'Login', '']")</f>
        <v>['Enter', 'repeat', 'times', 'Login', '']</v>
      </c>
      <c r="D7730" s="3">
        <v>1.0</v>
      </c>
    </row>
    <row r="7731" ht="15.75" customHeight="1">
      <c r="A7731" s="1">
        <v>8256.0</v>
      </c>
      <c r="B7731" s="3" t="s">
        <v>7424</v>
      </c>
      <c r="C7731" s="3" t="str">
        <f>IFERROR(__xludf.DUMMYFUNCTION("GOOGLETRANSLATE(B7731,""id"",""en"")"),"['Sometimes',' Open ',' Application ',' Telkomsel ',' Nge ',' Blenk ',' White ',' Times', 'Open', 'Appear', 'Facilitates',' Buy ',' package']")</f>
        <v>['Sometimes',' Open ',' Application ',' Telkomsel ',' Nge ',' Blenk ',' White ',' Times', 'Open', 'Appear', 'Facilitates',' Buy ',' package']</v>
      </c>
      <c r="D7731" s="3">
        <v>5.0</v>
      </c>
    </row>
    <row r="7732" ht="15.75" customHeight="1">
      <c r="A7732" s="1">
        <v>8258.0</v>
      </c>
      <c r="B7732" s="3" t="s">
        <v>7425</v>
      </c>
      <c r="C7732" s="3" t="str">
        <f>IFERROR(__xludf.DUMMYFUNCTION("GOOGLETRANSLATE(B7732,""id"",""en"")"),"['Kasi', 'bru', 'play', 'APK']")</f>
        <v>['Kasi', 'bru', 'play', 'APK']</v>
      </c>
      <c r="D7732" s="3">
        <v>3.0</v>
      </c>
    </row>
    <row r="7733" ht="15.75" customHeight="1">
      <c r="A7733" s="1">
        <v>8259.0</v>
      </c>
      <c r="B7733" s="3" t="s">
        <v>7426</v>
      </c>
      <c r="C7733" s="3" t="str">
        <f>IFERROR(__xludf.DUMMYFUNCTION("GOOGLETRANSLATE(B7733,""id"",""en"")"),"['Telkomsel', 'opened', 'hiks']")</f>
        <v>['Telkomsel', 'opened', 'hiks']</v>
      </c>
      <c r="D7733" s="3">
        <v>5.0</v>
      </c>
    </row>
    <row r="7734" ht="15.75" customHeight="1">
      <c r="A7734" s="1">
        <v>8260.0</v>
      </c>
      <c r="B7734" s="3" t="s">
        <v>7427</v>
      </c>
      <c r="C7734" s="3" t="str">
        <f>IFERROR(__xludf.DUMMYFUNCTION("GOOGLETRANSLATE(B7734,""id"",""en"")"),"['bad', 'signal', 'chaotic', 'abis',' upgrade ',' bsaa ',' open ',' knp ',' makes it easy ',' skrng ',' troubles', 'knp', ' Telkomsel ',' Jadi ',' BNI ']")</f>
        <v>['bad', 'signal', 'chaotic', 'abis',' upgrade ',' bsaa ',' open ',' knp ',' makes it easy ',' skrng ',' troubles', 'knp', ' Telkomsel ',' Jadi ',' BNI ']</v>
      </c>
      <c r="D7734" s="3">
        <v>1.0</v>
      </c>
    </row>
    <row r="7735" ht="15.75" customHeight="1">
      <c r="A7735" s="1">
        <v>8261.0</v>
      </c>
      <c r="B7735" s="3" t="s">
        <v>7428</v>
      </c>
      <c r="C7735" s="3" t="str">
        <f>IFERROR(__xludf.DUMMYFUNCTION("GOOGLETRANSLATE(B7735,""id"",""en"")"),"['Sya', 'as' said' Tlkomsl ',' SNGAT ',' SNGAT ',' Disappointed ',' Skli ',' Krna ',' Application ',' MyTelkomsel ',' Sya ',' error ',' aka ',' ngeblank ',' bro ',' brpa ',' kli ',' sya ',' try ',' install ',' reset ',' sja ',' error ',' sya ' , 'Try', 'c"&amp;"ontact', 'Castumer', 'Care', 'Officer', 'LWT', 'Email', 'Say "",' HRS ',' Visit ',' Grafari ',' bring ',' document ',' letter ',' ketrnnn ',' dri ',' service ',' kpndudukn ',' ctatan ',' civil ',' hadeeuhhhh ',' ampuunn ',' dahh ',' ribetttttt ',' bett ' "&amp;", 'Bett', 'beeeeettttt', '']")</f>
        <v>['Sya', 'as' said' Tlkomsl ',' SNGAT ',' SNGAT ',' Disappointed ',' Skli ',' Krna ',' Application ',' MyTelkomsel ',' Sya ',' error ',' aka ',' ngeblank ',' bro ',' brpa ',' kli ',' sya ',' try ',' install ',' reset ',' sja ',' error ',' sya ' , 'Try', 'contact', 'Castumer', 'Care', 'Officer', 'LWT', 'Email', 'Say ",' HRS ',' Visit ',' Grafari ',' bring ',' document ',' letter ',' ketrnnn ',' dri ',' service ',' kpndudukn ',' ctatan ',' civil ',' hadeeuhhhh ',' ampuunn ',' dahh ',' ribetttttt ',' bett ' , 'Bett', 'beeeeettttt', '']</v>
      </c>
      <c r="D7735" s="3">
        <v>1.0</v>
      </c>
    </row>
    <row r="7736" ht="15.75" customHeight="1">
      <c r="A7736" s="1">
        <v>8262.0</v>
      </c>
      <c r="B7736" s="3" t="s">
        <v>7429</v>
      </c>
      <c r="C7736" s="3" t="str">
        <f>IFERROR(__xludf.DUMMYFUNCTION("GOOGLETRANSLATE(B7736,""id"",""en"")"),"['petrified', 'buy', 'package', 'internet', 'terbimah', 'love', 'telkomse']")</f>
        <v>['petrified', 'buy', 'package', 'internet', 'terbimah', 'love', 'telkomse']</v>
      </c>
      <c r="D7736" s="3">
        <v>5.0</v>
      </c>
    </row>
    <row r="7737" ht="15.75" customHeight="1">
      <c r="A7737" s="1">
        <v>8263.0</v>
      </c>
      <c r="B7737" s="3" t="s">
        <v>7430</v>
      </c>
      <c r="C7737" s="3" t="str">
        <f>IFERROR(__xludf.DUMMYFUNCTION("GOOGLETRANSLATE(B7737,""id"",""en"")"),"['Dear', 'admin', 'Telkomsel', 'Please', 'Maintenance', 'Tell', 'Customer', 'Karna', 'Need', 'Clarity', 'Sunday', 'Access',' APK ',' Disappointment ',' Telkomsel ',' Turns', 'Provider', 'Please', 'Fix', 'Thank you', ""]")</f>
        <v>['Dear', 'admin', 'Telkomsel', 'Please', 'Maintenance', 'Tell', 'Customer', 'Karna', 'Need', 'Clarity', 'Sunday', 'Access',' APK ',' Disappointment ',' Telkomsel ',' Turns', 'Provider', 'Please', 'Fix', 'Thank you', "]</v>
      </c>
      <c r="D7737" s="3">
        <v>1.0</v>
      </c>
    </row>
    <row r="7738" ht="15.75" customHeight="1">
      <c r="A7738" s="1">
        <v>8264.0</v>
      </c>
      <c r="B7738" s="3" t="s">
        <v>7431</v>
      </c>
      <c r="C7738" s="3" t="str">
        <f>IFERROR(__xludf.DUMMYFUNCTION("GOOGLETRANSLATE(B7738,""id"",""en"")"),"['Help', 'Very', 'Telkomsel', 'Disable', 'Features',' name ',' mvicall ',' right ',' contents', 'pulse', 'active', 'take', ' Credit ',' Disight ',' Telkomsel ',' ']")</f>
        <v>['Help', 'Very', 'Telkomsel', 'Disable', 'Features',' name ',' mvicall ',' right ',' contents', 'pulse', 'active', 'take', ' Credit ',' Disight ',' Telkomsel ',' ']</v>
      </c>
      <c r="D7738" s="3">
        <v>1.0</v>
      </c>
    </row>
    <row r="7739" ht="15.75" customHeight="1">
      <c r="A7739" s="1">
        <v>8265.0</v>
      </c>
      <c r="B7739" s="3" t="s">
        <v>7432</v>
      </c>
      <c r="C7739" s="3" t="str">
        <f>IFERROR(__xludf.DUMMYFUNCTION("GOOGLETRANSLATE(B7739,""id"",""en"")"),"['ask', 'application', 'open']")</f>
        <v>['ask', 'application', 'open']</v>
      </c>
      <c r="D7739" s="3">
        <v>5.0</v>
      </c>
    </row>
    <row r="7740" ht="15.75" customHeight="1">
      <c r="A7740" s="1">
        <v>8266.0</v>
      </c>
      <c r="B7740" s="3" t="s">
        <v>7433</v>
      </c>
      <c r="C7740" s="3" t="str">
        <f>IFERROR(__xludf.DUMMYFUNCTION("GOOGLETRANSLATE(B7740,""id"",""en"")"),"['', 'Telkomsel', 'open', 'blank']")</f>
        <v>['', 'Telkomsel', 'open', 'blank']</v>
      </c>
      <c r="D7740" s="3">
        <v>1.0</v>
      </c>
    </row>
    <row r="7741" ht="15.75" customHeight="1">
      <c r="A7741" s="1">
        <v>8267.0</v>
      </c>
      <c r="B7741" s="3" t="s">
        <v>7434</v>
      </c>
      <c r="C7741" s="3" t="str">
        <f>IFERROR(__xludf.DUMMYFUNCTION("GOOGLETRANSLATE(B7741,""id"",""en"")"),"['Event', 'Lotsin', '']")</f>
        <v>['Event', 'Lotsin', '']</v>
      </c>
      <c r="D7741" s="3">
        <v>4.0</v>
      </c>
    </row>
    <row r="7742" ht="15.75" customHeight="1">
      <c r="A7742" s="1">
        <v>8268.0</v>
      </c>
      <c r="B7742" s="3" t="s">
        <v>7435</v>
      </c>
      <c r="C7742" s="3" t="str">
        <f>IFERROR(__xludf.DUMMYFUNCTION("GOOGLETRANSLATE(B7742,""id"",""en"")"),"['Mantap', 'Adin', 'Event']")</f>
        <v>['Mantap', 'Adin', 'Event']</v>
      </c>
      <c r="D7742" s="3">
        <v>4.0</v>
      </c>
    </row>
    <row r="7743" ht="15.75" customHeight="1">
      <c r="A7743" s="1">
        <v>8269.0</v>
      </c>
      <c r="B7743" s="3" t="s">
        <v>7436</v>
      </c>
      <c r="C7743" s="3" t="str">
        <f>IFERROR(__xludf.DUMMYFUNCTION("GOOGLETRANSLATE(B7743,""id"",""en"")"),"['', 'updet', 'Kirain', 'smooth', 'BSA', 'Delete', 'Install', 'reset', 'mnit', 'open', 'screen', 'white', 'application ',' Worst ']")</f>
        <v>['', 'updet', 'Kirain', 'smooth', 'BSA', 'Delete', 'Install', 'reset', 'mnit', 'open', 'screen', 'white', 'application ',' Worst ']</v>
      </c>
      <c r="D7743" s="3">
        <v>1.0</v>
      </c>
    </row>
    <row r="7744" ht="15.75" customHeight="1">
      <c r="A7744" s="1">
        <v>8270.0</v>
      </c>
      <c r="B7744" s="3" t="s">
        <v>7437</v>
      </c>
      <c r="C7744" s="3" t="str">
        <f>IFERROR(__xludf.DUMMYFUNCTION("GOOGLETRANSLATE(B7744,""id"",""en"")"),"['Sousal', 'good', 'ugly', 'kek', 'signal', 'kampung', 'just', 'whatsapp', 'doang', 'access', 'application', 'company' Success', 'work', 'update', 'Mulu', 'Mending', 'Collab', 'Ama', 'company', 'WhatsApp', 'Sono', 'bankrupt', 'company', 'internet' ]")</f>
        <v>['Sousal', 'good', 'ugly', 'kek', 'signal', 'kampung', 'just', 'whatsapp', 'doang', 'access', 'application', 'company' Success', 'work', 'update', 'Mulu', 'Mending', 'Collab', 'Ama', 'company', 'WhatsApp', 'Sono', 'bankrupt', 'company', 'internet' ]</v>
      </c>
      <c r="D7744" s="3">
        <v>1.0</v>
      </c>
    </row>
    <row r="7745" ht="15.75" customHeight="1">
      <c r="A7745" s="1">
        <v>8271.0</v>
      </c>
      <c r="B7745" s="3" t="s">
        <v>7438</v>
      </c>
      <c r="C7745" s="3" t="str">
        <f>IFERROR(__xludf.DUMMYFUNCTION("GOOGLETRANSLATE(B7745,""id"",""en"")"),"['bintana', 'Telkomsel', 'open', 'easy', 'gini', 'buy', 'package', 'data', 'difficult', 'please', 'Telkomsel', 'fix', ' Customers', 'Disappointed', '']")</f>
        <v>['bintana', 'Telkomsel', 'open', 'easy', 'gini', 'buy', 'package', 'data', 'difficult', 'please', 'Telkomsel', 'fix', ' Customers', 'Disappointed', '']</v>
      </c>
      <c r="D7745" s="3">
        <v>1.0</v>
      </c>
    </row>
    <row r="7746" ht="15.75" customHeight="1">
      <c r="A7746" s="1">
        <v>8272.0</v>
      </c>
      <c r="B7746" s="3" t="s">
        <v>7439</v>
      </c>
      <c r="C7746" s="3" t="str">
        <f>IFERROR(__xludf.DUMMYFUNCTION("GOOGLETRANSLATE(B7746,""id"",""en"")"),"['The application', 'open']")</f>
        <v>['The application', 'open']</v>
      </c>
      <c r="D7746" s="3">
        <v>1.0</v>
      </c>
    </row>
    <row r="7747" ht="15.75" customHeight="1">
      <c r="A7747" s="1">
        <v>8273.0</v>
      </c>
      <c r="B7747" s="3" t="s">
        <v>7440</v>
      </c>
      <c r="C7747" s="3" t="str">
        <f>IFERROR(__xludf.DUMMYFUNCTION("GOOGLETRANSLATE(B7747,""id"",""en"")"),"['application', 'opened', 'blank', 'white']")</f>
        <v>['application', 'opened', 'blank', 'white']</v>
      </c>
      <c r="D7747" s="3">
        <v>1.0</v>
      </c>
    </row>
    <row r="7748" ht="15.75" customHeight="1">
      <c r="A7748" s="1">
        <v>8274.0</v>
      </c>
      <c r="B7748" s="3" t="s">
        <v>7441</v>
      </c>
      <c r="C7748" s="3" t="str">
        <f>IFERROR(__xludf.DUMMYFUNCTION("GOOGLETRANSLATE(B7748,""id"",""en"")"),"['Hopefully', 'Telkom', 'Success', ""]")</f>
        <v>['Hopefully', 'Telkom', 'Success', "]</v>
      </c>
      <c r="D7748" s="3">
        <v>5.0</v>
      </c>
    </row>
    <row r="7749" ht="15.75" customHeight="1">
      <c r="A7749" s="1">
        <v>8276.0</v>
      </c>
      <c r="B7749" s="3" t="s">
        <v>7442</v>
      </c>
      <c r="C7749" s="3" t="str">
        <f>IFERROR(__xludf.DUMMYFUNCTION("GOOGLETRANSLATE(B7749,""id"",""en"")"),"['Download', 'reset', 'enter', 'BLM', 'App', 'Please', 'Fix', 'Kasian', 'Customer', 'Reply', 'Open', 'Tweet', ' repair']")</f>
        <v>['Download', 'reset', 'enter', 'BLM', 'App', 'Please', 'Fix', 'Kasian', 'Customer', 'Reply', 'Open', 'Tweet', ' repair']</v>
      </c>
      <c r="D7749" s="3">
        <v>1.0</v>
      </c>
    </row>
    <row r="7750" ht="15.75" customHeight="1">
      <c r="A7750" s="1">
        <v>8278.0</v>
      </c>
      <c r="B7750" s="3" t="s">
        <v>7443</v>
      </c>
      <c r="C7750" s="3" t="str">
        <f>IFERROR(__xludf.DUMMYFUNCTION("GOOGLETRANSLATE(B7750,""id"",""en"")"),"['Telkomsel', 'Tae', 'dead', 'lights',' Mending ',' Jngn ',' Telkomsel ',' Axis', 'Ajjh', 'quota', 'expensive', 'rain', ' Ajjh ',' Lost ', ""]")</f>
        <v>['Telkomsel', 'Tae', 'dead', 'lights',' Mending ',' Jngn ',' Telkomsel ',' Axis', 'Ajjh', 'quota', 'expensive', 'rain', ' Ajjh ',' Lost ', "]</v>
      </c>
      <c r="D7750" s="3">
        <v>1.0</v>
      </c>
    </row>
    <row r="7751" ht="15.75" customHeight="1">
      <c r="A7751" s="1">
        <v>8279.0</v>
      </c>
      <c r="B7751" s="3" t="s">
        <v>7444</v>
      </c>
      <c r="C7751" s="3" t="str">
        <f>IFERROR(__xludf.DUMMYFUNCTION("GOOGLETRANSLATE(B7751,""id"",""en"")"),"['Ngeblank', 'white', 'dowload', 'version', 'UDH', 'Minute', 'told', 'APDATE', 'UDH', 'APDATE', 'Blank', 'White', ' Heraan ',' Deh ',' Ama ',' APK ']")</f>
        <v>['Ngeblank', 'white', 'dowload', 'version', 'UDH', 'Minute', 'told', 'APDATE', 'UDH', 'APDATE', 'Blank', 'White', ' Heraan ',' Deh ',' Ama ',' APK ']</v>
      </c>
      <c r="D7751" s="3">
        <v>1.0</v>
      </c>
    </row>
    <row r="7752" ht="15.75" customHeight="1">
      <c r="A7752" s="1">
        <v>8280.0</v>
      </c>
      <c r="B7752" s="3" t="s">
        <v>7445</v>
      </c>
      <c r="C7752" s="3" t="str">
        <f>IFERROR(__xludf.DUMMYFUNCTION("GOOGLETRANSLATE(B7752,""id"",""en"")"),"['Kirain', 'Palmu', 'complains', 'open', 'APK', 'Please', 'clarity', 'Ribet', 'buy', ""]")</f>
        <v>['Kirain', 'Palmu', 'complains', 'open', 'APK', 'Please', 'clarity', 'Ribet', 'buy', "]</v>
      </c>
      <c r="D7752" s="3">
        <v>1.0</v>
      </c>
    </row>
    <row r="7753" ht="15.75" customHeight="1">
      <c r="A7753" s="1">
        <v>8281.0</v>
      </c>
      <c r="B7753" s="3" t="s">
        <v>7446</v>
      </c>
      <c r="C7753" s="3" t="str">
        <f>IFERROR(__xludf.DUMMYFUNCTION("GOOGLETRANSLATE(B7753,""id"",""en"")"),"['week', 'the application', 'opened', 'honest', 'disappointed', 'really', 'Karna', 'continue', 'daily', 'check', 'buy', 'quota', ' complicated ',' pulse ',' please ',' fix ',' bug ',' ']")</f>
        <v>['week', 'the application', 'opened', 'honest', 'disappointed', 'really', 'Karna', 'continue', 'daily', 'check', 'buy', 'quota', ' complicated ',' pulse ',' please ',' fix ',' bug ',' ']</v>
      </c>
      <c r="D7753" s="3">
        <v>1.0</v>
      </c>
    </row>
    <row r="7754" ht="15.75" customHeight="1">
      <c r="A7754" s="1">
        <v>8282.0</v>
      </c>
      <c r="B7754" s="3" t="s">
        <v>7447</v>
      </c>
      <c r="C7754" s="3" t="str">
        <f>IFERROR(__xludf.DUMMYFUNCTION("GOOGLETRANSLATE(B7754,""id"",""en"")"),"['Telkomsel', 'fast']")</f>
        <v>['Telkomsel', 'fast']</v>
      </c>
      <c r="D7754" s="3">
        <v>5.0</v>
      </c>
    </row>
    <row r="7755" ht="15.75" customHeight="1">
      <c r="A7755" s="1">
        <v>8283.0</v>
      </c>
      <c r="B7755" s="3" t="s">
        <v>7448</v>
      </c>
      <c r="C7755" s="3" t="str">
        <f>IFERROR(__xludf.DUMMYFUNCTION("GOOGLETRANSLATE(B7755,""id"",""en"")"),"['Telkomsel', 'severe', 'owned', 'state', 'disappointing', 'customers', 'people', 'aspects', 'service', 'app', 'package', 'expensive']")</f>
        <v>['Telkomsel', 'severe', 'owned', 'state', 'disappointing', 'customers', 'people', 'aspects', 'service', 'app', 'package', 'expensive']</v>
      </c>
      <c r="D7755" s="3">
        <v>1.0</v>
      </c>
    </row>
    <row r="7756" ht="15.75" customHeight="1">
      <c r="A7756" s="1">
        <v>8284.0</v>
      </c>
      <c r="B7756" s="3" t="s">
        <v>7449</v>
      </c>
      <c r="C7756" s="3" t="str">
        <f>IFERROR(__xludf.DUMMYFUNCTION("GOOGLETRANSLATE(B7756,""id"",""en"")"),"['Stable', 'net', 'price', 'disappointing']")</f>
        <v>['Stable', 'net', 'price', 'disappointing']</v>
      </c>
      <c r="D7756" s="3">
        <v>1.0</v>
      </c>
    </row>
    <row r="7757" ht="15.75" customHeight="1">
      <c r="A7757" s="1">
        <v>8285.0</v>
      </c>
      <c r="B7757" s="3" t="s">
        <v>7450</v>
      </c>
      <c r="C7757" s="3" t="str">
        <f>IFERROR(__xludf.DUMMYFUNCTION("GOOGLETRANSLATE(B7757,""id"",""en"")"),"['Open', 'Application', 'Blank', 'White', 'Pekah', '']")</f>
        <v>['Open', 'Application', 'Blank', 'White', 'Pekah', '']</v>
      </c>
      <c r="D7757" s="3">
        <v>1.0</v>
      </c>
    </row>
    <row r="7758" ht="15.75" customHeight="1">
      <c r="A7758" s="1">
        <v>8286.0</v>
      </c>
      <c r="B7758" s="3" t="s">
        <v>7451</v>
      </c>
      <c r="C7758" s="3" t="str">
        <f>IFERROR(__xludf.DUMMYFUNCTION("GOOGLETRANSLATE(B7758,""id"",""en"")"),"['like', 'really', 'application', 'The', 'Best']")</f>
        <v>['like', 'really', 'application', 'The', 'Best']</v>
      </c>
      <c r="D7758" s="3">
        <v>5.0</v>
      </c>
    </row>
    <row r="7759" ht="15.75" customHeight="1">
      <c r="A7759" s="1">
        <v>8287.0</v>
      </c>
      <c r="B7759" s="3" t="s">
        <v>7452</v>
      </c>
      <c r="C7759" s="3" t="str">
        <f>IFERROR(__xludf.DUMMYFUNCTION("GOOGLETRANSLATE(B7759,""id"",""en"")"),"['great', 'application', 'network', 'cellular', 'doang', 'ngalain', 'application', 'game', 'online', 'storage', 'sampe', 'GB', ' The slow ',' ']")</f>
        <v>['great', 'application', 'network', 'cellular', 'doang', 'ngalain', 'application', 'game', 'online', 'storage', 'sampe', 'GB', ' The slow ',' ']</v>
      </c>
      <c r="D7759" s="3">
        <v>1.0</v>
      </c>
    </row>
    <row r="7760" ht="15.75" customHeight="1">
      <c r="A7760" s="1">
        <v>8288.0</v>
      </c>
      <c r="B7760" s="3" t="s">
        <v>7453</v>
      </c>
      <c r="C7760" s="3" t="str">
        <f>IFERROR(__xludf.DUMMYFUNCTION("GOOGLETRANSLATE(B7760,""id"",""en"")"),"['Steady', 'use', 'APK', 'Telkomsel']")</f>
        <v>['Steady', 'use', 'APK', 'Telkomsel']</v>
      </c>
      <c r="D7760" s="3">
        <v>5.0</v>
      </c>
    </row>
    <row r="7761" ht="15.75" customHeight="1">
      <c r="A7761" s="1">
        <v>8289.0</v>
      </c>
      <c r="B7761" s="3" t="s">
        <v>7454</v>
      </c>
      <c r="C7761" s="3" t="str">
        <f>IFERROR(__xludf.DUMMYFUNCTION("GOOGLETRANSLATE(B7761,""id"",""en"")"),"['Easy', 'promo', 'interesting', '']")</f>
        <v>['Easy', 'promo', 'interesting', '']</v>
      </c>
      <c r="D7761" s="3">
        <v>5.0</v>
      </c>
    </row>
    <row r="7762" ht="15.75" customHeight="1">
      <c r="A7762" s="1">
        <v>8290.0</v>
      </c>
      <c r="B7762" s="3" t="s">
        <v>7455</v>
      </c>
      <c r="C7762" s="3" t="str">
        <f>IFERROR(__xludf.DUMMYFUNCTION("GOOGLETRANSLATE(B7762,""id"",""en"")"),"['The application', 'Gini', 'Karna', 'Disruption', 'Buy', 'Package', 'Data', 'APP']")</f>
        <v>['The application', 'Gini', 'Karna', 'Disruption', 'Buy', 'Package', 'Data', 'APP']</v>
      </c>
      <c r="D7762" s="3">
        <v>1.0</v>
      </c>
    </row>
    <row r="7763" ht="15.75" customHeight="1">
      <c r="A7763" s="1">
        <v>8292.0</v>
      </c>
      <c r="B7763" s="3" t="s">
        <v>7456</v>
      </c>
      <c r="C7763" s="3" t="str">
        <f>IFERROR(__xludf.DUMMYFUNCTION("GOOGLETRANSLATE(B7763,""id"",""en"")"),"['Try', 'Dlu', 'GMN', 'Strength', 'Network', 'Telkomsel', 'Kya']")</f>
        <v>['Try', 'Dlu', 'GMN', 'Strength', 'Network', 'Telkomsel', 'Kya']</v>
      </c>
      <c r="D7763" s="3">
        <v>3.0</v>
      </c>
    </row>
    <row r="7764" ht="15.75" customHeight="1">
      <c r="A7764" s="1">
        <v>8293.0</v>
      </c>
      <c r="B7764" s="3" t="s">
        <v>7457</v>
      </c>
      <c r="C7764" s="3" t="str">
        <f>IFERROR(__xludf.DUMMYFUNCTION("GOOGLETRANSLATE(B7764,""id"",""en"")"),"['', 'Telkomsel', 'Bener', 'Deh', 'Enter', 'Application', 'Wonder', 'Deh', 'Telkomsel', 'skrg', 'network', 'jeeeeeek', 'bangeeeeet ']")</f>
        <v>['', 'Telkomsel', 'Bener', 'Deh', 'Enter', 'Application', 'Wonder', 'Deh', 'Telkomsel', 'skrg', 'network', 'jeeeeeek', 'bangeeeeet ']</v>
      </c>
      <c r="D7764" s="3">
        <v>3.0</v>
      </c>
    </row>
    <row r="7765" ht="15.75" customHeight="1">
      <c r="A7765" s="1">
        <v>8294.0</v>
      </c>
      <c r="B7765" s="3" t="s">
        <v>7458</v>
      </c>
      <c r="C7765" s="3" t="str">
        <f>IFERROR(__xludf.DUMMYFUNCTION("GOOGLETRANSLATE(B7765,""id"",""en"")"),"['Parahh', 'application', 'opened', 'yaa', '']")</f>
        <v>['Parahh', 'application', 'opened', 'yaa', '']</v>
      </c>
      <c r="D7765" s="3">
        <v>2.0</v>
      </c>
    </row>
    <row r="7766" ht="15.75" customHeight="1">
      <c r="A7766" s="1">
        <v>8295.0</v>
      </c>
      <c r="B7766" s="3" t="s">
        <v>7459</v>
      </c>
      <c r="C7766" s="3" t="str">
        <f>IFERROR(__xludf.DUMMYFUNCTION("GOOGLETRANSLATE(B7766,""id"",""en"")"),"['Hopefully', 'Lottery', 'Aminn']")</f>
        <v>['Hopefully', 'Lottery', 'Aminn']</v>
      </c>
      <c r="D7766" s="3">
        <v>5.0</v>
      </c>
    </row>
    <row r="7767" ht="15.75" customHeight="1">
      <c r="A7767" s="1">
        <v>8296.0</v>
      </c>
      <c r="B7767" s="3" t="s">
        <v>7460</v>
      </c>
      <c r="C7767" s="3" t="str">
        <f>IFERROR(__xludf.DUMMYFUNCTION("GOOGLETRANSLATE(B7767,""id"",""en"")"),"['open', 'app', 'appears',' notif ',' oops', 'error', 'system', 'try', 'install', 'reset', 'msh', 'helloo', ' BKNX ',' Solution ',' Instant ',' DPT ',' DOOR ',' Chat ',' Weve ',' buy ',' quota ',' owe ',' until ',' DPT ',' service ' , 'Kek', 'State', 'BLM"&amp;"', 'Merdeka', ""]")</f>
        <v>['open', 'app', 'appears',' notif ',' oops', 'error', 'system', 'try', 'install', 'reset', 'msh', 'helloo', ' BKNX ',' Solution ',' Instant ',' DPT ',' DOOR ',' Chat ',' Weve ',' buy ',' quota ',' owe ',' until ',' DPT ',' service ' , 'Kek', 'State', 'BLM', 'Merdeka', "]</v>
      </c>
      <c r="D7767" s="3">
        <v>2.0</v>
      </c>
    </row>
    <row r="7768" ht="15.75" customHeight="1">
      <c r="A7768" s="1">
        <v>8297.0</v>
      </c>
      <c r="B7768" s="3" t="s">
        <v>7461</v>
      </c>
      <c r="C7768" s="3" t="str">
        <f>IFERROR(__xludf.DUMMYFUNCTION("GOOGLETRANSLATE(B7768,""id"",""en"")"),"['Darling', 'Application', 'opened', 'Yesterday', 'Update', 'Really', 'Disappointed', '']")</f>
        <v>['Darling', 'Application', 'opened', 'Yesterday', 'Update', 'Really', 'Disappointed', '']</v>
      </c>
      <c r="D7768" s="3">
        <v>1.0</v>
      </c>
    </row>
    <row r="7769" ht="15.75" customHeight="1">
      <c r="A7769" s="1">
        <v>8298.0</v>
      </c>
      <c r="B7769" s="3" t="s">
        <v>7462</v>
      </c>
      <c r="C7769" s="3" t="str">
        <f>IFERROR(__xludf.DUMMYFUNCTION("GOOGLETRANSLATE(B7769,""id"",""en"")"),"['Good', 'Luck', 'Application', 'Help', 'Very', 'Hurry', 'Donoat', 'Entar', 'Raying', 'Paketan', 'Cheap']")</f>
        <v>['Good', 'Luck', 'Application', 'Help', 'Very', 'Hurry', 'Donoat', 'Entar', 'Raying', 'Paketan', 'Cheap']</v>
      </c>
      <c r="D7769" s="3">
        <v>5.0</v>
      </c>
    </row>
    <row r="7770" ht="15.75" customHeight="1">
      <c r="A7770" s="1">
        <v>8299.0</v>
      </c>
      <c r="B7770" s="3" t="s">
        <v>7463</v>
      </c>
      <c r="C7770" s="3" t="str">
        <f>IFERROR(__xludf.DUMMYFUNCTION("GOOGLETRANSLATE(B7770,""id"",""en"")"),"['good', 'signal', 'telkom', 'nggk', 'gini', 'package', 'nya', 'cheap', 'nggk', 'difficult', 'signal', 'udh', ' expensive ',' difficult ',' signal ']")</f>
        <v>['good', 'signal', 'telkom', 'nggk', 'gini', 'package', 'nya', 'cheap', 'nggk', 'difficult', 'signal', 'udh', ' expensive ',' difficult ',' signal ']</v>
      </c>
      <c r="D7770" s="3">
        <v>1.0</v>
      </c>
    </row>
    <row r="7771" ht="15.75" customHeight="1">
      <c r="A7771" s="1">
        <v>8300.0</v>
      </c>
      <c r="B7771" s="3" t="s">
        <v>7464</v>
      </c>
      <c r="C7771" s="3" t="str">
        <f>IFERROR(__xludf.DUMMYFUNCTION("GOOGLETRANSLATE(B7771,""id"",""en"")"),"['Out', 'Nge', 'update', 'enter', '']")</f>
        <v>['Out', 'Nge', 'update', 'enter', '']</v>
      </c>
      <c r="D7771" s="3">
        <v>1.0</v>
      </c>
    </row>
    <row r="7772" ht="15.75" customHeight="1">
      <c r="A7772" s="1">
        <v>8301.0</v>
      </c>
      <c r="B7772" s="3" t="s">
        <v>7465</v>
      </c>
      <c r="C7772" s="3" t="str">
        <f>IFERROR(__xludf.DUMMYFUNCTION("GOOGLETRANSLATE(B7772,""id"",""en"")"),"['Fix', 'subscription', '']")</f>
        <v>['Fix', 'subscription', '']</v>
      </c>
      <c r="D7772" s="3">
        <v>5.0</v>
      </c>
    </row>
    <row r="7773" ht="15.75" customHeight="1">
      <c r="A7773" s="1">
        <v>8302.0</v>
      </c>
      <c r="B7773" s="3" t="s">
        <v>7466</v>
      </c>
      <c r="C7773" s="3" t="str">
        <f>IFERROR(__xludf.DUMMYFUNCTION("GOOGLETRANSLATE(B7773,""id"",""en"")"),"['', 'package', 'cheap', 'really', 'thank', 'Kasi', 'Telkomsel']")</f>
        <v>['', 'package', 'cheap', 'really', 'thank', 'Kasi', 'Telkomsel']</v>
      </c>
      <c r="D7773" s="3">
        <v>5.0</v>
      </c>
    </row>
    <row r="7774" ht="15.75" customHeight="1">
      <c r="A7774" s="1">
        <v>8303.0</v>
      </c>
      <c r="B7774" s="3" t="s">
        <v>7467</v>
      </c>
      <c r="C7774" s="3" t="str">
        <f>IFERROR(__xludf.DUMMYFUNCTION("GOOGLETRANSLATE(B7774,""id"",""en"")"),"['Severe', 'go', 'White', 'Litu']")</f>
        <v>['Severe', 'go', 'White', 'Litu']</v>
      </c>
      <c r="D7774" s="3">
        <v>5.0</v>
      </c>
    </row>
    <row r="7775" ht="15.75" customHeight="1">
      <c r="A7775" s="1">
        <v>8304.0</v>
      </c>
      <c r="B7775" s="3" t="s">
        <v>7468</v>
      </c>
      <c r="C7775" s="3" t="str">
        <f>IFERROR(__xludf.DUMMYFUNCTION("GOOGLETRANSLATE(B7775,""id"",""en"")"),"['Liki', 'Telkomsel', '']")</f>
        <v>['Liki', 'Telkomsel', '']</v>
      </c>
      <c r="D7775" s="3">
        <v>5.0</v>
      </c>
    </row>
    <row r="7776" ht="15.75" customHeight="1">
      <c r="A7776" s="1">
        <v>8305.0</v>
      </c>
      <c r="B7776" s="3" t="s">
        <v>7469</v>
      </c>
      <c r="C7776" s="3" t="str">
        <f>IFERROR(__xludf.DUMMYFUNCTION("GOOGLETRANSLATE(B7776,""id"",""en"")"),"['quota', 'internet', 'pulse', 'take', 'then', 'pke', 'normal', 'take', 'TPI', 'brusan', 'TB', 'Cut', ' Telkomsel ']")</f>
        <v>['quota', 'internet', 'pulse', 'take', 'then', 'pke', 'normal', 'take', 'TPI', 'brusan', 'TB', 'Cut', ' Telkomsel ']</v>
      </c>
      <c r="D7776" s="3">
        <v>1.0</v>
      </c>
    </row>
    <row r="7777" ht="15.75" customHeight="1">
      <c r="A7777" s="1">
        <v>8306.0</v>
      </c>
      <c r="B7777" s="3" t="s">
        <v>7470</v>
      </c>
      <c r="C7777" s="3" t="str">
        <f>IFERROR(__xludf.DUMMYFUNCTION("GOOGLETRANSLATE(B7777,""id"",""en"")"),"['network', 'trash', 'severe', 'furious',' that's', 'so', 'mulu', 'jingan', 'tasty', 'tasty', 'play', 'network', ' ilang ',' Telkom ',' garbage ']")</f>
        <v>['network', 'trash', 'severe', 'furious',' that's', 'so', 'mulu', 'jingan', 'tasty', 'tasty', 'play', 'network', ' ilang ',' Telkom ',' garbage ']</v>
      </c>
      <c r="D7777" s="3">
        <v>1.0</v>
      </c>
    </row>
    <row r="7778" ht="15.75" customHeight="1">
      <c r="A7778" s="1">
        <v>8307.0</v>
      </c>
      <c r="B7778" s="3" t="s">
        <v>7471</v>
      </c>
      <c r="C7778" s="3" t="str">
        <f>IFERROR(__xludf.DUMMYFUNCTION("GOOGLETRANSLATE(B7778,""id"",""en"")"),"['plus', 'method', 'payment', 'via', 'pulse', 'like', 'suck', 'pulses', ""]")</f>
        <v>['plus', 'method', 'payment', 'via', 'pulse', 'like', 'suck', 'pulses', "]</v>
      </c>
      <c r="D7778" s="3">
        <v>2.0</v>
      </c>
    </row>
    <row r="7779" ht="15.75" customHeight="1">
      <c r="A7779" s="1">
        <v>8308.0</v>
      </c>
      <c r="B7779" s="3" t="s">
        <v>7472</v>
      </c>
      <c r="C7779" s="3" t="str">
        <f>IFERROR(__xludf.DUMMYFUNCTION("GOOGLETRANSLATE(B7779,""id"",""en"")"),"['Hopefully', 'Telkomsel', 'Labih']")</f>
        <v>['Hopefully', 'Telkomsel', 'Labih']</v>
      </c>
      <c r="D7779" s="3">
        <v>4.0</v>
      </c>
    </row>
    <row r="7780" ht="15.75" customHeight="1">
      <c r="A7780" s="1">
        <v>8309.0</v>
      </c>
      <c r="B7780" s="3" t="s">
        <v>7473</v>
      </c>
      <c r="C7780" s="3" t="str">
        <f>IFERROR(__xludf.DUMMYFUNCTION("GOOGLETRANSLATE(B7780,""id"",""en"")"),"['Internet', 'down', 'really', 'goat']")</f>
        <v>['Internet', 'down', 'really', 'goat']</v>
      </c>
      <c r="D7780" s="3">
        <v>1.0</v>
      </c>
    </row>
    <row r="7781" ht="15.75" customHeight="1">
      <c r="A7781" s="1">
        <v>8310.0</v>
      </c>
      <c r="B7781" s="3" t="s">
        <v>7474</v>
      </c>
      <c r="C7781" s="3" t="str">
        <f>IFERROR(__xludf.DUMMYFUNCTION("GOOGLETRANSLATE(B7781,""id"",""en"")"),"['Telkom', 'Skarang', 'Kurag', 'Stable', 'Area', 'Pasuruan', 'Javanese', 'East', 'Really', 'Disappointing', 'User', 'The Network', ' Please ',' improvement ',' Sis', 'Mimin']")</f>
        <v>['Telkom', 'Skarang', 'Kurag', 'Stable', 'Area', 'Pasuruan', 'Javanese', 'East', 'Really', 'Disappointing', 'User', 'The Network', ' Please ',' improvement ',' Sis', 'Mimin']</v>
      </c>
      <c r="D7781" s="3">
        <v>1.0</v>
      </c>
    </row>
    <row r="7782" ht="15.75" customHeight="1">
      <c r="A7782" s="1">
        <v>8311.0</v>
      </c>
      <c r="B7782" s="3" t="s">
        <v>7475</v>
      </c>
      <c r="C7782" s="3" t="str">
        <f>IFERROR(__xludf.DUMMYFUNCTION("GOOGLETRANSLATE(B7782,""id"",""en"")"),"['opened', 'Sihhhhhhhhh', '']")</f>
        <v>['opened', 'Sihhhhhhhhh', '']</v>
      </c>
      <c r="D7782" s="3">
        <v>1.0</v>
      </c>
    </row>
    <row r="7783" ht="15.75" customHeight="1">
      <c r="A7783" s="1">
        <v>8312.0</v>
      </c>
      <c r="B7783" s="3" t="s">
        <v>7476</v>
      </c>
      <c r="C7783" s="3" t="str">
        <f>IFERROR(__xludf.DUMMYFUNCTION("GOOGLETRANSLATE(B7783,""id"",""en"")"),"['Good', 'The network', 'price', 'quota', 'expensive', 'expensive']")</f>
        <v>['Good', 'The network', 'price', 'quota', 'expensive', 'expensive']</v>
      </c>
      <c r="D7783" s="3">
        <v>5.0</v>
      </c>
    </row>
    <row r="7784" ht="15.75" customHeight="1">
      <c r="A7784" s="1">
        <v>8313.0</v>
      </c>
      <c r="B7784" s="3" t="s">
        <v>7477</v>
      </c>
      <c r="C7784" s="3" t="str">
        <f>IFERROR(__xludf.DUMMYFUNCTION("GOOGLETRANSLATE(B7784,""id"",""en"")"),"['Bgus', 'Skali', 'Krna', 'makes it easier', 'checks', 'Tenteng', 'Telkomsel']")</f>
        <v>['Bgus', 'Skali', 'Krna', 'makes it easier', 'checks', 'Tenteng', 'Telkomsel']</v>
      </c>
      <c r="D7784" s="3">
        <v>5.0</v>
      </c>
    </row>
    <row r="7785" ht="15.75" customHeight="1">
      <c r="A7785" s="1">
        <v>8314.0</v>
      </c>
      <c r="B7785" s="3" t="s">
        <v>7478</v>
      </c>
      <c r="C7785" s="3" t="str">
        <f>IFERROR(__xludf.DUMMYFUNCTION("GOOGLETRANSLATE(B7785,""id"",""en"")"),"['Disruption', 'App', '']")</f>
        <v>['Disruption', 'App', '']</v>
      </c>
      <c r="D7785" s="3">
        <v>4.0</v>
      </c>
    </row>
    <row r="7786" ht="15.75" customHeight="1">
      <c r="A7786" s="1">
        <v>8315.0</v>
      </c>
      <c r="B7786" s="3" t="s">
        <v>7479</v>
      </c>
      <c r="C7786" s="3" t="str">
        <f>IFERROR(__xludf.DUMMYFUNCTION("GOOGLETRANSLATE(B7786,""id"",""en"")"),"['Telkomsel', 'Ngeselin', 'Gini', 'Login', 'Difficult', 'Liat', 'Package']")</f>
        <v>['Telkomsel', 'Ngeselin', 'Gini', 'Login', 'Difficult', 'Liat', 'Package']</v>
      </c>
      <c r="D7786" s="3">
        <v>1.0</v>
      </c>
    </row>
    <row r="7787" ht="15.75" customHeight="1">
      <c r="A7787" s="1">
        <v>8316.0</v>
      </c>
      <c r="B7787" s="3" t="s">
        <v>7480</v>
      </c>
      <c r="C7787" s="3" t="str">
        <f>IFERROR(__xludf.DUMMYFUNCTION("GOOGLETRANSLATE(B7787,""id"",""en"")"),"['blank', 'white', 'open', 'update', ""]")</f>
        <v>['blank', 'white', 'open', 'update', "]</v>
      </c>
      <c r="D7787" s="3">
        <v>1.0</v>
      </c>
    </row>
    <row r="7788" ht="15.75" customHeight="1">
      <c r="A7788" s="1">
        <v>8317.0</v>
      </c>
      <c r="B7788" s="3" t="s">
        <v>7481</v>
      </c>
      <c r="C7788" s="3" t="str">
        <f>IFERROR(__xludf.DUMMYFUNCTION("GOOGLETRANSLATE(B7788,""id"",""en"")"),"['already', 'times', 'Download', 'Tetep', 'enter', 'color', 'white', 'invite', 'Please', 'speed', 'disorder']")</f>
        <v>['already', 'times', 'Download', 'Tetep', 'enter', 'color', 'white', 'invite', 'Please', 'speed', 'disorder']</v>
      </c>
      <c r="D7788" s="3">
        <v>1.0</v>
      </c>
    </row>
    <row r="7789" ht="15.75" customHeight="1">
      <c r="A7789" s="1">
        <v>8318.0</v>
      </c>
      <c r="B7789" s="3" t="s">
        <v>7482</v>
      </c>
      <c r="C7789" s="3" t="str">
        <f>IFERROR(__xludf.DUMMYFUNCTION("GOOGLETRANSLATE(B7789,""id"",""en"")"),"['poor', 'poor', 'poor', '']")</f>
        <v>['poor', 'poor', 'poor', '']</v>
      </c>
      <c r="D7789" s="3">
        <v>1.0</v>
      </c>
    </row>
    <row r="7790" ht="15.75" customHeight="1">
      <c r="A7790" s="1">
        <v>8319.0</v>
      </c>
      <c r="B7790" s="3" t="s">
        <v>7483</v>
      </c>
      <c r="C7790" s="3" t="str">
        <f>IFERROR(__xludf.DUMMYFUNCTION("GOOGLETRANSLATE(B7790,""id"",""en"")"),"['Mejangmuda', 'Customer', 'Telkomsel', 'Mantul', 'Abis', ""]")</f>
        <v>['Mejangmuda', 'Customer', 'Telkomsel', 'Mantul', 'Abis', "]</v>
      </c>
      <c r="D7790" s="3">
        <v>5.0</v>
      </c>
    </row>
    <row r="7791" ht="15.75" customHeight="1">
      <c r="A7791" s="1">
        <v>8320.0</v>
      </c>
      <c r="B7791" s="3" t="s">
        <v>7484</v>
      </c>
      <c r="C7791" s="3" t="str">
        <f>IFERROR(__xludf.DUMMYFUNCTION("GOOGLETRANSLATE(B7791,""id"",""en"")"),"['Application', 'Dapan', 'Points']")</f>
        <v>['Application', 'Dapan', 'Points']</v>
      </c>
      <c r="D7791" s="3">
        <v>5.0</v>
      </c>
    </row>
    <row r="7792" ht="15.75" customHeight="1">
      <c r="A7792" s="1">
        <v>8321.0</v>
      </c>
      <c r="B7792" s="3" t="s">
        <v>7485</v>
      </c>
      <c r="C7792" s="3" t="str">
        <f>IFERROR(__xludf.DUMMYFUNCTION("GOOGLETRANSLATE(B7792,""id"",""en"")"),"['easy', 'application', 'Telkomsel']")</f>
        <v>['easy', 'application', 'Telkomsel']</v>
      </c>
      <c r="D7792" s="3">
        <v>4.0</v>
      </c>
    </row>
    <row r="7793" ht="15.75" customHeight="1">
      <c r="A7793" s="1">
        <v>8322.0</v>
      </c>
      <c r="B7793" s="3" t="s">
        <v>7486</v>
      </c>
      <c r="C7793" s="3" t="str">
        <f>IFERROR(__xludf.DUMMYFUNCTION("GOOGLETRANSLATE(B7793,""id"",""en"")"),"['Open', 'Application', 'Telkomsel', 'Enter', 'Loading', 'White', 'Use', 'Telkomsel', 'Please', 'Perbak', 'Quota']")</f>
        <v>['Open', 'Application', 'Telkomsel', 'Enter', 'Loading', 'White', 'Use', 'Telkomsel', 'Please', 'Perbak', 'Quota']</v>
      </c>
      <c r="D7793" s="3">
        <v>2.0</v>
      </c>
    </row>
    <row r="7794" ht="15.75" customHeight="1">
      <c r="A7794" s="1">
        <v>8323.0</v>
      </c>
      <c r="B7794" s="3" t="s">
        <v>7487</v>
      </c>
      <c r="C7794" s="3" t="str">
        <f>IFERROR(__xludf.DUMMYFUNCTION("GOOGLETRANSLATE(B7794,""id"",""en"")"),"['knpa', 'right', 'update', 'screen', 'look', 'ngeblank', 'doang', 'apk', 'open', 'knapa', '']")</f>
        <v>['knpa', 'right', 'update', 'screen', 'look', 'ngeblank', 'doang', 'apk', 'open', 'knapa', '']</v>
      </c>
      <c r="D7794" s="3">
        <v>4.0</v>
      </c>
    </row>
    <row r="7795" ht="15.75" customHeight="1">
      <c r="A7795" s="1">
        <v>8325.0</v>
      </c>
      <c r="B7795" s="3" t="s">
        <v>7488</v>
      </c>
      <c r="C7795" s="3" t="str">
        <f>IFERROR(__xludf.DUMMYFUNCTION("GOOGLETRANSLATE(B7795,""id"",""en"")"),"['turn', 'coupon', 'exchanged', 'SMS', 'enter', 'sorry', 'system', 'busy', ""]")</f>
        <v>['turn', 'coupon', 'exchanged', 'SMS', 'enter', 'sorry', 'system', 'busy', "]</v>
      </c>
      <c r="D7795" s="3">
        <v>2.0</v>
      </c>
    </row>
    <row r="7796" ht="15.75" customHeight="1">
      <c r="A7796" s="1">
        <v>8326.0</v>
      </c>
      <c r="B7796" s="3" t="s">
        <v>7489</v>
      </c>
      <c r="C7796" s="3" t="str">
        <f>IFERROR(__xludf.DUMMYFUNCTION("GOOGLETRANSLATE(B7796,""id"",""en"")"),"['Karna', 'download', 'application', 'wear it', 'free', 'please', 'mimin', 'love', 'information', ""]")</f>
        <v>['Karna', 'download', 'application', 'wear it', 'free', 'please', 'mimin', 'love', 'information', "]</v>
      </c>
      <c r="D7796" s="3">
        <v>1.0</v>
      </c>
    </row>
    <row r="7797" ht="15.75" customHeight="1">
      <c r="A7797" s="1">
        <v>8327.0</v>
      </c>
      <c r="B7797" s="3" t="s">
        <v>7490</v>
      </c>
      <c r="C7797" s="3" t="str">
        <f>IFERROR(__xludf.DUMMYFUNCTION("GOOGLETRANSLATE(B7797,""id"",""en"")"),"['entry', 'the application', 'slow', 'forgiveness',' please ',' the operator ',' repaired ',' donk ',' check ',' pulse ',' package ',' fast ',' Type ',' Manual ',' ']")</f>
        <v>['entry', 'the application', 'slow', 'forgiveness',' please ',' the operator ',' repaired ',' donk ',' check ',' pulse ',' package ',' fast ',' Type ',' Manual ',' ']</v>
      </c>
      <c r="D7797" s="3">
        <v>1.0</v>
      </c>
    </row>
    <row r="7798" ht="15.75" customHeight="1">
      <c r="A7798" s="1">
        <v>8328.0</v>
      </c>
      <c r="B7798" s="3" t="s">
        <v>7491</v>
      </c>
      <c r="C7798" s="3" t="str">
        <f>IFERROR(__xludf.DUMMYFUNCTION("GOOGLETRANSLATE(B7798,""id"",""en"")"),"['a week', 'open', 'application', 'gabisa', 'blank', 'disappointed', 'really', '']")</f>
        <v>['a week', 'open', 'application', 'gabisa', 'blank', 'disappointed', 'really', '']</v>
      </c>
      <c r="D7798" s="3">
        <v>1.0</v>
      </c>
    </row>
    <row r="7799" ht="15.75" customHeight="1">
      <c r="A7799" s="1">
        <v>8330.0</v>
      </c>
      <c r="B7799" s="3" t="s">
        <v>7492</v>
      </c>
      <c r="C7799" s="3" t="str">
        <f>IFERROR(__xludf.DUMMYFUNCTION("GOOGLETRANSLATE(B7799,""id"",""en"")"),"['wahh', 'internet', 'kenceng', 'bangettt', 'nutmeg', 'your father', 'cokk', 'stable', 'bet', 'operator', 'kntle', 'kntle', ' please ',' anjg ',' udh ',' smooth ',' skrng ',' plump ',' disconnect ',' right ',' play ',' game ',' hah ', ""]")</f>
        <v>['wahh', 'internet', 'kenceng', 'bangettt', 'nutmeg', 'your father', 'cokk', 'stable', 'bet', 'operator', 'kntle', 'kntle', ' please ',' anjg ',' udh ',' smooth ',' skrng ',' plump ',' disconnect ',' right ',' play ',' game ',' hah ', "]</v>
      </c>
      <c r="D7799" s="3">
        <v>1.0</v>
      </c>
    </row>
    <row r="7800" ht="15.75" customHeight="1">
      <c r="A7800" s="1">
        <v>8331.0</v>
      </c>
      <c r="B7800" s="3" t="s">
        <v>7493</v>
      </c>
      <c r="C7800" s="3" t="str">
        <f>IFERROR(__xludf.DUMMYFUNCTION("GOOGLETRANSLATE(B7800,""id"",""en"")"),"['Telkomsel', 'ugly', 'really', 'signal', 'really', 'ngilan', 'signal', 'Telkomsel', 'really', 'internet', 'expensive', 'really', ' signal ',' good ',' rare ',' ngilani ',' it sun ',' cheap ',' ugly ',' really ',' signal ',' run out ',' rain ',' signal ',"&amp;"' ngilan ' , 'aka', 'writing', 'connection', 'disconnected', 'Please', 'repaired', 'quality', 'network', 'thank', 'love']")</f>
        <v>['Telkomsel', 'ugly', 'really', 'signal', 'really', 'ngilan', 'signal', 'Telkomsel', 'really', 'internet', 'expensive', 'really', ' signal ',' good ',' rare ',' ngilani ',' it sun ',' cheap ',' ugly ',' really ',' signal ',' run out ',' rain ',' signal ',' ngilan ' , 'aka', 'writing', 'connection', 'disconnected', 'Please', 'repaired', 'quality', 'network', 'thank', 'love']</v>
      </c>
      <c r="D7800" s="3">
        <v>1.0</v>
      </c>
    </row>
    <row r="7801" ht="15.75" customHeight="1">
      <c r="A7801" s="1">
        <v>8332.0</v>
      </c>
      <c r="B7801" s="3" t="s">
        <v>7494</v>
      </c>
      <c r="C7801" s="3" t="str">
        <f>IFERROR(__xludf.DUMMYFUNCTION("GOOGLETRANSLATE(B7801,""id"",""en"")"),"['Network', 'like', 'ngelek', 'then', 'expensive', 'price', 'package', 'hadeeeh', 'rich']")</f>
        <v>['Network', 'like', 'ngelek', 'then', 'expensive', 'price', 'package', 'hadeeeh', 'rich']</v>
      </c>
      <c r="D7801" s="3">
        <v>1.0</v>
      </c>
    </row>
    <row r="7802" ht="15.75" customHeight="1">
      <c r="A7802" s="1">
        <v>8333.0</v>
      </c>
      <c r="B7802" s="3" t="s">
        <v>7495</v>
      </c>
      <c r="C7802" s="3" t="str">
        <f>IFERROR(__xludf.DUMMYFUNCTION("GOOGLETRANSLATE(B7802,""id"",""en"")"),"['package', 'gacha', 'price', 'expensive', 'really', 'package', 'a month', 'above', 'thousand', 'card', 'person', ' Price ',' thousand ',' got ',' quota ',' a month ',' ']")</f>
        <v>['package', 'gacha', 'price', 'expensive', 'really', 'package', 'a month', 'above', 'thousand', 'card', 'person', ' Price ',' thousand ',' got ',' quota ',' a month ',' ']</v>
      </c>
      <c r="D7802" s="3">
        <v>1.0</v>
      </c>
    </row>
    <row r="7803" ht="15.75" customHeight="1">
      <c r="A7803" s="1">
        <v>8334.0</v>
      </c>
      <c r="B7803" s="3" t="s">
        <v>7496</v>
      </c>
      <c r="C7803" s="3" t="str">
        <f>IFERROR(__xludf.DUMMYFUNCTION("GOOGLETRANSLATE(B7803,""id"",""en"")"),"['quota', 'expensive', 'wasteful', 'network', 'Ancurrrrrrr', 'boss',' Majalaya ',' Network ',' ugly ',' bang ',' oath ',' area ',' Rancaekek ',' Bandung ',' Ancurrrrrr ',' Rich ',' BANGKE ',' GMNA ',' BUMN ',' Gini ',' Disappointed ',' Bang ']")</f>
        <v>['quota', 'expensive', 'wasteful', 'network', 'Ancurrrrrrr', 'boss',' Majalaya ',' Network ',' ugly ',' bang ',' oath ',' area ',' Rancaekek ',' Bandung ',' Ancurrrrrr ',' Rich ',' BANGKE ',' GMNA ',' BUMN ',' Gini ',' Disappointed ',' Bang ']</v>
      </c>
      <c r="D7803" s="3">
        <v>1.0</v>
      </c>
    </row>
    <row r="7804" ht="15.75" customHeight="1">
      <c r="A7804" s="1">
        <v>8335.0</v>
      </c>
      <c r="B7804" s="3" t="s">
        <v>7497</v>
      </c>
      <c r="C7804" s="3" t="str">
        <f>IFERROR(__xludf.DUMMYFUNCTION("GOOGLETRANSLATE(B7804,""id"",""en"")"),"['Good', 'like', 'hope', 'Jaya', 'Telkomsel']")</f>
        <v>['Good', 'like', 'hope', 'Jaya', 'Telkomsel']</v>
      </c>
      <c r="D7804" s="3">
        <v>4.0</v>
      </c>
    </row>
    <row r="7805" ht="15.75" customHeight="1">
      <c r="A7805" s="1">
        <v>8336.0</v>
      </c>
      <c r="B7805" s="3" t="s">
        <v>7498</v>
      </c>
      <c r="C7805" s="3" t="str">
        <f>IFERROR(__xludf.DUMMYFUNCTION("GOOGLETRANSLATE(B7805,""id"",""en"")"),"['', 'Telkomsel', 'Mambantia', 'hope', 'Hopefully', 'Lottery', 'Points',' Application ',' How ',' Bahagiya ',' Lottery ',' Christmas', 'Amen ']")</f>
        <v>['', 'Telkomsel', 'Mambantia', 'hope', 'Hopefully', 'Lottery', 'Points',' Application ',' How ',' Bahagiya ',' Lottery ',' Christmas', 'Amen ']</v>
      </c>
      <c r="D7805" s="3">
        <v>5.0</v>
      </c>
    </row>
    <row r="7806" ht="15.75" customHeight="1">
      <c r="A7806" s="1">
        <v>8337.0</v>
      </c>
      <c r="B7806" s="3" t="s">
        <v>7499</v>
      </c>
      <c r="C7806" s="3" t="str">
        <f>IFERROR(__xludf.DUMMYFUNCTION("GOOGLETRANSLATE(B7806,""id"",""en"")"),"['Application', 'Blank', 'White', 'Disappointed', 'Uhhhu']")</f>
        <v>['Application', 'Blank', 'White', 'Disappointed', 'Uhhhu']</v>
      </c>
      <c r="D7806" s="3">
        <v>1.0</v>
      </c>
    </row>
    <row r="7807" ht="15.75" customHeight="1">
      <c r="A7807" s="1">
        <v>8338.0</v>
      </c>
      <c r="B7807" s="3" t="s">
        <v>7500</v>
      </c>
      <c r="C7807" s="3" t="str">
        <f>IFERROR(__xludf.DUMMYFUNCTION("GOOGLETRANSLATE(B7807,""id"",""en"")"),"['Steady', 'Markotop', 'quota', 'Login', 'lgi']")</f>
        <v>['Steady', 'Markotop', 'quota', 'Login', 'lgi']</v>
      </c>
      <c r="D7807" s="3">
        <v>5.0</v>
      </c>
    </row>
    <row r="7808" ht="15.75" customHeight="1">
      <c r="A7808" s="1">
        <v>8339.0</v>
      </c>
      <c r="B7808" s="3" t="s">
        <v>7501</v>
      </c>
      <c r="C7808" s="3" t="str">
        <f>IFERROR(__xludf.DUMMYFUNCTION("GOOGLETRANSLATE(B7808,""id"",""en"")"),"['Sorry', 'Telkomsel', 'Open', 'Try', 'UPgread', 'TPI', 'Tetep', 'Open', '']")</f>
        <v>['Sorry', 'Telkomsel', 'Open', 'Try', 'UPgread', 'TPI', 'Tetep', 'Open', '']</v>
      </c>
      <c r="D7808" s="3">
        <v>5.0</v>
      </c>
    </row>
    <row r="7809" ht="15.75" customHeight="1">
      <c r="A7809" s="1">
        <v>8340.0</v>
      </c>
      <c r="B7809" s="3" t="s">
        <v>7502</v>
      </c>
      <c r="C7809" s="3" t="str">
        <f>IFERROR(__xludf.DUMMYFUNCTION("GOOGLETRANSLATE(B7809,""id"",""en"")"),"['Most', 'gimick', 'package', 'data', 'cheap', 'end', 'end', 'right', 'bought', 'gabisa', 'ilang', 'package', ' data ',' msih ',' bnyak ',' nyedot ',' pulse ',' buy ',' package ',' data ',' msih ',' suck ',' pulse ',' gemes']")</f>
        <v>['Most', 'gimick', 'package', 'data', 'cheap', 'end', 'end', 'right', 'bought', 'gabisa', 'ilang', 'package', ' data ',' msih ',' bnyak ',' nyedot ',' pulse ',' buy ',' package ',' data ',' msih ',' suck ',' pulse ',' gemes']</v>
      </c>
      <c r="D7809" s="3">
        <v>1.0</v>
      </c>
    </row>
    <row r="7810" ht="15.75" customHeight="1">
      <c r="A7810" s="1">
        <v>8341.0</v>
      </c>
      <c r="B7810" s="3" t="s">
        <v>7503</v>
      </c>
      <c r="C7810" s="3" t="str">
        <f>IFERROR(__xludf.DUMMYFUNCTION("GOOGLETRANSLATE(B7810,""id"",""en"")"),"['already', 'Telkomsel', 'entered', 'the application', 'already', 'uinstal', 'install', 'tetep', 'screen', 'white', 'doang', 'cellphone', ' error ',' the application ',' star ',' deh ',' ngepain ',' star ',' ']")</f>
        <v>['already', 'Telkomsel', 'entered', 'the application', 'already', 'uinstal', 'install', 'tetep', 'screen', 'white', 'doang', 'cellphone', ' error ',' the application ',' star ',' deh ',' ngepain ',' star ',' ']</v>
      </c>
      <c r="D7810" s="3">
        <v>1.0</v>
      </c>
    </row>
    <row r="7811" ht="15.75" customHeight="1">
      <c r="A7811" s="1">
        <v>8342.0</v>
      </c>
      <c r="B7811" s="3" t="s">
        <v>7504</v>
      </c>
      <c r="C7811" s="3" t="str">
        <f>IFERROR(__xludf.DUMMYFUNCTION("GOOGLETRANSLATE(B7811,""id"",""en"")"),"['Severe', 'Application', 'Open', 'Nieh', 'Application']")</f>
        <v>['Severe', 'Application', 'Open', 'Nieh', 'Application']</v>
      </c>
      <c r="D7811" s="3">
        <v>2.0</v>
      </c>
    </row>
    <row r="7812" ht="15.75" customHeight="1">
      <c r="A7812" s="1">
        <v>8343.0</v>
      </c>
      <c r="B7812" s="3" t="s">
        <v>7505</v>
      </c>
      <c r="C7812" s="3" t="str">
        <f>IFERROR(__xludf.DUMMYFUNCTION("GOOGLETRANSLATE(B7812,""id"",""en"")"),"['level', 'waiter', 'quality', 'signal', 'sometimes', 'difficult', 'area', 'bogor']")</f>
        <v>['level', 'waiter', 'quality', 'signal', 'sometimes', 'difficult', 'area', 'bogor']</v>
      </c>
      <c r="D7812" s="3">
        <v>5.0</v>
      </c>
    </row>
    <row r="7813" ht="15.75" customHeight="1">
      <c r="A7813" s="1">
        <v>8344.0</v>
      </c>
      <c r="B7813" s="3" t="s">
        <v>7506</v>
      </c>
      <c r="C7813" s="3" t="str">
        <f>IFERROR(__xludf.DUMMYFUNCTION("GOOGLETRANSLATE(B7813,""id"",""en"")"),"['', 'Telkomsel', 'network', 'widest']")</f>
        <v>['', 'Telkomsel', 'network', 'widest']</v>
      </c>
      <c r="D7813" s="3">
        <v>3.0</v>
      </c>
    </row>
    <row r="7814" ht="15.75" customHeight="1">
      <c r="A7814" s="1">
        <v>8345.0</v>
      </c>
      <c r="B7814" s="3" t="s">
        <v>7507</v>
      </c>
      <c r="C7814" s="3" t="str">
        <f>IFERROR(__xludf.DUMMYFUNCTION("GOOGLETRANSLATE(B7814,""id"",""en"")"),"['use', 'Telkomsel', 'cheap', '']")</f>
        <v>['use', 'Telkomsel', 'cheap', '']</v>
      </c>
      <c r="D7814" s="3">
        <v>5.0</v>
      </c>
    </row>
    <row r="7815" ht="15.75" customHeight="1">
      <c r="A7815" s="1">
        <v>8346.0</v>
      </c>
      <c r="B7815" s="3" t="s">
        <v>7508</v>
      </c>
      <c r="C7815" s="3" t="str">
        <f>IFERROR(__xludf.DUMMYFUNCTION("GOOGLETRANSLATE(B7815,""id"",""en"")"),"['Easy', 'Telkomsel']")</f>
        <v>['Easy', 'Telkomsel']</v>
      </c>
      <c r="D7815" s="3">
        <v>5.0</v>
      </c>
    </row>
    <row r="7816" ht="15.75" customHeight="1">
      <c r="A7816" s="1">
        <v>8347.0</v>
      </c>
      <c r="B7816" s="3" t="s">
        <v>7509</v>
      </c>
      <c r="C7816" s="3" t="str">
        <f>IFERROR(__xludf.DUMMYFUNCTION("GOOGLETRANSLATE(B7816,""id"",""en"")"),"['The network', 'good']")</f>
        <v>['The network', 'good']</v>
      </c>
      <c r="D7816" s="3">
        <v>5.0</v>
      </c>
    </row>
    <row r="7817" ht="15.75" customHeight="1">
      <c r="A7817" s="1">
        <v>8348.0</v>
      </c>
      <c r="B7817" s="3" t="s">
        <v>7510</v>
      </c>
      <c r="C7817" s="3" t="str">
        <f>IFERROR(__xludf.DUMMYFUNCTION("GOOGLETRANSLATE(B7817,""id"",""en"")"),"['already', 'Sunday', 'no', 'access', 'Telkomsel', 'already', 'Delete', 'installation', 'Install', 'Many', 'Tetep', 'no']")</f>
        <v>['already', 'Sunday', 'no', 'access', 'Telkomsel', 'already', 'Delete', 'installation', 'Install', 'Many', 'Tetep', 'no']</v>
      </c>
      <c r="D7817" s="3">
        <v>1.0</v>
      </c>
    </row>
    <row r="7818" ht="15.75" customHeight="1">
      <c r="A7818" s="1">
        <v>8349.0</v>
      </c>
      <c r="B7818" s="3" t="s">
        <v>7511</v>
      </c>
      <c r="C7818" s="3" t="str">
        <f>IFERROR(__xludf.DUMMYFUNCTION("GOOGLETRANSLATE(B7818,""id"",""en"")"),"['Dizziness',' Clear ',' cache ',' forced ',' stop ',' Clear ',' Data ',' Remove ',' Delete ',' Install ',' Install ',' The result ',' screen ',' white ',' doang ']")</f>
        <v>['Dizziness',' Clear ',' cache ',' forced ',' stop ',' Clear ',' Data ',' Remove ',' Delete ',' Install ',' Install ',' The result ',' screen ',' white ',' doang ']</v>
      </c>
      <c r="D7818" s="3">
        <v>1.0</v>
      </c>
    </row>
    <row r="7819" ht="15.75" customHeight="1">
      <c r="A7819" s="1">
        <v>8350.0</v>
      </c>
      <c r="B7819" s="3" t="s">
        <v>7512</v>
      </c>
      <c r="C7819" s="3" t="str">
        <f>IFERROR(__xludf.DUMMYFUNCTION("GOOGLETRANSLATE(B7819,""id"",""en"")"),"['Android', 'Stuck', 'blank', 'screen']")</f>
        <v>['Android', 'Stuck', 'blank', 'screen']</v>
      </c>
      <c r="D7819" s="3">
        <v>2.0</v>
      </c>
    </row>
    <row r="7820" ht="15.75" customHeight="1">
      <c r="A7820" s="1">
        <v>8351.0</v>
      </c>
      <c r="B7820" s="3" t="s">
        <v>7513</v>
      </c>
      <c r="C7820" s="3" t="str">
        <f>IFERROR(__xludf.DUMMYFUNCTION("GOOGLETRANSLATE(B7820,""id"",""en"")"),"['Opened', 'Mumping', 'Baghround', 'White', '']")</f>
        <v>['Opened', 'Mumping', 'Baghround', 'White', '']</v>
      </c>
      <c r="D7820" s="3">
        <v>1.0</v>
      </c>
    </row>
    <row r="7821" ht="15.75" customHeight="1">
      <c r="A7821" s="1">
        <v>8352.0</v>
      </c>
      <c r="B7821" s="3" t="s">
        <v>2551</v>
      </c>
      <c r="C7821" s="3" t="str">
        <f>IFERROR(__xludf.DUMMYFUNCTION("GOOGLETRANSLATE(B7821,""id"",""en"")"),"['Love', 'Bintang', '']")</f>
        <v>['Love', 'Bintang', '']</v>
      </c>
      <c r="D7821" s="3">
        <v>3.0</v>
      </c>
    </row>
    <row r="7822" ht="15.75" customHeight="1">
      <c r="A7822" s="1">
        <v>8353.0</v>
      </c>
      <c r="B7822" s="3" t="s">
        <v>7514</v>
      </c>
      <c r="C7822" s="3" t="str">
        <f>IFERROR(__xludf.DUMMYFUNCTION("GOOGLETRANSLATE(B7822,""id"",""en"")"),"['application', 'ngak', 'open']")</f>
        <v>['application', 'ngak', 'open']</v>
      </c>
      <c r="D7822" s="3">
        <v>1.0</v>
      </c>
    </row>
    <row r="7823" ht="15.75" customHeight="1">
      <c r="A7823" s="1">
        <v>8354.0</v>
      </c>
      <c r="B7823" s="3" t="s">
        <v>7515</v>
      </c>
      <c r="C7823" s="3" t="str">
        <f>IFERROR(__xludf.DUMMYFUNCTION("GOOGLETRANSLATE(B7823,""id"",""en"")"),"['Sorry', 'love', 'star', 'network', 'stable', 'play', 'game', 'change', 'sometimes',' honest ',' annoying ',' comfort ',' Play ',' Please ',' Fix ',' Restore ',' Network ',' Telkomsel ']")</f>
        <v>['Sorry', 'love', 'star', 'network', 'stable', 'play', 'game', 'change', 'sometimes',' honest ',' annoying ',' comfort ',' Play ',' Please ',' Fix ',' Restore ',' Network ',' Telkomsel ']</v>
      </c>
      <c r="D7823" s="3">
        <v>1.0</v>
      </c>
    </row>
    <row r="7824" ht="15.75" customHeight="1">
      <c r="A7824" s="1">
        <v>8355.0</v>
      </c>
      <c r="B7824" s="3" t="s">
        <v>7516</v>
      </c>
      <c r="C7824" s="3" t="str">
        <f>IFERROR(__xludf.DUMMYFUNCTION("GOOGLETRANSLATE(B7824,""id"",""en"")"),"['Mending', 'provider', 'next door', 'expensive', 'quota', 'Telkomsel', 'skrg']")</f>
        <v>['Mending', 'provider', 'next door', 'expensive', 'quota', 'Telkomsel', 'skrg']</v>
      </c>
      <c r="D7824" s="3">
        <v>1.0</v>
      </c>
    </row>
    <row r="7825" ht="15.75" customHeight="1">
      <c r="A7825" s="1">
        <v>8356.0</v>
      </c>
      <c r="B7825" s="3" t="s">
        <v>7517</v>
      </c>
      <c r="C7825" s="3" t="str">
        <f>IFERROR(__xludf.DUMMYFUNCTION("GOOGLETRANSLATE(B7825,""id"",""en"")"),"['thank', 'gajih', 'Telkomsel', 'love', 'quota', 'free', 'GB', '']")</f>
        <v>['thank', 'gajih', 'Telkomsel', 'love', 'quota', 'free', 'GB', '']</v>
      </c>
      <c r="D7825" s="3">
        <v>5.0</v>
      </c>
    </row>
    <row r="7826" ht="15.75" customHeight="1">
      <c r="A7826" s="1">
        <v>8357.0</v>
      </c>
      <c r="B7826" s="3" t="s">
        <v>7518</v>
      </c>
      <c r="C7826" s="3" t="str">
        <f>IFERROR(__xludf.DUMMYFUNCTION("GOOGLETRANSLATE(B7826,""id"",""en"")"),"['Severe', 'open']")</f>
        <v>['Severe', 'open']</v>
      </c>
      <c r="D7826" s="3">
        <v>1.0</v>
      </c>
    </row>
    <row r="7827" ht="15.75" customHeight="1">
      <c r="A7827" s="1">
        <v>8358.0</v>
      </c>
      <c r="B7827" s="3" t="s">
        <v>7519</v>
      </c>
      <c r="C7827" s="3" t="str">
        <f>IFERROR(__xludf.DUMMYFUNCTION("GOOGLETRANSLATE(B7827,""id"",""en"")"),"['The application', 'updated', 'opened', '']")</f>
        <v>['The application', 'updated', 'opened', '']</v>
      </c>
      <c r="D7827" s="3">
        <v>4.0</v>
      </c>
    </row>
    <row r="7828" ht="15.75" customHeight="1">
      <c r="A7828" s="1">
        <v>8359.0</v>
      </c>
      <c r="B7828" s="3" t="s">
        <v>7520</v>
      </c>
      <c r="C7828" s="3" t="str">
        <f>IFERROR(__xludf.DUMMYFUNCTION("GOOGLETRANSLATE(B7828,""id"",""en"")"),"['Klau', 'Klau', 'pulse', 'regular', 'package', 'data', 'run out', 'home', 'Telkomsel', 'already']")</f>
        <v>['Klau', 'Klau', 'pulse', 'regular', 'package', 'data', 'run out', 'home', 'Telkomsel', 'already']</v>
      </c>
      <c r="D7828" s="3">
        <v>5.0</v>
      </c>
    </row>
    <row r="7829" ht="15.75" customHeight="1">
      <c r="A7829" s="1">
        <v>8360.0</v>
      </c>
      <c r="B7829" s="3" t="s">
        <v>7521</v>
      </c>
      <c r="C7829" s="3" t="str">
        <f>IFERROR(__xludf.DUMMYFUNCTION("GOOGLETRANSLATE(B7829,""id"",""en"")"),"['week', 'application', 'open', 'just', 'display', 'blank', 'white', 'time', 'uninstall', 'dann', 'install', 'application', ' The results', ""]")</f>
        <v>['week', 'application', 'open', 'just', 'display', 'blank', 'white', 'time', 'uninstall', 'dann', 'install', 'application', ' The results', "]</v>
      </c>
      <c r="D7829" s="3">
        <v>5.0</v>
      </c>
    </row>
    <row r="7830" ht="15.75" customHeight="1">
      <c r="A7830" s="1">
        <v>8361.0</v>
      </c>
      <c r="B7830" s="3" t="s">
        <v>7522</v>
      </c>
      <c r="C7830" s="3" t="str">
        <f>IFERROR(__xludf.DUMMYFUNCTION("GOOGLETRANSLATE(B7830,""id"",""en"")"),"['steady', 'size', 'volume', 'contents']")</f>
        <v>['steady', 'size', 'volume', 'contents']</v>
      </c>
      <c r="D7830" s="3">
        <v>5.0</v>
      </c>
    </row>
    <row r="7831" ht="15.75" customHeight="1">
      <c r="A7831" s="1">
        <v>8362.0</v>
      </c>
      <c r="B7831" s="3" t="s">
        <v>7523</v>
      </c>
      <c r="C7831" s="3" t="str">
        <f>IFERROR(__xludf.DUMMYFUNCTION("GOOGLETRANSLATE(B7831,""id"",""en"")"),"['version', 'Telkomsel', 'Android', 'okk', 'open', 'blank', 'white', 'jja', 'udh', 'try', 'uninstall', 'then' Install ',' Sunday ',' repair ',' ']")</f>
        <v>['version', 'Telkomsel', 'Android', 'okk', 'open', 'blank', 'white', 'jja', 'udh', 'try', 'uninstall', 'then' Install ',' Sunday ',' repair ',' ']</v>
      </c>
      <c r="D7831" s="3">
        <v>1.0</v>
      </c>
    </row>
    <row r="7832" ht="15.75" customHeight="1">
      <c r="A7832" s="1">
        <v>8363.0</v>
      </c>
      <c r="B7832" s="3" t="s">
        <v>7524</v>
      </c>
      <c r="C7832" s="3" t="str">
        <f>IFERROR(__xludf.DUMMYFUNCTION("GOOGLETRANSLATE(B7832,""id"",""en"")"),"['Help', 'Helpful']")</f>
        <v>['Help', 'Helpful']</v>
      </c>
      <c r="D7832" s="3">
        <v>5.0</v>
      </c>
    </row>
    <row r="7833" ht="15.75" customHeight="1">
      <c r="A7833" s="1">
        <v>8365.0</v>
      </c>
      <c r="B7833" s="3" t="s">
        <v>7525</v>
      </c>
      <c r="C7833" s="3" t="str">
        <f>IFERROR(__xludf.DUMMYFUNCTION("GOOGLETRANSLATE(B7833,""id"",""en"")"),"['APK', 'access', 'Mao', 'buy', 'package', 'internet']")</f>
        <v>['APK', 'access', 'Mao', 'buy', 'package', 'internet']</v>
      </c>
      <c r="D7833" s="3">
        <v>4.0</v>
      </c>
    </row>
    <row r="7834" ht="15.75" customHeight="1">
      <c r="A7834" s="1">
        <v>8366.0</v>
      </c>
      <c r="B7834" s="3" t="s">
        <v>7526</v>
      </c>
      <c r="C7834" s="3" t="str">
        <f>IFERROR(__xludf.DUMMYFUNCTION("GOOGLETRANSLATE(B7834,""id"",""en"")"),"['disappointing', 'price', 'expensive', 'network', 'disorder', '']")</f>
        <v>['disappointing', 'price', 'expensive', 'network', 'disorder', '']</v>
      </c>
      <c r="D7834" s="3">
        <v>1.0</v>
      </c>
    </row>
    <row r="7835" ht="15.75" customHeight="1">
      <c r="A7835" s="1">
        <v>8367.0</v>
      </c>
      <c r="B7835" s="3" t="s">
        <v>7527</v>
      </c>
      <c r="C7835" s="3" t="str">
        <f>IFERROR(__xludf.DUMMYFUNCTION("GOOGLETRANSLATE(B7835,""id"",""en"")"),"['installed', 'reset', 'alternating', 'open', 'buy', 'package', 'data', 'replace', 'operator', '']")</f>
        <v>['installed', 'reset', 'alternating', 'open', 'buy', 'package', 'data', 'replace', 'operator', '']</v>
      </c>
      <c r="D7835" s="3">
        <v>1.0</v>
      </c>
    </row>
    <row r="7836" ht="15.75" customHeight="1">
      <c r="A7836" s="1">
        <v>8368.0</v>
      </c>
      <c r="B7836" s="3" t="s">
        <v>7528</v>
      </c>
      <c r="C7836" s="3" t="str">
        <f>IFERROR(__xludf.DUMMYFUNCTION("GOOGLETRANSLATE(B7836,""id"",""en"")"),"['Honest', 'Season', 'really', 'Ama', 'network', 'Telkom', 'buy', 'expensive', 'right', 'Gunain', 'ngellag', 'forgiveness',' ']")</f>
        <v>['Honest', 'Season', 'really', 'Ama', 'network', 'Telkom', 'buy', 'expensive', 'right', 'Gunain', 'ngellag', 'forgiveness',' ']</v>
      </c>
      <c r="D7836" s="3">
        <v>1.0</v>
      </c>
    </row>
    <row r="7837" ht="15.75" customHeight="1">
      <c r="A7837" s="1">
        <v>8369.0</v>
      </c>
      <c r="B7837" s="3" t="s">
        <v>7529</v>
      </c>
      <c r="C7837" s="3" t="str">
        <f>IFERROR(__xludf.DUMMYFUNCTION("GOOGLETRANSLATE(B7837,""id"",""en"")"),"['quota', 'unlimited', 'use', 'already', 'try', 'chat', 'veronika', 'telkomsel', 'telegram', 'responded', 'already', 'waiting', ' hours', 'responded']")</f>
        <v>['quota', 'unlimited', 'use', 'already', 'try', 'chat', 'veronika', 'telkomsel', 'telegram', 'responded', 'already', 'waiting', ' hours', 'responded']</v>
      </c>
      <c r="D7837" s="3">
        <v>1.0</v>
      </c>
    </row>
    <row r="7838" ht="15.75" customHeight="1">
      <c r="A7838" s="1">
        <v>8370.0</v>
      </c>
      <c r="B7838" s="3" t="s">
        <v>7530</v>
      </c>
      <c r="C7838" s="3" t="str">
        <f>IFERROR(__xludf.DUMMYFUNCTION("GOOGLETRANSLATE(B7838,""id"",""en"")"),"['Love', 'Telkomsel', 'Blum', 'Open', 'Screen', 'White', ""]")</f>
        <v>['Love', 'Telkomsel', 'Blum', 'Open', 'Screen', 'White', "]</v>
      </c>
      <c r="D7838" s="3">
        <v>3.0</v>
      </c>
    </row>
    <row r="7839" ht="15.75" customHeight="1">
      <c r="A7839" s="1">
        <v>8371.0</v>
      </c>
      <c r="B7839" s="3" t="s">
        <v>7531</v>
      </c>
      <c r="C7839" s="3" t="str">
        <f>IFERROR(__xludf.DUMMYFUNCTION("GOOGLETRANSLATE(B7839,""id"",""en"")"),"['Tecno', 'Spark', 'NFC', 'Android', 'Support', 'Screen', 'Blank', 'White', 'Responding', 'Please', 'Fix', 'Sis',' version ',' Support ']")</f>
        <v>['Tecno', 'Spark', 'NFC', 'Android', 'Support', 'Screen', 'Blank', 'White', 'Responding', 'Please', 'Fix', 'Sis',' version ',' Support ']</v>
      </c>
      <c r="D7839" s="3">
        <v>1.0</v>
      </c>
    </row>
    <row r="7840" ht="15.75" customHeight="1">
      <c r="A7840" s="1">
        <v>8372.0</v>
      </c>
      <c r="B7840" s="3" t="s">
        <v>7532</v>
      </c>
      <c r="C7840" s="3" t="str">
        <f>IFERROR(__xludf.DUMMYFUNCTION("GOOGLETRANSLATE(B7840,""id"",""en"")"),"['Cape', 'update', 'update', 'features',' kaga ',' social ',' media ',' deh ',' feeling ',' social ',' media ',' no ',' Kayak ',' Gini ',' Update ',' WHO ',' Hurt ',' You ',' Dude ',' ']")</f>
        <v>['Cape', 'update', 'update', 'features',' kaga ',' social ',' media ',' deh ',' feeling ',' social ',' media ',' no ',' Kayak ',' Gini ',' Update ',' WHO ',' Hurt ',' You ',' Dude ',' ']</v>
      </c>
      <c r="D7840" s="3">
        <v>1.0</v>
      </c>
    </row>
    <row r="7841" ht="15.75" customHeight="1">
      <c r="A7841" s="1">
        <v>8373.0</v>
      </c>
      <c r="B7841" s="3" t="s">
        <v>7533</v>
      </c>
      <c r="C7841" s="3" t="str">
        <f>IFERROR(__xludf.DUMMYFUNCTION("GOOGLETRANSLATE(B7841,""id"",""en"")"),"['The application', 'Open', 'Update', 'Open', 'Stak', 'Screen', 'Blank', 'White', 'Doang', 'Please', 'Fix', 'Trima', ' love', '']")</f>
        <v>['The application', 'Open', 'Update', 'Open', 'Stak', 'Screen', 'Blank', 'White', 'Doang', 'Please', 'Fix', 'Trima', ' love', '']</v>
      </c>
      <c r="D7841" s="3">
        <v>1.0</v>
      </c>
    </row>
    <row r="7842" ht="15.75" customHeight="1">
      <c r="A7842" s="1">
        <v>8374.0</v>
      </c>
      <c r="B7842" s="3" t="s">
        <v>7534</v>
      </c>
      <c r="C7842" s="3" t="str">
        <f>IFERROR(__xludf.DUMMYFUNCTION("GOOGLETRANSLATE(B7842,""id"",""en"")"),"['application', 'dbuka', 'waste', 'quota', 'install', 'application', 'dbuka', 'appears', 'screen', 'white', ""]")</f>
        <v>['application', 'dbuka', 'waste', 'quota', 'install', 'application', 'dbuka', 'appears', 'screen', 'white', "]</v>
      </c>
      <c r="D7842" s="3">
        <v>1.0</v>
      </c>
    </row>
    <row r="7843" ht="15.75" customHeight="1">
      <c r="A7843" s="1">
        <v>8375.0</v>
      </c>
      <c r="B7843" s="3" t="s">
        <v>7535</v>
      </c>
      <c r="C7843" s="3" t="str">
        <f>IFERROR(__xludf.DUMMYFUNCTION("GOOGLETRANSLATE(B7843,""id"",""en"")"),"['Canal', 'update', 'application', 'sampe', 'tired', 'week', 'update', 'update', 'no', 'difference', 'quota', 'expensive']")</f>
        <v>['Canal', 'update', 'application', 'sampe', 'tired', 'week', 'update', 'update', 'no', 'difference', 'quota', 'expensive']</v>
      </c>
      <c r="D7843" s="3">
        <v>2.0</v>
      </c>
    </row>
    <row r="7844" ht="15.75" customHeight="1">
      <c r="A7844" s="1">
        <v>8376.0</v>
      </c>
      <c r="B7844" s="3" t="s">
        <v>7536</v>
      </c>
      <c r="C7844" s="3" t="str">
        <f>IFERROR(__xludf.DUMMYFUNCTION("GOOGLETRANSLATE(B7844,""id"",""en"")"),"['term', 'area', 'Maluku', 'Telkomsel', 'Naikan', 'rates',' internet ',' strangling ',' community ',' Jang ',' mentang ',' ruler ',' Market ',' Telecommunications', 'Indonesia', 'East', 'Nast', 'Tariff', 'Heavy', 'Society']")</f>
        <v>['term', 'area', 'Maluku', 'Telkomsel', 'Naikan', 'rates',' internet ',' strangling ',' community ',' Jang ',' mentang ',' ruler ',' Market ',' Telecommunications', 'Indonesia', 'East', 'Nast', 'Tariff', 'Heavy', 'Society']</v>
      </c>
      <c r="D7844" s="3">
        <v>1.0</v>
      </c>
    </row>
    <row r="7845" ht="15.75" customHeight="1">
      <c r="A7845" s="1">
        <v>8377.0</v>
      </c>
      <c r="B7845" s="3" t="s">
        <v>7537</v>
      </c>
      <c r="C7845" s="3" t="str">
        <f>IFERROR(__xludf.DUMMYFUNCTION("GOOGLETRANSLATE(B7845,""id"",""en"")"),"['already', 'claims', 'daily', 'check', 'prize', 'no', 'entry']")</f>
        <v>['already', 'claims', 'daily', 'check', 'prize', 'no', 'entry']</v>
      </c>
      <c r="D7845" s="3">
        <v>3.0</v>
      </c>
    </row>
    <row r="7846" ht="15.75" customHeight="1">
      <c r="A7846" s="1">
        <v>8378.0</v>
      </c>
      <c r="B7846" s="3" t="s">
        <v>7538</v>
      </c>
      <c r="C7846" s="3" t="str">
        <f>IFERROR(__xludf.DUMMYFUNCTION("GOOGLETRANSLATE(B7846,""id"",""en"")"),"['cloudy', 'a little', 'already', 'slow', 'get', 'order']")</f>
        <v>['cloudy', 'a little', 'already', 'slow', 'get', 'order']</v>
      </c>
      <c r="D7846" s="3">
        <v>2.0</v>
      </c>
    </row>
    <row r="7847" ht="15.75" customHeight="1">
      <c r="A7847" s="1">
        <v>8379.0</v>
      </c>
      <c r="B7847" s="3" t="s">
        <v>7539</v>
      </c>
      <c r="C7847" s="3" t="str">
        <f>IFERROR(__xludf.DUMMYFUNCTION("GOOGLETRANSLATE(B7847,""id"",""en"")"),"['opened', 'Install', 'reset', 'times', 'love', 'star', 'zero', 'yaudh', 'love', 'zero']")</f>
        <v>['opened', 'Install', 'reset', 'times', 'love', 'star', 'zero', 'yaudh', 'love', 'zero']</v>
      </c>
      <c r="D7847" s="3">
        <v>1.0</v>
      </c>
    </row>
    <row r="7848" ht="15.75" customHeight="1">
      <c r="A7848" s="1">
        <v>8380.0</v>
      </c>
      <c r="B7848" s="3" t="s">
        <v>7540</v>
      </c>
      <c r="C7848" s="3" t="str">
        <f>IFERROR(__xludf.DUMMYFUNCTION("GOOGLETRANSLATE(B7848,""id"",""en"")"),"['Since', 'Fire', 'Office', 'Telkomsel', 'Leet', 'Super', 'Severe', 'Network', 'Delicious']")</f>
        <v>['Since', 'Fire', 'Office', 'Telkomsel', 'Leet', 'Super', 'Severe', 'Network', 'Delicious']</v>
      </c>
      <c r="D7848" s="3">
        <v>1.0</v>
      </c>
    </row>
    <row r="7849" ht="15.75" customHeight="1">
      <c r="A7849" s="1">
        <v>8381.0</v>
      </c>
      <c r="B7849" s="3" t="s">
        <v>7541</v>
      </c>
      <c r="C7849" s="3" t="str">
        <f>IFERROR(__xludf.DUMMYFUNCTION("GOOGLETRANSLATE(B7849,""id"",""en"")"),"['Application', 'makes it easier', 'buy', 'quota', 'cheap']")</f>
        <v>['Application', 'makes it easier', 'buy', 'quota', 'cheap']</v>
      </c>
      <c r="D7849" s="3">
        <v>4.0</v>
      </c>
    </row>
    <row r="7850" ht="15.75" customHeight="1">
      <c r="A7850" s="1">
        <v>8382.0</v>
      </c>
      <c r="B7850" s="3" t="s">
        <v>7542</v>
      </c>
      <c r="C7850" s="3" t="str">
        <f>IFERROR(__xludf.DUMMYFUNCTION("GOOGLETRANSLATE(B7850,""id"",""en"")"),"['The application', 'slow', 'the network', 'please', 'repaired', 'ugly', ""]")</f>
        <v>['The application', 'slow', 'the network', 'please', 'repaired', 'ugly', "]</v>
      </c>
      <c r="D7850" s="3">
        <v>1.0</v>
      </c>
    </row>
    <row r="7851" ht="15.75" customHeight="1">
      <c r="A7851" s="1">
        <v>8383.0</v>
      </c>
      <c r="B7851" s="3" t="s">
        <v>7543</v>
      </c>
      <c r="C7851" s="3" t="str">
        <f>IFERROR(__xludf.DUMMYFUNCTION("GOOGLETRANSLATE(B7851,""id"",""en"")"),"['Good', 'staple', 'really', '']")</f>
        <v>['Good', 'staple', 'really', '']</v>
      </c>
      <c r="D7851" s="3">
        <v>5.0</v>
      </c>
    </row>
    <row r="7852" ht="15.75" customHeight="1">
      <c r="A7852" s="1">
        <v>8384.0</v>
      </c>
      <c r="B7852" s="3" t="s">
        <v>7544</v>
      </c>
      <c r="C7852" s="3" t="str">
        <f>IFERROR(__xludf.DUMMYFUNCTION("GOOGLETRANSLATE(B7852,""id"",""en"")"),"['Please', 'sorry', 'love', 'star', 'package', 'internetmax', 'rb', 'please', 'blkn', '']")</f>
        <v>['Please', 'sorry', 'love', 'star', 'package', 'internetmax', 'rb', 'please', 'blkn', '']</v>
      </c>
      <c r="D7852" s="3">
        <v>5.0</v>
      </c>
    </row>
    <row r="7853" ht="15.75" customHeight="1">
      <c r="A7853" s="1">
        <v>8385.0</v>
      </c>
      <c r="B7853" s="3" t="s">
        <v>7545</v>
      </c>
      <c r="C7853" s="3" t="str">
        <f>IFERROR(__xludf.DUMMYFUNCTION("GOOGLETRANSLATE(B7853,""id"",""en"")"),"['sympathy', 'severe', 'slow', 'poor', 'expensive', '']")</f>
        <v>['sympathy', 'severe', 'slow', 'poor', 'expensive', '']</v>
      </c>
      <c r="D7853" s="3">
        <v>1.0</v>
      </c>
    </row>
    <row r="7854" ht="15.75" customHeight="1">
      <c r="A7854" s="1">
        <v>8387.0</v>
      </c>
      <c r="B7854" s="3" t="s">
        <v>7546</v>
      </c>
      <c r="C7854" s="3" t="str">
        <f>IFERROR(__xludf.DUMMYFUNCTION("GOOGLETRANSLATE(B7854,""id"",""en"")"),"['signal', 'garbage', 'missing', 'provider', 'garbage', 'kayak', 'card', 'cheap']")</f>
        <v>['signal', 'garbage', 'missing', 'provider', 'garbage', 'kayak', 'card', 'cheap']</v>
      </c>
      <c r="D7854" s="3">
        <v>1.0</v>
      </c>
    </row>
    <row r="7855" ht="15.75" customHeight="1">
      <c r="A7855" s="1">
        <v>8388.0</v>
      </c>
      <c r="B7855" s="3" t="s">
        <v>7547</v>
      </c>
      <c r="C7855" s="3" t="str">
        <f>IFERROR(__xludf.DUMMYFUNCTION("GOOGLETRANSLATE(B7855,""id"",""en"")"),"['Telkomsel', 'slow', 'Where', 'Difficult', 'The Network']")</f>
        <v>['Telkomsel', 'slow', 'Where', 'Difficult', 'The Network']</v>
      </c>
      <c r="D7855" s="3">
        <v>2.0</v>
      </c>
    </row>
    <row r="7856" ht="15.75" customHeight="1">
      <c r="A7856" s="1">
        <v>8389.0</v>
      </c>
      <c r="B7856" s="3" t="s">
        <v>7548</v>
      </c>
      <c r="C7856" s="3" t="str">
        <f>IFERROR(__xludf.DUMMYFUNCTION("GOOGLETRANSLATE(B7856,""id"",""en"")"),"['Application', 'Error', 'Min', 'No "",' Open ',' ']")</f>
        <v>['Application', 'Error', 'Min', 'No ",' Open ',' ']</v>
      </c>
      <c r="D7856" s="3">
        <v>1.0</v>
      </c>
    </row>
    <row r="7857" ht="15.75" customHeight="1">
      <c r="A7857" s="1">
        <v>8390.0</v>
      </c>
      <c r="B7857" s="3" t="s">
        <v>7549</v>
      </c>
      <c r="C7857" s="3" t="str">
        <f>IFERROR(__xludf.DUMMYFUNCTION("GOOGLETRANSLATE(B7857,""id"",""en"")"),"['Blank', 'White', 'just']")</f>
        <v>['Blank', 'White', 'just']</v>
      </c>
      <c r="D7857" s="3">
        <v>1.0</v>
      </c>
    </row>
    <row r="7858" ht="15.75" customHeight="1">
      <c r="A7858" s="1">
        <v>8391.0</v>
      </c>
      <c r="B7858" s="3" t="s">
        <v>7550</v>
      </c>
      <c r="C7858" s="3" t="str">
        <f>IFERROR(__xludf.DUMMYFUNCTION("GOOGLETRANSLATE(B7858,""id"",""en"")"),"['expensive', 'slow', 'network']")</f>
        <v>['expensive', 'slow', 'network']</v>
      </c>
      <c r="D7858" s="3">
        <v>2.0</v>
      </c>
    </row>
    <row r="7859" ht="15.75" customHeight="1">
      <c r="A7859" s="1">
        <v>8392.0</v>
      </c>
      <c r="B7859" s="3" t="s">
        <v>7551</v>
      </c>
      <c r="C7859" s="3" t="str">
        <f>IFERROR(__xludf.DUMMYFUNCTION("GOOGLETRANSLATE(B7859,""id"",""en"")"),"['Nymn', 'complicated', 'PKE', 'Telkomsel', 'skrng', 'knp', 'every time', 'buk', 'application', 'udh', 'white', 'gmbr', ' Please ',' Fix ',' Application ',' Sangt ',' Help ',' Thank ',' Love ']")</f>
        <v>['Nymn', 'complicated', 'PKE', 'Telkomsel', 'skrng', 'knp', 'every time', 'buk', 'application', 'udh', 'white', 'gmbr', ' Please ',' Fix ',' Application ',' Sangt ',' Help ',' Thank ',' Love ']</v>
      </c>
      <c r="D7859" s="3">
        <v>2.0</v>
      </c>
    </row>
    <row r="7860" ht="15.75" customHeight="1">
      <c r="A7860" s="1">
        <v>8393.0</v>
      </c>
      <c r="B7860" s="3" t="s">
        <v>7552</v>
      </c>
      <c r="C7860" s="3" t="str">
        <f>IFERROR(__xludf.DUMMYFUNCTION("GOOGLETRANSLATE(B7860,""id"",""en"")"),"['Betah', 'APK', 'Open', 'Please', 'Fix']")</f>
        <v>['Betah', 'APK', 'Open', 'Please', 'Fix']</v>
      </c>
      <c r="D7860" s="3">
        <v>1.0</v>
      </c>
    </row>
    <row r="7861" ht="15.75" customHeight="1">
      <c r="A7861" s="1">
        <v>8394.0</v>
      </c>
      <c r="B7861" s="3" t="s">
        <v>7553</v>
      </c>
      <c r="C7861" s="3" t="str">
        <f>IFERROR(__xludf.DUMMYFUNCTION("GOOGLETRANSLATE(B7861,""id"",""en"")"),"['buy', 'pulse', 'cheap', 'really']")</f>
        <v>['buy', 'pulse', 'cheap', 'really']</v>
      </c>
      <c r="D7861" s="3">
        <v>5.0</v>
      </c>
    </row>
    <row r="7862" ht="15.75" customHeight="1">
      <c r="A7862" s="1">
        <v>8395.0</v>
      </c>
      <c r="B7862" s="3" t="s">
        <v>7554</v>
      </c>
      <c r="C7862" s="3" t="str">
        <f>IFERROR(__xludf.DUMMYFUNCTION("GOOGLETRANSLATE(B7862,""id"",""en"")"),"['Telkomsel', 'please', 'return', 'credit', 'say', 'just', 'borrow', 'contents',' pulse ',' pulse ',' taken ',' wonder ',' really ',' oath ',' hate ',' Telkomsel ',' essence ',' back ',' pulse ',' ']")</f>
        <v>['Telkomsel', 'please', 'return', 'credit', 'say', 'just', 'borrow', 'contents',' pulse ',' pulse ',' taken ',' wonder ',' really ',' oath ',' hate ',' Telkomsel ',' essence ',' back ',' pulse ',' ']</v>
      </c>
      <c r="D7862" s="3">
        <v>1.0</v>
      </c>
    </row>
    <row r="7863" ht="15.75" customHeight="1">
      <c r="A7863" s="1">
        <v>8396.0</v>
      </c>
      <c r="B7863" s="3" t="s">
        <v>7555</v>
      </c>
      <c r="C7863" s="3" t="str">
        <f>IFERROR(__xludf.DUMMYFUNCTION("GOOGLETRANSLATE(B7863,""id"",""en"")"),"['Fix', 'System', 'Login', 'Telkomsel', 'company', 'Segede', 'Gini', 'fix', 'bug', 'that way', 'doang']")</f>
        <v>['Fix', 'System', 'Login', 'Telkomsel', 'company', 'Segede', 'Gini', 'fix', 'bug', 'that way', 'doang']</v>
      </c>
      <c r="D7863" s="3">
        <v>1.0</v>
      </c>
    </row>
    <row r="7864" ht="15.75" customHeight="1">
      <c r="A7864" s="1">
        <v>8397.0</v>
      </c>
      <c r="B7864" s="3" t="s">
        <v>7556</v>
      </c>
      <c r="C7864" s="3" t="str">
        <f>IFERROR(__xludf.DUMMYFUNCTION("GOOGLETRANSLATE(B7864,""id"",""en"")"),"['best', 'convenience', 'customer', 'hello']")</f>
        <v>['best', 'convenience', 'customer', 'hello']</v>
      </c>
      <c r="D7864" s="3">
        <v>5.0</v>
      </c>
    </row>
    <row r="7865" ht="15.75" customHeight="1">
      <c r="A7865" s="1">
        <v>8398.0</v>
      </c>
      <c r="B7865" s="3" t="s">
        <v>7557</v>
      </c>
      <c r="C7865" s="3" t="str">
        <f>IFERROR(__xludf.DUMMYFUNCTION("GOOGLETRANSLATE(B7865,""id"",""en"")"),"['application', 'battered', 'blang', 'white']")</f>
        <v>['application', 'battered', 'blang', 'white']</v>
      </c>
      <c r="D7865" s="3">
        <v>1.0</v>
      </c>
    </row>
    <row r="7866" ht="15.75" customHeight="1">
      <c r="A7866" s="1">
        <v>8399.0</v>
      </c>
      <c r="B7866" s="3" t="s">
        <v>7558</v>
      </c>
      <c r="C7866" s="3" t="str">
        <f>IFERROR(__xludf.DUMMYFUNCTION("GOOGLETRANSLATE(B7866,""id"",""en"")"),"['BNYK', 'update']")</f>
        <v>['BNYK', 'update']</v>
      </c>
      <c r="D7866" s="3">
        <v>2.0</v>
      </c>
    </row>
    <row r="7867" ht="15.75" customHeight="1">
      <c r="A7867" s="1">
        <v>8400.0</v>
      </c>
      <c r="B7867" s="3" t="s">
        <v>7559</v>
      </c>
      <c r="C7867" s="3" t="str">
        <f>IFERROR(__xludf.DUMMYFUNCTION("GOOGLETRANSLATE(B7867,""id"",""en"")"),"['Good', 'MLH', 'Bad', 'The network', 'UDH', 'Sunday', 'in the region', 'Wonosari', 'Klaten', 'Slow', 'mercy', 'MLH', ' Sometimes', 'signal', 'mending', 'replace', 'provider', 'UDH', 'buy', 'quota', 'slow', 'waste', 'money']")</f>
        <v>['Good', 'MLH', 'Bad', 'The network', 'UDH', 'Sunday', 'in the region', 'Wonosari', 'Klaten', 'Slow', 'mercy', 'MLH', ' Sometimes', 'signal', 'mending', 'replace', 'provider', 'UDH', 'buy', 'quota', 'slow', 'waste', 'money']</v>
      </c>
      <c r="D7867" s="3">
        <v>1.0</v>
      </c>
    </row>
    <row r="7868" ht="15.75" customHeight="1">
      <c r="A7868" s="1">
        <v>8401.0</v>
      </c>
      <c r="B7868" s="3" t="s">
        <v>7560</v>
      </c>
      <c r="C7868" s="3" t="str">
        <f>IFERROR(__xludf.DUMMYFUNCTION("GOOGLETRANSLATE(B7868,""id"",""en"")"),"['screen', 'white', 'open', 'trimakasih', 'service', 'Telkomsel', '']")</f>
        <v>['screen', 'white', 'open', 'trimakasih', 'service', 'Telkomsel', '']</v>
      </c>
      <c r="D7868" s="3">
        <v>1.0</v>
      </c>
    </row>
    <row r="7869" ht="15.75" customHeight="1">
      <c r="A7869" s="1">
        <v>8402.0</v>
      </c>
      <c r="B7869" s="3" t="s">
        <v>7561</v>
      </c>
      <c r="C7869" s="3" t="str">
        <f>IFERROR(__xludf.DUMMYFUNCTION("GOOGLETRANSLATE(B7869,""id"",""en"")"),"['Help', 'check', 'balance', 'purchase', 'package', 'quota']")</f>
        <v>['Help', 'check', 'balance', 'purchase', 'package', 'quota']</v>
      </c>
      <c r="D7869" s="3">
        <v>4.0</v>
      </c>
    </row>
    <row r="7870" ht="15.75" customHeight="1">
      <c r="A7870" s="1">
        <v>8403.0</v>
      </c>
      <c r="B7870" s="3" t="s">
        <v>7562</v>
      </c>
      <c r="C7870" s="3" t="str">
        <f>IFERROR(__xludf.DUMMYFUNCTION("GOOGLETRANSLATE(B7870,""id"",""en"")"),"['promo', 'package', 'expensive', 'appeal']")</f>
        <v>['promo', 'package', 'expensive', 'appeal']</v>
      </c>
      <c r="D7870" s="3">
        <v>5.0</v>
      </c>
    </row>
    <row r="7871" ht="15.75" customHeight="1">
      <c r="A7871" s="1">
        <v>8404.0</v>
      </c>
      <c r="B7871" s="3" t="s">
        <v>7563</v>
      </c>
      <c r="C7871" s="3" t="str">
        <f>IFERROR(__xludf.DUMMYFUNCTION("GOOGLETRANSLATE(B7871,""id"",""en"")"),"['Telkomsel', 'Taik', 'Network', 'buy', 'package', 'expensive', 'network', 'Murarahan', 'Severe', 'Kayak', 'artisan', 'medicine', ' The edge ',' road ',' quality ',' sick ',' ']")</f>
        <v>['Telkomsel', 'Taik', 'Network', 'buy', 'package', 'expensive', 'network', 'Murarahan', 'Severe', 'Kayak', 'artisan', 'medicine', ' The edge ',' road ',' quality ',' sick ',' ']</v>
      </c>
      <c r="D7871" s="3">
        <v>1.0</v>
      </c>
    </row>
    <row r="7872" ht="15.75" customHeight="1">
      <c r="A7872" s="1">
        <v>8405.0</v>
      </c>
      <c r="B7872" s="3" t="s">
        <v>7564</v>
      </c>
      <c r="C7872" s="3" t="str">
        <f>IFERROR(__xludf.DUMMYFUNCTION("GOOGLETRANSLATE(B7872,""id"",""en"")"),"['users',' Telkomsel ',' honest ',' disappointed ',' price ',' in the market ',' expensive ',' package ',' call ',' quota ',' internet ',' Telkomsel ',' DLU ',' Uklum ',' because ',' weve ',' big ',' good ',' livers', 'quality', 'jingan', 'dngn', 'brand',"&amp;" 'brand', 'below it' , 'JDI', 'the difference', 'Dangan', 'price', 'skrg', 'kualiat', 'comparable', 'disappointed', ""]")</f>
        <v>['users',' Telkomsel ',' honest ',' disappointed ',' price ',' in the market ',' expensive ',' package ',' call ',' quota ',' internet ',' Telkomsel ',' DLU ',' Uklum ',' because ',' weve ',' big ',' good ',' livers', 'quality', 'jingan', 'dngn', 'brand', 'brand', 'below it' , 'JDI', 'the difference', 'Dangan', 'price', 'skrg', 'kualiat', 'comparable', 'disappointed', "]</v>
      </c>
      <c r="D7872" s="3">
        <v>2.0</v>
      </c>
    </row>
    <row r="7873" ht="15.75" customHeight="1">
      <c r="A7873" s="1">
        <v>8406.0</v>
      </c>
      <c r="B7873" s="3" t="s">
        <v>7565</v>
      </c>
      <c r="C7873" s="3" t="str">
        <f>IFERROR(__xludf.DUMMYFUNCTION("GOOGLETRANSLATE(B7873,""id"",""en"")"),"['application', 'open', 'please', 'business',' udh ',' dowonlod ',' times', 'try', 'trs',' TPI ',' open ',' screen ',' color ',' white ',' told ',' gave ',' star ',' star ',' UDH ',' Pantes', 'application']")</f>
        <v>['application', 'open', 'please', 'business',' udh ',' dowonlod ',' times', 'try', 'trs',' TPI ',' open ',' screen ',' color ',' white ',' told ',' gave ',' star ',' star ',' UDH ',' Pantes', 'application']</v>
      </c>
      <c r="D7873" s="3">
        <v>1.0</v>
      </c>
    </row>
    <row r="7874" ht="15.75" customHeight="1">
      <c r="A7874" s="1">
        <v>8407.0</v>
      </c>
      <c r="B7874" s="3" t="s">
        <v>7566</v>
      </c>
      <c r="C7874" s="3" t="str">
        <f>IFERROR(__xludf.DUMMYFUNCTION("GOOGLETRANSLATE(B7874,""id"",""en"")"),"['signal', 'Telkomsel', 'Severe', 'skrg', 'Bogor', 'mah', 'belom', 'inland', 'signal', 'Hadehh', 'kaga', 'stable', ' Pamor ',' Telkomsel ',' signal ',' strongest ',' already ',' trial ',' it seems']")</f>
        <v>['signal', 'Telkomsel', 'Severe', 'skrg', 'Bogor', 'mah', 'belom', 'inland', 'signal', 'Hadehh', 'kaga', 'stable', ' Pamor ',' Telkomsel ',' signal ',' strongest ',' already ',' trial ',' it seems']</v>
      </c>
      <c r="D7874" s="3">
        <v>1.0</v>
      </c>
    </row>
    <row r="7875" ht="15.75" customHeight="1">
      <c r="A7875" s="1">
        <v>8408.0</v>
      </c>
      <c r="B7875" s="3" t="s">
        <v>7567</v>
      </c>
      <c r="C7875" s="3" t="str">
        <f>IFERROR(__xludf.DUMMYFUNCTION("GOOGLETRANSLATE(B7875,""id"",""en"")"),"['Quality', 'Internet', 'Decreases']")</f>
        <v>['Quality', 'Internet', 'Decreases']</v>
      </c>
      <c r="D7875" s="3">
        <v>3.0</v>
      </c>
    </row>
    <row r="7876" ht="15.75" customHeight="1">
      <c r="A7876" s="1">
        <v>8409.0</v>
      </c>
      <c r="B7876" s="3" t="s">
        <v>7568</v>
      </c>
      <c r="C7876" s="3" t="str">
        <f>IFERROR(__xludf.DUMMYFUNCTION("GOOGLETRANSLATE(B7876,""id"",""en"")"),"['Comfortable', 'Sometimes', 'City', 'Signal', '']")</f>
        <v>['Comfortable', 'Sometimes', 'City', 'Signal', '']</v>
      </c>
      <c r="D7876" s="3">
        <v>5.0</v>
      </c>
    </row>
    <row r="7877" ht="15.75" customHeight="1">
      <c r="A7877" s="1">
        <v>8410.0</v>
      </c>
      <c r="B7877" s="3" t="s">
        <v>7569</v>
      </c>
      <c r="C7877" s="3" t="str">
        <f>IFERROR(__xludf.DUMMYFUNCTION("GOOGLETRANSLATE(B7877,""id"",""en"")"),"['', 'Love', 'Bintang', 'Good', 'App', 'Update', 'Ngebleng', 'White', 'Response', 'Fari', 'Admin', 'Have', ' ',' Mimin ',' Facebook ',' twiter ',' etc. ',' finish ',' fix ',' system ',' do ',' Telkomsel ', ""]")</f>
        <v>['', 'Love', 'Bintang', 'Good', 'App', 'Update', 'Ngebleng', 'White', 'Response', 'Fari', 'Admin', 'Have', ' ',' Mimin ',' Facebook ',' twiter ',' etc. ',' finish ',' fix ',' system ',' do ',' Telkomsel ', "]</v>
      </c>
      <c r="D7877" s="3">
        <v>1.0</v>
      </c>
    </row>
    <row r="7878" ht="15.75" customHeight="1">
      <c r="A7878" s="1">
        <v>8411.0</v>
      </c>
      <c r="B7878" s="3" t="s">
        <v>7570</v>
      </c>
      <c r="C7878" s="3" t="str">
        <f>IFERROR(__xludf.DUMMYFUNCTION("GOOGLETRANSLATE(B7878,""id"",""en"")"),"['Disappointed', 'App', 'owned', 'BUMN', 'opened', 'White', 'Blank', 'Duminialamin', 'Telkomsel', 'repair', 'statement', ""]")</f>
        <v>['Disappointed', 'App', 'owned', 'BUMN', 'opened', 'White', 'Blank', 'Duminialamin', 'Telkomsel', 'repair', 'statement', "]</v>
      </c>
      <c r="D7878" s="3">
        <v>1.0</v>
      </c>
    </row>
    <row r="7879" ht="15.75" customHeight="1">
      <c r="A7879" s="1">
        <v>8412.0</v>
      </c>
      <c r="B7879" s="3" t="s">
        <v>7571</v>
      </c>
      <c r="C7879" s="3" t="str">
        <f>IFERROR(__xludf.DUMMYFUNCTION("GOOGLETRANSLATE(B7879,""id"",""en"")"),"['APK', 'chat', 'customer', 'servicenya', 'told', 'Wait', 'wait', 'really', 'connected', '']")</f>
        <v>['APK', 'chat', 'customer', 'servicenya', 'told', 'Wait', 'wait', 'really', 'connected', '']</v>
      </c>
      <c r="D7879" s="3">
        <v>1.0</v>
      </c>
    </row>
    <row r="7880" ht="15.75" customHeight="1">
      <c r="A7880" s="1">
        <v>8413.0</v>
      </c>
      <c r="B7880" s="3" t="s">
        <v>7572</v>
      </c>
      <c r="C7880" s="3" t="str">
        <f>IFERROR(__xludf.DUMMYFUNCTION("GOOGLETRANSLATE(B7880,""id"",""en"")"),"['', 'update', 'opened']")</f>
        <v>['', 'update', 'opened']</v>
      </c>
      <c r="D7880" s="3">
        <v>1.0</v>
      </c>
    </row>
    <row r="7881" ht="15.75" customHeight="1">
      <c r="A7881" s="1">
        <v>8414.0</v>
      </c>
      <c r="B7881" s="3" t="s">
        <v>7573</v>
      </c>
      <c r="C7881" s="3" t="str">
        <f>IFERROR(__xludf.DUMMYFUNCTION("GOOGLETRANSLATE(B7881,""id"",""en"")"),"['', 'Package', 'data', 'play', 'Facebook', 'Reloq', 'mode', 'free', 'raises',' link ',' buy ',' package ',' data ',' Facebook ',' click ',' loss', 'patters',' pulse ',' truncated ']")</f>
        <v>['', 'Package', 'data', 'play', 'Facebook', 'Reloq', 'mode', 'free', 'raises',' link ',' buy ',' package ',' data ',' Facebook ',' click ',' loss', 'patters',' pulse ',' truncated ']</v>
      </c>
      <c r="D7881" s="3">
        <v>1.0</v>
      </c>
    </row>
    <row r="7882" ht="15.75" customHeight="1">
      <c r="A7882" s="1">
        <v>8415.0</v>
      </c>
      <c r="B7882" s="3" t="s">
        <v>7574</v>
      </c>
      <c r="C7882" s="3" t="str">
        <f>IFERROR(__xludf.DUMMYFUNCTION("GOOGLETRANSLATE(B7882,""id"",""en"")"),"['', 'Open', 'Out', 'Update', 'Latest', 'Delete', 'Install', 'Reset', 'Tetep']")</f>
        <v>['', 'Open', 'Out', 'Update', 'Latest', 'Delete', 'Install', 'Reset', 'Tetep']</v>
      </c>
      <c r="D7882" s="3">
        <v>2.0</v>
      </c>
    </row>
    <row r="7883" ht="15.75" customHeight="1">
      <c r="A7883" s="1">
        <v>8416.0</v>
      </c>
      <c r="B7883" s="3" t="s">
        <v>7575</v>
      </c>
      <c r="C7883" s="3" t="str">
        <f>IFERROR(__xludf.DUMMYFUNCTION("GOOGLETRANSLATE(B7883,""id"",""en"")"),"['', 'opened', 'Blank', 'White', 'Delete', 'Install', 'Delete', 'Install', 'Tetep', 'Change', 'Operator', 'times', "" ]")</f>
        <v>['', 'opened', 'Blank', 'White', 'Delete', 'Install', 'Delete', 'Install', 'Tetep', 'Change', 'Operator', 'times', " ]</v>
      </c>
      <c r="D7883" s="3">
        <v>1.0</v>
      </c>
    </row>
    <row r="7884" ht="15.75" customHeight="1">
      <c r="A7884" s="1">
        <v>8417.0</v>
      </c>
      <c r="B7884" s="3" t="s">
        <v>7576</v>
      </c>
      <c r="C7884" s="3" t="str">
        <f>IFERROR(__xludf.DUMMYFUNCTION("GOOGLETRANSLATE(B7884,""id"",""en"")"),"['Good', 'Mantap', 'Telkomsel']")</f>
        <v>['Good', 'Mantap', 'Telkomsel']</v>
      </c>
      <c r="D7884" s="3">
        <v>5.0</v>
      </c>
    </row>
    <row r="7885" ht="15.75" customHeight="1">
      <c r="A7885" s="1">
        <v>8418.0</v>
      </c>
      <c r="B7885" s="3" t="s">
        <v>7577</v>
      </c>
      <c r="C7885" s="3" t="str">
        <f>IFERROR(__xludf.DUMMYFUNCTION("GOOGLETRANSLATE(B7885,""id"",""en"")"),"['Since', 'updated', 'price', 'package', 'expensive', 'bnget', 'package', 'giganet', 'dkarang', 'ilang', 'hdeh', '']")</f>
        <v>['Since', 'updated', 'price', 'package', 'expensive', 'bnget', 'package', 'giganet', 'dkarang', 'ilang', 'hdeh', '']</v>
      </c>
      <c r="D7885" s="3">
        <v>3.0</v>
      </c>
    </row>
    <row r="7886" ht="15.75" customHeight="1">
      <c r="A7886" s="1">
        <v>8419.0</v>
      </c>
      <c r="B7886" s="3" t="s">
        <v>7578</v>
      </c>
      <c r="C7886" s="3" t="str">
        <f>IFERROR(__xludf.DUMMYFUNCTION("GOOGLETRANSLATE(B7886,""id"",""en"")"),"['Severe' application ',' NGK ',' open ',' open ',' screen ',' white ',' then ',' closed ',' already ',' unistal ',' install ',' ']")</f>
        <v>['Severe' application ',' NGK ',' open ',' open ',' screen ',' white ',' then ',' closed ',' already ',' unistal ',' install ',' ']</v>
      </c>
      <c r="D7886" s="3">
        <v>1.0</v>
      </c>
    </row>
    <row r="7887" ht="15.75" customHeight="1">
      <c r="A7887" s="1">
        <v>8420.0</v>
      </c>
      <c r="B7887" s="3" t="s">
        <v>7579</v>
      </c>
      <c r="C7887" s="3" t="str">
        <f>IFERROR(__xludf.DUMMYFUNCTION("GOOGLETRANSLATE(B7887,""id"",""en"")"),"['apk', 'error', 'open']")</f>
        <v>['apk', 'error', 'open']</v>
      </c>
      <c r="D7887" s="3">
        <v>1.0</v>
      </c>
    </row>
    <row r="7888" ht="15.75" customHeight="1">
      <c r="A7888" s="1">
        <v>8421.0</v>
      </c>
      <c r="B7888" s="3" t="s">
        <v>7580</v>
      </c>
      <c r="C7888" s="3" t="str">
        <f>IFERROR(__xludf.DUMMYFUNCTION("GOOGLETRANSLATE(B7888,""id"",""en"")"),"['fast', 'check', 'internet', 'easy']")</f>
        <v>['fast', 'check', 'internet', 'easy']</v>
      </c>
      <c r="D7888" s="3">
        <v>5.0</v>
      </c>
    </row>
    <row r="7889" ht="15.75" customHeight="1">
      <c r="A7889" s="1">
        <v>8422.0</v>
      </c>
      <c r="B7889" s="3" t="s">
        <v>7581</v>
      </c>
      <c r="C7889" s="3" t="str">
        <f>IFERROR(__xludf.DUMMYFUNCTION("GOOGLETRANSLATE(B7889,""id"",""en"")"),"['Knp', 'fill in', 'pulse', 'suck', 'mulu', 'right', 'packagein', 'pulse', 'sufficient', 'try', 'tell', 'udh', ' fill in ',' brpa ',' times', 'packagein']")</f>
        <v>['Knp', 'fill in', 'pulse', 'suck', 'mulu', 'right', 'packagein', 'pulse', 'sufficient', 'try', 'tell', 'udh', ' fill in ',' brpa ',' times', 'packagein']</v>
      </c>
      <c r="D7889" s="3">
        <v>1.0</v>
      </c>
    </row>
    <row r="7890" ht="15.75" customHeight="1">
      <c r="A7890" s="1">
        <v>8423.0</v>
      </c>
      <c r="B7890" s="3" t="s">
        <v>7582</v>
      </c>
      <c r="C7890" s="3" t="str">
        <f>IFERROR(__xludf.DUMMYFUNCTION("GOOGLETRANSLATE(B7890,""id"",""en"")"),"['price', 'quota', 'Telkomsel', 'dlu', 'standard', 'folding', 'price', 'plus',' quality ',' network ',' severe ',' destroyed ',' forward ',' price ',' toyed ',' moved ',' network ',' network ',' no ',' no ',' quality ',' complained ',' Telkomsel ',' settl"&amp;"ement ',' robot ' , 'Quality', 'Please', 'responded to', 'suggestion', 'Thank you', ""]")</f>
        <v>['price', 'quota', 'Telkomsel', 'dlu', 'standard', 'folding', 'price', 'plus',' quality ',' network ',' severe ',' destroyed ',' forward ',' price ',' toyed ',' moved ',' network ',' network ',' no ',' no ',' quality ',' complained ',' Telkomsel ',' settlement ',' robot ' , 'Quality', 'Please', 'responded to', 'suggestion', 'Thank you', "]</v>
      </c>
      <c r="D7890" s="3">
        <v>1.0</v>
      </c>
    </row>
    <row r="7891" ht="15.75" customHeight="1">
      <c r="A7891" s="1">
        <v>8424.0</v>
      </c>
      <c r="B7891" s="3" t="s">
        <v>7583</v>
      </c>
      <c r="C7891" s="3" t="str">
        <f>IFERROR(__xludf.DUMMYFUNCTION("GOOGLETRANSLATE(B7891,""id"",""en"")"),"['improve', 'service', 'package', 'data', 'cheap', 'Telkomsel', 'convenience', 'open', 'application', 'Telkomsel']")</f>
        <v>['improve', 'service', 'package', 'data', 'cheap', 'Telkomsel', 'convenience', 'open', 'application', 'Telkomsel']</v>
      </c>
      <c r="D7891" s="3">
        <v>5.0</v>
      </c>
    </row>
    <row r="7892" ht="15.75" customHeight="1">
      <c r="A7892" s="1">
        <v>8425.0</v>
      </c>
      <c r="B7892" s="3" t="s">
        <v>7584</v>
      </c>
      <c r="C7892" s="3" t="str">
        <f>IFERROR(__xludf.DUMMYFUNCTION("GOOGLETRANSLATE(B7892,""id"",""en"")"),"['Burut', 'application', 'bukabaa']")</f>
        <v>['Burut', 'application', 'bukabaa']</v>
      </c>
      <c r="D7892" s="3">
        <v>1.0</v>
      </c>
    </row>
    <row r="7893" ht="15.75" customHeight="1">
      <c r="A7893" s="1">
        <v>8426.0</v>
      </c>
      <c r="B7893" s="3" t="s">
        <v>7585</v>
      </c>
      <c r="C7893" s="3" t="str">
        <f>IFERROR(__xludf.DUMMYFUNCTION("GOOGLETRANSLATE(B7893,""id"",""en"")"),"['Trima', 'ksih', 'Bnyklak', 'Appsi', 'Help']")</f>
        <v>['Trima', 'ksih', 'Bnyklak', 'Appsi', 'Help']</v>
      </c>
      <c r="D7893" s="3">
        <v>5.0</v>
      </c>
    </row>
    <row r="7894" ht="15.75" customHeight="1">
      <c r="A7894" s="1">
        <v>8427.0</v>
      </c>
      <c r="B7894" s="3" t="s">
        <v>7586</v>
      </c>
      <c r="C7894" s="3" t="str">
        <f>IFERROR(__xludf.DUMMYFUNCTION("GOOGLETRANSLATE(B7894,""id"",""en"")"),"['Telkomsel', 'Success']")</f>
        <v>['Telkomsel', 'Success']</v>
      </c>
      <c r="D7894" s="3">
        <v>5.0</v>
      </c>
    </row>
    <row r="7895" ht="15.75" customHeight="1">
      <c r="A7895" s="1">
        <v>8428.0</v>
      </c>
      <c r="B7895" s="3" t="s">
        <v>7587</v>
      </c>
      <c r="C7895" s="3" t="str">
        <f>IFERROR(__xludf.DUMMYFUNCTION("GOOGLETRANSLATE(B7895,""id"",""en"")"),"['', 'Change', 'application', 'MyTelkomsel', 'opened', 'stuck', 'blank', 'white', 'opened', ""]")</f>
        <v>['', 'Change', 'application', 'MyTelkomsel', 'opened', 'stuck', 'blank', 'white', 'opened', "]</v>
      </c>
      <c r="D7895" s="3">
        <v>1.0</v>
      </c>
    </row>
    <row r="7896" ht="15.75" customHeight="1">
      <c r="A7896" s="1">
        <v>8429.0</v>
      </c>
      <c r="B7896" s="3" t="s">
        <v>7588</v>
      </c>
      <c r="C7896" s="3" t="str">
        <f>IFERROR(__xludf.DUMMYFUNCTION("GOOGLETRANSLATE(B7896,""id"",""en"")"),"['Here', 'Good', 'App', 'Bad', 'Unistall', '']")</f>
        <v>['Here', 'Good', 'App', 'Bad', 'Unistall', '']</v>
      </c>
      <c r="D7896" s="3">
        <v>1.0</v>
      </c>
    </row>
    <row r="7897" ht="15.75" customHeight="1">
      <c r="A7897" s="1">
        <v>8430.0</v>
      </c>
      <c r="B7897" s="3" t="s">
        <v>7589</v>
      </c>
      <c r="C7897" s="3" t="str">
        <f>IFERROR(__xludf.DUMMYFUNCTION("GOOGLETRANSLATE(B7897,""id"",""en"")"),"['ugly', 'open', '']")</f>
        <v>['ugly', 'open', '']</v>
      </c>
      <c r="D7897" s="3">
        <v>1.0</v>
      </c>
    </row>
    <row r="7898" ht="15.75" customHeight="1">
      <c r="A7898" s="1">
        <v>8431.0</v>
      </c>
      <c r="B7898" s="3" t="s">
        <v>7590</v>
      </c>
      <c r="C7898" s="3" t="str">
        <f>IFERROR(__xludf.DUMMYFUNCTION("GOOGLETRANSLATE(B7898,""id"",""en"")"),"['', 'Telkomsel', 'opened']")</f>
        <v>['', 'Telkomsel', 'opened']</v>
      </c>
      <c r="D7898" s="3">
        <v>2.0</v>
      </c>
    </row>
    <row r="7899" ht="15.75" customHeight="1">
      <c r="A7899" s="1">
        <v>8432.0</v>
      </c>
      <c r="B7899" s="3" t="s">
        <v>7591</v>
      </c>
      <c r="C7899" s="3" t="str">
        <f>IFERROR(__xludf.DUMMYFUNCTION("GOOGLETRANSLATE(B7899,""id"",""en"")"),"['Access',' use ',' Telkomsel ',' original ',' inconsequential ',' severe ',' Genting ',' buy ',' package ',' APK ',' pulse ',' contents', ' Buy ',' Package ',' APK ',' Telkomsel ',' FAILURE ',' Credit ',' Adequate ',' Padahalal ',' Pulse ',' Buy ',' Pack"&amp;"age ',' Price ',' Rb ' , 'TTP', 'Notif', 'pulse', 'sufficient', 'geblek', 'try', 'down', 'buy', 'package', 'rb', 'ttp', 'that's',' Provider ',' improving ',' bkan ',' ngaco ']")</f>
        <v>['Access',' use ',' Telkomsel ',' original ',' inconsequential ',' severe ',' Genting ',' buy ',' package ',' APK ',' pulse ',' contents', ' Buy ',' Package ',' APK ',' Telkomsel ',' FAILURE ',' Credit ',' Adequate ',' Padahalal ',' Pulse ',' Buy ',' Package ',' Price ',' Rb ' , 'TTP', 'Notif', 'pulse', 'sufficient', 'geblek', 'try', 'down', 'buy', 'package', 'rb', 'ttp', 'that's',' Provider ',' improving ',' bkan ',' ngaco ']</v>
      </c>
      <c r="D7899" s="3">
        <v>1.0</v>
      </c>
    </row>
    <row r="7900" ht="15.75" customHeight="1">
      <c r="A7900" s="1">
        <v>8433.0</v>
      </c>
      <c r="B7900" s="3" t="s">
        <v>7592</v>
      </c>
      <c r="C7900" s="3" t="str">
        <f>IFERROR(__xludf.DUMMYFUNCTION("GOOGLETRANSLATE(B7900,""id"",""en"")"),"['Buy', 'Package', 'Apps', '']")</f>
        <v>['Buy', 'Package', 'Apps', '']</v>
      </c>
      <c r="D7900" s="3">
        <v>3.0</v>
      </c>
    </row>
    <row r="7901" ht="15.75" customHeight="1">
      <c r="A7901" s="1">
        <v>8434.0</v>
      </c>
      <c r="B7901" s="3" t="s">
        <v>7593</v>
      </c>
      <c r="C7901" s="3" t="str">
        <f>IFERROR(__xludf.DUMMYFUNCTION("GOOGLETRANSLATE(B7901,""id"",""en"")"),"['update', 'the latest', 'no', 'open']")</f>
        <v>['update', 'the latest', 'no', 'open']</v>
      </c>
      <c r="D7901" s="3">
        <v>1.0</v>
      </c>
    </row>
    <row r="7902" ht="15.75" customHeight="1">
      <c r="A7902" s="1">
        <v>8436.0</v>
      </c>
      <c r="B7902" s="3" t="s">
        <v>7594</v>
      </c>
      <c r="C7902" s="3" t="str">
        <f>IFERROR(__xludf.DUMMYFUNCTION("GOOGLETRANSLATE(B7902,""id"",""en"")"),"['Disappointed', 'Network', 'Telkomsel']")</f>
        <v>['Disappointed', 'Network', 'Telkomsel']</v>
      </c>
      <c r="D7902" s="3">
        <v>1.0</v>
      </c>
    </row>
    <row r="7903" ht="15.75" customHeight="1">
      <c r="A7903" s="1">
        <v>8437.0</v>
      </c>
      <c r="B7903" s="3" t="s">
        <v>7595</v>
      </c>
      <c r="C7903" s="3" t="str">
        <f>IFERROR(__xludf.DUMMYFUNCTION("GOOGLETRANSLATE(B7903,""id"",""en"")"),"['Cerenen', 'Recomended', 'Signal', 'Good', 'Adin', 'Promo', 'Cheap', 'BNYK', 'admin', 'Telkomsel', 'Success', ""]")</f>
        <v>['Cerenen', 'Recomended', 'Signal', 'Good', 'Adin', 'Promo', 'Cheap', 'BNYK', 'admin', 'Telkomsel', 'Success', "]</v>
      </c>
      <c r="D7903" s="3">
        <v>5.0</v>
      </c>
    </row>
    <row r="7904" ht="15.75" customHeight="1">
      <c r="A7904" s="1">
        <v>8438.0</v>
      </c>
      <c r="B7904" s="3" t="s">
        <v>7596</v>
      </c>
      <c r="C7904" s="3" t="str">
        <f>IFERROR(__xludf.DUMMYFUNCTION("GOOGLETRANSLATE(B7904,""id"",""en"")"),"['', 'already', 'according to', 'really', 'quota', 'giga', 'knp', 'ride', '']")</f>
        <v>['', 'already', 'according to', 'really', 'quota', 'giga', 'knp', 'ride', '']</v>
      </c>
      <c r="D7904" s="3">
        <v>1.0</v>
      </c>
    </row>
    <row r="7905" ht="15.75" customHeight="1">
      <c r="A7905" s="1">
        <v>8439.0</v>
      </c>
      <c r="B7905" s="3" t="s">
        <v>7597</v>
      </c>
      <c r="C7905" s="3" t="str">
        <f>IFERROR(__xludf.DUMMYFUNCTION("GOOGLETRANSLATE(B7905,""id"",""en"")"),"['Ribet', 'Uninstall', '']")</f>
        <v>['Ribet', 'Uninstall', '']</v>
      </c>
      <c r="D7905" s="3">
        <v>1.0</v>
      </c>
    </row>
    <row r="7906" ht="15.75" customHeight="1">
      <c r="A7906" s="1">
        <v>8440.0</v>
      </c>
      <c r="B7906" s="3" t="s">
        <v>7598</v>
      </c>
      <c r="C7906" s="3" t="str">
        <f>IFERROR(__xludf.DUMMYFUNCTION("GOOGLETRANSLATE(B7906,""id"",""en"")"),"['Application', 'opened', 'blank', 'white', 'Please', 'fix']")</f>
        <v>['Application', 'opened', 'blank', 'white', 'Please', 'fix']</v>
      </c>
      <c r="D7906" s="3">
        <v>1.0</v>
      </c>
    </row>
    <row r="7907" ht="15.75" customHeight="1">
      <c r="A7907" s="1">
        <v>8441.0</v>
      </c>
      <c r="B7907" s="3" t="s">
        <v>7599</v>
      </c>
      <c r="C7907" s="3" t="str">
        <f>IFERROR(__xludf.DUMMYFUNCTION("GOOGLETRANSLATE(B7907,""id"",""en"")"),"['Hopefully', 'App', 'Compete', 'App', 'Digital', 'Compete', 'Level', 'Highest', 'World']")</f>
        <v>['Hopefully', 'App', 'Compete', 'App', 'Digital', 'Compete', 'Level', 'Highest', 'World']</v>
      </c>
      <c r="D7907" s="3">
        <v>5.0</v>
      </c>
    </row>
    <row r="7908" ht="15.75" customHeight="1">
      <c r="A7908" s="1">
        <v>8442.0</v>
      </c>
      <c r="B7908" s="3" t="s">
        <v>7600</v>
      </c>
      <c r="C7908" s="3" t="str">
        <f>IFERROR(__xludf.DUMMYFUNCTION("GOOGLETRANSLATE(B7908,""id"",""en"")"),"['Fix', 'big', 'good', 'finger', 'night', 'location', 'ranca', 'stage', 'cililin', 'bandung', 'severe', 'bangeeeeeeetttttttttttttttttttttttttttttttttttttttttttt']")</f>
        <v>['Fix', 'big', 'good', 'finger', 'night', 'location', 'ranca', 'stage', 'cililin', 'bandung', 'severe', 'bangeeeeeeetttttttttttttttttttttttttttttttttttttttttttt']</v>
      </c>
      <c r="D7908" s="3">
        <v>5.0</v>
      </c>
    </row>
    <row r="7909" ht="15.75" customHeight="1">
      <c r="A7909" s="1">
        <v>8443.0</v>
      </c>
      <c r="B7909" s="3" t="s">
        <v>7601</v>
      </c>
      <c r="C7909" s="3" t="str">
        <f>IFERROR(__xludf.DUMMYFUNCTION("GOOGLETRANSLATE(B7909,""id"",""en"")"),"['bug', 'ngak', 'open', 'stlah', 'update', '']")</f>
        <v>['bug', 'ngak', 'open', 'stlah', 'update', '']</v>
      </c>
      <c r="D7909" s="3">
        <v>1.0</v>
      </c>
    </row>
    <row r="7910" ht="15.75" customHeight="1">
      <c r="A7910" s="1">
        <v>8444.0</v>
      </c>
      <c r="B7910" s="3" t="s">
        <v>7602</v>
      </c>
      <c r="C7910" s="3" t="str">
        <f>IFERROR(__xludf.DUMMYFUNCTION("GOOGLETRANSLATE(B7910,""id"",""en"")"),"['Satisfied', 'APL', 'Disright']")</f>
        <v>['Satisfied', 'APL', 'Disright']</v>
      </c>
      <c r="D7910" s="3">
        <v>5.0</v>
      </c>
    </row>
    <row r="7911" ht="15.75" customHeight="1">
      <c r="A7911" s="1">
        <v>8445.0</v>
      </c>
      <c r="B7911" s="3" t="s">
        <v>7603</v>
      </c>
      <c r="C7911" s="3" t="str">
        <f>IFERROR(__xludf.DUMMYFUNCTION("GOOGLETRANSLATE(B7911,""id"",""en"")"),"['user', 'loyal', 'Telkomsel', 'emang', 'internetx', 'slow', 'ttpi', 'grateful', 'masi', 'related', 'family', 'Dutch', ' LWT ',' Network ',' Telkomsel ',' Thank ',' Love ',' Telkomsel ']")</f>
        <v>['user', 'loyal', 'Telkomsel', 'emang', 'internetx', 'slow', 'ttpi', 'grateful', 'masi', 'related', 'family', 'Dutch', ' LWT ',' Network ',' Telkomsel ',' Thank ',' Love ',' Telkomsel ']</v>
      </c>
      <c r="D7911" s="3">
        <v>3.0</v>
      </c>
    </row>
    <row r="7912" ht="15.75" customHeight="1">
      <c r="A7912" s="1">
        <v>8446.0</v>
      </c>
      <c r="B7912" s="3" t="s">
        <v>7604</v>
      </c>
      <c r="C7912" s="3" t="str">
        <f>IFERROR(__xludf.DUMMYFUNCTION("GOOGLETRANSLATE(B7912,""id"",""en"")"),"['disappointing', 'screen', 'white', 'zonk', 'really', 'download', 'APK', '']")</f>
        <v>['disappointing', 'screen', 'white', 'zonk', 'really', 'download', 'APK', '']</v>
      </c>
      <c r="D7912" s="3">
        <v>1.0</v>
      </c>
    </row>
    <row r="7913" ht="15.75" customHeight="1">
      <c r="A7913" s="1">
        <v>8447.0</v>
      </c>
      <c r="B7913" s="3" t="s">
        <v>7605</v>
      </c>
      <c r="C7913" s="3" t="str">
        <f>IFERROR(__xludf.DUMMYFUNCTION("GOOGLETRANSLATE(B7913,""id"",""en"")"),"['update', 'November', 'Yesterday', 'update', 'deh', 'server', 'a month', 'open', 'app', '']")</f>
        <v>['update', 'November', 'Yesterday', 'update', 'deh', 'server', 'a month', 'open', 'app', '']</v>
      </c>
      <c r="D7913" s="3">
        <v>1.0</v>
      </c>
    </row>
    <row r="7914" ht="15.75" customHeight="1">
      <c r="A7914" s="1">
        <v>8448.0</v>
      </c>
      <c r="B7914" s="3" t="s">
        <v>7606</v>
      </c>
      <c r="C7914" s="3" t="str">
        <f>IFERROR(__xludf.DUMMYFUNCTION("GOOGLETRANSLATE(B7914,""id"",""en"")"),"['Good', 'TPI', 'KNPA', 'skarng', 'the application', 'difficult', 'bner', 'NOT', 'alternating', 'Install', 'BSA', ""]")</f>
        <v>['Good', 'TPI', 'KNPA', 'skarng', 'the application', 'difficult', 'bner', 'NOT', 'alternating', 'Install', 'BSA', "]</v>
      </c>
      <c r="D7914" s="3">
        <v>2.0</v>
      </c>
    </row>
    <row r="7915" ht="15.75" customHeight="1">
      <c r="A7915" s="1">
        <v>8449.0</v>
      </c>
      <c r="B7915" s="3" t="s">
        <v>7607</v>
      </c>
      <c r="C7915" s="3" t="str">
        <f>IFERROR(__xludf.DUMMYFUNCTION("GOOGLETRANSLATE(B7915,""id"",""en"")"),"['Blank', 'White', 'Open', '']")</f>
        <v>['Blank', 'White', 'Open', '']</v>
      </c>
      <c r="D7915" s="3">
        <v>1.0</v>
      </c>
    </row>
    <row r="7916" ht="15.75" customHeight="1">
      <c r="A7916" s="1">
        <v>8450.0</v>
      </c>
      <c r="B7916" s="3" t="s">
        <v>7608</v>
      </c>
      <c r="C7916" s="3" t="str">
        <f>IFERROR(__xludf.DUMMYFUNCTION("GOOGLETRANSLATE(B7916,""id"",""en"")"),"['Price', 'GB', 'TPI', 'Skrng', 'Nambah', 'Thousand', 'Buy', 'Credit', 'Buy', 'Please', 'Make', 'Normal', ' people ',' outside ',' tribulation ',' economy ']")</f>
        <v>['Price', 'GB', 'TPI', 'Skrng', 'Nambah', 'Thousand', 'Buy', 'Credit', 'Buy', 'Please', 'Make', 'Normal', ' people ',' outside ',' tribulation ',' economy ']</v>
      </c>
      <c r="D7916" s="3">
        <v>3.0</v>
      </c>
    </row>
    <row r="7917" ht="15.75" customHeight="1">
      <c r="A7917" s="1">
        <v>8451.0</v>
      </c>
      <c r="B7917" s="3" t="s">
        <v>7609</v>
      </c>
      <c r="C7917" s="3" t="str">
        <f>IFERROR(__xludf.DUMMYFUNCTION("GOOGLETRANSLATE(B7917,""id"",""en"")"),"['Telkomsel', 'service', 'increasingly', 'increasingly', 'bad', 'SMS', 'boulder', 'package', 'annoying', 'privacy', 'noisy', 'pairs',' Indihome ',' wifi ',' service ',' cheap ',' expensive ',' bite ',' finger ',' lose ',' compete ', ""]")</f>
        <v>['Telkomsel', 'service', 'increasingly', 'increasingly', 'bad', 'SMS', 'boulder', 'package', 'annoying', 'privacy', 'noisy', 'pairs',' Indihome ',' wifi ',' service ',' cheap ',' expensive ',' bite ',' finger ',' lose ',' compete ', "]</v>
      </c>
      <c r="D7917" s="3">
        <v>2.0</v>
      </c>
    </row>
    <row r="7918" ht="15.75" customHeight="1">
      <c r="A7918" s="1">
        <v>8452.0</v>
      </c>
      <c r="B7918" s="3" t="s">
        <v>7610</v>
      </c>
      <c r="C7918" s="3" t="str">
        <f>IFERROR(__xludf.DUMMYFUNCTION("GOOGLETRANSLATE(B7918,""id"",""en"")"),"['bad signal']")</f>
        <v>['bad signal']</v>
      </c>
      <c r="D7918" s="3">
        <v>2.0</v>
      </c>
    </row>
    <row r="7919" ht="15.75" customHeight="1">
      <c r="A7919" s="1">
        <v>8453.0</v>
      </c>
      <c r="B7919" s="3" t="s">
        <v>7611</v>
      </c>
      <c r="C7919" s="3" t="str">
        <f>IFERROR(__xludf.DUMMYFUNCTION("GOOGLETRANSLATE(B7919,""id"",""en"")"),"['apk', 'upgrade', 'open', 'how', 'buy', 'packetan', 'difficult']")</f>
        <v>['apk', 'upgrade', 'open', 'how', 'buy', 'packetan', 'difficult']</v>
      </c>
      <c r="D7919" s="3">
        <v>1.0</v>
      </c>
    </row>
    <row r="7920" ht="15.75" customHeight="1">
      <c r="A7920" s="1">
        <v>8454.0</v>
      </c>
      <c r="B7920" s="3" t="s">
        <v>7612</v>
      </c>
      <c r="C7920" s="3" t="str">
        <f>IFERROR(__xludf.DUMMYFUNCTION("GOOGLETRANSLATE(B7920,""id"",""en"")"),"['wasteful', 'transparent', 'calculation', 'menu', 'Most', 'Simple', 'buy', 'package', 'klw', 'look for', 'needle', 'straw']")</f>
        <v>['wasteful', 'transparent', 'calculation', 'menu', 'Most', 'Simple', 'buy', 'package', 'klw', 'look for', 'needle', 'straw']</v>
      </c>
      <c r="D7920" s="3">
        <v>1.0</v>
      </c>
    </row>
    <row r="7921" ht="15.75" customHeight="1">
      <c r="A7921" s="1">
        <v>8455.0</v>
      </c>
      <c r="B7921" s="3" t="s">
        <v>7613</v>
      </c>
      <c r="C7921" s="3" t="str">
        <f>IFERROR(__xludf.DUMMYFUNCTION("GOOGLETRANSLATE(B7921,""id"",""en"")"),"['Knp', 'Telkomsel', 'invaders',' class', 'Wahid', 'country', 'Buln', 'hrg', 'package', 'folding', 'fold', 'that's',' Monopilial ',' Abis', 'Abis',' Lord ',' Saw ',' Negeri ',' Facilitates', 'People', 'Kecik', 'Processance', 'Telkomsel', 'King', 'Erandoni"&amp;"ng' , 'Package', 'sanagat', 'diverse', 'SMNTR', 'quote', 'service', 'network', 'damaged', 'die', 'stand', 'folk', 'indonesia']")</f>
        <v>['Knp', 'Telkomsel', 'invaders',' class', 'Wahid', 'country', 'Buln', 'hrg', 'package', 'folding', 'fold', 'that's',' Monopilial ',' Abis', 'Abis',' Lord ',' Saw ',' Negeri ',' Facilitates', 'People', 'Kecik', 'Processance', 'Telkomsel', 'King', 'Erandoning' , 'Package', 'sanagat', 'diverse', 'SMNTR', 'quote', 'service', 'network', 'damaged', 'die', 'stand', 'folk', 'indonesia']</v>
      </c>
      <c r="D7921" s="3">
        <v>5.0</v>
      </c>
    </row>
    <row r="7922" ht="15.75" customHeight="1">
      <c r="A7922" s="1">
        <v>8456.0</v>
      </c>
      <c r="B7922" s="3" t="s">
        <v>7614</v>
      </c>
      <c r="C7922" s="3" t="str">
        <f>IFERROR(__xludf.DUMMYFUNCTION("GOOGLETRANSLATE(B7922,""id"",""en"")"),"['open', 'hrs', 'uninstall', 'times', 'install', 'lgi']")</f>
        <v>['open', 'hrs', 'uninstall', 'times', 'install', 'lgi']</v>
      </c>
      <c r="D7922" s="3">
        <v>1.0</v>
      </c>
    </row>
    <row r="7923" ht="15.75" customHeight="1">
      <c r="A7923" s="1">
        <v>8457.0</v>
      </c>
      <c r="B7923" s="3" t="s">
        <v>7615</v>
      </c>
      <c r="C7923" s="3" t="str">
        <f>IFERROR(__xludf.DUMMYFUNCTION("GOOGLETRANSLATE(B7923,""id"",""en"")"),"['', 'Open', 'blank', 'white']")</f>
        <v>['', 'Open', 'blank', 'white']</v>
      </c>
      <c r="D7923" s="3">
        <v>1.0</v>
      </c>
    </row>
    <row r="7924" ht="15.75" customHeight="1">
      <c r="A7924" s="1">
        <v>8458.0</v>
      </c>
      <c r="B7924" s="3" t="s">
        <v>7616</v>
      </c>
      <c r="C7924" s="3" t="str">
        <f>IFERROR(__xludf.DUMMYFUNCTION("GOOGLETRANSLATE(B7924,""id"",""en"")"),"['Good', 'really', 'see', 'cave', 'apk', 'good']")</f>
        <v>['Good', 'really', 'see', 'cave', 'apk', 'good']</v>
      </c>
      <c r="D7924" s="3">
        <v>5.0</v>
      </c>
    </row>
    <row r="7925" ht="15.75" customHeight="1">
      <c r="A7925" s="1">
        <v>8459.0</v>
      </c>
      <c r="B7925" s="3" t="s">
        <v>7617</v>
      </c>
      <c r="C7925" s="3" t="str">
        <f>IFERROR(__xludf.DUMMYFUNCTION("GOOGLETRANSLATE(B7925,""id"",""en"")"),"['UDH', 'check', 'Kouta', 'prnh', 'haduhhhh', 'gmn', 'telkomsel']")</f>
        <v>['UDH', 'check', 'Kouta', 'prnh', 'haduhhhh', 'gmn', 'telkomsel']</v>
      </c>
      <c r="D7925" s="3">
        <v>1.0</v>
      </c>
    </row>
    <row r="7926" ht="15.75" customHeight="1">
      <c r="A7926" s="1">
        <v>8460.0</v>
      </c>
      <c r="B7926" s="3" t="s">
        <v>7618</v>
      </c>
      <c r="C7926" s="3" t="str">
        <f>IFERROR(__xludf.DUMMYFUNCTION("GOOGLETRANSLATE(B7926,""id"",""en"")"),"['Light', 'burdened', 'price', 'Telkomsel', 'combo', 'Sakti', 'unlimited', 'price', 'uda', 'subscribe', 'many years', '']")</f>
        <v>['Light', 'burdened', 'price', 'Telkomsel', 'combo', 'Sakti', 'unlimited', 'price', 'uda', 'subscribe', 'many years', '']</v>
      </c>
      <c r="D7926" s="3">
        <v>1.0</v>
      </c>
    </row>
    <row r="7927" ht="15.75" customHeight="1">
      <c r="A7927" s="1">
        <v>8461.0</v>
      </c>
      <c r="B7927" s="3" t="s">
        <v>7619</v>
      </c>
      <c r="C7927" s="3" t="str">
        <f>IFERROR(__xludf.DUMMYFUNCTION("GOOGLETRANSLATE(B7927,""id"",""en"")"),"['The application', 'steady', 'just', 'oppo', 'reno', 'jammed', 'open', 'the application', 'ngk', 'because', 'network', ' The application ',' ']")</f>
        <v>['The application', 'steady', 'just', 'oppo', 'reno', 'jammed', 'open', 'the application', 'ngk', 'because', 'network', ' The application ',' ']</v>
      </c>
      <c r="D7927" s="3">
        <v>4.0</v>
      </c>
    </row>
    <row r="7928" ht="15.75" customHeight="1">
      <c r="A7928" s="1">
        <v>8462.0</v>
      </c>
      <c r="B7928" s="3" t="s">
        <v>7620</v>
      </c>
      <c r="C7928" s="3" t="str">
        <f>IFERROR(__xludf.DUMMYFUNCTION("GOOGLETRANSLATE(B7928,""id"",""en"")"),"['', 'upgrade', 'not', 'Connect', 'fast', 'Nge', 'check', 'quota', '']")</f>
        <v>['', 'upgrade', 'not', 'Connect', 'fast', 'Nge', 'check', 'quota', '']</v>
      </c>
      <c r="D7928" s="3">
        <v>2.0</v>
      </c>
    </row>
    <row r="7929" ht="15.75" customHeight="1">
      <c r="A7929" s="1">
        <v>8463.0</v>
      </c>
      <c r="B7929" s="3" t="s">
        <v>7621</v>
      </c>
      <c r="C7929" s="3" t="str">
        <f>IFERROR(__xludf.DUMMYFUNCTION("GOOGLETRANSLATE(B7929,""id"",""en"")"),"['Update', 'Malahn', 'Open', '']")</f>
        <v>['Update', 'Malahn', 'Open', '']</v>
      </c>
      <c r="D7929" s="3">
        <v>1.0</v>
      </c>
    </row>
    <row r="7930" ht="15.75" customHeight="1">
      <c r="A7930" s="1">
        <v>8464.0</v>
      </c>
      <c r="B7930" s="3" t="s">
        <v>7622</v>
      </c>
      <c r="C7930" s="3" t="str">
        <f>IFERROR(__xludf.DUMMYFUNCTION("GOOGLETRANSLATE(B7930,""id"",""en"")"),"['Accessible', 'Blank', 'White', 'Features', 'Help', 'Telkomsel', 'Ngerni', 'blank', 'White']")</f>
        <v>['Accessible', 'Blank', 'White', 'Features', 'Help', 'Telkomsel', 'Ngerni', 'blank', 'White']</v>
      </c>
      <c r="D7930" s="3">
        <v>1.0</v>
      </c>
    </row>
    <row r="7931" ht="15.75" customHeight="1">
      <c r="A7931" s="1">
        <v>8466.0</v>
      </c>
      <c r="B7931" s="3" t="s">
        <v>7623</v>
      </c>
      <c r="C7931" s="3" t="str">
        <f>IFERROR(__xludf.DUMMYFUNCTION("GOOGLETRANSLATE(B7931,""id"",""en"")"),"['TGL', 'App', 'Telkomsel', 'version', 'Latest', 'Accessible']")</f>
        <v>['TGL', 'App', 'Telkomsel', 'version', 'Latest', 'Accessible']</v>
      </c>
      <c r="D7931" s="3">
        <v>1.0</v>
      </c>
    </row>
    <row r="7932" ht="15.75" customHeight="1">
      <c r="A7932" s="1">
        <v>8467.0</v>
      </c>
      <c r="B7932" s="3" t="s">
        <v>7624</v>
      </c>
      <c r="C7932" s="3" t="str">
        <f>IFERROR(__xludf.DUMMYFUNCTION("GOOGLETRANSLATE(B7932,""id"",""en"")"),"['thank you', 'help', 'application']")</f>
        <v>['thank you', 'help', 'application']</v>
      </c>
      <c r="D7932" s="3">
        <v>4.0</v>
      </c>
    </row>
    <row r="7933" ht="15.75" customHeight="1">
      <c r="A7933" s="1">
        <v>8468.0</v>
      </c>
      <c r="B7933" s="3" t="s">
        <v>7625</v>
      </c>
      <c r="C7933" s="3" t="str">
        <f>IFERROR(__xludf.DUMMYFUNCTION("GOOGLETRANSLATE(B7933,""id"",""en"")"),"['steady', 'big one', 'cheap', 'price']")</f>
        <v>['steady', 'big one', 'cheap', 'price']</v>
      </c>
      <c r="D7933" s="3">
        <v>5.0</v>
      </c>
    </row>
    <row r="7934" ht="15.75" customHeight="1">
      <c r="A7934" s="1">
        <v>8469.0</v>
      </c>
      <c r="B7934" s="3" t="s">
        <v>7626</v>
      </c>
      <c r="C7934" s="3" t="str">
        <f>IFERROR(__xludf.DUMMYFUNCTION("GOOGLETRANSLATE(B7934,""id"",""en"")"),"['Alhamdulillah', 'get', 'quota', 'application', 'Not bad']")</f>
        <v>['Alhamdulillah', 'get', 'quota', 'application', 'Not bad']</v>
      </c>
      <c r="D7934" s="3">
        <v>4.0</v>
      </c>
    </row>
    <row r="7935" ht="15.75" customHeight="1">
      <c r="A7935" s="1">
        <v>8470.0</v>
      </c>
      <c r="B7935" s="3" t="s">
        <v>7627</v>
      </c>
      <c r="C7935" s="3" t="str">
        <f>IFERROR(__xludf.DUMMYFUNCTION("GOOGLETRANSLATE(B7935,""id"",""en"")"),"['Penukara', 'quota', 'game', 'just', 'times', '']")</f>
        <v>['Penukara', 'quota', 'game', 'just', 'times', '']</v>
      </c>
      <c r="D7935" s="3">
        <v>4.0</v>
      </c>
    </row>
    <row r="7936" ht="15.75" customHeight="1">
      <c r="A7936" s="1">
        <v>8471.0</v>
      </c>
      <c r="B7936" s="3" t="s">
        <v>7628</v>
      </c>
      <c r="C7936" s="3" t="str">
        <f>IFERROR(__xludf.DUMMYFUNCTION("GOOGLETRANSLATE(B7936,""id"",""en"")"),"['The network', 'ugly', 'slow']")</f>
        <v>['The network', 'ugly', 'slow']</v>
      </c>
      <c r="D7936" s="3">
        <v>2.0</v>
      </c>
    </row>
    <row r="7937" ht="15.75" customHeight="1">
      <c r="A7937" s="1">
        <v>8472.0</v>
      </c>
      <c r="B7937" s="3" t="s">
        <v>7629</v>
      </c>
      <c r="C7937" s="3" t="str">
        <f>IFERROR(__xludf.DUMMYFUNCTION("GOOGLETRANSLATE(B7937,""id"",""en"")"),"['Surprise', 'Event']")</f>
        <v>['Surprise', 'Event']</v>
      </c>
      <c r="D7937" s="3">
        <v>1.0</v>
      </c>
    </row>
    <row r="7938" ht="15.75" customHeight="1">
      <c r="A7938" s="1">
        <v>8473.0</v>
      </c>
      <c r="B7938" s="3" t="s">
        <v>7630</v>
      </c>
      <c r="C7938" s="3" t="str">
        <f>IFERROR(__xludf.DUMMYFUNCTION("GOOGLETRANSLATE(B7938,""id"",""en"")"),"['Package', 'Internet', 'Sumpot', 'Credit', 'Package', 'Internet', 'Credit', 'thousand', 'Sampe', 'Stay', 'thousand', 'Sampe', ' Minutes', 'disappear', 'that's']")</f>
        <v>['Package', 'Internet', 'Sumpot', 'Credit', 'Package', 'Internet', 'Credit', 'thousand', 'Sampe', 'Stay', 'thousand', 'Sampe', ' Minutes', 'disappear', 'that's']</v>
      </c>
      <c r="D7938" s="3">
        <v>1.0</v>
      </c>
    </row>
    <row r="7939" ht="15.75" customHeight="1">
      <c r="A7939" s="1">
        <v>8474.0</v>
      </c>
      <c r="B7939" s="3" t="s">
        <v>7631</v>
      </c>
      <c r="C7939" s="3" t="str">
        <f>IFERROR(__xludf.DUMMYFUNCTION("GOOGLETRANSLATE(B7939,""id"",""en"")"),"['Love', 'star', 'login', 'update', 'complicated', 'entry']")</f>
        <v>['Love', 'star', 'login', 'update', 'complicated', 'entry']</v>
      </c>
      <c r="D7939" s="3">
        <v>1.0</v>
      </c>
    </row>
    <row r="7940" ht="15.75" customHeight="1">
      <c r="A7940" s="1">
        <v>8475.0</v>
      </c>
      <c r="B7940" s="3" t="s">
        <v>7632</v>
      </c>
      <c r="C7940" s="3" t="str">
        <f>IFERROR(__xludf.DUMMYFUNCTION("GOOGLETRANSLATE(B7940,""id"",""en"")"),"['APAH', 'Application', 'Telkomsel', 'Open', 'Lei', 'Week', 'The Application', 'Open', ""]")</f>
        <v>['APAH', 'Application', 'Telkomsel', 'Open', 'Lei', 'Week', 'The Application', 'Open', "]</v>
      </c>
      <c r="D7940" s="3">
        <v>1.0</v>
      </c>
    </row>
    <row r="7941" ht="15.75" customHeight="1">
      <c r="A7941" s="1">
        <v>8476.0</v>
      </c>
      <c r="B7941" s="3" t="s">
        <v>7633</v>
      </c>
      <c r="C7941" s="3" t="str">
        <f>IFERROR(__xludf.DUMMYFUNCTION("GOOGLETRANSLATE(B7941,""id"",""en"")"),"['Marketing', 'wanted', 'Climbing', 'Different', 'Differentium', 'Price', 'Package', 'People', 'People', 'Fill', 'Credit', 'Love', ' Promo ',' cheap ',' diligent ',' buy ',' pulse ',' expensive ',' really ',' assumption ',' gini ',' sitem ',' repent ',' t"&amp;"elkomsel ']")</f>
        <v>['Marketing', 'wanted', 'Climbing', 'Different', 'Differentium', 'Price', 'Package', 'People', 'People', 'Fill', 'Credit', 'Love', ' Promo ',' cheap ',' diligent ',' buy ',' pulse ',' expensive ',' really ',' assumption ',' gini ',' sitem ',' repent ',' telkomsel ']</v>
      </c>
      <c r="D7941" s="3">
        <v>1.0</v>
      </c>
    </row>
    <row r="7942" ht="15.75" customHeight="1">
      <c r="A7942" s="1">
        <v>8477.0</v>
      </c>
      <c r="B7942" s="3" t="s">
        <v>180</v>
      </c>
      <c r="C7942" s="3" t="str">
        <f>IFERROR(__xludf.DUMMYFUNCTION("GOOGLETRANSLATE(B7942,""id"",""en"")"),"['hopefully']")</f>
        <v>['hopefully']</v>
      </c>
      <c r="D7942" s="3">
        <v>5.0</v>
      </c>
    </row>
    <row r="7943" ht="15.75" customHeight="1">
      <c r="A7943" s="1">
        <v>8478.0</v>
      </c>
      <c r="B7943" s="3" t="s">
        <v>7634</v>
      </c>
      <c r="C7943" s="3" t="str">
        <f>IFERROR(__xludf.DUMMYFUNCTION("GOOGLETRANSLATE(B7943,""id"",""en"")"),"['', 'Telkomsel', 'satisfying', ""]")</f>
        <v>['', 'Telkomsel', 'satisfying', "]</v>
      </c>
      <c r="D7943" s="3">
        <v>5.0</v>
      </c>
    </row>
    <row r="7944" ht="15.75" customHeight="1">
      <c r="A7944" s="1">
        <v>8479.0</v>
      </c>
      <c r="B7944" s="3" t="s">
        <v>7635</v>
      </c>
      <c r="C7944" s="3" t="str">
        <f>IFERROR(__xludf.DUMMYFUNCTION("GOOGLETRANSLATE(B7944,""id"",""en"")"),"['Wherever', 'Telkomsel']")</f>
        <v>['Wherever', 'Telkomsel']</v>
      </c>
      <c r="D7944" s="3">
        <v>5.0</v>
      </c>
    </row>
    <row r="7945" ht="15.75" customHeight="1">
      <c r="A7945" s="1">
        <v>8480.0</v>
      </c>
      <c r="B7945" s="3" t="s">
        <v>7636</v>
      </c>
      <c r="C7945" s="3" t="str">
        <f>IFERROR(__xludf.DUMMYFUNCTION("GOOGLETRANSLATE(B7945,""id"",""en"")"),"['Okey', 'Sngat', 'Helpful']")</f>
        <v>['Okey', 'Sngat', 'Helpful']</v>
      </c>
      <c r="D7945" s="3">
        <v>5.0</v>
      </c>
    </row>
    <row r="7946" ht="15.75" customHeight="1">
      <c r="A7946" s="1">
        <v>8481.0</v>
      </c>
      <c r="B7946" s="3" t="s">
        <v>7637</v>
      </c>
      <c r="C7946" s="3" t="str">
        <f>IFERROR(__xludf.DUMMYFUNCTION("GOOGLETRANSLATE(B7946,""id"",""en"")"),"['Trimakasih', 'Tekoksel', 'help', ""]")</f>
        <v>['Trimakasih', 'Tekoksel', 'help', "]</v>
      </c>
      <c r="D7946" s="3">
        <v>5.0</v>
      </c>
    </row>
    <row r="7947" ht="15.75" customHeight="1">
      <c r="A7947" s="1">
        <v>8482.0</v>
      </c>
      <c r="B7947" s="3" t="s">
        <v>7638</v>
      </c>
      <c r="C7947" s="3" t="str">
        <f>IFERROR(__xludf.DUMMYFUNCTION("GOOGLETRANSLATE(B7947,""id"",""en"")"),"['application', 'bsh', 'opened', 'hnya', 'bsh', 'screen', 'white']")</f>
        <v>['application', 'bsh', 'opened', 'hnya', 'bsh', 'screen', 'white']</v>
      </c>
      <c r="D7947" s="3">
        <v>1.0</v>
      </c>
    </row>
    <row r="7948" ht="15.75" customHeight="1">
      <c r="A7948" s="1">
        <v>8483.0</v>
      </c>
      <c r="B7948" s="3" t="s">
        <v>7639</v>
      </c>
      <c r="C7948" s="3" t="str">
        <f>IFERROR(__xludf.DUMMYFUNCTION("GOOGLETRANSLATE(B7948,""id"",""en"")"),"['', 'Install', 'enter', 'KNPA', 'quality', 'bad', 'help', 'really', 'HLOO', '']")</f>
        <v>['', 'Install', 'enter', 'KNPA', 'quality', 'bad', 'help', 'really', 'HLOO', '']</v>
      </c>
      <c r="D7948" s="3">
        <v>1.0</v>
      </c>
    </row>
    <row r="7949" ht="15.75" customHeight="1">
      <c r="A7949" s="1">
        <v>8484.0</v>
      </c>
      <c r="B7949" s="3" t="s">
        <v>7640</v>
      </c>
      <c r="C7949" s="3" t="str">
        <f>IFERROR(__xludf.DUMMYFUNCTION("GOOGLETRANSLATE(B7949,""id"",""en"")"),"['Krng', 'Region', 'Mountain', 'Sindur', 'MSLH', 'APL', 'Open', 'Region', 'Mountain', 'Sindur', 'Dead', 'Electricity', ' signal ',' Telkompun ',' Dead ',' KNPA ',' Padahl ',' Skrng ',' Leguna ',' Telkom ',' loyal ',' Seinget ',' pnya ',' skrng ',' Selarlu"&amp;" ' , 'loyal', 'please', 'Telkomsel', 'pride', 'disappointed', 'trmksh', 'wslm']")</f>
        <v>['Krng', 'Region', 'Mountain', 'Sindur', 'MSLH', 'APL', 'Open', 'Region', 'Mountain', 'Sindur', 'Dead', 'Electricity', ' signal ',' Telkompun ',' Dead ',' KNPA ',' Padahl ',' Skrng ',' Leguna ',' Telkom ',' loyal ',' Seinget ',' pnya ',' skrng ',' Selarlu ' , 'loyal', 'please', 'Telkomsel', 'pride', 'disappointed', 'trmksh', 'wslm']</v>
      </c>
      <c r="D7949" s="3">
        <v>1.0</v>
      </c>
    </row>
    <row r="7950" ht="15.75" customHeight="1">
      <c r="A7950" s="1">
        <v>8485.0</v>
      </c>
      <c r="B7950" s="3" t="s">
        <v>7641</v>
      </c>
      <c r="C7950" s="3" t="str">
        <f>IFERROR(__xludf.DUMMYFUNCTION("GOOGLETRANSLATE(B7950,""id"",""en"")"),"['Update', 'enter', '']")</f>
        <v>['Update', 'enter', '']</v>
      </c>
      <c r="D7950" s="3">
        <v>3.0</v>
      </c>
    </row>
    <row r="7951" ht="15.75" customHeight="1">
      <c r="A7951" s="1">
        <v>8486.0</v>
      </c>
      <c r="B7951" s="3" t="s">
        <v>7642</v>
      </c>
      <c r="C7951" s="3" t="str">
        <f>IFERROR(__xludf.DUMMYFUNCTION("GOOGLETRANSLATE(B7951,""id"",""en"")"),"['Application', 'Open', 'Application', 'Down', 'Connection', 'Internet', 'My Say', 'Application', '']")</f>
        <v>['Application', 'Open', 'Application', 'Down', 'Connection', 'Internet', 'My Say', 'Application', '']</v>
      </c>
      <c r="D7951" s="3">
        <v>2.0</v>
      </c>
    </row>
    <row r="7952" ht="15.75" customHeight="1">
      <c r="A7952" s="1">
        <v>8487.0</v>
      </c>
      <c r="B7952" s="3" t="s">
        <v>1167</v>
      </c>
      <c r="C7952" s="3" t="str">
        <f>IFERROR(__xludf.DUMMYFUNCTION("GOOGLETRANSLATE(B7952,""id"",""en"")"),"['help']")</f>
        <v>['help']</v>
      </c>
      <c r="D7952" s="3">
        <v>4.0</v>
      </c>
    </row>
    <row r="7953" ht="15.75" customHeight="1">
      <c r="A7953" s="1">
        <v>8488.0</v>
      </c>
      <c r="B7953" s="3" t="s">
        <v>7643</v>
      </c>
      <c r="C7953" s="3" t="str">
        <f>IFERROR(__xludf.DUMMYFUNCTION("GOOGLETRANSLATE(B7953,""id"",""en"")"),"['Joss', 'pokonya']")</f>
        <v>['Joss', 'pokonya']</v>
      </c>
      <c r="D7953" s="3">
        <v>5.0</v>
      </c>
    </row>
    <row r="7954" ht="15.75" customHeight="1">
      <c r="A7954" s="1">
        <v>8489.0</v>
      </c>
      <c r="B7954" s="3" t="s">
        <v>7644</v>
      </c>
      <c r="C7954" s="3" t="str">
        <f>IFERROR(__xludf.DUMMYFUNCTION("GOOGLETRANSLATE(B7954,""id"",""en"")"),"['Application', 'Telkomsel', 'BBRP', 'Sunday', 'Display', 'Display', 'White', 'Try', 'Delete', 'Cache', 'Unisntall', 'TRS', ' Install ',' application ',' assisted ',' kah ',' gmn ',' yaa ',' ']")</f>
        <v>['Application', 'Telkomsel', 'BBRP', 'Sunday', 'Display', 'Display', 'White', 'Try', 'Delete', 'Cache', 'Unisntall', 'TRS', ' Install ',' application ',' assisted ',' kah ',' gmn ',' yaa ',' ']</v>
      </c>
      <c r="D7954" s="3">
        <v>2.0</v>
      </c>
    </row>
    <row r="7955" ht="15.75" customHeight="1">
      <c r="A7955" s="1">
        <v>8490.0</v>
      </c>
      <c r="B7955" s="3" t="s">
        <v>7645</v>
      </c>
      <c r="C7955" s="3" t="str">
        <f>IFERROR(__xludf.DUMMYFUNCTION("GOOGLETRANSLATE(B7955,""id"",""en"")"),"['Package', 'Internet', 'expensive', 'skrg']")</f>
        <v>['Package', 'Internet', 'expensive', 'skrg']</v>
      </c>
      <c r="D7955" s="3">
        <v>1.0</v>
      </c>
    </row>
    <row r="7956" ht="15.75" customHeight="1">
      <c r="A7956" s="1">
        <v>8491.0</v>
      </c>
      <c r="B7956" s="3" t="s">
        <v>7646</v>
      </c>
      <c r="C7956" s="3" t="str">
        <f>IFERROR(__xludf.DUMMYFUNCTION("GOOGLETRANSLATE(B7956,""id"",""en"")"),"['Steady', 'Soul', 'Telkomsel']")</f>
        <v>['Steady', 'Soul', 'Telkomsel']</v>
      </c>
      <c r="D7956" s="3">
        <v>5.0</v>
      </c>
    </row>
    <row r="7957" ht="15.75" customHeight="1">
      <c r="A7957" s="1">
        <v>8492.0</v>
      </c>
      <c r="B7957" s="3" t="s">
        <v>7647</v>
      </c>
      <c r="C7957" s="3" t="str">
        <f>IFERROR(__xludf.DUMMYFUNCTION("GOOGLETRANSLATE(B7957,""id"",""en"")"),"['Error', 'Bukak']")</f>
        <v>['Error', 'Bukak']</v>
      </c>
      <c r="D7957" s="3">
        <v>1.0</v>
      </c>
    </row>
    <row r="7958" ht="15.75" customHeight="1">
      <c r="A7958" s="1">
        <v>8493.0</v>
      </c>
      <c r="B7958" s="3" t="s">
        <v>7648</v>
      </c>
      <c r="C7958" s="3" t="str">
        <f>IFERROR(__xludf.DUMMYFUNCTION("GOOGLETRANSLATE(B7958,""id"",""en"")"),"['Cool', 'improved']")</f>
        <v>['Cool', 'improved']</v>
      </c>
      <c r="D7958" s="3">
        <v>5.0</v>
      </c>
    </row>
    <row r="7959" ht="15.75" customHeight="1">
      <c r="A7959" s="1">
        <v>8494.0</v>
      </c>
      <c r="B7959" s="3" t="s">
        <v>7649</v>
      </c>
      <c r="C7959" s="3" t="str">
        <f>IFERROR(__xludf.DUMMYFUNCTION("GOOGLETRANSLATE(B7959,""id"",""en"")"),"['update', 'gabisa', 'used', '']")</f>
        <v>['update', 'gabisa', 'used', '']</v>
      </c>
      <c r="D7959" s="3">
        <v>2.0</v>
      </c>
    </row>
    <row r="7960" ht="15.75" customHeight="1">
      <c r="A7960" s="1">
        <v>8495.0</v>
      </c>
      <c r="B7960" s="3" t="s">
        <v>7650</v>
      </c>
      <c r="C7960" s="3" t="str">
        <f>IFERROR(__xludf.DUMMYFUNCTION("GOOGLETRANSLATE(B7960,""id"",""en"")"),"['pulse', 'main', 'run out', 'complain', 'solution', 'gini', 'change', '']")</f>
        <v>['pulse', 'main', 'run out', 'complain', 'solution', 'gini', 'change', '']</v>
      </c>
      <c r="D7960" s="3">
        <v>1.0</v>
      </c>
    </row>
    <row r="7961" ht="15.75" customHeight="1">
      <c r="A7961" s="1">
        <v>8496.0</v>
      </c>
      <c r="B7961" s="3" t="s">
        <v>7651</v>
      </c>
      <c r="C7961" s="3" t="str">
        <f>IFERROR(__xludf.DUMMYFUNCTION("GOOGLETRANSLATE(B7961,""id"",""en"")"),"['Date', 'December', 'already', 'Report', 'Customer', 'Service', 'Wait', 'Clock', 'Application', 'Telkomsel', 'Open', 'Report', ' December ',' Have ',' Wait ',' Clock ']")</f>
        <v>['Date', 'December', 'already', 'Report', 'Customer', 'Service', 'Wait', 'Clock', 'Application', 'Telkomsel', 'Open', 'Report', ' December ',' Have ',' Wait ',' Clock ']</v>
      </c>
      <c r="D7961" s="3">
        <v>5.0</v>
      </c>
    </row>
    <row r="7962" ht="15.75" customHeight="1">
      <c r="A7962" s="1">
        <v>8497.0</v>
      </c>
      <c r="B7962" s="3" t="s">
        <v>7652</v>
      </c>
      <c r="C7962" s="3" t="str">
        <f>IFERROR(__xludf.DUMMYFUNCTION("GOOGLETRANSLATE(B7962,""id"",""en"")"),"['Application', 'Error', 'Juancok', 'buy', 'quota', 'price', 'rb', 'pulse', 'rb', 'menuckupi']")</f>
        <v>['Application', 'Error', 'Juancok', 'buy', 'quota', 'price', 'rb', 'pulse', 'rb', 'menuckupi']</v>
      </c>
      <c r="D7962" s="3">
        <v>1.0</v>
      </c>
    </row>
    <row r="7963" ht="15.75" customHeight="1">
      <c r="A7963" s="1">
        <v>8498.0</v>
      </c>
      <c r="B7963" s="3" t="s">
        <v>7653</v>
      </c>
      <c r="C7963" s="3" t="str">
        <f>IFERROR(__xludf.DUMMYFUNCTION("GOOGLETRANSLATE(B7963,""id"",""en"")"),"['Telkomsel', 'no', 'network', 'slow', 'quota', 'expensive', 'card', 'burn']")</f>
        <v>['Telkomsel', 'no', 'network', 'slow', 'quota', 'expensive', 'card', 'burn']</v>
      </c>
      <c r="D7963" s="3">
        <v>1.0</v>
      </c>
    </row>
    <row r="7964" ht="15.75" customHeight="1">
      <c r="A7964" s="1">
        <v>8499.0</v>
      </c>
      <c r="B7964" s="3" t="s">
        <v>7654</v>
      </c>
      <c r="C7964" s="3" t="str">
        <f>IFERROR(__xludf.DUMMYFUNCTION("GOOGLETRANSLATE(B7964,""id"",""en"")"),"['Cool', 'quota']")</f>
        <v>['Cool', 'quota']</v>
      </c>
      <c r="D7964" s="3">
        <v>5.0</v>
      </c>
    </row>
    <row r="7965" ht="15.75" customHeight="1">
      <c r="A7965" s="1">
        <v>8500.0</v>
      </c>
      <c r="B7965" s="3" t="s">
        <v>7655</v>
      </c>
      <c r="C7965" s="3" t="str">
        <f>IFERROR(__xludf.DUMMYFUNCTION("GOOGLETRANSLATE(B7965,""id"",""en"")"),"['Provider', 'KNTL', 'Price', 'Package', 'Data', 'Doang', 'Expensive', 'TPI', 'Connection', 'Equivalent', 'Provider', 'Cheap', ' kntle ']")</f>
        <v>['Provider', 'KNTL', 'Price', 'Package', 'Data', 'Doang', 'Expensive', 'TPI', 'Connection', 'Equivalent', 'Provider', 'Cheap', ' kntle ']</v>
      </c>
      <c r="D7965" s="3">
        <v>1.0</v>
      </c>
    </row>
    <row r="7966" ht="15.75" customHeight="1">
      <c r="A7966" s="1">
        <v>8501.0</v>
      </c>
      <c r="B7966" s="3" t="s">
        <v>7656</v>
      </c>
      <c r="C7966" s="3" t="str">
        <f>IFERROR(__xludf.DUMMYFUNCTION("GOOGLETRANSLATE(B7966,""id"",""en"")"),"['Tsel', 'udh', 'ugly', 'skrg', 'network', 'srg', 'slow', 'sampe', 'application', 'tsel', 'blm', 'disappointed']")</f>
        <v>['Tsel', 'udh', 'ugly', 'skrg', 'network', 'srg', 'slow', 'sampe', 'application', 'tsel', 'blm', 'disappointed']</v>
      </c>
      <c r="D7966" s="3">
        <v>2.0</v>
      </c>
    </row>
    <row r="7967" ht="15.75" customHeight="1">
      <c r="A7967" s="1">
        <v>8502.0</v>
      </c>
      <c r="B7967" s="3" t="s">
        <v>7657</v>
      </c>
      <c r="C7967" s="3" t="str">
        <f>IFERROR(__xludf.DUMMYFUNCTION("GOOGLETRANSLATE(B7967,""id"",""en"")"),"['Loading', 'slow']")</f>
        <v>['Loading', 'slow']</v>
      </c>
      <c r="D7967" s="3">
        <v>1.0</v>
      </c>
    </row>
    <row r="7968" ht="15.75" customHeight="1">
      <c r="A7968" s="1">
        <v>8503.0</v>
      </c>
      <c r="B7968" s="3" t="s">
        <v>7658</v>
      </c>
      <c r="C7968" s="3" t="str">
        <f>IFERROR(__xludf.DUMMYFUNCTION("GOOGLETRANSLATE(B7968,""id"",""en"")"),"['Practical', 'easy']")</f>
        <v>['Practical', 'easy']</v>
      </c>
      <c r="D7968" s="3">
        <v>5.0</v>
      </c>
    </row>
    <row r="7969" ht="15.75" customHeight="1">
      <c r="A7969" s="1">
        <v>8504.0</v>
      </c>
      <c r="B7969" s="3" t="s">
        <v>5788</v>
      </c>
      <c r="C7969" s="3" t="str">
        <f>IFERROR(__xludf.DUMMYFUNCTION("GOOGLETRANSLATE(B7969,""id"",""en"")"),"['Good', 'Helpful']")</f>
        <v>['Good', 'Helpful']</v>
      </c>
      <c r="D7969" s="3">
        <v>5.0</v>
      </c>
    </row>
    <row r="7970" ht="15.75" customHeight="1">
      <c r="A7970" s="1">
        <v>8505.0</v>
      </c>
      <c r="B7970" s="3" t="s">
        <v>7659</v>
      </c>
      <c r="C7970" s="3" t="str">
        <f>IFERROR(__xludf.DUMMYFUNCTION("GOOGLETRANSLATE(B7970,""id"",""en"")"),"['Woy', 'Telkomsel', 'Biso', 'DAK', 'You', 'Signal', 'You', 'DAK', 'Ngeleg', 'Klok', 'Main', 'Kapang']")</f>
        <v>['Woy', 'Telkomsel', 'Biso', 'DAK', 'You', 'Signal', 'You', 'DAK', 'Ngeleg', 'Klok', 'Main', 'Kapang']</v>
      </c>
      <c r="D7970" s="3">
        <v>2.0</v>
      </c>
    </row>
    <row r="7971" ht="15.75" customHeight="1">
      <c r="A7971" s="1">
        <v>8506.0</v>
      </c>
      <c r="B7971" s="3" t="s">
        <v>7660</v>
      </c>
      <c r="C7971" s="3" t="str">
        <f>IFERROR(__xludf.DUMMYFUNCTION("GOOGLETRANSLATE(B7971,""id"",""en"")"),"['Network', 'a month', 'Mulu', 'The network', 'please', 'Dongsss']")</f>
        <v>['Network', 'a month', 'Mulu', 'The network', 'please', 'Dongsss']</v>
      </c>
      <c r="D7971" s="3">
        <v>1.0</v>
      </c>
    </row>
    <row r="7972" ht="15.75" customHeight="1">
      <c r="A7972" s="1">
        <v>8507.0</v>
      </c>
      <c r="B7972" s="3" t="s">
        <v>7661</v>
      </c>
      <c r="C7972" s="3" t="str">
        <f>IFERROR(__xludf.DUMMYFUNCTION("GOOGLETRANSLATE(B7972,""id"",""en"")"),"['Please', 'Fix', 'Network', 'Leled', 'Please', 'Notice']")</f>
        <v>['Please', 'Fix', 'Network', 'Leled', 'Please', 'Notice']</v>
      </c>
      <c r="D7972" s="3">
        <v>1.0</v>
      </c>
    </row>
    <row r="7973" ht="15.75" customHeight="1">
      <c r="A7973" s="1">
        <v>8508.0</v>
      </c>
      <c r="B7973" s="3" t="s">
        <v>7662</v>
      </c>
      <c r="C7973" s="3" t="str">
        <f>IFERROR(__xludf.DUMMYFUNCTION("GOOGLETRANSLATE(B7973,""id"",""en"")"),"['Unlimited', 'UNT', 'Rates', 'Package', 'Internet', 'Mahar', 'Operator']")</f>
        <v>['Unlimited', 'UNT', 'Rates', 'Package', 'Internet', 'Mahar', 'Operator']</v>
      </c>
      <c r="D7973" s="3">
        <v>4.0</v>
      </c>
    </row>
    <row r="7974" ht="15.75" customHeight="1">
      <c r="A7974" s="1">
        <v>8509.0</v>
      </c>
      <c r="B7974" s="3" t="s">
        <v>7663</v>
      </c>
      <c r="C7974" s="3" t="str">
        <f>IFERROR(__xludf.DUMMYFUNCTION("GOOGLETRANSLATE(B7974,""id"",""en"")"),"['', 'BRI', 'DLU']")</f>
        <v>['', 'BRI', 'DLU']</v>
      </c>
      <c r="D7974" s="3">
        <v>3.0</v>
      </c>
    </row>
    <row r="7975" ht="15.75" customHeight="1">
      <c r="A7975" s="1">
        <v>8510.0</v>
      </c>
      <c r="B7975" s="3" t="s">
        <v>7664</v>
      </c>
      <c r="C7975" s="3" t="str">
        <f>IFERROR(__xludf.DUMMYFUNCTION("GOOGLETRANSLATE(B7975,""id"",""en"")"),"['already', 'mending', 'moved', 'network', 'already', 'ugly', 'Telkomsel', 'ngikutin', 'event', 'dead', 'lights',' signal ',' ilang ',' hilarious', 'poor']")</f>
        <v>['already', 'mending', 'moved', 'network', 'already', 'ugly', 'Telkomsel', 'ngikutin', 'event', 'dead', 'lights',' signal ',' ilang ',' hilarious', 'poor']</v>
      </c>
      <c r="D7975" s="3">
        <v>1.0</v>
      </c>
    </row>
    <row r="7976" ht="15.75" customHeight="1">
      <c r="A7976" s="1">
        <v>8511.0</v>
      </c>
      <c r="B7976" s="3" t="s">
        <v>7665</v>
      </c>
      <c r="C7976" s="3" t="str">
        <f>IFERROR(__xludf.DUMMYFUNCTION("GOOGLETRANSLATE(B7976,""id"",""en"")"),"['App', 'gabisa', 'open']")</f>
        <v>['App', 'gabisa', 'open']</v>
      </c>
      <c r="D7976" s="3">
        <v>1.0</v>
      </c>
    </row>
    <row r="7977" ht="15.75" customHeight="1">
      <c r="A7977" s="1">
        <v>8512.0</v>
      </c>
      <c r="B7977" s="3" t="s">
        <v>7666</v>
      </c>
      <c r="C7977" s="3" t="str">
        <f>IFERROR(__xludf.DUMMYFUNCTION("GOOGLETRANSLATE(B7977,""id"",""en"")"),"['likes', 'because', 'fill', 'pulse', 'price', 'package', 'IMFO', 'Telkomsel']")</f>
        <v>['likes', 'because', 'fill', 'pulse', 'price', 'package', 'IMFO', 'Telkomsel']</v>
      </c>
      <c r="D7977" s="3">
        <v>5.0</v>
      </c>
    </row>
    <row r="7978" ht="15.75" customHeight="1">
      <c r="A7978" s="1">
        <v>8513.0</v>
      </c>
      <c r="B7978" s="3" t="s">
        <v>7667</v>
      </c>
      <c r="C7978" s="3" t="str">
        <f>IFERROR(__xludf.DUMMYFUNCTION("GOOGLETRANSLATE(B7978,""id"",""en"")"),"['Package', 'Data', 'Out', 'MOTH', 'Credit', 'System', 'Please', 'Repaired', 'Cutting', 'Credit', 'Regular', 'Customer']")</f>
        <v>['Package', 'Data', 'Out', 'MOTH', 'Credit', 'System', 'Please', 'Repaired', 'Cutting', 'Credit', 'Regular', 'Customer']</v>
      </c>
      <c r="D7978" s="3">
        <v>1.0</v>
      </c>
    </row>
    <row r="7979" ht="15.75" customHeight="1">
      <c r="A7979" s="1">
        <v>8514.0</v>
      </c>
      <c r="B7979" s="3" t="s">
        <v>7668</v>
      </c>
      <c r="C7979" s="3" t="str">
        <f>IFERROR(__xludf.DUMMYFUNCTION("GOOGLETRANSLATE(B7979,""id"",""en"")"),"['Credit', 'truncated', 'missing', 'notification', 'anything', 'program', 'force', 'useful', 'unreg', 'as a result', 'stop', 'Customer', ' sympathy ',' loss', ""]")</f>
        <v>['Credit', 'truncated', 'missing', 'notification', 'anything', 'program', 'force', 'useful', 'unreg', 'as a result', 'stop', 'Customer', ' sympathy ',' loss', "]</v>
      </c>
      <c r="D7979" s="3">
        <v>1.0</v>
      </c>
    </row>
    <row r="7980" ht="15.75" customHeight="1">
      <c r="A7980" s="1">
        <v>8515.0</v>
      </c>
      <c r="B7980" s="3" t="s">
        <v>7669</v>
      </c>
      <c r="C7980" s="3" t="str">
        <f>IFERROR(__xludf.DUMMYFUNCTION("GOOGLETRANSLATE(B7980,""id"",""en"")"),"['apk', 'slow', 'open']")</f>
        <v>['apk', 'slow', 'open']</v>
      </c>
      <c r="D7980" s="3">
        <v>5.0</v>
      </c>
    </row>
    <row r="7981" ht="15.75" customHeight="1">
      <c r="A7981" s="1">
        <v>8516.0</v>
      </c>
      <c r="B7981" s="3" t="s">
        <v>7670</v>
      </c>
      <c r="C7981" s="3" t="str">
        <f>IFERROR(__xludf.DUMMYFUNCTION("GOOGLETRANSLATE(B7981,""id"",""en"")"),"['buy', 'package', 'internet', 'Sakti', 'date', 'des',' until ',' skrg ',' key ',' the network ',' ugly ',' skrg ',' gabisa ',' class', 'Telkomsel', 'good', 'network', 'already', 'contact', 'via', 'sosmed', 'answer', 'given', 'direction', 'suru' , 'Tetep'"&amp;", 'fix', 'signal', 'tetep', 'signal', 'bar', 'get', 'sometimes',' right ',' now download ',' download ',' Ngeblank ',' White ',' Doang ', ""]")</f>
        <v>['buy', 'package', 'internet', 'Sakti', 'date', 'des',' until ',' skrg ',' key ',' the network ',' ugly ',' skrg ',' gabisa ',' class', 'Telkomsel', 'good', 'network', 'already', 'contact', 'via', 'sosmed', 'answer', 'given', 'direction', 'suru' , 'Tetep', 'fix', 'signal', 'tetep', 'signal', 'bar', 'get', 'sometimes',' right ',' now download ',' download ',' Ngeblank ',' White ',' Doang ', "]</v>
      </c>
      <c r="D7981" s="3">
        <v>1.0</v>
      </c>
    </row>
    <row r="7982" ht="15.75" customHeight="1">
      <c r="A7982" s="1">
        <v>8517.0</v>
      </c>
      <c r="B7982" s="3" t="s">
        <v>7671</v>
      </c>
      <c r="C7982" s="3" t="str">
        <f>IFERROR(__xludf.DUMMYFUNCTION("GOOGLETRANSLATE(B7982,""id"",""en"")"),"['Severe', 'MyTelkomsel', 'Open', 'Apps']")</f>
        <v>['Severe', 'MyTelkomsel', 'Open', 'Apps']</v>
      </c>
      <c r="D7982" s="3">
        <v>5.0</v>
      </c>
    </row>
    <row r="7983" ht="15.75" customHeight="1">
      <c r="A7983" s="1">
        <v>8518.0</v>
      </c>
      <c r="B7983" s="3" t="s">
        <v>7672</v>
      </c>
      <c r="C7983" s="3" t="str">
        <f>IFERROR(__xludf.DUMMYFUNCTION("GOOGLETRANSLATE(B7983,""id"",""en"")"),"['Increase', 'service', 'in']")</f>
        <v>['Increase', 'service', 'in']</v>
      </c>
      <c r="D7983" s="3">
        <v>5.0</v>
      </c>
    </row>
    <row r="7984" ht="15.75" customHeight="1">
      <c r="A7984" s="1">
        <v>8519.0</v>
      </c>
      <c r="B7984" s="3" t="s">
        <v>7673</v>
      </c>
      <c r="C7984" s="3" t="str">
        <f>IFERROR(__xludf.DUMMYFUNCTION("GOOGLETRANSLATE(B7984,""id"",""en"")"),"['satisfying', 'details', 'usage', 'Fund']")</f>
        <v>['satisfying', 'details', 'usage', 'Fund']</v>
      </c>
      <c r="D7984" s="3">
        <v>1.0</v>
      </c>
    </row>
    <row r="7985" ht="15.75" customHeight="1">
      <c r="A7985" s="1">
        <v>8520.0</v>
      </c>
      <c r="B7985" s="3" t="s">
        <v>7674</v>
      </c>
      <c r="C7985" s="3" t="str">
        <f>IFERROR(__xludf.DUMMYFUNCTION("GOOGLETRANSLATE(B7985,""id"",""en"")"),"['Helpful', 'pulses', 'ilang', 'package', 'data', 'Please', '']")</f>
        <v>['Helpful', 'pulses', 'ilang', 'package', 'data', 'Please', '']</v>
      </c>
      <c r="D7985" s="3">
        <v>3.0</v>
      </c>
    </row>
    <row r="7986" ht="15.75" customHeight="1">
      <c r="A7986" s="1">
        <v>8521.0</v>
      </c>
      <c r="B7986" s="3" t="s">
        <v>7675</v>
      </c>
      <c r="C7986" s="3" t="str">
        <f>IFERROR(__xludf.DUMMYFUNCTION("GOOGLETRANSLATE(B7986,""id"",""en"")"),"['Apalikasi', 'opened', 'please', 'serve', 'maximum', '']")</f>
        <v>['Apalikasi', 'opened', 'please', 'serve', 'maximum', '']</v>
      </c>
      <c r="D7986" s="3">
        <v>1.0</v>
      </c>
    </row>
    <row r="7987" ht="15.75" customHeight="1">
      <c r="A7987" s="1">
        <v>8522.0</v>
      </c>
      <c r="B7987" s="3" t="s">
        <v>7676</v>
      </c>
      <c r="C7987" s="3" t="str">
        <f>IFERROR(__xludf.DUMMYFUNCTION("GOOGLETRANSLATE(B7987,""id"",""en"")"),"['Ryesel', 'I', 'Install']")</f>
        <v>['Ryesel', 'I', 'Install']</v>
      </c>
      <c r="D7987" s="3">
        <v>1.0</v>
      </c>
    </row>
    <row r="7988" ht="15.75" customHeight="1">
      <c r="A7988" s="1">
        <v>8523.0</v>
      </c>
      <c r="B7988" s="3" t="s">
        <v>7677</v>
      </c>
      <c r="C7988" s="3" t="str">
        <f>IFERROR(__xludf.DUMMYFUNCTION("GOOGLETRANSLATE(B7988,""id"",""en"")"),"['updated', 'the application', 'opened', 'updated', 'smooth', 'satisfying', 'sad', 'deh']")</f>
        <v>['updated', 'the application', 'opened', 'updated', 'smooth', 'satisfying', 'sad', 'deh']</v>
      </c>
      <c r="D7988" s="3">
        <v>1.0</v>
      </c>
    </row>
    <row r="7989" ht="15.75" customHeight="1">
      <c r="A7989" s="1">
        <v>8524.0</v>
      </c>
      <c r="B7989" s="3" t="s">
        <v>7678</v>
      </c>
      <c r="C7989" s="3" t="str">
        <f>IFERROR(__xludf.DUMMYFUNCTION("GOOGLETRANSLATE(B7989,""id"",""en"")"),"['Anjay', 'expensive', 'really', 'quota', 'cuk', 'tekomsel', 'poor', 'internet', 'anjink', 'really', 'fauck', ""]")</f>
        <v>['Anjay', 'expensive', 'really', 'quota', 'cuk', 'tekomsel', 'poor', 'internet', 'anjink', 'really', 'fauck', "]</v>
      </c>
      <c r="D7989" s="3">
        <v>1.0</v>
      </c>
    </row>
    <row r="7990" ht="15.75" customHeight="1">
      <c r="A7990" s="1">
        <v>8526.0</v>
      </c>
      <c r="B7990" s="3" t="s">
        <v>7679</v>
      </c>
      <c r="C7990" s="3" t="str">
        <f>IFERROR(__xludf.DUMMYFUNCTION("GOOGLETRANSLATE(B7990,""id"",""en"")"),"['Opened', 'Application', 'MyTelkomsel', 'Change', 'Out', 'Geray', 'Telkomsel', 'Perdana', 'Change', 'First', 'NMR', 'Good', ' Costs', 'aka', 'free', 'tis',' tis', 'tis',' steady ']")</f>
        <v>['Opened', 'Application', 'MyTelkomsel', 'Change', 'Out', 'Geray', 'Telkomsel', 'Perdana', 'Change', 'First', 'NMR', 'Good', ' Costs', 'aka', 'free', 'tis',' tis', 'tis',' steady ']</v>
      </c>
      <c r="D7990" s="3">
        <v>5.0</v>
      </c>
    </row>
    <row r="7991" ht="15.75" customHeight="1">
      <c r="A7991" s="1">
        <v>8527.0</v>
      </c>
      <c r="B7991" s="3" t="s">
        <v>7680</v>
      </c>
      <c r="C7991" s="3" t="str">
        <f>IFERROR(__xludf.DUMMYFUNCTION("GOOGLETRANSLATE(B7991,""id"",""en"")"),"['signal', 'quota', 'signal', 'wifi', 'indihome', 'network', 'telkom', 'severe', 'cable', 'already', 'bite', 'shark', ' The tower ',' Caplok ',' Tirex ',' Forgiveness', 'Download', 'Bener', ""]")</f>
        <v>['signal', 'quota', 'signal', 'wifi', 'indihome', 'network', 'telkom', 'severe', 'cable', 'already', 'bite', 'shark', ' The tower ',' Caplok ',' Tirex ',' Forgiveness', 'Download', 'Bener', "]</v>
      </c>
      <c r="D7991" s="3">
        <v>1.0</v>
      </c>
    </row>
    <row r="7992" ht="15.75" customHeight="1">
      <c r="A7992" s="1">
        <v>8528.0</v>
      </c>
      <c r="B7992" s="3" t="s">
        <v>7681</v>
      </c>
      <c r="C7992" s="3" t="str">
        <f>IFERROR(__xludf.DUMMYFUNCTION("GOOGLETRANSLATE(B7992,""id"",""en"")"),"['Date', 'December', 'APK', 'Telkomsel', 'Open', 'Uninstal', 'Isntal', 'Tebuka', 'Please', 'Seriously', 'Provider', 'Telkomsel', ' Ngani ',' service ',' buy ',' package ',' owe ',' thank ',' love ']")</f>
        <v>['Date', 'December', 'APK', 'Telkomsel', 'Open', 'Uninstal', 'Isntal', 'Tebuka', 'Please', 'Seriously', 'Provider', 'Telkomsel', ' Ngani ',' service ',' buy ',' package ',' owe ',' thank ',' love ']</v>
      </c>
      <c r="D7992" s="3">
        <v>1.0</v>
      </c>
    </row>
    <row r="7993" ht="15.75" customHeight="1">
      <c r="A7993" s="1">
        <v>8529.0</v>
      </c>
      <c r="B7993" s="3" t="s">
        <v>7682</v>
      </c>
      <c r="C7993" s="3" t="str">
        <f>IFERROR(__xludf.DUMMYFUNCTION("GOOGLETRANSLATE(B7993,""id"",""en"")"),"['Helleh', 'signal', 'ehhh', 'expensive', 'quota', 'network', 'difficult', 'really', 'siiihh', 'improve', 'system', 'network', ' Mahalin ',' Doang ',' Network ',' Progress', 'Super', 'Lemott', 'House', 'Use', 'Siiih', 'Telkomsel', 'Cook', 'Lost', 'Operato"&amp;"r' , 'Next', 'please', 'fix', 'system', 'network', 'mahalin', 'doang', 'signal', 'difficult', 'apk', 'blank', '']")</f>
        <v>['Helleh', 'signal', 'ehhh', 'expensive', 'quota', 'network', 'difficult', 'really', 'siiihh', 'improve', 'system', 'network', ' Mahalin ',' Doang ',' Network ',' Progress', 'Super', 'Lemott', 'House', 'Use', 'Siiih', 'Telkomsel', 'Cook', 'Lost', 'Operator' , 'Next', 'please', 'fix', 'system', 'network', 'mahalin', 'doang', 'signal', 'difficult', 'apk', 'blank', '']</v>
      </c>
      <c r="D7993" s="3">
        <v>1.0</v>
      </c>
    </row>
    <row r="7994" ht="15.75" customHeight="1">
      <c r="A7994" s="1">
        <v>8530.0</v>
      </c>
      <c r="B7994" s="3" t="s">
        <v>7683</v>
      </c>
      <c r="C7994" s="3" t="str">
        <f>IFERROR(__xludf.DUMMYFUNCTION("GOOGLETRANSLATE(B7994,""id"",""en"")"),"['like', 'promo', 'min', 'okay']")</f>
        <v>['like', 'promo', 'min', 'okay']</v>
      </c>
      <c r="D7994" s="3">
        <v>5.0</v>
      </c>
    </row>
    <row r="7995" ht="15.75" customHeight="1">
      <c r="A7995" s="1">
        <v>8531.0</v>
      </c>
      <c r="B7995" s="3" t="s">
        <v>7684</v>
      </c>
      <c r="C7995" s="3" t="str">
        <f>IFERROR(__xludf.DUMMYFUNCTION("GOOGLETRANSLATE(B7995,""id"",""en"")"),"['Figure', 'thousand', 'turn', 'check', 'thousand', 'Doang', 'enter', 'pdhl', 'sms',' udh ',' enter ',' check ',' Enter ',' thousand ']")</f>
        <v>['Figure', 'thousand', 'turn', 'check', 'thousand', 'Doang', 'enter', 'pdhl', 'sms',' udh ',' enter ',' check ',' Enter ',' thousand ']</v>
      </c>
      <c r="D7995" s="3">
        <v>1.0</v>
      </c>
    </row>
    <row r="7996" ht="15.75" customHeight="1">
      <c r="A7996" s="1">
        <v>8532.0</v>
      </c>
      <c r="B7996" s="3" t="s">
        <v>7685</v>
      </c>
      <c r="C7996" s="3" t="str">
        <f>IFERROR(__xludf.DUMMYFUNCTION("GOOGLETRANSLATE(B7996,""id"",""en"")"),"['The package', 'exciting', '']")</f>
        <v>['The package', 'exciting', '']</v>
      </c>
      <c r="D7996" s="3">
        <v>5.0</v>
      </c>
    </row>
    <row r="7997" ht="15.75" customHeight="1">
      <c r="A7997" s="1">
        <v>8533.0</v>
      </c>
      <c r="B7997" s="3" t="s">
        <v>7686</v>
      </c>
      <c r="C7997" s="3" t="str">
        <f>IFERROR(__xludf.DUMMYFUNCTION("GOOGLETRANSLATE(B7997,""id"",""en"")"),"['Quality', 'Network', 'Telkomsel', 'Low']")</f>
        <v>['Quality', 'Network', 'Telkomsel', 'Low']</v>
      </c>
      <c r="D7997" s="3">
        <v>1.0</v>
      </c>
    </row>
    <row r="7998" ht="15.75" customHeight="1">
      <c r="A7998" s="1">
        <v>8534.0</v>
      </c>
      <c r="B7998" s="3" t="s">
        <v>7687</v>
      </c>
      <c r="C7998" s="3" t="str">
        <f>IFERROR(__xludf.DUMMYFUNCTION("GOOGLETRANSLATE(B7998,""id"",""en"")"),"['Telkomsel', 'application', 'open', 'network', 'ugly', 'disappointed']")</f>
        <v>['Telkomsel', 'application', 'open', 'network', 'ugly', 'disappointed']</v>
      </c>
      <c r="D7998" s="3">
        <v>1.0</v>
      </c>
    </row>
    <row r="7999" ht="15.75" customHeight="1">
      <c r="A7999" s="1">
        <v>8535.0</v>
      </c>
      <c r="B7999" s="3" t="s">
        <v>7688</v>
      </c>
      <c r="C7999" s="3" t="str">
        <f>IFERROR(__xludf.DUMMYFUNCTION("GOOGLETRANSLATE(B7999,""id"",""en"")"),"['Sunday', 'Yesterday', 'Telkomsel', 'opened', '']")</f>
        <v>['Sunday', 'Yesterday', 'Telkomsel', 'opened', '']</v>
      </c>
      <c r="D7999" s="3">
        <v>1.0</v>
      </c>
    </row>
    <row r="8000" ht="15.75" customHeight="1">
      <c r="A8000" s="1">
        <v>8536.0</v>
      </c>
      <c r="B8000" s="3" t="s">
        <v>7689</v>
      </c>
      <c r="C8000" s="3" t="str">
        <f>IFERROR(__xludf.DUMMYFUNCTION("GOOGLETRANSLATE(B8000,""id"",""en"")"),"['Price', 'Package', 'right', 'bags',' economy ',' medium ',' down ',' signal ',' times', 'bad', 'according to', 'DGAN', ' price ',' expensive ',' users', 'Telkomsel', 'Switch', 'operator', 'please', 'consider', 'price', 'enjoy', 'service', 'Telkomsel', "&amp;"""]")</f>
        <v>['Price', 'Package', 'right', 'bags',' economy ',' medium ',' down ',' signal ',' times', 'bad', 'according to', 'DGAN', ' price ',' expensive ',' users', 'Telkomsel', 'Switch', 'operator', 'please', 'consider', 'price', 'enjoy', 'service', 'Telkomsel', "]</v>
      </c>
      <c r="D8000" s="3">
        <v>2.0</v>
      </c>
    </row>
    <row r="8001" ht="15.75" customHeight="1">
      <c r="A8001" s="1">
        <v>8537.0</v>
      </c>
      <c r="B8001" s="3" t="s">
        <v>7690</v>
      </c>
      <c r="C8001" s="3" t="str">
        <f>IFERROR(__xludf.DUMMYFUNCTION("GOOGLETRANSLATE(B8001,""id"",""en"")"),"['lbh', 'a week', 'NGK', 'open', 'screen', 'white', 'install', 'reset', 'bbrp', 'times']")</f>
        <v>['lbh', 'a week', 'NGK', 'open', 'screen', 'white', 'install', 'reset', 'bbrp', 'times']</v>
      </c>
      <c r="D8001" s="3">
        <v>1.0</v>
      </c>
    </row>
    <row r="8002" ht="15.75" customHeight="1">
      <c r="A8002" s="1">
        <v>8538.0</v>
      </c>
      <c r="B8002" s="3" t="s">
        <v>7691</v>
      </c>
      <c r="C8002" s="3" t="str">
        <f>IFERROR(__xludf.DUMMYFUNCTION("GOOGLETRANSLATE(B8002,""id"",""en"")"),"['intention', 'Telkomklop', 'gave', 'loan', 'intention', 'gave', 'loan', 'better', 'Delete']")</f>
        <v>['intention', 'Telkomklop', 'gave', 'loan', 'intention', 'gave', 'loan', 'better', 'Delete']</v>
      </c>
      <c r="D8002" s="3">
        <v>3.0</v>
      </c>
    </row>
    <row r="8003" ht="15.75" customHeight="1">
      <c r="A8003" s="1">
        <v>8539.0</v>
      </c>
      <c r="B8003" s="3" t="s">
        <v>7692</v>
      </c>
      <c r="C8003" s="3" t="str">
        <f>IFERROR(__xludf.DUMMYFUNCTION("GOOGLETRANSLATE(B8003,""id"",""en"")"),"['Disappointed', 'Times',' Grapari ',' Exchange ',' Points', 'Grapari', 'Refuses',' Reason ',' Program ',' Exchange ',' Points', 'Available', ' Exchange ',' December ',' strangehh ']")</f>
        <v>['Disappointed', 'Times',' Grapari ',' Exchange ',' Points', 'Grapari', 'Refuses',' Reason ',' Program ',' Exchange ',' Points', 'Available', ' Exchange ',' December ',' strangehh ']</v>
      </c>
      <c r="D8003" s="3">
        <v>1.0</v>
      </c>
    </row>
    <row r="8004" ht="15.75" customHeight="1">
      <c r="A8004" s="1">
        <v>8540.0</v>
      </c>
      <c r="B8004" s="3" t="s">
        <v>7693</v>
      </c>
      <c r="C8004" s="3" t="str">
        <f>IFERROR(__xludf.DUMMYFUNCTION("GOOGLETRANSLATE(B8004,""id"",""en"")"),"['petrified', 'love', 'Oeromo', 'cheap', 'Atuh', '']")</f>
        <v>['petrified', 'love', 'Oeromo', 'cheap', 'Atuh', '']</v>
      </c>
      <c r="D8004" s="3">
        <v>4.0</v>
      </c>
    </row>
    <row r="8005" ht="15.75" customHeight="1">
      <c r="A8005" s="1">
        <v>8541.0</v>
      </c>
      <c r="B8005" s="3" t="s">
        <v>619</v>
      </c>
      <c r="C8005" s="3" t="str">
        <f>IFERROR(__xludf.DUMMYFUNCTION("GOOGLETRANSLATE(B8005,""id"",""en"")"),"['Good', 'help']")</f>
        <v>['Good', 'help']</v>
      </c>
      <c r="D8005" s="3">
        <v>4.0</v>
      </c>
    </row>
    <row r="8006" ht="15.75" customHeight="1">
      <c r="A8006" s="1">
        <v>8542.0</v>
      </c>
      <c r="B8006" s="3" t="s">
        <v>7694</v>
      </c>
      <c r="C8006" s="3" t="str">
        <f>IFERROR(__xludf.DUMMYFUNCTION("GOOGLETRANSLATE(B8006,""id"",""en"")"),"['signal', 'Telkomsel', 'date', 'Monday', 'December', 'signal', 'Telkomsel', 'bad', 'Please', 'fix']")</f>
        <v>['signal', 'Telkomsel', 'date', 'Monday', 'December', 'signal', 'Telkomsel', 'bad', 'Please', 'fix']</v>
      </c>
      <c r="D8006" s="3">
        <v>1.0</v>
      </c>
    </row>
    <row r="8007" ht="15.75" customHeight="1">
      <c r="A8007" s="1">
        <v>8543.0</v>
      </c>
      <c r="B8007" s="3" t="s">
        <v>7695</v>
      </c>
      <c r="C8007" s="3" t="str">
        <f>IFERROR(__xludf.DUMMYFUNCTION("GOOGLETRANSLATE(B8007,""id"",""en"")"),"['signal', 'pig', 'card', 'bastard', 'pepek', 'card', 'expensive', 'signal', 'kek', 'pantek', 'anjeng']")</f>
        <v>['signal', 'pig', 'card', 'bastard', 'pepek', 'card', 'expensive', 'signal', 'kek', 'pantek', 'anjeng']</v>
      </c>
      <c r="D8007" s="3">
        <v>1.0</v>
      </c>
    </row>
    <row r="8008" ht="15.75" customHeight="1">
      <c r="A8008" s="1">
        <v>8544.0</v>
      </c>
      <c r="B8008" s="3" t="s">
        <v>7696</v>
      </c>
      <c r="C8008" s="3" t="str">
        <f>IFERROR(__xludf.DUMMYFUNCTION("GOOGLETRANSLATE(B8008,""id"",""en"")"),"['defective', 'digin', 'UDH', 'deleted', 'downloaded', 'reset', 'tetep', 'price', 'quota', 'expensive', 'service', 'according to' price ',' please ',' really ',' quota ',' abis', 'suck', 'pulse', 'person', 'oii', 'pulse', 'pulse', 'sucked' , 'zero', 'Telk"&amp;"omsel', 'Ngecewain', 'Customer', '']")</f>
        <v>['defective', 'digin', 'UDH', 'deleted', 'downloaded', 'reset', 'tetep', 'price', 'quota', 'expensive', 'service', 'according to' price ',' please ',' really ',' quota ',' abis', 'suck', 'pulse', 'person', 'oii', 'pulse', 'pulse', 'sucked' , 'zero', 'Telkomsel', 'Ngecewain', 'Customer', '']</v>
      </c>
      <c r="D8008" s="3">
        <v>1.0</v>
      </c>
    </row>
    <row r="8009" ht="15.75" customHeight="1">
      <c r="A8009" s="1">
        <v>8545.0</v>
      </c>
      <c r="B8009" s="3" t="s">
        <v>7697</v>
      </c>
      <c r="C8009" s="3" t="str">
        <f>IFERROR(__xludf.DUMMYFUNCTION("GOOGLETRANSLATE(B8009,""id"",""en"")"),"['easy', 'information', 'service']")</f>
        <v>['easy', 'information', 'service']</v>
      </c>
      <c r="D8009" s="3">
        <v>5.0</v>
      </c>
    </row>
    <row r="8010" ht="15.75" customHeight="1">
      <c r="A8010" s="1">
        <v>8546.0</v>
      </c>
      <c r="B8010" s="3" t="s">
        <v>7698</v>
      </c>
      <c r="C8010" s="3" t="str">
        <f>IFERROR(__xludf.DUMMYFUNCTION("GOOGLETRANSLATE(B8010,""id"",""en"")"),"['Promo', 'good']")</f>
        <v>['Promo', 'good']</v>
      </c>
      <c r="D8010" s="3">
        <v>5.0</v>
      </c>
    </row>
    <row r="8011" ht="15.75" customHeight="1">
      <c r="A8011" s="1">
        <v>8547.0</v>
      </c>
      <c r="B8011" s="3" t="s">
        <v>7699</v>
      </c>
      <c r="C8011" s="3" t="str">
        <f>IFERROR(__xludf.DUMMYFUNCTION("GOOGLETRANSLATE(B8011,""id"",""en"")"),"['Promo', 'multiptenize']")</f>
        <v>['Promo', 'multiptenize']</v>
      </c>
      <c r="D8011" s="3">
        <v>5.0</v>
      </c>
    </row>
    <row r="8012" ht="15.75" customHeight="1">
      <c r="A8012" s="1">
        <v>8548.0</v>
      </c>
      <c r="B8012" s="3" t="s">
        <v>100</v>
      </c>
      <c r="C8012" s="3" t="str">
        <f>IFERROR(__xludf.DUMMYFUNCTION("GOOGLETRANSLATE(B8012,""id"",""en"")"),"['star']")</f>
        <v>['star']</v>
      </c>
      <c r="D8012" s="3">
        <v>5.0</v>
      </c>
    </row>
    <row r="8013" ht="15.75" customHeight="1">
      <c r="A8013" s="1">
        <v>8549.0</v>
      </c>
      <c r="B8013" s="3" t="s">
        <v>7700</v>
      </c>
      <c r="C8013" s="3" t="str">
        <f>IFERROR(__xludf.DUMMYFUNCTION("GOOGLETRANSLATE(B8013,""id"",""en"")"),"['consumer']")</f>
        <v>['consumer']</v>
      </c>
      <c r="D8013" s="3">
        <v>4.0</v>
      </c>
    </row>
    <row r="8014" ht="15.75" customHeight="1">
      <c r="A8014" s="1">
        <v>8550.0</v>
      </c>
      <c r="B8014" s="3" t="s">
        <v>7701</v>
      </c>
      <c r="C8014" s="3" t="str">
        <f>IFERROR(__xludf.DUMMYFUNCTION("GOOGLETRANSLATE(B8014,""id"",""en"")"),"['Telkomsel', 'opened', 'knpa', 'already', 'times', 'download', 'unistall', 'download', 'tetep']")</f>
        <v>['Telkomsel', 'opened', 'knpa', 'already', 'times', 'download', 'unistall', 'download', 'tetep']</v>
      </c>
      <c r="D8014" s="3">
        <v>1.0</v>
      </c>
    </row>
    <row r="8015" ht="15.75" customHeight="1">
      <c r="A8015" s="1">
        <v>8551.0</v>
      </c>
      <c r="B8015" s="3" t="s">
        <v>7702</v>
      </c>
      <c r="C8015" s="3" t="str">
        <f>IFERROR(__xludf.DUMMYFUNCTION("GOOGLETRANSLATE(B8015,""id"",""en"")"),"['', 'Telkomsel', 'No', 'SERES', 'Download', 'Mending', 'IM']")</f>
        <v>['', 'Telkomsel', 'No', 'SERES', 'Download', 'Mending', 'IM']</v>
      </c>
      <c r="D8015" s="3">
        <v>1.0</v>
      </c>
    </row>
    <row r="8016" ht="15.75" customHeight="1">
      <c r="A8016" s="1">
        <v>8552.0</v>
      </c>
      <c r="B8016" s="3" t="s">
        <v>7703</v>
      </c>
      <c r="C8016" s="3" t="str">
        <f>IFERROR(__xludf.DUMMYFUNCTION("GOOGLETRANSLATE(B8016,""id"",""en"")"),"['Process',' Purchase ',' Package ',' Virtuous', 'Network', 'Telkomsel', 'Zone', 'Coastal', 'West', 'Lampung', 'Leet', 'Fast', ' Please ',' Increase ',' Speed ​​',' Thanks', '']")</f>
        <v>['Process',' Purchase ',' Package ',' Virtuous', 'Network', 'Telkomsel', 'Zone', 'Coastal', 'West', 'Lampung', 'Leet', 'Fast', ' Please ',' Increase ',' Speed ​​',' Thanks', '']</v>
      </c>
      <c r="D8016" s="3">
        <v>5.0</v>
      </c>
    </row>
    <row r="8017" ht="15.75" customHeight="1">
      <c r="A8017" s="1">
        <v>8553.0</v>
      </c>
      <c r="B8017" s="3" t="s">
        <v>7704</v>
      </c>
      <c r="C8017" s="3" t="str">
        <f>IFERROR(__xludf.DUMMYFUNCTION("GOOGLETRANSLATE(B8017,""id"",""en"")"),"['Access', 'Telkomsel', 'Bad', 'Telkomsel']")</f>
        <v>['Access', 'Telkomsel', 'Bad', 'Telkomsel']</v>
      </c>
      <c r="D8017" s="3">
        <v>1.0</v>
      </c>
    </row>
    <row r="8018" ht="15.75" customHeight="1">
      <c r="A8018" s="1">
        <v>8555.0</v>
      </c>
      <c r="B8018" s="3" t="s">
        <v>355</v>
      </c>
      <c r="C8018" s="3" t="str">
        <f>IFERROR(__xludf.DUMMYFUNCTION("GOOGLETRANSLATE(B8018,""id"",""en"")"),"['open', '']")</f>
        <v>['open', '']</v>
      </c>
      <c r="D8018" s="3">
        <v>1.0</v>
      </c>
    </row>
    <row r="8019" ht="15.75" customHeight="1">
      <c r="A8019" s="1">
        <v>8556.0</v>
      </c>
      <c r="B8019" s="3" t="s">
        <v>7705</v>
      </c>
      <c r="C8019" s="3" t="str">
        <f>IFERROR(__xludf.DUMMYFUNCTION("GOOGLETRANSLATE(B8019,""id"",""en"")"),"['Times', 'Out']")</f>
        <v>['Times', 'Out']</v>
      </c>
      <c r="D8019" s="3">
        <v>4.0</v>
      </c>
    </row>
    <row r="8020" ht="15.75" customHeight="1">
      <c r="A8020" s="1">
        <v>8557.0</v>
      </c>
      <c r="B8020" s="3" t="s">
        <v>7706</v>
      </c>
      <c r="C8020" s="3" t="str">
        <f>IFERROR(__xludf.DUMMYFUNCTION("GOOGLETRANSLATE(B8020,""id"",""en"")"),"['Date', 'December', 'psychological test', 'online', 'work', 'ehh', 'relapse', 'network', 'lost', 'sgala', 'severe', 'really', ' auto ',' replace ',' card ',' network ',' then ',' missing ',' play ',' game ',' then ',' missing ',' lost ',' stay ',' city '"&amp;" , '']")</f>
        <v>['Date', 'December', 'psychological test', 'online', 'work', 'ehh', 'relapse', 'network', 'lost', 'sgala', 'severe', 'really', ' auto ',' replace ',' card ',' network ',' then ',' missing ',' play ',' game ',' then ',' missing ',' lost ',' stay ',' city ' , '']</v>
      </c>
      <c r="D8020" s="3">
        <v>1.0</v>
      </c>
    </row>
    <row r="8021" ht="15.75" customHeight="1">
      <c r="A8021" s="1">
        <v>8558.0</v>
      </c>
      <c r="B8021" s="3" t="s">
        <v>7707</v>
      </c>
      <c r="C8021" s="3" t="str">
        <f>IFERROR(__xludf.DUMMYFUNCTION("GOOGLETRANSLATE(B8021,""id"",""en"")"),"['mytelkomsel', 'sii', 'no', 'open', 'application', 'complicated', 'check', 'quota', 'buy', 'quota', 'udh', 'install', ' Many ',' Time ',' Tetep ',' No "", 'Open', 'Applicationaa', 'White', 'Ajah', 'Knp', 'MyTelkomsel', 'Ayoo', 'Doong', 'Miss' , 'again', "&amp;"'tengkiyu']")</f>
        <v>['mytelkomsel', 'sii', 'no', 'open', 'application', 'complicated', 'check', 'quota', 'buy', 'quota', 'udh', 'install', ' Many ',' Time ',' Tetep ',' No ", 'Open', 'Applicationaa', 'White', 'Ajah', 'Knp', 'MyTelkomsel', 'Ayoo', 'Doong', 'Miss' , 'again', 'tengkiyu']</v>
      </c>
      <c r="D8021" s="3">
        <v>3.0</v>
      </c>
    </row>
    <row r="8022" ht="15.75" customHeight="1">
      <c r="A8022" s="1">
        <v>8559.0</v>
      </c>
      <c r="B8022" s="3" t="s">
        <v>7708</v>
      </c>
      <c r="C8022" s="3" t="str">
        <f>IFERROR(__xludf.DUMMYFUNCTION("GOOGLETRANSLATE(B8022,""id"",""en"")"),"['Pakek']")</f>
        <v>['Pakek']</v>
      </c>
      <c r="D8022" s="3">
        <v>2.0</v>
      </c>
    </row>
    <row r="8023" ht="15.75" customHeight="1">
      <c r="A8023" s="1">
        <v>8560.0</v>
      </c>
      <c r="B8023" s="3" t="s">
        <v>7709</v>
      </c>
      <c r="C8023" s="3" t="str">
        <f>IFERROR(__xludf.DUMMYFUNCTION("GOOGLETRANSLATE(B8023,""id"",""en"")"),"['', 'Open', 'annoying']")</f>
        <v>['', 'Open', 'annoying']</v>
      </c>
      <c r="D8023" s="3">
        <v>1.0</v>
      </c>
    </row>
    <row r="8024" ht="15.75" customHeight="1">
      <c r="A8024" s="1">
        <v>8561.0</v>
      </c>
      <c r="B8024" s="3" t="s">
        <v>7710</v>
      </c>
      <c r="C8024" s="3" t="str">
        <f>IFERROR(__xludf.DUMMYFUNCTION("GOOGLETRANSLATE(B8024,""id"",""en"")"),"['Please', 'active', 'number', ""]")</f>
        <v>['Please', 'active', 'number', "]</v>
      </c>
      <c r="D8024" s="3">
        <v>5.0</v>
      </c>
    </row>
    <row r="8025" ht="15.75" customHeight="1">
      <c r="A8025" s="1">
        <v>8562.0</v>
      </c>
      <c r="B8025" s="3" t="s">
        <v>7711</v>
      </c>
      <c r="C8025" s="3" t="str">
        <f>IFERROR(__xludf.DUMMYFUNCTION("GOOGLETRANSLATE(B8025,""id"",""en"")"),"['Forced', 'just', 'donated', 'star', 'Telkomsel', 'Choke', 'Open', 'appears',' picture ',' white ',' gerangangx ',' Telkomsel ',' ']")</f>
        <v>['Forced', 'just', 'donated', 'star', 'Telkomsel', 'Choke', 'Open', 'appears',' picture ',' white ',' gerangangx ',' Telkomsel ',' ']</v>
      </c>
      <c r="D8025" s="3">
        <v>1.0</v>
      </c>
    </row>
    <row r="8026" ht="15.75" customHeight="1">
      <c r="A8026" s="1">
        <v>8563.0</v>
      </c>
      <c r="B8026" s="3" t="s">
        <v>7712</v>
      </c>
      <c r="C8026" s="3" t="str">
        <f>IFERROR(__xludf.DUMMYFUNCTION("GOOGLETRANSLATE(B8026,""id"",""en"")"),"['apk', 'bgus', 'sangt', 'help']")</f>
        <v>['apk', 'bgus', 'sangt', 'help']</v>
      </c>
      <c r="D8026" s="3">
        <v>5.0</v>
      </c>
    </row>
    <row r="8027" ht="15.75" customHeight="1">
      <c r="A8027" s="1">
        <v>8564.0</v>
      </c>
      <c r="B8027" s="3" t="s">
        <v>7713</v>
      </c>
      <c r="C8027" s="3" t="str">
        <f>IFERROR(__xludf.DUMMYFUNCTION("GOOGLETRANSLATE(B8027,""id"",""en"")"),"['regret', 'Update', 'Out', 'Update', 'Application', 'Open', 'Screen', 'White', 'Kirain', 'Bentar', 'Doang', 'Bangat', ' ']")</f>
        <v>['regret', 'Update', 'Out', 'Update', 'Application', 'Open', 'Screen', 'White', 'Kirain', 'Bentar', 'Doang', 'Bangat', ' ']</v>
      </c>
      <c r="D8027" s="3">
        <v>1.0</v>
      </c>
    </row>
    <row r="8028" ht="15.75" customHeight="1">
      <c r="A8028" s="1">
        <v>8565.0</v>
      </c>
      <c r="B8028" s="3" t="s">
        <v>7714</v>
      </c>
      <c r="C8028" s="3" t="str">
        <f>IFERROR(__xludf.DUMMYFUNCTION("GOOGLETRANSLATE(B8028,""id"",""en"")"),"['Ngeleg', 'Bener', 'work']")</f>
        <v>['Ngeleg', 'Bener', 'work']</v>
      </c>
      <c r="D8028" s="3">
        <v>1.0</v>
      </c>
    </row>
    <row r="8029" ht="15.75" customHeight="1">
      <c r="A8029" s="1">
        <v>8566.0</v>
      </c>
      <c r="B8029" s="3" t="s">
        <v>7715</v>
      </c>
      <c r="C8029" s="3" t="str">
        <f>IFERROR(__xludf.DUMMYFUNCTION("GOOGLETRANSLATE(B8029,""id"",""en"")"),"['Tetep', 'open', 'application', 'already', 'download', 'repeat', 'reset', 'tetep']")</f>
        <v>['Tetep', 'open', 'application', 'already', 'download', 'repeat', 'reset', 'tetep']</v>
      </c>
      <c r="D8029" s="3">
        <v>1.0</v>
      </c>
    </row>
    <row r="8030" ht="15.75" customHeight="1">
      <c r="A8030" s="1">
        <v>8567.0</v>
      </c>
      <c r="B8030" s="3" t="s">
        <v>7716</v>
      </c>
      <c r="C8030" s="3" t="str">
        <f>IFERROR(__xludf.DUMMYFUNCTION("GOOGLETRANSLATE(B8030,""id"",""en"")"),"['Network', 'slow', 'good', 'kayak', 'cook', 'lose', 'provider']")</f>
        <v>['Network', 'slow', 'good', 'kayak', 'cook', 'lose', 'provider']</v>
      </c>
      <c r="D8030" s="3">
        <v>1.0</v>
      </c>
    </row>
    <row r="8031" ht="15.75" customHeight="1">
      <c r="A8031" s="1">
        <v>8568.0</v>
      </c>
      <c r="B8031" s="3" t="s">
        <v>7717</v>
      </c>
      <c r="C8031" s="3" t="str">
        <f>IFERROR(__xludf.DUMMYFUNCTION("GOOGLETRANSLATE(B8031,""id"",""en"")"),"['expensive', 'package', 'tlkomsel']")</f>
        <v>['expensive', 'package', 'tlkomsel']</v>
      </c>
      <c r="D8031" s="3">
        <v>3.0</v>
      </c>
    </row>
    <row r="8032" ht="15.75" customHeight="1">
      <c r="A8032" s="1">
        <v>8569.0</v>
      </c>
      <c r="B8032" s="3" t="s">
        <v>7718</v>
      </c>
      <c r="C8032" s="3" t="str">
        <f>IFERROR(__xludf.DUMMYFUNCTION("GOOGLETRANSLATE(B8032,""id"",""en"")"),"['Lemot', 'entry', 'the application', 'Cape', 'wait']")</f>
        <v>['Lemot', 'entry', 'the application', 'Cape', 'wait']</v>
      </c>
      <c r="D8032" s="3">
        <v>1.0</v>
      </c>
    </row>
    <row r="8033" ht="15.75" customHeight="1">
      <c r="A8033" s="1">
        <v>8570.0</v>
      </c>
      <c r="B8033" s="3" t="s">
        <v>7719</v>
      </c>
      <c r="C8033" s="3" t="str">
        <f>IFERROR(__xludf.DUMMYFUNCTION("GOOGLETRANSLATE(B8033,""id"",""en"")"),"['application', 'idiot', 'open', 'login', 'application', 'artificial', 'government', 'kayak', 'artificial', 'child', 'smk', 'consequently' recruitment ',' officials', 'path', 'corrupt', 'results',' quality ',' nyakunya ',' country ',' developing ',' quali"&amp;"ty ',' internet ',' fhilipina ', ""]")</f>
        <v>['application', 'idiot', 'open', 'login', 'application', 'artificial', 'government', 'kayak', 'artificial', 'child', 'smk', 'consequently' recruitment ',' officials', 'path', 'corrupt', 'results',' quality ',' nyakunya ',' country ',' developing ',' quality ',' internet ',' fhilipina ', "]</v>
      </c>
      <c r="D8033" s="3">
        <v>1.0</v>
      </c>
    </row>
    <row r="8034" ht="15.75" customHeight="1">
      <c r="A8034" s="1">
        <v>8571.0</v>
      </c>
      <c r="B8034" s="3" t="s">
        <v>7720</v>
      </c>
      <c r="C8034" s="3" t="str">
        <f>IFERROR(__xludf.DUMMYFUNCTION("GOOGLETRANSLATE(B8034,""id"",""en"")"),"['already', 'open', 'Telkomsel', 'date', 'open', 'open', 'just', 'screen', 'white', 'doang', 'udh', 'wait', ' Masi ',' screen ',' white ',' UDH ',' Unistal ',' many ',' ']")</f>
        <v>['already', 'open', 'Telkomsel', 'date', 'open', 'open', 'just', 'screen', 'white', 'doang', 'udh', 'wait', ' Masi ',' screen ',' white ',' UDH ',' Unistal ',' many ',' ']</v>
      </c>
      <c r="D8034" s="3">
        <v>1.0</v>
      </c>
    </row>
    <row r="8035" ht="15.75" customHeight="1">
      <c r="A8035" s="1">
        <v>8572.0</v>
      </c>
      <c r="B8035" s="3" t="s">
        <v>7721</v>
      </c>
      <c r="C8035" s="3" t="str">
        <f>IFERROR(__xludf.DUMMYFUNCTION("GOOGLETRANSLATE(B8035,""id"",""en"")"),"['knpa', 'skrng', 'mytelkomsel', 'gabisa', 'open', 'always', 'white', 'mulu', 'already', 'delete', 'then' download ',' Many ',' ttep ',' rich ',' that's', 'please', 'gear']")</f>
        <v>['knpa', 'skrng', 'mytelkomsel', 'gabisa', 'open', 'always', 'white', 'mulu', 'already', 'delete', 'then' download ',' Many ',' ttep ',' rich ',' that's', 'please', 'gear']</v>
      </c>
      <c r="D8035" s="3">
        <v>1.0</v>
      </c>
    </row>
    <row r="8036" ht="15.75" customHeight="1">
      <c r="A8036" s="1">
        <v>8573.0</v>
      </c>
      <c r="B8036" s="3" t="s">
        <v>7722</v>
      </c>
      <c r="C8036" s="3" t="str">
        <f>IFERROR(__xludf.DUMMYFUNCTION("GOOGLETRANSLATE(B8036,""id"",""en"")"),"['', 'access', 'uninstall', 'Install', 'reset', 'ttep', 'access', 'disappointed', 'really']")</f>
        <v>['', 'access', 'uninstall', 'Install', 'reset', 'ttep', 'access', 'disappointed', 'really']</v>
      </c>
      <c r="D8036" s="3">
        <v>1.0</v>
      </c>
    </row>
    <row r="8037" ht="15.75" customHeight="1">
      <c r="A8037" s="1">
        <v>8574.0</v>
      </c>
      <c r="B8037" s="3" t="s">
        <v>7723</v>
      </c>
      <c r="C8037" s="3" t="str">
        <f>IFERROR(__xludf.DUMMYFUNCTION("GOOGLETRANSLATE(B8037,""id"",""en"")"),"['application', 'Alaih', 'blank', 'oiii', 'kaga', 'repay']")</f>
        <v>['application', 'Alaih', 'blank', 'oiii', 'kaga', 'repay']</v>
      </c>
      <c r="D8037" s="3">
        <v>1.0</v>
      </c>
    </row>
    <row r="8038" ht="15.75" customHeight="1">
      <c r="A8038" s="1">
        <v>8575.0</v>
      </c>
      <c r="B8038" s="3" t="s">
        <v>7724</v>
      </c>
      <c r="C8038" s="3" t="str">
        <f>IFERROR(__xludf.DUMMYFUNCTION("GOOGLETRANSLATE(B8038,""id"",""en"")"),"['Telkomsel', 'heart', '']")</f>
        <v>['Telkomsel', 'heart', '']</v>
      </c>
      <c r="D8038" s="3">
        <v>5.0</v>
      </c>
    </row>
    <row r="8039" ht="15.75" customHeight="1">
      <c r="A8039" s="1">
        <v>8576.0</v>
      </c>
      <c r="B8039" s="3" t="s">
        <v>7725</v>
      </c>
      <c r="C8039" s="3" t="str">
        <f>IFERROR(__xludf.DUMMYFUNCTION("GOOGLETRANSLATE(B8039,""id"",""en"")"),"['Maap', 'love', 'star', 'love', 'star', 'quota', 'unlimited', 'youtube', 'kepakai', 'quota', 'ahanaa', 'no', ' Useful ',' quota ',' unlimited ',' youtube ',' key ',' quota ',' main ',' pokonya ',' replace ',' loss', 'pulse', 'no', 'disappointed' , 'heavy"&amp;"', 'oath', 'Telkomsel', '']")</f>
        <v>['Maap', 'love', 'star', 'love', 'star', 'quota', 'unlimited', 'youtube', 'kepakai', 'quota', 'ahanaa', 'no', ' Useful ',' quota ',' unlimited ',' youtube ',' key ',' quota ',' main ',' pokonya ',' replace ',' loss', 'pulse', 'no', 'disappointed' , 'heavy', 'oath', 'Telkomsel', '']</v>
      </c>
      <c r="D8039" s="3">
        <v>1.0</v>
      </c>
    </row>
    <row r="8040" ht="15.75" customHeight="1">
      <c r="A8040" s="1">
        <v>8577.0</v>
      </c>
      <c r="B8040" s="3" t="s">
        <v>7726</v>
      </c>
      <c r="C8040" s="3" t="str">
        <f>IFERROR(__xludf.DUMMYFUNCTION("GOOGLETRANSLATE(B8040,""id"",""en"")"),"['Steady', 'Telkomsel', 'package', 'price', 'trimakasih', ""]")</f>
        <v>['Steady', 'Telkomsel', 'package', 'price', 'trimakasih', "]</v>
      </c>
      <c r="D8040" s="3">
        <v>5.0</v>
      </c>
    </row>
    <row r="8041" ht="15.75" customHeight="1">
      <c r="A8041" s="1">
        <v>8579.0</v>
      </c>
      <c r="B8041" s="3" t="s">
        <v>7727</v>
      </c>
      <c r="C8041" s="3" t="str">
        <f>IFERROR(__xludf.DUMMYFUNCTION("GOOGLETRANSLATE(B8041,""id"",""en"")"),"['Disappointed', 'chaotic', 'bad', 'network', 'promo', 'jls', 'entered', 'notif', 'Telkomsel', 'zonk', ""]")</f>
        <v>['Disappointed', 'chaotic', 'bad', 'network', 'promo', 'jls', 'entered', 'notif', 'Telkomsel', 'zonk', "]</v>
      </c>
      <c r="D8041" s="3">
        <v>1.0</v>
      </c>
    </row>
    <row r="8042" ht="15.75" customHeight="1">
      <c r="A8042" s="1">
        <v>8580.0</v>
      </c>
      <c r="B8042" s="3" t="s">
        <v>7728</v>
      </c>
      <c r="C8042" s="3" t="str">
        <f>IFERROR(__xludf.DUMMYFUNCTION("GOOGLETRANSLATE(B8042,""id"",""en"")"),"['Image', 'White', 'Severe', 'Application']")</f>
        <v>['Image', 'White', 'Severe', 'Application']</v>
      </c>
      <c r="D8042" s="3">
        <v>1.0</v>
      </c>
    </row>
    <row r="8043" ht="15.75" customHeight="1">
      <c r="A8043" s="1">
        <v>8581.0</v>
      </c>
      <c r="B8043" s="3" t="s">
        <v>7729</v>
      </c>
      <c r="C8043" s="3" t="str">
        <f>IFERROR(__xludf.DUMMYFUNCTION("GOOGLETRANSLATE(B8043,""id"",""en"")"),"['App', 'ngestuck', 'Jerus', 'pdhl', 'uppdate', 'please', 'fix', 'app']")</f>
        <v>['App', 'ngestuck', 'Jerus', 'pdhl', 'uppdate', 'please', 'fix', 'app']</v>
      </c>
      <c r="D8043" s="3">
        <v>1.0</v>
      </c>
    </row>
    <row r="8044" ht="15.75" customHeight="1">
      <c r="A8044" s="1">
        <v>8582.0</v>
      </c>
      <c r="B8044" s="3" t="s">
        <v>7730</v>
      </c>
      <c r="C8044" s="3" t="str">
        <f>IFERROR(__xludf.DUMMYFUNCTION("GOOGLETRANSLATE(B8044,""id"",""en"")"),"['', 'Telkomsel', 'work', 'smooth', '']")</f>
        <v>['', 'Telkomsel', 'work', 'smooth', '']</v>
      </c>
      <c r="D8044" s="3">
        <v>5.0</v>
      </c>
    </row>
    <row r="8045" ht="15.75" customHeight="1">
      <c r="A8045" s="1">
        <v>8583.0</v>
      </c>
      <c r="B8045" s="3" t="s">
        <v>7731</v>
      </c>
      <c r="C8045" s="3" t="str">
        <f>IFERROR(__xludf.DUMMYFUNCTION("GOOGLETRANSLATE(B8045,""id"",""en"")"),"['Sorry', 'love', 'star', 'application', 'open', 'thank', 'love']")</f>
        <v>['Sorry', 'love', 'star', 'application', 'open', 'thank', 'love']</v>
      </c>
      <c r="D8045" s="3">
        <v>1.0</v>
      </c>
    </row>
    <row r="8046" ht="15.75" customHeight="1">
      <c r="A8046" s="1">
        <v>8585.0</v>
      </c>
      <c r="B8046" s="3" t="s">
        <v>7732</v>
      </c>
      <c r="C8046" s="3" t="str">
        <f>IFERROR(__xludf.DUMMYFUNCTION("GOOGLETRANSLATE(B8046,""id"",""en"")"),"['application', 'Telkomsel', 'opened', 'screen', 'white', 'please', 'info', 'dev']")</f>
        <v>['application', 'Telkomsel', 'opened', 'screen', 'white', 'please', 'info', 'dev']</v>
      </c>
      <c r="D8046" s="3">
        <v>1.0</v>
      </c>
    </row>
    <row r="8047" ht="15.75" customHeight="1">
      <c r="A8047" s="1">
        <v>8586.0</v>
      </c>
      <c r="B8047" s="3" t="s">
        <v>7733</v>
      </c>
      <c r="C8047" s="3" t="str">
        <f>IFERROR(__xludf.DUMMYFUNCTION("GOOGLETRANSLATE(B8047,""id"",""en"")"),"['', 'Uda', 'Mantap', '']")</f>
        <v>['', 'Uda', 'Mantap', '']</v>
      </c>
      <c r="D8047" s="3">
        <v>5.0</v>
      </c>
    </row>
    <row r="8048" ht="15.75" customHeight="1">
      <c r="A8048" s="1">
        <v>8587.0</v>
      </c>
      <c r="B8048" s="3" t="s">
        <v>7734</v>
      </c>
      <c r="C8048" s="3" t="str">
        <f>IFERROR(__xludf.DUMMYFUNCTION("GOOGLETRANSLATE(B8048,""id"",""en"")"),"['', 'buy', 'quota', 'description', 'connection', 'contact', 'minutes']")</f>
        <v>['', 'buy', 'quota', 'description', 'connection', 'contact', 'minutes']</v>
      </c>
      <c r="D8048" s="3">
        <v>1.0</v>
      </c>
    </row>
    <row r="8049" ht="15.75" customHeight="1">
      <c r="A8049" s="1">
        <v>8588.0</v>
      </c>
      <c r="B8049" s="3" t="s">
        <v>92</v>
      </c>
      <c r="C8049" s="3" t="str">
        <f>IFERROR(__xludf.DUMMYFUNCTION("GOOGLETRANSLATE(B8049,""id"",""en"")"),"['Application', 'Open']")</f>
        <v>['Application', 'Open']</v>
      </c>
      <c r="D8049" s="3">
        <v>1.0</v>
      </c>
    </row>
    <row r="8050" ht="15.75" customHeight="1">
      <c r="A8050" s="1">
        <v>8589.0</v>
      </c>
      <c r="B8050" s="3" t="s">
        <v>7735</v>
      </c>
      <c r="C8050" s="3" t="str">
        <f>IFERROR(__xludf.DUMMYFUNCTION("GOOGLETRANSLATE(B8050,""id"",""en"")"),"['operator', 'bideg', 'times', 'please', 'features', 'ngeki', 'pulses', 'sumps', '']")</f>
        <v>['operator', 'bideg', 'times', 'please', 'features', 'ngeki', 'pulses', 'sumps', '']</v>
      </c>
      <c r="D8050" s="3">
        <v>1.0</v>
      </c>
    </row>
    <row r="8051" ht="15.75" customHeight="1">
      <c r="A8051" s="1">
        <v>8591.0</v>
      </c>
      <c r="B8051" s="3" t="s">
        <v>7736</v>
      </c>
      <c r="C8051" s="3" t="str">
        <f>IFERROR(__xludf.DUMMYFUNCTION("GOOGLETRANSLATE(B8051,""id"",""en"")"),"['Sjmple', 'cheap']")</f>
        <v>['Sjmple', 'cheap']</v>
      </c>
      <c r="D8051" s="3">
        <v>5.0</v>
      </c>
    </row>
    <row r="8052" ht="15.75" customHeight="1">
      <c r="A8052" s="1">
        <v>8592.0</v>
      </c>
      <c r="B8052" s="3" t="s">
        <v>7737</v>
      </c>
      <c r="C8052" s="3" t="str">
        <f>IFERROR(__xludf.DUMMYFUNCTION("GOOGLETRANSLATE(B8052,""id"",""en"")"),"['pulse', 'regular', 'suck', 'package', 'data', 'wonder', 'loss',' list ',' package ',' pulse ',' regular ',' pull ',' strange ',' Telkomsel ',' rich ',' that's', 'detrimental', 'boss',' ']")</f>
        <v>['pulse', 'regular', 'suck', 'package', 'data', 'wonder', 'loss',' list ',' package ',' pulse ',' regular ',' pull ',' strange ',' Telkomsel ',' rich ',' that's', 'detrimental', 'boss',' ']</v>
      </c>
      <c r="D8052" s="3">
        <v>1.0</v>
      </c>
    </row>
    <row r="8053" ht="15.75" customHeight="1">
      <c r="A8053" s="1">
        <v>8593.0</v>
      </c>
      <c r="B8053" s="3" t="s">
        <v>7738</v>
      </c>
      <c r="C8053" s="3" t="str">
        <f>IFERROR(__xludf.DUMMYFUNCTION("GOOGLETRANSLATE(B8053,""id"",""en"")"),"['', 'Telkomsel', 'signal', 'smooth', 'quota', 'education', 'severe', 'hmm', '']")</f>
        <v>['', 'Telkomsel', 'signal', 'smooth', 'quota', 'education', 'severe', 'hmm', '']</v>
      </c>
      <c r="D8053" s="3">
        <v>1.0</v>
      </c>
    </row>
    <row r="8054" ht="15.75" customHeight="1">
      <c r="A8054" s="1">
        <v>8594.0</v>
      </c>
      <c r="B8054" s="3" t="s">
        <v>7739</v>
      </c>
      <c r="C8054" s="3" t="str">
        <f>IFERROR(__xludf.DUMMYFUNCTION("GOOGLETRANSLATE(B8054,""id"",""en"")"),"['love', 'star', 'process', 'smooth', 'cheap', 'price', 'internet', '']")</f>
        <v>['love', 'star', 'process', 'smooth', 'cheap', 'price', 'internet', '']</v>
      </c>
      <c r="D8054" s="3">
        <v>5.0</v>
      </c>
    </row>
    <row r="8055" ht="15.75" customHeight="1">
      <c r="A8055" s="1">
        <v>8595.0</v>
      </c>
      <c r="B8055" s="3" t="s">
        <v>7740</v>
      </c>
      <c r="C8055" s="3" t="str">
        <f>IFERROR(__xludf.DUMMYFUNCTION("GOOGLETRANSLATE(B8055,""id"",""en"")"),"['Use', 'Application', 'KOQ', 'KNPA', 'Skarang', 'App', 'Opened', 'Please', 'Help']")</f>
        <v>['Use', 'Application', 'KOQ', 'KNPA', 'Skarang', 'App', 'Opened', 'Please', 'Help']</v>
      </c>
      <c r="D8055" s="3">
        <v>5.0</v>
      </c>
    </row>
    <row r="8056" ht="15.75" customHeight="1">
      <c r="A8056" s="1">
        <v>8596.0</v>
      </c>
      <c r="B8056" s="3" t="s">
        <v>7741</v>
      </c>
      <c r="C8056" s="3" t="str">
        <f>IFERROR(__xludf.DUMMYFUNCTION("GOOGLETRANSLATE(B8056,""id"",""en"")"),"['Good', 'network', 'wide']")</f>
        <v>['Good', 'network', 'wide']</v>
      </c>
      <c r="D8056" s="3">
        <v>5.0</v>
      </c>
    </row>
    <row r="8057" ht="15.75" customHeight="1">
      <c r="A8057" s="1">
        <v>8597.0</v>
      </c>
      <c r="B8057" s="3" t="s">
        <v>4434</v>
      </c>
      <c r="C8057" s="3" t="str">
        <f>IFERROR(__xludf.DUMMYFUNCTION("GOOGLETRANSLATE(B8057,""id"",""en"")"),"['Application', 'opened', '']")</f>
        <v>['Application', 'opened', '']</v>
      </c>
      <c r="D8057" s="3">
        <v>1.0</v>
      </c>
    </row>
    <row r="8058" ht="15.75" customHeight="1">
      <c r="A8058" s="1">
        <v>8598.0</v>
      </c>
      <c r="B8058" s="3" t="s">
        <v>7742</v>
      </c>
      <c r="C8058" s="3" t="str">
        <f>IFERROR(__xludf.DUMMYFUNCTION("GOOGLETRANSLATE(B8058,""id"",""en"")"),"['thank you', '']")</f>
        <v>['thank you', '']</v>
      </c>
      <c r="D8058" s="3">
        <v>5.0</v>
      </c>
    </row>
    <row r="8059" ht="15.75" customHeight="1">
      <c r="A8059" s="1">
        <v>8599.0</v>
      </c>
      <c r="B8059" s="3" t="s">
        <v>7743</v>
      </c>
      <c r="C8059" s="3" t="str">
        <f>IFERROR(__xludf.DUMMYFUNCTION("GOOGLETRANSLATE(B8059,""id"",""en"")"),"['family', 'Satisfied', 'Service', 'Telkomsel', 'Hopefully', 'Benefits', 'People', ""]")</f>
        <v>['family', 'Satisfied', 'Service', 'Telkomsel', 'Hopefully', 'Benefits', 'People', "]</v>
      </c>
      <c r="D8059" s="3">
        <v>5.0</v>
      </c>
    </row>
    <row r="8060" ht="15.75" customHeight="1">
      <c r="A8060" s="1">
        <v>8600.0</v>
      </c>
      <c r="B8060" s="3" t="s">
        <v>7744</v>
      </c>
      <c r="C8060" s="3" t="str">
        <f>IFERROR(__xludf.DUMMYFUNCTION("GOOGLETRANSLATE(B8060,""id"",""en"")"),"['Monday', 'December', 'application', 'open']")</f>
        <v>['Monday', 'December', 'application', 'open']</v>
      </c>
      <c r="D8060" s="3">
        <v>1.0</v>
      </c>
    </row>
    <row r="8061" ht="15.75" customHeight="1">
      <c r="A8061" s="1">
        <v>8601.0</v>
      </c>
      <c r="B8061" s="3" t="s">
        <v>7745</v>
      </c>
      <c r="C8061" s="3" t="str">
        <f>IFERROR(__xludf.DUMMYFUNCTION("GOOGLETRANSLATE(B8061,""id"",""en"")"),"['Application', 'Hang', 'PDHL', 'GraPARI', 'Many', 'times', 'BGNI', 'PEAH', 'Disappointed', 'GraPARI', 'Telkomsel']")</f>
        <v>['Application', 'Hang', 'PDHL', 'GraPARI', 'Many', 'times', 'BGNI', 'PEAH', 'Disappointed', 'GraPARI', 'Telkomsel']</v>
      </c>
      <c r="D8061" s="3">
        <v>1.0</v>
      </c>
    </row>
    <row r="8062" ht="15.75" customHeight="1">
      <c r="A8062" s="1">
        <v>8602.0</v>
      </c>
      <c r="B8062" s="3" t="s">
        <v>7746</v>
      </c>
      <c r="C8062" s="3" t="str">
        <f>IFERROR(__xludf.DUMMYFUNCTION("GOOGLETRANSLATE(B8062,""id"",""en"")"),"['Date', 'network', 'Telkomsel', 'slow', 'forgiveness',' already ',' buy ',' package ',' gmna ',' useless', 'gini', 'gni', ' work']")</f>
        <v>['Date', 'network', 'Telkomsel', 'slow', 'forgiveness',' already ',' buy ',' package ',' gmna ',' useless', 'gini', 'gni', ' work']</v>
      </c>
      <c r="D8062" s="3">
        <v>1.0</v>
      </c>
    </row>
    <row r="8063" ht="15.75" customHeight="1">
      <c r="A8063" s="1">
        <v>8603.0</v>
      </c>
      <c r="B8063" s="3" t="s">
        <v>7747</v>
      </c>
      <c r="C8063" s="3" t="str">
        <f>IFERROR(__xludf.DUMMYFUNCTION("GOOGLETRANSLATE(B8063,""id"",""en"")"),"['Telkomsel', 'network', 'rich', 'slow', 'bnged', 'please', 'repaired', 'star', '']")</f>
        <v>['Telkomsel', 'network', 'rich', 'slow', 'bnged', 'please', 'repaired', 'star', '']</v>
      </c>
      <c r="D8063" s="3">
        <v>1.0</v>
      </c>
    </row>
    <row r="8064" ht="15.75" customHeight="1">
      <c r="A8064" s="1">
        <v>8604.0</v>
      </c>
      <c r="B8064" s="3" t="s">
        <v>7748</v>
      </c>
      <c r="C8064" s="3" t="str">
        <f>IFERROR(__xludf.DUMMYFUNCTION("GOOGLETRANSLATE(B8064,""id"",""en"")"),"['signal', 'strong', 'easy', 'use', '']")</f>
        <v>['signal', 'strong', 'easy', 'use', '']</v>
      </c>
      <c r="D8064" s="3">
        <v>5.0</v>
      </c>
    </row>
    <row r="8065" ht="15.75" customHeight="1">
      <c r="A8065" s="1">
        <v>8605.0</v>
      </c>
      <c r="B8065" s="3" t="s">
        <v>7749</v>
      </c>
      <c r="C8065" s="3" t="str">
        <f>IFERROR(__xludf.DUMMYFUNCTION("GOOGLETRANSLATE(B8065,""id"",""en"")"),"['WhatsApp']")</f>
        <v>['WhatsApp']</v>
      </c>
      <c r="D8065" s="3">
        <v>1.0</v>
      </c>
    </row>
    <row r="8066" ht="15.75" customHeight="1">
      <c r="A8066" s="1">
        <v>8606.0</v>
      </c>
      <c r="B8066" s="3" t="s">
        <v>7750</v>
      </c>
      <c r="C8066" s="3" t="str">
        <f>IFERROR(__xludf.DUMMYFUNCTION("GOOGLETRANSLATE(B8066,""id"",""en"")"),"['', 'Telkomsel', 'opened', 'causes', 'screen', 'white', 'already', 'uninstall', 'install', 'gabisa', 'please', 'telkomsel']")</f>
        <v>['', 'Telkomsel', 'opened', 'causes', 'screen', 'white', 'already', 'uninstall', 'install', 'gabisa', 'please', 'telkomsel']</v>
      </c>
      <c r="D8066" s="3">
        <v>1.0</v>
      </c>
    </row>
    <row r="8067" ht="15.75" customHeight="1">
      <c r="A8067" s="1">
        <v>8607.0</v>
      </c>
      <c r="B8067" s="3" t="s">
        <v>7751</v>
      </c>
      <c r="C8067" s="3" t="str">
        <f>IFERROR(__xludf.DUMMYFUNCTION("GOOGLETRANSLATE(B8067,""id"",""en"")"),"['buy', 'package', 'internet', 'self-help', 'gojek', 'use', 'package', 'knp', 'reduced', 'half', 'ntu', 'packetan', ' buy ',' package ',' knp ',' appears', 'telkomsel', 'cmn', 'the rest', 'kmn', 'sgt', 'kcwa']")</f>
        <v>['buy', 'package', 'internet', 'self-help', 'gojek', 'use', 'package', 'knp', 'reduced', 'half', 'ntu', 'packetan', ' buy ',' package ',' knp ',' appears', 'telkomsel', 'cmn', 'the rest', 'kmn', 'sgt', 'kcwa']</v>
      </c>
      <c r="D8067" s="3">
        <v>1.0</v>
      </c>
    </row>
    <row r="8068" ht="15.75" customHeight="1">
      <c r="A8068" s="1">
        <v>8608.0</v>
      </c>
      <c r="B8068" s="3" t="s">
        <v>7752</v>
      </c>
      <c r="C8068" s="3" t="str">
        <f>IFERROR(__xludf.DUMMYFUNCTION("GOOGLETRANSLATE(B8068,""id"",""en"")"),"['halah', 'slow', 'bngt', 'internet']")</f>
        <v>['halah', 'slow', 'bngt', 'internet']</v>
      </c>
      <c r="D8068" s="3">
        <v>1.0</v>
      </c>
    </row>
    <row r="8069" ht="15.75" customHeight="1">
      <c r="A8069" s="1">
        <v>8609.0</v>
      </c>
      <c r="B8069" s="3" t="s">
        <v>7753</v>
      </c>
      <c r="C8069" s="3" t="str">
        <f>IFERROR(__xludf.DUMMYFUNCTION("GOOGLETRANSLATE(B8069,""id"",""en"")"),"['Easy', 'Belik', 'faket']")</f>
        <v>['Easy', 'Belik', 'faket']</v>
      </c>
      <c r="D8069" s="3">
        <v>5.0</v>
      </c>
    </row>
    <row r="8070" ht="15.75" customHeight="1">
      <c r="A8070" s="1">
        <v>8610.0</v>
      </c>
      <c r="B8070" s="3" t="s">
        <v>7754</v>
      </c>
      <c r="C8070" s="3" t="str">
        <f>IFERROR(__xludf.DUMMYFUNCTION("GOOGLETRANSLATE(B8070,""id"",""en"")"),"['Price', 'Package', 'Combo', 'Sakti', 'Nyaa', 'Expensive', '']")</f>
        <v>['Price', 'Package', 'Combo', 'Sakti', 'Nyaa', 'Expensive', '']</v>
      </c>
      <c r="D8070" s="3">
        <v>2.0</v>
      </c>
    </row>
    <row r="8071" ht="15.75" customHeight="1">
      <c r="A8071" s="1">
        <v>8611.0</v>
      </c>
      <c r="B8071" s="3" t="s">
        <v>7755</v>
      </c>
      <c r="C8071" s="3" t="str">
        <f>IFERROR(__xludf.DUMMYFUNCTION("GOOGLETRANSLATE(B8071,""id"",""en"")"),"['GMN', 'already', 'alternating', 'complaints',' pangs', 'Telkomsel', 'application', 'error', 'finished', 'fix', 'mah', 'quota', ' Abis', 'Mending', 'Change', 'Provider', 'Price', 'Buy', 'Manual', 'Application', 'Version', 'APK', 'CMA', 'Manual', 'oath' ,"&amp;" 'Disappointed']")</f>
        <v>['GMN', 'already', 'alternating', 'complaints',' pangs', 'Telkomsel', 'application', 'error', 'finished', 'fix', 'mah', 'quota', ' Abis', 'Mending', 'Change', 'Provider', 'Price', 'Buy', 'Manual', 'Application', 'Version', 'APK', 'CMA', 'Manual', 'oath' , 'Disappointed']</v>
      </c>
      <c r="D8071" s="3">
        <v>1.0</v>
      </c>
    </row>
    <row r="8072" ht="15.75" customHeight="1">
      <c r="A8072" s="1">
        <v>8612.0</v>
      </c>
      <c r="B8072" s="3" t="s">
        <v>7756</v>
      </c>
      <c r="C8072" s="3" t="str">
        <f>IFERROR(__xludf.DUMMYFUNCTION("GOOGLETRANSLATE(B8072,""id"",""en"")"),"['Application', 'Telkomsel', 'Bad', 'Service', 'Increase', 'My Boss',' Ngirimi ',' SMS ',' Promo ',' Your Application ',' Ngebug ',' Update ',' Udh ',' Open ',' ']")</f>
        <v>['Application', 'Telkomsel', 'Bad', 'Service', 'Increase', 'My Boss',' Ngirimi ',' SMS ',' Promo ',' Your Application ',' Ngebug ',' Update ',' Udh ',' Open ',' ']</v>
      </c>
      <c r="D8072" s="3">
        <v>1.0</v>
      </c>
    </row>
    <row r="8073" ht="15.75" customHeight="1">
      <c r="A8073" s="1">
        <v>8613.0</v>
      </c>
      <c r="B8073" s="3" t="s">
        <v>7757</v>
      </c>
      <c r="C8073" s="3" t="str">
        <f>IFERROR(__xludf.DUMMYFUNCTION("GOOGLETRANSLATE(B8073,""id"",""en"")"),"['signal', 'difficult', 'price', 'expensive', 'kaga', 'tasty', 'tomorrow', 'change', 'card', 'satisfying']")</f>
        <v>['signal', 'difficult', 'price', 'expensive', 'kaga', 'tasty', 'tomorrow', 'change', 'card', 'satisfying']</v>
      </c>
      <c r="D8073" s="3">
        <v>1.0</v>
      </c>
    </row>
    <row r="8074" ht="15.75" customHeight="1">
      <c r="A8074" s="1">
        <v>8614.0</v>
      </c>
      <c r="B8074" s="3" t="s">
        <v>520</v>
      </c>
      <c r="C8074" s="3" t="str">
        <f>IFERROR(__xludf.DUMMYFUNCTION("GOOGLETRANSLATE(B8074,""id"",""en"")"),"['Satisfied', 'Telkomsel']")</f>
        <v>['Satisfied', 'Telkomsel']</v>
      </c>
      <c r="D8074" s="3">
        <v>5.0</v>
      </c>
    </row>
    <row r="8075" ht="15.75" customHeight="1">
      <c r="A8075" s="1">
        <v>8615.0</v>
      </c>
      <c r="B8075" s="3" t="s">
        <v>7758</v>
      </c>
      <c r="C8075" s="3" t="str">
        <f>IFERROR(__xludf.DUMMYFUNCTION("GOOGLETRANSLATE(B8075,""id"",""en"")"),"['UDH', 'Sunday', 'Blank', 'Show', 'Telkomsel', 'Severe', 'Abis', ""]")</f>
        <v>['UDH', 'Sunday', 'Blank', 'Show', 'Telkomsel', 'Severe', 'Abis', "]</v>
      </c>
      <c r="D8075" s="3">
        <v>1.0</v>
      </c>
    </row>
    <row r="8076" ht="15.75" customHeight="1">
      <c r="A8076" s="1">
        <v>8616.0</v>
      </c>
      <c r="B8076" s="3" t="s">
        <v>7759</v>
      </c>
      <c r="C8076" s="3" t="str">
        <f>IFERROR(__xludf.DUMMYFUNCTION("GOOGLETRANSLATE(B8076,""id"",""en"")"),"['Update', 'Open', 'Screen', 'White', 'Samsung', ""]")</f>
        <v>['Update', 'Open', 'Screen', 'White', 'Samsung', "]</v>
      </c>
      <c r="D8076" s="3">
        <v>1.0</v>
      </c>
    </row>
    <row r="8077" ht="15.75" customHeight="1">
      <c r="A8077" s="1">
        <v>8617.0</v>
      </c>
      <c r="B8077" s="3" t="s">
        <v>7760</v>
      </c>
      <c r="C8077" s="3" t="str">
        <f>IFERROR(__xludf.DUMMYFUNCTION("GOOGLETRANSLATE(B8077,""id"",""en"")"),"['Disappointed', 'KNPA', 'Skarang', 'Telkomsel', 'Open', 'Access']")</f>
        <v>['Disappointed', 'KNPA', 'Skarang', 'Telkomsel', 'Open', 'Access']</v>
      </c>
      <c r="D8077" s="3">
        <v>1.0</v>
      </c>
    </row>
    <row r="8078" ht="15.75" customHeight="1">
      <c r="A8078" s="1">
        <v>8618.0</v>
      </c>
      <c r="B8078" s="3" t="s">
        <v>7761</v>
      </c>
      <c r="C8078" s="3" t="str">
        <f>IFERROR(__xludf.DUMMYFUNCTION("GOOGLETRANSLATE(B8078,""id"",""en"")"),"['Min', 'please', 'fix', 'Telkomsel', 'because', 'right', 'open', 'the application', 'blank', 'white', 'difficult', 'Please', ' Developer ',' Fix ',' blank ',' white ',' easy ',' leftover ',' quota ', ""]")</f>
        <v>['Min', 'please', 'fix', 'Telkomsel', 'because', 'right', 'open', 'the application', 'blank', 'white', 'difficult', 'Please', ' Developer ',' Fix ',' blank ',' white ',' easy ',' leftover ',' quota ', "]</v>
      </c>
      <c r="D8078" s="3">
        <v>1.0</v>
      </c>
    </row>
    <row r="8079" ht="15.75" customHeight="1">
      <c r="A8079" s="1">
        <v>8619.0</v>
      </c>
      <c r="B8079" s="3" t="s">
        <v>7762</v>
      </c>
      <c r="C8079" s="3" t="str">
        <f>IFERROR(__xludf.DUMMYFUNCTION("GOOGLETRANSLATE(B8079,""id"",""en"")"),"['Kyapa', 'tape', 'Telkomsel', 'screen', 'white', 'code', 'good', 'kwa', 'suru', 'update', 'mar', 'screen', ' white ',' wisi ',' try ',' kase ',' good ',' pay ',' expensive ',' ngoni ',' data ',' kong ',' error ',' skali ']")</f>
        <v>['Kyapa', 'tape', 'Telkomsel', 'screen', 'white', 'code', 'good', 'kwa', 'suru', 'update', 'mar', 'screen', ' white ',' wisi ',' try ',' kase ',' good ',' pay ',' expensive ',' ngoni ',' data ',' kong ',' error ',' skali ']</v>
      </c>
      <c r="D8079" s="3">
        <v>1.0</v>
      </c>
    </row>
    <row r="8080" ht="15.75" customHeight="1">
      <c r="A8080" s="1">
        <v>8620.0</v>
      </c>
      <c r="B8080" s="3" t="s">
        <v>7763</v>
      </c>
      <c r="C8080" s="3" t="str">
        <f>IFERROR(__xludf.DUMMYFUNCTION("GOOGLETRANSLATE(B8080,""id"",""en"")"),"['price', 'package', 'expensive', 'unlimited', 'division', 'quota', 'main', 'multimedia', 'quota', 'main', 'finished', 'sucked', ' Credit ',' quota ',' multimedia ',' media ',' social ',' buy ',' package ',' quota ',' multimedia ',' automatic ',' piled ',"&amp;"' beg ',' repaired ' , 'subscription', 'Telkomsel', 'please', 'disappointing', 'service', 'thank', 'love']")</f>
        <v>['price', 'package', 'expensive', 'unlimited', 'division', 'quota', 'main', 'multimedia', 'quota', 'main', 'finished', 'sucked', ' Credit ',' quota ',' multimedia ',' media ',' social ',' buy ',' package ',' quota ',' multimedia ',' automatic ',' piled ',' beg ',' repaired ' , 'subscription', 'Telkomsel', 'please', 'disappointing', 'service', 'thank', 'love']</v>
      </c>
      <c r="D8080" s="3">
        <v>1.0</v>
      </c>
    </row>
    <row r="8081" ht="15.75" customHeight="1">
      <c r="A8081" s="1">
        <v>8621.0</v>
      </c>
      <c r="B8081" s="3" t="s">
        <v>7764</v>
      </c>
      <c r="C8081" s="3" t="str">
        <f>IFERROR(__xludf.DUMMYFUNCTION("GOOGLETRANSLATE(B8081,""id"",""en"")"),"['Not bad', 'purchase', 'Package', 'Telkomsel', 'expensive', 'Bisabanyakin', 'Peomo', 'interesting', 'user', 'card', 'Telkomsell']")</f>
        <v>['Not bad', 'purchase', 'Package', 'Telkomsel', 'expensive', 'Bisabanyakin', 'Peomo', 'interesting', 'user', 'card', 'Telkomsell']</v>
      </c>
      <c r="D8081" s="3">
        <v>3.0</v>
      </c>
    </row>
    <row r="8082" ht="15.75" customHeight="1">
      <c r="A8082" s="1">
        <v>8622.0</v>
      </c>
      <c r="B8082" s="3" t="s">
        <v>7765</v>
      </c>
      <c r="C8082" s="3" t="str">
        <f>IFERROR(__xludf.DUMMYFUNCTION("GOOGLETRANSLATE(B8082,""id"",""en"")"),"['trx', 'super', 'light', 'good', 'job']")</f>
        <v>['trx', 'super', 'light', 'good', 'job']</v>
      </c>
      <c r="D8082" s="3">
        <v>5.0</v>
      </c>
    </row>
    <row r="8083" ht="15.75" customHeight="1">
      <c r="A8083" s="1">
        <v>8623.0</v>
      </c>
      <c r="B8083" s="3" t="s">
        <v>7766</v>
      </c>
      <c r="C8083" s="3" t="str">
        <f>IFERROR(__xludf.DUMMYFUNCTION("GOOGLETRANSLATE(B8083,""id"",""en"")"),"['Yeah', 'Telkomsel', 'regret', 'Update', 'APK', 'DPT', 'White', 'Screen', 'opened', 'PDHL', 'SBLM', 'Updated', ' safe ',' smooth ',' because ',' bother ',' open ',' notif ',' update ',' yaudah ',' thinking ',' good ',' times', 'amsyong', 'regret' , 'chec"&amp;"k', 'pulse', 'quota', 'manual', 'sms',' entry ',' already ',' time ',' install ',' uninstall ',' white ',' screen ',' tired ',' please ',' repaired ',' version ',' already ',' good ', ""]")</f>
        <v>['Yeah', 'Telkomsel', 'regret', 'Update', 'APK', 'DPT', 'White', 'Screen', 'opened', 'PDHL', 'SBLM', 'Updated', ' safe ',' smooth ',' because ',' bother ',' open ',' notif ',' update ',' yaudah ',' thinking ',' good ',' times', 'amsyong', 'regret' , 'check', 'pulse', 'quota', 'manual', 'sms',' entry ',' already ',' time ',' install ',' uninstall ',' white ',' screen ',' tired ',' please ',' repaired ',' version ',' already ',' good ', "]</v>
      </c>
      <c r="D8083" s="3">
        <v>1.0</v>
      </c>
    </row>
    <row r="8084" ht="15.75" customHeight="1">
      <c r="A8084" s="1">
        <v>8624.0</v>
      </c>
      <c r="B8084" s="3" t="s">
        <v>7767</v>
      </c>
      <c r="C8084" s="3" t="str">
        <f>IFERROR(__xludf.DUMMYFUNCTION("GOOGLETRANSLATE(B8084,""id"",""en"")"),"['quota', 'expensive', 'network', 'pulp', 'stuck', 'blank', 'white', 'mlu', 'bnerin', 'try', 'gaje']")</f>
        <v>['quota', 'expensive', 'network', 'pulp', 'stuck', 'blank', 'white', 'mlu', 'bnerin', 'try', 'gaje']</v>
      </c>
      <c r="D8084" s="3">
        <v>1.0</v>
      </c>
    </row>
    <row r="8085" ht="15.75" customHeight="1">
      <c r="A8085" s="1">
        <v>8625.0</v>
      </c>
      <c r="B8085" s="3" t="s">
        <v>7768</v>
      </c>
      <c r="C8085" s="3" t="str">
        <f>IFERROR(__xludf.DUMMYFUNCTION("GOOGLETRANSLATE(B8085,""id"",""en"")"),"['Love', 'Bintang', 'Permasa', 'then']")</f>
        <v>['Love', 'Bintang', 'Permasa', 'then']</v>
      </c>
      <c r="D8085" s="3">
        <v>3.0</v>
      </c>
    </row>
    <row r="8086" ht="15.75" customHeight="1">
      <c r="A8086" s="1">
        <v>8626.0</v>
      </c>
      <c r="B8086" s="3" t="s">
        <v>7769</v>
      </c>
      <c r="C8086" s="3" t="str">
        <f>IFERROR(__xludf.DUMMYFUNCTION("GOOGLETRANSLATE(B8086,""id"",""en"")"),"['smarfren', 'GB', 'Telkomsel', 'rival', 'price', 'biggest', 'Indonesia', ""]")</f>
        <v>['smarfren', 'GB', 'Telkomsel', 'rival', 'price', 'biggest', 'Indonesia', "]</v>
      </c>
      <c r="D8086" s="3">
        <v>1.0</v>
      </c>
    </row>
    <row r="8087" ht="15.75" customHeight="1">
      <c r="A8087" s="1">
        <v>8627.0</v>
      </c>
      <c r="B8087" s="3" t="s">
        <v>7770</v>
      </c>
      <c r="C8087" s="3" t="str">
        <f>IFERROR(__xludf.DUMMYFUNCTION("GOOGLETRANSLATE(B8087,""id"",""en"")"),"['network', 'stable', 'area', 'urban', 'price', 'package', 'down', 'service', 'that's', 'that's', 'improvement']")</f>
        <v>['network', 'stable', 'area', 'urban', 'price', 'package', 'down', 'service', 'that's', 'that's', 'improvement']</v>
      </c>
      <c r="D8087" s="3">
        <v>1.0</v>
      </c>
    </row>
    <row r="8088" ht="15.75" customHeight="1">
      <c r="A8088" s="1">
        <v>8628.0</v>
      </c>
      <c r="B8088" s="3" t="s">
        <v>7771</v>
      </c>
      <c r="C8088" s="3" t="str">
        <f>IFERROR(__xludf.DUMMYFUNCTION("GOOGLETRANSLATE(B8088,""id"",""en"")"),"['Woy', 'dick', 'Benerin', 'Sinya', 'Gara', 'Gara', 'Cave', 'Lose', 'Treak', 'banned', 'Tok', 'Regane', ' elek ',' signal ']")</f>
        <v>['Woy', 'dick', 'Benerin', 'Sinya', 'Gara', 'Gara', 'Cave', 'Lose', 'Treak', 'banned', 'Tok', 'Regane', ' elek ',' signal ']</v>
      </c>
      <c r="D8088" s="3">
        <v>1.0</v>
      </c>
    </row>
    <row r="8089" ht="15.75" customHeight="1">
      <c r="A8089" s="1">
        <v>8629.0</v>
      </c>
      <c r="B8089" s="3" t="s">
        <v>7772</v>
      </c>
      <c r="C8089" s="3" t="str">
        <f>IFERROR(__xludf.DUMMYFUNCTION("GOOGLETRANSLATE(B8089,""id"",""en"")"),"['High School', 'Application', 'Telkomsel', 'Opened']")</f>
        <v>['High School', 'Application', 'Telkomsel', 'Opened']</v>
      </c>
      <c r="D8089" s="3">
        <v>1.0</v>
      </c>
    </row>
    <row r="8090" ht="15.75" customHeight="1">
      <c r="A8090" s="1">
        <v>8630.0</v>
      </c>
      <c r="B8090" s="3" t="s">
        <v>7773</v>
      </c>
      <c r="C8090" s="3" t="str">
        <f>IFERROR(__xludf.DUMMYFUNCTION("GOOGLETRANSLATE(B8090,""id"",""en"")"),"['', 'Telkomsel', 'maslah', 'opened', 'buy', 'pket', 'trashhhhhhhhhhhhhhhhhhhhhhhhhhhhhhhhhhhhhhhhhhhhhhhhhhhhhhhhhhhhhhhhhhhhhhhhhh")</f>
        <v>['', 'Telkomsel', 'maslah', 'opened', 'buy', 'pket', 'trashhhhhhhhhhhhhhhhhhhhhhhhhhhhhhhhhhhhhhhhhhhhhhhhhhhhhhhhhhhhhhhhhhhhhhhhhh</v>
      </c>
      <c r="D8090" s="3">
        <v>1.0</v>
      </c>
    </row>
    <row r="8091" ht="15.75" customHeight="1">
      <c r="A8091" s="1">
        <v>8631.0</v>
      </c>
      <c r="B8091" s="3" t="s">
        <v>7774</v>
      </c>
      <c r="C8091" s="3" t="str">
        <f>IFERROR(__xludf.DUMMYFUNCTION("GOOGLETRANSLATE(B8091,""id"",""en"")"),"['Application', 'Telkomsel', 'Open', 'Dnnn', 'Android', 'Yng', 'Android', 'Open', 'Screen', 'White', 'Yng', 'Nongol', ' ']")</f>
        <v>['Application', 'Telkomsel', 'Open', 'Dnnn', 'Android', 'Yng', 'Android', 'Open', 'Screen', 'White', 'Yng', 'Nongol', ' ']</v>
      </c>
      <c r="D8091" s="3">
        <v>2.0</v>
      </c>
    </row>
    <row r="8092" ht="15.75" customHeight="1">
      <c r="A8092" s="1">
        <v>8632.0</v>
      </c>
      <c r="B8092" s="3" t="s">
        <v>7775</v>
      </c>
      <c r="C8092" s="3" t="str">
        <f>IFERROR(__xludf.DUMMYFUNCTION("GOOGLETRANSLATE(B8092,""id"",""en"")"),"['Paketan', 'Daily']")</f>
        <v>['Paketan', 'Daily']</v>
      </c>
      <c r="D8092" s="3">
        <v>1.0</v>
      </c>
    </row>
    <row r="8093" ht="15.75" customHeight="1">
      <c r="A8093" s="1">
        <v>8633.0</v>
      </c>
      <c r="B8093" s="3" t="s">
        <v>7776</v>
      </c>
      <c r="C8093" s="3" t="str">
        <f>IFERROR(__xludf.DUMMYFUNCTION("GOOGLETRANSLATE(B8093,""id"",""en"")"),"['Update', 'Application', 'Enter', 'Error', 'Telkomsel']")</f>
        <v>['Update', 'Application', 'Enter', 'Error', 'Telkomsel']</v>
      </c>
      <c r="D8093" s="3">
        <v>2.0</v>
      </c>
    </row>
    <row r="8094" ht="15.75" customHeight="1">
      <c r="A8094" s="1">
        <v>8634.0</v>
      </c>
      <c r="B8094" s="3" t="s">
        <v>7777</v>
      </c>
      <c r="C8094" s="3" t="str">
        <f>IFERROR(__xludf.DUMMYFUNCTION("GOOGLETRANSLATE(B8094,""id"",""en"")"),"['My APK', 'Open', 'already', 'Tanggl', 'Open', 'December']")</f>
        <v>['My APK', 'Open', 'already', 'Tanggl', 'Open', 'December']</v>
      </c>
      <c r="D8094" s="3">
        <v>1.0</v>
      </c>
    </row>
    <row r="8095" ht="15.75" customHeight="1">
      <c r="A8095" s="1">
        <v>8635.0</v>
      </c>
      <c r="B8095" s="3" t="s">
        <v>7778</v>
      </c>
      <c r="C8095" s="3" t="str">
        <f>IFERROR(__xludf.DUMMYFUNCTION("GOOGLETRANSLATE(B8095,""id"",""en"")"),"['Forward', 'then', 'Telkomsel']")</f>
        <v>['Forward', 'then', 'Telkomsel']</v>
      </c>
      <c r="D8095" s="3">
        <v>5.0</v>
      </c>
    </row>
    <row r="8096" ht="15.75" customHeight="1">
      <c r="A8096" s="1">
        <v>8636.0</v>
      </c>
      <c r="B8096" s="3" t="s">
        <v>1096</v>
      </c>
      <c r="C8096" s="3" t="str">
        <f>IFERROR(__xludf.DUMMYFUNCTION("GOOGLETRANSLATE(B8096,""id"",""en"")"),"['Application', 'good', 'help']")</f>
        <v>['Application', 'good', 'help']</v>
      </c>
      <c r="D8096" s="3">
        <v>5.0</v>
      </c>
    </row>
    <row r="8097" ht="15.75" customHeight="1">
      <c r="A8097" s="1">
        <v>8637.0</v>
      </c>
      <c r="B8097" s="3" t="s">
        <v>7779</v>
      </c>
      <c r="C8097" s="3" t="str">
        <f>IFERROR(__xludf.DUMMYFUNCTION("GOOGLETRANSLATE(B8097,""id"",""en"")"),"['Please', 'level', 'UDH', 'Sush', 'really', 'ngeknya', 'mytelkomsel', 'gmna', 'nich', 'until', 'kapn', 'sush', ' Bnget ',' NOT ',' ']")</f>
        <v>['Please', 'level', 'UDH', 'Sush', 'really', 'ngeknya', 'mytelkomsel', 'gmna', 'nich', 'until', 'kapn', 'sush', ' Bnget ',' NOT ',' ']</v>
      </c>
      <c r="D8097" s="3">
        <v>5.0</v>
      </c>
    </row>
    <row r="8098" ht="15.75" customHeight="1">
      <c r="A8098" s="1">
        <v>8638.0</v>
      </c>
      <c r="B8098" s="3" t="s">
        <v>7780</v>
      </c>
      <c r="C8098" s="3" t="str">
        <f>IFERROR(__xludf.DUMMYFUNCTION("GOOGLETRANSLATE(B8098,""id"",""en"")"),"['entry', 'application', 'difficult', 'gmana', 'transaction', ""]")</f>
        <v>['entry', 'application', 'difficult', 'gmana', 'transaction', "]</v>
      </c>
      <c r="D8098" s="3">
        <v>1.0</v>
      </c>
    </row>
    <row r="8099" ht="15.75" customHeight="1">
      <c r="A8099" s="1">
        <v>8639.0</v>
      </c>
      <c r="B8099" s="3" t="s">
        <v>7781</v>
      </c>
      <c r="C8099" s="3" t="str">
        <f>IFERROR(__xludf.DUMMYFUNCTION("GOOGLETRANSLATE(B8099,""id"",""en"")"),"['contactin', 'via', 'email', 'answer', 'difficult', 'via', 'telephone']")</f>
        <v>['contactin', 'via', 'email', 'answer', 'difficult', 'via', 'telephone']</v>
      </c>
      <c r="D8099" s="3">
        <v>1.0</v>
      </c>
    </row>
    <row r="8100" ht="15.75" customHeight="1">
      <c r="A8100" s="1">
        <v>8640.0</v>
      </c>
      <c r="B8100" s="3" t="s">
        <v>7782</v>
      </c>
      <c r="C8100" s="3" t="str">
        <f>IFERROR(__xludf.DUMMYFUNCTION("GOOGLETRANSLATE(B8100,""id"",""en"")"),"['Kluar', 'Telkomsel', 'Donuts', 'Please', 'Open', 'kmbali', ""]")</f>
        <v>['Kluar', 'Telkomsel', 'Donuts', 'Please', 'Open', 'kmbali', "]</v>
      </c>
      <c r="D8100" s="3">
        <v>5.0</v>
      </c>
    </row>
    <row r="8101" ht="15.75" customHeight="1">
      <c r="A8101" s="1">
        <v>8641.0</v>
      </c>
      <c r="B8101" s="3" t="s">
        <v>7783</v>
      </c>
      <c r="C8101" s="3" t="str">
        <f>IFERROR(__xludf.DUMMYFUNCTION("GOOGLETRANSLATE(B8101,""id"",""en"")"),"['satisfying', 'customer']")</f>
        <v>['satisfying', 'customer']</v>
      </c>
      <c r="D8101" s="3">
        <v>5.0</v>
      </c>
    </row>
    <row r="8102" ht="15.75" customHeight="1">
      <c r="A8102" s="1">
        <v>8642.0</v>
      </c>
      <c r="B8102" s="3" t="s">
        <v>7784</v>
      </c>
      <c r="C8102" s="3" t="str">
        <f>IFERROR(__xludf.DUMMYFUNCTION("GOOGLETRANSLATE(B8102,""id"",""en"")"),"['Telkomsel', 'Open', 'Yesterday', 'Disappointed']")</f>
        <v>['Telkomsel', 'Open', 'Yesterday', 'Disappointed']</v>
      </c>
      <c r="D8102" s="3">
        <v>2.0</v>
      </c>
    </row>
    <row r="8103" ht="15.75" customHeight="1">
      <c r="A8103" s="1">
        <v>8643.0</v>
      </c>
      <c r="B8103" s="3" t="s">
        <v>7785</v>
      </c>
      <c r="C8103" s="3" t="str">
        <f>IFERROR(__xludf.DUMMYFUNCTION("GOOGLETRANSLATE(B8103,""id"",""en"")"),"['application', 'steady', 'versatile', 'practical', 'login', 'number', 'redmi', 'try', 'brand', 'login', 'number', 'efficient']")</f>
        <v>['application', 'steady', 'versatile', 'practical', 'login', 'number', 'redmi', 'try', 'brand', 'login', 'number', 'efficient']</v>
      </c>
      <c r="D8103" s="3">
        <v>5.0</v>
      </c>
    </row>
    <row r="8104" ht="15.75" customHeight="1">
      <c r="A8104" s="1">
        <v>8644.0</v>
      </c>
      <c r="B8104" s="3" t="s">
        <v>7786</v>
      </c>
      <c r="C8104" s="3" t="str">
        <f>IFERROR(__xludf.DUMMYFUNCTION("GOOGLETRANSLATE(B8104,""id"",""en"")"),"['Severe', 'opened', 'right', 'opened', 'screen', 'color', 'white', 'mulu']")</f>
        <v>['Severe', 'opened', 'right', 'opened', 'screen', 'color', 'white', 'mulu']</v>
      </c>
      <c r="D8104" s="3">
        <v>1.0</v>
      </c>
    </row>
    <row r="8105" ht="15.75" customHeight="1">
      <c r="A8105" s="1">
        <v>8645.0</v>
      </c>
      <c r="B8105" s="3" t="s">
        <v>7787</v>
      </c>
      <c r="C8105" s="3" t="str">
        <f>IFERROR(__xludf.DUMMYFUNCTION("GOOGLETRANSLATE(B8105,""id"",""en"")"),"['Disappointed', 'SMA', 'Mytekomsel', 'brpa', 'screen', 'white', 'uninstall', 'brpa', 'times', 'bgtu']")</f>
        <v>['Disappointed', 'SMA', 'Mytekomsel', 'brpa', 'screen', 'white', 'uninstall', 'brpa', 'times', 'bgtu']</v>
      </c>
      <c r="D8105" s="3">
        <v>1.0</v>
      </c>
    </row>
    <row r="8106" ht="15.75" customHeight="1">
      <c r="A8106" s="1">
        <v>8646.0</v>
      </c>
      <c r="B8106" s="3" t="s">
        <v>7788</v>
      </c>
      <c r="C8106" s="3" t="str">
        <f>IFERROR(__xludf.DUMMYFUNCTION("GOOGLETRANSLATE(B8106,""id"",""en"")"),"['buy', 'quota', 'number', 'expensive', 'price', 'quota', 'cheap', 'rare', 'filled', 'quota', 'busy', 'promo', ' Kasi ',' promo ',' quota ',' dare ',' kasi ',' kasi ',' napa ',' loss', 'poor', ""]")</f>
        <v>['buy', 'quota', 'number', 'expensive', 'price', 'quota', 'cheap', 'rare', 'filled', 'quota', 'busy', 'promo', ' Kasi ',' promo ',' quota ',' dare ',' kasi ',' kasi ',' napa ',' loss', 'poor', "]</v>
      </c>
      <c r="D8106" s="3">
        <v>1.0</v>
      </c>
    </row>
    <row r="8107" ht="15.75" customHeight="1">
      <c r="A8107" s="1">
        <v>8647.0</v>
      </c>
      <c r="B8107" s="3" t="s">
        <v>7789</v>
      </c>
      <c r="C8107" s="3" t="str">
        <f>IFERROR(__xludf.DUMMYFUNCTION("GOOGLETRANSLATE(B8107,""id"",""en"")"),"['Main', 'GIM', 'Disemetfrem', 'Asik', 'Prizes']")</f>
        <v>['Main', 'GIM', 'Disemetfrem', 'Asik', 'Prizes']</v>
      </c>
      <c r="D8107" s="3">
        <v>3.0</v>
      </c>
    </row>
    <row r="8108" ht="15.75" customHeight="1">
      <c r="A8108" s="1">
        <v>8648.0</v>
      </c>
      <c r="B8108" s="3" t="s">
        <v>4532</v>
      </c>
      <c r="C8108" s="3" t="str">
        <f>IFERROR(__xludf.DUMMYFUNCTION("GOOGLETRANSLATE(B8108,""id"",""en"")"),"['suitable']")</f>
        <v>['suitable']</v>
      </c>
      <c r="D8108" s="3">
        <v>5.0</v>
      </c>
    </row>
    <row r="8109" ht="15.75" customHeight="1">
      <c r="A8109" s="1">
        <v>8649.0</v>
      </c>
      <c r="B8109" s="3" t="s">
        <v>7790</v>
      </c>
      <c r="C8109" s="3" t="str">
        <f>IFERROR(__xludf.DUMMYFUNCTION("GOOGLETRANSLATE(B8109,""id"",""en"")"),"['', 'Reach', 'Place', 'DIMN', 'Network', 'reach']]")</f>
        <v>['', 'Reach', 'Place', 'DIMN', 'Network', 'reach']]</v>
      </c>
      <c r="D8109" s="3">
        <v>5.0</v>
      </c>
    </row>
    <row r="8110" ht="15.75" customHeight="1">
      <c r="A8110" s="1">
        <v>8650.0</v>
      </c>
      <c r="B8110" s="3" t="s">
        <v>7791</v>
      </c>
      <c r="C8110" s="3" t="str">
        <f>IFERROR(__xludf.DUMMYFUNCTION("GOOGLETRANSLATE(B8110,""id"",""en"")"),"['opened', 'My APK', 'screen', 'white', 'doang', 'die', 'already', 'install', 'many', 'times',' kek ',' that's', ' Please, 'buy', 'quota']")</f>
        <v>['opened', 'My APK', 'screen', 'white', 'doang', 'die', 'already', 'install', 'many', 'times',' kek ',' that's', ' Please, 'buy', 'quota']</v>
      </c>
      <c r="D8110" s="3">
        <v>1.0</v>
      </c>
    </row>
    <row r="8111" ht="15.75" customHeight="1">
      <c r="A8111" s="1">
        <v>8651.0</v>
      </c>
      <c r="B8111" s="3" t="s">
        <v>7792</v>
      </c>
      <c r="C8111" s="3" t="str">
        <f>IFERROR(__xludf.DUMMYFUNCTION("GOOGLETRANSLATE(B8111,""id"",""en"")"),"['Enter', 'appears', 'session', 'run out', ""]")</f>
        <v>['Enter', 'appears', 'session', 'run out', "]</v>
      </c>
      <c r="D8111" s="3">
        <v>1.0</v>
      </c>
    </row>
    <row r="8112" ht="15.75" customHeight="1">
      <c r="A8112" s="1">
        <v>8652.0</v>
      </c>
      <c r="B8112" s="3" t="s">
        <v>7793</v>
      </c>
      <c r="C8112" s="3" t="str">
        <f>IFERROR(__xludf.DUMMYFUNCTION("GOOGLETRANSLATE(B8112,""id"",""en"")"),"['knp', 'package', 'expensive', 'signal', 'signal', 'bar', 'full', '']")</f>
        <v>['knp', 'package', 'expensive', 'signal', 'signal', 'bar', 'full', '']</v>
      </c>
      <c r="D8112" s="3">
        <v>1.0</v>
      </c>
    </row>
    <row r="8113" ht="15.75" customHeight="1">
      <c r="A8113" s="1">
        <v>8653.0</v>
      </c>
      <c r="B8113" s="3" t="s">
        <v>7794</v>
      </c>
      <c r="C8113" s="3" t="str">
        <f>IFERROR(__xludf.DUMMYFUNCTION("GOOGLETRANSLATE(B8113,""id"",""en"")"),"['', 'difficult', 'open', 'install', 'reset', 'no', ""]")</f>
        <v>['', 'difficult', 'open', 'install', 'reset', 'no', "]</v>
      </c>
      <c r="D8113" s="3">
        <v>1.0</v>
      </c>
    </row>
    <row r="8114" ht="15.75" customHeight="1">
      <c r="A8114" s="1">
        <v>8655.0</v>
      </c>
      <c r="B8114" s="3" t="s">
        <v>7795</v>
      </c>
      <c r="C8114" s="3" t="str">
        <f>IFERROR(__xludf.DUMMYFUNCTION("GOOGLETRANSLATE(B8114,""id"",""en"")"),"['Severe', 'Abis', 'update', 'go', 'garbage', 'oath', ""]")</f>
        <v>['Severe', 'Abis', 'update', 'go', 'garbage', 'oath', "]</v>
      </c>
      <c r="D8114" s="3">
        <v>1.0</v>
      </c>
    </row>
    <row r="8115" ht="15.75" customHeight="1">
      <c r="A8115" s="1">
        <v>8656.0</v>
      </c>
      <c r="B8115" s="3" t="s">
        <v>7796</v>
      </c>
      <c r="C8115" s="3" t="str">
        <f>IFERROR(__xludf.DUMMYFUNCTION("GOOGLETRANSLATE(B8115,""id"",""en"")"),"['experience', 'good', 'weak']")</f>
        <v>['experience', 'good', 'weak']</v>
      </c>
      <c r="D8115" s="3">
        <v>5.0</v>
      </c>
    </row>
    <row r="8116" ht="15.75" customHeight="1">
      <c r="A8116" s="1">
        <v>8657.0</v>
      </c>
      <c r="B8116" s="3" t="s">
        <v>7797</v>
      </c>
      <c r="C8116" s="3" t="str">
        <f>IFERROR(__xludf.DUMMYFUNCTION("GOOGLETRANSLATE(B8116,""id"",""en"")"),"['ugly', 'opened']")</f>
        <v>['ugly', 'opened']</v>
      </c>
      <c r="D8116" s="3">
        <v>1.0</v>
      </c>
    </row>
    <row r="8117" ht="15.75" customHeight="1">
      <c r="A8117" s="1">
        <v>8658.0</v>
      </c>
      <c r="B8117" s="3" t="s">
        <v>7798</v>
      </c>
      <c r="C8117" s="3" t="str">
        <f>IFERROR(__xludf.DUMMYFUNCTION("GOOGLETRANSLATE(B8117,""id"",""en"")"),"['Nyari', 'provider', 'replace', 'Telkomsel', 'disappointing', 'his servant', '']")</f>
        <v>['Nyari', 'provider', 'replace', 'Telkomsel', 'disappointing', 'his servant', '']</v>
      </c>
      <c r="D8117" s="3">
        <v>1.0</v>
      </c>
    </row>
    <row r="8118" ht="15.75" customHeight="1">
      <c r="A8118" s="1">
        <v>8659.0</v>
      </c>
      <c r="B8118" s="3" t="s">
        <v>644</v>
      </c>
      <c r="C8118" s="3" t="str">
        <f>IFERROR(__xludf.DUMMYFUNCTION("GOOGLETRANSLATE(B8118,""id"",""en"")"),"['Promo']")</f>
        <v>['Promo']</v>
      </c>
      <c r="D8118" s="3">
        <v>5.0</v>
      </c>
    </row>
    <row r="8119" ht="15.75" customHeight="1">
      <c r="A8119" s="1">
        <v>8660.0</v>
      </c>
      <c r="B8119" s="3" t="s">
        <v>7799</v>
      </c>
      <c r="C8119" s="3" t="str">
        <f>IFERROR(__xludf.DUMMYFUNCTION("GOOGLETRANSLATE(B8119,""id"",""en"")"),"['user', 'loyal', 'Telkomsel', 'since' to use ',' telephone ',' cellular ',' network ',' Telkomsel ',' disappointing ',' application ',' Telkomsel ',' Disappointing ',' access', 'counted', 'times',' uninstall ',' ']")</f>
        <v>['user', 'loyal', 'Telkomsel', 'since' to use ',' telephone ',' cellular ',' network ',' Telkomsel ',' disappointing ',' application ',' Telkomsel ',' Disappointing ',' access', 'counted', 'times',' uninstall ',' ']</v>
      </c>
      <c r="D8119" s="3">
        <v>1.0</v>
      </c>
    </row>
    <row r="8120" ht="15.75" customHeight="1">
      <c r="A8120" s="1">
        <v>8661.0</v>
      </c>
      <c r="B8120" s="3" t="s">
        <v>7800</v>
      </c>
      <c r="C8120" s="3" t="str">
        <f>IFERROR(__xludf.DUMMYFUNCTION("GOOGLETRANSLATE(B8120,""id"",""en"")"),"['Enter', 'stuck', 'start', 'screen', 'white', 'toll']")</f>
        <v>['Enter', 'stuck', 'start', 'screen', 'white', 'toll']</v>
      </c>
      <c r="D8120" s="3">
        <v>5.0</v>
      </c>
    </row>
    <row r="8121" ht="15.75" customHeight="1">
      <c r="A8121" s="1">
        <v>8662.0</v>
      </c>
      <c r="B8121" s="3" t="s">
        <v>471</v>
      </c>
      <c r="C8121" s="3" t="str">
        <f>IFERROR(__xludf.DUMMYFUNCTION("GOOGLETRANSLATE(B8121,""id"",""en"")"),"['']")</f>
        <v>['']</v>
      </c>
      <c r="D8121" s="3">
        <v>3.0</v>
      </c>
    </row>
    <row r="8122" ht="15.75" customHeight="1">
      <c r="A8122" s="1">
        <v>8663.0</v>
      </c>
      <c r="B8122" s="3" t="s">
        <v>7801</v>
      </c>
      <c r="C8122" s="3" t="str">
        <f>IFERROR(__xludf.DUMMYFUNCTION("GOOGLETRANSLATE(B8122,""id"",""en"")"),"['price', '']")</f>
        <v>['price', '']</v>
      </c>
      <c r="D8122" s="3">
        <v>3.0</v>
      </c>
    </row>
    <row r="8123" ht="15.75" customHeight="1">
      <c r="A8123" s="1">
        <v>8664.0</v>
      </c>
      <c r="B8123" s="3" t="s">
        <v>7802</v>
      </c>
      <c r="C8123" s="3" t="str">
        <f>IFERROR(__xludf.DUMMYFUNCTION("GOOGLETRANSLATE(B8123,""id"",""en"")"),"['Update', 'Bosook', 'Open', '']")</f>
        <v>['Update', 'Bosook', 'Open', '']</v>
      </c>
      <c r="D8123" s="3">
        <v>1.0</v>
      </c>
    </row>
    <row r="8124" ht="15.75" customHeight="1">
      <c r="A8124" s="1">
        <v>8666.0</v>
      </c>
      <c r="B8124" s="3" t="s">
        <v>7803</v>
      </c>
      <c r="C8124" s="3" t="str">
        <f>IFERROR(__xludf.DUMMYFUNCTION("GOOGLETRANSLATE(B8124,""id"",""en"")"),"['Telkomsel', 'Termbah', 'Mare']")</f>
        <v>['Telkomsel', 'Termbah', 'Mare']</v>
      </c>
      <c r="D8124" s="3">
        <v>1.0</v>
      </c>
    </row>
    <row r="8125" ht="15.75" customHeight="1">
      <c r="A8125" s="1">
        <v>8667.0</v>
      </c>
      <c r="B8125" s="3" t="s">
        <v>7804</v>
      </c>
      <c r="C8125" s="3" t="str">
        <f>IFERROR(__xludf.DUMMYFUNCTION("GOOGLETRANSLATE(B8125,""id"",""en"")"),"['Benerin', 'The application', 'Sorry', 'Doang', 'Gada', 'Change']")</f>
        <v>['Benerin', 'The application', 'Sorry', 'Doang', 'Gada', 'Change']</v>
      </c>
      <c r="D8125" s="3">
        <v>1.0</v>
      </c>
    </row>
    <row r="8126" ht="15.75" customHeight="1">
      <c r="A8126" s="1">
        <v>8668.0</v>
      </c>
      <c r="B8126" s="3" t="s">
        <v>7805</v>
      </c>
      <c r="C8126" s="3" t="str">
        <f>IFERROR(__xludf.DUMMYFUNCTION("GOOGLETRANSLATE(B8126,""id"",""en"")"),"['Kokk', 'Ngelaggg', 'Open', 'Application', 'Telkomsel']")</f>
        <v>['Kokk', 'Ngelaggg', 'Open', 'Application', 'Telkomsel']</v>
      </c>
      <c r="D8126" s="3">
        <v>1.0</v>
      </c>
    </row>
    <row r="8127" ht="15.75" customHeight="1">
      <c r="A8127" s="1">
        <v>8669.0</v>
      </c>
      <c r="B8127" s="3" t="s">
        <v>7806</v>
      </c>
      <c r="C8127" s="3" t="str">
        <f>IFERROR(__xludf.DUMMYFUNCTION("GOOGLETRANSLATE(B8127,""id"",""en"")"),"['Out', 'updated', 'apps', 'strike', 'open']")</f>
        <v>['Out', 'updated', 'apps', 'strike', 'open']</v>
      </c>
      <c r="D8127" s="3">
        <v>2.0</v>
      </c>
    </row>
    <row r="8128" ht="15.75" customHeight="1">
      <c r="A8128" s="1">
        <v>8670.0</v>
      </c>
      <c r="B8128" s="3" t="s">
        <v>7807</v>
      </c>
      <c r="C8128" s="3" t="str">
        <f>IFERROR(__xludf.DUMMYFUNCTION("GOOGLETRANSLATE(B8128,""id"",""en"")"),"['WOI', 'ANJG', 'Signal', 'Benerin']")</f>
        <v>['WOI', 'ANJG', 'Signal', 'Benerin']</v>
      </c>
      <c r="D8128" s="3">
        <v>1.0</v>
      </c>
    </row>
    <row r="8129" ht="15.75" customHeight="1">
      <c r="A8129" s="1">
        <v>8671.0</v>
      </c>
      <c r="B8129" s="3" t="s">
        <v>7808</v>
      </c>
      <c r="C8129" s="3" t="str">
        <f>IFERROR(__xludf.DUMMYFUNCTION("GOOGLETRANSLATE(B8129,""id"",""en"")"),"['', 'Delete', 'APK', 'use', 'garbage', 'already', 'depitted', 'opened', '']")</f>
        <v>['', 'Delete', 'APK', 'use', 'garbage', 'already', 'depitted', 'opened', '']</v>
      </c>
      <c r="D8129" s="3">
        <v>1.0</v>
      </c>
    </row>
    <row r="8130" ht="15.75" customHeight="1">
      <c r="A8130" s="1">
        <v>8672.0</v>
      </c>
      <c r="B8130" s="3" t="s">
        <v>7809</v>
      </c>
      <c r="C8130" s="3" t="str">
        <f>IFERROR(__xludf.DUMMYFUNCTION("GOOGLETRANSLATE(B8130,""id"",""en"")"),"['Fill', 'Credit', 'Cut']")</f>
        <v>['Fill', 'Credit', 'Cut']</v>
      </c>
      <c r="D8130" s="3">
        <v>1.0</v>
      </c>
    </row>
    <row r="8131" ht="15.75" customHeight="1">
      <c r="A8131" s="1">
        <v>8673.0</v>
      </c>
      <c r="B8131" s="3" t="s">
        <v>7810</v>
      </c>
      <c r="C8131" s="3" t="str">
        <f>IFERROR(__xludf.DUMMYFUNCTION("GOOGLETRANSLATE(B8131,""id"",""en"")"),"['Points', 'exchange']")</f>
        <v>['Points', 'exchange']</v>
      </c>
      <c r="D8131" s="3">
        <v>2.0</v>
      </c>
    </row>
    <row r="8132" ht="15.75" customHeight="1">
      <c r="A8132" s="1">
        <v>8674.0</v>
      </c>
      <c r="B8132" s="3" t="s">
        <v>7811</v>
      </c>
      <c r="C8132" s="3" t="str">
        <f>IFERROR(__xludf.DUMMYFUNCTION("GOOGLETRANSLATE(B8132,""id"",""en"")"),"['Slow', 'really', 'package', 'enter', 'already', 'Wait', 'enter']")</f>
        <v>['Slow', 'really', 'package', 'enter', 'already', 'Wait', 'enter']</v>
      </c>
      <c r="D8132" s="3">
        <v>2.0</v>
      </c>
    </row>
    <row r="8133" ht="15.75" customHeight="1">
      <c r="A8133" s="1">
        <v>8675.0</v>
      </c>
      <c r="B8133" s="3" t="s">
        <v>7812</v>
      </c>
      <c r="C8133" s="3" t="str">
        <f>IFERROR(__xludf.DUMMYFUNCTION("GOOGLETRANSLATE(B8133,""id"",""en"")"),"['', 'open', 'Telkom', 'until']")</f>
        <v>['', 'open', 'Telkom', 'until']</v>
      </c>
      <c r="D8133" s="3">
        <v>1.0</v>
      </c>
    </row>
    <row r="8134" ht="15.75" customHeight="1">
      <c r="A8134" s="1">
        <v>8676.0</v>
      </c>
      <c r="B8134" s="3" t="s">
        <v>7813</v>
      </c>
      <c r="C8134" s="3" t="str">
        <f>IFERROR(__xludf.DUMMYFUNCTION("GOOGLETRANSLATE(B8134,""id"",""en"")"),"['', 'SURU', 'UBDATE', 'MLH', 'BSA', 'Unistal', 'bru', 'download', 'ULG', 'already', 'network', 'Nge', 'lag ', 'destroyed']")</f>
        <v>['', 'SURU', 'UBDATE', 'MLH', 'BSA', 'Unistal', 'bru', 'download', 'ULG', 'already', 'network', 'Nge', 'lag ', 'destroyed']</v>
      </c>
      <c r="D8134" s="3">
        <v>1.0</v>
      </c>
    </row>
    <row r="8135" ht="15.75" customHeight="1">
      <c r="A8135" s="1">
        <v>8677.0</v>
      </c>
      <c r="B8135" s="3" t="s">
        <v>7814</v>
      </c>
      <c r="C8135" s="3" t="str">
        <f>IFERROR(__xludf.DUMMYFUNCTION("GOOGLETRANSLATE(B8135,""id"",""en"")"),"['buy', 'pulse']")</f>
        <v>['buy', 'pulse']</v>
      </c>
      <c r="D8135" s="3">
        <v>5.0</v>
      </c>
    </row>
    <row r="8136" ht="15.75" customHeight="1">
      <c r="A8136" s="1">
        <v>8678.0</v>
      </c>
      <c r="B8136" s="3" t="s">
        <v>7815</v>
      </c>
      <c r="C8136" s="3" t="str">
        <f>IFERROR(__xludf.DUMMYFUNCTION("GOOGLETRANSLATE(B8136,""id"",""en"")"),"['alternating', 'Java', 'Kalimantan', 'Kalimantan', 'area', 'suburbs',' Telkomsel ',' proven ',' coverage ',' emang ',' good ',' The ',' Best ',' Telkomsel ',' operator ',' telecommunications', 'rare', 'troubled', 'use', 'Telkomsel', 'package', 'internet'"&amp;", 'needs',' telecommunications', 'Alhamdulillah' , 'Fine', 'fine', 'helped', 'satisfied', 'Telkomsel', 'steady']")</f>
        <v>['alternating', 'Java', 'Kalimantan', 'Kalimantan', 'area', 'suburbs',' Telkomsel ',' proven ',' coverage ',' emang ',' good ',' The ',' Best ',' Telkomsel ',' operator ',' telecommunications', 'rare', 'troubled', 'use', 'Telkomsel', 'package', 'internet', 'needs',' telecommunications', 'Alhamdulillah' , 'Fine', 'fine', 'helped', 'satisfied', 'Telkomsel', 'steady']</v>
      </c>
      <c r="D8136" s="3">
        <v>5.0</v>
      </c>
    </row>
    <row r="8137" ht="15.75" customHeight="1">
      <c r="A8137" s="1">
        <v>8679.0</v>
      </c>
      <c r="B8137" s="3" t="s">
        <v>7816</v>
      </c>
      <c r="C8137" s="3" t="str">
        <f>IFERROR(__xludf.DUMMYFUNCTION("GOOGLETRANSLATE(B8137,""id"",""en"")"),"['Login', 'Klok', 'Sis', '']")</f>
        <v>['Login', 'Klok', 'Sis', '']</v>
      </c>
      <c r="D8137" s="3">
        <v>2.0</v>
      </c>
    </row>
    <row r="8138" ht="15.75" customHeight="1">
      <c r="A8138" s="1">
        <v>8681.0</v>
      </c>
      <c r="B8138" s="3" t="s">
        <v>7817</v>
      </c>
      <c r="C8138" s="3" t="str">
        <f>IFERROR(__xludf.DUMMYFUNCTION("GOOGLETRANSLATE(B8138,""id"",""en"")"),"['Knp', 'Open']")</f>
        <v>['Knp', 'Open']</v>
      </c>
      <c r="D8138" s="3">
        <v>3.0</v>
      </c>
    </row>
    <row r="8139" ht="15.75" customHeight="1">
      <c r="A8139" s="1">
        <v>8682.0</v>
      </c>
      <c r="B8139" s="3" t="s">
        <v>7818</v>
      </c>
      <c r="C8139" s="3" t="str">
        <f>IFERROR(__xludf.DUMMYFUNCTION("GOOGLETRANSLATE(B8139,""id"",""en"")"),"['no', 'open', 'vivo', 'open', 'love', 'star', 'hope', 'fast', 'repair']")</f>
        <v>['no', 'open', 'vivo', 'open', 'love', 'star', 'hope', 'fast', 'repair']</v>
      </c>
      <c r="D8139" s="3">
        <v>3.0</v>
      </c>
    </row>
    <row r="8140" ht="15.75" customHeight="1">
      <c r="A8140" s="1">
        <v>8683.0</v>
      </c>
      <c r="B8140" s="3" t="s">
        <v>7819</v>
      </c>
      <c r="C8140" s="3" t="str">
        <f>IFERROR(__xludf.DUMMYFUNCTION("GOOGLETRANSLATE(B8140,""id"",""en"")"),"['updated', 'the application', 'Error', 'opened', '']")</f>
        <v>['updated', 'the application', 'Error', 'opened', '']</v>
      </c>
      <c r="D8140" s="3">
        <v>1.0</v>
      </c>
    </row>
    <row r="8141" ht="15.75" customHeight="1">
      <c r="A8141" s="1">
        <v>8684.0</v>
      </c>
      <c r="B8141" s="3" t="s">
        <v>7820</v>
      </c>
      <c r="C8141" s="3" t="str">
        <f>IFERROR(__xludf.DUMMYFUNCTION("GOOGLETRANSLATE(B8141,""id"",""en"")"),"['Satisfied', 'Features', 'application', 'KNP', 'updated', 'MyTelkomsel', 'opened', 'appears', 'screen', 'white', 'Please', 'repair']")</f>
        <v>['Satisfied', 'Features', 'application', 'KNP', 'updated', 'MyTelkomsel', 'opened', 'appears', 'screen', 'white', 'Please', 'repair']</v>
      </c>
      <c r="D8141" s="3">
        <v>3.0</v>
      </c>
    </row>
    <row r="8142" ht="15.75" customHeight="1">
      <c r="A8142" s="1">
        <v>8685.0</v>
      </c>
      <c r="B8142" s="3" t="s">
        <v>7821</v>
      </c>
      <c r="C8142" s="3" t="str">
        <f>IFERROR(__xludf.DUMMYFUNCTION("GOOGLETRANSLATE(B8142,""id"",""en"")"),"['times', 'buy', 'okay']")</f>
        <v>['times', 'buy', 'okay']</v>
      </c>
      <c r="D8142" s="3">
        <v>5.0</v>
      </c>
    </row>
    <row r="8143" ht="15.75" customHeight="1">
      <c r="A8143" s="1">
        <v>8686.0</v>
      </c>
      <c r="B8143" s="3" t="s">
        <v>7822</v>
      </c>
      <c r="C8143" s="3" t="str">
        <f>IFERROR(__xludf.DUMMYFUNCTION("GOOGLETRANSLATE(B8143,""id"",""en"")"),"['Hello', 'please', 'donk', 'Telkomsel', 'love', 'user', 'piece', 'price', 'discount']")</f>
        <v>['Hello', 'please', 'donk', 'Telkomsel', 'love', 'user', 'piece', 'price', 'discount']</v>
      </c>
      <c r="D8143" s="3">
        <v>5.0</v>
      </c>
    </row>
    <row r="8144" ht="15.75" customHeight="1">
      <c r="A8144" s="1">
        <v>8688.0</v>
      </c>
      <c r="B8144" s="3" t="s">
        <v>7823</v>
      </c>
      <c r="C8144" s="3" t="str">
        <f>IFERROR(__xludf.DUMMYFUNCTION("GOOGLETRANSLATE(B8144,""id"",""en"")"),"['Steady', 'Cashback', 'Shoppe']")</f>
        <v>['Steady', 'Cashback', 'Shoppe']</v>
      </c>
      <c r="D8144" s="3">
        <v>5.0</v>
      </c>
    </row>
    <row r="8145" ht="15.75" customHeight="1">
      <c r="A8145" s="1">
        <v>8690.0</v>
      </c>
      <c r="B8145" s="3" t="s">
        <v>7824</v>
      </c>
      <c r="C8145" s="3" t="str">
        <f>IFERROR(__xludf.DUMMYFUNCTION("GOOGLETRANSLATE(B8145,""id"",""en"")"),"['', 'Telkomsel', 'steady', 'like']")</f>
        <v>['', 'Telkomsel', 'steady', 'like']</v>
      </c>
      <c r="D8145" s="3">
        <v>5.0</v>
      </c>
    </row>
    <row r="8146" ht="15.75" customHeight="1">
      <c r="A8146" s="1">
        <v>8691.0</v>
      </c>
      <c r="B8146" s="3" t="s">
        <v>7825</v>
      </c>
      <c r="C8146" s="3" t="str">
        <f>IFERROR(__xludf.DUMMYFUNCTION("GOOGLETRANSLATE(B8146,""id"",""en"")"),"['Application', 'Android', '']")</f>
        <v>['Application', 'Android', '']</v>
      </c>
      <c r="D8146" s="3">
        <v>1.0</v>
      </c>
    </row>
    <row r="8147" ht="15.75" customHeight="1">
      <c r="A8147" s="1">
        <v>8692.0</v>
      </c>
      <c r="B8147" s="3" t="s">
        <v>7826</v>
      </c>
      <c r="C8147" s="3" t="str">
        <f>IFERROR(__xludf.DUMMYFUNCTION("GOOGLETRANSLATE(B8147,""id"",""en"")"),"['update', 'use', 'the application', '']")</f>
        <v>['update', 'use', 'the application', '']</v>
      </c>
      <c r="D8147" s="3">
        <v>1.0</v>
      </c>
    </row>
    <row r="8148" ht="15.75" customHeight="1">
      <c r="A8148" s="1">
        <v>8693.0</v>
      </c>
      <c r="B8148" s="3" t="s">
        <v>7827</v>
      </c>
      <c r="C8148" s="3" t="str">
        <f>IFERROR(__xludf.DUMMYFUNCTION("GOOGLETRANSLATE(B8148,""id"",""en"")"),"['Hi', 'Telkomsel', 'features', 'stop', 'subscription', 'APK', 'pulse', 'run out', 'sucked', ""]")</f>
        <v>['Hi', 'Telkomsel', 'features', 'stop', 'subscription', 'APK', 'pulse', 'run out', 'sucked', "]</v>
      </c>
      <c r="D8148" s="3">
        <v>1.0</v>
      </c>
    </row>
    <row r="8149" ht="15.75" customHeight="1">
      <c r="A8149" s="1">
        <v>8694.0</v>
      </c>
      <c r="B8149" s="3" t="s">
        <v>7828</v>
      </c>
      <c r="C8149" s="3" t="str">
        <f>IFERROR(__xludf.DUMMYFUNCTION("GOOGLETRANSLATE(B8149,""id"",""en"")"),"['Increases', 'Success']")</f>
        <v>['Increases', 'Success']</v>
      </c>
      <c r="D8149" s="3">
        <v>5.0</v>
      </c>
    </row>
    <row r="8150" ht="15.75" customHeight="1">
      <c r="A8150" s="1">
        <v>8695.0</v>
      </c>
      <c r="B8150" s="3" t="s">
        <v>7829</v>
      </c>
      <c r="C8150" s="3" t="str">
        <f>IFERROR(__xludf.DUMMYFUNCTION("GOOGLETRANSLATE(B8150,""id"",""en"")"),"['opened', 'really', 'disappointing']")</f>
        <v>['opened', 'really', 'disappointing']</v>
      </c>
      <c r="D8150" s="3">
        <v>1.0</v>
      </c>
    </row>
    <row r="8151" ht="15.75" customHeight="1">
      <c r="A8151" s="1">
        <v>8696.0</v>
      </c>
      <c r="B8151" s="3" t="s">
        <v>7830</v>
      </c>
      <c r="C8151" s="3" t="str">
        <f>IFERROR(__xludf.DUMMYFUNCTION("GOOGLETRANSLATE(B8151,""id"",""en"")"),"['Help', 'match', 'sya']")</f>
        <v>['Help', 'match', 'sya']</v>
      </c>
      <c r="D8151" s="3">
        <v>5.0</v>
      </c>
    </row>
    <row r="8152" ht="15.75" customHeight="1">
      <c r="A8152" s="1">
        <v>8697.0</v>
      </c>
      <c r="B8152" s="3" t="s">
        <v>7831</v>
      </c>
      <c r="C8152" s="3" t="str">
        <f>IFERROR(__xludf.DUMMYFUNCTION("GOOGLETRANSLATE(B8152,""id"",""en"")"),"['application', 'plg', 'bad']")</f>
        <v>['application', 'plg', 'bad']</v>
      </c>
      <c r="D8152" s="3">
        <v>1.0</v>
      </c>
    </row>
    <row r="8153" ht="15.75" customHeight="1">
      <c r="A8153" s="1">
        <v>8698.0</v>
      </c>
      <c r="B8153" s="3" t="s">
        <v>7832</v>
      </c>
      <c r="C8153" s="3" t="str">
        <f>IFERROR(__xludf.DUMMYFUNCTION("GOOGLETRANSLATE(B8153,""id"",""en"")"),"['', 'bntang', 'bcara']")</f>
        <v>['', 'bntang', 'bcara']</v>
      </c>
      <c r="D8153" s="3">
        <v>5.0</v>
      </c>
    </row>
    <row r="8154" ht="15.75" customHeight="1">
      <c r="A8154" s="1">
        <v>8699.0</v>
      </c>
      <c r="B8154" s="3" t="s">
        <v>7833</v>
      </c>
      <c r="C8154" s="3" t="str">
        <f>IFERROR(__xludf.DUMMYFUNCTION("GOOGLETRANSLATE(B8154,""id"",""en"")"),"['Yesterday', 'Bintang', 'Bintang', 'The reason', 'Response', 'Telkomsel', 'Related', 'Reduction', 'pulseku', 'navigate', 'Social', 'whipping', ' ']")</f>
        <v>['Yesterday', 'Bintang', 'Bintang', 'The reason', 'Response', 'Telkomsel', 'Related', 'Reduction', 'pulseku', 'navigate', 'Social', 'whipping', ' ']</v>
      </c>
      <c r="D8154" s="3">
        <v>1.0</v>
      </c>
    </row>
    <row r="8155" ht="15.75" customHeight="1">
      <c r="A8155" s="1">
        <v>8700.0</v>
      </c>
      <c r="B8155" s="3" t="s">
        <v>7834</v>
      </c>
      <c r="C8155" s="3" t="str">
        <f>IFERROR(__xludf.DUMMYFUNCTION("GOOGLETRANSLATE(B8155,""id"",""en"")"),"['skrg', 'date', 'des', 'open', 'the application', 'severe', '']")</f>
        <v>['skrg', 'date', 'des', 'open', 'the application', 'severe', '']</v>
      </c>
      <c r="D8155" s="3">
        <v>1.0</v>
      </c>
    </row>
    <row r="8156" ht="15.75" customHeight="1">
      <c r="A8156" s="1">
        <v>8701.0</v>
      </c>
      <c r="B8156" s="3" t="s">
        <v>7835</v>
      </c>
      <c r="C8156" s="3" t="str">
        <f>IFERROR(__xludf.DUMMYFUNCTION("GOOGLETRANSLATE(B8156,""id"",""en"")"),"['Package', '']")</f>
        <v>['Package', '']</v>
      </c>
      <c r="D8156" s="3">
        <v>1.0</v>
      </c>
    </row>
    <row r="8157" ht="15.75" customHeight="1">
      <c r="A8157" s="1">
        <v>8702.0</v>
      </c>
      <c r="B8157" s="3" t="s">
        <v>7836</v>
      </c>
      <c r="C8157" s="3" t="str">
        <f>IFERROR(__xludf.DUMMYFUNCTION("GOOGLETRANSLATE(B8157,""id"",""en"")"),"['Hallow', 'Exchange', 'Points', 'Package', 'Fund', 'klw', 'emang', 'how', 'sorry', 'sya', 'telkomsle']")</f>
        <v>['Hallow', 'Exchange', 'Points', 'Package', 'Fund', 'klw', 'emang', 'how', 'sorry', 'sya', 'telkomsle']</v>
      </c>
      <c r="D8157" s="3">
        <v>3.0</v>
      </c>
    </row>
    <row r="8158" ht="15.75" customHeight="1">
      <c r="A8158" s="1">
        <v>8703.0</v>
      </c>
      <c r="B8158" s="3" t="s">
        <v>7837</v>
      </c>
      <c r="C8158" s="3" t="str">
        <f>IFERROR(__xludf.DUMMYFUNCTION("GOOGLETRANSLATE(B8158,""id"",""en"")"),"['Application', 'Yesterday', 'December', 'Open', 'Ask', 'Package', 'Multimedia', 'Function', ""]")</f>
        <v>['Application', 'Yesterday', 'December', 'Open', 'Ask', 'Package', 'Multimedia', 'Function', "]</v>
      </c>
      <c r="D8158" s="3">
        <v>3.0</v>
      </c>
    </row>
    <row r="8159" ht="15.75" customHeight="1">
      <c r="A8159" s="1">
        <v>8704.0</v>
      </c>
      <c r="B8159" s="3" t="s">
        <v>7838</v>
      </c>
      <c r="C8159" s="3" t="str">
        <f>IFERROR(__xludf.DUMMYFUNCTION("GOOGLETRANSLATE(B8159,""id"",""en"")"),"['application', 'bad', 'network', 'bad', 'stable', 'lose', 'competitor', 'in the past', 'pandemic', 'strangling', 'customer', 'blank' White ',' opened ',' Greetings', 'destroyed', 'Telkomsel']")</f>
        <v>['application', 'bad', 'network', 'bad', 'stable', 'lose', 'competitor', 'in the past', 'pandemic', 'strangling', 'customer', 'blank' White ',' opened ',' Greetings', 'destroyed', 'Telkomsel']</v>
      </c>
      <c r="D8159" s="3">
        <v>1.0</v>
      </c>
    </row>
    <row r="8160" ht="15.75" customHeight="1">
      <c r="A8160" s="1">
        <v>8705.0</v>
      </c>
      <c r="B8160" s="3" t="s">
        <v>7839</v>
      </c>
      <c r="C8160" s="3" t="str">
        <f>IFERROR(__xludf.DUMMYFUNCTION("GOOGLETRANSLATE(B8160,""id"",""en"")"),"['update', 'direct', 'screen', 'blank', 'white', 'blind', 'no', 'use', 'pulse', 'data', 'tip', 'end', ' bill ',' swollen ']")</f>
        <v>['update', 'direct', 'screen', 'blank', 'white', 'blind', 'no', 'use', 'pulse', 'data', 'tip', 'end', ' bill ',' swollen ']</v>
      </c>
      <c r="D8160" s="3">
        <v>1.0</v>
      </c>
    </row>
    <row r="8161" ht="15.75" customHeight="1">
      <c r="A8161" s="1">
        <v>8707.0</v>
      </c>
      <c r="B8161" s="3" t="s">
        <v>7840</v>
      </c>
      <c r="C8161" s="3" t="str">
        <f>IFERROR(__xludf.DUMMYFUNCTION("GOOGLETRANSLATE(B8161,""id"",""en"")"),"['just', 'see', 'quota', 'stay', 'brp', 'told', 'update', 'already', 'update', 'told', 'update', 'lag', ' Kayak ',' Gini ',' quota ',' run out ',' think ', ""]")</f>
        <v>['just', 'see', 'quota', 'stay', 'brp', 'told', 'update', 'already', 'update', 'told', 'update', 'lag', ' Kayak ',' Gini ',' quota ',' run out ',' think ', "]</v>
      </c>
      <c r="D8161" s="3">
        <v>2.0</v>
      </c>
    </row>
    <row r="8162" ht="15.75" customHeight="1">
      <c r="A8162" s="1">
        <v>8708.0</v>
      </c>
      <c r="B8162" s="3" t="s">
        <v>7841</v>
      </c>
      <c r="C8162" s="3" t="str">
        <f>IFERROR(__xludf.DUMMYFUNCTION("GOOGLETRANSLATE(B8162,""id"",""en"")"),"['Price', 'Package', 'Network', 'Fix']")</f>
        <v>['Price', 'Package', 'Network', 'Fix']</v>
      </c>
      <c r="D8162" s="3">
        <v>1.0</v>
      </c>
    </row>
    <row r="8163" ht="15.75" customHeight="1">
      <c r="A8163" s="1">
        <v>8709.0</v>
      </c>
      <c r="B8163" s="3" t="s">
        <v>7842</v>
      </c>
      <c r="C8163" s="3" t="str">
        <f>IFERROR(__xludf.DUMMYFUNCTION("GOOGLETRANSLATE(B8163,""id"",""en"")"),"['Application', 'Telkomsel', 'Color', 'White', 'Screen', 'PIKIIR', 'MEMORY', 'FULL', 'Try', 'Delete', 'Application', 'TPI', ' Try ',' Uninstall ',' Download ',' Try ',' Relationship ',' Contact ',' Person ',' Response ',' ']")</f>
        <v>['Application', 'Telkomsel', 'Color', 'White', 'Screen', 'PIKIIR', 'MEMORY', 'FULL', 'Try', 'Delete', 'Application', 'TPI', ' Try ',' Uninstall ',' Download ',' Try ',' Relationship ',' Contact ',' Person ',' Response ',' ']</v>
      </c>
      <c r="D8163" s="3">
        <v>1.0</v>
      </c>
    </row>
    <row r="8164" ht="15.75" customHeight="1">
      <c r="A8164" s="1">
        <v>8710.0</v>
      </c>
      <c r="B8164" s="3" t="s">
        <v>7843</v>
      </c>
      <c r="C8164" s="3" t="str">
        <f>IFERROR(__xludf.DUMMYFUNCTION("GOOGLETRANSLATE(B8164,""id"",""en"")"),"['Congratulations',' Morning ',' Cook ',' Fill ',' Credit ',' Langsug ',' Cut ',' Package ',' Perny ',' Buy ',' Pakek ',' kqn ',' Loss', 'Credit', 'Langg', 'Out', 'Useful', 'Please', 'Min', 'Solution', 'Credit']")</f>
        <v>['Congratulations',' Morning ',' Cook ',' Fill ',' Credit ',' Langsug ',' Cut ',' Package ',' Perny ',' Buy ',' Pakek ',' kqn ',' Loss', 'Credit', 'Langg', 'Out', 'Useful', 'Please', 'Min', 'Solution', 'Credit']</v>
      </c>
      <c r="D8164" s="3">
        <v>1.0</v>
      </c>
    </row>
    <row r="8165" ht="15.75" customHeight="1">
      <c r="A8165" s="1">
        <v>8711.0</v>
      </c>
      <c r="B8165" s="3" t="s">
        <v>7844</v>
      </c>
      <c r="C8165" s="3" t="str">
        <f>IFERROR(__xludf.DUMMYFUNCTION("GOOGLETRANSLATE(B8165,""id"",""en"")"),"['update', 'opened', 'already', 'uninstall', 'trs', 'download', 'tetep', 'what', '']")</f>
        <v>['update', 'opened', 'already', 'uninstall', 'trs', 'download', 'tetep', 'what', '']</v>
      </c>
      <c r="D8165" s="3">
        <v>2.0</v>
      </c>
    </row>
    <row r="8166" ht="15.75" customHeight="1">
      <c r="A8166" s="1">
        <v>8712.0</v>
      </c>
      <c r="B8166" s="3" t="s">
        <v>7845</v>
      </c>
      <c r="C8166" s="3" t="str">
        <f>IFERROR(__xludf.DUMMYFUNCTION("GOOGLETRANSLATE(B8166,""id"",""en"")"),"['kagak', 'opened', 'ngeblank', 'parahhh', '']")</f>
        <v>['kagak', 'opened', 'ngeblank', 'parahhh', '']</v>
      </c>
      <c r="D8166" s="3">
        <v>1.0</v>
      </c>
    </row>
    <row r="8167" ht="15.75" customHeight="1">
      <c r="A8167" s="1">
        <v>8713.0</v>
      </c>
      <c r="B8167" s="3" t="s">
        <v>7846</v>
      </c>
      <c r="C8167" s="3" t="str">
        <f>IFERROR(__xludf.DUMMYFUNCTION("GOOGLETRANSLATE(B8167,""id"",""en"")"),"['Updated', 'accessed', '']")</f>
        <v>['Updated', 'accessed', '']</v>
      </c>
      <c r="D8167" s="3">
        <v>1.0</v>
      </c>
    </row>
    <row r="8168" ht="15.75" customHeight="1">
      <c r="A8168" s="1">
        <v>8714.0</v>
      </c>
      <c r="B8168" s="3" t="s">
        <v>7847</v>
      </c>
      <c r="C8168" s="3" t="str">
        <f>IFERROR(__xludf.DUMMYFUNCTION("GOOGLETRANSLATE(B8168,""id"",""en"")"),"['price', 'package', 'expensive', 'expensive']")</f>
        <v>['price', 'package', 'expensive', 'expensive']</v>
      </c>
      <c r="D8168" s="3">
        <v>3.0</v>
      </c>
    </row>
    <row r="8169" ht="15.75" customHeight="1">
      <c r="A8169" s="1">
        <v>8715.0</v>
      </c>
      <c r="B8169" s="3" t="s">
        <v>7848</v>
      </c>
      <c r="C8169" s="3" t="str">
        <f>IFERROR(__xludf.DUMMYFUNCTION("GOOGLETRANSLATE(B8169,""id"",""en"")"),"['', 'Allah', 'alternating', 'Uninstall', 'Install', 'Application', 'Kirain', 'Error', 'Read', 'comment', 'comment', 'people', 'obstacles ',' Huffft ',' how ',' sich ',' already ',' blank ',' white ',' doang ', ""]")</f>
        <v>['', 'Allah', 'alternating', 'Uninstall', 'Install', 'Application', 'Kirain', 'Error', 'Read', 'comment', 'comment', 'people', 'obstacles ',' Huffft ',' how ',' sich ',' already ',' blank ',' white ',' doang ', "]</v>
      </c>
      <c r="D8169" s="3">
        <v>1.0</v>
      </c>
    </row>
    <row r="8170" ht="15.75" customHeight="1">
      <c r="A8170" s="1">
        <v>8716.0</v>
      </c>
      <c r="B8170" s="3" t="s">
        <v>7849</v>
      </c>
      <c r="C8170" s="3" t="str">
        <f>IFERROR(__xludf.DUMMYFUNCTION("GOOGLETRANSLATE(B8170,""id"",""en"")"),"['Please', 'Sorry', 'Telkomsel', 'Application', 'Telkomsel', 'Star', 'Colorin', 'Star', 'Service', 'Decline', 'Network', 'My place', ' Good ',' embossed ',' sank ',' ']")</f>
        <v>['Please', 'Sorry', 'Telkomsel', 'Application', 'Telkomsel', 'Star', 'Colorin', 'Star', 'Service', 'Decline', 'Network', 'My place', ' Good ',' embossed ',' sank ',' ']</v>
      </c>
      <c r="D8170" s="3">
        <v>2.0</v>
      </c>
    </row>
    <row r="8171" ht="15.75" customHeight="1">
      <c r="A8171" s="1">
        <v>8717.0</v>
      </c>
      <c r="B8171" s="3" t="s">
        <v>7850</v>
      </c>
      <c r="C8171" s="3" t="str">
        <f>IFERROR(__xludf.DUMMYFUNCTION("GOOGLETRANSLATE(B8171,""id"",""en"")"),"['Woee', 'Open', 'Application', 'Screen', 'White', 'Doang', 'Nongol', 'Application', 'Trash', ""]")</f>
        <v>['Woee', 'Open', 'Application', 'Screen', 'White', 'Doang', 'Nongol', 'Application', 'Trash', "]</v>
      </c>
      <c r="D8171" s="3">
        <v>1.0</v>
      </c>
    </row>
    <row r="8172" ht="15.75" customHeight="1">
      <c r="A8172" s="1">
        <v>8718.0</v>
      </c>
      <c r="B8172" s="3" t="s">
        <v>7851</v>
      </c>
      <c r="C8172" s="3" t="str">
        <f>IFERROR(__xludf.DUMMYFUNCTION("GOOGLETRANSLATE(B8172,""id"",""en"")"),"['easy', 'accessed', 'fast', 'ter', 'execution']")</f>
        <v>['easy', 'accessed', 'fast', 'ter', 'execution']</v>
      </c>
      <c r="D8172" s="3">
        <v>5.0</v>
      </c>
    </row>
    <row r="8173" ht="15.75" customHeight="1">
      <c r="A8173" s="1">
        <v>8719.0</v>
      </c>
      <c r="B8173" s="3" t="s">
        <v>7852</v>
      </c>
      <c r="C8173" s="3" t="str">
        <f>IFERROR(__xludf.DUMMYFUNCTION("GOOGLETRANSLATE(B8173,""id"",""en"")"),"['signal', 'Tetep', 'smooth', 'inland', 'village', 'lor']")</f>
        <v>['signal', 'Tetep', 'smooth', 'inland', 'village', 'lor']</v>
      </c>
      <c r="D8173" s="3">
        <v>5.0</v>
      </c>
    </row>
    <row r="8174" ht="15.75" customHeight="1">
      <c r="A8174" s="1">
        <v>8720.0</v>
      </c>
      <c r="B8174" s="3" t="s">
        <v>7853</v>
      </c>
      <c r="C8174" s="3" t="str">
        <f>IFERROR(__xludf.DUMMYFUNCTION("GOOGLETRANSLATE(B8174,""id"",""en"")"),"['Applikasih', 'opened', '']")</f>
        <v>['Applikasih', 'opened', '']</v>
      </c>
      <c r="D8174" s="3">
        <v>2.0</v>
      </c>
    </row>
    <row r="8175" ht="15.75" customHeight="1">
      <c r="A8175" s="1">
        <v>8721.0</v>
      </c>
      <c r="B8175" s="3" t="s">
        <v>7854</v>
      </c>
      <c r="C8175" s="3" t="str">
        <f>IFERROR(__xludf.DUMMYFUNCTION("GOOGLETRANSLATE(B8175,""id"",""en"")"),"['removed', 'downlod', 'tetep', 'blank', 'white']")</f>
        <v>['removed', 'downlod', 'tetep', 'blank', 'white']</v>
      </c>
      <c r="D8175" s="3">
        <v>1.0</v>
      </c>
    </row>
    <row r="8176" ht="15.75" customHeight="1">
      <c r="A8176" s="1">
        <v>8722.0</v>
      </c>
      <c r="B8176" s="3" t="s">
        <v>7855</v>
      </c>
      <c r="C8176" s="3" t="str">
        <f>IFERROR(__xludf.DUMMYFUNCTION("GOOGLETRANSLATE(B8176,""id"",""en"")"),"['knpa', 'NGC', 'open', 'application']")</f>
        <v>['knpa', 'NGC', 'open', 'application']</v>
      </c>
      <c r="D8176" s="3">
        <v>5.0</v>
      </c>
    </row>
    <row r="8177" ht="15.75" customHeight="1">
      <c r="A8177" s="1">
        <v>8724.0</v>
      </c>
      <c r="B8177" s="3" t="s">
        <v>7856</v>
      </c>
      <c r="C8177" s="3" t="str">
        <f>IFERROR(__xludf.DUMMYFUNCTION("GOOGLETRANSLATE(B8177,""id"",""en"")"),"['Out', 'update']")</f>
        <v>['Out', 'update']</v>
      </c>
      <c r="D8177" s="3">
        <v>1.0</v>
      </c>
    </row>
    <row r="8178" ht="15.75" customHeight="1">
      <c r="A8178" s="1">
        <v>8725.0</v>
      </c>
      <c r="B8178" s="3" t="s">
        <v>7857</v>
      </c>
      <c r="C8178" s="3" t="str">
        <f>IFERROR(__xludf.DUMMYFUNCTION("GOOGLETRANSLATE(B8178,""id"",""en"")"),"['Nge', 'Bug', 'Gabisa', 'Open', 'App', 'Stuck', 'Loading', 'Screen']")</f>
        <v>['Nge', 'Bug', 'Gabisa', 'Open', 'App', 'Stuck', 'Loading', 'Screen']</v>
      </c>
      <c r="D8178" s="3">
        <v>1.0</v>
      </c>
    </row>
    <row r="8179" ht="15.75" customHeight="1">
      <c r="A8179" s="1">
        <v>8726.0</v>
      </c>
      <c r="B8179" s="3" t="s">
        <v>7858</v>
      </c>
      <c r="C8179" s="3" t="str">
        <f>IFERROR(__xludf.DUMMYFUNCTION("GOOGLETRANSLATE(B8179,""id"",""en"")"),"['hope', 'prize', '']")</f>
        <v>['hope', 'prize', '']</v>
      </c>
      <c r="D8179" s="3">
        <v>4.0</v>
      </c>
    </row>
    <row r="8180" ht="15.75" customHeight="1">
      <c r="A8180" s="1">
        <v>8727.0</v>
      </c>
      <c r="B8180" s="3" t="s">
        <v>7859</v>
      </c>
      <c r="C8180" s="3" t="str">
        <f>IFERROR(__xludf.DUMMYFUNCTION("GOOGLETRANSLATE(B8180,""id"",""en"")"),"['Fix', 'Network']")</f>
        <v>['Fix', 'Network']</v>
      </c>
      <c r="D8180" s="3">
        <v>5.0</v>
      </c>
    </row>
    <row r="8181" ht="15.75" customHeight="1">
      <c r="A8181" s="1">
        <v>8728.0</v>
      </c>
      <c r="B8181" s="3" t="s">
        <v>7860</v>
      </c>
      <c r="C8181" s="3" t="str">
        <f>IFERROR(__xludf.DUMMYFUNCTION("GOOGLETRANSLATE(B8181,""id"",""en"")"),"['makes it easier', 'use', 'practical']")</f>
        <v>['makes it easier', 'use', 'practical']</v>
      </c>
      <c r="D8181" s="3">
        <v>5.0</v>
      </c>
    </row>
    <row r="8182" ht="15.75" customHeight="1">
      <c r="A8182" s="1">
        <v>8729.0</v>
      </c>
      <c r="B8182" s="3" t="s">
        <v>7861</v>
      </c>
      <c r="C8182" s="3" t="str">
        <f>IFERROR(__xludf.DUMMYFUNCTION("GOOGLETRANSLATE(B8182,""id"",""en"")"),"['already', 'handled', 'thanks',' network ',' my area ',' ilang ',' already ',' complain ',' abis', 'handled', 'already', 'hours',' again ']")</f>
        <v>['already', 'handled', 'thanks',' network ',' my area ',' ilang ',' already ',' complain ',' abis', 'handled', 'already', 'hours',' again ']</v>
      </c>
      <c r="D8182" s="3">
        <v>5.0</v>
      </c>
    </row>
    <row r="8183" ht="15.75" customHeight="1">
      <c r="A8183" s="1">
        <v>8730.0</v>
      </c>
      <c r="B8183" s="3" t="s">
        <v>7862</v>
      </c>
      <c r="C8183" s="3" t="str">
        <f>IFERROR(__xludf.DUMMYFUNCTION("GOOGLETRANSLATE(B8183,""id"",""en"")"),"['expensive', 'doang', 'signal', 'bapuk']")</f>
        <v>['expensive', 'doang', 'signal', 'bapuk']</v>
      </c>
      <c r="D8183" s="3">
        <v>1.0</v>
      </c>
    </row>
    <row r="8184" ht="15.75" customHeight="1">
      <c r="A8184" s="1">
        <v>8731.0</v>
      </c>
      <c r="B8184" s="3" t="s">
        <v>7863</v>
      </c>
      <c r="C8184" s="3" t="str">
        <f>IFERROR(__xludf.DUMMYFUNCTION("GOOGLETRANSLATE(B8184,""id"",""en"")"),"['Application', 'Telkomsel', 'Msh', 'BLM', 'opened', 'KNPA', 'Sunday', 'Gaimana', 'Application', 'Opened']")</f>
        <v>['Application', 'Telkomsel', 'Msh', 'BLM', 'opened', 'KNPA', 'Sunday', 'Gaimana', 'Application', 'Opened']</v>
      </c>
      <c r="D8184" s="3">
        <v>1.0</v>
      </c>
    </row>
    <row r="8185" ht="15.75" customHeight="1">
      <c r="A8185" s="1">
        <v>8732.0</v>
      </c>
      <c r="B8185" s="3" t="s">
        <v>7864</v>
      </c>
      <c r="C8185" s="3" t="str">
        <f>IFERROR(__xludf.DUMMYFUNCTION("GOOGLETRANSLATE(B8185,""id"",""en"")"),"['love', 'star', 'love', 'star', ""]")</f>
        <v>['love', 'star', 'love', 'star', "]</v>
      </c>
      <c r="D8185" s="3">
        <v>4.0</v>
      </c>
    </row>
    <row r="8186" ht="15.75" customHeight="1">
      <c r="A8186" s="1">
        <v>8733.0</v>
      </c>
      <c r="B8186" s="3" t="s">
        <v>7865</v>
      </c>
      <c r="C8186" s="3" t="str">
        <f>IFERROR(__xludf.DUMMYFUNCTION("GOOGLETRANSLATE(B8186,""id"",""en"")"),"['Santanie', 'Sometimes', 'Sometimes', 'Bossss', 'Yak', 'Opo', 'Ikuu', 'Sustee']")</f>
        <v>['Santanie', 'Sometimes', 'Sometimes', 'Bossss', 'Yak', 'Opo', 'Ikuu', 'Sustee']</v>
      </c>
      <c r="D8186" s="3">
        <v>3.0</v>
      </c>
    </row>
    <row r="8187" ht="15.75" customHeight="1">
      <c r="A8187" s="1">
        <v>8734.0</v>
      </c>
      <c r="B8187" s="3" t="s">
        <v>3222</v>
      </c>
      <c r="C8187" s="3" t="str">
        <f>IFERROR(__xludf.DUMMYFUNCTION("GOOGLETRANSLATE(B8187,""id"",""en"")"),"['satisfying', '']")</f>
        <v>['satisfying', '']</v>
      </c>
      <c r="D8187" s="3">
        <v>5.0</v>
      </c>
    </row>
    <row r="8188" ht="15.75" customHeight="1">
      <c r="A8188" s="1">
        <v>8735.0</v>
      </c>
      <c r="B8188" s="3" t="s">
        <v>7866</v>
      </c>
      <c r="C8188" s="3" t="str">
        <f>IFERROR(__xludf.DUMMYFUNCTION("GOOGLETRANSLATE(B8188,""id"",""en"")"),"['Kenpa', 'bug', 'fix', 'class', 'BUMN', 'serious', 'private', 'serious', '']")</f>
        <v>['Kenpa', 'bug', 'fix', 'class', 'BUMN', 'serious', 'private', 'serious', '']</v>
      </c>
      <c r="D8188" s="3">
        <v>1.0</v>
      </c>
    </row>
    <row r="8189" ht="15.75" customHeight="1">
      <c r="A8189" s="1">
        <v>8736.0</v>
      </c>
      <c r="B8189" s="3" t="s">
        <v>7867</v>
      </c>
      <c r="C8189" s="3" t="str">
        <f>IFERROR(__xludf.DUMMYFUNCTION("GOOGLETRANSLATE(B8189,""id"",""en"")"),"['Sorry', 'Sya', 'collapsed', 'star', 'severe', 'signal', 'sorry', ""]")</f>
        <v>['Sorry', 'Sya', 'collapsed', 'star', 'severe', 'signal', 'sorry', "]</v>
      </c>
      <c r="D8189" s="3">
        <v>1.0</v>
      </c>
    </row>
    <row r="8190" ht="15.75" customHeight="1">
      <c r="A8190" s="1">
        <v>8737.0</v>
      </c>
      <c r="B8190" s="3" t="s">
        <v>7868</v>
      </c>
      <c r="C8190" s="3" t="str">
        <f>IFERROR(__xludf.DUMMYFUNCTION("GOOGLETRANSLATE(B8190,""id"",""en"")"),"['Good', 'user', 'interface', 'easy', 'accessed', 'young', 'old']")</f>
        <v>['Good', 'user', 'interface', 'easy', 'accessed', 'young', 'old']</v>
      </c>
      <c r="D8190" s="3">
        <v>5.0</v>
      </c>
    </row>
    <row r="8191" ht="15.75" customHeight="1">
      <c r="A8191" s="1">
        <v>8738.0</v>
      </c>
      <c r="B8191" s="3" t="s">
        <v>7869</v>
      </c>
      <c r="C8191" s="3" t="str">
        <f>IFERROR(__xludf.DUMMYFUNCTION("GOOGLETRANSLATE(B8191,""id"",""en"")"),"['Please', 'Package', 'Extra', 'Unlimited', 'User', 'Telkomsel']")</f>
        <v>['Please', 'Package', 'Extra', 'Unlimited', 'User', 'Telkomsel']</v>
      </c>
      <c r="D8191" s="3">
        <v>3.0</v>
      </c>
    </row>
    <row r="8192" ht="15.75" customHeight="1">
      <c r="A8192" s="1">
        <v>8739.0</v>
      </c>
      <c r="B8192" s="3" t="s">
        <v>7870</v>
      </c>
      <c r="C8192" s="3" t="str">
        <f>IFERROR(__xludf.DUMMYFUNCTION("GOOGLETRANSLATE(B8192,""id"",""en"")"),"['', 'Telkom', 'sell']")</f>
        <v>['', 'Telkom', 'sell']</v>
      </c>
      <c r="D8192" s="3">
        <v>1.0</v>
      </c>
    </row>
    <row r="8193" ht="15.75" customHeight="1">
      <c r="A8193" s="1">
        <v>8740.0</v>
      </c>
      <c r="B8193" s="3" t="s">
        <v>7871</v>
      </c>
      <c r="C8193" s="3" t="str">
        <f>IFERROR(__xludf.DUMMYFUNCTION("GOOGLETRANSLATE(B8193,""id"",""en"")"),"['Come', 'signal', 'Karuan', 'ugly', 'bright', 'customer', 'loyal', 'Telkomsel', 'quota', 'special', 'Nge', 'game', ' MLBB ',' Network ',' ugly ',' ']")</f>
        <v>['Come', 'signal', 'Karuan', 'ugly', 'bright', 'customer', 'loyal', 'Telkomsel', 'quota', 'special', 'Nge', 'game', ' MLBB ',' Network ',' ugly ',' ']</v>
      </c>
      <c r="D8193" s="3">
        <v>1.0</v>
      </c>
    </row>
    <row r="8194" ht="15.75" customHeight="1">
      <c r="A8194" s="1">
        <v>8741.0</v>
      </c>
      <c r="B8194" s="3" t="s">
        <v>7872</v>
      </c>
      <c r="C8194" s="3" t="str">
        <f>IFERROR(__xludf.DUMMYFUNCTION("GOOGLETRANSLATE(B8194,""id"",""en"")"),"['application', 'battered', 'Login', 'Engg', 'enter', 'user', 'Telkomsel', 'yrs', 'fix', 'performance', ""]")</f>
        <v>['application', 'battered', 'Login', 'Engg', 'enter', 'user', 'Telkomsel', 'yrs', 'fix', 'performance', "]</v>
      </c>
      <c r="D8194" s="3">
        <v>1.0</v>
      </c>
    </row>
    <row r="8195" ht="15.75" customHeight="1">
      <c r="A8195" s="1">
        <v>8742.0</v>
      </c>
      <c r="B8195" s="3" t="s">
        <v>7873</v>
      </c>
      <c r="C8195" s="3" t="str">
        <f>IFERROR(__xludf.DUMMYFUNCTION("GOOGLETRANSLATE(B8195,""id"",""en"")"),"['Not yet']")</f>
        <v>['Not yet']</v>
      </c>
      <c r="D8195" s="3">
        <v>5.0</v>
      </c>
    </row>
    <row r="8196" ht="15.75" customHeight="1">
      <c r="A8196" s="1">
        <v>8743.0</v>
      </c>
      <c r="B8196" s="3" t="s">
        <v>7874</v>
      </c>
      <c r="C8196" s="3" t="str">
        <f>IFERROR(__xludf.DUMMYFUNCTION("GOOGLETRANSLATE(B8196,""id"",""en"")"),"['hopefully it is blessed']")</f>
        <v>['hopefully it is blessed']</v>
      </c>
      <c r="D8196" s="3">
        <v>5.0</v>
      </c>
    </row>
    <row r="8197" ht="15.75" customHeight="1">
      <c r="A8197" s="1">
        <v>8744.0</v>
      </c>
      <c r="B8197" s="3" t="s">
        <v>7875</v>
      </c>
      <c r="C8197" s="3" t="str">
        <f>IFERROR(__xludf.DUMMYFUNCTION("GOOGLETRANSLATE(B8197,""id"",""en"")"),"['Thank you', 'Kasih', 'Telkomsel', 'Application', 'Bagus', 'Ribet', 'The', 'Best', 'staple', ""]")</f>
        <v>['Thank you', 'Kasih', 'Telkomsel', 'Application', 'Bagus', 'Ribet', 'The', 'Best', 'staple', "]</v>
      </c>
      <c r="D8197" s="3">
        <v>5.0</v>
      </c>
    </row>
    <row r="8198" ht="15.75" customHeight="1">
      <c r="A8198" s="1">
        <v>8745.0</v>
      </c>
      <c r="B8198" s="3" t="s">
        <v>7876</v>
      </c>
      <c r="C8198" s="3" t="str">
        <f>IFERROR(__xludf.DUMMYFUNCTION("GOOGLETRANSLATE(B8198,""id"",""en"")"),"['Wooyyyy', 'boss',' Sunday ',' Application ',' Telkomselku ',' NGK ',' Bukak ',' Ntah ',' Bukak ',' Application ',' Colored ',' White ',' Please ',' Reasoning ',' Boss', 'Boss',' Telkom ']")</f>
        <v>['Wooyyyy', 'boss',' Sunday ',' Application ',' Telkomselku ',' NGK ',' Bukak ',' Ntah ',' Bukak ',' Application ',' Colored ',' White ',' Please ',' Reasoning ',' Boss', 'Boss',' Telkom ']</v>
      </c>
      <c r="D8198" s="3">
        <v>1.0</v>
      </c>
    </row>
    <row r="8199" ht="15.75" customHeight="1">
      <c r="A8199" s="1">
        <v>8746.0</v>
      </c>
      <c r="B8199" s="3" t="s">
        <v>7877</v>
      </c>
      <c r="C8199" s="3" t="str">
        <f>IFERROR(__xludf.DUMMYFUNCTION("GOOGLETRANSLATE(B8199,""id"",""en"")"),"['Steady', 'Easy', 'Thank you', 'Telkomsel']")</f>
        <v>['Steady', 'Easy', 'Thank you', 'Telkomsel']</v>
      </c>
      <c r="D8199" s="3">
        <v>5.0</v>
      </c>
    </row>
    <row r="8200" ht="15.75" customHeight="1">
      <c r="A8200" s="1">
        <v>8747.0</v>
      </c>
      <c r="B8200" s="3" t="s">
        <v>7878</v>
      </c>
      <c r="C8200" s="3" t="str">
        <f>IFERROR(__xludf.DUMMYFUNCTION("GOOGLETRANSLATE(B8200,""id"",""en"")"),"['Subscribe', 'Selayed', 'Knp', 'Open', 'The Application', '']")</f>
        <v>['Subscribe', 'Selayed', 'Knp', 'Open', 'The Application', '']</v>
      </c>
      <c r="D8200" s="3">
        <v>1.0</v>
      </c>
    </row>
    <row r="8201" ht="15.75" customHeight="1">
      <c r="A8201" s="1">
        <v>8748.0</v>
      </c>
      <c r="B8201" s="3" t="s">
        <v>7879</v>
      </c>
      <c r="C8201" s="3" t="str">
        <f>IFERROR(__xludf.DUMMYFUNCTION("GOOGLETRANSLATE(B8201,""id"",""en"")"),"['Telkomsel', 'SKR', 'BNR', 'Nasty', 'Stiap', 'Click', 'Bleng', 'White', 'TRS', 'Delete', 'Download', 'Open', ' BSKY ',' Open ',' Bleng ',' White ',' GMN ',' Min ', ""]")</f>
        <v>['Telkomsel', 'SKR', 'BNR', 'Nasty', 'Stiap', 'Click', 'Bleng', 'White', 'TRS', 'Delete', 'Download', 'Open', ' BSKY ',' Open ',' Bleng ',' White ',' GMN ',' Min ', "]</v>
      </c>
      <c r="D8201" s="3">
        <v>5.0</v>
      </c>
    </row>
    <row r="8202" ht="15.75" customHeight="1">
      <c r="A8202" s="1">
        <v>8749.0</v>
      </c>
      <c r="B8202" s="3" t="s">
        <v>7880</v>
      </c>
      <c r="C8202" s="3" t="str">
        <f>IFERROR(__xludf.DUMMYFUNCTION("GOOGLETRANSLATE(B8202,""id"",""en"")"),"['update', 'difficult', 'enter', 'already', 'minute', 'enter', 'enter', 'update', 'useful', 'destroyed', 'niinstal', 'stool', ' App ']")</f>
        <v>['update', 'difficult', 'enter', 'already', 'minute', 'enter', 'enter', 'update', 'useful', 'destroyed', 'niinstal', 'stool', ' App ']</v>
      </c>
      <c r="D8202" s="3">
        <v>1.0</v>
      </c>
    </row>
    <row r="8203" ht="15.75" customHeight="1">
      <c r="A8203" s="1">
        <v>8750.0</v>
      </c>
      <c r="B8203" s="3" t="s">
        <v>7881</v>
      </c>
      <c r="C8203" s="3" t="str">
        <f>IFERROR(__xludf.DUMMYFUNCTION("GOOGLETRANSLATE(B8203,""id"",""en"")"),"['bad', 'network', 'already', 'price']")</f>
        <v>['bad', 'network', 'already', 'price']</v>
      </c>
      <c r="D8203" s="3">
        <v>1.0</v>
      </c>
    </row>
    <row r="8204" ht="15.75" customHeight="1">
      <c r="A8204" s="1">
        <v>8751.0</v>
      </c>
      <c r="B8204" s="3" t="s">
        <v>7882</v>
      </c>
      <c r="C8204" s="3" t="str">
        <f>IFERROR(__xludf.DUMMYFUNCTION("GOOGLETRANSLATE(B8204,""id"",""en"")"),"['Koutaa', 'internet', 'run out', 'pulse', 'suck', 'betrayal', 'application', 'direct', 'see', 'leftover', 'quota', 'internet', ' "", 'Service']")</f>
        <v>['Koutaa', 'internet', 'run out', 'pulse', 'suck', 'betrayal', 'application', 'direct', 'see', 'leftover', 'quota', 'internet', ' ", 'Service']</v>
      </c>
      <c r="D8204" s="3">
        <v>1.0</v>
      </c>
    </row>
    <row r="8205" ht="15.75" customHeight="1">
      <c r="A8205" s="1">
        <v>8752.0</v>
      </c>
      <c r="B8205" s="3" t="s">
        <v>7883</v>
      </c>
      <c r="C8205" s="3" t="str">
        <f>IFERROR(__xludf.DUMMYFUNCTION("GOOGLETRANSLATE(B8205,""id"",""en"")"),"['The network', 'stable', 'yaa']")</f>
        <v>['The network', 'stable', 'yaa']</v>
      </c>
      <c r="D8205" s="3">
        <v>3.0</v>
      </c>
    </row>
    <row r="8206" ht="15.75" customHeight="1">
      <c r="A8206" s="1">
        <v>8754.0</v>
      </c>
      <c r="B8206" s="3" t="s">
        <v>7884</v>
      </c>
      <c r="C8206" s="3" t="str">
        <f>IFERROR(__xludf.DUMMYFUNCTION("GOOGLETRANSLATE(B8206,""id"",""en"")"),"['Please', 'Hold', 'Paketan', 'Active', 'Hold', 'Package', 'Internet', 'Active', 'Following', 'Active', 'Card', 'Please', ' Processed ',' ']")</f>
        <v>['Please', 'Hold', 'Paketan', 'Active', 'Hold', 'Package', 'Internet', 'Active', 'Following', 'Active', 'Card', 'Please', ' Processed ',' ']</v>
      </c>
      <c r="D8206" s="3">
        <v>5.0</v>
      </c>
    </row>
    <row r="8207" ht="15.75" customHeight="1">
      <c r="A8207" s="1">
        <v>8755.0</v>
      </c>
      <c r="B8207" s="3" t="s">
        <v>659</v>
      </c>
      <c r="C8207" s="3" t="str">
        <f>IFERROR(__xludf.DUMMYFUNCTION("GOOGLETRANSLATE(B8207,""id"",""en"")"),"['Application', 'Help']")</f>
        <v>['Application', 'Help']</v>
      </c>
      <c r="D8207" s="3">
        <v>5.0</v>
      </c>
    </row>
    <row r="8208" ht="15.75" customHeight="1">
      <c r="A8208" s="1">
        <v>8756.0</v>
      </c>
      <c r="B8208" s="3" t="s">
        <v>7885</v>
      </c>
      <c r="C8208" s="3" t="str">
        <f>IFERROR(__xludf.DUMMYFUNCTION("GOOGLETRANSLATE(B8208,""id"",""en"")"),"['Steady', 'promo', 'guys']")</f>
        <v>['Steady', 'promo', 'guys']</v>
      </c>
      <c r="D8208" s="3">
        <v>5.0</v>
      </c>
    </row>
    <row r="8209" ht="15.75" customHeight="1">
      <c r="A8209" s="1">
        <v>8757.0</v>
      </c>
      <c r="B8209" s="3" t="s">
        <v>7886</v>
      </c>
      <c r="C8209" s="3" t="str">
        <f>IFERROR(__xludf.DUMMYFUNCTION("GOOGLETRANSLATE(B8209,""id"",""en"")"),"['Please', 'Sorry', 'Fox', 'Bintang', 'Application', 'Help', 'Load', 'Memory', 'Ajh', 'Application', 'Bad', 'Turn', ' Cretion ',' just ',' sorry ',' no ',' action ',' netting ']")</f>
        <v>['Please', 'Sorry', 'Fox', 'Bintang', 'Application', 'Help', 'Load', 'Memory', 'Ajh', 'Application', 'Bad', 'Turn', ' Cretion ',' just ',' sorry ',' no ',' action ',' netting ']</v>
      </c>
      <c r="D8209" s="3">
        <v>1.0</v>
      </c>
    </row>
    <row r="8210" ht="15.75" customHeight="1">
      <c r="A8210" s="1">
        <v>8758.0</v>
      </c>
      <c r="B8210" s="3" t="s">
        <v>7887</v>
      </c>
      <c r="C8210" s="3" t="str">
        <f>IFERROR(__xludf.DUMMYFUNCTION("GOOGLETRANSLATE(B8210,""id"",""en"")"),"['package', 'internet', 'expensive', 'signal', 'jejek', 'honest', 'tri']")</f>
        <v>['package', 'internet', 'expensive', 'signal', 'jejek', 'honest', 'tri']</v>
      </c>
      <c r="D8210" s="3">
        <v>1.0</v>
      </c>
    </row>
    <row r="8211" ht="15.75" customHeight="1">
      <c r="A8211" s="1">
        <v>8759.0</v>
      </c>
      <c r="B8211" s="3" t="s">
        <v>7888</v>
      </c>
      <c r="C8211" s="3" t="str">
        <f>IFERROR(__xludf.DUMMYFUNCTION("GOOGLETRANSLATE(B8211,""id"",""en"")"),"['package', 'expensive', 'network', 'slow', '']")</f>
        <v>['package', 'expensive', 'network', 'slow', '']</v>
      </c>
      <c r="D8211" s="3">
        <v>2.0</v>
      </c>
    </row>
    <row r="8212" ht="15.75" customHeight="1">
      <c r="A8212" s="1">
        <v>8760.0</v>
      </c>
      <c r="B8212" s="3" t="s">
        <v>7889</v>
      </c>
      <c r="C8212" s="3" t="str">
        <f>IFERROR(__xludf.DUMMYFUNCTION("GOOGLETRANSLATE(B8212,""id"",""en"")"),"['info', 'network', 'provider', 'lag', 'night', '']")</f>
        <v>['info', 'network', 'provider', 'lag', 'night', '']</v>
      </c>
      <c r="D8212" s="3">
        <v>2.0</v>
      </c>
    </row>
    <row r="8213" ht="15.75" customHeight="1">
      <c r="A8213" s="1">
        <v>8761.0</v>
      </c>
      <c r="B8213" s="3" t="s">
        <v>7890</v>
      </c>
      <c r="C8213" s="3" t="str">
        <f>IFERROR(__xludf.DUMMYFUNCTION("GOOGLETRANSLATE(B8213,""id"",""en"")"),"['Network', 'chaotic', 'Telkomsel', 'Severe', 'Betol', '']")</f>
        <v>['Network', 'chaotic', 'Telkomsel', 'Severe', 'Betol', '']</v>
      </c>
      <c r="D8213" s="3">
        <v>1.0</v>
      </c>
    </row>
    <row r="8214" ht="15.75" customHeight="1">
      <c r="A8214" s="1">
        <v>8762.0</v>
      </c>
      <c r="B8214" s="3" t="s">
        <v>7891</v>
      </c>
      <c r="C8214" s="3" t="str">
        <f>IFERROR(__xludf.DUMMYFUNCTION("GOOGLETRANSLATE(B8214,""id"",""en"")"),"['Satisfied', 'card', 'Telkomsel', 'unlimited', 'open', 'Telkomsel', 'card', 'liar']")</f>
        <v>['Satisfied', 'card', 'Telkomsel', 'unlimited', 'open', 'Telkomsel', 'card', 'liar']</v>
      </c>
      <c r="D8214" s="3">
        <v>3.0</v>
      </c>
    </row>
    <row r="8215" ht="15.75" customHeight="1">
      <c r="A8215" s="1">
        <v>8763.0</v>
      </c>
      <c r="B8215" s="3" t="s">
        <v>7892</v>
      </c>
      <c r="C8215" s="3" t="str">
        <f>IFERROR(__xludf.DUMMYFUNCTION("GOOGLETRANSLATE(B8215,""id"",""en"")"),"['Heavy', 'open', 'Application']")</f>
        <v>['Heavy', 'open', 'Application']</v>
      </c>
      <c r="D8215" s="3">
        <v>1.0</v>
      </c>
    </row>
    <row r="8216" ht="15.75" customHeight="1">
      <c r="A8216" s="1">
        <v>8764.0</v>
      </c>
      <c r="B8216" s="3" t="s">
        <v>7893</v>
      </c>
      <c r="C8216" s="3" t="str">
        <f>IFERROR(__xludf.DUMMYFUNCTION("GOOGLETRANSLATE(B8216,""id"",""en"")"),"['', 'Samsung', 'Open', 'Nie', 'APLKSI', 'Strange', ""]")</f>
        <v>['', 'Samsung', 'Open', 'Nie', 'APLKSI', 'Strange', "]</v>
      </c>
      <c r="D8216" s="3">
        <v>2.0</v>
      </c>
    </row>
    <row r="8217" ht="15.75" customHeight="1">
      <c r="A8217" s="1">
        <v>8765.0</v>
      </c>
      <c r="B8217" s="3" t="s">
        <v>7894</v>
      </c>
      <c r="C8217" s="3" t="str">
        <f>IFERROR(__xludf.DUMMYFUNCTION("GOOGLETRANSLATE(B8217,""id"",""en"")"),"['Delicious', 'really', 'Telkomsel', 'home', 'signal', 'full', 'loss', 'buy', 'unlimited']")</f>
        <v>['Delicious', 'really', 'Telkomsel', 'home', 'signal', 'full', 'loss', 'buy', 'unlimited']</v>
      </c>
      <c r="D8217" s="3">
        <v>5.0</v>
      </c>
    </row>
    <row r="8218" ht="15.75" customHeight="1">
      <c r="A8218" s="1">
        <v>8766.0</v>
      </c>
      <c r="B8218" s="3" t="s">
        <v>846</v>
      </c>
      <c r="C8218" s="3" t="str">
        <f>IFERROR(__xludf.DUMMYFUNCTION("GOOGLETRANSLATE(B8218,""id"",""en"")"),"['application', 'good']")</f>
        <v>['application', 'good']</v>
      </c>
      <c r="D8218" s="3">
        <v>5.0</v>
      </c>
    </row>
    <row r="8219" ht="15.75" customHeight="1">
      <c r="A8219" s="1">
        <v>8767.0</v>
      </c>
      <c r="B8219" s="3" t="s">
        <v>7895</v>
      </c>
      <c r="C8219" s="3" t="str">
        <f>IFERROR(__xludf.DUMMYFUNCTION("GOOGLETRANSLATE(B8219,""id"",""en"")"),"['', 'Telkomsel', 'Open', 'kaka']")</f>
        <v>['', 'Telkomsel', 'Open', 'kaka']</v>
      </c>
      <c r="D8219" s="3">
        <v>5.0</v>
      </c>
    </row>
    <row r="8220" ht="15.75" customHeight="1">
      <c r="A8220" s="1">
        <v>8768.0</v>
      </c>
      <c r="B8220" s="3" t="s">
        <v>7896</v>
      </c>
      <c r="C8220" s="3" t="str">
        <f>IFERROR(__xludf.DUMMYFUNCTION("GOOGLETRANSLATE(B8220,""id"",""en"")"),"['wise', 'mngendara', 'fast']")</f>
        <v>['wise', 'mngendara', 'fast']</v>
      </c>
      <c r="D8220" s="3">
        <v>5.0</v>
      </c>
    </row>
    <row r="8221" ht="15.75" customHeight="1">
      <c r="A8221" s="1">
        <v>8769.0</v>
      </c>
      <c r="B8221" s="3" t="s">
        <v>7897</v>
      </c>
      <c r="C8221" s="3" t="str">
        <f>IFERROR(__xludf.DUMMYFUNCTION("GOOGLETRANSLATE(B8221,""id"",""en"")"),"['The application', 'broken', 'HP', 'Damaged', 'opened', 'The application', 'already', 'a month']")</f>
        <v>['The application', 'broken', 'HP', 'Damaged', 'opened', 'The application', 'already', 'a month']</v>
      </c>
      <c r="D8221" s="3">
        <v>1.0</v>
      </c>
    </row>
    <row r="8222" ht="15.75" customHeight="1">
      <c r="A8222" s="1">
        <v>8770.0</v>
      </c>
      <c r="B8222" s="3" t="s">
        <v>7898</v>
      </c>
      <c r="C8222" s="3" t="str">
        <f>IFERROR(__xludf.DUMMYFUNCTION("GOOGLETRANSLATE(B8222,""id"",""en"")"),"['Disappointed', 'Karna', 'Package', 'Unlimitid', 'GB', 'ilang', 'Package', 'Package', 'Like']")</f>
        <v>['Disappointed', 'Karna', 'Package', 'Unlimitid', 'GB', 'ilang', 'Package', 'Package', 'Like']</v>
      </c>
      <c r="D8222" s="3">
        <v>1.0</v>
      </c>
    </row>
    <row r="8223" ht="15.75" customHeight="1">
      <c r="A8223" s="1">
        <v>8771.0</v>
      </c>
      <c r="B8223" s="3" t="s">
        <v>7899</v>
      </c>
      <c r="C8223" s="3" t="str">
        <f>IFERROR(__xludf.DUMMYFUNCTION("GOOGLETRANSLATE(B8223,""id"",""en"")"),"['bad', 'update', 'version', 'Android', 'function', 'screen', 'blank', 'white', ""]")</f>
        <v>['bad', 'update', 'version', 'Android', 'function', 'screen', 'blank', 'white', "]</v>
      </c>
      <c r="D8223" s="3">
        <v>1.0</v>
      </c>
    </row>
    <row r="8224" ht="15.75" customHeight="1">
      <c r="A8224" s="1">
        <v>8772.0</v>
      </c>
      <c r="B8224" s="3" t="s">
        <v>7900</v>
      </c>
      <c r="C8224" s="3" t="str">
        <f>IFERROR(__xludf.DUMMYFUNCTION("GOOGLETRANSLATE(B8224,""id"",""en"")"),"['quiz', 'Points', 'Error', 'SMS', 'number', 'OTP', 'Valid', 'Minutes', 'Many "",' reset ',' SMS ',' OTP ',' Send ',' aka ',' valid ']")</f>
        <v>['quiz', 'Points', 'Error', 'SMS', 'number', 'OTP', 'Valid', 'Minutes', 'Many ",' reset ',' SMS ',' OTP ',' Send ',' aka ',' valid ']</v>
      </c>
      <c r="D8224" s="3">
        <v>3.0</v>
      </c>
    </row>
    <row r="8225" ht="15.75" customHeight="1">
      <c r="A8225" s="1">
        <v>8773.0</v>
      </c>
      <c r="B8225" s="3" t="s">
        <v>7901</v>
      </c>
      <c r="C8225" s="3" t="str">
        <f>IFERROR(__xludf.DUMMYFUNCTION("GOOGLETRANSLATE(B8225,""id"",""en"")"),"['JLEK', 'App', 'Kebuka', 'Leet']")</f>
        <v>['JLEK', 'App', 'Kebuka', 'Leet']</v>
      </c>
      <c r="D8225" s="3">
        <v>1.0</v>
      </c>
    </row>
    <row r="8226" ht="15.75" customHeight="1">
      <c r="A8226" s="1">
        <v>8774.0</v>
      </c>
      <c r="B8226" s="3" t="s">
        <v>7902</v>
      </c>
      <c r="C8226" s="3" t="str">
        <f>IFERROR(__xludf.DUMMYFUNCTION("GOOGLETRANSLATE(B8226,""id"",""en"")"),"['Telkomsel', 'bad', 'skrng', 'Telkomsel', 'open', 'screen', 'white', 'purchase', 'quota', 'sudh', 'truncated', 'internet', ' BSA ',' PKE ',' Tlong ',' Min ',' GMN ',' ']")</f>
        <v>['Telkomsel', 'bad', 'skrng', 'Telkomsel', 'open', 'screen', 'white', 'purchase', 'quota', 'sudh', 'truncated', 'internet', ' BSA ',' PKE ',' Tlong ',' Min ',' GMN ',' ']</v>
      </c>
      <c r="D8226" s="3">
        <v>2.0</v>
      </c>
    </row>
    <row r="8227" ht="15.75" customHeight="1">
      <c r="A8227" s="1">
        <v>8775.0</v>
      </c>
      <c r="B8227" s="3" t="s">
        <v>7903</v>
      </c>
      <c r="C8227" s="3" t="str">
        <f>IFERROR(__xludf.DUMMYFUNCTION("GOOGLETRANSLATE(B8227,""id"",""en"")"),"['good', 'easy', 'use', 'fast', 'contents', 'pulse', 'data', 'bill', 'good', 'job', ""]")</f>
        <v>['good', 'easy', 'use', 'fast', 'contents', 'pulse', 'data', 'bill', 'good', 'job', "]</v>
      </c>
      <c r="D8227" s="3">
        <v>5.0</v>
      </c>
    </row>
    <row r="8228" ht="15.75" customHeight="1">
      <c r="A8228" s="1">
        <v>8776.0</v>
      </c>
      <c r="B8228" s="3" t="s">
        <v>7904</v>
      </c>
      <c r="C8228" s="3" t="str">
        <f>IFERROR(__xludf.DUMMYFUNCTION("GOOGLETRANSLATE(B8228,""id"",""en"")"),"['network', 'the widest', 'Indonesia', 'dream', 'area', 'minus']")</f>
        <v>['network', 'the widest', 'Indonesia', 'dream', 'area', 'minus']</v>
      </c>
      <c r="D8228" s="3">
        <v>1.0</v>
      </c>
    </row>
    <row r="8229" ht="15.75" customHeight="1">
      <c r="A8229" s="1">
        <v>8777.0</v>
      </c>
      <c r="B8229" s="3" t="s">
        <v>7905</v>
      </c>
      <c r="C8229" s="3" t="str">
        <f>IFERROR(__xludf.DUMMYFUNCTION("GOOGLETRANSLATE(B8229,""id"",""en"")"),"['Good', 'used']")</f>
        <v>['Good', 'used']</v>
      </c>
      <c r="D8229" s="3">
        <v>5.0</v>
      </c>
    </row>
    <row r="8230" ht="15.75" customHeight="1">
      <c r="A8230" s="1">
        <v>8778.0</v>
      </c>
      <c r="B8230" s="3" t="s">
        <v>7906</v>
      </c>
      <c r="C8230" s="3" t="str">
        <f>IFERROR(__xludf.DUMMYFUNCTION("GOOGLETRANSLATE(B8230,""id"",""en"")"),"['Out', 'upup', 'version', 'opened', 'purpose', 'what']]")</f>
        <v>['Out', 'upup', 'version', 'opened', 'purpose', 'what']]</v>
      </c>
      <c r="D8230" s="3">
        <v>1.0</v>
      </c>
    </row>
    <row r="8231" ht="15.75" customHeight="1">
      <c r="A8231" s="1">
        <v>8779.0</v>
      </c>
      <c r="B8231" s="3" t="s">
        <v>7907</v>
      </c>
      <c r="C8231" s="3" t="str">
        <f>IFERROR(__xludf.DUMMYFUNCTION("GOOGLETRANSLATE(B8231,""id"",""en"")"),"['application', 'amsyyondi', 'already', 'buy', 'package', 'Telkomsel', 'Sakti', 'Notif', 'internet', 'non', 'package', 'then' Paketan ',' Telkomsel ',' please ',' DNG ',' specific ', ""]")</f>
        <v>['application', 'amsyyondi', 'already', 'buy', 'package', 'Telkomsel', 'Sakti', 'Notif', 'internet', 'non', 'package', 'then' Paketan ',' Telkomsel ',' please ',' DNG ',' specific ', "]</v>
      </c>
      <c r="D8231" s="3">
        <v>1.0</v>
      </c>
    </row>
    <row r="8232" ht="15.75" customHeight="1">
      <c r="A8232" s="1">
        <v>8781.0</v>
      </c>
      <c r="B8232" s="3" t="s">
        <v>7908</v>
      </c>
      <c r="C8232" s="3" t="str">
        <f>IFERROR(__xludf.DUMMYFUNCTION("GOOGLETRANSLATE(B8232,""id"",""en"")"),"['', 'watch', 'You', 'Tube', 'smooth', 'lagik', 'play', 'game', 'please', 'Telkomsel', 'fix', ""]")</f>
        <v>['', 'watch', 'You', 'Tube', 'smooth', 'lagik', 'play', 'game', 'please', 'Telkomsel', 'fix', "]</v>
      </c>
      <c r="D8232" s="3">
        <v>1.0</v>
      </c>
    </row>
    <row r="8233" ht="15.75" customHeight="1">
      <c r="A8233" s="1">
        <v>8782.0</v>
      </c>
      <c r="B8233" s="3" t="s">
        <v>7909</v>
      </c>
      <c r="C8233" s="3" t="str">
        <f>IFERROR(__xludf.DUMMYFUNCTION("GOOGLETRANSLATE(B8233,""id"",""en"")"),"['', 'cell', 'famous',' expensive ',' tlg ',' fix ',' pakek ',' cell ',' enjoy ',' satisfaction ',' wear ',' paketan ',' browse ',' etc. ',' open ',' application ',' online ',' slow ',' good ',' good ',' disappointing ']")</f>
        <v>['', 'cell', 'famous',' expensive ',' tlg ',' fix ',' pakek ',' cell ',' enjoy ',' satisfaction ',' wear ',' paketan ',' browse ',' etc. ',' open ',' application ',' online ',' slow ',' good ',' good ',' disappointing ']</v>
      </c>
      <c r="D8233" s="3">
        <v>1.0</v>
      </c>
    </row>
    <row r="8234" ht="15.75" customHeight="1">
      <c r="A8234" s="1">
        <v>8783.0</v>
      </c>
      <c r="B8234" s="3" t="s">
        <v>7910</v>
      </c>
      <c r="C8234" s="3" t="str">
        <f>IFERROR(__xludf.DUMMYFUNCTION("GOOGLETRANSLATE(B8234,""id"",""en"")"),"['Knp', 'Network', 'Telkomsel', 'Ngadat', 'disappointing']")</f>
        <v>['Knp', 'Network', 'Telkomsel', 'Ngadat', 'disappointing']</v>
      </c>
      <c r="D8234" s="3">
        <v>5.0</v>
      </c>
    </row>
    <row r="8235" ht="15.75" customHeight="1">
      <c r="A8235" s="1">
        <v>8784.0</v>
      </c>
      <c r="B8235" s="3" t="s">
        <v>7911</v>
      </c>
      <c r="C8235" s="3" t="str">
        <f>IFERROR(__xludf.DUMMYFUNCTION("GOOGLETRANSLATE(B8235,""id"",""en"")"),"['Date', 'Application', 'Telkomsel', 'Open', 'Install', 'Install', 'Until', 'Many', 'Times', 'Open', 'Please']")</f>
        <v>['Date', 'Application', 'Telkomsel', 'Open', 'Install', 'Install', 'Until', 'Many', 'Times', 'Open', 'Please']</v>
      </c>
      <c r="D8235" s="3">
        <v>3.0</v>
      </c>
    </row>
    <row r="8236" ht="15.75" customHeight="1">
      <c r="A8236" s="1">
        <v>8785.0</v>
      </c>
      <c r="B8236" s="3" t="s">
        <v>7912</v>
      </c>
      <c r="C8236" s="3" t="str">
        <f>IFERROR(__xludf.DUMMYFUNCTION("GOOGLETRANSLATE(B8236,""id"",""en"")"),"['Good', 'complete', 'Features', 'Connect', '']")</f>
        <v>['Good', 'complete', 'Features', 'Connect', '']</v>
      </c>
      <c r="D8236" s="3">
        <v>5.0</v>
      </c>
    </row>
    <row r="8237" ht="15.75" customHeight="1">
      <c r="A8237" s="1">
        <v>8786.0</v>
      </c>
      <c r="B8237" s="3" t="s">
        <v>7913</v>
      </c>
      <c r="C8237" s="3" t="str">
        <f>IFERROR(__xludf.DUMMYFUNCTION("GOOGLETRANSLATE(B8237,""id"",""en"")"),"['choice', 'package', 'internet', 'detrimental', 'imposes',' choose ',' package ',' internet ',' used ',' useful ',' win ',' dysinynya ',' ']")</f>
        <v>['choice', 'package', 'internet', 'detrimental', 'imposes',' choose ',' package ',' internet ',' used ',' useful ',' win ',' dysinynya ',' ']</v>
      </c>
      <c r="D8237" s="3">
        <v>3.0</v>
      </c>
    </row>
    <row r="8238" ht="15.75" customHeight="1">
      <c r="A8238" s="1">
        <v>8787.0</v>
      </c>
      <c r="B8238" s="3" t="s">
        <v>7914</v>
      </c>
      <c r="C8238" s="3" t="str">
        <f>IFERROR(__xludf.DUMMYFUNCTION("GOOGLETRANSLATE(B8238,""id"",""en"")"),"['please', 'price', 'package', 'package', 'ride', 'price']")</f>
        <v>['please', 'price', 'package', 'package', 'ride', 'price']</v>
      </c>
      <c r="D8238" s="3">
        <v>5.0</v>
      </c>
    </row>
    <row r="8239" ht="15.75" customHeight="1">
      <c r="A8239" s="1">
        <v>8788.0</v>
      </c>
      <c r="B8239" s="3" t="s">
        <v>7915</v>
      </c>
      <c r="C8239" s="3" t="str">
        <f>IFERROR(__xludf.DUMMYFUNCTION("GOOGLETRANSLATE(B8239,""id"",""en"")"),"['Cave', 'Hour', 'Push', 'Rank', 'Lagg', 'Mulu', 'Kontolll', 'Telkom', 'bangsdd']")</f>
        <v>['Cave', 'Hour', 'Push', 'Rank', 'Lagg', 'Mulu', 'Kontolll', 'Telkom', 'bangsdd']</v>
      </c>
      <c r="D8239" s="3">
        <v>1.0</v>
      </c>
    </row>
    <row r="8240" ht="15.75" customHeight="1">
      <c r="A8240" s="1">
        <v>8789.0</v>
      </c>
      <c r="B8240" s="3" t="s">
        <v>7916</v>
      </c>
      <c r="C8240" s="3" t="str">
        <f>IFERROR(__xludf.DUMMYFUNCTION("GOOGLETRANSLATE(B8240,""id"",""en"")"),"['Package', 'just', 'check', '']")</f>
        <v>['Package', 'just', 'check', '']</v>
      </c>
      <c r="D8240" s="3">
        <v>4.0</v>
      </c>
    </row>
    <row r="8241" ht="15.75" customHeight="1">
      <c r="A8241" s="1">
        <v>8790.0</v>
      </c>
      <c r="B8241" s="3" t="s">
        <v>7917</v>
      </c>
      <c r="C8241" s="3" t="str">
        <f>IFERROR(__xludf.DUMMYFUNCTION("GOOGLETRANSLATE(B8241,""id"",""en"")"),"['Good', 'offer', 'package', 'cheap']")</f>
        <v>['Good', 'offer', 'package', 'cheap']</v>
      </c>
      <c r="D8241" s="3">
        <v>4.0</v>
      </c>
    </row>
    <row r="8242" ht="15.75" customHeight="1">
      <c r="A8242" s="1">
        <v>8791.0</v>
      </c>
      <c r="B8242" s="3" t="s">
        <v>7918</v>
      </c>
      <c r="C8242" s="3" t="str">
        <f>IFERROR(__xludf.DUMMYFUNCTION("GOOGLETRANSLATE(B8242,""id"",""en"")"),"['expensive', 'doang', 'signal', 'rotten']")</f>
        <v>['expensive', 'doang', 'signal', 'rotten']</v>
      </c>
      <c r="D8242" s="3">
        <v>1.0</v>
      </c>
    </row>
    <row r="8243" ht="15.75" customHeight="1">
      <c r="A8243" s="1">
        <v>8792.0</v>
      </c>
      <c r="B8243" s="3" t="s">
        <v>7919</v>
      </c>
      <c r="C8243" s="3" t="str">
        <f>IFERROR(__xludf.DUMMYFUNCTION("GOOGLETRANSLATE(B8243,""id"",""en"")"),"['steady', 'package', 'cheap']")</f>
        <v>['steady', 'package', 'cheap']</v>
      </c>
      <c r="D8243" s="3">
        <v>5.0</v>
      </c>
    </row>
    <row r="8244" ht="15.75" customHeight="1">
      <c r="A8244" s="1">
        <v>8793.0</v>
      </c>
      <c r="B8244" s="3" t="s">
        <v>7920</v>
      </c>
      <c r="C8244" s="3" t="str">
        <f>IFERROR(__xludf.DUMMYFUNCTION("GOOGLETRANSLATE(B8244,""id"",""en"")"),"['APK', 'broken', 'unlimited', 'fraud']")</f>
        <v>['APK', 'broken', 'unlimited', 'fraud']</v>
      </c>
      <c r="D8244" s="3">
        <v>1.0</v>
      </c>
    </row>
    <row r="8245" ht="15.75" customHeight="1">
      <c r="A8245" s="1">
        <v>8794.0</v>
      </c>
      <c r="B8245" s="3" t="s">
        <v>7921</v>
      </c>
      <c r="C8245" s="3" t="str">
        <f>IFERROR(__xludf.DUMMYFUNCTION("GOOGLETRANSLATE(B8245,""id"",""en"")"),"['Come on', 'Increase', 'Package', 'Save', '']")</f>
        <v>['Come on', 'Increase', 'Package', 'Save', '']</v>
      </c>
      <c r="D8245" s="3">
        <v>5.0</v>
      </c>
    </row>
    <row r="8246" ht="15.75" customHeight="1">
      <c r="A8246" s="1">
        <v>8795.0</v>
      </c>
      <c r="B8246" s="3" t="s">
        <v>7922</v>
      </c>
      <c r="C8246" s="3" t="str">
        <f>IFERROR(__xludf.DUMMYFUNCTION("GOOGLETRANSLATE(B8246,""id"",""en"")"),"['ugly', 'really', 'my apk', 'blank', 'white', 'open', 'Hadehhhhjjhj', 'poor', ""]")</f>
        <v>['ugly', 'really', 'my apk', 'blank', 'white', 'open', 'Hadehhhhjjhj', 'poor', "]</v>
      </c>
      <c r="D8246" s="3">
        <v>1.0</v>
      </c>
    </row>
    <row r="8247" ht="15.75" customHeight="1">
      <c r="A8247" s="1">
        <v>8796.0</v>
      </c>
      <c r="B8247" s="3" t="s">
        <v>7923</v>
      </c>
      <c r="C8247" s="3" t="str">
        <f>IFERROR(__xludf.DUMMYFUNCTION("GOOGLETRANSLATE(B8247,""id"",""en"")"),"['Please', 'APK', 'Telkomsel', 'Free', 'Rich', 'APK', 'Card', 'Addin', 'Feature', 'Key', 'Data', 'Credit', ' Cut ',' ']")</f>
        <v>['Please', 'APK', 'Telkomsel', 'Free', 'Rich', 'APK', 'Card', 'Addin', 'Feature', 'Key', 'Data', 'Credit', ' Cut ',' ']</v>
      </c>
      <c r="D8247" s="3">
        <v>3.0</v>
      </c>
    </row>
    <row r="8248" ht="15.75" customHeight="1">
      <c r="A8248" s="1">
        <v>8797.0</v>
      </c>
      <c r="B8248" s="3" t="s">
        <v>7924</v>
      </c>
      <c r="C8248" s="3" t="str">
        <f>IFERROR(__xludf.DUMMYFUNCTION("GOOGLETRANSLATE(B8248,""id"",""en"")"),"['already', 'week', 'open', 'napa', 'application', '']")</f>
        <v>['already', 'week', 'open', 'napa', 'application', '']</v>
      </c>
      <c r="D8248" s="3">
        <v>3.0</v>
      </c>
    </row>
    <row r="8249" ht="15.75" customHeight="1">
      <c r="A8249" s="1">
        <v>8798.0</v>
      </c>
      <c r="B8249" s="3" t="s">
        <v>7925</v>
      </c>
      <c r="C8249" s="3" t="str">
        <f>IFERROR(__xludf.DUMMYFUNCTION("GOOGLETRANSLATE(B8249,""id"",""en"")"),"['application', 'good', 'really', 'help', ""]")</f>
        <v>['application', 'good', 'really', 'help', "]</v>
      </c>
      <c r="D8249" s="3">
        <v>5.0</v>
      </c>
    </row>
    <row r="8250" ht="15.75" customHeight="1">
      <c r="A8250" s="1">
        <v>8799.0</v>
      </c>
      <c r="B8250" s="3" t="s">
        <v>7926</v>
      </c>
      <c r="C8250" s="3" t="str">
        <f>IFERROR(__xludf.DUMMYFUNCTION("GOOGLETRANSLATE(B8250,""id"",""en"")"),"['Telkomsel', 'Play', 'Mobile', 'Lagen', 'Paketan', 'Giga', 'Signal', 'Main', 'Bngkrut', 'Seeks', 'You', 'Telkomsel']")</f>
        <v>['Telkomsel', 'Play', 'Mobile', 'Lagen', 'Paketan', 'Giga', 'Signal', 'Main', 'Bngkrut', 'Seeks', 'You', 'Telkomsel']</v>
      </c>
      <c r="D8250" s="3">
        <v>1.0</v>
      </c>
    </row>
    <row r="8251" ht="15.75" customHeight="1">
      <c r="A8251" s="1">
        <v>8800.0</v>
      </c>
      <c r="B8251" s="3" t="s">
        <v>7927</v>
      </c>
      <c r="C8251" s="3" t="str">
        <f>IFERROR(__xludf.DUMMYFUNCTION("GOOGLETRANSLATE(B8251,""id"",""en"")"),"['Download', 'Application', 'Telkomsel', 'Please', 'The answer', '']")</f>
        <v>['Download', 'Application', 'Telkomsel', 'Please', 'The answer', '']</v>
      </c>
      <c r="D8251" s="3">
        <v>1.0</v>
      </c>
    </row>
    <row r="8252" ht="15.75" customHeight="1">
      <c r="A8252" s="1">
        <v>8801.0</v>
      </c>
      <c r="B8252" s="3" t="s">
        <v>7928</v>
      </c>
      <c r="C8252" s="3" t="str">
        <f>IFERROR(__xludf.DUMMYFUNCTION("GOOGLETRANSLATE(B8252,""id"",""en"")"),"['', 'login', 'just', 'screen', 'white', 'update', 'boss', 'BIAT', 'Diliated']")</f>
        <v>['', 'login', 'just', 'screen', 'white', 'update', 'boss', 'BIAT', 'Diliated']</v>
      </c>
      <c r="D8252" s="3">
        <v>5.0</v>
      </c>
    </row>
    <row r="8253" ht="15.75" customHeight="1">
      <c r="A8253" s="1">
        <v>8802.0</v>
      </c>
      <c r="B8253" s="3" t="s">
        <v>7929</v>
      </c>
      <c r="C8253" s="3" t="str">
        <f>IFERROR(__xludf.DUMMYFUNCTION("GOOGLETRANSLATE(B8253,""id"",""en"")"),"['application', 'Telkomsel', 'open', 'min', 'hope', 'appeal']")</f>
        <v>['application', 'Telkomsel', 'open', 'min', 'hope', 'appeal']</v>
      </c>
      <c r="D8253" s="3">
        <v>5.0</v>
      </c>
    </row>
    <row r="8254" ht="15.75" customHeight="1">
      <c r="A8254" s="1">
        <v>8803.0</v>
      </c>
      <c r="B8254" s="3" t="s">
        <v>92</v>
      </c>
      <c r="C8254" s="3" t="str">
        <f>IFERROR(__xludf.DUMMYFUNCTION("GOOGLETRANSLATE(B8254,""id"",""en"")"),"['Application', 'Open']")</f>
        <v>['Application', 'Open']</v>
      </c>
      <c r="D8254" s="3">
        <v>1.0</v>
      </c>
    </row>
    <row r="8255" ht="15.75" customHeight="1">
      <c r="A8255" s="1">
        <v>8804.0</v>
      </c>
      <c r="B8255" s="3" t="s">
        <v>7930</v>
      </c>
      <c r="C8255" s="3" t="str">
        <f>IFERROR(__xludf.DUMMYFUNCTION("GOOGLETRANSLATE(B8255,""id"",""en"")"),"['App', 'NGK', 'Open', 'Sunday', 'App', 'NGK', 'Open']")</f>
        <v>['App', 'NGK', 'Open', 'Sunday', 'App', 'NGK', 'Open']</v>
      </c>
      <c r="D8255" s="3">
        <v>1.0</v>
      </c>
    </row>
    <row r="8256" ht="15.75" customHeight="1">
      <c r="A8256" s="1">
        <v>8805.0</v>
      </c>
      <c r="B8256" s="3" t="s">
        <v>7931</v>
      </c>
      <c r="C8256" s="3" t="str">
        <f>IFERROR(__xludf.DUMMYFUNCTION("GOOGLETRANSLATE(B8256,""id"",""en"")"),"['Please', 'Deployed', 'Price', 'Quotes', '']")</f>
        <v>['Please', 'Deployed', 'Price', 'Quotes', '']</v>
      </c>
      <c r="D8256" s="3">
        <v>5.0</v>
      </c>
    </row>
    <row r="8257" ht="15.75" customHeight="1">
      <c r="A8257" s="1">
        <v>8806.0</v>
      </c>
      <c r="B8257" s="3" t="s">
        <v>7932</v>
      </c>
      <c r="C8257" s="3" t="str">
        <f>IFERROR(__xludf.DUMMYFUNCTION("GOOGLETRANSLATE(B8257,""id"",""en"")"),"['DBuka', 'DHP', '']")</f>
        <v>['DBuka', 'DHP', '']</v>
      </c>
      <c r="D8257" s="3">
        <v>5.0</v>
      </c>
    </row>
    <row r="8258" ht="15.75" customHeight="1">
      <c r="A8258" s="1">
        <v>8807.0</v>
      </c>
      <c r="B8258" s="3" t="s">
        <v>7933</v>
      </c>
      <c r="C8258" s="3" t="str">
        <f>IFERROR(__xludf.DUMMYFUNCTION("GOOGLETRANSLATE(B8258,""id"",""en"")"),"['Application', 'Worst', 'Teremot', 'Benefits', 'Screen', 'White', 'Doang']")</f>
        <v>['Application', 'Worst', 'Teremot', 'Benefits', 'Screen', 'White', 'Doang']</v>
      </c>
      <c r="D8258" s="3">
        <v>1.0</v>
      </c>
    </row>
    <row r="8259" ht="15.75" customHeight="1">
      <c r="A8259" s="1">
        <v>8808.0</v>
      </c>
      <c r="B8259" s="3" t="s">
        <v>7934</v>
      </c>
      <c r="C8259" s="3" t="str">
        <f>IFERROR(__xludf.DUMMYFUNCTION("GOOGLETRANSLATE(B8259,""id"",""en"")"),"['signal', 'Telkomsel', 'bad', 'quota', 'internet', 'fast', 'run out', 'disappointing', 'Telkomsel', 'bad']")</f>
        <v>['signal', 'Telkomsel', 'bad', 'quota', 'internet', 'fast', 'run out', 'disappointing', 'Telkomsel', 'bad']</v>
      </c>
      <c r="D8259" s="3">
        <v>1.0</v>
      </c>
    </row>
    <row r="8260" ht="15.75" customHeight="1">
      <c r="A8260" s="1">
        <v>8809.0</v>
      </c>
      <c r="B8260" s="3" t="s">
        <v>7935</v>
      </c>
      <c r="C8260" s="3" t="str">
        <f>IFERROR(__xludf.DUMMYFUNCTION("GOOGLETRANSLATE(B8260,""id"",""en"")"),"['Telkomsel', 'good', 'really']")</f>
        <v>['Telkomsel', 'good', 'really']</v>
      </c>
      <c r="D8260" s="3">
        <v>5.0</v>
      </c>
    </row>
    <row r="8261" ht="15.75" customHeight="1">
      <c r="A8261" s="1">
        <v>8810.0</v>
      </c>
      <c r="B8261" s="3" t="s">
        <v>7936</v>
      </c>
      <c r="C8261" s="3" t="str">
        <f>IFERROR(__xludf.DUMMYFUNCTION("GOOGLETRANSLATE(B8261,""id"",""en"")"),"['Open', 'Open', 'appears', 'color', 'white', 'full', 'screen']")</f>
        <v>['Open', 'Open', 'appears', 'color', 'white', 'full', 'screen']</v>
      </c>
      <c r="D8261" s="3">
        <v>1.0</v>
      </c>
    </row>
    <row r="8262" ht="15.75" customHeight="1">
      <c r="A8262" s="1">
        <v>8811.0</v>
      </c>
      <c r="B8262" s="3" t="s">
        <v>7937</v>
      </c>
      <c r="C8262" s="3" t="str">
        <f>IFERROR(__xludf.DUMMYFUNCTION("GOOGLETRANSLATE(B8262,""id"",""en"")"),"['woooooooooooowwww', 'bikesssss']")</f>
        <v>['woooooooooooowwww', 'bikesssss']</v>
      </c>
      <c r="D8262" s="3">
        <v>5.0</v>
      </c>
    </row>
    <row r="8263" ht="15.75" customHeight="1">
      <c r="A8263" s="1">
        <v>8812.0</v>
      </c>
      <c r="B8263" s="3" t="s">
        <v>7938</v>
      </c>
      <c r="C8263" s="3" t="str">
        <f>IFERROR(__xludf.DUMMYFUNCTION("GOOGLETRANSLATE(B8263,""id"",""en"")"),"['Rampok', 'Credit', 'Telkomsel', 'already', 'Many', 'times',' Genesis', 'Rich', 'Gini', 'Quota', 'Credit', 'Used', ' reasons', 'usage', 'internet', 'outside', 'package', 'how', 'story', 'quota', 'internet', 'pulses',' tetep ',' kepake ',' number ' , 'alr"&amp;"eady', 'already', 'widening', 'used', 'work', 'already', 'replace', 'provider', 'Ogah', 'Telkomsel', 'detrimental', 'nye', ' ']")</f>
        <v>['Rampok', 'Credit', 'Telkomsel', 'already', 'Many', 'times',' Genesis', 'Rich', 'Gini', 'Quota', 'Credit', 'Used', ' reasons', 'usage', 'internet', 'outside', 'package', 'how', 'story', 'quota', 'internet', 'pulses',' tetep ',' kepake ',' number ' , 'already', 'already', 'widening', 'used', 'work', 'already', 'replace', 'provider', 'Ogah', 'Telkomsel', 'detrimental', 'nye', ' ']</v>
      </c>
      <c r="D8263" s="3">
        <v>1.0</v>
      </c>
    </row>
    <row r="8264" ht="15.75" customHeight="1">
      <c r="A8264" s="1">
        <v>8813.0</v>
      </c>
      <c r="B8264" s="3" t="s">
        <v>592</v>
      </c>
      <c r="C8264" s="3" t="str">
        <f>IFERROR(__xludf.DUMMYFUNCTION("GOOGLETRANSLATE(B8264,""id"",""en"")"),"['Telkomsel']")</f>
        <v>['Telkomsel']</v>
      </c>
      <c r="D8264" s="3">
        <v>5.0</v>
      </c>
    </row>
    <row r="8265" ht="15.75" customHeight="1">
      <c r="A8265" s="1">
        <v>8814.0</v>
      </c>
      <c r="B8265" s="3" t="s">
        <v>7939</v>
      </c>
      <c r="C8265" s="3" t="str">
        <f>IFERROR(__xludf.DUMMYFUNCTION("GOOGLETRANSLATE(B8265,""id"",""en"")"),"['ugly', 'regret', 'dendonwload', 'TEL', 'bad', 'service', 'customer']")</f>
        <v>['ugly', 'regret', 'dendonwload', 'TEL', 'bad', 'service', 'customer']</v>
      </c>
      <c r="D8265" s="3">
        <v>1.0</v>
      </c>
    </row>
    <row r="8266" ht="15.75" customHeight="1">
      <c r="A8266" s="1">
        <v>8815.0</v>
      </c>
      <c r="B8266" s="3" t="s">
        <v>7940</v>
      </c>
      <c r="C8266" s="3" t="str">
        <f>IFERROR(__xludf.DUMMYFUNCTION("GOOGLETRANSLATE(B8266,""id"",""en"")"),"['Fill', 'reset', 'pulses',' reduced ',' debt ',' package ',' emergency ',' pay ',' already ',' times', 'squaring', 'Telkom', ' Already ',' signal ',' stable ',' ']")</f>
        <v>['Fill', 'reset', 'pulses',' reduced ',' debt ',' package ',' emergency ',' pay ',' already ',' times', 'squaring', 'Telkom', ' Already ',' signal ',' stable ',' ']</v>
      </c>
      <c r="D8266" s="3">
        <v>1.0</v>
      </c>
    </row>
    <row r="8267" ht="15.75" customHeight="1">
      <c r="A8267" s="1">
        <v>8816.0</v>
      </c>
      <c r="B8267" s="3" t="s">
        <v>7941</v>
      </c>
      <c r="C8267" s="3" t="str">
        <f>IFERROR(__xludf.DUMMYFUNCTION("GOOGLETRANSLATE(B8267,""id"",""en"")"),"['Network', 'Benerin']")</f>
        <v>['Network', 'Benerin']</v>
      </c>
      <c r="D8267" s="3">
        <v>1.0</v>
      </c>
    </row>
    <row r="8268" ht="15.75" customHeight="1">
      <c r="A8268" s="1">
        <v>8817.0</v>
      </c>
      <c r="B8268" s="3" t="s">
        <v>7942</v>
      </c>
      <c r="C8268" s="3" t="str">
        <f>IFERROR(__xludf.DUMMYFUNCTION("GOOGLETRANSLATE(B8268,""id"",""en"")"),"['App', 'ugly', 'Open', 'Applicationx']")</f>
        <v>['App', 'ugly', 'Open', 'Applicationx']</v>
      </c>
      <c r="D8268" s="3">
        <v>1.0</v>
      </c>
    </row>
    <row r="8269" ht="15.75" customHeight="1">
      <c r="A8269" s="1">
        <v>8818.0</v>
      </c>
      <c r="B8269" s="3" t="s">
        <v>7943</v>
      </c>
      <c r="C8269" s="3" t="str">
        <f>IFERROR(__xludf.DUMMYFUNCTION("GOOGLETRANSLATE(B8269,""id"",""en"")"),"['Siknyal', 'ugly', 'setabilia', 'Please', 'fix', 'emotion', 'package', 'expensive', 'siknyal', 'comparable', 'play', 'game', ' Ngellag ']")</f>
        <v>['Siknyal', 'ugly', 'setabilia', 'Please', 'fix', 'emotion', 'package', 'expensive', 'siknyal', 'comparable', 'play', 'game', ' Ngellag ']</v>
      </c>
      <c r="D8269" s="3">
        <v>1.0</v>
      </c>
    </row>
    <row r="8270" ht="15.75" customHeight="1">
      <c r="A8270" s="1">
        <v>8819.0</v>
      </c>
      <c r="B8270" s="3" t="s">
        <v>7944</v>
      </c>
      <c r="C8270" s="3" t="str">
        <f>IFERROR(__xludf.DUMMYFUNCTION("GOOGLETRANSLATE(B8270,""id"",""en"")"),"['', 'The application', 'opened', 'Install', '']")</f>
        <v>['', 'The application', 'opened', 'Install', '']</v>
      </c>
      <c r="D8270" s="3">
        <v>1.0</v>
      </c>
    </row>
    <row r="8271" ht="15.75" customHeight="1">
      <c r="A8271" s="1">
        <v>8820.0</v>
      </c>
      <c r="B8271" s="3" t="s">
        <v>7945</v>
      </c>
      <c r="C8271" s="3" t="str">
        <f>IFERROR(__xludf.DUMMYFUNCTION("GOOGLETRANSLATE(B8271,""id"",""en"")"),"['Terbaiilk', 'slow']")</f>
        <v>['Terbaiilk', 'slow']</v>
      </c>
      <c r="D8271" s="3">
        <v>5.0</v>
      </c>
    </row>
    <row r="8272" ht="15.75" customHeight="1">
      <c r="A8272" s="1">
        <v>8821.0</v>
      </c>
      <c r="B8272" s="3" t="s">
        <v>7946</v>
      </c>
      <c r="C8272" s="3" t="str">
        <f>IFERROR(__xludf.DUMMYFUNCTION("GOOGLETRANSLATE(B8272,""id"",""en"")"),"['Advertising', 'doang', 'good', 'quality', 'ugly', 'signal', 'disorder', 'provider', 'ugly', 'Indonesia', ""]")</f>
        <v>['Advertising', 'doang', 'good', 'quality', 'ugly', 'signal', 'disorder', 'provider', 'ugly', 'Indonesia', "]</v>
      </c>
      <c r="D8272" s="3">
        <v>1.0</v>
      </c>
    </row>
    <row r="8273" ht="15.75" customHeight="1">
      <c r="A8273" s="1">
        <v>8822.0</v>
      </c>
      <c r="B8273" s="3" t="s">
        <v>7947</v>
      </c>
      <c r="C8273" s="3" t="str">
        <f>IFERROR(__xludf.DUMMYFUNCTION("GOOGLETRANSLATE(B8273,""id"",""en"")"),"['weve', 'network', 'jelyk', 'card', 'hello', 'game', 'slow', 'really', 'telkomsel', 'rating', 'star', 'minus',' mah ',' cave ',' love ',' star ']")</f>
        <v>['weve', 'network', 'jelyk', 'card', 'hello', 'game', 'slow', 'really', 'telkomsel', 'rating', 'star', 'minus',' mah ',' cave ',' love ',' star ']</v>
      </c>
      <c r="D8273" s="3">
        <v>1.0</v>
      </c>
    </row>
    <row r="8274" ht="15.75" customHeight="1">
      <c r="A8274" s="1">
        <v>8823.0</v>
      </c>
      <c r="B8274" s="3" t="s">
        <v>7948</v>
      </c>
      <c r="C8274" s="3" t="str">
        <f>IFERROR(__xludf.DUMMYFUNCTION("GOOGLETRANSLATE(B8274,""id"",""en"")"),"['Opened', 'The application', 'Mending', 'Closed', 'The Application', 'Opened']")</f>
        <v>['Opened', 'The application', 'Mending', 'Closed', 'The Application', 'Opened']</v>
      </c>
      <c r="D8274" s="3">
        <v>1.0</v>
      </c>
    </row>
    <row r="8275" ht="15.75" customHeight="1">
      <c r="A8275" s="1">
        <v>8824.0</v>
      </c>
      <c r="B8275" s="3" t="s">
        <v>7949</v>
      </c>
      <c r="C8275" s="3" t="str">
        <f>IFERROR(__xludf.DUMMYFUNCTION("GOOGLETRANSLATE(B8275,""id"",""en"")"),"['', 'Signal', 'Telkomsel', 'stable', 'broke', 'connection', 'internet', 'note', 'position', 'jakarta', 'center', 'room', 'signal ',' good ',' signal ',' difficult ',' forgiveness', 'application', 'Telkomsel', 'problematic', 'improvement', 'version', 'and"&amp;"roid', 'note', 'use', 'Samsung', 'Android', 'Open', 'Application', 'Telkomsel', 'Blank', 'White', ""]")</f>
        <v>['', 'Signal', 'Telkomsel', 'stable', 'broke', 'connection', 'internet', 'note', 'position', 'jakarta', 'center', 'room', 'signal ',' good ',' signal ',' difficult ',' forgiveness', 'application', 'Telkomsel', 'problematic', 'improvement', 'version', 'android', 'note', 'use', 'Samsung', 'Android', 'Open', 'Application', 'Telkomsel', 'Blank', 'White', "]</v>
      </c>
      <c r="D8275" s="3">
        <v>1.0</v>
      </c>
    </row>
    <row r="8276" ht="15.75" customHeight="1">
      <c r="A8276" s="1">
        <v>8825.0</v>
      </c>
      <c r="B8276" s="3" t="s">
        <v>7950</v>
      </c>
      <c r="C8276" s="3" t="str">
        <f>IFERROR(__xludf.DUMMYFUNCTION("GOOGLETRANSLATE(B8276,""id"",""en"")"),"['address', 'promo']")</f>
        <v>['address', 'promo']</v>
      </c>
      <c r="D8276" s="3">
        <v>5.0</v>
      </c>
    </row>
    <row r="8277" ht="15.75" customHeight="1">
      <c r="A8277" s="1">
        <v>8826.0</v>
      </c>
      <c r="B8277" s="3" t="s">
        <v>7951</v>
      </c>
      <c r="C8277" s="3" t="str">
        <f>IFERROR(__xludf.DUMMYFUNCTION("GOOGLETRANSLATE(B8277,""id"",""en"")"),"['Terbimah', 'Kasih', 'Telkomsel', 'Telkomsel', 'leading', 'Sexous',' offer ',' Fantastic ',' Telkomsel ',' tracing ',' Movers', 'Indonesia', ' Sabang ',' Merauke ',' Telkomsel ',' Wrong ',' Network ',' Communication ',' Strongest ',' Telkomsel ',' Heart "&amp;"',' Telkomsel ',' The ',' Best ',' Whole ' , 'Telkomsel', 'Wrong', 'company', 'biggest', 'spaced', 'Indonesia', 'beloved', 'Telkomsel', 'improved', 'quality', 'share', 'gift', ' Lottery, 'Lottery', 'interesting', '']")</f>
        <v>['Terbimah', 'Kasih', 'Telkomsel', 'Telkomsel', 'leading', 'Sexous',' offer ',' Fantastic ',' Telkomsel ',' tracing ',' Movers', 'Indonesia', ' Sabang ',' Merauke ',' Telkomsel ',' Wrong ',' Network ',' Communication ',' Strongest ',' Telkomsel ',' Heart ',' Telkomsel ',' The ',' Best ',' Whole ' , 'Telkomsel', 'Wrong', 'company', 'biggest', 'spaced', 'Indonesia', 'beloved', 'Telkomsel', 'improved', 'quality', 'share', 'gift', ' Lottery, 'Lottery', 'interesting', '']</v>
      </c>
      <c r="D8277" s="3">
        <v>5.0</v>
      </c>
    </row>
    <row r="8278" ht="15.75" customHeight="1">
      <c r="A8278" s="1">
        <v>8827.0</v>
      </c>
      <c r="B8278" s="3" t="s">
        <v>7952</v>
      </c>
      <c r="C8278" s="3" t="str">
        <f>IFERROR(__xludf.DUMMYFUNCTION("GOOGLETRANSLATE(B8278,""id"",""en"")"),"['Delete', 'Download', 'Delete', 'Download', 'Blank', 'White', 'Relief', 'Developer', 'Read', 'Read', 'Liat', 'Down', ' comment ',' negative ',' please ',' lined ',' lined ',' tired ',' delete ',' apk ',' playstore ']")</f>
        <v>['Delete', 'Download', 'Delete', 'Download', 'Blank', 'White', 'Relief', 'Developer', 'Read', 'Read', 'Liat', 'Down', ' comment ',' negative ',' please ',' lined ',' lined ',' tired ',' delete ',' apk ',' playstore ']</v>
      </c>
      <c r="D8278" s="3">
        <v>1.0</v>
      </c>
    </row>
    <row r="8279" ht="15.75" customHeight="1">
      <c r="A8279" s="1">
        <v>8828.0</v>
      </c>
      <c r="B8279" s="3" t="s">
        <v>7953</v>
      </c>
      <c r="C8279" s="3" t="str">
        <f>IFERROR(__xludf.DUMMYFUNCTION("GOOGLETRANSLATE(B8279,""id"",""en"")"),"['What', 'siii', 'already', 'update', 'no', 'bukabaa', '']")</f>
        <v>['What', 'siii', 'already', 'update', 'no', 'bukabaa', '']</v>
      </c>
      <c r="D8279" s="3">
        <v>1.0</v>
      </c>
    </row>
    <row r="8280" ht="15.75" customHeight="1">
      <c r="A8280" s="1">
        <v>8829.0</v>
      </c>
      <c r="B8280" s="3" t="s">
        <v>7954</v>
      </c>
      <c r="C8280" s="3" t="str">
        <f>IFERROR(__xludf.DUMMYFUNCTION("GOOGLETRANSLATE(B8280,""id"",""en"")"),"['Star', 'Suitable', 'Telkomsel', 'disappointing', 'Customer', 'really', 'Gaak', 'opened', 'APL', 'Telkomsel', 'Bad', 'Telkomsel', ' ']")</f>
        <v>['Star', 'Suitable', 'Telkomsel', 'disappointing', 'Customer', 'really', 'Gaak', 'opened', 'APL', 'Telkomsel', 'Bad', 'Telkomsel', ' ']</v>
      </c>
      <c r="D8280" s="3">
        <v>1.0</v>
      </c>
    </row>
    <row r="8281" ht="15.75" customHeight="1">
      <c r="A8281" s="1">
        <v>8830.0</v>
      </c>
      <c r="B8281" s="3" t="s">
        <v>7955</v>
      </c>
      <c r="C8281" s="3" t="str">
        <f>IFERROR(__xludf.DUMMYFUNCTION("GOOGLETRANSLATE(B8281,""id"",""en"")"),"['ugly', 'signal', 'Telkomsel', 'gada', 'developing', 'already', 'package', 'add', 'expensive', 'network', 'bad', 'Telkomsel']")</f>
        <v>['ugly', 'signal', 'Telkomsel', 'gada', 'developing', 'already', 'package', 'add', 'expensive', 'network', 'bad', 'Telkomsel']</v>
      </c>
      <c r="D8281" s="3">
        <v>1.0</v>
      </c>
    </row>
    <row r="8282" ht="15.75" customHeight="1">
      <c r="A8282" s="1">
        <v>8831.0</v>
      </c>
      <c r="B8282" s="3" t="s">
        <v>7956</v>
      </c>
      <c r="C8282" s="3" t="str">
        <f>IFERROR(__xludf.DUMMYFUNCTION("GOOGLETRANSLATE(B8282,""id"",""en"")"),"['', 'apdet', 'appears',' screen ',' menu ',' white ',' gmn ',' buy ',' package ',' udh ',' weeks', 'it's really good ']")</f>
        <v>['', 'apdet', 'appears',' screen ',' menu ',' white ',' gmn ',' buy ',' package ',' udh ',' weeks', 'it's really good ']</v>
      </c>
      <c r="D8282" s="3">
        <v>1.0</v>
      </c>
    </row>
    <row r="8283" ht="15.75" customHeight="1">
      <c r="A8283" s="1">
        <v>8832.0</v>
      </c>
      <c r="B8283" s="3" t="s">
        <v>7957</v>
      </c>
      <c r="C8283" s="3" t="str">
        <f>IFERROR(__xludf.DUMMYFUNCTION("GOOGLETRANSLATE(B8283,""id"",""en"")"),"['Good', 'hope', 'promo']")</f>
        <v>['Good', 'hope', 'promo']</v>
      </c>
      <c r="D8283" s="3">
        <v>4.0</v>
      </c>
    </row>
    <row r="8284" ht="15.75" customHeight="1">
      <c r="A8284" s="1">
        <v>8833.0</v>
      </c>
      <c r="B8284" s="3" t="s">
        <v>7958</v>
      </c>
      <c r="C8284" s="3" t="str">
        <f>IFERROR(__xludf.DUMMYFUNCTION("GOOGLETRANSLATE(B8284,""id"",""en"")"),"['Please', 'fix', 'update', 'open', 'application', '']")</f>
        <v>['Please', 'fix', 'update', 'open', 'application', '']</v>
      </c>
      <c r="D8284" s="3">
        <v>1.0</v>
      </c>
    </row>
    <row r="8285" ht="15.75" customHeight="1">
      <c r="A8285" s="1">
        <v>8834.0</v>
      </c>
      <c r="B8285" s="3" t="s">
        <v>7959</v>
      </c>
      <c r="C8285" s="3" t="str">
        <f>IFERROR(__xludf.DUMMYFUNCTION("GOOGLETRANSLATE(B8285,""id"",""en"")"),"['', 'area', 'card', 'not', 'mending', 'exsis',' dead ',' lights', 'lost', 'signal', 'oath', 'no', 'card ']")</f>
        <v>['', 'area', 'card', 'not', 'mending', 'exsis',' dead ',' lights', 'lost', 'signal', 'oath', 'no', 'card ']</v>
      </c>
      <c r="D8285" s="3">
        <v>1.0</v>
      </c>
    </row>
    <row r="8286" ht="15.75" customHeight="1">
      <c r="A8286" s="1">
        <v>8835.0</v>
      </c>
      <c r="B8286" s="3" t="s">
        <v>592</v>
      </c>
      <c r="C8286" s="3" t="str">
        <f>IFERROR(__xludf.DUMMYFUNCTION("GOOGLETRANSLATE(B8286,""id"",""en"")"),"['Telkomsel']")</f>
        <v>['Telkomsel']</v>
      </c>
      <c r="D8286" s="3">
        <v>5.0</v>
      </c>
    </row>
    <row r="8287" ht="15.75" customHeight="1">
      <c r="A8287" s="1">
        <v>8836.0</v>
      </c>
      <c r="B8287" s="3" t="s">
        <v>7960</v>
      </c>
      <c r="C8287" s="3" t="str">
        <f>IFERROR(__xludf.DUMMYFUNCTION("GOOGLETRANSLATE(B8287,""id"",""en"")"),"['Disappointed', 'Credit', 'already', 'Cut', 'Package', 'Internet', 'Enter']")</f>
        <v>['Disappointed', 'Credit', 'already', 'Cut', 'Package', 'Internet', 'Enter']</v>
      </c>
      <c r="D8287" s="3">
        <v>1.0</v>
      </c>
    </row>
    <row r="8288" ht="15.75" customHeight="1">
      <c r="A8288" s="1">
        <v>8837.0</v>
      </c>
      <c r="B8288" s="3" t="s">
        <v>7961</v>
      </c>
      <c r="C8288" s="3" t="str">
        <f>IFERROR(__xludf.DUMMYFUNCTION("GOOGLETRANSLATE(B8288,""id"",""en"")"),"['network', 'Telkomsel', 'rich', 'internet', 'smooth', 'Abis',' Ujan ',' please ',' fix ',' his business', 'dependent', 'internet', ' fluent', '']")</f>
        <v>['network', 'Telkomsel', 'rich', 'internet', 'smooth', 'Abis',' Ujan ',' please ',' fix ',' his business', 'dependent', 'internet', ' fluent', '']</v>
      </c>
      <c r="D8288" s="3">
        <v>5.0</v>
      </c>
    </row>
    <row r="8289" ht="15.75" customHeight="1">
      <c r="A8289" s="1">
        <v>8838.0</v>
      </c>
      <c r="B8289" s="3" t="s">
        <v>7962</v>
      </c>
      <c r="C8289" s="3" t="str">
        <f>IFERROR(__xludf.DUMMYFUNCTION("GOOGLETRANSLATE(B8289,""id"",""en"")"),"['Application', 'KONYOOOOOLLLLLLLLLLLLLLLLLLLLLLLLL', 'Ngak', 'Opened', '']")</f>
        <v>['Application', 'KONYOOOOOLLLLLLLLLLLLLLLLLLLLLLLLL', 'Ngak', 'Opened', '']</v>
      </c>
      <c r="D8289" s="3">
        <v>1.0</v>
      </c>
    </row>
    <row r="8290" ht="15.75" customHeight="1">
      <c r="A8290" s="1">
        <v>8839.0</v>
      </c>
      <c r="B8290" s="3" t="s">
        <v>7963</v>
      </c>
      <c r="C8290" s="3" t="str">
        <f>IFERROR(__xludf.DUMMYFUNCTION("GOOGLETRANSLATE(B8290,""id"",""en"")"),"['Telkomsel', 'Leg', ""]")</f>
        <v>['Telkomsel', 'Leg', "]</v>
      </c>
      <c r="D8290" s="3">
        <v>1.0</v>
      </c>
    </row>
    <row r="8291" ht="15.75" customHeight="1">
      <c r="A8291" s="1">
        <v>8840.0</v>
      </c>
      <c r="B8291" s="3" t="s">
        <v>7964</v>
      </c>
      <c r="C8291" s="3" t="str">
        <f>IFERROR(__xludf.DUMMYFUNCTION("GOOGLETRANSLATE(B8291,""id"",""en"")"),"['already', 'successful', 'installed', 'turn', 'open', 'told', 'install', 'app', 'luck', 'doang', ""]")</f>
        <v>['already', 'successful', 'installed', 'turn', 'open', 'told', 'install', 'app', 'luck', 'doang', "]</v>
      </c>
      <c r="D8291" s="3">
        <v>1.0</v>
      </c>
    </row>
    <row r="8292" ht="15.75" customHeight="1">
      <c r="A8292" s="1">
        <v>8841.0</v>
      </c>
      <c r="B8292" s="3" t="s">
        <v>7965</v>
      </c>
      <c r="C8292" s="3" t="str">
        <f>IFERROR(__xludf.DUMMYFUNCTION("GOOGLETRANSLATE(B8292,""id"",""en"")"),"['Package', 'Data', 'Combo', 'Sakti', 'Unlimited', 'Package', 'Support', 'Unlimited', 'Game', 'Pubg', 'Mobile']")</f>
        <v>['Package', 'Data', 'Combo', 'Sakti', 'Unlimited', 'Package', 'Support', 'Unlimited', 'Game', 'Pubg', 'Mobile']</v>
      </c>
      <c r="D8292" s="3">
        <v>5.0</v>
      </c>
    </row>
    <row r="8293" ht="15.75" customHeight="1">
      <c r="A8293" s="1">
        <v>8842.0</v>
      </c>
      <c r="B8293" s="3" t="s">
        <v>7966</v>
      </c>
      <c r="C8293" s="3" t="str">
        <f>IFERROR(__xludf.DUMMYFUNCTION("GOOGLETRANSLATE(B8293,""id"",""en"")"),"['network', 'Telkomsel', 'affordable', 'area', 'remote', '']")</f>
        <v>['network', 'Telkomsel', 'affordable', 'area', 'remote', '']</v>
      </c>
      <c r="D8293" s="3">
        <v>5.0</v>
      </c>
    </row>
    <row r="8294" ht="15.75" customHeight="1">
      <c r="A8294" s="1">
        <v>8843.0</v>
      </c>
      <c r="B8294" s="3" t="s">
        <v>7967</v>
      </c>
      <c r="C8294" s="3" t="str">
        <f>IFERROR(__xludf.DUMMYFUNCTION("GOOGLETRANSLATE(B8294,""id"",""en"")"),"['Emang', 'Bner', 'opened', 'UDH', 'referral', 'Sruh', 'updated', 'LGI', 'HRUS', 'Download', 'Payh', 'Disappointed', ' Customers', 'application', 'hushkkk']")</f>
        <v>['Emang', 'Bner', 'opened', 'UDH', 'referral', 'Sruh', 'updated', 'LGI', 'HRUS', 'Download', 'Payh', 'Disappointed', ' Customers', 'application', 'hushkkk']</v>
      </c>
      <c r="D8294" s="3">
        <v>1.0</v>
      </c>
    </row>
    <row r="8295" ht="15.75" customHeight="1">
      <c r="A8295" s="1">
        <v>8844.0</v>
      </c>
      <c r="B8295" s="3" t="s">
        <v>7968</v>
      </c>
      <c r="C8295" s="3" t="str">
        <f>IFERROR(__xludf.DUMMYFUNCTION("GOOGLETRANSLATE(B8295,""id"",""en"")"),"['Please', 'Telkomsel', 'Reward', 'Daily', 'check', 'Dinaikin', 'bother', 'bother', 'open', 'Telkomsel', 'check', 'right', ' already ',' got "", 'GB', 'Doang']")</f>
        <v>['Please', 'Telkomsel', 'Reward', 'Daily', 'check', 'Dinaikin', 'bother', 'bother', 'open', 'Telkomsel', 'check', 'right', ' already ',' got ", 'GB', 'Doang']</v>
      </c>
      <c r="D8295" s="3">
        <v>3.0</v>
      </c>
    </row>
    <row r="8296" ht="15.75" customHeight="1">
      <c r="A8296" s="1">
        <v>8845.0</v>
      </c>
      <c r="B8296" s="3" t="s">
        <v>7969</v>
      </c>
      <c r="C8296" s="3" t="str">
        <f>IFERROR(__xludf.DUMMYFUNCTION("GOOGLETRANSLATE(B8296,""id"",""en"")"),"['Udeh', 'APK', 'Telkomsel', 'Open', '']")</f>
        <v>['Udeh', 'APK', 'Telkomsel', 'Open', '']</v>
      </c>
      <c r="D8296" s="3">
        <v>1.0</v>
      </c>
    </row>
    <row r="8297" ht="15.75" customHeight="1">
      <c r="A8297" s="1">
        <v>8846.0</v>
      </c>
      <c r="B8297" s="3" t="s">
        <v>7970</v>
      </c>
      <c r="C8297" s="3" t="str">
        <f>IFERROR(__xludf.DUMMYFUNCTION("GOOGLETRANSLATE(B8297,""id"",""en"")"),"['update', 'version', 'open', 'brand', 'Samsung', 'Download', 'version']")</f>
        <v>['update', 'version', 'open', 'brand', 'Samsung', 'Download', 'version']</v>
      </c>
      <c r="D8297" s="3">
        <v>3.0</v>
      </c>
    </row>
    <row r="8298" ht="15.75" customHeight="1">
      <c r="A8298" s="1">
        <v>8847.0</v>
      </c>
      <c r="B8298" s="3" t="s">
        <v>7971</v>
      </c>
      <c r="C8298" s="3" t="str">
        <f>IFERROR(__xludf.DUMMYFUNCTION("GOOGLETRANSLATE(B8298,""id"",""en"")"),"['Please', 'Bedain', 'quota', 'ama', 'pulse', 'mentang', 'mentang', 'quota', 'finished', 'then', 'suck', 'pulses',' Users', 'Until', 'Out', 'Tiru', 'Provider', 'Quota', 'Out', 'Credit', 'Suck', ""]")</f>
        <v>['Please', 'Bedain', 'quota', 'ama', 'pulse', 'mentang', 'mentang', 'quota', 'finished', 'then', 'suck', 'pulses',' Users', 'Until', 'Out', 'Tiru', 'Provider', 'Quota', 'Out', 'Credit', 'Suck', "]</v>
      </c>
      <c r="D8298" s="3">
        <v>1.0</v>
      </c>
    </row>
    <row r="8299" ht="15.75" customHeight="1">
      <c r="A8299" s="1">
        <v>8848.0</v>
      </c>
      <c r="B8299" s="3" t="s">
        <v>7972</v>
      </c>
      <c r="C8299" s="3" t="str">
        <f>IFERROR(__xludf.DUMMYFUNCTION("GOOGLETRANSLATE(B8299,""id"",""en"")"),"['Sanngat', 'satisfying']")</f>
        <v>['Sanngat', 'satisfying']</v>
      </c>
      <c r="D8299" s="3">
        <v>5.0</v>
      </c>
    </row>
    <row r="8300" ht="15.75" customHeight="1">
      <c r="A8300" s="1">
        <v>8849.0</v>
      </c>
      <c r="B8300" s="3" t="s">
        <v>7973</v>
      </c>
      <c r="C8300" s="3" t="str">
        <f>IFERROR(__xludf.DUMMYFUNCTION("GOOGLETRANSLATE(B8300,""id"",""en"")"),"['', 'Open', 'Anjwing', '']")</f>
        <v>['', 'Open', 'Anjwing', '']</v>
      </c>
      <c r="D8300" s="3">
        <v>1.0</v>
      </c>
    </row>
    <row r="8301" ht="15.75" customHeight="1">
      <c r="A8301" s="1">
        <v>8850.0</v>
      </c>
      <c r="B8301" s="3" t="s">
        <v>7974</v>
      </c>
      <c r="C8301" s="3" t="str">
        <f>IFERROR(__xludf.DUMMYFUNCTION("GOOGLETRANSLATE(B8301,""id"",""en"")"),"['expensive', 'epribadehh', 'write', 'promo', 'price', 'Mahall', 'suits', 'price', 'student']")</f>
        <v>['expensive', 'epribadehh', 'write', 'promo', 'price', 'Mahall', 'suits', 'price', 'student']</v>
      </c>
      <c r="D8301" s="3">
        <v>5.0</v>
      </c>
    </row>
    <row r="8302" ht="15.75" customHeight="1">
      <c r="A8302" s="1">
        <v>8851.0</v>
      </c>
      <c r="B8302" s="3" t="s">
        <v>7975</v>
      </c>
      <c r="C8302" s="3" t="str">
        <f>IFERROR(__xludf.DUMMYFUNCTION("GOOGLETRANSLATE(B8302,""id"",""en"")"),"['Ngeselin', 'Lma', 'Lma', 'PKE', 'Telkom', 'Main', 'Game', 'Jdi', 'Ngeleg', 'Mulu', 'Package', 'Doang', ' expensive']")</f>
        <v>['Ngeselin', 'Lma', 'Lma', 'PKE', 'Telkom', 'Main', 'Game', 'Jdi', 'Ngeleg', 'Mulu', 'Package', 'Doang', ' expensive']</v>
      </c>
      <c r="D8302" s="3">
        <v>1.0</v>
      </c>
    </row>
    <row r="8303" ht="15.75" customHeight="1">
      <c r="A8303" s="1">
        <v>8852.0</v>
      </c>
      <c r="B8303" s="3" t="s">
        <v>7976</v>
      </c>
      <c r="C8303" s="3" t="str">
        <f>IFERROR(__xludf.DUMMYFUNCTION("GOOGLETRANSLATE(B8303,""id"",""en"")"),"['Lemot', 'in the area', 'City']")</f>
        <v>['Lemot', 'in the area', 'City']</v>
      </c>
      <c r="D8303" s="3">
        <v>2.0</v>
      </c>
    </row>
    <row r="8304" ht="15.75" customHeight="1">
      <c r="A8304" s="1">
        <v>8853.0</v>
      </c>
      <c r="B8304" s="3" t="s">
        <v>7977</v>
      </c>
      <c r="C8304" s="3" t="str">
        <f>IFERROR(__xludf.DUMMYFUNCTION("GOOGLETRANSLATE(B8304,""id"",""en"")"),"['like', 'design', 'cool', 'abis', 'increase', 'user', 'friendly', 'good', 'job']")</f>
        <v>['like', 'design', 'cool', 'abis', 'increase', 'user', 'friendly', 'good', 'job']</v>
      </c>
      <c r="D8304" s="3">
        <v>5.0</v>
      </c>
    </row>
    <row r="8305" ht="15.75" customHeight="1">
      <c r="A8305" s="1">
        <v>8854.0</v>
      </c>
      <c r="B8305" s="3" t="s">
        <v>7978</v>
      </c>
      <c r="C8305" s="3" t="str">
        <f>IFERROR(__xludf.DUMMYFUNCTION("GOOGLETRANSLATE(B8305,""id"",""en"")"),"['SMPI', 'kpn', 'apples',' blnk ',' white ',' trs', 'tlg', 'donk', 'solution', 'msa', 'yes',' hrs', ' PKE ',' Android ',' ATS ',' LIKE ',' TLKMSL ',' BGNI ',' Crame ',' BSA ',' PNDH ',' TKO ',' SBLH ',' KMPLain ',' high school ' , 'CSTMR', 'MLH', 'CMA', '"&amp;"KSH', 'SRN', 'Sruh', 'HPS', 'Chache', 'APLH', 'TTP', 'blnk', ""]")</f>
        <v>['SMPI', 'kpn', 'apples',' blnk ',' white ',' trs', 'tlg', 'donk', 'solution', 'msa', 'yes',' hrs', ' PKE ',' Android ',' ATS ',' LIKE ',' TLKMSL ',' BGNI ',' Crame ',' BSA ',' PNDH ',' TKO ',' SBLH ',' KMPLain ',' high school ' , 'CSTMR', 'MLH', 'CMA', 'KSH', 'SRN', 'Sruh', 'HPS', 'Chache', 'APLH', 'TTP', 'blnk', "]</v>
      </c>
      <c r="D8305" s="3">
        <v>1.0</v>
      </c>
    </row>
    <row r="8306" ht="15.75" customHeight="1">
      <c r="A8306" s="1">
        <v>8855.0</v>
      </c>
      <c r="B8306" s="3" t="s">
        <v>7979</v>
      </c>
      <c r="C8306" s="3" t="str">
        <f>IFERROR(__xludf.DUMMYFUNCTION("GOOGLETRANSLATE(B8306,""id"",""en"")"),"['expensive', 'emang', 'no', 'match', 'speed']")</f>
        <v>['expensive', 'emang', 'no', 'match', 'speed']</v>
      </c>
      <c r="D8306" s="3">
        <v>5.0</v>
      </c>
    </row>
    <row r="8307" ht="15.75" customHeight="1">
      <c r="A8307" s="1">
        <v>8856.0</v>
      </c>
      <c r="B8307" s="3" t="s">
        <v>7980</v>
      </c>
      <c r="C8307" s="3" t="str">
        <f>IFERROR(__xludf.DUMMYFUNCTION("GOOGLETRANSLATE(B8307,""id"",""en"")"),"['Promo', 'interesting', 'deh', 'min']")</f>
        <v>['Promo', 'interesting', 'deh', 'min']</v>
      </c>
      <c r="D8307" s="3">
        <v>3.0</v>
      </c>
    </row>
    <row r="8308" ht="15.75" customHeight="1">
      <c r="A8308" s="1">
        <v>8857.0</v>
      </c>
      <c r="B8308" s="3" t="s">
        <v>7981</v>
      </c>
      <c r="C8308" s="3" t="str">
        <f>IFERROR(__xludf.DUMMYFUNCTION("GOOGLETRANSLATE(B8308,""id"",""en"")"),"['Choice', 'Package', 'Kouta', 'multiply']")</f>
        <v>['Choice', 'Package', 'Kouta', 'multiply']</v>
      </c>
      <c r="D8308" s="3">
        <v>3.0</v>
      </c>
    </row>
    <row r="8309" ht="15.75" customHeight="1">
      <c r="A8309" s="1">
        <v>8858.0</v>
      </c>
      <c r="B8309" s="3" t="s">
        <v>7982</v>
      </c>
      <c r="C8309" s="3" t="str">
        <f>IFERROR(__xludf.DUMMYFUNCTION("GOOGLETRANSLATE(B8309,""id"",""en"")"),"['Threat', 'Signal', 'Telkomsel', 'skrg', ""]")</f>
        <v>['Threat', 'Signal', 'Telkomsel', 'skrg', "]</v>
      </c>
      <c r="D8309" s="3">
        <v>1.0</v>
      </c>
    </row>
    <row r="8310" ht="15.75" customHeight="1">
      <c r="A8310" s="1">
        <v>8859.0</v>
      </c>
      <c r="B8310" s="3" t="s">
        <v>7983</v>
      </c>
      <c r="C8310" s="3" t="str">
        <f>IFERROR(__xludf.DUMMYFUNCTION("GOOGLETRANSLATE(B8310,""id"",""en"")"),"['', 'Samsung', 'opened', 'package', 'active', 'strange', 'Android', 'version', ""]")</f>
        <v>['', 'Samsung', 'opened', 'package', 'active', 'strange', 'Android', 'version', "]</v>
      </c>
      <c r="D8310" s="3">
        <v>1.0</v>
      </c>
    </row>
    <row r="8311" ht="15.75" customHeight="1">
      <c r="A8311" s="1">
        <v>8860.0</v>
      </c>
      <c r="B8311" s="3" t="s">
        <v>7984</v>
      </c>
      <c r="C8311" s="3" t="str">
        <f>IFERROR(__xludf.DUMMYFUNCTION("GOOGLETRANSLATE(B8311,""id"",""en"")"),"['Telkomsel', 'slow', 'user', 'loyal', 'Telkomsel', 'disappointed', 'heavy', 'quota', 'drained', 'where', 'go']")</f>
        <v>['Telkomsel', 'slow', 'user', 'loyal', 'Telkomsel', 'disappointed', 'heavy', 'quota', 'drained', 'where', 'go']</v>
      </c>
      <c r="D8311" s="3">
        <v>1.0</v>
      </c>
    </row>
    <row r="8312" ht="15.75" customHeight="1">
      <c r="A8312" s="1">
        <v>8861.0</v>
      </c>
      <c r="B8312" s="3" t="s">
        <v>7985</v>
      </c>
      <c r="C8312" s="3" t="str">
        <f>IFERROR(__xludf.DUMMYFUNCTION("GOOGLETRANSLATE(B8312,""id"",""en"")"),"['hope', 'package', 'internet', 'cheap', 'other', 'division', 'classification']")</f>
        <v>['hope', 'package', 'internet', 'cheap', 'other', 'division', 'classification']</v>
      </c>
      <c r="D8312" s="3">
        <v>4.0</v>
      </c>
    </row>
    <row r="8313" ht="15.75" customHeight="1">
      <c r="A8313" s="1">
        <v>8862.0</v>
      </c>
      <c r="B8313" s="3" t="s">
        <v>7986</v>
      </c>
      <c r="C8313" s="3" t="str">
        <f>IFERROR(__xludf.DUMMYFUNCTION("GOOGLETRANSLATE(B8313,""id"",""en"")"),"['internet', 'slow']")</f>
        <v>['internet', 'slow']</v>
      </c>
      <c r="D8313" s="3">
        <v>2.0</v>
      </c>
    </row>
    <row r="8314" ht="15.75" customHeight="1">
      <c r="A8314" s="1">
        <v>8863.0</v>
      </c>
      <c r="B8314" s="3" t="s">
        <v>7987</v>
      </c>
      <c r="C8314" s="3" t="str">
        <f>IFERROR(__xludf.DUMMYFUNCTION("GOOGLETRANSLATE(B8314,""id"",""en"")"),"['minn', 'fast', 'fix', 'network', 'slow', 'really', 'activity', 'watch', 'little', 'a little', 'ngelag', 'then', ' The network is', 'ilang', 'signal', 'difficult', 'Activity', 'fast', 'Fix', 'Minn', 'Please', 'Help', 'Bales',' Review ',' Okay ' , '']")</f>
        <v>['minn', 'fast', 'fix', 'network', 'slow', 'really', 'activity', 'watch', 'little', 'a little', 'ngelag', 'then', ' The network is', 'ilang', 'signal', 'difficult', 'Activity', 'fast', 'Fix', 'Minn', 'Please', 'Help', 'Bales',' Review ',' Okay ' , '']</v>
      </c>
      <c r="D8314" s="3">
        <v>1.0</v>
      </c>
    </row>
    <row r="8315" ht="15.75" customHeight="1">
      <c r="A8315" s="1">
        <v>8864.0</v>
      </c>
      <c r="B8315" s="3" t="s">
        <v>7988</v>
      </c>
      <c r="C8315" s="3" t="str">
        <f>IFERROR(__xludf.DUMMYFUNCTION("GOOGLETRANSLATE(B8315,""id"",""en"")"),"['Okay', 'steady', 'recommendation']")</f>
        <v>['Okay', 'steady', 'recommendation']</v>
      </c>
      <c r="D8315" s="3">
        <v>5.0</v>
      </c>
    </row>
    <row r="8316" ht="15.75" customHeight="1">
      <c r="A8316" s="1">
        <v>8865.0</v>
      </c>
      <c r="B8316" s="3" t="s">
        <v>7989</v>
      </c>
      <c r="C8316" s="3" t="str">
        <f>IFERROR(__xludf.DUMMYFUNCTION("GOOGLETRANSLATE(B8316,""id"",""en"")"),"['Application', 'Sihhhh', 'Out', 'Update', 'Function']")</f>
        <v>['Application', 'Sihhhh', 'Out', 'Update', 'Function']</v>
      </c>
      <c r="D8316" s="3">
        <v>1.0</v>
      </c>
    </row>
    <row r="8317" ht="15.75" customHeight="1">
      <c r="A8317" s="1">
        <v>8866.0</v>
      </c>
      <c r="B8317" s="3" t="s">
        <v>7990</v>
      </c>
      <c r="C8317" s="3" t="str">
        <f>IFERROR(__xludf.DUMMYFUNCTION("GOOGLETRANSLATE(B8317,""id"",""en"")"),"['dick', 'ngeleg', 'anjg', 'telkom', 'ank', 'haram']")</f>
        <v>['dick', 'ngeleg', 'anjg', 'telkom', 'ank', 'haram']</v>
      </c>
      <c r="D8317" s="3">
        <v>1.0</v>
      </c>
    </row>
    <row r="8318" ht="15.75" customHeight="1">
      <c r="A8318" s="1">
        <v>8867.0</v>
      </c>
      <c r="B8318" s="3" t="s">
        <v>7991</v>
      </c>
      <c r="C8318" s="3" t="str">
        <f>IFERROR(__xludf.DUMMYFUNCTION("GOOGLETRANSLATE(B8318,""id"",""en"")"),"['Love', 'Tower', 'home', 'tower', 'broken', 'function', 'signal', 'sometimes', 'sometimes', 'lost']")</f>
        <v>['Love', 'Tower', 'home', 'tower', 'broken', 'function', 'signal', 'sometimes', 'sometimes', 'lost']</v>
      </c>
      <c r="D8318" s="3">
        <v>1.0</v>
      </c>
    </row>
    <row r="8319" ht="15.75" customHeight="1">
      <c r="A8319" s="1">
        <v>8868.0</v>
      </c>
      <c r="B8319" s="3" t="s">
        <v>7992</v>
      </c>
      <c r="C8319" s="3" t="str">
        <f>IFERROR(__xludf.DUMMYFUNCTION("GOOGLETRANSLATE(B8319,""id"",""en"")"),"['application', 'help', 'check', 'pulse']")</f>
        <v>['application', 'help', 'check', 'pulse']</v>
      </c>
      <c r="D8319" s="3">
        <v>5.0</v>
      </c>
    </row>
    <row r="8320" ht="15.75" customHeight="1">
      <c r="A8320" s="1">
        <v>8869.0</v>
      </c>
      <c r="B8320" s="3" t="s">
        <v>7993</v>
      </c>
      <c r="C8320" s="3" t="str">
        <f>IFERROR(__xludf.DUMMYFUNCTION("GOOGLETRANSLATE(B8320,""id"",""en"")"),"['card', 'Doang', 'expensive', 'network', 'ugly']")</f>
        <v>['card', 'Doang', 'expensive', 'network', 'ugly']</v>
      </c>
      <c r="D8320" s="3">
        <v>1.0</v>
      </c>
    </row>
    <row r="8321" ht="15.75" customHeight="1">
      <c r="A8321" s="1">
        <v>8870.0</v>
      </c>
      <c r="B8321" s="3" t="s">
        <v>7994</v>
      </c>
      <c r="C8321" s="3" t="str">
        <f>IFERROR(__xludf.DUMMYFUNCTION("GOOGLETRANSLATE(B8321,""id"",""en"")"),"['Bonus',' Kouta ',' Telkomsel ',' Points', 'Daily', 'Check', 'Iming', 'Iming', 'Reasons',' Network ',' Busy ',' Claims', ' hours', 'morning', 'confused', 'complain', 'where', 'all-round', 'robot']")</f>
        <v>['Bonus',' Kouta ',' Telkomsel ',' Points', 'Daily', 'Check', 'Iming', 'Iming', 'Reasons',' Network ',' Busy ',' Claims', ' hours', 'morning', 'confused', 'complain', 'where', 'all-round', 'robot']</v>
      </c>
      <c r="D8321" s="3">
        <v>1.0</v>
      </c>
    </row>
    <row r="8322" ht="15.75" customHeight="1">
      <c r="A8322" s="1">
        <v>8871.0</v>
      </c>
      <c r="B8322" s="3" t="s">
        <v>7995</v>
      </c>
      <c r="C8322" s="3" t="str">
        <f>IFERROR(__xludf.DUMMYFUNCTION("GOOGLETRANSLATE(B8322,""id"",""en"")"),"['Satisfied', 'Application', 'Telkomsel']")</f>
        <v>['Satisfied', 'Application', 'Telkomsel']</v>
      </c>
      <c r="D8322" s="3">
        <v>5.0</v>
      </c>
    </row>
    <row r="8323" ht="15.75" customHeight="1">
      <c r="A8323" s="1">
        <v>8872.0</v>
      </c>
      <c r="B8323" s="3" t="s">
        <v>7996</v>
      </c>
      <c r="C8323" s="3" t="str">
        <f>IFERROR(__xludf.DUMMYFUNCTION("GOOGLETRANSLATE(B8323,""id"",""en"")"),"['network', 'already', 'ngeleg', 'play', 'game', 'difficult', 'motion', 'please', 'repair']")</f>
        <v>['network', 'already', 'ngeleg', 'play', 'game', 'difficult', 'motion', 'please', 'repair']</v>
      </c>
      <c r="D8323" s="3">
        <v>2.0</v>
      </c>
    </row>
    <row r="8324" ht="15.75" customHeight="1">
      <c r="A8324" s="1">
        <v>8873.0</v>
      </c>
      <c r="B8324" s="3" t="s">
        <v>7997</v>
      </c>
      <c r="C8324" s="3" t="str">
        <f>IFERROR(__xludf.DUMMYFUNCTION("GOOGLETRANSLATE(B8324,""id"",""en"")"),"['Good', 'like', 'price', 'package', 'data', 'jdi', 'expensive', 'please']")</f>
        <v>['Good', 'like', 'price', 'package', 'data', 'jdi', 'expensive', 'please']</v>
      </c>
      <c r="D8324" s="3">
        <v>5.0</v>
      </c>
    </row>
    <row r="8325" ht="15.75" customHeight="1">
      <c r="A8325" s="1">
        <v>8875.0</v>
      </c>
      <c r="B8325" s="3" t="s">
        <v>7998</v>
      </c>
      <c r="C8325" s="3" t="str">
        <f>IFERROR(__xludf.DUMMYFUNCTION("GOOGLETRANSLATE(B8325,""id"",""en"")"),"['Network', 'Telkomsel', 'ilang', 'Main', 'Game', '']")</f>
        <v>['Network', 'Telkomsel', 'ilang', 'Main', 'Game', '']</v>
      </c>
      <c r="D8325" s="3">
        <v>1.0</v>
      </c>
    </row>
    <row r="8326" ht="15.75" customHeight="1">
      <c r="A8326" s="1">
        <v>8876.0</v>
      </c>
      <c r="B8326" s="3" t="s">
        <v>7999</v>
      </c>
      <c r="C8326" s="3" t="str">
        <f>IFERROR(__xludf.DUMMYFUNCTION("GOOGLETRANSLATE(B8326,""id"",""en"")"),"['beneficial', '']")</f>
        <v>['beneficial', '']</v>
      </c>
      <c r="D8326" s="3">
        <v>4.0</v>
      </c>
    </row>
    <row r="8327" ht="15.75" customHeight="1">
      <c r="A8327" s="1">
        <v>8877.0</v>
      </c>
      <c r="B8327" s="3" t="s">
        <v>8000</v>
      </c>
      <c r="C8327" s="3" t="str">
        <f>IFERROR(__xludf.DUMMYFUNCTION("GOOGLETRANSLATE(B8327,""id"",""en"")"),"['knp', 'SATA', 'update', 'price', 'expensive', 'cheap']")</f>
        <v>['knp', 'SATA', 'update', 'price', 'expensive', 'cheap']</v>
      </c>
      <c r="D8327" s="3">
        <v>1.0</v>
      </c>
    </row>
    <row r="8328" ht="15.75" customHeight="1">
      <c r="A8328" s="1">
        <v>8878.0</v>
      </c>
      <c r="B8328" s="3" t="s">
        <v>8001</v>
      </c>
      <c r="C8328" s="3" t="str">
        <f>IFERROR(__xludf.DUMMYFUNCTION("GOOGLETRANSLATE(B8328,""id"",""en"")"),"['Current', 'complain', 'love', 'star']")</f>
        <v>['Current', 'complain', 'love', 'star']</v>
      </c>
      <c r="D8328" s="3">
        <v>5.0</v>
      </c>
    </row>
    <row r="8329" ht="15.75" customHeight="1">
      <c r="A8329" s="1">
        <v>8879.0</v>
      </c>
      <c r="B8329" s="3" t="s">
        <v>8002</v>
      </c>
      <c r="C8329" s="3" t="str">
        <f>IFERROR(__xludf.DUMMYFUNCTION("GOOGLETRANSLATE(B8329,""id"",""en"")"),"['quota', 'expensive', 'expensive', 'network', 'stable', 'pulse', 'dries', 'recommendation']")</f>
        <v>['quota', 'expensive', 'expensive', 'network', 'stable', 'pulse', 'dries', 'recommendation']</v>
      </c>
      <c r="D8329" s="3">
        <v>1.0</v>
      </c>
    </row>
    <row r="8330" ht="15.75" customHeight="1">
      <c r="A8330" s="1">
        <v>8880.0</v>
      </c>
      <c r="B8330" s="3" t="s">
        <v>8003</v>
      </c>
      <c r="C8330" s="3" t="str">
        <f>IFERROR(__xludf.DUMMYFUNCTION("GOOGLETRANSLATE(B8330,""id"",""en"")"),"['Star', 'talk']")</f>
        <v>['Star', 'talk']</v>
      </c>
      <c r="D8330" s="3">
        <v>5.0</v>
      </c>
    </row>
    <row r="8331" ht="15.75" customHeight="1">
      <c r="A8331" s="1">
        <v>8881.0</v>
      </c>
      <c r="B8331" s="3" t="s">
        <v>8004</v>
      </c>
      <c r="C8331" s="3" t="str">
        <f>IFERROR(__xludf.DUMMYFUNCTION("GOOGLETRANSLATE(B8331,""id"",""en"")"),"['Network', 'around', 'waters', 'priok', 'bad', 'please', 'fix', '']")</f>
        <v>['Network', 'around', 'waters', 'priok', 'bad', 'please', 'fix', '']</v>
      </c>
      <c r="D8331" s="3">
        <v>1.0</v>
      </c>
    </row>
    <row r="8332" ht="15.75" customHeight="1">
      <c r="A8332" s="1">
        <v>8882.0</v>
      </c>
      <c r="B8332" s="3" t="s">
        <v>8005</v>
      </c>
      <c r="C8332" s="3" t="str">
        <f>IFERROR(__xludf.DUMMYFUNCTION("GOOGLETRANSLATE(B8332,""id"",""en"")"),"['support', '']")</f>
        <v>['support', '']</v>
      </c>
      <c r="D8332" s="3">
        <v>5.0</v>
      </c>
    </row>
    <row r="8333" ht="15.75" customHeight="1">
      <c r="A8333" s="1">
        <v>8883.0</v>
      </c>
      <c r="B8333" s="3" t="s">
        <v>8006</v>
      </c>
      <c r="C8333" s="3" t="str">
        <f>IFERROR(__xludf.DUMMYFUNCTION("GOOGLETRANSLATE(B8333,""id"",""en"")"),"['Admin', 'Package', 'Combo', 'Unlimited', 'Ladahal', 'user', 'loyal', 'Telkom', 'Please', 'Definition', 'admin']")</f>
        <v>['Admin', 'Package', 'Combo', 'Unlimited', 'Ladahal', 'user', 'loyal', 'Telkom', 'Please', 'Definition', 'admin']</v>
      </c>
      <c r="D8333" s="3">
        <v>5.0</v>
      </c>
    </row>
    <row r="8334" ht="15.75" customHeight="1">
      <c r="A8334" s="1">
        <v>8884.0</v>
      </c>
      <c r="B8334" s="3" t="s">
        <v>8007</v>
      </c>
      <c r="C8334" s="3" t="str">
        <f>IFERROR(__xludf.DUMMYFUNCTION("GOOGLETRANSLATE(B8334,""id"",""en"")"),"['already', 'try', 'open', 'many', 'times', 'enter', '']")</f>
        <v>['already', 'try', 'open', 'many', 'times', 'enter', '']</v>
      </c>
      <c r="D8334" s="3">
        <v>5.0</v>
      </c>
    </row>
    <row r="8335" ht="15.75" customHeight="1">
      <c r="A8335" s="1">
        <v>8885.0</v>
      </c>
      <c r="B8335" s="3" t="s">
        <v>8008</v>
      </c>
      <c r="C8335" s="3" t="str">
        <f>IFERROR(__xludf.DUMMYFUNCTION("GOOGLETRANSLATE(B8335,""id"",""en"")"),"['Practical', 'Help', 'Pitur', 'Pitur']")</f>
        <v>['Practical', 'Help', 'Pitur', 'Pitur']</v>
      </c>
      <c r="D8335" s="3">
        <v>5.0</v>
      </c>
    </row>
    <row r="8336" ht="15.75" customHeight="1">
      <c r="A8336" s="1">
        <v>8886.0</v>
      </c>
      <c r="B8336" s="3" t="s">
        <v>8009</v>
      </c>
      <c r="C8336" s="3" t="str">
        <f>IFERROR(__xludf.DUMMYFUNCTION("GOOGLETRANSLATE(B8336,""id"",""en"")"),"['Reduce', 'Price', '']")</f>
        <v>['Reduce', 'Price', '']</v>
      </c>
      <c r="D8336" s="3">
        <v>2.0</v>
      </c>
    </row>
    <row r="8337" ht="15.75" customHeight="1">
      <c r="A8337" s="1">
        <v>8887.0</v>
      </c>
      <c r="B8337" s="3" t="s">
        <v>8010</v>
      </c>
      <c r="C8337" s="3" t="str">
        <f>IFERROR(__xludf.DUMMYFUNCTION("GOOGLETRANSLATE(B8337,""id"",""en"")"),"['Help', 'application', 'choice']")</f>
        <v>['Help', 'application', 'choice']</v>
      </c>
      <c r="D8337" s="3">
        <v>5.0</v>
      </c>
    </row>
    <row r="8338" ht="15.75" customHeight="1">
      <c r="A8338" s="1">
        <v>8888.0</v>
      </c>
      <c r="B8338" s="3" t="s">
        <v>8011</v>
      </c>
      <c r="C8338" s="3" t="str">
        <f>IFERROR(__xludf.DUMMYFUNCTION("GOOGLETRANSLATE(B8338,""id"",""en"")"),"['Nyak', 'Ngebab', 'Update', 'Canal', 'APK', 'Telkomsel', ""]")</f>
        <v>['Nyak', 'Ngebab', 'Update', 'Canal', 'APK', 'Telkomsel', "]</v>
      </c>
      <c r="D8338" s="3">
        <v>1.0</v>
      </c>
    </row>
    <row r="8339" ht="15.75" customHeight="1">
      <c r="A8339" s="1">
        <v>8889.0</v>
      </c>
      <c r="B8339" s="3" t="s">
        <v>8012</v>
      </c>
      <c r="C8339" s="3" t="str">
        <f>IFERROR(__xludf.DUMMYFUNCTION("GOOGLETRANSLATE(B8339,""id"",""en"")"),"['package', 'save', 'anti', 'slow', 'laen', 'star', 'talk']")</f>
        <v>['package', 'save', 'anti', 'slow', 'laen', 'star', 'talk']</v>
      </c>
      <c r="D8339" s="3">
        <v>5.0</v>
      </c>
    </row>
    <row r="8340" ht="15.75" customHeight="1">
      <c r="A8340" s="1">
        <v>8890.0</v>
      </c>
      <c r="B8340" s="3" t="s">
        <v>8013</v>
      </c>
      <c r="C8340" s="3" t="str">
        <f>IFERROR(__xludf.DUMMYFUNCTION("GOOGLETRANSLATE(B8340,""id"",""en"")"),"['Application', 'bad', 'detrimental', '']")</f>
        <v>['Application', 'bad', 'detrimental', '']</v>
      </c>
      <c r="D8340" s="3">
        <v>1.0</v>
      </c>
    </row>
    <row r="8341" ht="15.75" customHeight="1">
      <c r="A8341" s="1">
        <v>8891.0</v>
      </c>
      <c r="B8341" s="3" t="s">
        <v>8014</v>
      </c>
      <c r="C8341" s="3" t="str">
        <f>IFERROR(__xludf.DUMMYFUNCTION("GOOGLETRANSLATE(B8341,""id"",""en"")"),"['Hello', 'complaints', 'pulses', 'Selap', 'cut', 'missing']")</f>
        <v>['Hello', 'complaints', 'pulses', 'Selap', 'cut', 'missing']</v>
      </c>
      <c r="D8341" s="3">
        <v>1.0</v>
      </c>
    </row>
    <row r="8342" ht="15.75" customHeight="1">
      <c r="A8342" s="1">
        <v>8892.0</v>
      </c>
      <c r="B8342" s="3" t="s">
        <v>8015</v>
      </c>
      <c r="C8342" s="3" t="str">
        <f>IFERROR(__xludf.DUMMYFUNCTION("GOOGLETRANSLATE(B8342,""id"",""en"")"),"['Stuck', 'screen', 'color', 'white']")</f>
        <v>['Stuck', 'screen', 'color', 'white']</v>
      </c>
      <c r="D8342" s="3">
        <v>1.0</v>
      </c>
    </row>
    <row r="8343" ht="15.75" customHeight="1">
      <c r="A8343" s="1">
        <v>8893.0</v>
      </c>
      <c r="B8343" s="3" t="s">
        <v>6741</v>
      </c>
      <c r="C8343" s="3" t="str">
        <f>IFERROR(__xludf.DUMMYFUNCTION("GOOGLETRANSLATE(B8343,""id"",""en"")"),"['bad network']")</f>
        <v>['bad network']</v>
      </c>
      <c r="D8343" s="3">
        <v>1.0</v>
      </c>
    </row>
    <row r="8344" ht="15.75" customHeight="1">
      <c r="A8344" s="1">
        <v>8894.0</v>
      </c>
      <c r="B8344" s="3" t="s">
        <v>8016</v>
      </c>
      <c r="C8344" s="3" t="str">
        <f>IFERROR(__xludf.DUMMYFUNCTION("GOOGLETRANSLATE(B8344,""id"",""en"")"),"['APK', 'opened']")</f>
        <v>['APK', 'opened']</v>
      </c>
      <c r="D8344" s="3">
        <v>1.0</v>
      </c>
    </row>
    <row r="8345" ht="15.75" customHeight="1">
      <c r="A8345" s="1">
        <v>8895.0</v>
      </c>
      <c r="B8345" s="3" t="s">
        <v>8017</v>
      </c>
      <c r="C8345" s="3" t="str">
        <f>IFERROR(__xludf.DUMMYFUNCTION("GOOGLETRANSLATE(B8345,""id"",""en"")"),"['', 'Upgrade', 'Ngeblur', 'Gbisa', 'Open', 'Please', 'Restore', 'Person', 'Yesterday', ""]")</f>
        <v>['', 'Upgrade', 'Ngeblur', 'Gbisa', 'Open', 'Please', 'Restore', 'Person', 'Yesterday', "]</v>
      </c>
      <c r="D8345" s="3">
        <v>3.0</v>
      </c>
    </row>
    <row r="8346" ht="15.75" customHeight="1">
      <c r="A8346" s="1">
        <v>8896.0</v>
      </c>
      <c r="B8346" s="3" t="s">
        <v>8018</v>
      </c>
      <c r="C8346" s="3" t="str">
        <f>IFERROR(__xludf.DUMMYFUNCTION("GOOGLETRANSLATE(B8346,""id"",""en"")"),"['Yaaplikasi', 'Telkomsel', 'opened']")</f>
        <v>['Yaaplikasi', 'Telkomsel', 'opened']</v>
      </c>
      <c r="D8346" s="3">
        <v>5.0</v>
      </c>
    </row>
    <row r="8347" ht="15.75" customHeight="1">
      <c r="A8347" s="1">
        <v>8897.0</v>
      </c>
      <c r="B8347" s="3" t="s">
        <v>8019</v>
      </c>
      <c r="C8347" s="3" t="str">
        <f>IFERROR(__xludf.DUMMYFUNCTION("GOOGLETRANSLATE(B8347,""id"",""en"")"),"['hope', 'steady']")</f>
        <v>['hope', 'steady']</v>
      </c>
      <c r="D8347" s="3">
        <v>5.0</v>
      </c>
    </row>
    <row r="8348" ht="15.75" customHeight="1">
      <c r="A8348" s="1">
        <v>8898.0</v>
      </c>
      <c r="B8348" s="3" t="s">
        <v>8020</v>
      </c>
      <c r="C8348" s="3" t="str">
        <f>IFERROR(__xludf.DUMMYFUNCTION("GOOGLETRANSLATE(B8348,""id"",""en"")"),"['application', 'good', 'help', 'thank you']")</f>
        <v>['application', 'good', 'help', 'thank you']</v>
      </c>
      <c r="D8348" s="3">
        <v>4.0</v>
      </c>
    </row>
    <row r="8349" ht="15.75" customHeight="1">
      <c r="A8349" s="1">
        <v>8899.0</v>
      </c>
      <c r="B8349" s="3" t="s">
        <v>8021</v>
      </c>
      <c r="C8349" s="3" t="str">
        <f>IFERROR(__xludf.DUMMYFUNCTION("GOOGLETRANSLATE(B8349,""id"",""en"")"),"['Easy', 'Win', 'Undiary']")</f>
        <v>['Easy', 'Win', 'Undiary']</v>
      </c>
      <c r="D8349" s="3">
        <v>5.0</v>
      </c>
    </row>
    <row r="8350" ht="15.75" customHeight="1">
      <c r="A8350" s="1">
        <v>8900.0</v>
      </c>
      <c r="B8350" s="3" t="s">
        <v>8022</v>
      </c>
      <c r="C8350" s="3" t="str">
        <f>IFERROR(__xludf.DUMMYFUNCTION("GOOGLETRANSLATE(B8350,""id"",""en"")"),"['Telkomsel', 'skrg', 'slow']")</f>
        <v>['Telkomsel', 'skrg', 'slow']</v>
      </c>
      <c r="D8350" s="3">
        <v>5.0</v>
      </c>
    </row>
    <row r="8351" ht="15.75" customHeight="1">
      <c r="A8351" s="1">
        <v>8901.0</v>
      </c>
      <c r="B8351" s="3" t="s">
        <v>8023</v>
      </c>
      <c r="C8351" s="3" t="str">
        <f>IFERROR(__xludf.DUMMYFUNCTION("GOOGLETRANSLATE(B8351,""id"",""en"")"),"['well', 'dlu', 'signal']")</f>
        <v>['well', 'dlu', 'signal']</v>
      </c>
      <c r="D8351" s="3">
        <v>1.0</v>
      </c>
    </row>
    <row r="8352" ht="15.75" customHeight="1">
      <c r="A8352" s="1">
        <v>8902.0</v>
      </c>
      <c r="B8352" s="3" t="s">
        <v>3409</v>
      </c>
      <c r="C8352" s="3" t="str">
        <f>IFERROR(__xludf.DUMMYFUNCTION("GOOGLETRANSLATE(B8352,""id"",""en"")"),"['Fast', 'Accurate']")</f>
        <v>['Fast', 'Accurate']</v>
      </c>
      <c r="D8352" s="3">
        <v>5.0</v>
      </c>
    </row>
    <row r="8353" ht="15.75" customHeight="1">
      <c r="A8353" s="1">
        <v>8904.0</v>
      </c>
      <c r="B8353" s="3" t="s">
        <v>6451</v>
      </c>
      <c r="C8353" s="3" t="str">
        <f>IFERROR(__xludf.DUMMYFUNCTION("GOOGLETRANSLATE(B8353,""id"",""en"")"),"['Helping', 'Thanks', 'Telkomsel', '']")</f>
        <v>['Helping', 'Thanks', 'Telkomsel', '']</v>
      </c>
      <c r="D8353" s="3">
        <v>5.0</v>
      </c>
    </row>
    <row r="8354" ht="15.75" customHeight="1">
      <c r="A8354" s="1">
        <v>8905.0</v>
      </c>
      <c r="B8354" s="3" t="s">
        <v>8024</v>
      </c>
      <c r="C8354" s="3" t="str">
        <f>IFERROR(__xludf.DUMMYFUNCTION("GOOGLETRANSLATE(B8354,""id"",""en"")"),"['promo', '']")</f>
        <v>['promo', '']</v>
      </c>
      <c r="D8354" s="3">
        <v>3.0</v>
      </c>
    </row>
    <row r="8355" ht="15.75" customHeight="1">
      <c r="A8355" s="1">
        <v>8906.0</v>
      </c>
      <c r="B8355" s="3" t="s">
        <v>8025</v>
      </c>
      <c r="C8355" s="3" t="str">
        <f>IFERROR(__xludf.DUMMYFUNCTION("GOOGLETRANSLATE(B8355,""id"",""en"")"),"['practical']")</f>
        <v>['practical']</v>
      </c>
      <c r="D8355" s="3">
        <v>5.0</v>
      </c>
    </row>
    <row r="8356" ht="15.75" customHeight="1">
      <c r="A8356" s="1">
        <v>8907.0</v>
      </c>
      <c r="B8356" s="3" t="s">
        <v>8026</v>
      </c>
      <c r="C8356" s="3" t="str">
        <f>IFERROR(__xludf.DUMMYFUNCTION("GOOGLETRANSLATE(B8356,""id"",""en"")"),"['Steady', 'fast', 'process']")</f>
        <v>['Steady', 'fast', 'process']</v>
      </c>
      <c r="D8356" s="3">
        <v>5.0</v>
      </c>
    </row>
    <row r="8357" ht="15.75" customHeight="1">
      <c r="A8357" s="1">
        <v>8908.0</v>
      </c>
      <c r="B8357" s="3" t="s">
        <v>8027</v>
      </c>
      <c r="C8357" s="3" t="str">
        <f>IFERROR(__xludf.DUMMYFUNCTION("GOOGLETRANSLATE(B8357,""id"",""en"")"),"['White', '']")</f>
        <v>['White', '']</v>
      </c>
      <c r="D8357" s="3">
        <v>1.0</v>
      </c>
    </row>
    <row r="8358" ht="15.75" customHeight="1">
      <c r="A8358" s="1">
        <v>8909.0</v>
      </c>
      <c r="B8358" s="3" t="s">
        <v>8028</v>
      </c>
      <c r="C8358" s="3" t="str">
        <f>IFERROR(__xludf.DUMMYFUNCTION("GOOGLETRANSLATE(B8358,""id"",""en"")"),"['application', 'open', 'screen', 'white', 'bother', 'really', '']")</f>
        <v>['application', 'open', 'screen', 'white', 'bother', 'really', '']</v>
      </c>
      <c r="D8358" s="3">
        <v>1.0</v>
      </c>
    </row>
    <row r="8359" ht="15.75" customHeight="1">
      <c r="A8359" s="1">
        <v>8910.0</v>
      </c>
      <c r="B8359" s="3" t="s">
        <v>8029</v>
      </c>
      <c r="C8359" s="3" t="str">
        <f>IFERROR(__xludf.DUMMYFUNCTION("GOOGLETRANSLATE(B8359,""id"",""en"")"),"['Mytsel', 'Sya', 'opened', 'Loading', 'appears',' blank ',' white ',' gtu ',' look ',' sya ',' uninstall ',' install ',' Opened ',' Please ',' Help ',' Admin ',' Telkomsel ', ""]")</f>
        <v>['Mytsel', 'Sya', 'opened', 'Loading', 'appears',' blank ',' white ',' gtu ',' look ',' sya ',' uninstall ',' install ',' Opened ',' Please ',' Help ',' Admin ',' Telkomsel ', "]</v>
      </c>
      <c r="D8359" s="3">
        <v>4.0</v>
      </c>
    </row>
    <row r="8360" ht="15.75" customHeight="1">
      <c r="A8360" s="1">
        <v>8911.0</v>
      </c>
      <c r="B8360" s="3" t="s">
        <v>8030</v>
      </c>
      <c r="C8360" s="3" t="str">
        <f>IFERROR(__xludf.DUMMYFUNCTION("GOOGLETRANSLATE(B8360,""id"",""en"")"),"['Points', 'Telkomsel', 'buy', 'Package', 'Data', 'GB', 'for', 'Points', 'Points', 'Tetep', '']")</f>
        <v>['Points', 'Telkomsel', 'buy', 'Package', 'Data', 'GB', 'for', 'Points', 'Points', 'Tetep', '']</v>
      </c>
      <c r="D8360" s="3">
        <v>1.0</v>
      </c>
    </row>
    <row r="8361" ht="15.75" customHeight="1">
      <c r="A8361" s="1">
        <v>8912.0</v>
      </c>
      <c r="B8361" s="3" t="s">
        <v>8031</v>
      </c>
      <c r="C8361" s="3" t="str">
        <f>IFERROR(__xludf.DUMMYFUNCTION("GOOGLETRANSLATE(B8361,""id"",""en"")"),"['Telkomasel', 'already', 'expensive', 'network', 'lemout', 'polll', 'aduhh', 'tlng', 'fix', 'network', 'Telkomsel', ""]")</f>
        <v>['Telkomasel', 'already', 'expensive', 'network', 'lemout', 'polll', 'aduhh', 'tlng', 'fix', 'network', 'Telkomsel', "]</v>
      </c>
      <c r="D8361" s="3">
        <v>1.0</v>
      </c>
    </row>
    <row r="8362" ht="15.75" customHeight="1">
      <c r="A8362" s="1">
        <v>8913.0</v>
      </c>
      <c r="B8362" s="3" t="s">
        <v>4050</v>
      </c>
      <c r="C8362" s="3" t="str">
        <f>IFERROR(__xludf.DUMMYFUNCTION("GOOGLETRANSLATE(B8362,""id"",""en"")"),"['fast']")</f>
        <v>['fast']</v>
      </c>
      <c r="D8362" s="3">
        <v>5.0</v>
      </c>
    </row>
    <row r="8363" ht="15.75" customHeight="1">
      <c r="A8363" s="1">
        <v>8914.0</v>
      </c>
      <c r="B8363" s="3" t="s">
        <v>8032</v>
      </c>
      <c r="C8363" s="3" t="str">
        <f>IFERROR(__xludf.DUMMYFUNCTION("GOOGLETRANSLATE(B8363,""id"",""en"")"),"['Contact', 'Costumer', 'Service', 'Bener', 'Via', 'Chat', 'Veronica', 'intention', 'work', ""]")</f>
        <v>['Contact', 'Costumer', 'Service', 'Bener', 'Via', 'Chat', 'Veronica', 'intention', 'work', "]</v>
      </c>
      <c r="D8363" s="3">
        <v>1.0</v>
      </c>
    </row>
    <row r="8364" ht="15.75" customHeight="1">
      <c r="A8364" s="1">
        <v>8915.0</v>
      </c>
      <c r="B8364" s="3" t="s">
        <v>8033</v>
      </c>
      <c r="C8364" s="3" t="str">
        <f>IFERROR(__xludf.DUMMYFUNCTION("GOOGLETRANSLATE(B8364,""id"",""en"")"),"['Alhamdulillah', 'help']")</f>
        <v>['Alhamdulillah', 'help']</v>
      </c>
      <c r="D8364" s="3">
        <v>5.0</v>
      </c>
    </row>
    <row r="8365" ht="15.75" customHeight="1">
      <c r="A8365" s="1">
        <v>8916.0</v>
      </c>
      <c r="B8365" s="3" t="s">
        <v>8034</v>
      </c>
      <c r="C8365" s="3" t="str">
        <f>IFERROR(__xludf.DUMMYFUNCTION("GOOGLETRANSLATE(B8365,""id"",""en"")"),"['Telkomsel', 'Full', 'Batang', 'Kek', 'Taste', 'Sia', 'Sia', 'buy', 'quota', ""]")</f>
        <v>['Telkomsel', 'Full', 'Batang', 'Kek', 'Taste', 'Sia', 'Sia', 'buy', 'quota', "]</v>
      </c>
      <c r="D8365" s="3">
        <v>1.0</v>
      </c>
    </row>
    <row r="8366" ht="15.75" customHeight="1">
      <c r="A8366" s="1">
        <v>8917.0</v>
      </c>
      <c r="B8366" s="3" t="s">
        <v>8035</v>
      </c>
      <c r="C8366" s="3" t="str">
        <f>IFERROR(__xludf.DUMMYFUNCTION("GOOGLETRANSLATE(B8366,""id"",""en"")"),"['Network', 'nggk', 'game', 'slow', 'vacation', 'expensive', 'slow']")</f>
        <v>['Network', 'nggk', 'game', 'slow', 'vacation', 'expensive', 'slow']</v>
      </c>
      <c r="D8366" s="3">
        <v>1.0</v>
      </c>
    </row>
    <row r="8367" ht="15.75" customHeight="1">
      <c r="A8367" s="1">
        <v>8918.0</v>
      </c>
      <c r="B8367" s="3" t="s">
        <v>8036</v>
      </c>
      <c r="C8367" s="3" t="str">
        <f>IFERROR(__xludf.DUMMYFUNCTION("GOOGLETRANSLATE(B8367,""id"",""en"")"),"['Love', 'Bintang', 'Propeder', 'Tipu', 'Tipu', ""]")</f>
        <v>['Love', 'Bintang', 'Propeder', 'Tipu', 'Tipu', "]</v>
      </c>
      <c r="D8367" s="3">
        <v>1.0</v>
      </c>
    </row>
    <row r="8368" ht="15.75" customHeight="1">
      <c r="A8368" s="1">
        <v>8919.0</v>
      </c>
      <c r="B8368" s="3" t="s">
        <v>8037</v>
      </c>
      <c r="C8368" s="3" t="str">
        <f>IFERROR(__xludf.DUMMYFUNCTION("GOOGLETRANSLATE(B8368,""id"",""en"")"),"['Update', 'MyTelkomsel', 'Application', 'Blank', 'White', 'Try', 'Blank', 'Blank', 'Network', 'Good', 'Current', 'Please', ' solution', '']")</f>
        <v>['Update', 'MyTelkomsel', 'Application', 'Blank', 'White', 'Try', 'Blank', 'Blank', 'Network', 'Good', 'Current', 'Please', ' solution', '']</v>
      </c>
      <c r="D8368" s="3">
        <v>2.0</v>
      </c>
    </row>
    <row r="8369" ht="15.75" customHeight="1">
      <c r="A8369" s="1">
        <v>8920.0</v>
      </c>
      <c r="B8369" s="3" t="s">
        <v>8038</v>
      </c>
      <c r="C8369" s="3" t="str">
        <f>IFERROR(__xludf.DUMMYFUNCTION("GOOGLETRANSLATE(B8369,""id"",""en"")"),"['Disappointed', 'quota', 'unlimited', 'slow', 'speed', 'kbps']")</f>
        <v>['Disappointed', 'quota', 'unlimited', 'slow', 'speed', 'kbps']</v>
      </c>
      <c r="D8369" s="3">
        <v>2.0</v>
      </c>
    </row>
    <row r="8370" ht="15.75" customHeight="1">
      <c r="A8370" s="1">
        <v>8921.0</v>
      </c>
      <c r="B8370" s="3" t="s">
        <v>8039</v>
      </c>
      <c r="C8370" s="3" t="str">
        <f>IFERROR(__xludf.DUMMYFUNCTION("GOOGLETRANSLATE(B8370,""id"",""en"")"),"['Cool', 'application']")</f>
        <v>['Cool', 'application']</v>
      </c>
      <c r="D8370" s="3">
        <v>5.0</v>
      </c>
    </row>
    <row r="8371" ht="15.75" customHeight="1">
      <c r="A8371" s="1">
        <v>8922.0</v>
      </c>
      <c r="B8371" s="3" t="s">
        <v>8040</v>
      </c>
      <c r="C8371" s="3" t="str">
        <f>IFERROR(__xludf.DUMMYFUNCTION("GOOGLETRANSLATE(B8371,""id"",""en"")"),"['many years',' use ',' Telkomsel ',' The network ',' bad ',' ASIII ',' LEMOOTT ',' Price ',' Package ',' Telkomsel ',' expensive ',' Compared ',' Please, 'Dwaki Fix', 'Quality', 'The Network']")</f>
        <v>['many years',' use ',' Telkomsel ',' The network ',' bad ',' ASIII ',' LEMOOTT ',' Price ',' Package ',' Telkomsel ',' expensive ',' Compared ',' Please, 'Dwaki Fix', 'Quality', 'The Network']</v>
      </c>
      <c r="D8371" s="3">
        <v>4.0</v>
      </c>
    </row>
    <row r="8372" ht="15.75" customHeight="1">
      <c r="A8372" s="1">
        <v>8923.0</v>
      </c>
      <c r="B8372" s="3" t="s">
        <v>8041</v>
      </c>
      <c r="C8372" s="3" t="str">
        <f>IFERROR(__xludf.DUMMYFUNCTION("GOOGLETRANSLATE(B8372,""id"",""en"")"),"['apk', 'Telkomsel', 'gabisa', 'opened', 'already', 'try', 'many', 'times',' back ',' appear ',' display ',' apk ',' Try ',' Uninstall ',' then ',' Install ',' reset ',' Tetep ',' gabisa ']")</f>
        <v>['apk', 'Telkomsel', 'gabisa', 'opened', 'already', 'try', 'many', 'times',' back ',' appear ',' display ',' apk ',' Try ',' Uninstall ',' then ',' Install ',' reset ',' Tetep ',' gabisa ']</v>
      </c>
      <c r="D8372" s="3">
        <v>1.0</v>
      </c>
    </row>
    <row r="8373" ht="15.75" customHeight="1">
      <c r="A8373" s="1">
        <v>8924.0</v>
      </c>
      <c r="B8373" s="3" t="s">
        <v>8042</v>
      </c>
      <c r="C8373" s="3" t="str">
        <f>IFERROR(__xludf.DUMMYFUNCTION("GOOGLETRANSLATE(B8373,""id"",""en"")"),"['Solution', 'ScreenBlank', 'Opened', 'Change', 'Card', 'yes',' Templaten ',' replaced ',' Understand ',' Language ',' Indonesia ',' Contact ',' Features', 'Help', 'Application', 'Opened', 'Magic', 'Fikir', 'People', 'Hape', ""]")</f>
        <v>['Solution', 'ScreenBlank', 'Opened', 'Change', 'Card', 'yes',' Templaten ',' replaced ',' Understand ',' Language ',' Indonesia ',' Contact ',' Features', 'Help', 'Application', 'Opened', 'Magic', 'Fikir', 'People', 'Hape', "]</v>
      </c>
      <c r="D8373" s="3">
        <v>1.0</v>
      </c>
    </row>
    <row r="8374" ht="15.75" customHeight="1">
      <c r="A8374" s="1">
        <v>8925.0</v>
      </c>
      <c r="B8374" s="3" t="s">
        <v>8043</v>
      </c>
      <c r="C8374" s="3" t="str">
        <f>IFERROR(__xludf.DUMMYFUNCTION("GOOGLETRANSLATE(B8374,""id"",""en"")"),"['good', 'MyTelkomsel', 'tasty', 'smooth']")</f>
        <v>['good', 'MyTelkomsel', 'tasty', 'smooth']</v>
      </c>
      <c r="D8374" s="3">
        <v>5.0</v>
      </c>
    </row>
    <row r="8375" ht="15.75" customHeight="1">
      <c r="A8375" s="1">
        <v>8926.0</v>
      </c>
      <c r="B8375" s="3" t="s">
        <v>8044</v>
      </c>
      <c r="C8375" s="3" t="str">
        <f>IFERROR(__xludf.DUMMYFUNCTION("GOOGLETRANSLATE(B8375,""id"",""en"")"),"['already', 'update', 'go', 'mnuh lag']")</f>
        <v>['already', 'update', 'go', 'mnuh lag']</v>
      </c>
      <c r="D8375" s="3">
        <v>2.0</v>
      </c>
    </row>
    <row r="8376" ht="15.75" customHeight="1">
      <c r="A8376" s="1">
        <v>8927.0</v>
      </c>
      <c r="B8376" s="3" t="s">
        <v>8045</v>
      </c>
      <c r="C8376" s="3" t="str">
        <f>IFERROR(__xludf.DUMMYFUNCTION("GOOGLETRANSLATE(B8376,""id"",""en"")"),"['Network', 'slow', 'anjg', 'rich', 'expensive']")</f>
        <v>['Network', 'slow', 'anjg', 'rich', 'expensive']</v>
      </c>
      <c r="D8376" s="3">
        <v>1.0</v>
      </c>
    </row>
    <row r="8377" ht="15.75" customHeight="1">
      <c r="A8377" s="1">
        <v>8928.0</v>
      </c>
      <c r="B8377" s="3" t="s">
        <v>2004</v>
      </c>
      <c r="C8377" s="3" t="str">
        <f>IFERROR(__xludf.DUMMYFUNCTION("GOOGLETRANSLATE(B8377,""id"",""en"")"),"['login']")</f>
        <v>['login']</v>
      </c>
      <c r="D8377" s="3">
        <v>5.0</v>
      </c>
    </row>
    <row r="8378" ht="15.75" customHeight="1">
      <c r="A8378" s="1">
        <v>8929.0</v>
      </c>
      <c r="B8378" s="3" t="s">
        <v>8046</v>
      </c>
      <c r="C8378" s="3" t="str">
        <f>IFERROR(__xludf.DUMMYFUNCTION("GOOGLETRANSLATE(B8378,""id"",""en"")"),"['signal', 'ugly', 'already', 'a week', 'gada', 'improvement', 'village', 'city']")</f>
        <v>['signal', 'ugly', 'already', 'a week', 'gada', 'improvement', 'village', 'city']</v>
      </c>
      <c r="D8378" s="3">
        <v>1.0</v>
      </c>
    </row>
    <row r="8379" ht="15.75" customHeight="1">
      <c r="A8379" s="1">
        <v>8931.0</v>
      </c>
      <c r="B8379" s="3" t="s">
        <v>8047</v>
      </c>
      <c r="C8379" s="3" t="str">
        <f>IFERROR(__xludf.DUMMYFUNCTION("GOOGLETRANSLATE(B8379,""id"",""en"")"),"['Severe', 'anjirr', 'Telkomsel', 'slow', 'forgiveness',' UDH ',' a month ',' home ',' Telkomsel ',' slow ',' forgiveness', 'play', ' No ',' lift ',' Paraahhhh ',' Switch ',' next door ',' Daah ']")</f>
        <v>['Severe', 'anjirr', 'Telkomsel', 'slow', 'forgiveness',' UDH ',' a month ',' home ',' Telkomsel ',' slow ',' forgiveness', 'play', ' No ',' lift ',' Paraahhhh ',' Switch ',' next door ',' Daah ']</v>
      </c>
      <c r="D8379" s="3">
        <v>1.0</v>
      </c>
    </row>
    <row r="8380" ht="15.75" customHeight="1">
      <c r="A8380" s="1">
        <v>8932.0</v>
      </c>
      <c r="B8380" s="3" t="s">
        <v>8048</v>
      </c>
      <c r="C8380" s="3" t="str">
        <f>IFERROR(__xludf.DUMMYFUNCTION("GOOGLETRANSLATE(B8380,""id"",""en"")"),"['Package', 'Combo', 'Naek', 'continuedssssssssss', 'Asikkk']")</f>
        <v>['Package', 'Combo', 'Naek', 'continuedssssssssss', 'Asikkk']</v>
      </c>
      <c r="D8380" s="3">
        <v>1.0</v>
      </c>
    </row>
    <row r="8381" ht="15.75" customHeight="1">
      <c r="A8381" s="1">
        <v>8933.0</v>
      </c>
      <c r="B8381" s="3" t="s">
        <v>2587</v>
      </c>
      <c r="C8381" s="3" t="str">
        <f>IFERROR(__xludf.DUMMYFUNCTION("GOOGLETRANSLATE(B8381,""id"",""en"")"),"['Update']")</f>
        <v>['Update']</v>
      </c>
      <c r="D8381" s="3">
        <v>5.0</v>
      </c>
    </row>
    <row r="8382" ht="15.75" customHeight="1">
      <c r="A8382" s="1">
        <v>8934.0</v>
      </c>
      <c r="B8382" s="3" t="s">
        <v>8049</v>
      </c>
      <c r="C8382" s="3" t="str">
        <f>IFERROR(__xludf.DUMMYFUNCTION("GOOGLETRANSLATE(B8382,""id"",""en"")"),"['application', 'error', 'already', 'week', 'open', 'screen', 'white', 'doang', 'suggestion', 'download', 'application', '']")</f>
        <v>['application', 'error', 'already', 'week', 'open', 'screen', 'white', 'doang', 'suggestion', 'download', 'application', '']</v>
      </c>
      <c r="D8382" s="3">
        <v>1.0</v>
      </c>
    </row>
    <row r="8383" ht="15.75" customHeight="1">
      <c r="A8383" s="1">
        <v>8935.0</v>
      </c>
      <c r="B8383" s="3" t="s">
        <v>8050</v>
      </c>
      <c r="C8383" s="3" t="str">
        <f>IFERROR(__xludf.DUMMYFUNCTION("GOOGLETRANSLATE(B8383,""id"",""en"")"),"['Robber', 'Pulse', 'Main', 'Package', 'Internet', 'Gigiga', 'Giga', 'Notification', 'SMS', 'Internet', 'Non', 'Package', ' Credit ',' Lost ',' Eaten ',' Grandong ', ""]")</f>
        <v>['Robber', 'Pulse', 'Main', 'Package', 'Internet', 'Gigiga', 'Giga', 'Notification', 'SMS', 'Internet', 'Non', 'Package', ' Credit ',' Lost ',' Eaten ',' Grandong ', "]</v>
      </c>
      <c r="D8383" s="3">
        <v>1.0</v>
      </c>
    </row>
    <row r="8384" ht="15.75" customHeight="1">
      <c r="A8384" s="1">
        <v>8936.0</v>
      </c>
      <c r="B8384" s="3" t="s">
        <v>8051</v>
      </c>
      <c r="C8384" s="3" t="str">
        <f>IFERROR(__xludf.DUMMYFUNCTION("GOOGLETRANSLATE(B8384,""id"",""en"")"),"['', 'download', 'TPI', 'Nggk', 'opened', 'knp', ""]")</f>
        <v>['', 'download', 'TPI', 'Nggk', 'opened', 'knp', "]</v>
      </c>
      <c r="D8384" s="3">
        <v>5.0</v>
      </c>
    </row>
    <row r="8385" ht="15.75" customHeight="1">
      <c r="A8385" s="1">
        <v>8938.0</v>
      </c>
      <c r="B8385" s="3" t="s">
        <v>8052</v>
      </c>
      <c r="C8385" s="3" t="str">
        <f>IFERROR(__xludf.DUMMYFUNCTION("GOOGLETRANSLATE(B8385,""id"",""en"")"),"['buy', 'package', 'price', 'exorbitant', 'quality', 'internet', 'rotten']")</f>
        <v>['buy', 'package', 'price', 'exorbitant', 'quality', 'internet', 'rotten']</v>
      </c>
      <c r="D8385" s="3">
        <v>1.0</v>
      </c>
    </row>
    <row r="8386" ht="15.75" customHeight="1">
      <c r="A8386" s="1">
        <v>8939.0</v>
      </c>
      <c r="B8386" s="3" t="s">
        <v>8053</v>
      </c>
      <c r="C8386" s="3" t="str">
        <f>IFERROR(__xludf.DUMMYFUNCTION("GOOGLETRANSLATE(B8386,""id"",""en"")"),"['Teklomsel', 'Beloved', 'Play', 'Game', 'Signal', 'Lost', 'Friends',' Different ',' Card ',' Signal ',' Kenceng ',' Then ',' Stayed ',' in the city ',' KNP ',' DLU ',' Telkomsel ',' Where ',' Sinynya ',' Good ',' Decline ',' users', 'Telkom', 'bright', '"&amp;"annoyed' , 'As a result', 'service', 'destroy', 'card', 'Telkomsel', 'expensive', 'package', 'work', 'bad', 'hopefully', 'Telkomsel', 'fix', ' ']")</f>
        <v>['Teklomsel', 'Beloved', 'Play', 'Game', 'Signal', 'Lost', 'Friends',' Different ',' Card ',' Signal ',' Kenceng ',' Then ',' Stayed ',' in the city ',' KNP ',' DLU ',' Telkomsel ',' Where ',' Sinynya ',' Good ',' Decline ',' users', 'Telkom', 'bright', 'annoyed' , 'As a result', 'service', 'destroy', 'card', 'Telkomsel', 'expensive', 'package', 'work', 'bad', 'hopefully', 'Telkomsel', 'fix', ' ']</v>
      </c>
      <c r="D8386" s="3">
        <v>1.0</v>
      </c>
    </row>
    <row r="8387" ht="15.75" customHeight="1">
      <c r="A8387" s="1">
        <v>8940.0</v>
      </c>
      <c r="B8387" s="3" t="s">
        <v>8054</v>
      </c>
      <c r="C8387" s="3" t="str">
        <f>IFERROR(__xludf.DUMMYFUNCTION("GOOGLETRANSLATE(B8387,""id"",""en"")"),"['The interview is', 'good', 'Sanggata', 'easy', 'megext', 'data']")</f>
        <v>['The interview is', 'good', 'Sanggata', 'easy', 'megext', 'data']</v>
      </c>
      <c r="D8387" s="3">
        <v>5.0</v>
      </c>
    </row>
    <row r="8388" ht="15.75" customHeight="1">
      <c r="A8388" s="1">
        <v>8941.0</v>
      </c>
      <c r="B8388" s="3" t="s">
        <v>8055</v>
      </c>
      <c r="C8388" s="3" t="str">
        <f>IFERROR(__xludf.DUMMYFUNCTION("GOOGLETRANSLATE(B8388,""id"",""en"")"),"['Telkomsel', 'open', 'already', 'try', 'uninstall', 'installation', 'open', 'gerangan']")</f>
        <v>['Telkomsel', 'open', 'already', 'try', 'uninstall', 'installation', 'open', 'gerangan']</v>
      </c>
      <c r="D8388" s="3">
        <v>1.0</v>
      </c>
    </row>
    <row r="8389" ht="15.75" customHeight="1">
      <c r="A8389" s="1">
        <v>8942.0</v>
      </c>
      <c r="B8389" s="3" t="s">
        <v>8056</v>
      </c>
      <c r="C8389" s="3" t="str">
        <f>IFERROR(__xludf.DUMMYFUNCTION("GOOGLETRANSLATE(B8389,""id"",""en"")"),"['no', 'login', 'here', 'easy', 'no', 'use']")</f>
        <v>['no', 'login', 'here', 'easy', 'no', 'use']</v>
      </c>
      <c r="D8389" s="3">
        <v>1.0</v>
      </c>
    </row>
    <row r="8390" ht="15.75" customHeight="1">
      <c r="A8390" s="1">
        <v>8943.0</v>
      </c>
      <c r="B8390" s="3" t="s">
        <v>8057</v>
      </c>
      <c r="C8390" s="3" t="str">
        <f>IFERROR(__xludf.DUMMYFUNCTION("GOOGLETRANSLATE(B8390,""id"",""en"")"),"['dead', 'lights', 'Telkomsel', 'like', 'slow', 'why', '']")</f>
        <v>['dead', 'lights', 'Telkomsel', 'like', 'slow', 'why', '']</v>
      </c>
      <c r="D8390" s="3">
        <v>3.0</v>
      </c>
    </row>
    <row r="8391" ht="15.75" customHeight="1">
      <c r="A8391" s="1">
        <v>8944.0</v>
      </c>
      <c r="B8391" s="3" t="s">
        <v>8058</v>
      </c>
      <c r="C8391" s="3" t="str">
        <f>IFERROR(__xludf.DUMMYFUNCTION("GOOGLETRANSLATE(B8391,""id"",""en"")"),"['opened', 'response']")</f>
        <v>['opened', 'response']</v>
      </c>
      <c r="D8391" s="3">
        <v>3.0</v>
      </c>
    </row>
    <row r="8392" ht="15.75" customHeight="1">
      <c r="A8392" s="1">
        <v>8945.0</v>
      </c>
      <c r="B8392" s="3" t="s">
        <v>8059</v>
      </c>
      <c r="C8392" s="3" t="str">
        <f>IFERROR(__xludf.DUMMYFUNCTION("GOOGLETRANSLATE(B8392,""id"",""en"")"),"['Ternya', 'Exchange', 'Point', 'Cut', 'Credit', 'Application', 'Siada', ""]")</f>
        <v>['Ternya', 'Exchange', 'Point', 'Cut', 'Credit', 'Application', 'Siada', "]</v>
      </c>
      <c r="D8392" s="3">
        <v>1.0</v>
      </c>
    </row>
    <row r="8393" ht="15.75" customHeight="1">
      <c r="A8393" s="1">
        <v>8946.0</v>
      </c>
      <c r="B8393" s="3" t="s">
        <v>8060</v>
      </c>
      <c r="C8393" s="3" t="str">
        <f>IFERROR(__xludf.DUMMYFUNCTION("GOOGLETRANSLATE(B8393,""id"",""en"")"),"['package', 'internet', 'local', 'difficult', 'travel', 'city', 'thank', 'love']")</f>
        <v>['package', 'internet', 'local', 'difficult', 'travel', 'city', 'thank', 'love']</v>
      </c>
      <c r="D8393" s="3">
        <v>3.0</v>
      </c>
    </row>
    <row r="8394" ht="15.75" customHeight="1">
      <c r="A8394" s="1">
        <v>8947.0</v>
      </c>
      <c r="B8394" s="3" t="s">
        <v>8061</v>
      </c>
      <c r="C8394" s="3" t="str">
        <f>IFERROR(__xludf.DUMMYFUNCTION("GOOGLETRANSLATE(B8394,""id"",""en"")"),"['Network', 'according to', 'expensive', 'already', 'Maha', 'Network', 'ugly', 'please', 'help']")</f>
        <v>['Network', 'according to', 'expensive', 'already', 'Maha', 'Network', 'ugly', 'please', 'help']</v>
      </c>
      <c r="D8394" s="3">
        <v>1.0</v>
      </c>
    </row>
    <row r="8395" ht="15.75" customHeight="1">
      <c r="A8395" s="1">
        <v>8948.0</v>
      </c>
      <c r="B8395" s="3" t="s">
        <v>8062</v>
      </c>
      <c r="C8395" s="3" t="str">
        <f>IFERROR(__xludf.DUMMYFUNCTION("GOOGLETRANSLATE(B8395,""id"",""en"")"),"['apk', 'Telkomsel', 'open', 'update', '']")</f>
        <v>['apk', 'Telkomsel', 'open', 'update', '']</v>
      </c>
      <c r="D8395" s="3">
        <v>3.0</v>
      </c>
    </row>
    <row r="8396" ht="15.75" customHeight="1">
      <c r="A8396" s="1">
        <v>8949.0</v>
      </c>
      <c r="B8396" s="3" t="s">
        <v>8063</v>
      </c>
      <c r="C8396" s="3" t="str">
        <f>IFERROR(__xludf.DUMMYFUNCTION("GOOGLETRANSLATE(B8396,""id"",""en"")"),"['Sorry', 'Delete', 'Bad']")</f>
        <v>['Sorry', 'Delete', 'Bad']</v>
      </c>
      <c r="D8396" s="3">
        <v>1.0</v>
      </c>
    </row>
    <row r="8397" ht="15.75" customHeight="1">
      <c r="A8397" s="1">
        <v>8950.0</v>
      </c>
      <c r="B8397" s="3" t="s">
        <v>8064</v>
      </c>
      <c r="C8397" s="3" t="str">
        <f>IFERROR(__xludf.DUMMYFUNCTION("GOOGLETRANSLATE(B8397,""id"",""en"")"),"['Beware', 'Heart', 'Credit', 'Abis',' Used ',' SMS ',' Conscine ',' Internet ',' Hope ',' Notice ',' Harm ',' Consumers', 'profits', ""]")</f>
        <v>['Beware', 'Heart', 'Credit', 'Abis',' Used ',' SMS ',' Conscine ',' Internet ',' Hope ',' Notice ',' Harm ',' Consumers', 'profits', "]</v>
      </c>
      <c r="D8397" s="3">
        <v>1.0</v>
      </c>
    </row>
    <row r="8398" ht="15.75" customHeight="1">
      <c r="A8398" s="1">
        <v>8951.0</v>
      </c>
      <c r="B8398" s="3" t="s">
        <v>8065</v>
      </c>
      <c r="C8398" s="3" t="str">
        <f>IFERROR(__xludf.DUMMYFUNCTION("GOOGLETRANSLATE(B8398,""id"",""en"")"),"['DAK', 'NDAK', 'Connect', 'Connect']")</f>
        <v>['DAK', 'NDAK', 'Connect', 'Connect']</v>
      </c>
      <c r="D8398" s="3">
        <v>5.0</v>
      </c>
    </row>
    <row r="8399" ht="15.75" customHeight="1">
      <c r="A8399" s="1">
        <v>8952.0</v>
      </c>
      <c r="B8399" s="3" t="s">
        <v>8066</v>
      </c>
      <c r="C8399" s="3" t="str">
        <f>IFERROR(__xludf.DUMMYFUNCTION("GOOGLETRANSLATE(B8399,""id"",""en"")"),"['Difficult', 'Daonlot']")</f>
        <v>['Difficult', 'Daonlot']</v>
      </c>
      <c r="D8399" s="3">
        <v>1.0</v>
      </c>
    </row>
    <row r="8400" ht="15.75" customHeight="1">
      <c r="A8400" s="1">
        <v>8953.0</v>
      </c>
      <c r="B8400" s="3" t="s">
        <v>8067</v>
      </c>
      <c r="C8400" s="3" t="str">
        <f>IFERROR(__xludf.DUMMYFUNCTION("GOOGLETRANSLATE(B8400,""id"",""en"")"),"['Times', 'Believe', 'Telkomsel', 'Jaya', 'Telkomsel', '']")</f>
        <v>['Times', 'Believe', 'Telkomsel', 'Jaya', 'Telkomsel', '']</v>
      </c>
      <c r="D8400" s="3">
        <v>5.0</v>
      </c>
    </row>
    <row r="8401" ht="15.75" customHeight="1">
      <c r="A8401" s="1">
        <v>8954.0</v>
      </c>
      <c r="B8401" s="3" t="s">
        <v>8068</v>
      </c>
      <c r="C8401" s="3" t="str">
        <f>IFERROR(__xludf.DUMMYFUNCTION("GOOGLETRANSLATE(B8401,""id"",""en"")"),"['NGK', 'Exchange']")</f>
        <v>['NGK', 'Exchange']</v>
      </c>
      <c r="D8401" s="3">
        <v>1.0</v>
      </c>
    </row>
    <row r="8402" ht="15.75" customHeight="1">
      <c r="A8402" s="1">
        <v>8955.0</v>
      </c>
      <c r="B8402" s="3" t="s">
        <v>8069</v>
      </c>
      <c r="C8402" s="3" t="str">
        <f>IFERROR(__xludf.DUMMYFUNCTION("GOOGLETRANSLATE(B8402,""id"",""en"")"),"['times', 'fill out', 'reset', 'pulse', 'enter', '']")</f>
        <v>['times', 'fill out', 'reset', 'pulse', 'enter', '']</v>
      </c>
      <c r="D8402" s="3">
        <v>2.0</v>
      </c>
    </row>
    <row r="8403" ht="15.75" customHeight="1">
      <c r="A8403" s="1">
        <v>8956.0</v>
      </c>
      <c r="B8403" s="3" t="s">
        <v>8070</v>
      </c>
      <c r="C8403" s="3" t="str">
        <f>IFERROR(__xludf.DUMMYFUNCTION("GOOGLETRANSLATE(B8403,""id"",""en"")"),"['buy', 'pulse', 'dipake', 'position', 'data', 'dead', 'pulse', 'sumps', 'healthy', 'pdhl', 'nsp', 'what']")</f>
        <v>['buy', 'pulse', 'dipake', 'position', 'data', 'dead', 'pulse', 'sumps', 'healthy', 'pdhl', 'nsp', 'what']</v>
      </c>
      <c r="D8403" s="3">
        <v>1.0</v>
      </c>
    </row>
    <row r="8404" ht="15.75" customHeight="1">
      <c r="A8404" s="1">
        <v>8957.0</v>
      </c>
      <c r="B8404" s="3" t="s">
        <v>8071</v>
      </c>
      <c r="C8404" s="3" t="str">
        <f>IFERROR(__xludf.DUMMYFUNCTION("GOOGLETRANSLATE(B8404,""id"",""en"")"),"['user', 'card', 'Telkomsel', 'satisfied', 'service', 'stability', 'use', 'network', 'tekomsel', 'tekomsel', 'wrong', 'network', ' Operators', 'cellular', 'biggest', 'Indonesian', 'quality', 'service', 'data', 'stability', 'network', 'bad', 'stay', 'tower"&amp;"', 'network' , 'Tekomsel', 'Network', 'Good', '']")</f>
        <v>['user', 'card', 'Telkomsel', 'satisfied', 'service', 'stability', 'use', 'network', 'tekomsel', 'tekomsel', 'wrong', 'network', ' Operators', 'cellular', 'biggest', 'Indonesian', 'quality', 'service', 'data', 'stability', 'network', 'bad', 'stay', 'tower', 'network' , 'Tekomsel', 'Network', 'Good', '']</v>
      </c>
      <c r="D8404" s="3">
        <v>2.0</v>
      </c>
    </row>
    <row r="8405" ht="15.75" customHeight="1">
      <c r="A8405" s="1">
        <v>8958.0</v>
      </c>
      <c r="B8405" s="3" t="s">
        <v>8072</v>
      </c>
      <c r="C8405" s="3" t="str">
        <f>IFERROR(__xludf.DUMMYFUNCTION("GOOGLETRANSLATE(B8405,""id"",""en"")"),"['Please', 'Telkomsel', 'Region', 'Depok', 'Javanese', 'West', 'Signal', 'ugly', 'Severe', 'Please', 'repaired', 'Sinyal', ' Lost ',' GSM ']")</f>
        <v>['Please', 'Telkomsel', 'Region', 'Depok', 'Javanese', 'West', 'Signal', 'ugly', 'Severe', 'Please', 'repaired', 'Sinyal', ' Lost ',' GSM ']</v>
      </c>
      <c r="D8405" s="3">
        <v>1.0</v>
      </c>
    </row>
    <row r="8406" ht="15.75" customHeight="1">
      <c r="A8406" s="1">
        <v>8959.0</v>
      </c>
      <c r="B8406" s="3" t="s">
        <v>8073</v>
      </c>
      <c r="C8406" s="3" t="str">
        <f>IFERROR(__xludf.DUMMYFUNCTION("GOOGLETRANSLATE(B8406,""id"",""en"")"),"['update', 'picture', 'white', 'terbud', 'buy', 'package']")</f>
        <v>['update', 'picture', 'white', 'terbud', 'buy', 'package']</v>
      </c>
      <c r="D8406" s="3">
        <v>1.0</v>
      </c>
    </row>
    <row r="8407" ht="15.75" customHeight="1">
      <c r="A8407" s="1">
        <v>8960.0</v>
      </c>
      <c r="B8407" s="3" t="s">
        <v>8074</v>
      </c>
      <c r="C8407" s="3" t="str">
        <f>IFERROR(__xludf.DUMMYFUNCTION("GOOGLETRANSLATE(B8407,""id"",""en"")"),"['Credit', 'Cut', 'quota', 'gmn', 'please', 'reverse', 'pulse', 'silver', 'silverk']")</f>
        <v>['Credit', 'Cut', 'quota', 'gmn', 'please', 'reverse', 'pulse', 'silver', 'silverk']</v>
      </c>
      <c r="D8407" s="3">
        <v>5.0</v>
      </c>
    </row>
    <row r="8408" ht="15.75" customHeight="1">
      <c r="A8408" s="1">
        <v>8961.0</v>
      </c>
      <c r="B8408" s="3" t="s">
        <v>8075</v>
      </c>
      <c r="C8408" s="3" t="str">
        <f>IFERROR(__xludf.DUMMYFUNCTION("GOOGLETRANSLATE(B8408,""id"",""en"")"),"['function', 'limiting', 'use', 'pulse', 'phone', 'sms',' non ',' package ',' cause ',' pulse ',' directly ',' cut ',' Quota ',' Internet ',' covers', 'use', 'application', 'Axianet', 'company', 'Telkom', 'thinking', 'detail', 'experience', 'pulses',' Lud"&amp;"es' , 'deliberate', 'turn on', 'Instagram']")</f>
        <v>['function', 'limiting', 'use', 'pulse', 'phone', 'sms',' non ',' package ',' cause ',' pulse ',' directly ',' cut ',' Quota ',' Internet ',' covers', 'use', 'application', 'Axianet', 'company', 'Telkom', 'thinking', 'detail', 'experience', 'pulses',' Ludes' , 'deliberate', 'turn on', 'Instagram']</v>
      </c>
      <c r="D8408" s="3">
        <v>1.0</v>
      </c>
    </row>
    <row r="8409" ht="15.75" customHeight="1">
      <c r="A8409" s="1">
        <v>8962.0</v>
      </c>
      <c r="B8409" s="3" t="s">
        <v>8076</v>
      </c>
      <c r="C8409" s="3" t="str">
        <f>IFERROR(__xludf.DUMMYFUNCTION("GOOGLETRANSLATE(B8409,""id"",""en"")"),"['Good', 'Good', 'Network', '']")</f>
        <v>['Good', 'Good', 'Network', '']</v>
      </c>
      <c r="D8409" s="3">
        <v>1.0</v>
      </c>
    </row>
    <row r="8410" ht="15.75" customHeight="1">
      <c r="A8410" s="1">
        <v>8963.0</v>
      </c>
      <c r="B8410" s="3" t="s">
        <v>1754</v>
      </c>
      <c r="C8410" s="3" t="str">
        <f>IFERROR(__xludf.DUMMYFUNCTION("GOOGLETRANSLATE(B8410,""id"",""en"")"),"['', 'open']")</f>
        <v>['', 'open']</v>
      </c>
      <c r="D8410" s="3">
        <v>5.0</v>
      </c>
    </row>
    <row r="8411" ht="15.75" customHeight="1">
      <c r="A8411" s="1">
        <v>8964.0</v>
      </c>
      <c r="B8411" s="3" t="s">
        <v>8077</v>
      </c>
      <c r="C8411" s="3" t="str">
        <f>IFERROR(__xludf.DUMMYFUNCTION("GOOGLETRANSLATE(B8411,""id"",""en"")"),"['quota', 'omg', 'nggk', 'use', 'whole', 'quota', 'internet', 'already', 'exhaust', 'first']")</f>
        <v>['quota', 'omg', 'nggk', 'use', 'whole', 'quota', 'internet', 'already', 'exhaust', 'first']</v>
      </c>
      <c r="D8411" s="3">
        <v>2.0</v>
      </c>
    </row>
    <row r="8412" ht="15.75" customHeight="1">
      <c r="A8412" s="1">
        <v>8965.0</v>
      </c>
      <c r="B8412" s="3" t="s">
        <v>8078</v>
      </c>
      <c r="C8412" s="3" t="str">
        <f>IFERROR(__xludf.DUMMYFUNCTION("GOOGLETRANSLATE(B8412,""id"",""en"")"),"['Application', 'opened', 'please', 'info', 'appears', 'blank', 'white']")</f>
        <v>['Application', 'opened', 'please', 'info', 'appears', 'blank', 'white']</v>
      </c>
      <c r="D8412" s="3">
        <v>4.0</v>
      </c>
    </row>
    <row r="8413" ht="15.75" customHeight="1">
      <c r="A8413" s="1">
        <v>8966.0</v>
      </c>
      <c r="B8413" s="3" t="s">
        <v>8079</v>
      </c>
      <c r="C8413" s="3" t="str">
        <f>IFERROR(__xludf.DUMMYFUNCTION("GOOGLETRANSLATE(B8413,""id"",""en"")"),"['', 'TOD', 'Network', 'Package', 'Knp', 'Ngeleg', 'Todd', 'Cave', 'Sampe', 'Damaged', 'GRA', 'GRA', 'Signal ',' kaga ',' tod ']")</f>
        <v>['', 'TOD', 'Network', 'Package', 'Knp', 'Ngeleg', 'Todd', 'Cave', 'Sampe', 'Damaged', 'GRA', 'GRA', 'Signal ',' kaga ',' tod ']</v>
      </c>
      <c r="D8413" s="3">
        <v>1.0</v>
      </c>
    </row>
    <row r="8414" ht="15.75" customHeight="1">
      <c r="A8414" s="1">
        <v>8967.0</v>
      </c>
      <c r="B8414" s="3" t="s">
        <v>8080</v>
      </c>
      <c r="C8414" s="3" t="str">
        <f>IFERROR(__xludf.DUMMYFUNCTION("GOOGLETRANSLATE(B8414,""id"",""en"")"),"['Good', 'checked', 'pulse', 'aje', '']")</f>
        <v>['Good', 'checked', 'pulse', 'aje', '']</v>
      </c>
      <c r="D8414" s="3">
        <v>5.0</v>
      </c>
    </row>
    <row r="8415" ht="15.75" customHeight="1">
      <c r="A8415" s="1">
        <v>8968.0</v>
      </c>
      <c r="B8415" s="3" t="s">
        <v>8081</v>
      </c>
      <c r="C8415" s="3" t="str">
        <f>IFERROR(__xludf.DUMMYFUNCTION("GOOGLETRANSLATE(B8415,""id"",""en"")"),"['Increase', 'service', 'bonus']")</f>
        <v>['Increase', 'service', 'bonus']</v>
      </c>
      <c r="D8415" s="3">
        <v>5.0</v>
      </c>
    </row>
    <row r="8416" ht="15.75" customHeight="1">
      <c r="A8416" s="1">
        <v>8969.0</v>
      </c>
      <c r="B8416" s="3" t="s">
        <v>8082</v>
      </c>
      <c r="C8416" s="3" t="str">
        <f>IFERROR(__xludf.DUMMYFUNCTION("GOOGLETRANSLATE(B8416,""id"",""en"")"),"['Security', 'Convenience', ""]")</f>
        <v>['Security', 'Convenience', "]</v>
      </c>
      <c r="D8416" s="3">
        <v>5.0</v>
      </c>
    </row>
    <row r="8417" ht="15.75" customHeight="1">
      <c r="A8417" s="1">
        <v>8970.0</v>
      </c>
      <c r="B8417" s="3" t="s">
        <v>8083</v>
      </c>
      <c r="C8417" s="3" t="str">
        <f>IFERROR(__xludf.DUMMYFUNCTION("GOOGLETRANSLATE(B8417,""id"",""en"")"),"['Application', 'walk', 'blank', 'white', 'muter']")</f>
        <v>['Application', 'walk', 'blank', 'white', 'muter']</v>
      </c>
      <c r="D8417" s="3">
        <v>1.0</v>
      </c>
    </row>
    <row r="8418" ht="15.75" customHeight="1">
      <c r="A8418" s="1">
        <v>8972.0</v>
      </c>
      <c r="B8418" s="3" t="s">
        <v>8084</v>
      </c>
      <c r="C8418" s="3" t="str">
        <f>IFERROR(__xludf.DUMMYFUNCTION("GOOGLETRANSLATE(B8418,""id"",""en"")"),"['Steady', 'The application', '']")</f>
        <v>['Steady', 'The application', '']</v>
      </c>
      <c r="D8418" s="3">
        <v>5.0</v>
      </c>
    </row>
    <row r="8419" ht="15.75" customHeight="1">
      <c r="A8419" s="1">
        <v>8973.0</v>
      </c>
      <c r="B8419" s="3" t="s">
        <v>8085</v>
      </c>
      <c r="C8419" s="3" t="str">
        <f>IFERROR(__xludf.DUMMYFUNCTION("GOOGLETRANSLATE(B8419,""id"",""en"")"),"['signal', 'sympathy', 'down', 'cool', 'play', 'game', 'disconnected', 'open', 'commerce', 'slow', 'look', 'open', ' used ',' learning ',' online ',' difficult ',' open ',' sosmed ',' buffuring ',' sympathy ',' rich ',' signal ',' indonesia ',' famous', '"&amp;"expensive' , 'signal', 'collapse', ""]")</f>
        <v>['signal', 'sympathy', 'down', 'cool', 'play', 'game', 'disconnected', 'open', 'commerce', 'slow', 'look', 'open', ' used ',' learning ',' online ',' difficult ',' open ',' sosmed ',' buffuring ',' sympathy ',' rich ',' signal ',' indonesia ',' famous', 'expensive' , 'signal', 'collapse', "]</v>
      </c>
      <c r="D8419" s="3">
        <v>5.0</v>
      </c>
    </row>
    <row r="8420" ht="15.75" customHeight="1">
      <c r="A8420" s="1">
        <v>8974.0</v>
      </c>
      <c r="B8420" s="3" t="s">
        <v>8086</v>
      </c>
      <c r="C8420" s="3" t="str">
        <f>IFERROR(__xludf.DUMMYFUNCTION("GOOGLETRANSLATE(B8420,""id"",""en"")"),"['Satisfied', 'Package', 'Internet', 'Offers', 'Expensive', 'Promo', 'Buy', 'Access', 'Register', 'Package', ""]")</f>
        <v>['Satisfied', 'Package', 'Internet', 'Offers', 'Expensive', 'Promo', 'Buy', 'Access', 'Register', 'Package', "]</v>
      </c>
      <c r="D8420" s="3">
        <v>2.0</v>
      </c>
    </row>
    <row r="8421" ht="15.75" customHeight="1">
      <c r="A8421" s="1">
        <v>8976.0</v>
      </c>
      <c r="B8421" s="3" t="s">
        <v>8087</v>
      </c>
      <c r="C8421" s="3" t="str">
        <f>IFERROR(__xludf.DUMMYFUNCTION("GOOGLETRANSLATE(B8421,""id"",""en"")"),"['Samsung', '']")</f>
        <v>['Samsung', '']</v>
      </c>
      <c r="D8421" s="3">
        <v>1.0</v>
      </c>
    </row>
    <row r="8422" ht="15.75" customHeight="1">
      <c r="A8422" s="1">
        <v>8977.0</v>
      </c>
      <c r="B8422" s="3" t="s">
        <v>8088</v>
      </c>
      <c r="C8422" s="3" t="str">
        <f>IFERROR(__xludf.DUMMYFUNCTION("GOOGLETRANSLATE(B8422,""id"",""en"")"),"['', 'comment', 'commentan', 'ilang', 'Males', 'typing', 'essence', 'nets', 'area', 'remote', 'note', ""]")</f>
        <v>['', 'comment', 'commentan', 'ilang', 'Males', 'typing', 'essence', 'nets', 'area', 'remote', 'note', "]</v>
      </c>
      <c r="D8422" s="3">
        <v>2.0</v>
      </c>
    </row>
    <row r="8423" ht="15.75" customHeight="1">
      <c r="A8423" s="1">
        <v>8979.0</v>
      </c>
      <c r="B8423" s="3" t="s">
        <v>8089</v>
      </c>
      <c r="C8423" s="3" t="str">
        <f>IFERROR(__xludf.DUMMYFUNCTION("GOOGLETRANSLATE(B8423,""id"",""en"")"),"['', 'open', 'difficult', 'binggit']")</f>
        <v>['', 'open', 'difficult', 'binggit']</v>
      </c>
      <c r="D8423" s="3">
        <v>5.0</v>
      </c>
    </row>
    <row r="8424" ht="15.75" customHeight="1">
      <c r="A8424" s="1">
        <v>8980.0</v>
      </c>
      <c r="B8424" s="3" t="s">
        <v>8090</v>
      </c>
      <c r="C8424" s="3" t="str">
        <f>IFERROR(__xludf.DUMMYFUNCTION("GOOGLETRANSLATE(B8424,""id"",""en"")"),"['Signal', 'Bad', 'Perfoma', 'Bad', 'Bad', 'Win', 'Expensive', 'Doang', 'Untung', 'Udh', 'Change', 'Krtu', ' Quota ',' RIP ',' Telkomsel ']")</f>
        <v>['Signal', 'Bad', 'Perfoma', 'Bad', 'Bad', 'Win', 'Expensive', 'Doang', 'Untung', 'Udh', 'Change', 'Krtu', ' Quota ',' RIP ',' Telkomsel ']</v>
      </c>
      <c r="D8424" s="3">
        <v>1.0</v>
      </c>
    </row>
    <row r="8425" ht="15.75" customHeight="1">
      <c r="A8425" s="1">
        <v>8981.0</v>
      </c>
      <c r="B8425" s="3" t="s">
        <v>8091</v>
      </c>
      <c r="C8425" s="3" t="str">
        <f>IFERROR(__xludf.DUMMYFUNCTION("GOOGLETRANSLATE(B8425,""id"",""en"")"),"['Good', 'Lola']")</f>
        <v>['Good', 'Lola']</v>
      </c>
      <c r="D8425" s="3">
        <v>5.0</v>
      </c>
    </row>
    <row r="8426" ht="15.75" customHeight="1">
      <c r="A8426" s="1">
        <v>8982.0</v>
      </c>
      <c r="B8426" s="3" t="s">
        <v>8092</v>
      </c>
      <c r="C8426" s="3" t="str">
        <f>IFERROR(__xludf.DUMMYFUNCTION("GOOGLETRANSLATE(B8426,""id"",""en"")"),"['use', 'application', 'Telkomsel', 'tdak', 'open', 'cma', 'appears', 'color', 'puti']")</f>
        <v>['use', 'application', 'Telkomsel', 'tdak', 'open', 'cma', 'appears', 'color', 'puti']</v>
      </c>
      <c r="D8426" s="3">
        <v>1.0</v>
      </c>
    </row>
    <row r="8427" ht="15.75" customHeight="1">
      <c r="A8427" s="1">
        <v>8983.0</v>
      </c>
      <c r="B8427" s="3" t="s">
        <v>8093</v>
      </c>
      <c r="C8427" s="3" t="str">
        <f>IFERROR(__xludf.DUMMYFUNCTION("GOOGLETRANSLATE(B8427,""id"",""en"")"),"['min', 'contents', 'pulse', 'getting', 'rates', 'package', 'please', 'aturin', 'min', 'loss', ""]")</f>
        <v>['min', 'contents', 'pulse', 'getting', 'rates', 'package', 'please', 'aturin', 'min', 'loss', "]</v>
      </c>
      <c r="D8427" s="3">
        <v>2.0</v>
      </c>
    </row>
    <row r="8428" ht="15.75" customHeight="1">
      <c r="A8428" s="1">
        <v>8984.0</v>
      </c>
      <c r="B8428" s="3" t="s">
        <v>8094</v>
      </c>
      <c r="C8428" s="3" t="str">
        <f>IFERROR(__xludf.DUMMYFUNCTION("GOOGLETRANSLATE(B8428,""id"",""en"")"),"['Josss', 'aka', 'steady']")</f>
        <v>['Josss', 'aka', 'steady']</v>
      </c>
      <c r="D8428" s="3">
        <v>5.0</v>
      </c>
    </row>
    <row r="8429" ht="15.75" customHeight="1">
      <c r="A8429" s="1">
        <v>8985.0</v>
      </c>
      <c r="B8429" s="3" t="s">
        <v>8095</v>
      </c>
      <c r="C8429" s="3" t="str">
        <f>IFERROR(__xludf.DUMMYFUNCTION("GOOGLETRANSLATE(B8429,""id"",""en"")"),"['', 'Telkomsel', 'Open', 'Install', 'reset', 'admin', 'help', ""]")</f>
        <v>['', 'Telkomsel', 'Open', 'Install', 'reset', 'admin', 'help', "]</v>
      </c>
      <c r="D8429" s="3">
        <v>2.0</v>
      </c>
    </row>
    <row r="8430" ht="15.75" customHeight="1">
      <c r="A8430" s="1">
        <v>8986.0</v>
      </c>
      <c r="B8430" s="3" t="s">
        <v>8096</v>
      </c>
      <c r="C8430" s="3" t="str">
        <f>IFERROR(__xludf.DUMMYFUNCTION("GOOGLETRANSLATE(B8430,""id"",""en"")"),"['Telkomsel', 'package', 'expensive', 'network', 'internet', 'cheap', 'loss', ""]")</f>
        <v>['Telkomsel', 'package', 'expensive', 'network', 'internet', 'cheap', 'loss', "]</v>
      </c>
      <c r="D8430" s="3">
        <v>1.0</v>
      </c>
    </row>
    <row r="8431" ht="15.75" customHeight="1">
      <c r="A8431" s="1">
        <v>8987.0</v>
      </c>
      <c r="B8431" s="3" t="s">
        <v>8097</v>
      </c>
      <c r="C8431" s="3" t="str">
        <f>IFERROR(__xludf.DUMMYFUNCTION("GOOGLETRANSLATE(B8431,""id"",""en"")"),"['Price', 'Package', 'Data', 'Expensive']")</f>
        <v>['Price', 'Package', 'Data', 'Expensive']</v>
      </c>
      <c r="D8431" s="3">
        <v>1.0</v>
      </c>
    </row>
    <row r="8432" ht="15.75" customHeight="1">
      <c r="A8432" s="1">
        <v>8988.0</v>
      </c>
      <c r="B8432" s="3" t="s">
        <v>8098</v>
      </c>
      <c r="C8432" s="3" t="str">
        <f>IFERROR(__xludf.DUMMYFUNCTION("GOOGLETRANSLATE(B8432,""id"",""en"")"),"['please', 'fix', 'network', 'Telkomsel', 'Kendari', 'quota', 'expensive', 'comparable', 'network', 'Provide', 'Severe', 'please', ' Fix ',' The network ',' money ',' Haram ',' pity ',' komorang ',' eat ',' klw ',' model ',' your network ', ""]")</f>
        <v>['please', 'fix', 'network', 'Telkomsel', 'Kendari', 'quota', 'expensive', 'comparable', 'network', 'Provide', 'Severe', 'please', ' Fix ',' The network ',' money ',' Haram ',' pity ',' komorang ',' eat ',' klw ',' model ',' your network ', "]</v>
      </c>
      <c r="D8432" s="3">
        <v>3.0</v>
      </c>
    </row>
    <row r="8433" ht="15.75" customHeight="1">
      <c r="A8433" s="1">
        <v>8989.0</v>
      </c>
      <c r="B8433" s="3" t="s">
        <v>8099</v>
      </c>
      <c r="C8433" s="3" t="str">
        <f>IFERROR(__xludf.DUMMYFUNCTION("GOOGLETRANSLATE(B8433,""id"",""en"")"),"['BACOOOOOOOH', 'MAITELKOMSAEL', 'WILL', 'APLI', 'Kasi', 'Seption', 'Engka', 'Internet', 'Open it', 'Akhi', 'Mauis',' The Network ',' bad']")</f>
        <v>['BACOOOOOOOH', 'MAITELKOMSAEL', 'WILL', 'APLI', 'Kasi', 'Seption', 'Engka', 'Internet', 'Open it', 'Akhi', 'Mauis',' The Network ',' bad']</v>
      </c>
      <c r="D8433" s="3">
        <v>1.0</v>
      </c>
    </row>
    <row r="8434" ht="15.75" customHeight="1">
      <c r="A8434" s="1">
        <v>8990.0</v>
      </c>
      <c r="B8434" s="3" t="s">
        <v>8100</v>
      </c>
      <c r="C8434" s="3" t="str">
        <f>IFERROR(__xludf.DUMMYFUNCTION("GOOGLETRANSLATE(B8434,""id"",""en"")"),"['Help', 'transaction', 'buy', 'package', 'data', 'contents', 'pulse', 'hope', 'promo', 'use', 'application', '']")</f>
        <v>['Help', 'transaction', 'buy', 'package', 'data', 'contents', 'pulse', 'hope', 'promo', 'use', 'application', '']</v>
      </c>
      <c r="D8434" s="3">
        <v>5.0</v>
      </c>
    </row>
    <row r="8435" ht="15.75" customHeight="1">
      <c r="A8435" s="1">
        <v>8991.0</v>
      </c>
      <c r="B8435" s="3" t="s">
        <v>8101</v>
      </c>
      <c r="C8435" s="3" t="str">
        <f>IFERROR(__xludf.DUMMYFUNCTION("GOOGLETRANSLATE(B8435,""id"",""en"")"),"['Telkomsel', 'okay']")</f>
        <v>['Telkomsel', 'okay']</v>
      </c>
      <c r="D8435" s="3">
        <v>5.0</v>
      </c>
    </row>
    <row r="8436" ht="15.75" customHeight="1">
      <c r="A8436" s="1">
        <v>8992.0</v>
      </c>
      <c r="B8436" s="3" t="s">
        <v>8102</v>
      </c>
      <c r="C8436" s="3" t="str">
        <f>IFERROR(__xludf.DUMMYFUNCTION("GOOGLETRANSLATE(B8436,""id"",""en"")"),"['opened', 'Delete', 'Install', 'reset', 'tetep']")</f>
        <v>['opened', 'Delete', 'Install', 'reset', 'tetep']</v>
      </c>
      <c r="D8436" s="3">
        <v>1.0</v>
      </c>
    </row>
    <row r="8437" ht="15.75" customHeight="1">
      <c r="A8437" s="1">
        <v>8993.0</v>
      </c>
      <c r="B8437" s="3" t="s">
        <v>8103</v>
      </c>
      <c r="C8437" s="3" t="str">
        <f>IFERROR(__xludf.DUMMYFUNCTION("GOOGLETRANSLATE(B8437,""id"",""en"")"),"['Network', 'widest']")</f>
        <v>['Network', 'widest']</v>
      </c>
      <c r="D8437" s="3">
        <v>5.0</v>
      </c>
    </row>
    <row r="8438" ht="15.75" customHeight="1">
      <c r="A8438" s="1">
        <v>8994.0</v>
      </c>
      <c r="B8438" s="3" t="s">
        <v>8104</v>
      </c>
      <c r="C8438" s="3" t="str">
        <f>IFERROR(__xludf.DUMMYFUNCTION("GOOGLETRANSLATE(B8438,""id"",""en"")"),"['use', 'signal', 'KON', 'down', 'card', '']")</f>
        <v>['use', 'signal', 'KON', 'down', 'card', '']</v>
      </c>
      <c r="D8438" s="3">
        <v>2.0</v>
      </c>
    </row>
    <row r="8439" ht="15.75" customHeight="1">
      <c r="A8439" s="1">
        <v>8995.0</v>
      </c>
      <c r="B8439" s="3" t="s">
        <v>8105</v>
      </c>
      <c r="C8439" s="3" t="str">
        <f>IFERROR(__xludf.DUMMYFUNCTION("GOOGLETRANSLATE(B8439,""id"",""en"")"),"['Please', 'Sorry', 'MyTelkomsel', 'Open', 'The Application']")</f>
        <v>['Please', 'Sorry', 'MyTelkomsel', 'Open', 'The Application']</v>
      </c>
      <c r="D8439" s="3">
        <v>4.0</v>
      </c>
    </row>
    <row r="8440" ht="15.75" customHeight="1">
      <c r="A8440" s="1">
        <v>8996.0</v>
      </c>
      <c r="B8440" s="3" t="s">
        <v>8106</v>
      </c>
      <c r="C8440" s="3" t="str">
        <f>IFERROR(__xludf.DUMMYFUNCTION("GOOGLETRANSLATE(B8440,""id"",""en"")"),"['updated', 'opened', 'already', 'Try', 'uninstall', 'please', 'repaired', 'yaa', 'ngehang', 'try', 'open', 'application' ']")</f>
        <v>['updated', 'opened', 'already', 'Try', 'uninstall', 'please', 'repaired', 'yaa', 'ngehang', 'try', 'open', 'application' ']</v>
      </c>
      <c r="D8440" s="3">
        <v>2.0</v>
      </c>
    </row>
    <row r="8441" ht="15.75" customHeight="1">
      <c r="A8441" s="1">
        <v>8997.0</v>
      </c>
      <c r="B8441" s="3" t="s">
        <v>8107</v>
      </c>
      <c r="C8441" s="3" t="str">
        <f>IFERROR(__xludf.DUMMYFUNCTION("GOOGLETRANSLATE(B8441,""id"",""en"")"),"['APK', 'good', 'has', 'Uto', 'buy', 'package', 'data', 'pulse']")</f>
        <v>['APK', 'good', 'has', 'Uto', 'buy', 'package', 'data', 'pulse']</v>
      </c>
      <c r="D8441" s="3">
        <v>5.0</v>
      </c>
    </row>
    <row r="8442" ht="15.75" customHeight="1">
      <c r="A8442" s="1">
        <v>8998.0</v>
      </c>
      <c r="B8442" s="3" t="s">
        <v>8108</v>
      </c>
      <c r="C8442" s="3" t="str">
        <f>IFERROR(__xludf.DUMMYFUNCTION("GOOGLETRANSLATE(B8442,""id"",""en"")"),"['telkom', 'hmpir', 'hri', 'network', 'bad', 'mulu', 'aj', 'pket', 'jdi', 'bnyk', 'left', ""]")</f>
        <v>['telkom', 'hmpir', 'hri', 'network', 'bad', 'mulu', 'aj', 'pket', 'jdi', 'bnyk', 'left', "]</v>
      </c>
      <c r="D8442" s="3">
        <v>1.0</v>
      </c>
    </row>
    <row r="8443" ht="15.75" customHeight="1">
      <c r="A8443" s="1">
        <v>8999.0</v>
      </c>
      <c r="B8443" s="3" t="s">
        <v>8109</v>
      </c>
      <c r="C8443" s="3" t="str">
        <f>IFERROR(__xludf.DUMMYFUNCTION("GOOGLETRANSLATE(B8443,""id"",""en"")"),"['aillamualikum', 'boss',' please ',' quota ',' run out ',' take ',' pulse ',' pretty good ',' packagein ',' lgi ',' please ',' UDH ',' Customer ',' loyal ',' Telkomsel ']")</f>
        <v>['aillamualikum', 'boss',' please ',' quota ',' run out ',' take ',' pulse ',' pretty good ',' packagein ',' lgi ',' please ',' UDH ',' Customer ',' loyal ',' Telkomsel ']</v>
      </c>
      <c r="D8443" s="3">
        <v>2.0</v>
      </c>
    </row>
    <row r="8444" ht="15.75" customHeight="1">
      <c r="A8444" s="1">
        <v>9000.0</v>
      </c>
      <c r="B8444" s="3" t="s">
        <v>8110</v>
      </c>
      <c r="C8444" s="3" t="str">
        <f>IFERROR(__xludf.DUMMYFUNCTION("GOOGLETRANSLATE(B8444,""id"",""en"")"),"['application', 'sangt', 'petrified', 'dlm', 'kit', 'emergency']")</f>
        <v>['application', 'sangt', 'petrified', 'dlm', 'kit', 'emergency']</v>
      </c>
      <c r="D8444" s="3">
        <v>5.0</v>
      </c>
    </row>
    <row r="8445" ht="15.75" customHeight="1">
      <c r="A8445" s="1">
        <v>9001.0</v>
      </c>
      <c r="B8445" s="3" t="s">
        <v>8111</v>
      </c>
      <c r="C8445" s="3" t="str">
        <f>IFERROR(__xludf.DUMMYFUNCTION("GOOGLETRANSLATE(B8445,""id"",""en"")"),"['Since', 'Change', 'Sympathy', 'Hello', 'Signal', 'Speed', 'internet', 'Reduced', 'as a result', 'Lemoooot', ""]")</f>
        <v>['Since', 'Change', 'Sympathy', 'Hello', 'Signal', 'Speed', 'internet', 'Reduced', 'as a result', 'Lemoooot', "]</v>
      </c>
      <c r="D8445" s="3">
        <v>5.0</v>
      </c>
    </row>
    <row r="8446" ht="15.75" customHeight="1">
      <c r="A8446" s="1">
        <v>9002.0</v>
      </c>
      <c r="B8446" s="3" t="s">
        <v>8112</v>
      </c>
      <c r="C8446" s="3" t="str">
        <f>IFERROR(__xludf.DUMMYFUNCTION("GOOGLETRANSLATE(B8446,""id"",""en"")"),"['Telkomsel', 'signal', 'like', 'melted', 'Pectan', 'sufficient', 'please', 'Pengaikki']")</f>
        <v>['Telkomsel', 'signal', 'like', 'melted', 'Pectan', 'sufficient', 'please', 'Pengaikki']</v>
      </c>
      <c r="D8446" s="3">
        <v>3.0</v>
      </c>
    </row>
    <row r="8447" ht="15.75" customHeight="1">
      <c r="A8447" s="1">
        <v>9003.0</v>
      </c>
      <c r="B8447" s="3" t="s">
        <v>8113</v>
      </c>
      <c r="C8447" s="3" t="str">
        <f>IFERROR(__xludf.DUMMYFUNCTION("GOOGLETRANSLATE(B8447,""id"",""en"")"),"['already', 'slow', 'expensive']")</f>
        <v>['already', 'slow', 'expensive']</v>
      </c>
      <c r="D8447" s="3">
        <v>1.0</v>
      </c>
    </row>
    <row r="8448" ht="15.75" customHeight="1">
      <c r="A8448" s="1">
        <v>9004.0</v>
      </c>
      <c r="B8448" s="3" t="s">
        <v>8114</v>
      </c>
      <c r="C8448" s="3" t="str">
        <f>IFERROR(__xludf.DUMMYFUNCTION("GOOGLETRANSLATE(B8448,""id"",""en"")"),"['Handbody', 'concoction', 'download', 'forget', 'judge', 'game', 'child', 'child', 'God', 'my Lord', 'made', 'book', ' package ',' student ',' information ',' can ',' home ',' bang ',' buy ',' market ',' task ',' Allah ',' Apostle ',' support ',' treat '"&amp;" , 'Enter', 'wind', 'body', 'human', 'digunam']")</f>
        <v>['Handbody', 'concoction', 'download', 'forget', 'judge', 'game', 'child', 'child', 'God', 'my Lord', 'made', 'book', ' package ',' student ',' information ',' can ',' home ',' bang ',' buy ',' market ',' task ',' Allah ',' Apostle ',' support ',' treat ' , 'Enter', 'wind', 'body', 'human', 'digunam']</v>
      </c>
      <c r="D8448" s="3">
        <v>4.0</v>
      </c>
    </row>
    <row r="8449" ht="15.75" customHeight="1">
      <c r="A8449" s="1">
        <v>9005.0</v>
      </c>
      <c r="B8449" s="3" t="s">
        <v>6680</v>
      </c>
      <c r="C8449" s="3" t="str">
        <f>IFERROR(__xludf.DUMMYFUNCTION("GOOGLETRANSLATE(B8449,""id"",""en"")"),"['bad']")</f>
        <v>['bad']</v>
      </c>
      <c r="D8449" s="3">
        <v>1.0</v>
      </c>
    </row>
    <row r="8450" ht="15.75" customHeight="1">
      <c r="A8450" s="1">
        <v>9006.0</v>
      </c>
      <c r="B8450" s="3" t="s">
        <v>8115</v>
      </c>
      <c r="C8450" s="3" t="str">
        <f>IFERROR(__xludf.DUMMYFUNCTION("GOOGLETRANSLATE(B8450,""id"",""en"")"),"['application', 'good', 'run out', 'update', 'appears', 'screen', 'white']")</f>
        <v>['application', 'good', 'run out', 'update', 'appears', 'screen', 'white']</v>
      </c>
      <c r="D8450" s="3">
        <v>1.0</v>
      </c>
    </row>
    <row r="8451" ht="15.75" customHeight="1">
      <c r="A8451" s="1">
        <v>9007.0</v>
      </c>
      <c r="B8451" s="3" t="s">
        <v>8116</v>
      </c>
      <c r="C8451" s="3" t="str">
        <f>IFERROR(__xludf.DUMMYFUNCTION("GOOGLETRANSLATE(B8451,""id"",""en"")"),"['Unistal', 'Download', 'enter', 'picture', 'white', 'how', 'Telkomsel', 'subscription', 'skrng', 'ugly', 'buy', 'quota', ' difficult ',' bus', 'change', 'card']")</f>
        <v>['Unistal', 'Download', 'enter', 'picture', 'white', 'how', 'Telkomsel', 'subscription', 'skrng', 'ugly', 'buy', 'quota', ' difficult ',' bus', 'change', 'card']</v>
      </c>
      <c r="D8451" s="3">
        <v>1.0</v>
      </c>
    </row>
    <row r="8452" ht="15.75" customHeight="1">
      <c r="A8452" s="1">
        <v>9008.0</v>
      </c>
      <c r="B8452" s="3" t="s">
        <v>8117</v>
      </c>
      <c r="C8452" s="3" t="str">
        <f>IFERROR(__xludf.DUMMYFUNCTION("GOOGLETRANSLATE(B8452,""id"",""en"")"),"['Please', 'Jaringqny', 'Dide']")</f>
        <v>['Please', 'Jaringqny', 'Dide']</v>
      </c>
      <c r="D8452" s="3">
        <v>4.0</v>
      </c>
    </row>
    <row r="8453" ht="15.75" customHeight="1">
      <c r="A8453" s="1">
        <v>9009.0</v>
      </c>
      <c r="B8453" s="3" t="s">
        <v>8118</v>
      </c>
      <c r="C8453" s="3" t="str">
        <f>IFERROR(__xludf.DUMMYFUNCTION("GOOGLETRANSLATE(B8453,""id"",""en"")"),"['Error', 'my APK']")</f>
        <v>['Error', 'my APK']</v>
      </c>
      <c r="D8453" s="3">
        <v>1.0</v>
      </c>
    </row>
    <row r="8454" ht="15.75" customHeight="1">
      <c r="A8454" s="1">
        <v>9010.0</v>
      </c>
      <c r="B8454" s="3" t="s">
        <v>8119</v>
      </c>
      <c r="C8454" s="3" t="str">
        <f>IFERROR(__xludf.DUMMYFUNCTION("GOOGLETRANSLATE(B8454,""id"",""en"")"),"['Application', 'Out', 'Update', 'Opened']")</f>
        <v>['Application', 'Out', 'Update', 'Opened']</v>
      </c>
      <c r="D8454" s="3">
        <v>1.0</v>
      </c>
    </row>
    <row r="8455" ht="15.75" customHeight="1">
      <c r="A8455" s="1">
        <v>9011.0</v>
      </c>
      <c r="B8455" s="3" t="s">
        <v>8120</v>
      </c>
      <c r="C8455" s="3" t="str">
        <f>IFERROR(__xludf.DUMMYFUNCTION("GOOGLETRANSLATE(B8455,""id"",""en"")"),"['application', 'color', 'white', 'open', 'please', 'help', 'thank you', ""]")</f>
        <v>['application', 'color', 'white', 'open', 'please', 'help', 'thank you', "]</v>
      </c>
      <c r="D8455" s="3">
        <v>5.0</v>
      </c>
    </row>
    <row r="8456" ht="15.75" customHeight="1">
      <c r="A8456" s="1">
        <v>9012.0</v>
      </c>
      <c r="B8456" s="3" t="s">
        <v>8121</v>
      </c>
      <c r="C8456" s="3" t="str">
        <f>IFERROR(__xludf.DUMMYFUNCTION("GOOGLETRANSLATE(B8456,""id"",""en"")"),"['Update', 'Application', 'MyTelkomsel', 'Log', 'Application', 'MyTelkomsel']")</f>
        <v>['Update', 'Application', 'MyTelkomsel', 'Log', 'Application', 'MyTelkomsel']</v>
      </c>
      <c r="D8456" s="3">
        <v>3.0</v>
      </c>
    </row>
    <row r="8457" ht="15.75" customHeight="1">
      <c r="A8457" s="1">
        <v>9013.0</v>
      </c>
      <c r="B8457" s="3" t="s">
        <v>8122</v>
      </c>
      <c r="C8457" s="3" t="str">
        <f>IFERROR(__xludf.DUMMYFUNCTION("GOOGLETRANSLATE(B8457,""id"",""en"")"),"['checked', 'pulse', 'quota', 'easy']")</f>
        <v>['checked', 'pulse', 'quota', 'easy']</v>
      </c>
      <c r="D8457" s="3">
        <v>5.0</v>
      </c>
    </row>
    <row r="8458" ht="15.75" customHeight="1">
      <c r="A8458" s="1">
        <v>9014.0</v>
      </c>
      <c r="B8458" s="3" t="s">
        <v>8123</v>
      </c>
      <c r="C8458" s="3" t="str">
        <f>IFERROR(__xludf.DUMMYFUNCTION("GOOGLETRANSLATE(B8458,""id"",""en"")"),"['expensive', 'pketan']")</f>
        <v>['expensive', 'pketan']</v>
      </c>
      <c r="D8458" s="3">
        <v>1.0</v>
      </c>
    </row>
    <row r="8459" ht="15.75" customHeight="1">
      <c r="A8459" s="1">
        <v>9015.0</v>
      </c>
      <c r="B8459" s="3" t="s">
        <v>8124</v>
      </c>
      <c r="C8459" s="3" t="str">
        <f>IFERROR(__xludf.DUMMYFUNCTION("GOOGLETRANSLATE(B8459,""id"",""en"")"),"['Signal', 'sympathy', 'bapet', 'please', 'increase']")</f>
        <v>['Signal', 'sympathy', 'bapet', 'please', 'increase']</v>
      </c>
      <c r="D8459" s="3">
        <v>4.0</v>
      </c>
    </row>
    <row r="8460" ht="15.75" customHeight="1">
      <c r="A8460" s="1">
        <v>9016.0</v>
      </c>
      <c r="B8460" s="3" t="s">
        <v>8125</v>
      </c>
      <c r="C8460" s="3" t="str">
        <f>IFERROR(__xludf.DUMMYFUNCTION("GOOGLETRANSLATE(B8460,""id"",""en"")"),"['price', 'quota', 'expensive', 'signal', 'sometimes', 'good', 'sometimes', 'ugly', 'in the area', 'Jabodetabek']")</f>
        <v>['price', 'quota', 'expensive', 'signal', 'sometimes', 'good', 'sometimes', 'ugly', 'in the area', 'Jabodetabek']</v>
      </c>
      <c r="D8460" s="3">
        <v>1.0</v>
      </c>
    </row>
    <row r="8461" ht="15.75" customHeight="1">
      <c r="A8461" s="1">
        <v>9017.0</v>
      </c>
      <c r="B8461" s="3" t="s">
        <v>8126</v>
      </c>
      <c r="C8461" s="3" t="str">
        <f>IFERROR(__xludf.DUMMYFUNCTION("GOOGLETRANSLATE(B8461,""id"",""en"")"),"['App', 'manten']")</f>
        <v>['App', 'manten']</v>
      </c>
      <c r="D8461" s="3">
        <v>1.0</v>
      </c>
    </row>
    <row r="8462" ht="15.75" customHeight="1">
      <c r="A8462" s="1">
        <v>9019.0</v>
      </c>
      <c r="B8462" s="3" t="s">
        <v>8127</v>
      </c>
      <c r="C8462" s="3" t="str">
        <f>IFERROR(__xludf.DUMMYFUNCTION("GOOGLETRANSLATE(B8462,""id"",""en"")"),"['Operator', 'What', 'Network', 'Down', 'No', 'Heat', 'Quota', 'Sucked', 'Used', 'Ngegame', 'Lagg', 'Naudzubillah', ' Parahh ',' ']")</f>
        <v>['Operator', 'What', 'Network', 'Down', 'No', 'Heat', 'Quota', 'Sucked', 'Used', 'Ngegame', 'Lagg', 'Naudzubillah', ' Parahh ',' ']</v>
      </c>
      <c r="D8462" s="3">
        <v>1.0</v>
      </c>
    </row>
    <row r="8463" ht="15.75" customHeight="1">
      <c r="A8463" s="1">
        <v>9020.0</v>
      </c>
      <c r="B8463" s="3" t="s">
        <v>8128</v>
      </c>
      <c r="C8463" s="3" t="str">
        <f>IFERROR(__xludf.DUMMYFUNCTION("GOOGLETRANSLATE(B8463,""id"",""en"")"),"['very delicious']")</f>
        <v>['very delicious']</v>
      </c>
      <c r="D8463" s="3">
        <v>5.0</v>
      </c>
    </row>
    <row r="8464" ht="15.75" customHeight="1">
      <c r="A8464" s="1">
        <v>9021.0</v>
      </c>
      <c r="B8464" s="3" t="s">
        <v>8129</v>
      </c>
      <c r="C8464" s="3" t="str">
        <f>IFERROR(__xludf.DUMMYFUNCTION("GOOGLETRANSLATE(B8464,""id"",""en"")"),"['fair', 'bangse', 'kaka', 'cave', 'promo', 'cave', 'kasi', 'cheating', 'swear', 'Telkomsel', ""]")</f>
        <v>['fair', 'bangse', 'kaka', 'cave', 'promo', 'cave', 'kasi', 'cheating', 'swear', 'Telkomsel', "]</v>
      </c>
      <c r="D8464" s="3">
        <v>1.0</v>
      </c>
    </row>
    <row r="8465" ht="15.75" customHeight="1">
      <c r="A8465" s="1">
        <v>9022.0</v>
      </c>
      <c r="B8465" s="3" t="s">
        <v>8130</v>
      </c>
      <c r="C8465" s="3" t="str">
        <f>IFERROR(__xludf.DUMMYFUNCTION("GOOGLETRANSLATE(B8465,""id"",""en"")"),"['difficult', 'entry', '']")</f>
        <v>['difficult', 'entry', '']</v>
      </c>
      <c r="D8465" s="3">
        <v>5.0</v>
      </c>
    </row>
    <row r="8466" ht="15.75" customHeight="1">
      <c r="A8466" s="1">
        <v>9023.0</v>
      </c>
      <c r="B8466" s="3" t="s">
        <v>8131</v>
      </c>
      <c r="C8466" s="3" t="str">
        <f>IFERROR(__xludf.DUMMYFUNCTION("GOOGLETRANSLATE(B8466,""id"",""en"")"),"['Buy', 'Package', 'Unlimited', 'YouTube', 'Cut "",' Kouta ',' Main ',' Buy ',' Expensive ',' expensive ',""]")</f>
        <v>['Buy', 'Package', 'Unlimited', 'YouTube', 'Cut ",' Kouta ',' Main ',' Buy ',' Expensive ',' expensive ',"]</v>
      </c>
      <c r="D8466" s="3">
        <v>1.0</v>
      </c>
    </row>
    <row r="8467" ht="15.75" customHeight="1">
      <c r="A8467" s="1">
        <v>9024.0</v>
      </c>
      <c r="B8467" s="3" t="s">
        <v>8132</v>
      </c>
      <c r="C8467" s="3" t="str">
        <f>IFERROR(__xludf.DUMMYFUNCTION("GOOGLETRANSLATE(B8467,""id"",""en"")"),"['Steady', 'appellation']")</f>
        <v>['Steady', 'appellation']</v>
      </c>
      <c r="D8467" s="3">
        <v>5.0</v>
      </c>
    </row>
    <row r="8468" ht="15.75" customHeight="1">
      <c r="A8468" s="1">
        <v>9025.0</v>
      </c>
      <c r="B8468" s="3" t="s">
        <v>8133</v>
      </c>
      <c r="C8468" s="3" t="str">
        <f>IFERROR(__xludf.DUMMYFUNCTION("GOOGLETRANSLATE(B8468,""id"",""en"")"),"['The application', 'good', 'bangetttttt', '']")</f>
        <v>['The application', 'good', 'bangetttttt', '']</v>
      </c>
      <c r="D8468" s="3">
        <v>5.0</v>
      </c>
    </row>
    <row r="8469" ht="15.75" customHeight="1">
      <c r="A8469" s="1">
        <v>9026.0</v>
      </c>
      <c r="B8469" s="3" t="s">
        <v>8134</v>
      </c>
      <c r="C8469" s="3" t="str">
        <f>IFERROR(__xludf.DUMMYFUNCTION("GOOGLETRANSLATE(B8469,""id"",""en"")"),"['difficult', 'log', 'updet']")</f>
        <v>['difficult', 'log', 'updet']</v>
      </c>
      <c r="D8469" s="3">
        <v>1.0</v>
      </c>
    </row>
    <row r="8470" ht="15.75" customHeight="1">
      <c r="A8470" s="1">
        <v>9027.0</v>
      </c>
      <c r="B8470" s="3" t="s">
        <v>8135</v>
      </c>
      <c r="C8470" s="3" t="str">
        <f>IFERROR(__xludf.DUMMYFUNCTION("GOOGLETRANSLATE(B8470,""id"",""en"")"),"['Application', 'failed', 'opened', 'Samsung', 'Please', 'repair']")</f>
        <v>['Application', 'failed', 'opened', 'Samsung', 'Please', 'repair']</v>
      </c>
      <c r="D8470" s="3">
        <v>4.0</v>
      </c>
    </row>
    <row r="8471" ht="15.75" customHeight="1">
      <c r="A8471" s="1">
        <v>9028.0</v>
      </c>
      <c r="B8471" s="3" t="s">
        <v>8136</v>
      </c>
      <c r="C8471" s="3" t="str">
        <f>IFERROR(__xludf.DUMMYFUNCTION("GOOGLETRANSLATE(B8471,""id"",""en"")"),"['Fast', 'Remove', 'Sakti', 'Data', 'Affordable', 'Wait', 'Thank you']")</f>
        <v>['Fast', 'Remove', 'Sakti', 'Data', 'Affordable', 'Wait', 'Thank you']</v>
      </c>
      <c r="D8471" s="3">
        <v>5.0</v>
      </c>
    </row>
    <row r="8472" ht="15.75" customHeight="1">
      <c r="A8472" s="1">
        <v>9029.0</v>
      </c>
      <c r="B8472" s="3" t="s">
        <v>8137</v>
      </c>
      <c r="C8472" s="3" t="str">
        <f>IFERROR(__xludf.DUMMYFUNCTION("GOOGLETRANSLATE(B8472,""id"",""en"")"),"['screen', 'white']")</f>
        <v>['screen', 'white']</v>
      </c>
      <c r="D8472" s="3">
        <v>1.0</v>
      </c>
    </row>
    <row r="8473" ht="15.75" customHeight="1">
      <c r="A8473" s="1">
        <v>9030.0</v>
      </c>
      <c r="B8473" s="3" t="s">
        <v>8138</v>
      </c>
      <c r="C8473" s="3" t="str">
        <f>IFERROR(__xludf.DUMMYFUNCTION("GOOGLETRANSLATE(B8473,""id"",""en"")"),"['many years', 'use', 'application', 'good', 'week', 'week', 'please', 'fix']")</f>
        <v>['many years', 'use', 'application', 'good', 'week', 'week', 'please', 'fix']</v>
      </c>
      <c r="D8473" s="3">
        <v>5.0</v>
      </c>
    </row>
    <row r="8474" ht="15.75" customHeight="1">
      <c r="A8474" s="1">
        <v>9032.0</v>
      </c>
      <c r="B8474" s="3" t="s">
        <v>8139</v>
      </c>
      <c r="C8474" s="3" t="str">
        <f>IFERROR(__xludf.DUMMYFUNCTION("GOOGLETRANSLATE(B8474,""id"",""en"")"),"['Please', 'sorry', 'nich', 'admin', 'developer', 'open', 'application', 'telkomsel', 'white', 'trs', 'please', 'fix']")</f>
        <v>['Please', 'sorry', 'nich', 'admin', 'developer', 'open', 'application', 'telkomsel', 'white', 'trs', 'please', 'fix']</v>
      </c>
      <c r="D8474" s="3">
        <v>3.0</v>
      </c>
    </row>
    <row r="8475" ht="15.75" customHeight="1">
      <c r="A8475" s="1">
        <v>9033.0</v>
      </c>
      <c r="B8475" s="3" t="s">
        <v>8140</v>
      </c>
      <c r="C8475" s="3" t="str">
        <f>IFERROR(__xludf.DUMMYFUNCTION("GOOGLETRANSLATE(B8475,""id"",""en"")"),"['oath', 'tsel', 'slow', 'Bgeettt', 'Suff', 'Deh', 'repaired', 'connection', 'yaa', 'oath', 'slow', 'bget', ' ']")</f>
        <v>['oath', 'tsel', 'slow', 'Bgeettt', 'Suff', 'Deh', 'repaired', 'connection', 'yaa', 'oath', 'slow', 'bget', ' ']</v>
      </c>
      <c r="D8475" s="3">
        <v>1.0</v>
      </c>
    </row>
    <row r="8476" ht="15.75" customHeight="1">
      <c r="A8476" s="1">
        <v>9034.0</v>
      </c>
      <c r="B8476" s="3" t="s">
        <v>8141</v>
      </c>
      <c r="C8476" s="3" t="str">
        <f>IFERROR(__xludf.DUMMYFUNCTION("GOOGLETRANSLATE(B8476,""id"",""en"")"),"['Basic', 'Taik', 'Tukerin', 'Point', 'Credit', 'Pulses', 'Konthol', 'Points', 'Credit', 'Eat', 'Pig', ""]")</f>
        <v>['Basic', 'Taik', 'Tukerin', 'Point', 'Credit', 'Pulses', 'Konthol', 'Points', 'Credit', 'Eat', 'Pig', "]</v>
      </c>
      <c r="D8476" s="3">
        <v>1.0</v>
      </c>
    </row>
    <row r="8477" ht="15.75" customHeight="1">
      <c r="A8477" s="1">
        <v>9035.0</v>
      </c>
      <c r="B8477" s="3" t="s">
        <v>8142</v>
      </c>
      <c r="C8477" s="3" t="str">
        <f>IFERROR(__xludf.DUMMYFUNCTION("GOOGLETRANSLATE(B8477,""id"",""en"")"),"['Telkomsel', 'Salah', 'Network', 'Ter', 'Najis',' Indo ',' Because ',' Signal ',' Telkomsel ',' Default ',' Stable ',' Performance ',' stress', 'report', 'ganguan', 'signal', 'tapai', 'bonds',' tingal ',' telkomsel ',' wort ',' signal ',' laq ',' rerual "&amp;"' , 'People', 'Emotion', 'Telkom', 'Calace', 'pig']")</f>
        <v>['Telkomsel', 'Salah', 'Network', 'Ter', 'Najis',' Indo ',' Because ',' Signal ',' Telkomsel ',' Default ',' Stable ',' Performance ',' stress', 'report', 'ganguan', 'signal', 'tapai', 'bonds',' tingal ',' telkomsel ',' wort ',' signal ',' laq ',' rerual ' , 'People', 'Emotion', 'Telkom', 'Calace', 'pig']</v>
      </c>
      <c r="D8477" s="3">
        <v>1.0</v>
      </c>
    </row>
    <row r="8478" ht="15.75" customHeight="1">
      <c r="A8478" s="1">
        <v>9036.0</v>
      </c>
      <c r="B8478" s="3" t="s">
        <v>8143</v>
      </c>
      <c r="C8478" s="3" t="str">
        <f>IFERROR(__xludf.DUMMYFUNCTION("GOOGLETRANSLATE(B8478,""id"",""en"")"),"['Please', 'fixed', 'application', 'cook', 'ngestuck', 'blank', 'white', 'mulu', 'already', 'cleaned', 'chace', 'telegram', ' Contacted ']")</f>
        <v>['Please', 'fixed', 'application', 'cook', 'ngestuck', 'blank', 'white', 'mulu', 'already', 'cleaned', 'chace', 'telegram', ' Contacted ']</v>
      </c>
      <c r="D8478" s="3">
        <v>1.0</v>
      </c>
    </row>
    <row r="8479" ht="15.75" customHeight="1">
      <c r="A8479" s="1">
        <v>9037.0</v>
      </c>
      <c r="B8479" s="3" t="s">
        <v>8144</v>
      </c>
      <c r="C8479" s="3" t="str">
        <f>IFERROR(__xludf.DUMMYFUNCTION("GOOGLETRANSLATE(B8479,""id"",""en"")"),"['Open', 'apk', 'Telkomsel', 'msuk', 'screen', 'white']")</f>
        <v>['Open', 'apk', 'Telkomsel', 'msuk', 'screen', 'white']</v>
      </c>
      <c r="D8479" s="3">
        <v>1.0</v>
      </c>
    </row>
    <row r="8480" ht="15.75" customHeight="1">
      <c r="A8480" s="1">
        <v>9038.0</v>
      </c>
      <c r="B8480" s="3" t="s">
        <v>8145</v>
      </c>
      <c r="C8480" s="3" t="str">
        <f>IFERROR(__xludf.DUMMYFUNCTION("GOOGLETRANSLATE(B8480,""id"",""en"")"),"['Hopefully', 'steady']")</f>
        <v>['Hopefully', 'steady']</v>
      </c>
      <c r="D8480" s="3">
        <v>5.0</v>
      </c>
    </row>
    <row r="8481" ht="15.75" customHeight="1">
      <c r="A8481" s="1">
        <v>9039.0</v>
      </c>
      <c r="B8481" s="3" t="s">
        <v>8146</v>
      </c>
      <c r="C8481" s="3" t="str">
        <f>IFERROR(__xludf.DUMMYFUNCTION("GOOGLETRANSLATE(B8481,""id"",""en"")"),"['Pekah', 'Telkomsel', 'BKA', 'Application', 'White', 'Doank', ""]")</f>
        <v>['Pekah', 'Telkomsel', 'BKA', 'Application', 'White', 'Doank', "]</v>
      </c>
      <c r="D8481" s="3">
        <v>2.0</v>
      </c>
    </row>
    <row r="8482" ht="15.75" customHeight="1">
      <c r="A8482" s="1">
        <v>9040.0</v>
      </c>
      <c r="B8482" s="3" t="s">
        <v>8147</v>
      </c>
      <c r="C8482" s="3" t="str">
        <f>IFERROR(__xludf.DUMMYFUNCTION("GOOGLETRANSLATE(B8482,""id"",""en"")"),"['skrg', 'opened', 'app', 'blankkkk']")</f>
        <v>['skrg', 'opened', 'app', 'blankkkk']</v>
      </c>
      <c r="D8482" s="3">
        <v>1.0</v>
      </c>
    </row>
    <row r="8483" ht="15.75" customHeight="1">
      <c r="A8483" s="1">
        <v>9041.0</v>
      </c>
      <c r="B8483" s="3" t="s">
        <v>8148</v>
      </c>
      <c r="C8483" s="3" t="str">
        <f>IFERROR(__xludf.DUMMYFUNCTION("GOOGLETRANSLATE(B8483,""id"",""en"")"),"['update', 'Telkomsel', 'right', 'open', 'directly', 'look', 'white']")</f>
        <v>['update', 'Telkomsel', 'right', 'open', 'directly', 'look', 'white']</v>
      </c>
      <c r="D8483" s="3">
        <v>4.0</v>
      </c>
    </row>
    <row r="8484" ht="15.75" customHeight="1">
      <c r="A8484" s="1">
        <v>9042.0</v>
      </c>
      <c r="B8484" s="3" t="s">
        <v>8149</v>
      </c>
      <c r="C8484" s="3" t="str">
        <f>IFERROR(__xludf.DUMMYFUNCTION("GOOGLETRANSLATE(B8484,""id"",""en"")"),"['What', 'min', 'menu', 'dial', 'trick', 'ane', 'jdi', 'no', 'bsa', 'list', 'package', '']")</f>
        <v>['What', 'min', 'menu', 'dial', 'trick', 'ane', 'jdi', 'no', 'bsa', 'list', 'package', '']</v>
      </c>
      <c r="D8484" s="3">
        <v>4.0</v>
      </c>
    </row>
    <row r="8485" ht="15.75" customHeight="1">
      <c r="A8485" s="1">
        <v>9043.0</v>
      </c>
      <c r="B8485" s="3" t="s">
        <v>8150</v>
      </c>
      <c r="C8485" s="3" t="str">
        <f>IFERROR(__xludf.DUMMYFUNCTION("GOOGLETRANSLATE(B8485,""id"",""en"")"),"['The network', 'bad', ""]")</f>
        <v>['The network', 'bad', "]</v>
      </c>
      <c r="D8485" s="3">
        <v>1.0</v>
      </c>
    </row>
    <row r="8486" ht="15.75" customHeight="1">
      <c r="A8486" s="1">
        <v>9044.0</v>
      </c>
      <c r="B8486" s="3" t="s">
        <v>8151</v>
      </c>
      <c r="C8486" s="3" t="str">
        <f>IFERROR(__xludf.DUMMYFUNCTION("GOOGLETRANSLATE(B8486,""id"",""en"")"),"['Its', 'agree']")</f>
        <v>['Its', 'agree']</v>
      </c>
      <c r="D8486" s="3">
        <v>1.0</v>
      </c>
    </row>
    <row r="8487" ht="15.75" customHeight="1">
      <c r="A8487" s="1">
        <v>9045.0</v>
      </c>
      <c r="B8487" s="3" t="s">
        <v>8152</v>
      </c>
      <c r="C8487" s="3" t="str">
        <f>IFERROR(__xludf.DUMMYFUNCTION("GOOGLETRANSLATE(B8487,""id"",""en"")"),"['expensive', 'signal', 'down', 'sip', 'cave', 'mah', 'increase', 'speed', 'internet', 'Java', '']")</f>
        <v>['expensive', 'signal', 'down', 'sip', 'cave', 'mah', 'increase', 'speed', 'internet', 'Java', '']</v>
      </c>
      <c r="D8487" s="3">
        <v>1.0</v>
      </c>
    </row>
    <row r="8488" ht="15.75" customHeight="1">
      <c r="A8488" s="1">
        <v>9046.0</v>
      </c>
      <c r="B8488" s="3" t="s">
        <v>8153</v>
      </c>
      <c r="C8488" s="3" t="str">
        <f>IFERROR(__xludf.DUMMYFUNCTION("GOOGLETRANSLATE(B8488,""id"",""en"")"),"['apk', 'supports', 'bngt', 'cumn', 'price', 'tilted', 'kah', 'bosss', '']")</f>
        <v>['apk', 'supports', 'bngt', 'cumn', 'price', 'tilted', 'kah', 'bosss', '']</v>
      </c>
      <c r="D8488" s="3">
        <v>5.0</v>
      </c>
    </row>
    <row r="8489" ht="15.75" customHeight="1">
      <c r="A8489" s="1">
        <v>9047.0</v>
      </c>
      <c r="B8489" s="3" t="s">
        <v>8154</v>
      </c>
      <c r="C8489" s="3" t="str">
        <f>IFERROR(__xludf.DUMMYFUNCTION("GOOGLETRANSLATE(B8489,""id"",""en"")"),"['version', 'terabal', 'abal', 'opened', 'just', 'blank', 'white']")</f>
        <v>['version', 'terabal', 'abal', 'opened', 'just', 'blank', 'white']</v>
      </c>
      <c r="D8489" s="3">
        <v>1.0</v>
      </c>
    </row>
    <row r="8490" ht="15.75" customHeight="1">
      <c r="A8490" s="1">
        <v>9048.0</v>
      </c>
      <c r="B8490" s="3" t="s">
        <v>8155</v>
      </c>
      <c r="C8490" s="3" t="str">
        <f>IFERROR(__xludf.DUMMYFUNCTION("GOOGLETRANSLATE(B8490,""id"",""en"")"),"['Help', 'buy', 'pulse', 'fill out', 'quota', 'internet', 'cheap']")</f>
        <v>['Help', 'buy', 'pulse', 'fill out', 'quota', 'internet', 'cheap']</v>
      </c>
      <c r="D8490" s="3">
        <v>5.0</v>
      </c>
    </row>
    <row r="8491" ht="15.75" customHeight="1">
      <c r="A8491" s="1">
        <v>9049.0</v>
      </c>
      <c r="B8491" s="3" t="s">
        <v>8156</v>
      </c>
      <c r="C8491" s="3" t="str">
        <f>IFERROR(__xludf.DUMMYFUNCTION("GOOGLETRANSLATE(B8491,""id"",""en"")"),"['Network', 'okay', 'klw', 'collapsed', 'price', '']")</f>
        <v>['Network', 'okay', 'klw', 'collapsed', 'price', '']</v>
      </c>
      <c r="D8491" s="3">
        <v>5.0</v>
      </c>
    </row>
    <row r="8492" ht="15.75" customHeight="1">
      <c r="A8492" s="1">
        <v>9050.0</v>
      </c>
      <c r="B8492" s="3" t="s">
        <v>8157</v>
      </c>
      <c r="C8492" s="3" t="str">
        <f>IFERROR(__xludf.DUMMYFUNCTION("GOOGLETRANSLATE(B8492,""id"",""en"")"),"['fixin', 'network', 'rotten']")</f>
        <v>['fixin', 'network', 'rotten']</v>
      </c>
      <c r="D8492" s="3">
        <v>1.0</v>
      </c>
    </row>
    <row r="8493" ht="15.75" customHeight="1">
      <c r="A8493" s="1">
        <v>9051.0</v>
      </c>
      <c r="B8493" s="3" t="s">
        <v>8158</v>
      </c>
      <c r="C8493" s="3" t="str">
        <f>IFERROR(__xludf.DUMMYFUNCTION("GOOGLETRANSLATE(B8493,""id"",""en"")"),"['Min', 'enter', 'Telkomsel', 'blank', 'white', 'Load', 'reset', 'blank', 'white']")</f>
        <v>['Min', 'enter', 'Telkomsel', 'blank', 'white', 'Load', 'reset', 'blank', 'white']</v>
      </c>
      <c r="D8493" s="3">
        <v>2.0</v>
      </c>
    </row>
    <row r="8494" ht="15.75" customHeight="1">
      <c r="A8494" s="1">
        <v>9052.0</v>
      </c>
      <c r="B8494" s="3" t="s">
        <v>8159</v>
      </c>
      <c r="C8494" s="3" t="str">
        <f>IFERROR(__xludf.DUMMYFUNCTION("GOOGLETRANSLATE(B8494,""id"",""en"")"),"['Contents', 'credit', 'lgsung', 'kptong', 'rb', 'cost', 'admin', 'contents', 'pulses', ""]")</f>
        <v>['Contents', 'credit', 'lgsung', 'kptong', 'rb', 'cost', 'admin', 'contents', 'pulses', "]</v>
      </c>
      <c r="D8494" s="3">
        <v>5.0</v>
      </c>
    </row>
    <row r="8495" ht="15.75" customHeight="1">
      <c r="A8495" s="1">
        <v>9053.0</v>
      </c>
      <c r="B8495" s="3" t="s">
        <v>8160</v>
      </c>
      <c r="C8495" s="3" t="str">
        <f>IFERROR(__xludf.DUMMYFUNCTION("GOOGLETRANSLATE(B8495,""id"",""en"")"),"['Likes', 'Apikasih', 'MyTelkomsel']")</f>
        <v>['Likes', 'Apikasih', 'MyTelkomsel']</v>
      </c>
      <c r="D8495" s="3">
        <v>5.0</v>
      </c>
    </row>
    <row r="8496" ht="15.75" customHeight="1">
      <c r="A8496" s="1">
        <v>9054.0</v>
      </c>
      <c r="B8496" s="3" t="s">
        <v>8161</v>
      </c>
      <c r="C8496" s="3" t="str">
        <f>IFERROR(__xludf.DUMMYFUNCTION("GOOGLETRANSLATE(B8496,""id"",""en"")"),"['Week', 'open', 'Application', 'PDHL', 'Install', 'reset']")</f>
        <v>['Week', 'open', 'Application', 'PDHL', 'Install', 'reset']</v>
      </c>
      <c r="D8496" s="3">
        <v>1.0</v>
      </c>
    </row>
    <row r="8497" ht="15.75" customHeight="1">
      <c r="A8497" s="1">
        <v>9055.0</v>
      </c>
      <c r="B8497" s="3" t="s">
        <v>8162</v>
      </c>
      <c r="C8497" s="3" t="str">
        <f>IFERROR(__xludf.DUMMYFUNCTION("GOOGLETRANSLATE(B8497,""id"",""en"")"),"['Disappointed', 'apk', 'skarang', 'udh', 'make', 'apk', 'paa', 'open', 'appear', 'screen', 'white', 'kek', ' Gini ',' Mending ',' Delete ',' APK ',' ']")</f>
        <v>['Disappointed', 'apk', 'skarang', 'udh', 'make', 'apk', 'paa', 'open', 'appear', 'screen', 'white', 'kek', ' Gini ',' Mending ',' Delete ',' APK ',' ']</v>
      </c>
      <c r="D8497" s="3">
        <v>1.0</v>
      </c>
    </row>
    <row r="8498" ht="15.75" customHeight="1">
      <c r="A8498" s="1">
        <v>9056.0</v>
      </c>
      <c r="B8498" s="3" t="s">
        <v>8163</v>
      </c>
      <c r="C8498" s="3" t="str">
        <f>IFERROR(__xludf.DUMMYFUNCTION("GOOGLETRANSLATE(B8498,""id"",""en"")"),"['signal', 'ugly', 'subscribe', 'rb', 'per month', 'bangsatttt']")</f>
        <v>['signal', 'ugly', 'subscribe', 'rb', 'per month', 'bangsatttt']</v>
      </c>
      <c r="D8498" s="3">
        <v>1.0</v>
      </c>
    </row>
    <row r="8499" ht="15.75" customHeight="1">
      <c r="A8499" s="1">
        <v>9057.0</v>
      </c>
      <c r="B8499" s="3" t="s">
        <v>8164</v>
      </c>
      <c r="C8499" s="3" t="str">
        <f>IFERROR(__xludf.DUMMYFUNCTION("GOOGLETRANSLATE(B8499,""id"",""en"")"),"['Love', 'Bonus', 'Sis', 'Package', 'Data', '']")</f>
        <v>['Love', 'Bonus', 'Sis', 'Package', 'Data', '']</v>
      </c>
      <c r="D8499" s="3">
        <v>4.0</v>
      </c>
    </row>
    <row r="8500" ht="15.75" customHeight="1">
      <c r="A8500" s="1">
        <v>9058.0</v>
      </c>
      <c r="B8500" s="3" t="s">
        <v>8165</v>
      </c>
      <c r="C8500" s="3" t="str">
        <f>IFERROR(__xludf.DUMMYFUNCTION("GOOGLETRANSLATE(B8500,""id"",""en"")"),"['Disappointed', 'really', 'Telkomsel', 'buy', 'pulse', 'sumps',' buy ',' sumps', 'corruption', 'bother', 'people', 'buy', ' Money ',' ']")</f>
        <v>['Disappointed', 'really', 'Telkomsel', 'buy', 'pulse', 'sumps',' buy ',' sumps', 'corruption', 'bother', 'people', 'buy', ' Money ',' ']</v>
      </c>
      <c r="D8500" s="3">
        <v>1.0</v>
      </c>
    </row>
    <row r="8501" ht="15.75" customHeight="1">
      <c r="A8501" s="1">
        <v>9059.0</v>
      </c>
      <c r="B8501" s="3" t="s">
        <v>8166</v>
      </c>
      <c r="C8501" s="3" t="str">
        <f>IFERROR(__xludf.DUMMYFUNCTION("GOOGLETRANSLATE(B8501,""id"",""en"")"),"['min', 'contact', 'twitter', 'help', 'complaints',' tratata ',' response ',' update ',' the application ',' open ',' screen ',' white ',' BYK ',' User ',' complaints', 'Please', 'Complete', 'Impertness',' Serbuan ', ""]")</f>
        <v>['min', 'contact', 'twitter', 'help', 'complaints',' tratata ',' response ',' update ',' the application ',' open ',' screen ',' white ',' BYK ',' User ',' complaints', 'Please', 'Complete', 'Impertness',' Serbuan ', "]</v>
      </c>
      <c r="D8501" s="3">
        <v>1.0</v>
      </c>
    </row>
    <row r="8502" ht="15.75" customHeight="1">
      <c r="A8502" s="1">
        <v>9060.0</v>
      </c>
      <c r="B8502" s="3" t="s">
        <v>8167</v>
      </c>
      <c r="C8502" s="3" t="str">
        <f>IFERROR(__xludf.DUMMYFUNCTION("GOOGLETRANSLATE(B8502,""id"",""en"")"),"['Yesterday', 'Package', 'Combo', 'Sakti', 'thousand', 'thousand', 'GB', 'Collapin', 'Price', 'Disappointed']")</f>
        <v>['Yesterday', 'Package', 'Combo', 'Sakti', 'thousand', 'thousand', 'GB', 'Collapin', 'Price', 'Disappointed']</v>
      </c>
      <c r="D8502" s="3">
        <v>5.0</v>
      </c>
    </row>
    <row r="8503" ht="15.75" customHeight="1">
      <c r="A8503" s="1">
        <v>9061.0</v>
      </c>
      <c r="B8503" s="3" t="s">
        <v>8168</v>
      </c>
      <c r="C8503" s="3" t="str">
        <f>IFERROR(__xludf.DUMMYFUNCTION("GOOGLETRANSLATE(B8503,""id"",""en"")"),"['Disorders', 'apply', 'quota', 'like', 'change', 'reduce', '']")</f>
        <v>['Disorders', 'apply', 'quota', 'like', 'change', 'reduce', '']</v>
      </c>
      <c r="D8503" s="3">
        <v>4.0</v>
      </c>
    </row>
    <row r="8504" ht="15.75" customHeight="1">
      <c r="A8504" s="1">
        <v>9062.0</v>
      </c>
      <c r="B8504" s="3" t="s">
        <v>8169</v>
      </c>
      <c r="C8504" s="3" t="str">
        <f>IFERROR(__xludf.DUMMYFUNCTION("GOOGLETRANSLATE(B8504,""id"",""en"")"),"['Disappointed', 'Use', 'Telkomsel', 'Understand', 'People', 'Move', 'Developer']")</f>
        <v>['Disappointed', 'Use', 'Telkomsel', 'Understand', 'People', 'Move', 'Developer']</v>
      </c>
      <c r="D8504" s="3">
        <v>1.0</v>
      </c>
    </row>
    <row r="8505" ht="15.75" customHeight="1">
      <c r="A8505" s="1">
        <v>9063.0</v>
      </c>
      <c r="B8505" s="3" t="s">
        <v>8170</v>
      </c>
      <c r="C8505" s="3" t="str">
        <f>IFERROR(__xludf.DUMMYFUNCTION("GOOGLETRANSLATE(B8505,""id"",""en"")"),"['Help', 'check', 'buy', 'package', 'pulse', 'see', 'info', 'number', 'telkom']")</f>
        <v>['Help', 'check', 'buy', 'package', 'pulse', 'see', 'info', 'number', 'telkom']</v>
      </c>
      <c r="D8505" s="3">
        <v>5.0</v>
      </c>
    </row>
    <row r="8506" ht="15.75" customHeight="1">
      <c r="A8506" s="1">
        <v>9064.0</v>
      </c>
      <c r="B8506" s="3" t="s">
        <v>8171</v>
      </c>
      <c r="C8506" s="3" t="str">
        <f>IFERROR(__xludf.DUMMYFUNCTION("GOOGLETRANSLATE(B8506,""id"",""en"")"),"['APIK', 'PADE']")</f>
        <v>['APIK', 'PADE']</v>
      </c>
      <c r="D8506" s="3">
        <v>5.0</v>
      </c>
    </row>
    <row r="8507" ht="15.75" customHeight="1">
      <c r="A8507" s="1">
        <v>9065.0</v>
      </c>
      <c r="B8507" s="3" t="s">
        <v>8172</v>
      </c>
      <c r="C8507" s="3" t="str">
        <f>IFERROR(__xludf.DUMMYFUNCTION("GOOGLETRANSLATE(B8507,""id"",""en"")"),"['The application', 'opened', 'already', 'hmpir', 'weekly', 'delete', 'download', 'still', 'open']")</f>
        <v>['The application', 'opened', 'already', 'hmpir', 'weekly', 'delete', 'download', 'still', 'open']</v>
      </c>
      <c r="D8507" s="3">
        <v>4.0</v>
      </c>
    </row>
    <row r="8508" ht="15.75" customHeight="1">
      <c r="A8508" s="1">
        <v>9066.0</v>
      </c>
      <c r="B8508" s="3" t="s">
        <v>8173</v>
      </c>
      <c r="C8508" s="3" t="str">
        <f>IFERROR(__xludf.DUMMYFUNCTION("GOOGLETRANSLATE(B8508,""id"",""en"")"),"['Use', 'Android', 'Open', 'Application', 'Blank', 'White', 'Use', 'Android', 'Strange', 'Open', 'App', 'Telkomsel', ' Uda ',' version ',' App ',' Where ',' Android ',' Open ',' Naturally ',' The opposite ',' please ',' Fix ', ""]")</f>
        <v>['Use', 'Android', 'Open', 'Application', 'Blank', 'White', 'Use', 'Android', 'Strange', 'Open', 'App', 'Telkomsel', ' Uda ',' version ',' App ',' Where ',' Android ',' Open ',' Naturally ',' The opposite ',' please ',' Fix ', "]</v>
      </c>
      <c r="D8508" s="3">
        <v>1.0</v>
      </c>
    </row>
    <row r="8509" ht="15.75" customHeight="1">
      <c r="A8509" s="1">
        <v>9067.0</v>
      </c>
      <c r="B8509" s="3" t="s">
        <v>8174</v>
      </c>
      <c r="C8509" s="3" t="str">
        <f>IFERROR(__xludf.DUMMYFUNCTION("GOOGLETRANSLATE(B8509,""id"",""en"")"),"['Muantab', 'price', 'package', 'expensive', 'BUMN']")</f>
        <v>['Muantab', 'price', 'package', 'expensive', 'BUMN']</v>
      </c>
      <c r="D8509" s="3">
        <v>5.0</v>
      </c>
    </row>
    <row r="8510" ht="15.75" customHeight="1">
      <c r="A8510" s="1">
        <v>9068.0</v>
      </c>
      <c r="B8510" s="3" t="s">
        <v>8175</v>
      </c>
      <c r="C8510" s="3" t="str">
        <f>IFERROR(__xludf.DUMMYFUNCTION("GOOGLETRANSLATE(B8510,""id"",""en"")"),"['Bonus', 'Lotsin', 'Package', 'Cheap']")</f>
        <v>['Bonus', 'Lotsin', 'Package', 'Cheap']</v>
      </c>
      <c r="D8510" s="3">
        <v>5.0</v>
      </c>
    </row>
    <row r="8511" ht="15.75" customHeight="1">
      <c r="A8511" s="1">
        <v>9070.0</v>
      </c>
      <c r="B8511" s="3" t="s">
        <v>8176</v>
      </c>
      <c r="C8511" s="3" t="str">
        <f>IFERROR(__xludf.DUMMYFUNCTION("GOOGLETRANSLATE(B8511,""id"",""en"")"),"['', 'opened', 'stuck', 'screen', 'white', 'doang', ""]")</f>
        <v>['', 'opened', 'stuck', 'screen', 'white', 'doang', "]</v>
      </c>
      <c r="D8511" s="3">
        <v>1.0</v>
      </c>
    </row>
    <row r="8512" ht="15.75" customHeight="1">
      <c r="A8512" s="1">
        <v>9071.0</v>
      </c>
      <c r="B8512" s="3" t="s">
        <v>8177</v>
      </c>
      <c r="C8512" s="3" t="str">
        <f>IFERROR(__xludf.DUMMYFUNCTION("GOOGLETRANSLATE(B8512,""id"",""en"")"),"['Telkomsel', 'Aktip', 'a week', 'difficult', 'open', 'screen', 'white', ""]")</f>
        <v>['Telkomsel', 'Aktip', 'a week', 'difficult', 'open', 'screen', 'white', "]</v>
      </c>
      <c r="D8512" s="3">
        <v>2.0</v>
      </c>
    </row>
    <row r="8513" ht="15.75" customHeight="1">
      <c r="A8513" s="1">
        <v>9072.0</v>
      </c>
      <c r="B8513" s="3" t="s">
        <v>8178</v>
      </c>
      <c r="C8513" s="3" t="str">
        <f>IFERROR(__xludf.DUMMYFUNCTION("GOOGLETRANSLATE(B8513,""id"",""en"")"),"['digging information']")</f>
        <v>['digging information']</v>
      </c>
      <c r="D8513" s="3">
        <v>3.0</v>
      </c>
    </row>
    <row r="8514" ht="15.75" customHeight="1">
      <c r="A8514" s="1">
        <v>9073.0</v>
      </c>
      <c r="B8514" s="3" t="s">
        <v>8179</v>
      </c>
      <c r="C8514" s="3" t="str">
        <f>IFERROR(__xludf.DUMMYFUNCTION("GOOGLETRANSLATE(B8514,""id"",""en"")"),"['blank', 'white', 'opened']")</f>
        <v>['blank', 'white', 'opened']</v>
      </c>
      <c r="D8514" s="3">
        <v>1.0</v>
      </c>
    </row>
    <row r="8515" ht="15.75" customHeight="1">
      <c r="A8515" s="1">
        <v>9074.0</v>
      </c>
      <c r="B8515" s="3" t="s">
        <v>8180</v>
      </c>
      <c r="C8515" s="3" t="str">
        <f>IFERROR(__xludf.DUMMYFUNCTION("GOOGLETRANSLATE(B8515,""id"",""en"")"),"['Good', 'choice', 'according to', 'need']")</f>
        <v>['Good', 'choice', 'according to', 'need']</v>
      </c>
      <c r="D8515" s="3">
        <v>5.0</v>
      </c>
    </row>
    <row r="8516" ht="15.75" customHeight="1">
      <c r="A8516" s="1">
        <v>9076.0</v>
      </c>
      <c r="B8516" s="3" t="s">
        <v>8181</v>
      </c>
      <c r="C8516" s="3" t="str">
        <f>IFERROR(__xludf.DUMMYFUNCTION("GOOGLETRANSLATE(B8516,""id"",""en"")"),"['Good', 'check', 'quota', 'pulse']")</f>
        <v>['Good', 'check', 'quota', 'pulse']</v>
      </c>
      <c r="D8516" s="3">
        <v>5.0</v>
      </c>
    </row>
    <row r="8517" ht="15.75" customHeight="1">
      <c r="A8517" s="1">
        <v>9077.0</v>
      </c>
      <c r="B8517" s="3" t="s">
        <v>8182</v>
      </c>
      <c r="C8517" s="3" t="str">
        <f>IFERROR(__xludf.DUMMYFUNCTION("GOOGLETRANSLATE(B8517,""id"",""en"")"),"['application', 'good', 'buy', 'quota', 'price', 'cheap', '']")</f>
        <v>['application', 'good', 'buy', 'quota', 'price', 'cheap', '']</v>
      </c>
      <c r="D8517" s="3">
        <v>5.0</v>
      </c>
    </row>
    <row r="8518" ht="15.75" customHeight="1">
      <c r="A8518" s="1">
        <v>9078.0</v>
      </c>
      <c r="B8518" s="3" t="s">
        <v>8183</v>
      </c>
      <c r="C8518" s="3" t="str">
        <f>IFERROR(__xludf.DUMMYFUNCTION("GOOGLETRANSLATE(B8518,""id"",""en"")"),"['Nge', 'lag', 'development']")</f>
        <v>['Nge', 'lag', 'development']</v>
      </c>
      <c r="D8518" s="3">
        <v>1.0</v>
      </c>
    </row>
    <row r="8519" ht="15.75" customHeight="1">
      <c r="A8519" s="1">
        <v>9079.0</v>
      </c>
      <c r="B8519" s="3" t="s">
        <v>8184</v>
      </c>
      <c r="C8519" s="3" t="str">
        <f>IFERROR(__xludf.DUMMYFUNCTION("GOOGLETRANSLATE(B8519,""id"",""en"")"),"['already', 'opened', 'min', '']")</f>
        <v>['already', 'opened', 'min', '']</v>
      </c>
      <c r="D8519" s="3">
        <v>2.0</v>
      </c>
    </row>
    <row r="8520" ht="15.75" customHeight="1">
      <c r="A8520" s="1">
        <v>9080.0</v>
      </c>
      <c r="B8520" s="3" t="s">
        <v>8185</v>
      </c>
      <c r="C8520" s="3" t="str">
        <f>IFERROR(__xludf.DUMMYFUNCTION("GOOGLETRANSLATE(B8520,""id"",""en"")"),"['bad', 'scheme', 'rates', 'pulse', 'sucked', '']")</f>
        <v>['bad', 'scheme', 'rates', 'pulse', 'sucked', '']</v>
      </c>
      <c r="D8520" s="3">
        <v>1.0</v>
      </c>
    </row>
    <row r="8521" ht="15.75" customHeight="1">
      <c r="A8521" s="1">
        <v>9081.0</v>
      </c>
      <c r="B8521" s="3" t="s">
        <v>8186</v>
      </c>
      <c r="C8521" s="3" t="str">
        <f>IFERROR(__xludf.DUMMYFUNCTION("GOOGLETRANSLATE(B8521,""id"",""en"")"),"['price', 'package', 'internet', 'expensive', 'network', 'internet', 'deteriorated', 'disappointed', 'severe', 'Telkomsel', 'moved', ""]")</f>
        <v>['price', 'package', 'internet', 'expensive', 'network', 'internet', 'deteriorated', 'disappointed', 'severe', 'Telkomsel', 'moved', "]</v>
      </c>
      <c r="D8521" s="3">
        <v>1.0</v>
      </c>
    </row>
    <row r="8522" ht="15.75" customHeight="1">
      <c r="A8522" s="1">
        <v>9082.0</v>
      </c>
      <c r="B8522" s="3" t="s">
        <v>8187</v>
      </c>
      <c r="C8522" s="3" t="str">
        <f>IFERROR(__xludf.DUMMYFUNCTION("GOOGLETRANSLATE(B8522,""id"",""en"")"),"['Sorry', 'min', 'TPI', 'Network', 'like', 'ilang', 'tasty', 'ngegame', 'network', 'ilang', 'sometimes',' down ',' Udh ',' good ',' pdhl ',' dlu ',' Telkomsel ',' tasty ',' TPI ',' downhill ']")</f>
        <v>['Sorry', 'min', 'TPI', 'Network', 'like', 'ilang', 'tasty', 'ngegame', 'network', 'ilang', 'sometimes',' down ',' Udh ',' good ',' pdhl ',' dlu ',' Telkomsel ',' tasty ',' TPI ',' downhill ']</v>
      </c>
      <c r="D8522" s="3">
        <v>1.0</v>
      </c>
    </row>
    <row r="8523" ht="15.75" customHeight="1">
      <c r="A8523" s="1">
        <v>9083.0</v>
      </c>
      <c r="B8523" s="3" t="s">
        <v>8188</v>
      </c>
      <c r="C8523" s="3" t="str">
        <f>IFERROR(__xludf.DUMMYFUNCTION("GOOGLETRANSLATE(B8523,""id"",""en"")"),"['signal', 'pulp', 'price', 'expensive']")</f>
        <v>['signal', 'pulp', 'price', 'expensive']</v>
      </c>
      <c r="D8523" s="3">
        <v>1.0</v>
      </c>
    </row>
    <row r="8524" ht="15.75" customHeight="1">
      <c r="A8524" s="1">
        <v>9084.0</v>
      </c>
      <c r="B8524" s="3" t="s">
        <v>8189</v>
      </c>
      <c r="C8524" s="3" t="str">
        <f>IFERROR(__xludf.DUMMYFUNCTION("GOOGLETRANSLATE(B8524,""id"",""en"")"),"['', 'App', 'open', 'app', 'good', 'really', 'please', 'fix', 'app', '']")</f>
        <v>['', 'App', 'open', 'app', 'good', 'really', 'please', 'fix', 'app', '']</v>
      </c>
      <c r="D8524" s="3">
        <v>3.0</v>
      </c>
    </row>
    <row r="8525" ht="15.75" customHeight="1">
      <c r="A8525" s="1">
        <v>9085.0</v>
      </c>
      <c r="B8525" s="3" t="s">
        <v>8190</v>
      </c>
      <c r="C8525" s="3" t="str">
        <f>IFERROR(__xludf.DUMMYFUNCTION("GOOGLETRANSLATE(B8525,""id"",""en"")"),"['Setabil', 'Network', 'Bad', 'Network', 'Good']")</f>
        <v>['Setabil', 'Network', 'Bad', 'Network', 'Good']</v>
      </c>
      <c r="D8525" s="3">
        <v>1.0</v>
      </c>
    </row>
    <row r="8526" ht="15.75" customHeight="1">
      <c r="A8526" s="1">
        <v>9086.0</v>
      </c>
      <c r="B8526" s="3" t="s">
        <v>8191</v>
      </c>
      <c r="C8526" s="3" t="str">
        <f>IFERROR(__xludf.DUMMYFUNCTION("GOOGLETRANSLATE(B8526,""id"",""en"")"),"['application', 'pulp', 'opened', 'nge', 'blank', 'white', 'apply', 'android', '']")</f>
        <v>['application', 'pulp', 'opened', 'nge', 'blank', 'white', 'apply', 'android', '']</v>
      </c>
      <c r="D8526" s="3">
        <v>1.0</v>
      </c>
    </row>
    <row r="8527" ht="15.75" customHeight="1">
      <c r="A8527" s="1">
        <v>9087.0</v>
      </c>
      <c r="B8527" s="3" t="s">
        <v>8192</v>
      </c>
      <c r="C8527" s="3" t="str">
        <f>IFERROR(__xludf.DUMMYFUNCTION("GOOGLETRANSLATE(B8527,""id"",""en"")"),"['Wey', 'Gblok', 'Knp', 'entered', 'buy', 'pket', 'Gblok', 'idiot']")</f>
        <v>['Wey', 'Gblok', 'Knp', 'entered', 'buy', 'pket', 'Gblok', 'idiot']</v>
      </c>
      <c r="D8527" s="3">
        <v>1.0</v>
      </c>
    </row>
    <row r="8528" ht="15.75" customHeight="1">
      <c r="A8528" s="1">
        <v>9088.0</v>
      </c>
      <c r="B8528" s="3" t="s">
        <v>8193</v>
      </c>
      <c r="C8528" s="3" t="str">
        <f>IFERROR(__xludf.DUMMYFUNCTION("GOOGLETRANSLATE(B8528,""id"",""en"")"),"['application', 'opened', 'poor', 'obsolete']")</f>
        <v>['application', 'opened', 'poor', 'obsolete']</v>
      </c>
      <c r="D8528" s="3">
        <v>1.0</v>
      </c>
    </row>
    <row r="8529" ht="15.75" customHeight="1">
      <c r="A8529" s="1">
        <v>9089.0</v>
      </c>
      <c r="B8529" s="3" t="s">
        <v>8194</v>
      </c>
      <c r="C8529" s="3" t="str">
        <f>IFERROR(__xludf.DUMMYFUNCTION("GOOGLETRANSLATE(B8529,""id"",""en"")"),"['Telkomsel', 'Bazard', 'Selau', 'Nge', 'Game', 'Ngelg', 'Mulu', 'Season', 'Telkomsel', 'Hijrah', 'Card']")</f>
        <v>['Telkomsel', 'Bazard', 'Selau', 'Nge', 'Game', 'Ngelg', 'Mulu', 'Season', 'Telkomsel', 'Hijrah', 'Card']</v>
      </c>
      <c r="D8529" s="3">
        <v>1.0</v>
      </c>
    </row>
    <row r="8530" ht="15.75" customHeight="1">
      <c r="A8530" s="1">
        <v>9090.0</v>
      </c>
      <c r="B8530" s="3" t="s">
        <v>8195</v>
      </c>
      <c r="C8530" s="3" t="str">
        <f>IFERROR(__xludf.DUMMYFUNCTION("GOOGLETRANSLATE(B8530,""id"",""en"")"),"['Application', 'Bagus', 'Easily', 'User', 'Telkomsel']")</f>
        <v>['Application', 'Bagus', 'Easily', 'User', 'Telkomsel']</v>
      </c>
      <c r="D8530" s="3">
        <v>5.0</v>
      </c>
    </row>
    <row r="8531" ht="15.75" customHeight="1">
      <c r="A8531" s="1">
        <v>9091.0</v>
      </c>
      <c r="B8531" s="3" t="s">
        <v>8196</v>
      </c>
      <c r="C8531" s="3" t="str">
        <f>IFERROR(__xludf.DUMMYFUNCTION("GOOGLETRANSLATE(B8531,""id"",""en"")"),"['Telkom', 'network', 'signal', 'strong', 'in the city', 'on the same "",' steady ']")</f>
        <v>['Telkom', 'network', 'signal', 'strong', 'in the city', 'on the same ",' steady ']</v>
      </c>
      <c r="D8531" s="3">
        <v>5.0</v>
      </c>
    </row>
    <row r="8532" ht="15.75" customHeight="1">
      <c r="A8532" s="1">
        <v>9092.0</v>
      </c>
      <c r="B8532" s="3" t="s">
        <v>8197</v>
      </c>
      <c r="C8532" s="3" t="str">
        <f>IFERROR(__xludf.DUMMYFUNCTION("GOOGLETRANSLATE(B8532,""id"",""en"")"),"['Network', 'Telkom', 'slow', 'Bangat', 'smooth', 'smooth', 'slow', 'until', 'signal', ""]")</f>
        <v>['Network', 'Telkom', 'slow', 'Bangat', 'smooth', 'smooth', 'slow', 'until', 'signal', "]</v>
      </c>
      <c r="D8532" s="3">
        <v>1.0</v>
      </c>
    </row>
    <row r="8533" ht="15.75" customHeight="1">
      <c r="A8533" s="1">
        <v>9093.0</v>
      </c>
      <c r="B8533" s="3" t="s">
        <v>8198</v>
      </c>
      <c r="C8533" s="3" t="str">
        <f>IFERROR(__xludf.DUMMYFUNCTION("GOOGLETRANSLATE(B8533,""id"",""en"")"),"['makes it easier', 'operation']")</f>
        <v>['makes it easier', 'operation']</v>
      </c>
      <c r="D8533" s="3">
        <v>5.0</v>
      </c>
    </row>
    <row r="8534" ht="15.75" customHeight="1">
      <c r="A8534" s="1">
        <v>9094.0</v>
      </c>
      <c r="B8534" s="3" t="s">
        <v>8199</v>
      </c>
      <c r="C8534" s="3" t="str">
        <f>IFERROR(__xludf.DUMMYFUNCTION("GOOGLETRANSLATE(B8534,""id"",""en"")"),"['Disappointed', 'Application', 'Open', 'Please', 'Handake']")</f>
        <v>['Disappointed', 'Application', 'Open', 'Please', 'Handake']</v>
      </c>
      <c r="D8534" s="3">
        <v>1.0</v>
      </c>
    </row>
    <row r="8535" ht="15.75" customHeight="1">
      <c r="A8535" s="1">
        <v>9095.0</v>
      </c>
      <c r="B8535" s="3" t="s">
        <v>8200</v>
      </c>
      <c r="C8535" s="3" t="str">
        <f>IFERROR(__xludf.DUMMYFUNCTION("GOOGLETRANSLATE(B8535,""id"",""en"")"),"['No', 'Open', '']")</f>
        <v>['No', 'Open', '']</v>
      </c>
      <c r="D8535" s="3">
        <v>1.0</v>
      </c>
    </row>
    <row r="8536" ht="15.75" customHeight="1">
      <c r="A8536" s="1">
        <v>9096.0</v>
      </c>
      <c r="B8536" s="3" t="s">
        <v>8201</v>
      </c>
      <c r="C8536" s="3" t="str">
        <f>IFERROR(__xludf.DUMMYFUNCTION("GOOGLETRANSLATE(B8536,""id"",""en"")"),"['Bad', 'card']")</f>
        <v>['Bad', 'card']</v>
      </c>
      <c r="D8536" s="3">
        <v>1.0</v>
      </c>
    </row>
    <row r="8537" ht="15.75" customHeight="1">
      <c r="A8537" s="1">
        <v>9097.0</v>
      </c>
      <c r="B8537" s="3" t="s">
        <v>8202</v>
      </c>
      <c r="C8537" s="3" t="str">
        <f>IFERROR(__xludf.DUMMYFUNCTION("GOOGLETRANSLATE(B8537,""id"",""en"")"),"['Use', 'The application', 'Good']")</f>
        <v>['Use', 'The application', 'Good']</v>
      </c>
      <c r="D8537" s="3">
        <v>4.0</v>
      </c>
    </row>
    <row r="8538" ht="15.75" customHeight="1">
      <c r="A8538" s="1">
        <v>9098.0</v>
      </c>
      <c r="B8538" s="3" t="s">
        <v>8203</v>
      </c>
      <c r="C8538" s="3" t="str">
        <f>IFERROR(__xludf.DUMMYFUNCTION("GOOGLETRANSLATE(B8538,""id"",""en"")"),"['SERBA', 'Easy']")</f>
        <v>['SERBA', 'Easy']</v>
      </c>
      <c r="D8538" s="3">
        <v>5.0</v>
      </c>
    </row>
    <row r="8539" ht="15.75" customHeight="1">
      <c r="A8539" s="1">
        <v>9099.0</v>
      </c>
      <c r="B8539" s="3" t="s">
        <v>8204</v>
      </c>
      <c r="C8539" s="3" t="str">
        <f>IFERROR(__xludf.DUMMYFUNCTION("GOOGLETRANSLATE(B8539,""id"",""en"")"),"['Sinyall', 'Ampunnn', 'postpaid', 'watch', 'YouTube', 'buffering', 'forgiveness', 'poor']")</f>
        <v>['Sinyall', 'Ampunnn', 'postpaid', 'watch', 'YouTube', 'buffering', 'forgiveness', 'poor']</v>
      </c>
      <c r="D8539" s="3">
        <v>1.0</v>
      </c>
    </row>
    <row r="8540" ht="15.75" customHeight="1">
      <c r="A8540" s="1">
        <v>9100.0</v>
      </c>
      <c r="B8540" s="3" t="s">
        <v>8205</v>
      </c>
      <c r="C8540" s="3" t="str">
        <f>IFERROR(__xludf.DUMMYFUNCTION("GOOGLETRANSLATE(B8540,""id"",""en"")"),"['signal', 'sympathy', 'sekrang', 'poor', 'signal', 'full', 'open', 'apk', 'kaga', 'can', 'ane', ""]")</f>
        <v>['signal', 'sympathy', 'sekrang', 'poor', 'signal', 'full', 'open', 'apk', 'kaga', 'can', 'ane', "]</v>
      </c>
      <c r="D8540" s="3">
        <v>1.0</v>
      </c>
    </row>
    <row r="8541" ht="15.75" customHeight="1">
      <c r="A8541" s="1">
        <v>9101.0</v>
      </c>
      <c r="B8541" s="3" t="s">
        <v>8206</v>
      </c>
      <c r="C8541" s="3" t="str">
        <f>IFERROR(__xludf.DUMMYFUNCTION("GOOGLETRANSLATE(B8541,""id"",""en"")"),"['Open', 'Telkomsel', '']")</f>
        <v>['Open', 'Telkomsel', '']</v>
      </c>
      <c r="D8541" s="3">
        <v>2.0</v>
      </c>
    </row>
    <row r="8542" ht="15.75" customHeight="1">
      <c r="A8542" s="1">
        <v>9102.0</v>
      </c>
      <c r="B8542" s="3" t="s">
        <v>8207</v>
      </c>
      <c r="C8542" s="3" t="str">
        <f>IFERROR(__xludf.DUMMYFUNCTION("GOOGLETRANSLATE(B8542,""id"",""en"")"),"['Application', 'Bgus', 'satisfying']")</f>
        <v>['Application', 'Bgus', 'satisfying']</v>
      </c>
      <c r="D8542" s="3">
        <v>5.0</v>
      </c>
    </row>
    <row r="8543" ht="15.75" customHeight="1">
      <c r="A8543" s="1">
        <v>9103.0</v>
      </c>
      <c r="B8543" s="3" t="s">
        <v>8208</v>
      </c>
      <c r="C8543" s="3" t="str">
        <f>IFERROR(__xludf.DUMMYFUNCTION("GOOGLETRANSLATE(B8543,""id"",""en"")"),"['Najis',' card ',' apan ',' kayak ',' gini ',' orng ',' gdk ',' wind ',' gdk ',' rain ',' ngelek ',' Jiji ',' Expensive ',' Doang ',' Najis']")</f>
        <v>['Najis',' card ',' apan ',' kayak ',' gini ',' orng ',' gdk ',' wind ',' gdk ',' rain ',' ngelek ',' Jiji ',' Expensive ',' Doang ',' Najis']</v>
      </c>
      <c r="D8543" s="3">
        <v>1.0</v>
      </c>
    </row>
    <row r="8544" ht="15.75" customHeight="1">
      <c r="A8544" s="1">
        <v>9104.0</v>
      </c>
      <c r="B8544" s="3" t="s">
        <v>8209</v>
      </c>
      <c r="C8544" s="3" t="str">
        <f>IFERROR(__xludf.DUMMYFUNCTION("GOOGLETRANSLATE(B8544,""id"",""en"")"),"['Search', 'profit', 'quota', 'expensive', 'network', 'cheap', 'network', 'strengthen', 'njing', 'buy', 'quota', 'expensive', ' The point is', 'Bangsattt']")</f>
        <v>['Search', 'profit', 'quota', 'expensive', 'network', 'cheap', 'network', 'strengthen', 'njing', 'buy', 'quota', 'expensive', ' The point is', 'Bangsattt']</v>
      </c>
      <c r="D8544" s="3">
        <v>1.0</v>
      </c>
    </row>
    <row r="8545" ht="15.75" customHeight="1">
      <c r="A8545" s="1">
        <v>9105.0</v>
      </c>
      <c r="B8545" s="3" t="s">
        <v>8210</v>
      </c>
      <c r="C8545" s="3" t="str">
        <f>IFERROR(__xludf.DUMMYFUNCTION("GOOGLETRANSLATE(B8545,""id"",""en"")"),"['pulse', 'turn', 'buy', 'package', 'credit', 'sufficient', 'Telfon', 'complicated', 'forgiveness',' already ',' patient ',' make it ',' Report ',' Dlu ',' Wait ',' Clock ',' Mantap ',' ']")</f>
        <v>['pulse', 'turn', 'buy', 'package', 'credit', 'sufficient', 'Telfon', 'complicated', 'forgiveness',' already ',' patient ',' make it ',' Report ',' Dlu ',' Wait ',' Clock ',' Mantap ',' ']</v>
      </c>
      <c r="D8545" s="3">
        <v>1.0</v>
      </c>
    </row>
    <row r="8546" ht="15.75" customHeight="1">
      <c r="A8546" s="1">
        <v>9106.0</v>
      </c>
      <c r="B8546" s="3" t="s">
        <v>8211</v>
      </c>
      <c r="C8546" s="3" t="str">
        <f>IFERROR(__xludf.DUMMYFUNCTION("GOOGLETRANSLATE(B8546,""id"",""en"")"),"['Not bad', 'makes it easier', 'TPIK', 'Price', '']")</f>
        <v>['Not bad', 'makes it easier', 'TPIK', 'Price', '']</v>
      </c>
      <c r="D8546" s="3">
        <v>4.0</v>
      </c>
    </row>
    <row r="8547" ht="15.75" customHeight="1">
      <c r="A8547" s="1">
        <v>9107.0</v>
      </c>
      <c r="B8547" s="3" t="s">
        <v>8212</v>
      </c>
      <c r="C8547" s="3" t="str">
        <f>IFERROR(__xludf.DUMMYFUNCTION("GOOGLETRANSLATE(B8547,""id"",""en"")"),"['Signal', 'Telkomsel', 'Lma', 'Rich', 'Taikkkkkk', 'Season', 'Kali', 'Kek', 'Pepek', 'Down', 'Rank', 'Anjeng']")</f>
        <v>['Signal', 'Telkomsel', 'Lma', 'Rich', 'Taikkkkkk', 'Season', 'Kali', 'Kek', 'Pepek', 'Down', 'Rank', 'Anjeng']</v>
      </c>
      <c r="D8547" s="3">
        <v>1.0</v>
      </c>
    </row>
    <row r="8548" ht="15.75" customHeight="1">
      <c r="A8548" s="1">
        <v>9108.0</v>
      </c>
      <c r="B8548" s="3" t="s">
        <v>8213</v>
      </c>
      <c r="C8548" s="3" t="str">
        <f>IFERROR(__xludf.DUMMYFUNCTION("GOOGLETRANSLATE(B8548,""id"",""en"")"),"['Telkomsel', 'bankrupt', 'guys', 'connection', 'worst']")</f>
        <v>['Telkomsel', 'bankrupt', 'guys', 'connection', 'worst']</v>
      </c>
      <c r="D8548" s="3">
        <v>1.0</v>
      </c>
    </row>
    <row r="8549" ht="15.75" customHeight="1">
      <c r="A8549" s="1">
        <v>9109.0</v>
      </c>
      <c r="B8549" s="3" t="s">
        <v>8214</v>
      </c>
      <c r="C8549" s="3" t="str">
        <f>IFERROR(__xludf.DUMMYFUNCTION("GOOGLETRANSLATE(B8549,""id"",""en"")"),"['contents', 'pulse', 'nggk', 'entry', '']")</f>
        <v>['contents', 'pulse', 'nggk', 'entry', '']</v>
      </c>
      <c r="D8549" s="3">
        <v>1.0</v>
      </c>
    </row>
    <row r="8550" ht="15.75" customHeight="1">
      <c r="A8550" s="1">
        <v>9110.0</v>
      </c>
      <c r="B8550" s="3" t="s">
        <v>8215</v>
      </c>
      <c r="C8550" s="3" t="str">
        <f>IFERROR(__xludf.DUMMYFUNCTION("GOOGLETRANSLATE(B8550,""id"",""en"")"),"['Help', 'Convenience', 'Evitting', 'Credit', 'Quota', 'Laina', ""]")</f>
        <v>['Help', 'Convenience', 'Evitting', 'Credit', 'Quota', 'Laina', "]</v>
      </c>
      <c r="D8550" s="3">
        <v>5.0</v>
      </c>
    </row>
    <row r="8551" ht="15.75" customHeight="1">
      <c r="A8551" s="1">
        <v>9111.0</v>
      </c>
      <c r="B8551" s="3" t="s">
        <v>8216</v>
      </c>
      <c r="C8551" s="3" t="str">
        <f>IFERROR(__xludf.DUMMYFUNCTION("GOOGLETRANSLATE(B8551,""id"",""en"")"),"['App', 'Telkomsel', 'Open', '']")</f>
        <v>['App', 'Telkomsel', 'Open', '']</v>
      </c>
      <c r="D8551" s="3">
        <v>2.0</v>
      </c>
    </row>
    <row r="8552" ht="15.75" customHeight="1">
      <c r="A8552" s="1">
        <v>9112.0</v>
      </c>
      <c r="B8552" s="3" t="s">
        <v>8217</v>
      </c>
      <c r="C8552" s="3" t="str">
        <f>IFERROR(__xludf.DUMMYFUNCTION("GOOGLETRANSLATE(B8552,""id"",""en"")"),"['signal', 'stable', 'player', 'game', 'rugih', 'signal', 'red', 'mulu', 'sometimes', 'signal', 'buy', 'packetan']")</f>
        <v>['signal', 'stable', 'player', 'game', 'rugih', 'signal', 'red', 'mulu', 'sometimes', 'signal', 'buy', 'packetan']</v>
      </c>
      <c r="D8552" s="3">
        <v>1.0</v>
      </c>
    </row>
    <row r="8553" ht="15.75" customHeight="1">
      <c r="A8553" s="1">
        <v>9113.0</v>
      </c>
      <c r="B8553" s="3" t="s">
        <v>8218</v>
      </c>
      <c r="C8553" s="3" t="str">
        <f>IFERROR(__xludf.DUMMYFUNCTION("GOOGLETRANSLATE(B8553,""id"",""en"")"),"['fast', 'easy', '']")</f>
        <v>['fast', 'easy', '']</v>
      </c>
      <c r="D8553" s="3">
        <v>2.0</v>
      </c>
    </row>
    <row r="8554" ht="15.75" customHeight="1">
      <c r="A8554" s="1">
        <v>9114.0</v>
      </c>
      <c r="B8554" s="3" t="s">
        <v>8219</v>
      </c>
      <c r="C8554" s="3" t="str">
        <f>IFERROR(__xludf.DUMMYFUNCTION("GOOGLETRANSLATE(B8554,""id"",""en"")"),"['Addin', 'Mode', 'Key', 'Credit', 'Wrong', 'Package', 'Out', 'Nyedot', 'Credit', ""]")</f>
        <v>['Addin', 'Mode', 'Key', 'Credit', 'Wrong', 'Package', 'Out', 'Nyedot', 'Credit', "]</v>
      </c>
      <c r="D8554" s="3">
        <v>1.0</v>
      </c>
    </row>
    <row r="8555" ht="15.75" customHeight="1">
      <c r="A8555" s="1">
        <v>9115.0</v>
      </c>
      <c r="B8555" s="3" t="s">
        <v>619</v>
      </c>
      <c r="C8555" s="3" t="str">
        <f>IFERROR(__xludf.DUMMYFUNCTION("GOOGLETRANSLATE(B8555,""id"",""en"")"),"['Good', 'help']")</f>
        <v>['Good', 'help']</v>
      </c>
      <c r="D8555" s="3">
        <v>5.0</v>
      </c>
    </row>
    <row r="8556" ht="15.75" customHeight="1">
      <c r="A8556" s="1">
        <v>9116.0</v>
      </c>
      <c r="B8556" s="3" t="s">
        <v>8220</v>
      </c>
      <c r="C8556" s="3" t="str">
        <f>IFERROR(__xludf.DUMMYFUNCTION("GOOGLETRANSLATE(B8556,""id"",""en"")"),"['want to']")</f>
        <v>['want to']</v>
      </c>
      <c r="D8556" s="3">
        <v>3.0</v>
      </c>
    </row>
    <row r="8557" ht="15.75" customHeight="1">
      <c r="A8557" s="1">
        <v>9117.0</v>
      </c>
      <c r="B8557" s="3" t="s">
        <v>8221</v>
      </c>
      <c r="C8557" s="3" t="str">
        <f>IFERROR(__xludf.DUMMYFUNCTION("GOOGLETRANSLATE(B8557,""id"",""en"")"),"['', 'Telkomsel', 'choice', 'eager', 'buy', 'package', 'telkom', 'bnyk', 'choice', 'oklh', ""]")</f>
        <v>['', 'Telkomsel', 'choice', 'eager', 'buy', 'package', 'telkom', 'bnyk', 'choice', 'oklh', "]</v>
      </c>
      <c r="D8557" s="3">
        <v>4.0</v>
      </c>
    </row>
    <row r="8558" ht="15.75" customHeight="1">
      <c r="A8558" s="1">
        <v>9118.0</v>
      </c>
      <c r="B8558" s="3" t="s">
        <v>8222</v>
      </c>
      <c r="C8558" s="3" t="str">
        <f>IFERROR(__xludf.DUMMYFUNCTION("GOOGLETRANSLATE(B8558,""id"",""en"")"),"['Sebel', 'really', 'run out', 'update', 'apps',' open ',' just ',' appears', 'screen', 'white', 'network', 'good', ' already ',' Clear ',' cache ',' clear ',' data ',' to ',' restart ',' ttep ',' opened ',' please ',' Telkomsel ',' repaired ',' tired ' ,"&amp;" 'Wait for it', 'buy', 'package', 'data', '']")</f>
        <v>['Sebel', 'really', 'run out', 'update', 'apps',' open ',' just ',' appears', 'screen', 'white', 'network', 'good', ' already ',' Clear ',' cache ',' clear ',' data ',' to ',' restart ',' ttep ',' opened ',' please ',' Telkomsel ',' repaired ',' tired ' , 'Wait for it', 'buy', 'package', 'data', '']</v>
      </c>
      <c r="D8558" s="3">
        <v>1.0</v>
      </c>
    </row>
    <row r="8559" ht="15.75" customHeight="1">
      <c r="A8559" s="1">
        <v>9119.0</v>
      </c>
      <c r="B8559" s="3" t="s">
        <v>8223</v>
      </c>
      <c r="C8559" s="3" t="str">
        <f>IFERROR(__xludf.DUMMYFUNCTION("GOOGLETRANSLATE(B8559,""id"",""en"")"),"['Lion', 'Good']")</f>
        <v>['Lion', 'Good']</v>
      </c>
      <c r="D8559" s="3">
        <v>5.0</v>
      </c>
    </row>
    <row r="8560" ht="15.75" customHeight="1">
      <c r="A8560" s="1">
        <v>9120.0</v>
      </c>
      <c r="B8560" s="3" t="s">
        <v>478</v>
      </c>
      <c r="C8560" s="3" t="str">
        <f>IFERROR(__xludf.DUMMYFUNCTION("GOOGLETRANSLATE(B8560,""id"",""en"")"),"Of course")</f>
        <v>Of course</v>
      </c>
      <c r="D8560" s="3">
        <v>5.0</v>
      </c>
    </row>
    <row r="8561" ht="15.75" customHeight="1">
      <c r="A8561" s="1">
        <v>9121.0</v>
      </c>
      <c r="B8561" s="3" t="s">
        <v>8224</v>
      </c>
      <c r="C8561" s="3" t="str">
        <f>IFERROR(__xludf.DUMMYFUNCTION("GOOGLETRANSLATE(B8561,""id"",""en"")"),"['The application', 'Blank', 'White', 'Doank', 'Uninstall', 'Downlaod', 'LGI', 'Difficult', 'Dech', 'Buy', 'Quota', 'Application', ' Barkali ',' times', 'tried', 'reset', 'TTP', 'high school']")</f>
        <v>['The application', 'Blank', 'White', 'Doank', 'Uninstall', 'Downlaod', 'LGI', 'Difficult', 'Dech', 'Buy', 'Quota', 'Application', ' Barkali ',' times', 'tried', 'reset', 'TTP', 'high school']</v>
      </c>
      <c r="D8561" s="3">
        <v>1.0</v>
      </c>
    </row>
    <row r="8562" ht="15.75" customHeight="1">
      <c r="A8562" s="1">
        <v>9122.0</v>
      </c>
      <c r="B8562" s="3" t="s">
        <v>8225</v>
      </c>
      <c r="C8562" s="3" t="str">
        <f>IFERROR(__xludf.DUMMYFUNCTION("GOOGLETRANSLATE(B8562,""id"",""en"")"),"['application', 'Telkomsel', 'open', 'already', 'a week', 'obstacle', 'Please', 'infon']")</f>
        <v>['application', 'Telkomsel', 'open', 'already', 'a week', 'obstacle', 'Please', 'infon']</v>
      </c>
      <c r="D8562" s="3">
        <v>1.0</v>
      </c>
    </row>
    <row r="8563" ht="15.75" customHeight="1">
      <c r="A8563" s="1">
        <v>9123.0</v>
      </c>
      <c r="B8563" s="3" t="s">
        <v>8226</v>
      </c>
      <c r="C8563" s="3" t="str">
        <f>IFERROR(__xludf.DUMMYFUNCTION("GOOGLETRANSLATE(B8563,""id"",""en"")"),"['pulseku', 'chick', 'appears',' notif ',' access', 'internet', 'non', 'package', 'package', 'term', 'time', 'telkom', ' Debt ',' MOTT ',' Credit ',' Customer ',' Pay ', ""]")</f>
        <v>['pulseku', 'chick', 'appears',' notif ',' access', 'internet', 'non', 'package', 'package', 'term', 'time', 'telkom', ' Debt ',' MOTT ',' Credit ',' Customer ',' Pay ', "]</v>
      </c>
      <c r="D8563" s="3">
        <v>1.0</v>
      </c>
    </row>
    <row r="8564" ht="15.75" customHeight="1">
      <c r="A8564" s="1">
        <v>9124.0</v>
      </c>
      <c r="B8564" s="3" t="s">
        <v>8227</v>
      </c>
      <c r="C8564" s="3" t="str">
        <f>IFERROR(__xludf.DUMMYFUNCTION("GOOGLETRANSLATE(B8564,""id"",""en"")"),"['apk', 'updet', 'dak', 'open', 'apk', 'color', 'white', 'gaje']")</f>
        <v>['apk', 'updet', 'dak', 'open', 'apk', 'color', 'white', 'gaje']</v>
      </c>
      <c r="D8564" s="3">
        <v>1.0</v>
      </c>
    </row>
    <row r="8565" ht="15.75" customHeight="1">
      <c r="A8565" s="1">
        <v>9125.0</v>
      </c>
      <c r="B8565" s="3" t="s">
        <v>8228</v>
      </c>
      <c r="C8565" s="3" t="str">
        <f>IFERROR(__xludf.DUMMYFUNCTION("GOOGLETRANSLATE(B8565,""id"",""en"")"),"['Application', 'satisfying']")</f>
        <v>['Application', 'satisfying']</v>
      </c>
      <c r="D8565" s="3">
        <v>5.0</v>
      </c>
    </row>
    <row r="8566" ht="15.75" customHeight="1">
      <c r="A8566" s="1">
        <v>9127.0</v>
      </c>
      <c r="B8566" s="3" t="s">
        <v>8229</v>
      </c>
      <c r="C8566" s="3" t="str">
        <f>IFERROR(__xludf.DUMMYFUNCTION("GOOGLETRANSLATE(B8566,""id"",""en"")"),"['Voucher', 'Top', 'Game', 'Free', 'Fire', 'Min', 'Sell', ""]")</f>
        <v>['Voucher', 'Top', 'Game', 'Free', 'Fire', 'Min', 'Sell', "]</v>
      </c>
      <c r="D8566" s="3">
        <v>5.0</v>
      </c>
    </row>
    <row r="8567" ht="15.75" customHeight="1">
      <c r="A8567" s="1">
        <v>9129.0</v>
      </c>
      <c r="B8567" s="3" t="s">
        <v>8230</v>
      </c>
      <c r="C8567" s="3" t="str">
        <f>IFERROR(__xludf.DUMMYFUNCTION("GOOGLETRANSLATE(B8567,""id"",""en"")"),"['Package', 'Game', 'knp', 'owey']")</f>
        <v>['Package', 'Game', 'knp', 'owey']</v>
      </c>
      <c r="D8567" s="3">
        <v>1.0</v>
      </c>
    </row>
    <row r="8568" ht="15.75" customHeight="1">
      <c r="A8568" s="1">
        <v>9130.0</v>
      </c>
      <c r="B8568" s="3" t="s">
        <v>8231</v>
      </c>
      <c r="C8568" s="3" t="str">
        <f>IFERROR(__xludf.DUMMYFUNCTION("GOOGLETRANSLATE(B8568,""id"",""en"")"),"['Network', 'destroyed']")</f>
        <v>['Network', 'destroyed']</v>
      </c>
      <c r="D8568" s="3">
        <v>1.0</v>
      </c>
    </row>
    <row r="8569" ht="15.75" customHeight="1">
      <c r="A8569" s="1">
        <v>9131.0</v>
      </c>
      <c r="B8569" s="3" t="s">
        <v>8232</v>
      </c>
      <c r="C8569" s="3" t="str">
        <f>IFERROR(__xludf.DUMMYFUNCTION("GOOGLETRANSLATE(B8569,""id"",""en"")"),"['easy', 'lho', '']")</f>
        <v>['easy', 'lho', '']</v>
      </c>
      <c r="D8569" s="3">
        <v>4.0</v>
      </c>
    </row>
    <row r="8570" ht="15.75" customHeight="1">
      <c r="A8570" s="1">
        <v>9132.0</v>
      </c>
      <c r="B8570" s="3" t="s">
        <v>8233</v>
      </c>
      <c r="C8570" s="3" t="str">
        <f>IFERROR(__xludf.DUMMYFUNCTION("GOOGLETRANSLATE(B8570,""id"",""en"")"),"['Error', 'tolll']")</f>
        <v>['Error', 'tolll']</v>
      </c>
      <c r="D8570" s="3">
        <v>1.0</v>
      </c>
    </row>
    <row r="8571" ht="15.75" customHeight="1">
      <c r="A8571" s="1">
        <v>9133.0</v>
      </c>
      <c r="B8571" s="3" t="s">
        <v>8234</v>
      </c>
      <c r="C8571" s="3" t="str">
        <f>IFERROR(__xludf.DUMMYFUNCTION("GOOGLETRANSLATE(B8571,""id"",""en"")"),"['Bad', 'subscribe', 'quota', 'unlimited', 'youtube', 'day', 'cut', 'package', 'data', 'already', 'unlimited', 'youtube', ' Think ',' Customer ',' Betah ',' Gini ', ""]")</f>
        <v>['Bad', 'subscribe', 'quota', 'unlimited', 'youtube', 'day', 'cut', 'package', 'data', 'already', 'unlimited', 'youtube', ' Think ',' Customer ',' Betah ',' Gini ', "]</v>
      </c>
      <c r="D8571" s="3">
        <v>1.0</v>
      </c>
    </row>
    <row r="8572" ht="15.75" customHeight="1">
      <c r="A8572" s="1">
        <v>9134.0</v>
      </c>
      <c r="B8572" s="3" t="s">
        <v>4750</v>
      </c>
      <c r="C8572" s="3" t="str">
        <f>IFERROR(__xludf.DUMMYFUNCTION("GOOGLETRANSLATE(B8572,""id"",""en"")"),"['The application', 'opened']")</f>
        <v>['The application', 'opened']</v>
      </c>
      <c r="D8572" s="3">
        <v>3.0</v>
      </c>
    </row>
    <row r="8573" ht="15.75" customHeight="1">
      <c r="A8573" s="1">
        <v>9136.0</v>
      </c>
      <c r="B8573" s="3" t="s">
        <v>8235</v>
      </c>
      <c r="C8573" s="3" t="str">
        <f>IFERROR(__xludf.DUMMYFUNCTION("GOOGLETRANSLATE(B8573,""id"",""en"")"),"['checked', 'quota', 'apk', 'nge', 'blank', 'white', 'doang', 'reset', 'apk', 'download', 'ttp', ' blank ',' please ',' repaired ',' love ',' dlu ', ""]")</f>
        <v>['checked', 'quota', 'apk', 'nge', 'blank', 'white', 'doang', 'reset', 'apk', 'download', 'ttp', ' blank ',' please ',' repaired ',' love ',' dlu ', "]</v>
      </c>
      <c r="D8573" s="3">
        <v>1.0</v>
      </c>
    </row>
    <row r="8574" ht="15.75" customHeight="1">
      <c r="A8574" s="1">
        <v>9137.0</v>
      </c>
      <c r="B8574" s="3" t="s">
        <v>4563</v>
      </c>
      <c r="C8574" s="3" t="str">
        <f>IFERROR(__xludf.DUMMYFUNCTION("GOOGLETRANSLATE(B8574,""id"",""en"")"),"['Opened', 'APP']")</f>
        <v>['Opened', 'APP']</v>
      </c>
      <c r="D8574" s="3">
        <v>3.0</v>
      </c>
    </row>
    <row r="8575" ht="15.75" customHeight="1">
      <c r="A8575" s="1">
        <v>9139.0</v>
      </c>
      <c r="B8575" s="3" t="s">
        <v>8236</v>
      </c>
      <c r="C8575" s="3" t="str">
        <f>IFERROR(__xludf.DUMMYFUNCTION("GOOGLETRANSLATE(B8575,""id"",""en"")"),"['signal', 'Not bad', 'okay', 'hope', 'good', 'lgi', 'network', 'area']")</f>
        <v>['signal', 'Not bad', 'okay', 'hope', 'good', 'lgi', 'network', 'area']</v>
      </c>
      <c r="D8575" s="3">
        <v>5.0</v>
      </c>
    </row>
    <row r="8576" ht="15.75" customHeight="1">
      <c r="A8576" s="1">
        <v>9140.0</v>
      </c>
      <c r="B8576" s="3" t="s">
        <v>8237</v>
      </c>
      <c r="C8576" s="3" t="str">
        <f>IFERROR(__xludf.DUMMYFUNCTION("GOOGLETRANSLATE(B8576,""id"",""en"")"),"['screen', 'white', 'open', 'where', 'complain', ""]")</f>
        <v>['screen', 'white', 'open', 'where', 'complain', "]</v>
      </c>
      <c r="D8576" s="3">
        <v>1.0</v>
      </c>
    </row>
    <row r="8577" ht="15.75" customHeight="1">
      <c r="A8577" s="1">
        <v>9141.0</v>
      </c>
      <c r="B8577" s="3" t="s">
        <v>8238</v>
      </c>
      <c r="C8577" s="3" t="str">
        <f>IFERROR(__xludf.DUMMYFUNCTION("GOOGLETRANSLATE(B8577,""id"",""en"")"),"['oath', 'garbage', 'here', 'NOT', 'good', 'snot', 'already', 'price', 'expensive', 'GPP', 'balanced', 'get', ' rotten ',' signal ',' stable ',' edge ',' trs', 'gini', 'really', 'crazy', 'threat', 'telkomnyet', 'his web', 'severe', 'lazy' , 'loyal custome"&amp;"rs', '']")</f>
        <v>['oath', 'garbage', 'here', 'NOT', 'good', 'snot', 'already', 'price', 'expensive', 'GPP', 'balanced', 'get', ' rotten ',' signal ',' stable ',' edge ',' trs', 'gini', 'really', 'crazy', 'threat', 'telkomnyet', 'his web', 'severe', 'lazy' , 'loyal customers', '']</v>
      </c>
      <c r="D8577" s="3">
        <v>1.0</v>
      </c>
    </row>
    <row r="8578" ht="15.75" customHeight="1">
      <c r="A8578" s="1">
        <v>9142.0</v>
      </c>
      <c r="B8578" s="3" t="s">
        <v>8239</v>
      </c>
      <c r="C8578" s="3" t="str">
        <f>IFERROR(__xludf.DUMMYFUNCTION("GOOGLETRANSLATE(B8578,""id"",""en"")"),"['Application', 'error', 'UDH', 'Open', 'open']")</f>
        <v>['Application', 'error', 'UDH', 'Open', 'open']</v>
      </c>
      <c r="D8578" s="3">
        <v>1.0</v>
      </c>
    </row>
    <row r="8579" ht="15.75" customHeight="1">
      <c r="A8579" s="1">
        <v>9143.0</v>
      </c>
      <c r="B8579" s="3" t="s">
        <v>8240</v>
      </c>
      <c r="C8579" s="3" t="str">
        <f>IFERROR(__xludf.DUMMYFUNCTION("GOOGLETRANSLATE(B8579,""id"",""en"")"),"['love', 'star', 'because', 'exchange', 'point', 'voucher', 'internet']")</f>
        <v>['love', 'star', 'because', 'exchange', 'point', 'voucher', 'internet']</v>
      </c>
      <c r="D8579" s="3">
        <v>1.0</v>
      </c>
    </row>
    <row r="8580" ht="15.75" customHeight="1">
      <c r="A8580" s="1">
        <v>9144.0</v>
      </c>
      <c r="B8580" s="3" t="s">
        <v>8241</v>
      </c>
      <c r="C8580" s="3" t="str">
        <f>IFERROR(__xludf.DUMMYFUNCTION("GOOGLETRANSLATE(B8580,""id"",""en"")"),"['NGK', 'application', 'UDH', 'NGK', 'opened', 'Admin', 'Data', 'Doang', 'NGK', 'Info', 'Msh', 'Blm', ' PESAND ',' Read ',' Doank ',' NGK ',' Response ',' ']")</f>
        <v>['NGK', 'application', 'UDH', 'NGK', 'opened', 'Admin', 'Data', 'Doang', 'NGK', 'Info', 'Msh', 'Blm', ' PESAND ',' Read ',' Doank ',' NGK ',' Response ',' ']</v>
      </c>
      <c r="D8580" s="3">
        <v>1.0</v>
      </c>
    </row>
    <row r="8581" ht="15.75" customHeight="1">
      <c r="A8581" s="1">
        <v>9145.0</v>
      </c>
      <c r="B8581" s="3" t="s">
        <v>8242</v>
      </c>
      <c r="C8581" s="3" t="str">
        <f>IFERROR(__xludf.DUMMYFUNCTION("GOOGLETRANSLATE(B8581,""id"",""en"")"),"['Suggestion', 'Hopefully', 'Telkomsel', 'Key', 'Credit', 'Kayak', 'Provider', 'Kouta', 'Out', 'Credit', 'Reduced', ""]")</f>
        <v>['Suggestion', 'Hopefully', 'Telkomsel', 'Key', 'Credit', 'Kayak', 'Provider', 'Kouta', 'Out', 'Credit', 'Reduced', "]</v>
      </c>
      <c r="D8581" s="3">
        <v>4.0</v>
      </c>
    </row>
    <row r="8582" ht="15.75" customHeight="1">
      <c r="A8582" s="1">
        <v>9146.0</v>
      </c>
      <c r="B8582" s="3" t="s">
        <v>8243</v>
      </c>
      <c r="C8582" s="3" t="str">
        <f>IFERROR(__xludf.DUMMYFUNCTION("GOOGLETRANSLATE(B8582,""id"",""en"")"),"['Move', 'Provider', 'Deh', 'Axis', 'Indosat', 'Telkomsel', 'strangling', 'affordable']")</f>
        <v>['Move', 'Provider', 'Deh', 'Axis', 'Indosat', 'Telkomsel', 'strangling', 'affordable']</v>
      </c>
      <c r="D8582" s="3">
        <v>1.0</v>
      </c>
    </row>
    <row r="8583" ht="15.75" customHeight="1">
      <c r="A8583" s="1">
        <v>9147.0</v>
      </c>
      <c r="B8583" s="3" t="s">
        <v>8244</v>
      </c>
      <c r="C8583" s="3" t="str">
        <f>IFERROR(__xludf.DUMMYFUNCTION("GOOGLETRANSLATE(B8583,""id"",""en"")"),"['provider', 'ngentod', 'network', 'kayak', 'pulp', 'dipake', '']")</f>
        <v>['provider', 'ngentod', 'network', 'kayak', 'pulp', 'dipake', '']</v>
      </c>
      <c r="D8583" s="3">
        <v>1.0</v>
      </c>
    </row>
    <row r="8584" ht="15.75" customHeight="1">
      <c r="A8584" s="1">
        <v>9148.0</v>
      </c>
      <c r="B8584" s="3" t="s">
        <v>8245</v>
      </c>
      <c r="C8584" s="3" t="str">
        <f>IFERROR(__xludf.DUMMYFUNCTION("GOOGLETRANSLATE(B8584,""id"",""en"")"),"['Open', 'White', 'Screen', '']")</f>
        <v>['Open', 'White', 'Screen', '']</v>
      </c>
      <c r="D8584" s="3">
        <v>3.0</v>
      </c>
    </row>
    <row r="8585" ht="15.75" customHeight="1">
      <c r="A8585" s="1">
        <v>9149.0</v>
      </c>
      <c r="B8585" s="3" t="s">
        <v>8246</v>
      </c>
      <c r="C8585" s="3" t="str">
        <f>IFERROR(__xludf.DUMMYFUNCTION("GOOGLETRANSLATE(B8585,""id"",""en"")"),"['Moon', 'application', 'open', 'sms',' notis', 'always',' appears', 'promo', 'right', 'open', 'the application', 'mah', ' Mendelek ',' ndak ',' open ']")</f>
        <v>['Moon', 'application', 'open', 'sms',' notis', 'always',' appears', 'promo', 'right', 'open', 'the application', 'mah', ' Mendelek ',' ndak ',' open ']</v>
      </c>
      <c r="D8585" s="3">
        <v>1.0</v>
      </c>
    </row>
    <row r="8586" ht="15.75" customHeight="1">
      <c r="A8586" s="1">
        <v>9150.0</v>
      </c>
      <c r="B8586" s="3" t="s">
        <v>8247</v>
      </c>
      <c r="C8586" s="3" t="str">
        <f>IFERROR(__xludf.DUMMYFUNCTION("GOOGLETRANSLATE(B8586,""id"",""en"")"),"['Network', 'ugly', 'ilang', '']")</f>
        <v>['Network', 'ugly', 'ilang', '']</v>
      </c>
      <c r="D8586" s="3">
        <v>1.0</v>
      </c>
    </row>
    <row r="8587" ht="15.75" customHeight="1">
      <c r="A8587" s="1">
        <v>9151.0</v>
      </c>
      <c r="B8587" s="3" t="s">
        <v>8248</v>
      </c>
      <c r="C8587" s="3" t="str">
        <f>IFERROR(__xludf.DUMMYFUNCTION("GOOGLETRANSLATE(B8587,""id"",""en"")"),"['quick response']")</f>
        <v>['quick response']</v>
      </c>
      <c r="D8587" s="3">
        <v>5.0</v>
      </c>
    </row>
    <row r="8588" ht="15.75" customHeight="1">
      <c r="A8588" s="1">
        <v>9152.0</v>
      </c>
      <c r="B8588" s="3" t="s">
        <v>8249</v>
      </c>
      <c r="C8588" s="3" t="str">
        <f>IFERROR(__xludf.DUMMYFUNCTION("GOOGLETRANSLATE(B8588,""id"",""en"")"),"['Cheap', 'package', 'expensive', 'expensive', 'unlimited']")</f>
        <v>['Cheap', 'package', 'expensive', 'expensive', 'unlimited']</v>
      </c>
      <c r="D8588" s="3">
        <v>5.0</v>
      </c>
    </row>
    <row r="8589" ht="15.75" customHeight="1">
      <c r="A8589" s="1">
        <v>9153.0</v>
      </c>
      <c r="B8589" s="3" t="s">
        <v>8250</v>
      </c>
      <c r="C8589" s="3" t="str">
        <f>IFERROR(__xludf.DUMMYFUNCTION("GOOGLETRANSLATE(B8589,""id"",""en"")"),"['White', 'screen', 'opened', 'APK', 'ASDEN', 'A month', ""]")</f>
        <v>['White', 'screen', 'opened', 'APK', 'ASDEN', 'A month', "]</v>
      </c>
      <c r="D8589" s="3">
        <v>1.0</v>
      </c>
    </row>
    <row r="8590" ht="15.75" customHeight="1">
      <c r="A8590" s="1">
        <v>9154.0</v>
      </c>
      <c r="B8590" s="3" t="s">
        <v>8251</v>
      </c>
      <c r="C8590" s="3" t="str">
        <f>IFERROR(__xludf.DUMMYFUNCTION("GOOGLETRANSLATE(B8590,""id"",""en"")"),"['network', 'Telkomsel', 'slow', 'already', 'feel', 'network', 'edge', 'regret', 'use', 'card', 'Telkomsel']")</f>
        <v>['network', 'Telkomsel', 'slow', 'already', 'feel', 'network', 'edge', 'regret', 'use', 'card', 'Telkomsel']</v>
      </c>
      <c r="D8590" s="3">
        <v>1.0</v>
      </c>
    </row>
    <row r="8591" ht="15.75" customHeight="1">
      <c r="A8591" s="1">
        <v>9155.0</v>
      </c>
      <c r="B8591" s="3" t="s">
        <v>8252</v>
      </c>
      <c r="C8591" s="3" t="str">
        <f>IFERROR(__xludf.DUMMYFUNCTION("GOOGLETRANSLATE(B8591,""id"",""en"")"),"['NetworkLemot', 'Severe']")</f>
        <v>['NetworkLemot', 'Severe']</v>
      </c>
      <c r="D8591" s="3">
        <v>1.0</v>
      </c>
    </row>
    <row r="8592" ht="15.75" customHeight="1">
      <c r="A8592" s="1">
        <v>9156.0</v>
      </c>
      <c r="B8592" s="3" t="s">
        <v>8253</v>
      </c>
      <c r="C8592" s="3" t="str">
        <f>IFERROR(__xludf.DUMMYFUNCTION("GOOGLETRANSLATE(B8592,""id"",""en"")"),"['Network', 'okay']")</f>
        <v>['Network', 'okay']</v>
      </c>
      <c r="D8592" s="3">
        <v>5.0</v>
      </c>
    </row>
    <row r="8593" ht="15.75" customHeight="1">
      <c r="A8593" s="1">
        <v>9157.0</v>
      </c>
      <c r="B8593" s="3" t="s">
        <v>8254</v>
      </c>
      <c r="C8593" s="3" t="str">
        <f>IFERROR(__xludf.DUMMYFUNCTION("GOOGLETRANSLATE(B8593,""id"",""en"")"),"['already', 'update', 'right', 'opened', 'updated', 'open', 'play', 'store', 'reading', 'uninstall', 'really', 'bambang']")</f>
        <v>['already', 'update', 'right', 'opened', 'updated', 'open', 'play', 'store', 'reading', 'uninstall', 'really', 'bambang']</v>
      </c>
      <c r="D8593" s="3">
        <v>1.0</v>
      </c>
    </row>
    <row r="8594" ht="15.75" customHeight="1">
      <c r="A8594" s="1">
        <v>9158.0</v>
      </c>
      <c r="B8594" s="3" t="s">
        <v>8255</v>
      </c>
      <c r="C8594" s="3" t="str">
        <f>IFERROR(__xludf.DUMMYFUNCTION("GOOGLETRANSLATE(B8594,""id"",""en"")"),"['Data', 'right', 'contents',' pulse ',' take ',' pulse ',' then ',' turn on ',' wifi ',' knp ',' take ',' pulse ',' The main ',' harm "", 'please', 'fix', 'Jangn', 'that's']")</f>
        <v>['Data', 'right', 'contents',' pulse ',' take ',' pulse ',' then ',' turn on ',' wifi ',' knp ',' take ',' pulse ',' The main ',' harm ", 'please', 'fix', 'Jangn', 'that's']</v>
      </c>
      <c r="D8594" s="3">
        <v>1.0</v>
      </c>
    </row>
    <row r="8595" ht="15.75" customHeight="1">
      <c r="A8595" s="1">
        <v>9159.0</v>
      </c>
      <c r="B8595" s="3" t="s">
        <v>8256</v>
      </c>
      <c r="C8595" s="3" t="str">
        <f>IFERROR(__xludf.DUMMYFUNCTION("GOOGLETRANSLATE(B8595,""id"",""en"")"),"['The application', 'Gunain', 'GMN', 'White', 'Trus', 'Gunain', ""]")</f>
        <v>['The application', 'Gunain', 'GMN', 'White', 'Trus', 'Gunain', "]</v>
      </c>
      <c r="D8595" s="3">
        <v>1.0</v>
      </c>
    </row>
    <row r="8596" ht="15.75" customHeight="1">
      <c r="A8596" s="1">
        <v>9160.0</v>
      </c>
      <c r="B8596" s="3" t="s">
        <v>8257</v>
      </c>
      <c r="C8596" s="3" t="str">
        <f>IFERROR(__xludf.DUMMYFUNCTION("GOOGLETRANSLATE(B8596,""id"",""en"")"),"['Sangatah', 'Help']")</f>
        <v>['Sangatah', 'Help']</v>
      </c>
      <c r="D8596" s="3">
        <v>5.0</v>
      </c>
    </row>
    <row r="8597" ht="15.75" customHeight="1">
      <c r="A8597" s="1">
        <v>9161.0</v>
      </c>
      <c r="B8597" s="3" t="s">
        <v>8258</v>
      </c>
      <c r="C8597" s="3" t="str">
        <f>IFERROR(__xludf.DUMMYFUNCTION("GOOGLETRANSLATE(B8597,""id"",""en"")"),"['Package', 'Price', '']")</f>
        <v>['Package', 'Price', '']</v>
      </c>
      <c r="D8597" s="3">
        <v>4.0</v>
      </c>
    </row>
    <row r="8598" ht="15.75" customHeight="1">
      <c r="A8598" s="1">
        <v>9162.0</v>
      </c>
      <c r="B8598" s="3" t="s">
        <v>8259</v>
      </c>
      <c r="C8598" s="3" t="str">
        <f>IFERROR(__xludf.DUMMYFUNCTION("GOOGLETRANSLATE(B8598,""id"",""en"")"),"['comment', 'APK', 'Network', 'Relation to', 'please', 'biki', 'network', 'quality', 'according to', 'price', 'donk', 'price', ' package ',' expensive ',' network ',' old ']")</f>
        <v>['comment', 'APK', 'Network', 'Relation to', 'please', 'biki', 'network', 'quality', 'according to', 'price', 'donk', 'price', ' package ',' expensive ',' network ',' old ']</v>
      </c>
      <c r="D8598" s="3">
        <v>1.0</v>
      </c>
    </row>
    <row r="8599" ht="15.75" customHeight="1">
      <c r="A8599" s="1">
        <v>9163.0</v>
      </c>
      <c r="B8599" s="3" t="s">
        <v>8260</v>
      </c>
      <c r="C8599" s="3" t="str">
        <f>IFERROR(__xludf.DUMMYFUNCTION("GOOGLETRANSLATE(B8599,""id"",""en"")"),"['Help', 'check', 'quota', 'check', 'balance', 'etc.']")</f>
        <v>['Help', 'check', 'quota', 'check', 'balance', 'etc.']</v>
      </c>
      <c r="D8599" s="3">
        <v>5.0</v>
      </c>
    </row>
    <row r="8600" ht="15.75" customHeight="1">
      <c r="A8600" s="1">
        <v>9165.0</v>
      </c>
      <c r="B8600" s="3" t="s">
        <v>8261</v>
      </c>
      <c r="C8600" s="3" t="str">
        <f>IFERROR(__xludf.DUMMYFUNCTION("GOOGLETRANSLATE(B8600,""id"",""en"")"),"['Download', 'difficult', 'really', 'buy', 'package', 'data', 'how', 'please', 'help', ""]")</f>
        <v>['Download', 'difficult', 'really', 'buy', 'package', 'data', 'how', 'please', 'help', "]</v>
      </c>
      <c r="D8600" s="3">
        <v>1.0</v>
      </c>
    </row>
    <row r="8601" ht="15.75" customHeight="1">
      <c r="A8601" s="1">
        <v>9166.0</v>
      </c>
      <c r="B8601" s="3" t="s">
        <v>8262</v>
      </c>
      <c r="C8601" s="3" t="str">
        <f>IFERROR(__xludf.DUMMYFUNCTION("GOOGLETRANSLATE(B8601,""id"",""en"")"),"['application', 'BSA', 'opened', 'Tel', 'Call', 'Center', 'Thank "",' Landing ',' Tetep ',' Website ',' BSA ',""]")</f>
        <v>['application', 'BSA', 'opened', 'Tel', 'Call', 'Center', 'Thank ",' Landing ',' Tetep ',' Website ',' BSA ',"]</v>
      </c>
      <c r="D8601" s="3">
        <v>1.0</v>
      </c>
    </row>
    <row r="8602" ht="15.75" customHeight="1">
      <c r="A8602" s="1">
        <v>9167.0</v>
      </c>
      <c r="B8602" s="3" t="s">
        <v>8263</v>
      </c>
      <c r="C8602" s="3" t="str">
        <f>IFERROR(__xludf.DUMMYFUNCTION("GOOGLETRANSLATE(B8602,""id"",""en"")"),"['Login', 'Loading', 'really', ""]")</f>
        <v>['Login', 'Loading', 'really', "]</v>
      </c>
      <c r="D8602" s="3">
        <v>1.0</v>
      </c>
    </row>
    <row r="8603" ht="15.75" customHeight="1">
      <c r="A8603" s="1">
        <v>9168.0</v>
      </c>
      <c r="B8603" s="3" t="s">
        <v>8264</v>
      </c>
      <c r="C8603" s="3" t="str">
        <f>IFERROR(__xludf.DUMMYFUNCTION("GOOGLETRANSLATE(B8603,""id"",""en"")"),"['Upgrade', 'Open', 'Please', 'Fix', 'Leave', 'Customer', '']")</f>
        <v>['Upgrade', 'Open', 'Please', 'Fix', 'Leave', 'Customer', '']</v>
      </c>
      <c r="D8603" s="3">
        <v>1.0</v>
      </c>
    </row>
    <row r="8604" ht="15.75" customHeight="1">
      <c r="A8604" s="1">
        <v>9169.0</v>
      </c>
      <c r="B8604" s="3" t="s">
        <v>8265</v>
      </c>
      <c r="C8604" s="3" t="str">
        <f>IFERROR(__xludf.DUMMYFUNCTION("GOOGLETRANSLATE(B8604,""id"",""en"")"),"['Telkomsel', 'here', 'severe', 'signal', 'POCOX', 'Pro', 'RAM', 'Season', 'Potatoes', 'Network', 'Severe', 'really']")</f>
        <v>['Telkomsel', 'here', 'severe', 'signal', 'POCOX', 'Pro', 'RAM', 'Season', 'Potatoes', 'Network', 'Severe', 'really']</v>
      </c>
      <c r="D8604" s="3">
        <v>1.0</v>
      </c>
    </row>
    <row r="8605" ht="15.75" customHeight="1">
      <c r="A8605" s="1">
        <v>9170.0</v>
      </c>
      <c r="B8605" s="3" t="s">
        <v>8266</v>
      </c>
      <c r="C8605" s="3" t="str">
        <f>IFERROR(__xludf.DUMMYFUNCTION("GOOGLETRANSLATE(B8605,""id"",""en"")"),"['signal', 'severe']")</f>
        <v>['signal', 'severe']</v>
      </c>
      <c r="D8605" s="3">
        <v>5.0</v>
      </c>
    </row>
    <row r="8606" ht="15.75" customHeight="1">
      <c r="A8606" s="1">
        <v>9171.0</v>
      </c>
      <c r="B8606" s="3" t="s">
        <v>8267</v>
      </c>
      <c r="C8606" s="3" t="str">
        <f>IFERROR(__xludf.DUMMYFUNCTION("GOOGLETRANSLATE(B8606,""id"",""en"")"),"['waw', 'Cool', 'Gaes', 'BTW', 'combo', 'saktinya', 'Dinaikin', 'price', ""]")</f>
        <v>['waw', 'Cool', 'Gaes', 'BTW', 'combo', 'saktinya', 'Dinaikin', 'price', "]</v>
      </c>
      <c r="D8606" s="3">
        <v>5.0</v>
      </c>
    </row>
    <row r="8607" ht="15.75" customHeight="1">
      <c r="A8607" s="1">
        <v>9172.0</v>
      </c>
      <c r="B8607" s="3" t="s">
        <v>8268</v>
      </c>
      <c r="C8607" s="3" t="str">
        <f>IFERROR(__xludf.DUMMYFUNCTION("GOOGLETRANSLATE(B8607,""id"",""en"")"),"['Mimin', 'Application', 'Update', 'Application', 'Opened', 'Loding', 'Super', 'Check', 'Buy', 'Package', 'Data', 'Please', ' beraiiki ',' priority ',' satisfaction ',' customer ',' trivial ',' gini ',' customer ',' disappointed ']")</f>
        <v>['Mimin', 'Application', 'Update', 'Application', 'Opened', 'Loding', 'Super', 'Check', 'Buy', 'Package', 'Data', 'Please', ' beraiiki ',' priority ',' satisfaction ',' customer ',' trivial ',' gini ',' customer ',' disappointed ']</v>
      </c>
      <c r="D8607" s="3">
        <v>5.0</v>
      </c>
    </row>
    <row r="8608" ht="15.75" customHeight="1">
      <c r="A8608" s="1">
        <v>9173.0</v>
      </c>
      <c r="B8608" s="3" t="s">
        <v>8269</v>
      </c>
      <c r="C8608" s="3" t="str">
        <f>IFERROR(__xludf.DUMMYFUNCTION("GOOGLETRANSLATE(B8608,""id"",""en"")"),"['application', 'ugly', 'really', 'balance', 'many', 'many', 'sumps', 'run out', 'biiiiiiiiiiiis', 'already', 'buy', 'packetan']")</f>
        <v>['application', 'ugly', 'really', 'balance', 'many', 'many', 'sumps', 'run out', 'biiiiiiiiiiiis', 'already', 'buy', 'packetan']</v>
      </c>
      <c r="D8608" s="3">
        <v>1.0</v>
      </c>
    </row>
    <row r="8609" ht="15.75" customHeight="1">
      <c r="A8609" s="1">
        <v>9174.0</v>
      </c>
      <c r="B8609" s="3" t="s">
        <v>8270</v>
      </c>
      <c r="C8609" s="3" t="str">
        <f>IFERROR(__xludf.DUMMYFUNCTION("GOOGLETRANSLATE(B8609,""id"",""en"")"),"['Cheap', 'price', 'package']")</f>
        <v>['Cheap', 'price', 'package']</v>
      </c>
      <c r="D8609" s="3">
        <v>5.0</v>
      </c>
    </row>
    <row r="8610" ht="15.75" customHeight="1">
      <c r="A8610" s="1">
        <v>9175.0</v>
      </c>
      <c r="B8610" s="3" t="s">
        <v>8271</v>
      </c>
      <c r="C8610" s="3" t="str">
        <f>IFERROR(__xludf.DUMMYFUNCTION("GOOGLETRANSLATE(B8610,""id"",""en"")"),"['slow', 'signal', 'telkom', 'special', 'home', 'hills', '']")</f>
        <v>['slow', 'signal', 'telkom', 'special', 'home', 'hills', '']</v>
      </c>
      <c r="D8610" s="3">
        <v>2.0</v>
      </c>
    </row>
    <row r="8611" ht="15.75" customHeight="1">
      <c r="A8611" s="1">
        <v>9176.0</v>
      </c>
      <c r="B8611" s="3" t="s">
        <v>8272</v>
      </c>
      <c r="C8611" s="3" t="str">
        <f>IFERROR(__xludf.DUMMYFUNCTION("GOOGLETRANSLATE(B8611,""id"",""en"")"),"['Come on', 'Love', 'Network', 'Good', 'My area', ""]")</f>
        <v>['Come on', 'Love', 'Network', 'Good', 'My area', "]</v>
      </c>
      <c r="D8611" s="3">
        <v>5.0</v>
      </c>
    </row>
    <row r="8612" ht="15.75" customHeight="1">
      <c r="A8612" s="1">
        <v>9177.0</v>
      </c>
      <c r="B8612" s="3" t="s">
        <v>8273</v>
      </c>
      <c r="C8612" s="3" t="str">
        <f>IFERROR(__xludf.DUMMYFUNCTION("GOOGLETRANSLATE(B8612,""id"",""en"")"),"['Good', 'Dahhh', 'Joss']")</f>
        <v>['Good', 'Dahhh', 'Joss']</v>
      </c>
      <c r="D8612" s="3">
        <v>5.0</v>
      </c>
    </row>
    <row r="8613" ht="15.75" customHeight="1">
      <c r="A8613" s="1">
        <v>9178.0</v>
      </c>
      <c r="B8613" s="3" t="s">
        <v>8274</v>
      </c>
      <c r="C8613" s="3" t="str">
        <f>IFERROR(__xludf.DUMMYFUNCTION("GOOGLETRANSLATE(B8613,""id"",""en"")"),"['Synity']")</f>
        <v>['Synity']</v>
      </c>
      <c r="D8613" s="3">
        <v>3.0</v>
      </c>
    </row>
    <row r="8614" ht="15.75" customHeight="1">
      <c r="A8614" s="1">
        <v>9179.0</v>
      </c>
      <c r="B8614" s="3" t="s">
        <v>8275</v>
      </c>
      <c r="C8614" s="3" t="str">
        <f>IFERROR(__xludf.DUMMYFUNCTION("GOOGLETRANSLATE(B8614,""id"",""en"")"),"['application', 'ugly', 'open', 'appears', 'screen', 'white', '']")</f>
        <v>['application', 'ugly', 'open', 'appears', 'screen', 'white', '']</v>
      </c>
      <c r="D8614" s="3">
        <v>1.0</v>
      </c>
    </row>
    <row r="8615" ht="15.75" customHeight="1">
      <c r="A8615" s="1">
        <v>9180.0</v>
      </c>
      <c r="B8615" s="3" t="s">
        <v>8276</v>
      </c>
      <c r="C8615" s="3" t="str">
        <f>IFERROR(__xludf.DUMMYFUNCTION("GOOGLETRANSLATE(B8615,""id"",""en"")"),"['hi', 'min', 'complaints',' open ',' application ',' Telkomsel ',' opened ',' appears', 'screen', 'white', 'delete', 'install', ' "", 'opened', 'Waiting', 'Week', 'Opened', 'Please', 'Explanation', 'Min', 'Application', '']")</f>
        <v>['hi', 'min', 'complaints',' open ',' application ',' Telkomsel ',' opened ',' appears', 'screen', 'white', 'delete', 'install', ' ", 'opened', 'Waiting', 'Week', 'Opened', 'Please', 'Explanation', 'Min', 'Application', '']</v>
      </c>
      <c r="D8615" s="3">
        <v>1.0</v>
      </c>
    </row>
    <row r="8616" ht="15.75" customHeight="1">
      <c r="A8616" s="1">
        <v>9181.0</v>
      </c>
      <c r="B8616" s="3" t="s">
        <v>8277</v>
      </c>
      <c r="C8616" s="3" t="str">
        <f>IFERROR(__xludf.DUMMYFUNCTION("GOOGLETRANSLATE(B8616,""id"",""en"")"),"['Cakep', 'made easier']")</f>
        <v>['Cakep', 'made easier']</v>
      </c>
      <c r="D8616" s="3">
        <v>4.0</v>
      </c>
    </row>
    <row r="8617" ht="15.75" customHeight="1">
      <c r="A8617" s="1">
        <v>9182.0</v>
      </c>
      <c r="B8617" s="3" t="s">
        <v>8278</v>
      </c>
      <c r="C8617" s="3" t="str">
        <f>IFERROR(__xludf.DUMMYFUNCTION("GOOGLETRANSLATE(B8617,""id"",""en"")"),"['already', 'many years', 'Pakek', 'Telkomsel', 'Knp', 'Bru', 'Update', 'Dibukakkkkk', ""]")</f>
        <v>['already', 'many years', 'Pakek', 'Telkomsel', 'Knp', 'Bru', 'Update', 'Dibukakkkkk', "]</v>
      </c>
      <c r="D8617" s="3">
        <v>4.0</v>
      </c>
    </row>
    <row r="8618" ht="15.75" customHeight="1">
      <c r="A8618" s="1">
        <v>9183.0</v>
      </c>
      <c r="B8618" s="3" t="s">
        <v>8279</v>
      </c>
      <c r="C8618" s="3" t="str">
        <f>IFERROR(__xludf.DUMMYFUNCTION("GOOGLETRANSLATE(B8618,""id"",""en"")"),"['Udh', 'download', 'alternating', 'open', 'annoyed', 'jduli', 'huuh']")</f>
        <v>['Udh', 'download', 'alternating', 'open', 'annoyed', 'jduli', 'huuh']</v>
      </c>
      <c r="D8618" s="3">
        <v>1.0</v>
      </c>
    </row>
    <row r="8619" ht="15.75" customHeight="1">
      <c r="A8619" s="1">
        <v>9184.0</v>
      </c>
      <c r="B8619" s="3" t="s">
        <v>8280</v>
      </c>
      <c r="C8619" s="3" t="str">
        <f>IFERROR(__xludf.DUMMYFUNCTION("GOOGLETRANSLATE(B8619,""id"",""en"")"),"['', 'open', 'SIH']")</f>
        <v>['', 'open', 'SIH']</v>
      </c>
      <c r="D8619" s="3">
        <v>2.0</v>
      </c>
    </row>
    <row r="8620" ht="15.75" customHeight="1">
      <c r="A8620" s="1">
        <v>9185.0</v>
      </c>
      <c r="B8620" s="3" t="s">
        <v>8281</v>
      </c>
      <c r="C8620" s="3" t="str">
        <f>IFERROR(__xludf.DUMMYFUNCTION("GOOGLETRANSLATE(B8620,""id"",""en"")"),"['application', 'ugly', 'bsa', 'open', 'white', 'all', 'class', 'Telkomsel', 'application', 'ginian', 'thumb', 'bwah']")</f>
        <v>['application', 'ugly', 'bsa', 'open', 'white', 'all', 'class', 'Telkomsel', 'application', 'ginian', 'thumb', 'bwah']</v>
      </c>
      <c r="D8620" s="3">
        <v>1.0</v>
      </c>
    </row>
    <row r="8621" ht="15.75" customHeight="1">
      <c r="A8621" s="1">
        <v>9186.0</v>
      </c>
      <c r="B8621" s="3" t="s">
        <v>8282</v>
      </c>
      <c r="C8621" s="3" t="str">
        <f>IFERROR(__xludf.DUMMYFUNCTION("GOOGLETRANSLATE(B8621,""id"",""en"")"),"['', 'Krtu', 'org', 'rich', 'ehh', 'jringn', 'ancor']")</f>
        <v>['', 'Krtu', 'org', 'rich', 'ehh', 'jringn', 'ancor']</v>
      </c>
      <c r="D8621" s="3">
        <v>1.0</v>
      </c>
    </row>
    <row r="8622" ht="15.75" customHeight="1">
      <c r="A8622" s="1">
        <v>9187.0</v>
      </c>
      <c r="B8622" s="3" t="s">
        <v>8283</v>
      </c>
      <c r="C8622" s="3" t="str">
        <f>IFERROR(__xludf.DUMMYFUNCTION("GOOGLETRANSLATE(B8622,""id"",""en"")"),"['Benerin', 'Package', 'Gamemax', 'Cave', 'Main', 'lag', 'block']")</f>
        <v>['Benerin', 'Package', 'Gamemax', 'Cave', 'Main', 'lag', 'block']</v>
      </c>
      <c r="D8622" s="3">
        <v>1.0</v>
      </c>
    </row>
    <row r="8623" ht="15.75" customHeight="1">
      <c r="A8623" s="1">
        <v>9188.0</v>
      </c>
      <c r="B8623" s="3" t="s">
        <v>8284</v>
      </c>
      <c r="C8623" s="3" t="str">
        <f>IFERROR(__xludf.DUMMYFUNCTION("GOOGLETRANSLATE(B8623,""id"",""en"")"),"['application', 'help', 'really', 'see', 'quota', 'buy', 'quota', 'etc.']")</f>
        <v>['application', 'help', 'really', 'see', 'quota', 'buy', 'quota', 'etc.']</v>
      </c>
      <c r="D8623" s="3">
        <v>5.0</v>
      </c>
    </row>
    <row r="8624" ht="15.75" customHeight="1">
      <c r="A8624" s="1">
        <v>9189.0</v>
      </c>
      <c r="B8624" s="3" t="s">
        <v>8285</v>
      </c>
      <c r="C8624" s="3" t="str">
        <f>IFERROR(__xludf.DUMMYFUNCTION("GOOGLETRANSLATE(B8624,""id"",""en"")"),"['Application', 'Season', 'UDH', 'Install', 'Opened', 'Application', 'Telkomsel', 'RibeeeeeeEeet', 'Jeeeeeeek']")</f>
        <v>['Application', 'Season', 'UDH', 'Install', 'Opened', 'Application', 'Telkomsel', 'RibeeeeeeEeet', 'Jeeeeeeek']</v>
      </c>
      <c r="D8624" s="3">
        <v>1.0</v>
      </c>
    </row>
    <row r="8625" ht="15.75" customHeight="1">
      <c r="A8625" s="1">
        <v>9190.0</v>
      </c>
      <c r="B8625" s="3" t="s">
        <v>8286</v>
      </c>
      <c r="C8625" s="3" t="str">
        <f>IFERROR(__xludf.DUMMYFUNCTION("GOOGLETRANSLATE(B8625,""id"",""en"")"),"['Please', 'Love', 'Bonus',' Data ',' Gamemax ',' SGALAK ',' Gara ',' Gara ',' Package ',' Network ',' Good ',' Play ',' games', 'access',' youtube ',' please ',' delete ',' bonus']")</f>
        <v>['Please', 'Love', 'Bonus',' Data ',' Gamemax ',' SGALAK ',' Gara ',' Gara ',' Package ',' Network ',' Good ',' Play ',' games', 'access',' youtube ',' please ',' delete ',' bonus']</v>
      </c>
      <c r="D8625" s="3">
        <v>1.0</v>
      </c>
    </row>
    <row r="8626" ht="15.75" customHeight="1">
      <c r="A8626" s="1">
        <v>9191.0</v>
      </c>
      <c r="B8626" s="3" t="s">
        <v>8287</v>
      </c>
      <c r="C8626" s="3" t="str">
        <f>IFERROR(__xludf.DUMMYFUNCTION("GOOGLETRANSLATE(B8626,""id"",""en"")"),"['open', 'the application', 'screen', 'white', 'thinking', 'error', 'uninstall', 'right', 'install', 'bgtu', 'ttapi', 'white', ' The screen ', ""]")</f>
        <v>['open', 'the application', 'screen', 'white', 'thinking', 'error', 'uninstall', 'right', 'install', 'bgtu', 'ttapi', 'white', ' The screen ', "]</v>
      </c>
      <c r="D8626" s="3">
        <v>1.0</v>
      </c>
    </row>
    <row r="8627" ht="15.75" customHeight="1">
      <c r="A8627" s="1">
        <v>9192.0</v>
      </c>
      <c r="B8627" s="3" t="s">
        <v>8288</v>
      </c>
      <c r="C8627" s="3" t="str">
        <f>IFERROR(__xludf.DUMMYFUNCTION("GOOGLETRANSLATE(B8627,""id"",""en"")"),"['Telkom', 'please', 'repaired', 'signal', 'missing', '']")</f>
        <v>['Telkom', 'please', 'repaired', 'signal', 'missing', '']</v>
      </c>
      <c r="D8627" s="3">
        <v>1.0</v>
      </c>
    </row>
    <row r="8628" ht="15.75" customHeight="1">
      <c r="A8628" s="1">
        <v>9193.0</v>
      </c>
      <c r="B8628" s="3" t="s">
        <v>8289</v>
      </c>
      <c r="C8628" s="3" t="str">
        <f>IFERROR(__xludf.DUMMYFUNCTION("GOOGLETRANSLATE(B8628,""id"",""en"")"),"['already', 'subscribe', 'ama', 'Telkomsel', 'disappointed', 'application', 'open', '']")</f>
        <v>['already', 'subscribe', 'ama', 'Telkomsel', 'disappointed', 'application', 'open', '']</v>
      </c>
      <c r="D8628" s="3">
        <v>3.0</v>
      </c>
    </row>
    <row r="8629" ht="15.75" customHeight="1">
      <c r="A8629" s="1">
        <v>9194.0</v>
      </c>
      <c r="B8629" s="3" t="s">
        <v>8290</v>
      </c>
      <c r="C8629" s="3" t="str">
        <f>IFERROR(__xludf.DUMMYFUNCTION("GOOGLETRANSLATE(B8629,""id"",""en"")"),"['Package', 'Doang', 'expensive', 'expensive', 'network', 'slow']")</f>
        <v>['Package', 'Doang', 'expensive', 'expensive', 'network', 'slow']</v>
      </c>
      <c r="D8629" s="3">
        <v>1.0</v>
      </c>
    </row>
    <row r="8630" ht="15.75" customHeight="1">
      <c r="A8630" s="1">
        <v>9195.0</v>
      </c>
      <c r="B8630" s="3" t="s">
        <v>8291</v>
      </c>
      <c r="C8630" s="3" t="str">
        <f>IFERROR(__xludf.DUMMYFUNCTION("GOOGLETRANSLATE(B8630,""id"",""en"")"),"['cell', 'no', 'open', 'signal', 'okay', 'maw', 'check', 'quota', 'application', 'aga', 'difficult']")</f>
        <v>['cell', 'no', 'open', 'signal', 'okay', 'maw', 'check', 'quota', 'application', 'aga', 'difficult']</v>
      </c>
      <c r="D8630" s="3">
        <v>1.0</v>
      </c>
    </row>
    <row r="8631" ht="15.75" customHeight="1">
      <c r="A8631" s="1">
        <v>9197.0</v>
      </c>
      <c r="B8631" s="3" t="s">
        <v>8292</v>
      </c>
      <c r="C8631" s="3" t="str">
        <f>IFERROR(__xludf.DUMMYFUNCTION("GOOGLETRANSLATE(B8631,""id"",""en"")"),"['Lottery', 'Really', 'Ad']")</f>
        <v>['Lottery', 'Really', 'Ad']</v>
      </c>
      <c r="D8631" s="3">
        <v>4.0</v>
      </c>
    </row>
    <row r="8632" ht="15.75" customHeight="1">
      <c r="A8632" s="1">
        <v>9198.0</v>
      </c>
      <c r="B8632" s="3" t="s">
        <v>8293</v>
      </c>
      <c r="C8632" s="3" t="str">
        <f>IFERROR(__xludf.DUMMYFUNCTION("GOOGLETRANSLATE(B8632,""id"",""en"")"),"['Update', 'Application', 'Trlkomsel', 'Open', 'Disappointing', 'Shopping', 'Package', 'Telkomsel', 'Open']")</f>
        <v>['Update', 'Application', 'Trlkomsel', 'Open', 'Disappointing', 'Shopping', 'Package', 'Telkomsel', 'Open']</v>
      </c>
      <c r="D8632" s="3">
        <v>2.0</v>
      </c>
    </row>
    <row r="8633" ht="15.75" customHeight="1">
      <c r="A8633" s="1">
        <v>9199.0</v>
      </c>
      <c r="B8633" s="3" t="s">
        <v>8294</v>
      </c>
      <c r="C8633" s="3" t="str">
        <f>IFERROR(__xludf.DUMMYFUNCTION("GOOGLETRANSLATE(B8633,""id"",""en"")"),"['effissien', 'accurate']")</f>
        <v>['effissien', 'accurate']</v>
      </c>
      <c r="D8633" s="3">
        <v>5.0</v>
      </c>
    </row>
    <row r="8634" ht="15.75" customHeight="1">
      <c r="A8634" s="1">
        <v>9200.0</v>
      </c>
      <c r="B8634" s="3" t="s">
        <v>8295</v>
      </c>
      <c r="C8634" s="3" t="str">
        <f>IFERROR(__xludf.DUMMYFUNCTION("GOOGLETRANSLATE(B8634,""id"",""en"")"),"['', 'network', 'ugly', 'difficult', 'play', 'game']")</f>
        <v>['', 'network', 'ugly', 'difficult', 'play', 'game']</v>
      </c>
      <c r="D8634" s="3">
        <v>3.0</v>
      </c>
    </row>
    <row r="8635" ht="15.75" customHeight="1">
      <c r="A8635" s="1">
        <v>9201.0</v>
      </c>
      <c r="B8635" s="3" t="s">
        <v>8296</v>
      </c>
      <c r="C8635" s="3" t="str">
        <f>IFERROR(__xludf.DUMMYFUNCTION("GOOGLETRANSLATE(B8635,""id"",""en"")"),"['Price', 'Package', 'Promo', 'Promo', '']")</f>
        <v>['Price', 'Package', 'Promo', 'Promo', '']</v>
      </c>
      <c r="D8635" s="3">
        <v>5.0</v>
      </c>
    </row>
    <row r="8636" ht="15.75" customHeight="1">
      <c r="A8636" s="1">
        <v>9202.0</v>
      </c>
      <c r="B8636" s="3" t="s">
        <v>8297</v>
      </c>
      <c r="C8636" s="3" t="str">
        <f>IFERROR(__xludf.DUMMYFUNCTION("GOOGLETRANSLATE(B8636,""id"",""en"")"),"['mudhbeli', 'pulse', 'package']")</f>
        <v>['mudhbeli', 'pulse', 'package']</v>
      </c>
      <c r="D8636" s="3">
        <v>5.0</v>
      </c>
    </row>
    <row r="8637" ht="15.75" customHeight="1">
      <c r="A8637" s="1">
        <v>9203.0</v>
      </c>
      <c r="B8637" s="3" t="s">
        <v>8298</v>
      </c>
      <c r="C8637" s="3" t="str">
        <f>IFERROR(__xludf.DUMMYFUNCTION("GOOGLETRANSLATE(B8637,""id"",""en"")"),"['APK', 'Bad', 'Tuker', 'Points', 'Kwota']")</f>
        <v>['APK', 'Bad', 'Tuker', 'Points', 'Kwota']</v>
      </c>
      <c r="D8637" s="3">
        <v>3.0</v>
      </c>
    </row>
    <row r="8638" ht="15.75" customHeight="1">
      <c r="A8638" s="1">
        <v>9204.0</v>
      </c>
      <c r="B8638" s="3" t="s">
        <v>8299</v>
      </c>
      <c r="C8638" s="3" t="str">
        <f>IFERROR(__xludf.DUMMYFUNCTION("GOOGLETRANSLATE(B8638,""id"",""en"")"),"['Severe', 'Ngelag', 'signal']")</f>
        <v>['Severe', 'Ngelag', 'signal']</v>
      </c>
      <c r="D8638" s="3">
        <v>2.0</v>
      </c>
    </row>
    <row r="8639" ht="15.75" customHeight="1">
      <c r="A8639" s="1">
        <v>9205.0</v>
      </c>
      <c r="B8639" s="3" t="s">
        <v>8300</v>
      </c>
      <c r="C8639" s="3" t="str">
        <f>IFERROR(__xludf.DUMMYFUNCTION("GOOGLETRANSLATE(B8639,""id"",""en"")"),"['Okay', 'like', 'application', 'buy', 'pulse', 'cheap', 'tariff', 'ttp', 'price', 'then', 'payment', 'spay', ' JGA ',' Admin ',' Wow ',' Payment ',' Via ',' Via ',' Like ',' Admin ',' then ',' Pokonya ',' Luvv ',' The network ',' admiration ' , 'Okay', '"&amp;"Not bad', 'remote']")</f>
        <v>['Okay', 'like', 'application', 'buy', 'pulse', 'cheap', 'tariff', 'ttp', 'price', 'then', 'payment', 'spay', ' JGA ',' Admin ',' Wow ',' Payment ',' Via ',' Via ',' Like ',' Admin ',' then ',' Pokonya ',' Luvv ',' The network ',' admiration ' , 'Okay', 'Not bad', 'remote']</v>
      </c>
      <c r="D8639" s="3">
        <v>5.0</v>
      </c>
    </row>
    <row r="8640" ht="15.75" customHeight="1">
      <c r="A8640" s="1">
        <v>9206.0</v>
      </c>
      <c r="B8640" s="3" t="s">
        <v>8301</v>
      </c>
      <c r="C8640" s="3" t="str">
        <f>IFERROR(__xludf.DUMMYFUNCTION("GOOGLETRANSLATE(B8640,""id"",""en"")"),"['Sorry', 'Star', 'Application', 'Disappointed', 'Service', 'Telkomsel']")</f>
        <v>['Sorry', 'Star', 'Application', 'Disappointed', 'Service', 'Telkomsel']</v>
      </c>
      <c r="D8640" s="3">
        <v>1.0</v>
      </c>
    </row>
    <row r="8641" ht="15.75" customHeight="1">
      <c r="A8641" s="1">
        <v>9207.0</v>
      </c>
      <c r="B8641" s="3" t="s">
        <v>1913</v>
      </c>
      <c r="C8641" s="3" t="str">
        <f>IFERROR(__xludf.DUMMYFUNCTION("GOOGLETRANSLATE(B8641,""id"",""en"")"),"['look', 'white']")</f>
        <v>['look', 'white']</v>
      </c>
      <c r="D8641" s="3">
        <v>1.0</v>
      </c>
    </row>
    <row r="8642" ht="15.75" customHeight="1">
      <c r="A8642" s="1">
        <v>9208.0</v>
      </c>
      <c r="B8642" s="3" t="s">
        <v>8302</v>
      </c>
      <c r="C8642" s="3" t="str">
        <f>IFERROR(__xludf.DUMMYFUNCTION("GOOGLETRANSLATE(B8642,""id"",""en"")"),"['Sorry', 'knapa', 'the application', 'open', 'already', 'dowload', 'times', 'open', 'please', 'fix']")</f>
        <v>['Sorry', 'knapa', 'the application', 'open', 'already', 'dowload', 'times', 'open', 'please', 'fix']</v>
      </c>
      <c r="D8642" s="3">
        <v>1.0</v>
      </c>
    </row>
    <row r="8643" ht="15.75" customHeight="1">
      <c r="A8643" s="1">
        <v>9209.0</v>
      </c>
      <c r="B8643" s="3" t="s">
        <v>8303</v>
      </c>
      <c r="C8643" s="3" t="str">
        <f>IFERROR(__xludf.DUMMYFUNCTION("GOOGLETRANSLATE(B8643,""id"",""en"")"),"['BNYK', 'discount', 'bonus', 'package', '']")</f>
        <v>['BNYK', 'discount', 'bonus', 'package', '']</v>
      </c>
      <c r="D8643" s="3">
        <v>5.0</v>
      </c>
    </row>
    <row r="8644" ht="15.75" customHeight="1">
      <c r="A8644" s="1">
        <v>9211.0</v>
      </c>
      <c r="B8644" s="3" t="s">
        <v>8304</v>
      </c>
      <c r="C8644" s="3" t="str">
        <f>IFERROR(__xludf.DUMMYFUNCTION("GOOGLETRANSLATE(B8644,""id"",""en"")"),"['Anyway', 'Best']")</f>
        <v>['Anyway', 'Best']</v>
      </c>
      <c r="D8644" s="3">
        <v>5.0</v>
      </c>
    </row>
    <row r="8645" ht="15.75" customHeight="1">
      <c r="A8645" s="1">
        <v>9212.0</v>
      </c>
      <c r="B8645" s="3" t="s">
        <v>8305</v>
      </c>
      <c r="C8645" s="3" t="str">
        <f>IFERROR(__xludf.DUMMYFUNCTION("GOOGLETRANSLATE(B8645,""id"",""en"")"),"['admin', 'knp', 'sekrng', 'tel', 'difficult', 'opened', 'lyr', 'white', 'delete', 'then' donlot ',' open ']")</f>
        <v>['admin', 'knp', 'sekrng', 'tel', 'difficult', 'opened', 'lyr', 'white', 'delete', 'then' donlot ',' open ']</v>
      </c>
      <c r="D8645" s="3">
        <v>4.0</v>
      </c>
    </row>
    <row r="8646" ht="15.75" customHeight="1">
      <c r="A8646" s="1">
        <v>9213.0</v>
      </c>
      <c r="B8646" s="3" t="s">
        <v>8306</v>
      </c>
      <c r="C8646" s="3" t="str">
        <f>IFERROR(__xludf.DUMMYFUNCTION("GOOGLETRANSLATE(B8646,""id"",""en"")"),"['factor', 'destroyer', 'Handpon', 'iOS', 'Adnroid', 'Karna', 'Network', 'Rating', '']")</f>
        <v>['factor', 'destroyer', 'Handpon', 'iOS', 'Adnroid', 'Karna', 'Network', 'Rating', '']</v>
      </c>
      <c r="D8646" s="3">
        <v>1.0</v>
      </c>
    </row>
    <row r="8647" ht="15.75" customHeight="1">
      <c r="A8647" s="1">
        <v>9214.0</v>
      </c>
      <c r="B8647" s="3" t="s">
        <v>2600</v>
      </c>
      <c r="C8647" s="3" t="str">
        <f>IFERROR(__xludf.DUMMYFUNCTION("GOOGLETRANSLATE(B8647,""id"",""en"")"),"['Easy', 'mantab']")</f>
        <v>['Easy', 'mantab']</v>
      </c>
      <c r="D8647" s="3">
        <v>5.0</v>
      </c>
    </row>
    <row r="8648" ht="15.75" customHeight="1">
      <c r="A8648" s="1">
        <v>9215.0</v>
      </c>
      <c r="B8648" s="3" t="s">
        <v>8307</v>
      </c>
      <c r="C8648" s="3" t="str">
        <f>IFERROR(__xludf.DUMMYFUNCTION("GOOGLETRANSLATE(B8648,""id"",""en"")"),"['Enough "",' Please ',' Increase ',' Quality ',' Service ']")</f>
        <v>['Enough ",' Please ',' Increase ',' Quality ',' Service ']</v>
      </c>
      <c r="D8648" s="3">
        <v>4.0</v>
      </c>
    </row>
    <row r="8649" ht="15.75" customHeight="1">
      <c r="A8649" s="1">
        <v>9216.0</v>
      </c>
      <c r="B8649" s="3" t="s">
        <v>8308</v>
      </c>
      <c r="C8649" s="3" t="str">
        <f>IFERROR(__xludf.DUMMYFUNCTION("GOOGLETRANSLATE(B8649,""id"",""en"")"),"['expensive', 'price']")</f>
        <v>['expensive', 'price']</v>
      </c>
      <c r="D8649" s="3">
        <v>2.0</v>
      </c>
    </row>
    <row r="8650" ht="15.75" customHeight="1">
      <c r="A8650" s="1">
        <v>9217.0</v>
      </c>
      <c r="B8650" s="3" t="s">
        <v>8309</v>
      </c>
      <c r="C8650" s="3" t="str">
        <f>IFERROR(__xludf.DUMMYFUNCTION("GOOGLETRANSLATE(B8650,""id"",""en"")"),"['KOQ', 'opened', 'APP', '']")</f>
        <v>['KOQ', 'opened', 'APP', '']</v>
      </c>
      <c r="D8650" s="3">
        <v>1.0</v>
      </c>
    </row>
    <row r="8651" ht="15.75" customHeight="1">
      <c r="A8651" s="1">
        <v>9218.0</v>
      </c>
      <c r="B8651" s="3" t="s">
        <v>8310</v>
      </c>
      <c r="C8651" s="3" t="str">
        <f>IFERROR(__xludf.DUMMYFUNCTION("GOOGLETRANSLATE(B8651,""id"",""en"")"),"['Gabisa', 'opened', 'Gimanaa', 'White', 'Everything']")</f>
        <v>['Gabisa', 'opened', 'Gimanaa', 'White', 'Everything']</v>
      </c>
      <c r="D8651" s="3">
        <v>1.0</v>
      </c>
    </row>
    <row r="8652" ht="15.75" customHeight="1">
      <c r="A8652" s="1">
        <v>9219.0</v>
      </c>
      <c r="B8652" s="3" t="s">
        <v>8311</v>
      </c>
      <c r="C8652" s="3" t="str">
        <f>IFERROR(__xludf.DUMMYFUNCTION("GOOGLETRANSLATE(B8652,""id"",""en"")"),"['card', 'corruption', 'credit', 'how', 'cave', 'contents',' pulse ',' goceng ',' minutes', 'abis',' pulse ',' cave ',' Gatau ',' Where ',' ']")</f>
        <v>['card', 'corruption', 'credit', 'how', 'cave', 'contents',' pulse ',' goceng ',' minutes', 'abis',' pulse ',' cave ',' Gatau ',' Where ',' ']</v>
      </c>
      <c r="D8652" s="3">
        <v>1.0</v>
      </c>
    </row>
    <row r="8653" ht="15.75" customHeight="1">
      <c r="A8653" s="1">
        <v>9220.0</v>
      </c>
      <c r="B8653" s="3" t="s">
        <v>8312</v>
      </c>
      <c r="C8653" s="3" t="str">
        <f>IFERROR(__xludf.DUMMYFUNCTION("GOOGLETRANSLATE(B8653,""id"",""en"")"),"['Application', 'opened', 'Points', 'UDH', 'Please', 'Fix', 'Buy', 'Package', '']")</f>
        <v>['Application', 'opened', 'Points', 'UDH', 'Please', 'Fix', 'Buy', 'Package', '']</v>
      </c>
      <c r="D8653" s="3">
        <v>1.0</v>
      </c>
    </row>
    <row r="8654" ht="15.75" customHeight="1">
      <c r="A8654" s="1">
        <v>9221.0</v>
      </c>
      <c r="B8654" s="3" t="s">
        <v>8313</v>
      </c>
      <c r="C8654" s="3" t="str">
        <f>IFERROR(__xludf.DUMMYFUNCTION("GOOGLETRANSLATE(B8654,""id"",""en"")"),"['', 'bad', 'waiter', 'bad', 'signal', 'bad', 'response', 'regret']")</f>
        <v>['', 'bad', 'waiter', 'bad', 'signal', 'bad', 'response', 'regret']</v>
      </c>
      <c r="D8654" s="3">
        <v>1.0</v>
      </c>
    </row>
    <row r="8655" ht="15.75" customHeight="1">
      <c r="A8655" s="1">
        <v>9222.0</v>
      </c>
      <c r="B8655" s="3" t="s">
        <v>8314</v>
      </c>
      <c r="C8655" s="3" t="str">
        <f>IFERROR(__xludf.DUMMYFUNCTION("GOOGLETRANSLATE(B8655,""id"",""en"")"),"['Help', 'meet', 'needs', 'a day', 'transaction', 'etc.', '']")</f>
        <v>['Help', 'meet', 'needs', 'a day', 'transaction', 'etc.', '']</v>
      </c>
      <c r="D8655" s="3">
        <v>5.0</v>
      </c>
    </row>
    <row r="8656" ht="15.75" customHeight="1">
      <c r="A8656" s="1">
        <v>9223.0</v>
      </c>
      <c r="B8656" s="3" t="s">
        <v>8315</v>
      </c>
      <c r="C8656" s="3" t="str">
        <f>IFERROR(__xludf.DUMMYFUNCTION("GOOGLETRANSLATE(B8656,""id"",""en"")"),"['Application', 'Telkomsel', 'BSA', 'Open', 'Knp','AAA ',' ']")</f>
        <v>['Application', 'Telkomsel', 'BSA', 'Open', 'Knp','AAA ',' ']</v>
      </c>
      <c r="D8656" s="3">
        <v>1.0</v>
      </c>
    </row>
    <row r="8657" ht="15.75" customHeight="1">
      <c r="A8657" s="1">
        <v>9224.0</v>
      </c>
      <c r="B8657" s="3" t="s">
        <v>8316</v>
      </c>
      <c r="C8657" s="3" t="str">
        <f>IFERROR(__xludf.DUMMYFUNCTION("GOOGLETRANSLATE(B8657,""id"",""en"")"),"['Open', 'Application', 'Update', 'Login', 'Mulu', 'Please', 'Fix', 'Min']")</f>
        <v>['Open', 'Application', 'Update', 'Login', 'Mulu', 'Please', 'Fix', 'Min']</v>
      </c>
      <c r="D8657" s="3">
        <v>2.0</v>
      </c>
    </row>
    <row r="8658" ht="15.75" customHeight="1">
      <c r="A8658" s="1">
        <v>9225.0</v>
      </c>
      <c r="B8658" s="3" t="s">
        <v>8317</v>
      </c>
      <c r="C8658" s="3" t="str">
        <f>IFERROR(__xludf.DUMMYFUNCTION("GOOGLETRANSLATE(B8658,""id"",""en"")"),"['Open', 'Gosha']")</f>
        <v>['Open', 'Gosha']</v>
      </c>
      <c r="D8658" s="3">
        <v>1.0</v>
      </c>
    </row>
    <row r="8659" ht="15.75" customHeight="1">
      <c r="A8659" s="1">
        <v>9226.0</v>
      </c>
      <c r="B8659" s="3" t="s">
        <v>8318</v>
      </c>
      <c r="C8659" s="3" t="str">
        <f>IFERROR(__xludf.DUMMYFUNCTION("GOOGLETRANSLATE(B8659,""id"",""en"")"),"['Application', 'Open', 'Updaet']")</f>
        <v>['Application', 'Open', 'Updaet']</v>
      </c>
      <c r="D8659" s="3">
        <v>1.0</v>
      </c>
    </row>
    <row r="8660" ht="15.75" customHeight="1">
      <c r="A8660" s="1">
        <v>9227.0</v>
      </c>
      <c r="B8660" s="3" t="s">
        <v>8319</v>
      </c>
      <c r="C8660" s="3" t="str">
        <f>IFERROR(__xludf.DUMMYFUNCTION("GOOGLETRANSLATE(B8660,""id"",""en"")"),"['Mobile', 'Realme', 'Display', 'Telkomsel', 'Blank', 'White', 'Try', 'Delete', 'Cache', 'Uninstall', 'Install', '']")</f>
        <v>['Mobile', 'Realme', 'Display', 'Telkomsel', 'Blank', 'White', 'Try', 'Delete', 'Cache', 'Uninstall', 'Install', '']</v>
      </c>
      <c r="D8660" s="3">
        <v>2.0</v>
      </c>
    </row>
    <row r="8661" ht="15.75" customHeight="1">
      <c r="A8661" s="1">
        <v>9228.0</v>
      </c>
      <c r="B8661" s="3" t="s">
        <v>8320</v>
      </c>
      <c r="C8661" s="3" t="str">
        <f>IFERROR(__xludf.DUMMYFUNCTION("GOOGLETRANSLATE(B8661,""id"",""en"")"),"['Please', 'repaired', 'opened', 'buy', 'package', 'difficult']")</f>
        <v>['Please', 'repaired', 'opened', 'buy', 'package', 'difficult']</v>
      </c>
      <c r="D8661" s="3">
        <v>5.0</v>
      </c>
    </row>
    <row r="8662" ht="15.75" customHeight="1">
      <c r="A8662" s="1">
        <v>9229.0</v>
      </c>
      <c r="B8662" s="3" t="s">
        <v>8321</v>
      </c>
      <c r="C8662" s="3" t="str">
        <f>IFERROR(__xludf.DUMMYFUNCTION("GOOGLETRANSLATE(B8662,""id"",""en"")"),"['Disappointed', 'really', 'download', 'opened', '']")</f>
        <v>['Disappointed', 'really', 'download', 'opened', '']</v>
      </c>
      <c r="D8662" s="3">
        <v>1.0</v>
      </c>
    </row>
    <row r="8663" ht="15.75" customHeight="1">
      <c r="A8663" s="1">
        <v>9230.0</v>
      </c>
      <c r="B8663" s="3" t="s">
        <v>8322</v>
      </c>
      <c r="C8663" s="3" t="str">
        <f>IFERROR(__xludf.DUMMYFUNCTION("GOOGLETRANSLATE(B8663,""id"",""en"")"),"['Gabisa', 'open', 'Heeuh', 'doang', 'orng', 'please', 'the application', 'noticed']")</f>
        <v>['Gabisa', 'open', 'Heeuh', 'doang', 'orng', 'please', 'the application', 'noticed']</v>
      </c>
      <c r="D8663" s="3">
        <v>2.0</v>
      </c>
    </row>
    <row r="8664" ht="15.75" customHeight="1">
      <c r="A8664" s="1">
        <v>9231.0</v>
      </c>
      <c r="B8664" s="3" t="s">
        <v>8323</v>
      </c>
      <c r="C8664" s="3" t="str">
        <f>IFERROR(__xludf.DUMMYFUNCTION("GOOGLETRANSLATE(B8664,""id"",""en"")"),"['base', 'apk', 'cheater']")</f>
        <v>['base', 'apk', 'cheater']</v>
      </c>
      <c r="D8664" s="3">
        <v>1.0</v>
      </c>
    </row>
    <row r="8665" ht="15.75" customHeight="1">
      <c r="A8665" s="1">
        <v>9232.0</v>
      </c>
      <c r="B8665" s="3" t="s">
        <v>8324</v>
      </c>
      <c r="C8665" s="3" t="str">
        <f>IFERROR(__xludf.DUMMYFUNCTION("GOOGLETRANSLATE(B8665,""id"",""en"")"),"['The application', 'Not bad', 'Good', 'Tollang', 'Telkomsel', 'Package', 'Out', 'Play', 'Take', 'Credit', 'Notice', 'Dululah', ' Minimal ',' Plus', 'like', 'Ngeprank']")</f>
        <v>['The application', 'Not bad', 'Good', 'Tollang', 'Telkomsel', 'Package', 'Out', 'Play', 'Take', 'Credit', 'Notice', 'Dululah', ' Minimal ',' Plus', 'like', 'Ngeprank']</v>
      </c>
      <c r="D8665" s="3">
        <v>3.0</v>
      </c>
    </row>
    <row r="8666" ht="15.75" customHeight="1">
      <c r="A8666" s="1">
        <v>9233.0</v>
      </c>
      <c r="B8666" s="3" t="s">
        <v>8325</v>
      </c>
      <c r="C8666" s="3" t="str">
        <f>IFERROR(__xludf.DUMMYFUNCTION("GOOGLETRANSLATE(B8666,""id"",""en"")"),"['a month', 'bug', 'splashscreen', 'stuck', 'white', 'update', 'problematic', 'Samsung', 'update', 'version', 'newest', 'factory', ' Reset ',' please ',' repaired ',' ']")</f>
        <v>['a month', 'bug', 'splashscreen', 'stuck', 'white', 'update', 'problematic', 'Samsung', 'update', 'version', 'newest', 'factory', ' Reset ',' please ',' repaired ',' ']</v>
      </c>
      <c r="D8666" s="3">
        <v>1.0</v>
      </c>
    </row>
    <row r="8667" ht="15.75" customHeight="1">
      <c r="A8667" s="1">
        <v>9234.0</v>
      </c>
      <c r="B8667" s="3" t="s">
        <v>8326</v>
      </c>
      <c r="C8667" s="3" t="str">
        <f>IFERROR(__xludf.DUMMYFUNCTION("GOOGLETRANSLATE(B8667,""id"",""en"")"),"['Help', 'Merdeka']")</f>
        <v>['Help', 'Merdeka']</v>
      </c>
      <c r="D8667" s="3">
        <v>5.0</v>
      </c>
    </row>
    <row r="8668" ht="15.75" customHeight="1">
      <c r="A8668" s="1">
        <v>9235.0</v>
      </c>
      <c r="B8668" s="3" t="s">
        <v>8200</v>
      </c>
      <c r="C8668" s="3" t="str">
        <f>IFERROR(__xludf.DUMMYFUNCTION("GOOGLETRANSLATE(B8668,""id"",""en"")"),"['No', 'Open', '']")</f>
        <v>['No', 'Open', '']</v>
      </c>
      <c r="D8668" s="3">
        <v>1.0</v>
      </c>
    </row>
    <row r="8669" ht="15.75" customHeight="1">
      <c r="A8669" s="1">
        <v>9236.0</v>
      </c>
      <c r="B8669" s="3" t="s">
        <v>8327</v>
      </c>
      <c r="C8669" s="3" t="str">
        <f>IFERROR(__xludf.DUMMYFUNCTION("GOOGLETRANSLATE(B8669,""id"",""en"")"),"['APS', 'good', 'really', 'steady', 'basically']")</f>
        <v>['APS', 'good', 'really', 'steady', 'basically']</v>
      </c>
      <c r="D8669" s="3">
        <v>5.0</v>
      </c>
    </row>
    <row r="8670" ht="15.75" customHeight="1">
      <c r="A8670" s="1">
        <v>9237.0</v>
      </c>
      <c r="B8670" s="3" t="s">
        <v>8328</v>
      </c>
      <c r="C8670" s="3" t="str">
        <f>IFERROR(__xludf.DUMMYFUNCTION("GOOGLETRANSLATE(B8670,""id"",""en"")"),"['Update', 'Difficult', 'Enter', 'Application', 'Simple', 'App', 'Heavy']")</f>
        <v>['Update', 'Difficult', 'Enter', 'Application', 'Simple', 'App', 'Heavy']</v>
      </c>
      <c r="D8670" s="3">
        <v>3.0</v>
      </c>
    </row>
    <row r="8671" ht="15.75" customHeight="1">
      <c r="A8671" s="1">
        <v>9239.0</v>
      </c>
      <c r="B8671" s="3" t="s">
        <v>8329</v>
      </c>
      <c r="C8671" s="3" t="str">
        <f>IFERROR(__xludf.DUMMYFUNCTION("GOOGLETRANSLATE(B8671,""id"",""en"")"),"['package', 'expensive', 'signal', 'slow', 'bngt']")</f>
        <v>['package', 'expensive', 'signal', 'slow', 'bngt']</v>
      </c>
      <c r="D8671" s="3">
        <v>1.0</v>
      </c>
    </row>
    <row r="8672" ht="15.75" customHeight="1">
      <c r="A8672" s="1">
        <v>9240.0</v>
      </c>
      <c r="B8672" s="3" t="s">
        <v>8330</v>
      </c>
      <c r="C8672" s="3" t="str">
        <f>IFERROR(__xludf.DUMMYFUNCTION("GOOGLETRANSLATE(B8672,""id"",""en"")"),"['makes it easier', 'buy', 'Package']")</f>
        <v>['makes it easier', 'buy', 'Package']</v>
      </c>
      <c r="D8672" s="3">
        <v>5.0</v>
      </c>
    </row>
    <row r="8673" ht="15.75" customHeight="1">
      <c r="A8673" s="1">
        <v>9242.0</v>
      </c>
      <c r="B8673" s="3" t="s">
        <v>8331</v>
      </c>
      <c r="C8673" s="3" t="str">
        <f>IFERROR(__xludf.DUMMYFUNCTION("GOOGLETRANSLATE(B8673,""id"",""en"")"),"['Abis',' updet ',' open ',' already ',' that's', 'package', 'combo', 'magic', 'naek', 'net', 'crash', 'like', ' Dgedrop ',' Hadeh ',' Telkom ',' Telkom ',' Change ',' Darling ',' Telephone ',' ']")</f>
        <v>['Abis',' updet ',' open ',' already ',' that's', 'package', 'combo', 'magic', 'naek', 'net', 'crash', 'like', ' Dgedrop ',' Hadeh ',' Telkom ',' Telkom ',' Change ',' Darling ',' Telephone ',' ']</v>
      </c>
      <c r="D8673" s="3">
        <v>1.0</v>
      </c>
    </row>
    <row r="8674" ht="15.75" customHeight="1">
      <c r="A8674" s="1">
        <v>9243.0</v>
      </c>
      <c r="B8674" s="3" t="s">
        <v>8332</v>
      </c>
      <c r="C8674" s="3" t="str">
        <f>IFERROR(__xludf.DUMMYFUNCTION("GOOGLETRANSLATE(B8674,""id"",""en"")"),"['', 'Download', 'open', 'blank', 'white']")</f>
        <v>['', 'Download', 'open', 'blank', 'white']</v>
      </c>
      <c r="D8674" s="3">
        <v>1.0</v>
      </c>
    </row>
    <row r="8675" ht="15.75" customHeight="1">
      <c r="A8675" s="1">
        <v>9244.0</v>
      </c>
      <c r="B8675" s="3" t="s">
        <v>8333</v>
      </c>
      <c r="C8675" s="3" t="str">
        <f>IFERROR(__xludf.DUMMYFUNCTION("GOOGLETRANSLATE(B8675,""id"",""en"")"),"['quota', 'internet', 'Not bad', 'cheap', 'signal', 'ugly', 'Please', 'enhanced', 'trimakasih']")</f>
        <v>['quota', 'internet', 'Not bad', 'cheap', 'signal', 'ugly', 'Please', 'enhanced', 'trimakasih']</v>
      </c>
      <c r="D8675" s="3">
        <v>4.0</v>
      </c>
    </row>
    <row r="8676" ht="15.75" customHeight="1">
      <c r="A8676" s="1">
        <v>9246.0</v>
      </c>
      <c r="B8676" s="3" t="s">
        <v>8334</v>
      </c>
      <c r="C8676" s="3" t="str">
        <f>IFERROR(__xludf.DUMMYFUNCTION("GOOGLETRANSLATE(B8676,""id"",""en"")"),"['Disappointed', 'Talkomsel', 'Play', 'Game', 'Ngeleg', 'Sometimes',' Network ',' Lost ',' Harm ',' Gamers', 'Please', 'Fix', ' network']")</f>
        <v>['Disappointed', 'Talkomsel', 'Play', 'Game', 'Ngeleg', 'Sometimes',' Network ',' Lost ',' Harm ',' Gamers', 'Please', 'Fix', ' network']</v>
      </c>
      <c r="D8676" s="3">
        <v>1.0</v>
      </c>
    </row>
    <row r="8677" ht="15.75" customHeight="1">
      <c r="A8677" s="1">
        <v>9247.0</v>
      </c>
      <c r="B8677" s="3" t="s">
        <v>8335</v>
      </c>
      <c r="C8677" s="3" t="str">
        <f>IFERROR(__xludf.DUMMYFUNCTION("GOOGLETRANSLATE(B8677,""id"",""en"")"),"['Congratulations', 'noon', 'min', 'update', 'telkomsel', 'sya', 'open', 'please', 'explanation', 'donk', 'min', '']")</f>
        <v>['Congratulations', 'noon', 'min', 'update', 'telkomsel', 'sya', 'open', 'please', 'explanation', 'donk', 'min', '']</v>
      </c>
      <c r="D8677" s="3">
        <v>1.0</v>
      </c>
    </row>
    <row r="8678" ht="15.75" customHeight="1">
      <c r="A8678" s="1">
        <v>9248.0</v>
      </c>
      <c r="B8678" s="3" t="s">
        <v>8336</v>
      </c>
      <c r="C8678" s="3" t="str">
        <f>IFERROR(__xludf.DUMMYFUNCTION("GOOGLETRANSLATE(B8678,""id"",""en"")"),"['Min', 'Please', 'Fix', 'APK', 'Karna', 'Open', 'APK', 'Filter', 'APK', 'Stopped', 'Please', 'fix']")</f>
        <v>['Min', 'Please', 'Fix', 'APK', 'Karna', 'Open', 'APK', 'Filter', 'APK', 'Stopped', 'Please', 'fix']</v>
      </c>
      <c r="D8678" s="3">
        <v>1.0</v>
      </c>
    </row>
    <row r="8679" ht="15.75" customHeight="1">
      <c r="A8679" s="1">
        <v>9249.0</v>
      </c>
      <c r="B8679" s="3" t="s">
        <v>8337</v>
      </c>
      <c r="C8679" s="3" t="str">
        <f>IFERROR(__xludf.DUMMYFUNCTION("GOOGLETRANSLATE(B8679,""id"",""en"")"),"['application', 'Errr', 'credit', 'missing', 'buy', 'pay', 'use', 'ovo', 'truncated', 'ovo', 'point', 'entry', ' Internet ',' entered ',' complain ',' Veronika ',' Connect ']")</f>
        <v>['application', 'Errr', 'credit', 'missing', 'buy', 'pay', 'use', 'ovo', 'truncated', 'ovo', 'point', 'entry', ' Internet ',' entered ',' complain ',' Veronika ',' Connect ']</v>
      </c>
      <c r="D8679" s="3">
        <v>1.0</v>
      </c>
    </row>
    <row r="8680" ht="15.75" customHeight="1">
      <c r="A8680" s="1">
        <v>9250.0</v>
      </c>
      <c r="B8680" s="3" t="s">
        <v>8338</v>
      </c>
      <c r="C8680" s="3" t="str">
        <f>IFERROR(__xludf.DUMMYFUNCTION("GOOGLETRANSLATE(B8680,""id"",""en"")"),"['quota', 'national', 'please', 'multiptenize']")</f>
        <v>['quota', 'national', 'please', 'multiptenize']</v>
      </c>
      <c r="D8680" s="3">
        <v>5.0</v>
      </c>
    </row>
    <row r="8681" ht="15.75" customHeight="1">
      <c r="A8681" s="1">
        <v>9251.0</v>
      </c>
      <c r="B8681" s="3" t="s">
        <v>8339</v>
      </c>
      <c r="C8681" s="3" t="str">
        <f>IFERROR(__xludf.DUMMYFUNCTION("GOOGLETRANSLATE(B8681,""id"",""en"")"),"['The application', 'opened', 'screen', 'blank', 'white', 'doang', 'IIHH']")</f>
        <v>['The application', 'opened', 'screen', 'blank', 'white', 'doang', 'IIHH']</v>
      </c>
      <c r="D8681" s="3">
        <v>1.0</v>
      </c>
    </row>
    <row r="8682" ht="15.75" customHeight="1">
      <c r="A8682" s="1">
        <v>9252.0</v>
      </c>
      <c r="B8682" s="3" t="s">
        <v>8340</v>
      </c>
      <c r="C8682" s="3" t="str">
        <f>IFERROR(__xludf.DUMMYFUNCTION("GOOGLETRANSLATE(B8682,""id"",""en"")"),"['Sangaaattt', 'Disappointed', 'Signal', 'Telkomsel', 'Price', 'Mahaaaaaalll', 'Network', 'Difficult', 'Village', 'Tower', 'Tower', ' Sangaaattt ',' signal ',' ']")</f>
        <v>['Sangaaattt', 'Disappointed', 'Signal', 'Telkomsel', 'Price', 'Mahaaaaaalll', 'Network', 'Difficult', 'Village', 'Tower', 'Tower', ' Sangaaattt ',' signal ',' ']</v>
      </c>
      <c r="D8682" s="3">
        <v>1.0</v>
      </c>
    </row>
    <row r="8683" ht="15.75" customHeight="1">
      <c r="A8683" s="1">
        <v>9253.0</v>
      </c>
      <c r="B8683" s="3" t="s">
        <v>8341</v>
      </c>
      <c r="C8683" s="3" t="str">
        <f>IFERROR(__xludf.DUMMYFUNCTION("GOOGLETRANSLATE(B8683,""id"",""en"")"),"['', 'like', 'Degan', 'APK', 'Bags']")</f>
        <v>['', 'like', 'Degan', 'APK', 'Bags']</v>
      </c>
      <c r="D8683" s="3">
        <v>5.0</v>
      </c>
    </row>
    <row r="8684" ht="15.75" customHeight="1">
      <c r="A8684" s="1">
        <v>9254.0</v>
      </c>
      <c r="B8684" s="3" t="s">
        <v>8342</v>
      </c>
      <c r="C8684" s="3" t="str">
        <f>IFERROR(__xludf.DUMMYFUNCTION("GOOGLETRANSLATE(B8684,""id"",""en"")"),"['signal', 'broken', 'signal', 'price', 'quota', 'expensive', 'conditioned', 'signal', 'love', 'price', 'expensive']")</f>
        <v>['signal', 'broken', 'signal', 'price', 'quota', 'expensive', 'conditioned', 'signal', 'love', 'price', 'expensive']</v>
      </c>
      <c r="D8684" s="3">
        <v>1.0</v>
      </c>
    </row>
    <row r="8685" ht="15.75" customHeight="1">
      <c r="A8685" s="1">
        <v>9255.0</v>
      </c>
      <c r="B8685" s="3" t="s">
        <v>8343</v>
      </c>
      <c r="C8685" s="3" t="str">
        <f>IFERROR(__xludf.DUMMYFUNCTION("GOOGLETRANSLATE(B8685,""id"",""en"")"),"['application', 'easy', 'help', 'user']")</f>
        <v>['application', 'easy', 'help', 'user']</v>
      </c>
      <c r="D8685" s="3">
        <v>5.0</v>
      </c>
    </row>
    <row r="8686" ht="15.75" customHeight="1">
      <c r="A8686" s="1">
        <v>9256.0</v>
      </c>
      <c r="B8686" s="3" t="s">
        <v>8344</v>
      </c>
      <c r="C8686" s="3" t="str">
        <f>IFERROR(__xludf.DUMMYFUNCTION("GOOGLETRANSLATE(B8686,""id"",""en"")"),"['application', 'tdak', 'open', 'beg', 'info', 'donk', ""]")</f>
        <v>['application', 'tdak', 'open', 'beg', 'info', 'donk', "]</v>
      </c>
      <c r="D8686" s="3">
        <v>3.0</v>
      </c>
    </row>
    <row r="8687" ht="15.75" customHeight="1">
      <c r="A8687" s="1">
        <v>9257.0</v>
      </c>
      <c r="B8687" s="3" t="s">
        <v>8345</v>
      </c>
      <c r="C8687" s="3" t="str">
        <f>IFERROR(__xludf.DUMMYFUNCTION("GOOGLETRANSLATE(B8687,""id"",""en"")"),"['oath', 'pulse', 'highlight', 'right', 'abis',' quota ',' card ',' no ',' late ',' notification ',' quota ',' MB ',' right ',' UDH ',' Out ',' Disappointed ',' ']")</f>
        <v>['oath', 'pulse', 'highlight', 'right', 'abis',' quota ',' card ',' no ',' late ',' notification ',' quota ',' MB ',' right ',' UDH ',' Out ',' Disappointed ',' ']</v>
      </c>
      <c r="D8687" s="3">
        <v>1.0</v>
      </c>
    </row>
    <row r="8688" ht="15.75" customHeight="1">
      <c r="A8688" s="1">
        <v>9258.0</v>
      </c>
      <c r="B8688" s="3" t="s">
        <v>8346</v>
      </c>
      <c r="C8688" s="3" t="str">
        <f>IFERROR(__xludf.DUMMYFUNCTION("GOOGLETRANSLATE(B8688,""id"",""en"")"),"['Times',' Review ',' TPI ',' Delete ',' Delete ',' Customer ',' Application ',' Lady ',' Application ',' Combo ',' Sakti ',' TPI ',' Buy ',' NGK ',' KLU ',' NGK ',' Combi ',' Sakti ',' Ngk ',' Included ', ""]")</f>
        <v>['Times',' Review ',' TPI ',' Delete ',' Delete ',' Customer ',' Application ',' Lady ',' Application ',' Combo ',' Sakti ',' TPI ',' Buy ',' NGK ',' KLU ',' NGK ',' Combi ',' Sakti ',' Ngk ',' Included ', "]</v>
      </c>
      <c r="D8688" s="3">
        <v>1.0</v>
      </c>
    </row>
    <row r="8689" ht="15.75" customHeight="1">
      <c r="A8689" s="1">
        <v>9259.0</v>
      </c>
      <c r="B8689" s="3" t="s">
        <v>8347</v>
      </c>
      <c r="C8689" s="3" t="str">
        <f>IFERROR(__xludf.DUMMYFUNCTION("GOOGLETRANSLATE(B8689,""id"",""en"")"),"['buy', 'package', 'expensive', 'package', 'run out', 'leftover', 'package', 'game', 'nge', 'game', 'lemooot', 'garbage', ' indeed']")</f>
        <v>['buy', 'package', 'expensive', 'package', 'run out', 'leftover', 'package', 'game', 'nge', 'game', 'lemooot', 'garbage', ' indeed']</v>
      </c>
      <c r="D8689" s="3">
        <v>1.0</v>
      </c>
    </row>
    <row r="8690" ht="15.75" customHeight="1">
      <c r="A8690" s="1">
        <v>9260.0</v>
      </c>
      <c r="B8690" s="3" t="s">
        <v>8348</v>
      </c>
      <c r="C8690" s="3" t="str">
        <f>IFERROR(__xludf.DUMMYFUNCTION("GOOGLETRANSLATE(B8690,""id"",""en"")"),"['already', 'yrs', 'use', 'application', 'cheap', 'package', 'expensive']")</f>
        <v>['already', 'yrs', 'use', 'application', 'cheap', 'package', 'expensive']</v>
      </c>
      <c r="D8690" s="3">
        <v>1.0</v>
      </c>
    </row>
    <row r="8691" ht="15.75" customHeight="1">
      <c r="A8691" s="1">
        <v>9261.0</v>
      </c>
      <c r="B8691" s="3" t="s">
        <v>8349</v>
      </c>
      <c r="C8691" s="3" t="str">
        <f>IFERROR(__xludf.DUMMYFUNCTION("GOOGLETRANSLATE(B8691,""id"",""en"")"),"['Network', 'apk', 'Telkomsel', 'bad', 'no', 'improvement', 'significant', 'bodo', 'for example', 'Telkomsel', 'blank', 'white', ' Enter ',' report ',' JWBAN ',' Gada ',' Varasi ']")</f>
        <v>['Network', 'apk', 'Telkomsel', 'bad', 'no', 'improvement', 'significant', 'bodo', 'for example', 'Telkomsel', 'blank', 'white', ' Enter ',' report ',' JWBAN ',' Gada ',' Varasi ']</v>
      </c>
      <c r="D8691" s="3">
        <v>1.0</v>
      </c>
    </row>
    <row r="8692" ht="15.75" customHeight="1">
      <c r="A8692" s="1">
        <v>9262.0</v>
      </c>
      <c r="B8692" s="3" t="s">
        <v>8350</v>
      </c>
      <c r="C8692" s="3" t="str">
        <f>IFERROR(__xludf.DUMMYFUNCTION("GOOGLETRANSLATE(B8692,""id"",""en"")"),"['Open', 'my APK']")</f>
        <v>['Open', 'my APK']</v>
      </c>
      <c r="D8692" s="3">
        <v>5.0</v>
      </c>
    </row>
    <row r="8693" ht="15.75" customHeight="1">
      <c r="A8693" s="1">
        <v>9263.0</v>
      </c>
      <c r="B8693" s="3" t="s">
        <v>8351</v>
      </c>
      <c r="C8693" s="3" t="str">
        <f>IFERROR(__xludf.DUMMYFUNCTION("GOOGLETRANSLATE(B8693,""id"",""en"")"),"['signal', 'strong', 'my area', 'tower', 'love', 'star', '']")</f>
        <v>['signal', 'strong', 'my area', 'tower', 'love', 'star', '']</v>
      </c>
      <c r="D8693" s="3">
        <v>3.0</v>
      </c>
    </row>
    <row r="8694" ht="15.75" customHeight="1">
      <c r="A8694" s="1">
        <v>9264.0</v>
      </c>
      <c r="B8694" s="3" t="s">
        <v>8352</v>
      </c>
      <c r="C8694" s="3" t="str">
        <f>IFERROR(__xludf.DUMMYFUNCTION("GOOGLETRANSLATE(B8694,""id"",""en"")"),"['base', 'vendor', 'maling', 'credit', 'customer', 'quota', 'byk', 'active', 'subscribe', 'service', 'anything', 'call', ' sms', 'pulse', 'main', 'stolen', 'run out', 'TELKOM', 'TOD', 'UDH', 'many', 'times',' report ',' Telkomsel ',' can ' , 'Road', 'sett"&amp;"lement', 'explanation', 'spin', 'minus',' solution ',' Telkomsel ',' keloba ',' pulse ',' customer ',' eat ',' salary ',' His employees', 'Maybe', ""]")</f>
        <v>['base', 'vendor', 'maling', 'credit', 'customer', 'quota', 'byk', 'active', 'subscribe', 'service', 'anything', 'call', ' sms', 'pulse', 'main', 'stolen', 'run out', 'TELKOM', 'TOD', 'UDH', 'many', 'times',' report ',' Telkomsel ',' can ' , 'Road', 'settlement', 'explanation', 'spin', 'minus',' solution ',' Telkomsel ',' keloba ',' pulse ',' customer ',' eat ',' salary ',' His employees', 'Maybe', "]</v>
      </c>
      <c r="D8694" s="3">
        <v>1.0</v>
      </c>
    </row>
    <row r="8695" ht="15.75" customHeight="1">
      <c r="A8695" s="1">
        <v>9265.0</v>
      </c>
      <c r="B8695" s="3" t="s">
        <v>8353</v>
      </c>
      <c r="C8695" s="3" t="str">
        <f>IFERROR(__xludf.DUMMYFUNCTION("GOOGLETRANSLATE(B8695,""id"",""en"")"),"['Fast', 'Good']")</f>
        <v>['Fast', 'Good']</v>
      </c>
      <c r="D8695" s="3">
        <v>5.0</v>
      </c>
    </row>
    <row r="8696" ht="15.75" customHeight="1">
      <c r="A8696" s="1">
        <v>9267.0</v>
      </c>
      <c r="B8696" s="3" t="s">
        <v>8354</v>
      </c>
      <c r="C8696" s="3" t="str">
        <f>IFERROR(__xludf.DUMMYFUNCTION("GOOGLETRANSLATE(B8696,""id"",""en"")"),"['The application', 'download', 'use', 'data', 'open', 'full', 'white', 'blank', 'replacement', 'application', 'smooth', 'good' Lottery ',' points', 'gifts',' car ',' motorbike ',' smartphone ',' tricked ',' raris', 'ago', 'May', 'customer', 'loyal', 'sym"&amp;"pathy' , 'Telkomsel', 'Exchange', 'Points', 'Win', '']")</f>
        <v>['The application', 'download', 'use', 'data', 'open', 'full', 'white', 'blank', 'replacement', 'application', 'smooth', 'good' Lottery ',' points', 'gifts',' car ',' motorbike ',' smartphone ',' tricked ',' raris', 'ago', 'May', 'customer', 'loyal', 'sympathy' , 'Telkomsel', 'Exchange', 'Points', 'Win', '']</v>
      </c>
      <c r="D8696" s="3">
        <v>1.0</v>
      </c>
    </row>
    <row r="8697" ht="15.75" customHeight="1">
      <c r="A8697" s="1">
        <v>9268.0</v>
      </c>
      <c r="B8697" s="3" t="s">
        <v>8355</v>
      </c>
      <c r="C8697" s="3" t="str">
        <f>IFERROR(__xludf.DUMMYFUNCTION("GOOGLETRANSLATE(B8697,""id"",""en"")"),"['quota', 'Telkomsel', 'Lemotttt', 'really', 'Sihhhh', 'Jdi', 'Season']")</f>
        <v>['quota', 'Telkomsel', 'Lemotttt', 'really', 'Sihhhh', 'Jdi', 'Season']</v>
      </c>
      <c r="D8697" s="3">
        <v>4.0</v>
      </c>
    </row>
    <row r="8698" ht="15.75" customHeight="1">
      <c r="A8698" s="1">
        <v>9269.0</v>
      </c>
      <c r="B8698" s="3" t="s">
        <v>8356</v>
      </c>
      <c r="C8698" s="3" t="str">
        <f>IFERROR(__xludf.DUMMYFUNCTION("GOOGLETRANSLATE(B8698,""id"",""en"")"),"['APL', 'ugly', 'opened', '']")</f>
        <v>['APL', 'ugly', 'opened', '']</v>
      </c>
      <c r="D8698" s="3">
        <v>1.0</v>
      </c>
    </row>
    <row r="8699" ht="15.75" customHeight="1">
      <c r="A8699" s="1">
        <v>9270.0</v>
      </c>
      <c r="B8699" s="3" t="s">
        <v>8357</v>
      </c>
      <c r="C8699" s="3" t="str">
        <f>IFERROR(__xludf.DUMMYFUNCTION("GOOGLETRANSLATE(B8699,""id"",""en"")"),"['signal', 'ugly', 'play', 'games', 'regret', 'buy', 'package', 'gabisa', 'play', 'game']")</f>
        <v>['signal', 'ugly', 'play', 'games', 'regret', 'buy', 'package', 'gabisa', 'play', 'game']</v>
      </c>
      <c r="D8699" s="3">
        <v>1.0</v>
      </c>
    </row>
    <row r="8700" ht="15.75" customHeight="1">
      <c r="A8700" s="1">
        <v>9271.0</v>
      </c>
      <c r="B8700" s="3" t="s">
        <v>8358</v>
      </c>
      <c r="C8700" s="3" t="str">
        <f>IFERROR(__xludf.DUMMYFUNCTION("GOOGLETRANSLATE(B8700,""id"",""en"")"),"['Please', 'Increase', 'Service', 'Network', 'Internet', 'Sometimes', 'Lost', 'Provider', 'Network', 'Lemoooooot']")</f>
        <v>['Please', 'Increase', 'Service', 'Network', 'Internet', 'Sometimes', 'Lost', 'Provider', 'Network', 'Lemoooooot']</v>
      </c>
      <c r="D8700" s="3">
        <v>5.0</v>
      </c>
    </row>
    <row r="8701" ht="15.75" customHeight="1">
      <c r="A8701" s="1">
        <v>9272.0</v>
      </c>
      <c r="B8701" s="3" t="s">
        <v>8359</v>
      </c>
      <c r="C8701" s="3" t="str">
        <f>IFERROR(__xludf.DUMMYFUNCTION("GOOGLETRANSLATE(B8701,""id"",""en"")"),"['Network', 'weak', 'pulsed', 'sms', 'entry', 'update', 'heavy', 'Telkomsel']")</f>
        <v>['Network', 'weak', 'pulsed', 'sms', 'entry', 'update', 'heavy', 'Telkomsel']</v>
      </c>
      <c r="D8701" s="3">
        <v>1.0</v>
      </c>
    </row>
    <row r="8702" ht="15.75" customHeight="1">
      <c r="A8702" s="1">
        <v>9273.0</v>
      </c>
      <c r="B8702" s="3" t="s">
        <v>8360</v>
      </c>
      <c r="C8702" s="3" t="str">
        <f>IFERROR(__xludf.DUMMYFUNCTION("GOOGLETRANSLATE(B8702,""id"",""en"")"),"['application', 'difficult', 'opened', 'package', 'quota']")</f>
        <v>['application', 'difficult', 'opened', 'package', 'quota']</v>
      </c>
      <c r="D8702" s="3">
        <v>1.0</v>
      </c>
    </row>
    <row r="8703" ht="15.75" customHeight="1">
      <c r="A8703" s="1">
        <v>9274.0</v>
      </c>
      <c r="B8703" s="3" t="s">
        <v>8361</v>
      </c>
      <c r="C8703" s="3" t="str">
        <f>IFERROR(__xludf.DUMMYFUNCTION("GOOGLETRANSLATE(B8703,""id"",""en"")"),"['wooooiiiiiiii', 'Benerin', 'Application', 'looks', 'screen', 'white', 'Doank', '']")</f>
        <v>['wooooiiiiiiii', 'Benerin', 'Application', 'looks', 'screen', 'white', 'Doank', '']</v>
      </c>
      <c r="D8703" s="3">
        <v>1.0</v>
      </c>
    </row>
    <row r="8704" ht="15.75" customHeight="1">
      <c r="A8704" s="1">
        <v>9275.0</v>
      </c>
      <c r="B8704" s="3" t="s">
        <v>8362</v>
      </c>
      <c r="C8704" s="3" t="str">
        <f>IFERROR(__xludf.DUMMYFUNCTION("GOOGLETRANSLATE(B8704,""id"",""en"")"),"['Gajelas',' really ',' contents', 'pulses',' pay ',' debt ',' packagein ',' GB ',' UDH ',' Sumpot ',' leftover ',' Telkomsel ',' Update ',' Easy ',' Sumpot ',' Loss', 'mah']")</f>
        <v>['Gajelas',' really ',' contents', 'pulses',' pay ',' debt ',' packagein ',' GB ',' UDH ',' Sumpot ',' leftover ',' Telkomsel ',' Update ',' Easy ',' Sumpot ',' Loss', 'mah']</v>
      </c>
      <c r="D8704" s="3">
        <v>1.0</v>
      </c>
    </row>
    <row r="8705" ht="15.75" customHeight="1">
      <c r="A8705" s="1">
        <v>9276.0</v>
      </c>
      <c r="B8705" s="3" t="s">
        <v>8363</v>
      </c>
      <c r="C8705" s="3" t="str">
        <f>IFERROR(__xludf.DUMMYFUNCTION("GOOGLETRANSLATE(B8705,""id"",""en"")"),"['repaired', 'week', 'open', 'application', 'Telkomsel', 'update', 'troubling', 'give', 'satisfaction', 'your customer', ""]")</f>
        <v>['repaired', 'week', 'open', 'application', 'Telkomsel', 'update', 'troubling', 'give', 'satisfaction', 'your customer', "]</v>
      </c>
      <c r="D8705" s="3">
        <v>1.0</v>
      </c>
    </row>
    <row r="8706" ht="15.75" customHeight="1">
      <c r="A8706" s="1">
        <v>9277.0</v>
      </c>
      <c r="B8706" s="3" t="s">
        <v>8364</v>
      </c>
      <c r="C8706" s="3" t="str">
        <f>IFERROR(__xludf.DUMMYFUNCTION("GOOGLETRANSLATE(B8706,""id"",""en"")"),"['Sometimes', 'open']")</f>
        <v>['Sometimes', 'open']</v>
      </c>
      <c r="D8706" s="3">
        <v>3.0</v>
      </c>
    </row>
    <row r="8707" ht="15.75" customHeight="1">
      <c r="A8707" s="1">
        <v>9278.0</v>
      </c>
      <c r="B8707" s="3" t="s">
        <v>8365</v>
      </c>
      <c r="C8707" s="3" t="str">
        <f>IFERROR(__xludf.DUMMYFUNCTION("GOOGLETRANSLATE(B8707,""id"",""en"")"),"['opened', 'delete', 'reset', 'download', 'cream', 'lwet', 'sherit', 'jga']")</f>
        <v>['opened', 'delete', 'reset', 'download', 'cream', 'lwet', 'sherit', 'jga']</v>
      </c>
      <c r="D8707" s="3">
        <v>1.0</v>
      </c>
    </row>
    <row r="8708" ht="15.75" customHeight="1">
      <c r="A8708" s="1">
        <v>9279.0</v>
      </c>
      <c r="B8708" s="3" t="s">
        <v>8366</v>
      </c>
      <c r="C8708" s="3" t="str">
        <f>IFERROR(__xludf.DUMMYFUNCTION("GOOGLETRANSLATE(B8708,""id"",""en"")"),"['network', 'terrible', 'slow', 'mah', 'road', 'use', 'loading', 'forgiveness', 'city', 'tower', 'network']")</f>
        <v>['network', 'terrible', 'slow', 'mah', 'road', 'use', 'loading', 'forgiveness', 'city', 'tower', 'network']</v>
      </c>
      <c r="D8708" s="3">
        <v>1.0</v>
      </c>
    </row>
    <row r="8709" ht="15.75" customHeight="1">
      <c r="A8709" s="1">
        <v>9280.0</v>
      </c>
      <c r="B8709" s="3" t="s">
        <v>8367</v>
      </c>
      <c r="C8709" s="3" t="str">
        <f>IFERROR(__xludf.DUMMYFUNCTION("GOOGLETRANSLATE(B8709,""id"",""en"")"),"['application', 'good', 'easy', 'promo', 'interesting']")</f>
        <v>['application', 'good', 'easy', 'promo', 'interesting']</v>
      </c>
      <c r="D8709" s="3">
        <v>5.0</v>
      </c>
    </row>
    <row r="8710" ht="15.75" customHeight="1">
      <c r="A8710" s="1">
        <v>9281.0</v>
      </c>
      <c r="B8710" s="3" t="s">
        <v>8368</v>
      </c>
      <c r="C8710" s="3" t="str">
        <f>IFERROR(__xludf.DUMMYFUNCTION("GOOGLETRANSLATE(B8710,""id"",""en"")"),"['Please', 'buy', 'quota', 'Telkomsel', 'emang', 'gamau', 'loss',' gausah ',' love ',' discount ',' loss', 'buy', ' quota ',' situ ',' enter ',' pulse ',' sumps']")</f>
        <v>['Please', 'buy', 'quota', 'Telkomsel', 'emang', 'gamau', 'loss',' gausah ',' love ',' discount ',' loss', 'buy', ' quota ',' situ ',' enter ',' pulse ',' sumps']</v>
      </c>
      <c r="D8710" s="3">
        <v>5.0</v>
      </c>
    </row>
    <row r="8711" ht="15.75" customHeight="1">
      <c r="A8711" s="1">
        <v>9282.0</v>
      </c>
      <c r="B8711" s="3" t="s">
        <v>8369</v>
      </c>
      <c r="C8711" s="3" t="str">
        <f>IFERROR(__xludf.DUMMYFUNCTION("GOOGLETRANSLATE(B8711,""id"",""en"")"),"['Gabisa', 'Open', 'The application', '']")</f>
        <v>['Gabisa', 'Open', 'The application', '']</v>
      </c>
      <c r="D8711" s="3">
        <v>1.0</v>
      </c>
    </row>
    <row r="8712" ht="15.75" customHeight="1">
      <c r="A8712" s="1">
        <v>9283.0</v>
      </c>
      <c r="B8712" s="3" t="s">
        <v>8370</v>
      </c>
      <c r="C8712" s="3" t="str">
        <f>IFERROR(__xludf.DUMMYFUNCTION("GOOGLETRANSLATE(B8712,""id"",""en"")"),"['Knp', 'enter', 'APK', 'Install', 'Uninstall', 'so "",' times', 'enter']")</f>
        <v>['Knp', 'enter', 'APK', 'Install', 'Uninstall', 'so ",' times', 'enter']</v>
      </c>
      <c r="D8712" s="3">
        <v>2.0</v>
      </c>
    </row>
    <row r="8713" ht="15.75" customHeight="1">
      <c r="A8713" s="1">
        <v>9284.0</v>
      </c>
      <c r="B8713" s="3" t="s">
        <v>8371</v>
      </c>
      <c r="C8713" s="3" t="str">
        <f>IFERROR(__xludf.DUMMYFUNCTION("GOOGLETRANSLATE(B8713,""id"",""en"")"),"['Telkom', 'Network', 'Kek', 'pig']")</f>
        <v>['Telkom', 'Network', 'Kek', 'pig']</v>
      </c>
      <c r="D8713" s="3">
        <v>2.0</v>
      </c>
    </row>
    <row r="8714" ht="15.75" customHeight="1">
      <c r="A8714" s="1">
        <v>9285.0</v>
      </c>
      <c r="B8714" s="3" t="s">
        <v>2117</v>
      </c>
      <c r="C8714" s="3" t="str">
        <f>IFERROR(__xludf.DUMMYFUNCTION("GOOGLETRANSLATE(B8714,""id"",""en"")"),"['Help', 'Anyway']")</f>
        <v>['Help', 'Anyway']</v>
      </c>
      <c r="D8714" s="3">
        <v>5.0</v>
      </c>
    </row>
    <row r="8715" ht="15.75" customHeight="1">
      <c r="A8715" s="1">
        <v>9287.0</v>
      </c>
      <c r="B8715" s="3" t="s">
        <v>8372</v>
      </c>
      <c r="C8715" s="3" t="str">
        <f>IFERROR(__xludf.DUMMYFUNCTION("GOOGLETRANSLATE(B8715,""id"",""en"")"),"['application', 'knpa', 'can', 'open', 'screen', 'white', 'then', 'sya', 'buy', 'package', 'jga']")</f>
        <v>['application', 'knpa', 'can', 'open', 'screen', 'white', 'then', 'sya', 'buy', 'package', 'jga']</v>
      </c>
      <c r="D8715" s="3">
        <v>1.0</v>
      </c>
    </row>
    <row r="8716" ht="15.75" customHeight="1">
      <c r="A8716" s="1">
        <v>9288.0</v>
      </c>
      <c r="B8716" s="3" t="s">
        <v>8373</v>
      </c>
      <c r="C8716" s="3" t="str">
        <f>IFERROR(__xludf.DUMMYFUNCTION("GOOGLETRANSLATE(B8716,""id"",""en"")"),"['likes', 'LEG', 'Daily', 'Check', 'Data', 'Sumpot']")</f>
        <v>['likes', 'LEG', 'Daily', 'Check', 'Data', 'Sumpot']</v>
      </c>
      <c r="D8716" s="3">
        <v>2.0</v>
      </c>
    </row>
    <row r="8717" ht="15.75" customHeight="1">
      <c r="A8717" s="1">
        <v>9289.0</v>
      </c>
      <c r="B8717" s="3" t="s">
        <v>8374</v>
      </c>
      <c r="C8717" s="3" t="str">
        <f>IFERROR(__xludf.DUMMYFUNCTION("GOOGLETRANSLATE(B8717,""id"",""en"")"),"['user', 'card', 'yr', 'hope', 'lottery', 'gift', 'point', 'amin']")</f>
        <v>['user', 'card', 'yr', 'hope', 'lottery', 'gift', 'point', 'amin']</v>
      </c>
      <c r="D8717" s="3">
        <v>5.0</v>
      </c>
    </row>
    <row r="8718" ht="15.75" customHeight="1">
      <c r="A8718" s="1">
        <v>9290.0</v>
      </c>
      <c r="B8718" s="3" t="s">
        <v>8375</v>
      </c>
      <c r="C8718" s="3" t="str">
        <f>IFERROR(__xludf.DUMMYFUNCTION("GOOGLETRANSLATE(B8718,""id"",""en"")"),"['Too much talking']")</f>
        <v>['Too much talking']</v>
      </c>
      <c r="D8718" s="3">
        <v>5.0</v>
      </c>
    </row>
    <row r="8719" ht="15.75" customHeight="1">
      <c r="A8719" s="1">
        <v>9291.0</v>
      </c>
      <c r="B8719" s="3" t="s">
        <v>8376</v>
      </c>
      <c r="C8719" s="3" t="str">
        <f>IFERROR(__xludf.DUMMYFUNCTION("GOOGLETRANSLATE(B8719,""id"",""en"")"),"['Telkomsel', 'disappointing', 'signal', 'etc.', 'disappointing', 'Please', 'fix', 'signal', 'weak', 'area', 'swamp', 'sentul', ' Cikarang ',' North ',' Thank ',' Love ']")</f>
        <v>['Telkomsel', 'disappointing', 'signal', 'etc.', 'disappointing', 'Please', 'fix', 'signal', 'weak', 'area', 'swamp', 'sentul', ' Cikarang ',' North ',' Thank ',' Love ']</v>
      </c>
      <c r="D8719" s="3">
        <v>5.0</v>
      </c>
    </row>
    <row r="8720" ht="15.75" customHeight="1">
      <c r="A8720" s="1">
        <v>9292.0</v>
      </c>
      <c r="B8720" s="3" t="s">
        <v>8377</v>
      </c>
      <c r="C8720" s="3" t="str">
        <f>IFERROR(__xludf.DUMMYFUNCTION("GOOGLETRANSLATE(B8720,""id"",""en"")"),"['updated', 'ngak', 'please', 'explanation']")</f>
        <v>['updated', 'ngak', 'please', 'explanation']</v>
      </c>
      <c r="D8720" s="3">
        <v>5.0</v>
      </c>
    </row>
    <row r="8721" ht="15.75" customHeight="1">
      <c r="A8721" s="1">
        <v>9294.0</v>
      </c>
      <c r="B8721" s="3" t="s">
        <v>8378</v>
      </c>
      <c r="C8721" s="3" t="str">
        <f>IFERROR(__xludf.DUMMYFUNCTION("GOOGLETRANSLATE(B8721,""id"",""en"")"),"['Apasih', 'a little', 'verification', 'replace', 'number', 'complicated']")</f>
        <v>['Apasih', 'a little', 'verification', 'replace', 'number', 'complicated']</v>
      </c>
      <c r="D8721" s="3">
        <v>1.0</v>
      </c>
    </row>
    <row r="8722" ht="15.75" customHeight="1">
      <c r="A8722" s="1">
        <v>9295.0</v>
      </c>
      <c r="B8722" s="3" t="s">
        <v>8379</v>
      </c>
      <c r="C8722" s="3" t="str">
        <f>IFERROR(__xludf.DUMMYFUNCTION("GOOGLETRANSLATE(B8722,""id"",""en"")"),"['uuuh', 'base', 'already', 'donow', 'IIH', 'open', 'waste', 'dispose', 'quota']")</f>
        <v>['uuuh', 'base', 'already', 'donow', 'IIH', 'open', 'waste', 'dispose', 'quota']</v>
      </c>
      <c r="D8722" s="3">
        <v>1.0</v>
      </c>
    </row>
    <row r="8723" ht="15.75" customHeight="1">
      <c r="A8723" s="1">
        <v>9296.0</v>
      </c>
      <c r="B8723" s="3" t="s">
        <v>8380</v>
      </c>
      <c r="C8723" s="3" t="str">
        <f>IFERROR(__xludf.DUMMYFUNCTION("GOOGLETRANSLATE(B8723,""id"",""en"")"),"['Application', 'Difficult', 'Open', 'Mobile', 'Oppo', 'Series', 'Please', 'Fix']")</f>
        <v>['Application', 'Difficult', 'Open', 'Mobile', 'Oppo', 'Series', 'Please', 'Fix']</v>
      </c>
      <c r="D8723" s="3">
        <v>2.0</v>
      </c>
    </row>
    <row r="8724" ht="15.75" customHeight="1">
      <c r="A8724" s="1">
        <v>9297.0</v>
      </c>
      <c r="B8724" s="3" t="s">
        <v>8381</v>
      </c>
      <c r="C8724" s="3" t="str">
        <f>IFERROR(__xludf.DUMMYFUNCTION("GOOGLETRANSLATE(B8724,""id"",""en"")"),"['Application', 'Telkomsel', 'Open', 'Please', 'Fix', 'Application', 'Useful']")</f>
        <v>['Application', 'Telkomsel', 'Open', 'Please', 'Fix', 'Application', 'Useful']</v>
      </c>
      <c r="D8724" s="3">
        <v>5.0</v>
      </c>
    </row>
    <row r="8725" ht="15.75" customHeight="1">
      <c r="A8725" s="1">
        <v>9298.0</v>
      </c>
      <c r="B8725" s="3" t="s">
        <v>1555</v>
      </c>
      <c r="C8725" s="3" t="str">
        <f>IFERROR(__xludf.DUMMYFUNCTION("GOOGLETRANSLATE(B8725,""id"",""en"")"),"['application', 'open', '']")</f>
        <v>['application', 'open', '']</v>
      </c>
      <c r="D8725" s="3">
        <v>2.0</v>
      </c>
    </row>
    <row r="8726" ht="15.75" customHeight="1">
      <c r="A8726" s="1">
        <v>9299.0</v>
      </c>
      <c r="B8726" s="3" t="s">
        <v>8382</v>
      </c>
      <c r="C8726" s="3" t="str">
        <f>IFERROR(__xludf.DUMMYFUNCTION("GOOGLETRANSLATE(B8726,""id"",""en"")"),"['Hello', 'unlimited', 'fraud', 'run out', 'package', 'main', 'no', 'open', 'lazada', 'quota', 'fup', 'GB', ' open ',' apk ',' video ',' nampilin ',' icon ',' play ',' error ',' network ',' phone ',' no ',' change ',' blame ',' connection ' , 'Network', '"&amp;"that's',' contents', 'package', 'daily', 'smooth', 'run out', 'package', 'daily', 'nggk', 'open', 'apk', ' Registered ',' unlimited ',' except ',' WhatsApp ',' smooth ',' Jaya ', ""]")</f>
        <v>['Hello', 'unlimited', 'fraud', 'run out', 'package', 'main', 'no', 'open', 'lazada', 'quota', 'fup', 'GB', ' open ',' apk ',' video ',' nampilin ',' icon ',' play ',' error ',' network ',' phone ',' no ',' change ',' blame ',' connection ' , 'Network', 'that's',' contents', 'package', 'daily', 'smooth', 'run out', 'package', 'daily', 'nggk', 'open', 'apk', ' Registered ',' unlimited ',' except ',' WhatsApp ',' smooth ',' Jaya ', "]</v>
      </c>
      <c r="D8726" s="3">
        <v>1.0</v>
      </c>
    </row>
    <row r="8727" ht="15.75" customHeight="1">
      <c r="A8727" s="1">
        <v>9300.0</v>
      </c>
      <c r="B8727" s="3" t="s">
        <v>8383</v>
      </c>
      <c r="C8727" s="3" t="str">
        <f>IFERROR(__xludf.DUMMYFUNCTION("GOOGLETRANSLATE(B8727,""id"",""en"")"),"['network', 'signal', 'Telkomsel', 'sandals', 'pinch', 'below', 'sorry', 'love', 'star', 'sgt', 'good']")</f>
        <v>['network', 'signal', 'Telkomsel', 'sandals', 'pinch', 'below', 'sorry', 'love', 'star', 'sgt', 'good']</v>
      </c>
      <c r="D8727" s="3">
        <v>1.0</v>
      </c>
    </row>
    <row r="8728" ht="15.75" customHeight="1">
      <c r="A8728" s="1">
        <v>9301.0</v>
      </c>
      <c r="B8728" s="3" t="s">
        <v>8384</v>
      </c>
      <c r="C8728" s="3" t="str">
        <f>IFERROR(__xludf.DUMMYFUNCTION("GOOGLETRANSLATE(B8728,""id"",""en"")"),"['application', 'disorder']")</f>
        <v>['application', 'disorder']</v>
      </c>
      <c r="D8728" s="3">
        <v>1.0</v>
      </c>
    </row>
    <row r="8729" ht="15.75" customHeight="1">
      <c r="A8729" s="1">
        <v>9302.0</v>
      </c>
      <c r="B8729" s="3" t="s">
        <v>8385</v>
      </c>
      <c r="C8729" s="3" t="str">
        <f>IFERROR(__xludf.DUMMYFUNCTION("GOOGLETRANSLATE(B8729,""id"",""en"")"),"['Knp', 'Udh', 'Paketan', 'YouTube', 'Ama', 'Games',' Pas', 'Quota', 'Utamnya', 'Tetep', 'Tetep', ' pulses', 'pants',' youtubenya ',' unlimited ',' right ',' watch ',' pulse ',' sumps', 'until', 'udh', 'package', 'sumps',' donk ' , 'Season', 'really', 'bu"&amp;"y', 'quota', 'learn', 'senen', ""]")</f>
        <v>['Knp', 'Udh', 'Paketan', 'YouTube', 'Ama', 'Games',' Pas', 'Quota', 'Utamnya', 'Tetep', 'Tetep', ' pulses', 'pants',' youtubenya ',' unlimited ',' right ',' watch ',' pulse ',' sumps', 'until', 'udh', 'package', 'sumps',' donk ' , 'Season', 'really', 'buy', 'quota', 'learn', 'senen', "]</v>
      </c>
      <c r="D8729" s="3">
        <v>3.0</v>
      </c>
    </row>
    <row r="8730" ht="15.75" customHeight="1">
      <c r="A8730" s="1">
        <v>9303.0</v>
      </c>
      <c r="B8730" s="3" t="s">
        <v>8386</v>
      </c>
      <c r="C8730" s="3" t="str">
        <f>IFERROR(__xludf.DUMMYFUNCTION("GOOGLETRANSLATE(B8730,""id"",""en"")"),"['', 'digunkn']")</f>
        <v>['', 'digunkn']</v>
      </c>
      <c r="D8730" s="3">
        <v>1.0</v>
      </c>
    </row>
    <row r="8731" ht="15.75" customHeight="1">
      <c r="A8731" s="1">
        <v>9304.0</v>
      </c>
      <c r="B8731" s="3" t="s">
        <v>8387</v>
      </c>
      <c r="C8731" s="3" t="str">
        <f>IFERROR(__xludf.DUMMYFUNCTION("GOOGLETRANSLATE(B8731,""id"",""en"")"),"['apk', 'Telkomsel', 'open', 'please', 'action', 'continue', ""]")</f>
        <v>['apk', 'Telkomsel', 'open', 'please', 'action', 'continue', "]</v>
      </c>
      <c r="D8731" s="3">
        <v>3.0</v>
      </c>
    </row>
    <row r="8732" ht="15.75" customHeight="1">
      <c r="A8732" s="1">
        <v>9305.0</v>
      </c>
      <c r="B8732" s="3" t="s">
        <v>8388</v>
      </c>
      <c r="C8732" s="3" t="str">
        <f>IFERROR(__xludf.DUMMYFUNCTION("GOOGLETRANSLATE(B8732,""id"",""en"")"),"['Fun', 'Telkomsel', 'Network', 'Best', 'Putok', 'Region']")</f>
        <v>['Fun', 'Telkomsel', 'Network', 'Best', 'Putok', 'Region']</v>
      </c>
      <c r="D8732" s="3">
        <v>5.0</v>
      </c>
    </row>
    <row r="8733" ht="15.75" customHeight="1">
      <c r="A8733" s="1">
        <v>9306.0</v>
      </c>
      <c r="B8733" s="3" t="s">
        <v>8389</v>
      </c>
      <c r="C8733" s="3" t="str">
        <f>IFERROR(__xludf.DUMMYFUNCTION("GOOGLETRANSLATE(B8733,""id"",""en"")"),"['Hello', 'Telkomsel', 'right', 'open', 'white', 'opened', 'pls', 'please', 'love']")</f>
        <v>['Hello', 'Telkomsel', 'right', 'open', 'white', 'opened', 'pls', 'please', 'love']</v>
      </c>
      <c r="D8733" s="3">
        <v>2.0</v>
      </c>
    </row>
    <row r="8734" ht="15.75" customHeight="1">
      <c r="A8734" s="1">
        <v>9307.0</v>
      </c>
      <c r="B8734" s="3" t="s">
        <v>8390</v>
      </c>
      <c r="C8734" s="3" t="str">
        <f>IFERROR(__xludf.DUMMYFUNCTION("GOOGLETRANSLATE(B8734,""id"",""en"")"),"['Device', 'Open', 'Try', 'Install', 'Reset', 'Tetep', 'Support', 'The Application', 'Troubled', '']")</f>
        <v>['Device', 'Open', 'Try', 'Install', 'Reset', 'Tetep', 'Support', 'The Application', 'Troubled', '']</v>
      </c>
      <c r="D8734" s="3">
        <v>3.0</v>
      </c>
    </row>
    <row r="8735" ht="15.75" customHeight="1">
      <c r="A8735" s="1">
        <v>9309.0</v>
      </c>
      <c r="B8735" s="3" t="s">
        <v>8391</v>
      </c>
      <c r="C8735" s="3" t="str">
        <f>IFERROR(__xludf.DUMMYFUNCTION("GOOGLETRANSLATE(B8735,""id"",""en"")"),"['Expeasing']")</f>
        <v>['Expeasing']</v>
      </c>
      <c r="D8735" s="3">
        <v>5.0</v>
      </c>
    </row>
    <row r="8736" ht="15.75" customHeight="1">
      <c r="A8736" s="1">
        <v>9310.0</v>
      </c>
      <c r="B8736" s="3" t="s">
        <v>8392</v>
      </c>
      <c r="C8736" s="3" t="str">
        <f>IFERROR(__xludf.DUMMYFUNCTION("GOOGLETRANSLATE(B8736,""id"",""en"")"),"['Manatap', 'deh', 'like', ""]")</f>
        <v>['Manatap', 'deh', 'like', "]</v>
      </c>
      <c r="D8736" s="3">
        <v>5.0</v>
      </c>
    </row>
    <row r="8737" ht="15.75" customHeight="1">
      <c r="A8737" s="1">
        <v>9311.0</v>
      </c>
      <c r="B8737" s="3" t="s">
        <v>8393</v>
      </c>
      <c r="C8737" s="3" t="str">
        <f>IFERROR(__xludf.DUMMYFUNCTION("GOOGLETRANSLATE(B8737,""id"",""en"")"),"['Application', 'MyTelkomsel', 'missile', 'opened', 'Install', 'Uninstall', 'screen', 'white', 'visits', 'open', ""]")</f>
        <v>['Application', 'MyTelkomsel', 'missile', 'opened', 'Install', 'Uninstall', 'screen', 'white', 'visits', 'open', "]</v>
      </c>
      <c r="D8737" s="3">
        <v>1.0</v>
      </c>
    </row>
    <row r="8738" ht="15.75" customHeight="1">
      <c r="A8738" s="1">
        <v>9312.0</v>
      </c>
      <c r="B8738" s="3" t="s">
        <v>8394</v>
      </c>
      <c r="C8738" s="3" t="str">
        <f>IFERROR(__xludf.DUMMYFUNCTION("GOOGLETRANSLATE(B8738,""id"",""en"")"),"['application', 'how', 'already', 'times', 'dowlod', 'kaga', 'open', 'please', 'repair', 'explanation']")</f>
        <v>['application', 'how', 'already', 'times', 'dowlod', 'kaga', 'open', 'please', 'repair', 'explanation']</v>
      </c>
      <c r="D8738" s="3">
        <v>1.0</v>
      </c>
    </row>
    <row r="8739" ht="15.75" customHeight="1">
      <c r="A8739" s="1">
        <v>9313.0</v>
      </c>
      <c r="B8739" s="3" t="s">
        <v>8395</v>
      </c>
      <c r="C8739" s="3" t="str">
        <f>IFERROR(__xludf.DUMMYFUNCTION("GOOGLETRANSLATE(B8739,""id"",""en"")"),"['Sometimes',' cheatingan ',' tether ',' officer ',' apk ',' emotion ',' answer ',' run ',' think ',' please ',' donk ',' apk ',' Online ',' at least ',' active ',' bid ',' KNP ',' Karna ',' Blum ',' Details', 'APK', 'Review']")</f>
        <v>['Sometimes',' cheatingan ',' tether ',' officer ',' apk ',' emotion ',' answer ',' run ',' think ',' please ',' donk ',' apk ',' Online ',' at least ',' active ',' bid ',' KNP ',' Karna ',' Blum ',' Details', 'APK', 'Review']</v>
      </c>
      <c r="D8739" s="3">
        <v>1.0</v>
      </c>
    </row>
    <row r="8740" ht="15.75" customHeight="1">
      <c r="A8740" s="1">
        <v>9314.0</v>
      </c>
      <c r="B8740" s="3" t="s">
        <v>8396</v>
      </c>
      <c r="C8740" s="3" t="str">
        <f>IFERROR(__xludf.DUMMYFUNCTION("GOOGLETRANSLATE(B8740,""id"",""en"")"),"['Telkomsel', 'Semakiln', 'Bad', 'The network', 'Telkomsel', 'Search', 'Lucky', 'Thinking', 'Quality', 'Kayak', 'Blek', 'Lion', ' response ',' development ',' ksh ',' star ',' sdg ',' fortunate ',' development ',' tark ',' star ']")</f>
        <v>['Telkomsel', 'Semakiln', 'Bad', 'The network', 'Telkomsel', 'Search', 'Lucky', 'Thinking', 'Quality', 'Kayak', 'Blek', 'Lion', ' response ',' development ',' ksh ',' star ',' sdg ',' fortunate ',' development ',' tark ',' star ']</v>
      </c>
      <c r="D8740" s="3">
        <v>1.0</v>
      </c>
    </row>
    <row r="8741" ht="15.75" customHeight="1">
      <c r="A8741" s="1">
        <v>9315.0</v>
      </c>
      <c r="B8741" s="3" t="s">
        <v>8397</v>
      </c>
      <c r="C8741" s="3" t="str">
        <f>IFERROR(__xludf.DUMMYFUNCTION("GOOGLETRANSLATE(B8741,""id"",""en"")"),"['What', 'write', 'number', 'write', 'Wrong', 'Mulu']")</f>
        <v>['What', 'write', 'number', 'write', 'Wrong', 'Mulu']</v>
      </c>
      <c r="D8741" s="3">
        <v>1.0</v>
      </c>
    </row>
    <row r="8742" ht="15.75" customHeight="1">
      <c r="A8742" s="1">
        <v>9317.0</v>
      </c>
      <c r="B8742" s="3" t="s">
        <v>8398</v>
      </c>
      <c r="C8742" s="3" t="str">
        <f>IFERROR(__xludf.DUMMYFUNCTION("GOOGLETRANSLATE(B8742,""id"",""en"")"),"['Loading', 'application', 'Lambaaaaaattt', 'then', 'buy', 'package', 'quota', 'knp', 'credit', 'reduced', 'use', 'call', ' SMS ',' Bener ',' Bener ',' Transparent ',' Nich ',' Telkomsel ',' ']")</f>
        <v>['Loading', 'application', 'Lambaaaaaattt', 'then', 'buy', 'package', 'quota', 'knp', 'credit', 'reduced', 'use', 'call', ' SMS ',' Bener ',' Bener ',' Transparent ',' Nich ',' Telkomsel ',' ']</v>
      </c>
      <c r="D8742" s="3">
        <v>1.0</v>
      </c>
    </row>
    <row r="8743" ht="15.75" customHeight="1">
      <c r="A8743" s="1">
        <v>9318.0</v>
      </c>
      <c r="B8743" s="3" t="s">
        <v>8399</v>
      </c>
      <c r="C8743" s="3" t="str">
        <f>IFERROR(__xludf.DUMMYFUNCTION("GOOGLETRANSLATE(B8743,""id"",""en"")"),"['Gatau', 'hours', 'slow']")</f>
        <v>['Gatau', 'hours', 'slow']</v>
      </c>
      <c r="D8743" s="3">
        <v>3.0</v>
      </c>
    </row>
    <row r="8744" ht="15.75" customHeight="1">
      <c r="A8744" s="1">
        <v>9319.0</v>
      </c>
      <c r="B8744" s="3" t="s">
        <v>8400</v>
      </c>
      <c r="C8744" s="3" t="str">
        <f>IFERROR(__xludf.DUMMYFUNCTION("GOOGLETRANSLATE(B8744,""id"",""en"")"),"['Sorry', 'love', 'Bintan', 'already', 'tens',' stand up ',' OK ',' The application ',' skrng ',' change ',' change ',' now The application ',' Open ']")</f>
        <v>['Sorry', 'love', 'Bintan', 'already', 'tens',' stand up ',' OK ',' The application ',' skrng ',' change ',' change ',' now The application ',' Open ']</v>
      </c>
      <c r="D8744" s="3">
        <v>3.0</v>
      </c>
    </row>
    <row r="8745" ht="15.75" customHeight="1">
      <c r="A8745" s="1">
        <v>9320.0</v>
      </c>
      <c r="B8745" s="3" t="s">
        <v>8401</v>
      </c>
      <c r="C8745" s="3" t="str">
        <f>IFERROR(__xludf.DUMMYFUNCTION("GOOGLETRANSLATE(B8745,""id"",""en"")"),"['sting', 'satisfied']")</f>
        <v>['sting', 'satisfied']</v>
      </c>
      <c r="D8745" s="3">
        <v>4.0</v>
      </c>
    </row>
    <row r="8746" ht="15.75" customHeight="1">
      <c r="A8746" s="1">
        <v>9321.0</v>
      </c>
      <c r="B8746" s="3" t="s">
        <v>8402</v>
      </c>
      <c r="C8746" s="3" t="str">
        <f>IFERROR(__xludf.DUMMYFUNCTION("GOOGLETRANSLATE(B8746,""id"",""en"")"),"['Practical', 'contents', 'quota']")</f>
        <v>['Practical', 'contents', 'quota']</v>
      </c>
      <c r="D8746" s="3">
        <v>4.0</v>
      </c>
    </row>
    <row r="8747" ht="15.75" customHeight="1">
      <c r="A8747" s="1">
        <v>9322.0</v>
      </c>
      <c r="B8747" s="3" t="s">
        <v>8403</v>
      </c>
      <c r="C8747" s="3" t="str">
        <f>IFERROR(__xludf.DUMMYFUNCTION("GOOGLETRANSLATE(B8747,""id"",""en"")"),"['Price', 'right', 'fast', '']")</f>
        <v>['Price', 'right', 'fast', '']</v>
      </c>
      <c r="D8747" s="3">
        <v>4.0</v>
      </c>
    </row>
    <row r="8748" ht="15.75" customHeight="1">
      <c r="A8748" s="1">
        <v>9323.0</v>
      </c>
      <c r="B8748" s="3" t="s">
        <v>8404</v>
      </c>
      <c r="C8748" s="3" t="str">
        <f>IFERROR(__xludf.DUMMYFUNCTION("GOOGLETRANSLATE(B8748,""id"",""en"")"),"['', 'pulse', 'missing', 'gajelas', 'please', 'responsibility', ""]")</f>
        <v>['', 'pulse', 'missing', 'gajelas', 'please', 'responsibility', "]</v>
      </c>
      <c r="D8748" s="3">
        <v>2.0</v>
      </c>
    </row>
    <row r="8749" ht="15.75" customHeight="1">
      <c r="A8749" s="1">
        <v>9324.0</v>
      </c>
      <c r="B8749" s="3" t="s">
        <v>8405</v>
      </c>
      <c r="C8749" s="3" t="str">
        <f>IFERROR(__xludf.DUMMYFUNCTION("GOOGLETRANSLATE(B8749,""id"",""en"")"),"['Try', 'card', 'Telkomsel', 'good', 'ride', 'star']")</f>
        <v>['Try', 'card', 'Telkomsel', 'good', 'ride', 'star']</v>
      </c>
      <c r="D8749" s="3">
        <v>1.0</v>
      </c>
    </row>
    <row r="8750" ht="15.75" customHeight="1">
      <c r="A8750" s="1">
        <v>9326.0</v>
      </c>
      <c r="B8750" s="3" t="s">
        <v>8406</v>
      </c>
      <c r="C8750" s="3" t="str">
        <f>IFERROR(__xludf.DUMMYFUNCTION("GOOGLETRANSLATE(B8750,""id"",""en"")"),"['BANGJE', 'SLUS', 'Disruption', 'Quota', 'Credit', 'Cutting', 'Quota', 'Udh', 'Expensive', 'Credit', 'I', 'Diporotin', ' Mulu ',' Kek ',' Maling ']")</f>
        <v>['BANGJE', 'SLUS', 'Disruption', 'Quota', 'Credit', 'Cutting', 'Quota', 'Udh', 'Expensive', 'Credit', 'I', 'Diporotin', ' Mulu ',' Kek ',' Maling ']</v>
      </c>
      <c r="D8750" s="3">
        <v>1.0</v>
      </c>
    </row>
    <row r="8751" ht="15.75" customHeight="1">
      <c r="A8751" s="1">
        <v>9327.0</v>
      </c>
      <c r="B8751" s="3" t="s">
        <v>8407</v>
      </c>
      <c r="C8751" s="3" t="str">
        <f>IFERROR(__xludf.DUMMYFUNCTION("GOOGLETRANSLATE(B8751,""id"",""en"")"),"['application', 'damn', 'run out', 'update', 'open', 'big', 'bner', 'update', 'mlh', 'update', 'download', 'buddy', ' MLH ',' Application ',' Open ',' Dizziness', '']")</f>
        <v>['application', 'damn', 'run out', 'update', 'open', 'big', 'bner', 'update', 'mlh', 'update', 'download', 'buddy', ' MLH ',' Application ',' Open ',' Dizziness', '']</v>
      </c>
      <c r="D8751" s="3">
        <v>1.0</v>
      </c>
    </row>
    <row r="8752" ht="15.75" customHeight="1">
      <c r="A8752" s="1">
        <v>9328.0</v>
      </c>
      <c r="B8752" s="3" t="s">
        <v>8408</v>
      </c>
      <c r="C8752" s="3" t="str">
        <f>IFERROR(__xludf.DUMMYFUNCTION("GOOGLETRANSLATE(B8752,""id"",""en"")"),"['Knp', 'Open', '']")</f>
        <v>['Knp', 'Open', '']</v>
      </c>
      <c r="D8752" s="3">
        <v>1.0</v>
      </c>
    </row>
    <row r="8753" ht="15.75" customHeight="1">
      <c r="A8753" s="1">
        <v>9329.0</v>
      </c>
      <c r="B8753" s="3" t="s">
        <v>8409</v>
      </c>
      <c r="C8753" s="3" t="str">
        <f>IFERROR(__xludf.DUMMYFUNCTION("GOOGLETRANSLATE(B8753,""id"",""en"")"),"['Application', 'worn', 'download', 'open', '']")</f>
        <v>['Application', 'worn', 'download', 'open', '']</v>
      </c>
      <c r="D8753" s="3">
        <v>1.0</v>
      </c>
    </row>
    <row r="8754" ht="15.75" customHeight="1">
      <c r="A8754" s="1">
        <v>9330.0</v>
      </c>
      <c r="B8754" s="3" t="s">
        <v>8410</v>
      </c>
      <c r="C8754" s="3" t="str">
        <f>IFERROR(__xludf.DUMMYFUNCTION("GOOGLETRANSLATE(B8754,""id"",""en"")"),"['application', 'open', 'please', 'min', 'fix']")</f>
        <v>['application', 'open', 'please', 'min', 'fix']</v>
      </c>
      <c r="D8754" s="3">
        <v>5.0</v>
      </c>
    </row>
    <row r="8755" ht="15.75" customHeight="1">
      <c r="A8755" s="1">
        <v>9331.0</v>
      </c>
      <c r="B8755" s="3" t="s">
        <v>8411</v>
      </c>
      <c r="C8755" s="3" t="str">
        <f>IFERROR(__xludf.DUMMYFUNCTION("GOOGLETRANSLATE(B8755,""id"",""en"")"),"['Dizzying', 'appears', 'Blank', 'White', 'application', 'ugly', 'already', 'open']")</f>
        <v>['Dizzying', 'appears', 'Blank', 'White', 'application', 'ugly', 'already', 'open']</v>
      </c>
      <c r="D8755" s="3">
        <v>1.0</v>
      </c>
    </row>
    <row r="8756" ht="15.75" customHeight="1">
      <c r="A8756" s="1">
        <v>9333.0</v>
      </c>
      <c r="B8756" s="3" t="s">
        <v>8412</v>
      </c>
      <c r="C8756" s="3" t="str">
        <f>IFERROR(__xludf.DUMMYFUNCTION("GOOGLETRANSLATE(B8756,""id"",""en"")"),"['sucks',' tekomsel ',' opened ',' donlow ',' berred ',' tetep ',' screen ',' white ',' direstr ',' ttp ',' phone ',' tetep ',' blame ',' HP ',' I mean ', ""]")</f>
        <v>['sucks',' tekomsel ',' opened ',' donlow ',' berred ',' tetep ',' screen ',' white ',' direstr ',' ttp ',' phone ',' tetep ',' blame ',' HP ',' I mean ', "]</v>
      </c>
      <c r="D8756" s="3">
        <v>1.0</v>
      </c>
    </row>
    <row r="8757" ht="15.75" customHeight="1">
      <c r="A8757" s="1">
        <v>9334.0</v>
      </c>
      <c r="B8757" s="3" t="s">
        <v>8413</v>
      </c>
      <c r="C8757" s="3" t="str">
        <f>IFERROR(__xludf.DUMMYFUNCTION("GOOGLETRANSLATE(B8757,""id"",""en"")"),"['Woy', 'Telkomsel', 'Open', 'PDHL', 'UDH', 'Keku']")</f>
        <v>['Woy', 'Telkomsel', 'Open', 'PDHL', 'UDH', 'Keku']</v>
      </c>
      <c r="D8757" s="3">
        <v>1.0</v>
      </c>
    </row>
    <row r="8758" ht="15.75" customHeight="1">
      <c r="A8758" s="1">
        <v>9335.0</v>
      </c>
      <c r="B8758" s="3" t="s">
        <v>8414</v>
      </c>
      <c r="C8758" s="3" t="str">
        <f>IFERROR(__xludf.DUMMYFUNCTION("GOOGLETRANSLATE(B8758,""id"",""en"")"),"['Package', 'Promo', 'Customer', 'Telkomsel']")</f>
        <v>['Package', 'Promo', 'Customer', 'Telkomsel']</v>
      </c>
      <c r="D8758" s="3">
        <v>5.0</v>
      </c>
    </row>
    <row r="8759" ht="15.75" customHeight="1">
      <c r="A8759" s="1">
        <v>9336.0</v>
      </c>
      <c r="B8759" s="3" t="s">
        <v>8415</v>
      </c>
      <c r="C8759" s="3" t="str">
        <f>IFERROR(__xludf.DUMMYFUNCTION("GOOGLETRANSLATE(B8759,""id"",""en"")"),"['active']")</f>
        <v>['active']</v>
      </c>
      <c r="D8759" s="3">
        <v>1.0</v>
      </c>
    </row>
    <row r="8760" ht="15.75" customHeight="1">
      <c r="A8760" s="1">
        <v>9337.0</v>
      </c>
      <c r="B8760" s="3" t="s">
        <v>567</v>
      </c>
      <c r="C8760" s="3" t="str">
        <f>IFERROR(__xludf.DUMMYFUNCTION("GOOGLETRANSLATE(B8760,""id"",""en"")"),"['application']")</f>
        <v>['application']</v>
      </c>
      <c r="D8760" s="3">
        <v>5.0</v>
      </c>
    </row>
    <row r="8761" ht="15.75" customHeight="1">
      <c r="A8761" s="1">
        <v>9338.0</v>
      </c>
      <c r="B8761" s="3" t="s">
        <v>8416</v>
      </c>
      <c r="C8761" s="3" t="str">
        <f>IFERROR(__xludf.DUMMYFUNCTION("GOOGLETRANSLATE(B8761,""id"",""en"")"),"['Facilitates', 'BER', 'Transaction', 'Application']")</f>
        <v>['Facilitates', 'BER', 'Transaction', 'Application']</v>
      </c>
      <c r="D8761" s="3">
        <v>5.0</v>
      </c>
    </row>
    <row r="8762" ht="15.75" customHeight="1">
      <c r="A8762" s="1">
        <v>9339.0</v>
      </c>
      <c r="B8762" s="3" t="s">
        <v>8417</v>
      </c>
      <c r="C8762" s="3" t="str">
        <f>IFERROR(__xludf.DUMMYFUNCTION("GOOGLETRANSLATE(B8762,""id"",""en"")"),"['Apply', 'opened', 'check', 'quota', 'pulse', 'difficult']")</f>
        <v>['Apply', 'opened', 'check', 'quota', 'pulse', 'difficult']</v>
      </c>
      <c r="D8762" s="3">
        <v>1.0</v>
      </c>
    </row>
    <row r="8763" ht="15.75" customHeight="1">
      <c r="A8763" s="1">
        <v>9340.0</v>
      </c>
      <c r="B8763" s="3" t="s">
        <v>8418</v>
      </c>
      <c r="C8763" s="3" t="str">
        <f>IFERROR(__xludf.DUMMYFUNCTION("GOOGLETRANSLATE(B8763,""id"",""en"")"),"['Application', 'help', 'buy', 'quota']")</f>
        <v>['Application', 'help', 'buy', 'quota']</v>
      </c>
      <c r="D8763" s="3">
        <v>5.0</v>
      </c>
    </row>
    <row r="8764" ht="15.75" customHeight="1">
      <c r="A8764" s="1">
        <v>9341.0</v>
      </c>
      <c r="B8764" s="3" t="s">
        <v>2108</v>
      </c>
      <c r="C8764" s="3" t="str">
        <f>IFERROR(__xludf.DUMMYFUNCTION("GOOGLETRANSLATE(B8764,""id"",""en"")"),"['Network', 'strong']")</f>
        <v>['Network', 'strong']</v>
      </c>
      <c r="D8764" s="3">
        <v>5.0</v>
      </c>
    </row>
    <row r="8765" ht="15.75" customHeight="1">
      <c r="A8765" s="1">
        <v>9342.0</v>
      </c>
      <c r="B8765" s="3" t="s">
        <v>8419</v>
      </c>
      <c r="C8765" s="3" t="str">
        <f>IFERROR(__xludf.DUMMYFUNCTION("GOOGLETRANSLATE(B8765,""id"",""en"")"),"['hope', 'price', 'down', '']")</f>
        <v>['hope', 'price', 'down', '']</v>
      </c>
      <c r="D8765" s="3">
        <v>5.0</v>
      </c>
    </row>
    <row r="8766" ht="15.75" customHeight="1">
      <c r="A8766" s="1">
        <v>9343.0</v>
      </c>
      <c r="B8766" s="3" t="s">
        <v>8420</v>
      </c>
      <c r="C8766" s="3" t="str">
        <f>IFERROR(__xludf.DUMMYFUNCTION("GOOGLETRANSLATE(B8766,""id"",""en"")"),"['dev', 'please', 'package', 'promo', 'fix', 'buy', 'peket', 'loading', 'enter', 'enter', 'buy', 'please', ' Respond ']")</f>
        <v>['dev', 'please', 'package', 'promo', 'fix', 'buy', 'peket', 'loading', 'enter', 'enter', 'buy', 'please', ' Respond ']</v>
      </c>
      <c r="D8766" s="3">
        <v>1.0</v>
      </c>
    </row>
    <row r="8767" ht="15.75" customHeight="1">
      <c r="A8767" s="1">
        <v>9344.0</v>
      </c>
      <c r="B8767" s="3" t="s">
        <v>8421</v>
      </c>
      <c r="C8767" s="3" t="str">
        <f>IFERROR(__xludf.DUMMYFUNCTION("GOOGLETRANSLATE(B8767,""id"",""en"")"),"['UDH', 'App', 'Telkomsel', 'Dulubuka', 'Ahkir', 'Open', 'appears',' screen ',' white ',' kirain ',' louding ',' Wait ',' Manage ',' that's', 'HPUS', 'APP', 'Download', 'Look', 'See', 'Buy', 'Package', 'Application', 'LSNG', 'Disappointed', 'Tumben' , 'Tu"&amp;"mbenan', 'Telkomsel', 'like', 'gini', 'please', 'help', ""]")</f>
        <v>['UDH', 'App', 'Telkomsel', 'Dulubuka', 'Ahkir', 'Open', 'appears',' screen ',' white ',' kirain ',' louding ',' Wait ',' Manage ',' that's', 'HPUS', 'APP', 'Download', 'Look', 'See', 'Buy', 'Package', 'Application', 'LSNG', 'Disappointed', 'Tumben' , 'Tumbenan', 'Telkomsel', 'like', 'gini', 'please', 'help', "]</v>
      </c>
      <c r="D8767" s="3">
        <v>2.0</v>
      </c>
    </row>
    <row r="8768" ht="15.75" customHeight="1">
      <c r="A8768" s="1">
        <v>9345.0</v>
      </c>
      <c r="B8768" s="3" t="s">
        <v>8422</v>
      </c>
      <c r="C8768" s="3" t="str">
        <f>IFERROR(__xludf.DUMMYFUNCTION("GOOGLETRANSLATE(B8768,""id"",""en"")"),"['already', 'Delete', 'downlod', 'applicture', 'open', 'screen', 'white', 'kayak', 'application', 'obsolete', 'poor', ""]")</f>
        <v>['already', 'Delete', 'downlod', 'applicture', 'open', 'screen', 'white', 'kayak', 'application', 'obsolete', 'poor', "]</v>
      </c>
      <c r="D8768" s="3">
        <v>1.0</v>
      </c>
    </row>
    <row r="8769" ht="15.75" customHeight="1">
      <c r="A8769" s="1">
        <v>9346.0</v>
      </c>
      <c r="B8769" s="3" t="s">
        <v>8423</v>
      </c>
      <c r="C8769" s="3" t="str">
        <f>IFERROR(__xludf.DUMMYFUNCTION("GOOGLETRANSLATE(B8769,""id"",""en"")"),"['kereen', 'expensive']")</f>
        <v>['kereen', 'expensive']</v>
      </c>
      <c r="D8769" s="3">
        <v>5.0</v>
      </c>
    </row>
    <row r="8770" ht="15.75" customHeight="1">
      <c r="A8770" s="1">
        <v>9347.0</v>
      </c>
      <c r="B8770" s="3" t="s">
        <v>8424</v>
      </c>
      <c r="C8770" s="3" t="str">
        <f>IFERROR(__xludf.DUMMYFUNCTION("GOOGLETRANSLATE(B8770,""id"",""en"")"),"['Telkomsel', 'here', 'price', 'package', 'expensive', 'quality', 'network', 'bad', '']")</f>
        <v>['Telkomsel', 'here', 'price', 'package', 'expensive', 'quality', 'network', 'bad', '']</v>
      </c>
      <c r="D8770" s="3">
        <v>2.0</v>
      </c>
    </row>
    <row r="8771" ht="15.75" customHeight="1">
      <c r="A8771" s="1">
        <v>9348.0</v>
      </c>
      <c r="B8771" s="3" t="s">
        <v>8425</v>
      </c>
      <c r="C8771" s="3" t="str">
        <f>IFERROR(__xludf.DUMMYFUNCTION("GOOGLETRANSLATE(B8771,""id"",""en"")"),"['Sis', 'min', 'application', 'open', '']")</f>
        <v>['Sis', 'min', 'application', 'open', '']</v>
      </c>
      <c r="D8771" s="3">
        <v>5.0</v>
      </c>
    </row>
    <row r="8772" ht="15.75" customHeight="1">
      <c r="A8772" s="1">
        <v>9349.0</v>
      </c>
      <c r="B8772" s="3" t="s">
        <v>8426</v>
      </c>
      <c r="C8772" s="3" t="str">
        <f>IFERROR(__xludf.DUMMYFUNCTION("GOOGLETRANSLATE(B8772,""id"",""en"")"),"['Upgrade', 'opened', 'APK', '']")</f>
        <v>['Upgrade', 'opened', 'APK', '']</v>
      </c>
      <c r="D8772" s="3">
        <v>2.0</v>
      </c>
    </row>
    <row r="8773" ht="15.75" customHeight="1">
      <c r="A8773" s="1">
        <v>9350.0</v>
      </c>
      <c r="B8773" s="3" t="s">
        <v>8427</v>
      </c>
      <c r="C8773" s="3" t="str">
        <f>IFERROR(__xludf.DUMMYFUNCTION("GOOGLETRANSLATE(B8773,""id"",""en"")"),"['That's']")</f>
        <v>['That's']</v>
      </c>
      <c r="D8773" s="3">
        <v>5.0</v>
      </c>
    </row>
    <row r="8774" ht="15.75" customHeight="1">
      <c r="A8774" s="1">
        <v>9351.0</v>
      </c>
      <c r="B8774" s="3" t="s">
        <v>8428</v>
      </c>
      <c r="C8774" s="3" t="str">
        <f>IFERROR(__xludf.DUMMYFUNCTION("GOOGLETRANSLATE(B8774,""id"",""en"")"),"['Disappointed', 'Service', 'Telkomsel', 'Signal', 'Consistent', 'Win', 'Price', 'Doank', 'User', 'Telkomsel', 'Please', 'Fix', ' maintenance ',' network ',' love ',' notification ']")</f>
        <v>['Disappointed', 'Service', 'Telkomsel', 'Signal', 'Consistent', 'Win', 'Price', 'Doank', 'User', 'Telkomsel', 'Please', 'Fix', ' maintenance ',' network ',' love ',' notification ']</v>
      </c>
      <c r="D8774" s="3">
        <v>1.0</v>
      </c>
    </row>
    <row r="8775" ht="15.75" customHeight="1">
      <c r="A8775" s="1">
        <v>9352.0</v>
      </c>
      <c r="B8775" s="3" t="s">
        <v>8429</v>
      </c>
      <c r="C8775" s="3" t="str">
        <f>IFERROR(__xludf.DUMMYFUNCTION("GOOGLETRANSLATE(B8775,""id"",""en"")"),"['BNYK', 'promo', 'mnrik']")</f>
        <v>['BNYK', 'promo', 'mnrik']</v>
      </c>
      <c r="D8775" s="3">
        <v>5.0</v>
      </c>
    </row>
    <row r="8776" ht="15.75" customHeight="1">
      <c r="A8776" s="1">
        <v>9353.0</v>
      </c>
      <c r="B8776" s="3" t="s">
        <v>8430</v>
      </c>
      <c r="C8776" s="3" t="str">
        <f>IFERROR(__xludf.DUMMYFUNCTION("GOOGLETRANSLATE(B8776,""id"",""en"")"),"['Jos', '']")</f>
        <v>['Jos', '']</v>
      </c>
      <c r="D8776" s="3">
        <v>5.0</v>
      </c>
    </row>
    <row r="8777" ht="15.75" customHeight="1">
      <c r="A8777" s="1">
        <v>9354.0</v>
      </c>
      <c r="B8777" s="3" t="s">
        <v>8431</v>
      </c>
      <c r="C8777" s="3" t="str">
        <f>IFERROR(__xludf.DUMMYFUNCTION("GOOGLETRANSLATE(B8777,""id"",""en"")"),"['Gara', 'Gara', 'delay', 'right', 'buy', 'quota', 'pulse', 'push', 'times',' experience ',' loss', 'Mending', ' Move ',' operator ',' next door ']")</f>
        <v>['Gara', 'Gara', 'delay', 'right', 'buy', 'quota', 'pulse', 'push', 'times',' experience ',' loss', 'Mending', ' Move ',' operator ',' next door ']</v>
      </c>
      <c r="D8777" s="3">
        <v>1.0</v>
      </c>
    </row>
    <row r="8778" ht="15.75" customHeight="1">
      <c r="A8778" s="1">
        <v>9355.0</v>
      </c>
      <c r="B8778" s="3" t="s">
        <v>8432</v>
      </c>
      <c r="C8778" s="3" t="str">
        <f>IFERROR(__xludf.DUMMYFUNCTION("GOOGLETRANSLATE(B8778,""id"",""en"")"),"['halah', 'opened', 'blas', 'already', 'uninstall', 'stal', 'ulamg', 'tetep', 'opened', '']")</f>
        <v>['halah', 'opened', 'blas', 'already', 'uninstall', 'stal', 'ulamg', 'tetep', 'opened', '']</v>
      </c>
      <c r="D8778" s="3">
        <v>1.0</v>
      </c>
    </row>
    <row r="8779" ht="15.75" customHeight="1">
      <c r="A8779" s="1">
        <v>9356.0</v>
      </c>
      <c r="B8779" s="3" t="s">
        <v>8433</v>
      </c>
      <c r="C8779" s="3" t="str">
        <f>IFERROR(__xludf.DUMMYFUNCTION("GOOGLETRANSLATE(B8779,""id"",""en"")"),"['Application', 'opened', 'blank', 'white', '']")</f>
        <v>['Application', 'opened', 'blank', 'white', '']</v>
      </c>
      <c r="D8779" s="3">
        <v>1.0</v>
      </c>
    </row>
    <row r="8780" ht="15.75" customHeight="1">
      <c r="A8780" s="1">
        <v>9357.0</v>
      </c>
      <c r="B8780" s="3" t="s">
        <v>8434</v>
      </c>
      <c r="C8780" s="3" t="str">
        <f>IFERROR(__xludf.DUMMYFUNCTION("GOOGLETRANSLATE(B8780,""id"",""en"")"),"['What', 'connection', 'Telkomsel', 'Try', 'network', 'slow', 'missing', 'MCM', 'Weather', 'Weather', 'Good', 'Network', ' lost ',' sometimes', 'ngeleg', 'truss',' good ',' really ',' ngeleg ',' please ',' donk ',' may ',' shabby ',' vain ',' wearer ' , '"&amp;"Telkomsel', '']")</f>
        <v>['What', 'connection', 'Telkomsel', 'Try', 'network', 'slow', 'missing', 'MCM', 'Weather', 'Weather', 'Good', 'Network', ' lost ',' sometimes', 'ngeleg', 'truss',' good ',' really ',' ngeleg ',' please ',' donk ',' may ',' shabby ',' vain ',' wearer ' , 'Telkomsel', '']</v>
      </c>
      <c r="D8780" s="3">
        <v>2.0</v>
      </c>
    </row>
    <row r="8781" ht="15.75" customHeight="1">
      <c r="A8781" s="1">
        <v>9358.0</v>
      </c>
      <c r="B8781" s="3" t="s">
        <v>8435</v>
      </c>
      <c r="C8781" s="3" t="str">
        <f>IFERROR(__xludf.DUMMYFUNCTION("GOOGLETRANSLATE(B8781,""id"",""en"")"),"['application', 'open', 'download', 'berapq', 'times', 'delete', 'bukq', 'tetep', '']")</f>
        <v>['application', 'open', 'download', 'berapq', 'times', 'delete', 'bukq', 'tetep', '']</v>
      </c>
      <c r="D8781" s="3">
        <v>1.0</v>
      </c>
    </row>
    <row r="8782" ht="15.75" customHeight="1">
      <c r="A8782" s="1">
        <v>9359.0</v>
      </c>
      <c r="B8782" s="3" t="s">
        <v>8436</v>
      </c>
      <c r="C8782" s="3" t="str">
        <f>IFERROR(__xludf.DUMMYFUNCTION("GOOGLETRANSLATE(B8782,""id"",""en"")"),"['Knp', 'Asked', 'Trus', 'Alithh', 'subscribe', 'Gini', 'then']")</f>
        <v>['Knp', 'Asked', 'Trus', 'Alithh', 'subscribe', 'Gini', 'then']</v>
      </c>
      <c r="D8782" s="3">
        <v>1.0</v>
      </c>
    </row>
    <row r="8783" ht="15.75" customHeight="1">
      <c r="A8783" s="1">
        <v>9360.0</v>
      </c>
      <c r="B8783" s="3" t="s">
        <v>8437</v>
      </c>
      <c r="C8783" s="3" t="str">
        <f>IFERROR(__xludf.DUMMYFUNCTION("GOOGLETRANSLATE(B8783,""id"",""en"")"),"['Anyway', 'Singadalwan', 'number', 'Wahid', 'Network', ""]")</f>
        <v>['Anyway', 'Singadalwan', 'number', 'Wahid', 'Network', "]</v>
      </c>
      <c r="D8783" s="3">
        <v>5.0</v>
      </c>
    </row>
    <row r="8784" ht="15.75" customHeight="1">
      <c r="A8784" s="1">
        <v>9361.0</v>
      </c>
      <c r="B8784" s="3" t="s">
        <v>8438</v>
      </c>
      <c r="C8784" s="3" t="str">
        <f>IFERROR(__xludf.DUMMYFUNCTION("GOOGLETRANSLATE(B8784,""id"",""en"")"),"['bangse', 'fill in', 'pulse', 'leftover', 'quota', 'direct', 'sucked', 'pulses']")</f>
        <v>['bangse', 'fill in', 'pulse', 'leftover', 'quota', 'direct', 'sucked', 'pulses']</v>
      </c>
      <c r="D8784" s="3">
        <v>1.0</v>
      </c>
    </row>
    <row r="8785" ht="15.75" customHeight="1">
      <c r="A8785" s="1">
        <v>9362.0</v>
      </c>
      <c r="B8785" s="3" t="s">
        <v>8439</v>
      </c>
      <c r="C8785" s="3" t="str">
        <f>IFERROR(__xludf.DUMMYFUNCTION("GOOGLETRANSLATE(B8785,""id"",""en"")"),"['NGK', 'Exchange', 'Credit', 'Points', '']")</f>
        <v>['NGK', 'Exchange', 'Credit', 'Points', '']</v>
      </c>
      <c r="D8785" s="3">
        <v>1.0</v>
      </c>
    </row>
    <row r="8786" ht="15.75" customHeight="1">
      <c r="A8786" s="1">
        <v>9363.0</v>
      </c>
      <c r="B8786" s="3" t="s">
        <v>8440</v>
      </c>
      <c r="C8786" s="3" t="str">
        <f>IFERROR(__xludf.DUMMYFUNCTION("GOOGLETRANSLATE(B8786,""id"",""en"")"),"['opened', 'MyTelkomsel', 'screen', 'direct', 'white', 'accessed', '']")</f>
        <v>['opened', 'MyTelkomsel', 'screen', 'direct', 'white', 'accessed', '']</v>
      </c>
      <c r="D8786" s="3">
        <v>3.0</v>
      </c>
    </row>
    <row r="8787" ht="15.75" customHeight="1">
      <c r="A8787" s="1">
        <v>9365.0</v>
      </c>
      <c r="B8787" s="3" t="s">
        <v>351</v>
      </c>
      <c r="C8787" s="3" t="str">
        <f>IFERROR(__xludf.DUMMYFUNCTION("GOOGLETRANSLATE(B8787,""id"",""en"")"),"['Likes', 'APK']")</f>
        <v>['Likes', 'APK']</v>
      </c>
      <c r="D8787" s="3">
        <v>5.0</v>
      </c>
    </row>
    <row r="8788" ht="15.75" customHeight="1">
      <c r="A8788" s="1">
        <v>9366.0</v>
      </c>
      <c r="B8788" s="3" t="s">
        <v>8441</v>
      </c>
      <c r="C8788" s="3" t="str">
        <f>IFERROR(__xludf.DUMMYFUNCTION("GOOGLETRANSLATE(B8788,""id"",""en"")"),"['Eating', 'Telkomsel', 'ugly', 'like', 'use', 'Telkomsel', 'Telkomsel', 'open', 'screen', 'directly', 'White', 'that's',' ']")</f>
        <v>['Eating', 'Telkomsel', 'ugly', 'like', 'use', 'Telkomsel', 'Telkomsel', 'open', 'screen', 'directly', 'White', 'that's',' ']</v>
      </c>
      <c r="D8788" s="3">
        <v>1.0</v>
      </c>
    </row>
    <row r="8789" ht="15.75" customHeight="1">
      <c r="A8789" s="1">
        <v>9367.0</v>
      </c>
      <c r="B8789" s="3" t="s">
        <v>8442</v>
      </c>
      <c r="C8789" s="3" t="str">
        <f>IFERROR(__xludf.DUMMYFUNCTION("GOOGLETRANSLATE(B8789,""id"",""en"")"),"['Download', 'version', 'Latest', 'Stuck', '']")</f>
        <v>['Download', 'version', 'Latest', 'Stuck', '']</v>
      </c>
      <c r="D8789" s="3">
        <v>2.0</v>
      </c>
    </row>
    <row r="8790" ht="15.75" customHeight="1">
      <c r="A8790" s="1">
        <v>9368.0</v>
      </c>
      <c r="B8790" s="3" t="s">
        <v>8443</v>
      </c>
      <c r="C8790" s="3" t="str">
        <f>IFERROR(__xludf.DUMMYFUNCTION("GOOGLETRANSLATE(B8790,""id"",""en"")"),"['package', 'data', 'per month', 'Telkomsel', 'here', 'price', ""]")</f>
        <v>['package', 'data', 'per month', 'Telkomsel', 'here', 'price', "]</v>
      </c>
      <c r="D8790" s="3">
        <v>2.0</v>
      </c>
    </row>
    <row r="8791" ht="15.75" customHeight="1">
      <c r="A8791" s="1">
        <v>9369.0</v>
      </c>
      <c r="B8791" s="3" t="s">
        <v>8444</v>
      </c>
      <c r="C8791" s="3" t="str">
        <f>IFERROR(__xludf.DUMMYFUNCTION("GOOGLETRANSLATE(B8791,""id"",""en"")"),"['times', 'unload', 'pairs', 'change', 'APK', 'bad', 'open']")</f>
        <v>['times', 'unload', 'pairs', 'change', 'APK', 'bad', 'open']</v>
      </c>
      <c r="D8791" s="3">
        <v>1.0</v>
      </c>
    </row>
    <row r="8792" ht="15.75" customHeight="1">
      <c r="A8792" s="1">
        <v>9370.0</v>
      </c>
      <c r="B8792" s="3" t="s">
        <v>8445</v>
      </c>
      <c r="C8792" s="3" t="str">
        <f>IFERROR(__xludf.DUMMYFUNCTION("GOOGLETRANSLATE(B8792,""id"",""en"")"),"['buy', 'quota', 'internet', 'application', 'bnr', 'complicated', 'many years',' telkomsel ',' already ',' beauty ',' buy ',' quota ',' Easy ',' Live ',' Select ',' Ribet ',' Cept ',' Like ',' Get ',' Quota ',' Daily ',' Check ',' Update ',' Application '"&amp;",' Latest ' , 'The application', 'opened', 'already', 'donlod', 'time', 'in', 'a month', 'kirain', 'already', 'deleted', 'then download', ' Opened ',' Tetep ',' Heuuuh ',' Disappointed ',' ']")</f>
        <v>['buy', 'quota', 'internet', 'application', 'bnr', 'complicated', 'many years',' telkomsel ',' already ',' beauty ',' buy ',' quota ',' Easy ',' Live ',' Select ',' Ribet ',' Cept ',' Like ',' Get ',' Quota ',' Daily ',' Check ',' Update ',' Application ',' Latest ' , 'The application', 'opened', 'already', 'donlod', 'time', 'in', 'a month', 'kirain', 'already', 'deleted', 'then download', ' Opened ',' Tetep ',' Heuuuh ',' Disappointed ',' ']</v>
      </c>
      <c r="D8792" s="3">
        <v>1.0</v>
      </c>
    </row>
    <row r="8793" ht="15.75" customHeight="1">
      <c r="A8793" s="1">
        <v>9371.0</v>
      </c>
      <c r="B8793" s="3" t="s">
        <v>8446</v>
      </c>
      <c r="C8793" s="3" t="str">
        <f>IFERROR(__xludf.DUMMYFUNCTION("GOOGLETRANSLATE(B8793,""id"",""en"")"),"['Package', 'Thinking', 'YouTube', 'Debest', 'Very', 'Telkomsel', 'Thanks']")</f>
        <v>['Package', 'Thinking', 'YouTube', 'Debest', 'Very', 'Telkomsel', 'Thanks']</v>
      </c>
      <c r="D8793" s="3">
        <v>4.0</v>
      </c>
    </row>
    <row r="8794" ht="15.75" customHeight="1">
      <c r="A8794" s="1">
        <v>9372.0</v>
      </c>
      <c r="B8794" s="3" t="s">
        <v>8447</v>
      </c>
      <c r="C8794" s="3" t="str">
        <f>IFERROR(__xludf.DUMMYFUNCTION("GOOGLETRANSLATE(B8794,""id"",""en"")"),"['rebet', 'expensive']")</f>
        <v>['rebet', 'expensive']</v>
      </c>
      <c r="D8794" s="3">
        <v>1.0</v>
      </c>
    </row>
    <row r="8795" ht="15.75" customHeight="1">
      <c r="A8795" s="1">
        <v>9373.0</v>
      </c>
      <c r="B8795" s="3" t="s">
        <v>8448</v>
      </c>
      <c r="C8795" s="3" t="str">
        <f>IFERROR(__xludf.DUMMYFUNCTION("GOOGLETRANSLATE(B8795,""id"",""en"")"),"['how', 'turn', 'Abis', 'update', 'opened', 'application', '']")</f>
        <v>['how', 'turn', 'Abis', 'update', 'opened', 'application', '']</v>
      </c>
      <c r="D8795" s="3">
        <v>1.0</v>
      </c>
    </row>
    <row r="8796" ht="15.75" customHeight="1">
      <c r="A8796" s="1">
        <v>9374.0</v>
      </c>
      <c r="B8796" s="3" t="s">
        <v>8449</v>
      </c>
      <c r="C8796" s="3" t="str">
        <f>IFERROR(__xludf.DUMMYFUNCTION("GOOGLETRANSLATE(B8796,""id"",""en"")"),"['', 'Win', 'Satisfied']")</f>
        <v>['', 'Win', 'Satisfied']</v>
      </c>
      <c r="D8796" s="3">
        <v>5.0</v>
      </c>
    </row>
    <row r="8797" ht="15.75" customHeight="1">
      <c r="A8797" s="1">
        <v>9375.0</v>
      </c>
      <c r="B8797" s="3" t="s">
        <v>8450</v>
      </c>
      <c r="C8797" s="3" t="str">
        <f>IFERROR(__xludf.DUMMYFUNCTION("GOOGLETRANSLATE(B8797,""id"",""en"")"),"['Data', 'unlimited']")</f>
        <v>['Data', 'unlimited']</v>
      </c>
      <c r="D8797" s="3">
        <v>1.0</v>
      </c>
    </row>
    <row r="8798" ht="15.75" customHeight="1">
      <c r="A8798" s="1">
        <v>9376.0</v>
      </c>
      <c r="B8798" s="3" t="s">
        <v>8451</v>
      </c>
      <c r="C8798" s="3" t="str">
        <f>IFERROR(__xludf.DUMMYFUNCTION("GOOGLETRANSLATE(B8798,""id"",""en"")"),"['lucky', 'use', 'number', 'sympathy', 'loop', '']")</f>
        <v>['lucky', 'use', 'number', 'sympathy', 'loop', '']</v>
      </c>
      <c r="D8798" s="3">
        <v>5.0</v>
      </c>
    </row>
    <row r="8799" ht="15.75" customHeight="1">
      <c r="A8799" s="1">
        <v>9377.0</v>
      </c>
      <c r="B8799" s="3" t="s">
        <v>8452</v>
      </c>
      <c r="C8799" s="3" t="str">
        <f>IFERROR(__xludf.DUMMYFUNCTION("GOOGLETRANSLATE(B8799,""id"",""en"")"),"['Price', 'Package', 'Internet', 'Telkomsel', 'Promo', 'Thank you', ""]")</f>
        <v>['Price', 'Package', 'Internet', 'Telkomsel', 'Promo', 'Thank you', "]</v>
      </c>
      <c r="D8799" s="3">
        <v>5.0</v>
      </c>
    </row>
    <row r="8800" ht="15.75" customHeight="1">
      <c r="A8800" s="1">
        <v>9378.0</v>
      </c>
      <c r="B8800" s="3" t="s">
        <v>8453</v>
      </c>
      <c r="C8800" s="3" t="str">
        <f>IFERROR(__xludf.DUMMYFUNCTION("GOOGLETRANSLATE(B8800,""id"",""en"")"),"['Good', 'Bngt', 'APK', 'CUS', 'Download']")</f>
        <v>['Good', 'Bngt', 'APK', 'CUS', 'Download']</v>
      </c>
      <c r="D8800" s="3">
        <v>5.0</v>
      </c>
    </row>
    <row r="8801" ht="15.75" customHeight="1">
      <c r="A8801" s="1">
        <v>9379.0</v>
      </c>
      <c r="B8801" s="3" t="s">
        <v>8454</v>
      </c>
      <c r="C8801" s="3" t="str">
        <f>IFERROR(__xludf.DUMMYFUNCTION("GOOGLETRANSLATE(B8801,""id"",""en"")"),"['Thanks', 'BNYK', 'Promoa']")</f>
        <v>['Thanks', 'BNYK', 'Promoa']</v>
      </c>
      <c r="D8801" s="3">
        <v>5.0</v>
      </c>
    </row>
    <row r="8802" ht="15.75" customHeight="1">
      <c r="A8802" s="1">
        <v>9380.0</v>
      </c>
      <c r="B8802" s="3" t="s">
        <v>8455</v>
      </c>
      <c r="C8802" s="3" t="str">
        <f>IFERROR(__xludf.DUMMYFUNCTION("GOOGLETRANSLATE(B8802,""id"",""en"")"),"['right', 'buy', 'package', 'notif', 'system', 'disorder', 'system', 'disorder', 'job', 'admin', 'what' do ',' Forced ',' buy ',' package ',' card ',' counter ',' cellphone ',' ']")</f>
        <v>['right', 'buy', 'package', 'notif', 'system', 'disorder', 'system', 'disorder', 'job', 'admin', 'what' do ',' Forced ',' buy ',' package ',' card ',' counter ',' cellphone ',' ']</v>
      </c>
      <c r="D8802" s="3">
        <v>1.0</v>
      </c>
    </row>
    <row r="8803" ht="15.75" customHeight="1">
      <c r="A8803" s="1">
        <v>9381.0</v>
      </c>
      <c r="B8803" s="3" t="s">
        <v>8456</v>
      </c>
      <c r="C8803" s="3" t="str">
        <f>IFERROR(__xludf.DUMMYFUNCTION("GOOGLETRANSLATE(B8803,""id"",""en"")"),"['Lemmot', 'Application']")</f>
        <v>['Lemmot', 'Application']</v>
      </c>
      <c r="D8803" s="3">
        <v>2.0</v>
      </c>
    </row>
    <row r="8804" ht="15.75" customHeight="1">
      <c r="A8804" s="1">
        <v>9382.0</v>
      </c>
      <c r="B8804" s="3" t="s">
        <v>8457</v>
      </c>
      <c r="C8804" s="3" t="str">
        <f>IFERROR(__xludf.DUMMYFUNCTION("GOOGLETRANSLATE(B8804,""id"",""en"")"),"['package', 'sold', 'person', 'different', 'package', 'expensive', 'number', 'user', 'loyal', 'people', 'no', 'use', ' bad']")</f>
        <v>['package', 'sold', 'person', 'different', 'package', 'expensive', 'number', 'user', 'loyal', 'people', 'no', 'use', ' bad']</v>
      </c>
      <c r="D8804" s="3">
        <v>1.0</v>
      </c>
    </row>
    <row r="8805" ht="15.75" customHeight="1">
      <c r="A8805" s="1">
        <v>9383.0</v>
      </c>
      <c r="B8805" s="3" t="s">
        <v>8458</v>
      </c>
      <c r="C8805" s="3" t="str">
        <f>IFERROR(__xludf.DUMMYFUNCTION("GOOGLETRANSLATE(B8805,""id"",""en"")"),"['Love', 'discount', 'min', 'xixixi', '']")</f>
        <v>['Love', 'discount', 'min', 'xixixi', '']</v>
      </c>
      <c r="D8805" s="3">
        <v>5.0</v>
      </c>
    </row>
    <row r="8806" ht="15.75" customHeight="1">
      <c r="A8806" s="1">
        <v>9384.0</v>
      </c>
      <c r="B8806" s="3" t="s">
        <v>8459</v>
      </c>
      <c r="C8806" s="3" t="str">
        <f>IFERROR(__xludf.DUMMYFUNCTION("GOOGLETRANSLATE(B8806,""id"",""en"")"),"['Telkomsel', 'pig', 'Maen', 'game', 'signal', 'red', 'right', 'out', 'game', 'stable', 'kenceng', 'pig', ' Perek ',' Monkey ',' ASSU ']")</f>
        <v>['Telkomsel', 'pig', 'Maen', 'game', 'signal', 'red', 'right', 'out', 'game', 'stable', 'kenceng', 'pig', ' Perek ',' Monkey ',' ASSU ']</v>
      </c>
      <c r="D8806" s="3">
        <v>1.0</v>
      </c>
    </row>
    <row r="8807" ht="15.75" customHeight="1">
      <c r="A8807" s="1">
        <v>9385.0</v>
      </c>
      <c r="B8807" s="3" t="s">
        <v>8460</v>
      </c>
      <c r="C8807" s="3" t="str">
        <f>IFERROR(__xludf.DUMMYFUNCTION("GOOGLETRANSLATE(B8807,""id"",""en"")"),"['No', 'Open', 'Sis']")</f>
        <v>['No', 'Open', 'Sis']</v>
      </c>
      <c r="D8807" s="3">
        <v>1.0</v>
      </c>
    </row>
    <row r="8808" ht="15.75" customHeight="1">
      <c r="A8808" s="1">
        <v>9386.0</v>
      </c>
      <c r="B8808" s="3" t="s">
        <v>8461</v>
      </c>
      <c r="C8808" s="3" t="str">
        <f>IFERROR(__xludf.DUMMYFUNCTION("GOOGLETRANSLATE(B8808,""id"",""en"")"),"['Application', 'Useful', 'Download', 'Enter', 'Ngeblank', 'White', 'Enter', 'Ngejin', 'People', 'Ggerrrr']")</f>
        <v>['Application', 'Useful', 'Download', 'Enter', 'Ngeblank', 'White', 'Enter', 'Ngejin', 'People', 'Ggerrrr']</v>
      </c>
      <c r="D8808" s="3">
        <v>1.0</v>
      </c>
    </row>
    <row r="8809" ht="15.75" customHeight="1">
      <c r="A8809" s="1">
        <v>9387.0</v>
      </c>
      <c r="B8809" s="3" t="s">
        <v>8462</v>
      </c>
      <c r="C8809" s="3" t="str">
        <f>IFERROR(__xludf.DUMMYFUNCTION("GOOGLETRANSLATE(B8809,""id"",""en"")"),"['Opened', 'The application']")</f>
        <v>['Opened', 'The application']</v>
      </c>
      <c r="D8809" s="3">
        <v>1.0</v>
      </c>
    </row>
    <row r="8810" ht="15.75" customHeight="1">
      <c r="A8810" s="1">
        <v>9388.0</v>
      </c>
      <c r="B8810" s="3" t="s">
        <v>8463</v>
      </c>
      <c r="C8810" s="3" t="str">
        <f>IFERROR(__xludf.DUMMYFUNCTION("GOOGLETRANSLATE(B8810,""id"",""en"")"),"['base', 'animal', 'application', 'ngak', 'open', 'then' deleted ',' installed ',' reset ',' pulse ',' filled ',' sucked ',' package ',' ngak ',' extended ',' loding ',' mulu ',' it's good ',' stop ',' apikasih ',' improved ',' decline ',' ane ']")</f>
        <v>['base', 'animal', 'application', 'ngak', 'open', 'then' deleted ',' installed ',' reset ',' pulse ',' filled ',' sucked ',' package ',' ngak ',' extended ',' loding ',' mulu ',' it's good ',' stop ',' apikasih ',' improved ',' decline ',' ane ']</v>
      </c>
      <c r="D8810" s="3">
        <v>1.0</v>
      </c>
    </row>
    <row r="8811" ht="15.75" customHeight="1">
      <c r="A8811" s="1">
        <v>9389.0</v>
      </c>
      <c r="B8811" s="3" t="s">
        <v>8464</v>
      </c>
      <c r="C8811" s="3" t="str">
        <f>IFERROR(__xludf.DUMMYFUNCTION("GOOGLETRANSLATE(B8811,""id"",""en"")"),"['Network', 'Tabok', 'Lemot', 'Parahhh']")</f>
        <v>['Network', 'Tabok', 'Lemot', 'Parahhh']</v>
      </c>
      <c r="D8811" s="3">
        <v>1.0</v>
      </c>
    </row>
    <row r="8812" ht="15.75" customHeight="1">
      <c r="A8812" s="1">
        <v>9390.0</v>
      </c>
      <c r="B8812" s="3" t="s">
        <v>8465</v>
      </c>
      <c r="C8812" s="3" t="str">
        <f>IFERROR(__xludf.DUMMYFUNCTION("GOOGLETRANSLATE(B8812,""id"",""en"")"),"['The application', 'Bgus', 'Bngt', 'SNGT', 'Mobile', '']")</f>
        <v>['The application', 'Bgus', 'Bngt', 'SNGT', 'Mobile', '']</v>
      </c>
      <c r="D8812" s="3">
        <v>5.0</v>
      </c>
    </row>
    <row r="8813" ht="15.75" customHeight="1">
      <c r="A8813" s="1">
        <v>9391.0</v>
      </c>
      <c r="B8813" s="3" t="s">
        <v>8466</v>
      </c>
      <c r="C8813" s="3" t="str">
        <f>IFERROR(__xludf.DUMMYFUNCTION("GOOGLETRANSLATE(B8813,""id"",""en"")"),"['connection', 'fast', 'price', 'friendly']")</f>
        <v>['connection', 'fast', 'price', 'friendly']</v>
      </c>
      <c r="D8813" s="3">
        <v>5.0</v>
      </c>
    </row>
    <row r="8814" ht="15.75" customHeight="1">
      <c r="A8814" s="1">
        <v>9392.0</v>
      </c>
      <c r="B8814" s="3" t="s">
        <v>8467</v>
      </c>
      <c r="C8814" s="3" t="str">
        <f>IFERROR(__xludf.DUMMYFUNCTION("GOOGLETRANSLATE(B8814,""id"",""en"")"),"['application', 'MyTelkomsel', 'opened', 'screen', 'white', 'blank', 'force', 'close', 'class',' child ',' company ',' BUMN ',' Koq ',' gini ',' embarrassing ', ""]")</f>
        <v>['application', 'MyTelkomsel', 'opened', 'screen', 'white', 'blank', 'force', 'close', 'class',' child ',' company ',' BUMN ',' Koq ',' gini ',' embarrassing ', "]</v>
      </c>
      <c r="D8814" s="3">
        <v>1.0</v>
      </c>
    </row>
    <row r="8815" ht="15.75" customHeight="1">
      <c r="A8815" s="1">
        <v>9393.0</v>
      </c>
      <c r="B8815" s="3" t="s">
        <v>8468</v>
      </c>
      <c r="C8815" s="3" t="str">
        <f>IFERROR(__xludf.DUMMYFUNCTION("GOOGLETRANSLATE(B8815,""id"",""en"")"),"['How', 'Download', 'Open', 'Qda', 'Screen', 'White', 'Enter', 'Telkomsel', 'Helpx']")</f>
        <v>['How', 'Download', 'Open', 'Qda', 'Screen', 'White', 'Enter', 'Telkomsel', 'Helpx']</v>
      </c>
      <c r="D8815" s="3">
        <v>5.0</v>
      </c>
    </row>
    <row r="8816" ht="15.75" customHeight="1">
      <c r="A8816" s="1">
        <v>9394.0</v>
      </c>
      <c r="B8816" s="3" t="s">
        <v>8469</v>
      </c>
      <c r="C8816" s="3" t="str">
        <f>IFERROR(__xludf.DUMMYFUNCTION("GOOGLETRANSLATE(B8816,""id"",""en"")"),"['Application', 'Blank', 'White', 'Doang', 'UDH', 'A Week', 'Action', 'Hellow', ""]")</f>
        <v>['Application', 'Blank', 'White', 'Doang', 'UDH', 'A Week', 'Action', 'Hellow', "]</v>
      </c>
      <c r="D8816" s="3">
        <v>1.0</v>
      </c>
    </row>
    <row r="8817" ht="15.75" customHeight="1">
      <c r="A8817" s="1">
        <v>9395.0</v>
      </c>
      <c r="B8817" s="3" t="s">
        <v>8470</v>
      </c>
      <c r="C8817" s="3" t="str">
        <f>IFERROR(__xludf.DUMMYFUNCTION("GOOGLETRANSLATE(B8817,""id"",""en"")"),"['Myity', 'Telkomsel', 'already', 'update', 'no', 'opened', 'GMANA', 'Min', ""]")</f>
        <v>['Myity', 'Telkomsel', 'already', 'update', 'no', 'opened', 'GMANA', 'Min', "]</v>
      </c>
      <c r="D8817" s="3">
        <v>2.0</v>
      </c>
    </row>
    <row r="8818" ht="15.75" customHeight="1">
      <c r="A8818" s="1">
        <v>9396.0</v>
      </c>
      <c r="B8818" s="3" t="s">
        <v>8471</v>
      </c>
      <c r="C8818" s="3" t="str">
        <f>IFERROR(__xludf.DUMMYFUNCTION("GOOGLETRANSLATE(B8818,""id"",""en"")"),"['The application', 'dilapidated', 'update', 'I', 'skip', 'now', 'I', 'update', 'no', 'open', 'Original', 'Telkomsel', ' no ',' package ',' doang ',' expensive ',' signal ',' down ',' already ',' that's', 'the application', 'error', 'mulu', 'fix', 'min' ,"&amp;" 'Move', 'Operator']")</f>
        <v>['The application', 'dilapidated', 'update', 'I', 'skip', 'now', 'I', 'update', 'no', 'open', 'Original', 'Telkomsel', ' no ',' package ',' doang ',' expensive ',' signal ',' down ',' already ',' that's', 'the application', 'error', 'mulu', 'fix', 'min' , 'Move', 'Operator']</v>
      </c>
      <c r="D8818" s="3">
        <v>1.0</v>
      </c>
    </row>
    <row r="8819" ht="15.75" customHeight="1">
      <c r="A8819" s="1">
        <v>9397.0</v>
      </c>
      <c r="B8819" s="3" t="s">
        <v>8472</v>
      </c>
      <c r="C8819" s="3" t="str">
        <f>IFERROR(__xludf.DUMMYFUNCTION("GOOGLETRANSLATE(B8819,""id"",""en"")"),"['price', 'package', 'expensive', 'network', 'slow', 'really', 'slow', 'price', 'expensive', 'baguses', 'network', 'slow']")</f>
        <v>['price', 'package', 'expensive', 'network', 'slow', 'really', 'slow', 'price', 'expensive', 'baguses', 'network', 'slow']</v>
      </c>
      <c r="D8819" s="3">
        <v>1.0</v>
      </c>
    </row>
    <row r="8820" ht="15.75" customHeight="1">
      <c r="A8820" s="1">
        <v>9398.0</v>
      </c>
      <c r="B8820" s="3" t="s">
        <v>8473</v>
      </c>
      <c r="C8820" s="3" t="str">
        <f>IFERROR(__xludf.DUMMYFUNCTION("GOOGLETRANSLATE(B8820,""id"",""en"")"),"['application', 'opened', 'download', 'application', 'screen', 'white', 'doang', 'download', 'telkomsel', 'download', 'display', 'screen', ' White ',' company ',' Telkomsel ',' The application ',' Kayak ',' Gini ',' Shy ',' Provider ',' Next to ',' Rates'"&amp;", 'Expensive', 'complete', ""]")</f>
        <v>['application', 'opened', 'download', 'application', 'screen', 'white', 'doang', 'download', 'telkomsel', 'download', 'display', 'screen', ' White ',' company ',' Telkomsel ',' The application ',' Kayak ',' Gini ',' Shy ',' Provider ',' Next to ',' Rates', 'Expensive', 'complete', "]</v>
      </c>
      <c r="D8820" s="3">
        <v>1.0</v>
      </c>
    </row>
    <row r="8821" ht="15.75" customHeight="1">
      <c r="A8821" s="1">
        <v>9399.0</v>
      </c>
      <c r="B8821" s="3" t="s">
        <v>8474</v>
      </c>
      <c r="C8821" s="3" t="str">
        <f>IFERROR(__xludf.DUMMYFUNCTION("GOOGLETRANSLATE(B8821,""id"",""en"")"),"['Application', 'Download', 'Ngak', 'Open', 'Please', 'Fix', '']")</f>
        <v>['Application', 'Download', 'Ngak', 'Open', 'Please', 'Fix', '']</v>
      </c>
      <c r="D8821" s="3">
        <v>3.0</v>
      </c>
    </row>
    <row r="8822" ht="15.75" customHeight="1">
      <c r="A8822" s="1">
        <v>9400.0</v>
      </c>
      <c r="B8822" s="3" t="s">
        <v>8475</v>
      </c>
      <c r="C8822" s="3" t="str">
        <f>IFERROR(__xludf.DUMMYFUNCTION("GOOGLETRANSLATE(B8822,""id"",""en"")"),"['already', 'download', 'times', 'white', 'already', 'GraPARI', 'Telkomsel', 'Balaraja', 'obstacles', 'news', ""]")</f>
        <v>['already', 'download', 'times', 'white', 'already', 'GraPARI', 'Telkomsel', 'Balaraja', 'obstacles', 'news', "]</v>
      </c>
      <c r="D8822" s="3">
        <v>1.0</v>
      </c>
    </row>
    <row r="8823" ht="15.75" customHeight="1">
      <c r="A8823" s="1">
        <v>9401.0</v>
      </c>
      <c r="B8823" s="3" t="s">
        <v>8476</v>
      </c>
      <c r="C8823" s="3" t="str">
        <f>IFERROR(__xludf.DUMMYFUNCTION("GOOGLETRANSLATE(B8823,""id"",""en"")"),"['ugly', 'app', 'Telkomsel', 'open', 'like', 'update', 'open', '']")</f>
        <v>['ugly', 'app', 'Telkomsel', 'open', 'like', 'update', 'open', '']</v>
      </c>
      <c r="D8823" s="3">
        <v>1.0</v>
      </c>
    </row>
    <row r="8824" ht="15.75" customHeight="1">
      <c r="A8824" s="1">
        <v>9402.0</v>
      </c>
      <c r="B8824" s="3" t="s">
        <v>5285</v>
      </c>
      <c r="C8824" s="3" t="str">
        <f>IFERROR(__xludf.DUMMYFUNCTION("GOOGLETRANSLATE(B8824,""id"",""en"")"),"['inexpensive']")</f>
        <v>['inexpensive']</v>
      </c>
      <c r="D8824" s="3">
        <v>5.0</v>
      </c>
    </row>
    <row r="8825" ht="15.75" customHeight="1">
      <c r="A8825" s="1">
        <v>9403.0</v>
      </c>
      <c r="B8825" s="3" t="s">
        <v>8477</v>
      </c>
      <c r="C8825" s="3" t="str">
        <f>IFERROR(__xludf.DUMMYFUNCTION("GOOGLETRANSLATE(B8825,""id"",""en"")"),"['APL', 'strange', 'MSA', 'update', 'bsa', 'dibka', 'lgi', ""]")</f>
        <v>['APL', 'strange', 'MSA', 'update', 'bsa', 'dibka', 'lgi', "]</v>
      </c>
      <c r="D8825" s="3">
        <v>1.0</v>
      </c>
    </row>
    <row r="8826" ht="15.75" customHeight="1">
      <c r="A8826" s="1">
        <v>9404.0</v>
      </c>
      <c r="B8826" s="3" t="s">
        <v>8478</v>
      </c>
      <c r="C8826" s="3" t="str">
        <f>IFERROR(__xludf.DUMMYFUNCTION("GOOGLETRANSLATE(B8826,""id"",""en"")"),"['right', 'open', 'application', 'nge', 'blank', 'click', 'like', 'nge', 'hank']")</f>
        <v>['right', 'open', 'application', 'nge', 'blank', 'click', 'like', 'nge', 'hank']</v>
      </c>
      <c r="D8826" s="3">
        <v>1.0</v>
      </c>
    </row>
    <row r="8827" ht="15.75" customHeight="1">
      <c r="A8827" s="1">
        <v>9405.0</v>
      </c>
      <c r="B8827" s="3" t="s">
        <v>8479</v>
      </c>
      <c r="C8827" s="3" t="str">
        <f>IFERROR(__xludf.DUMMYFUNCTION("GOOGLETRANSLATE(B8827,""id"",""en"")"),"['Open', 'screen', 'white']")</f>
        <v>['Open', 'screen', 'white']</v>
      </c>
      <c r="D8827" s="3">
        <v>3.0</v>
      </c>
    </row>
    <row r="8828" ht="15.75" customHeight="1">
      <c r="A8828" s="1">
        <v>9407.0</v>
      </c>
      <c r="B8828" s="3" t="s">
        <v>8480</v>
      </c>
      <c r="C8828" s="3" t="str">
        <f>IFERROR(__xludf.DUMMYFUNCTION("GOOGLETRANSLATE(B8828,""id"",""en"")"),"['Laterni', 'Leler', 'Network', 'Region', 'Kuala', 'Tanjung', 'Batu', 'Bara']")</f>
        <v>['Laterni', 'Leler', 'Network', 'Region', 'Kuala', 'Tanjung', 'Batu', 'Bara']</v>
      </c>
      <c r="D8828" s="3">
        <v>4.0</v>
      </c>
    </row>
    <row r="8829" ht="15.75" customHeight="1">
      <c r="A8829" s="1">
        <v>9408.0</v>
      </c>
      <c r="B8829" s="3" t="s">
        <v>8481</v>
      </c>
      <c r="C8829" s="3" t="str">
        <f>IFERROR(__xludf.DUMMYFUNCTION("GOOGLETRANSLATE(B8829,""id"",""en"")"),"['Applakkannya', 'jdi', 'ugly', 'update', 'turn', 'open', 'nggk', 'open']")</f>
        <v>['Applakkannya', 'jdi', 'ugly', 'update', 'turn', 'open', 'nggk', 'open']</v>
      </c>
      <c r="D8829" s="3">
        <v>1.0</v>
      </c>
    </row>
    <row r="8830" ht="15.75" customHeight="1">
      <c r="A8830" s="1">
        <v>9409.0</v>
      </c>
      <c r="B8830" s="3" t="s">
        <v>2929</v>
      </c>
      <c r="C8830" s="3" t="str">
        <f>IFERROR(__xludf.DUMMYFUNCTION("GOOGLETRANSLATE(B8830,""id"",""en"")"),"['Update', 'opened', '']")</f>
        <v>['Update', 'opened', '']</v>
      </c>
      <c r="D8830" s="3">
        <v>1.0</v>
      </c>
    </row>
    <row r="8831" ht="15.75" customHeight="1">
      <c r="A8831" s="1">
        <v>9410.0</v>
      </c>
      <c r="B8831" s="3" t="s">
        <v>8482</v>
      </c>
      <c r="C8831" s="3" t="str">
        <f>IFERROR(__xludf.DUMMYFUNCTION("GOOGLETRANSLATE(B8831,""id"",""en"")"),"['Mantab', 'promo', 'package', 'phone', 'cheap', 'lahhh', 'yaaa']")</f>
        <v>['Mantab', 'promo', 'package', 'phone', 'cheap', 'lahhh', 'yaaa']</v>
      </c>
      <c r="D8831" s="3">
        <v>5.0</v>
      </c>
    </row>
    <row r="8832" ht="15.75" customHeight="1">
      <c r="A8832" s="1">
        <v>9411.0</v>
      </c>
      <c r="B8832" s="3" t="s">
        <v>8483</v>
      </c>
      <c r="C8832" s="3" t="str">
        <f>IFERROR(__xludf.DUMMYFUNCTION("GOOGLETRANSLATE(B8832,""id"",""en"")"),"['poor', 'open']")</f>
        <v>['poor', 'open']</v>
      </c>
      <c r="D8832" s="3">
        <v>1.0</v>
      </c>
    </row>
    <row r="8833" ht="15.75" customHeight="1">
      <c r="A8833" s="1">
        <v>9412.0</v>
      </c>
      <c r="B8833" s="3" t="s">
        <v>8484</v>
      </c>
      <c r="C8833" s="3" t="str">
        <f>IFERROR(__xludf.DUMMYFUNCTION("GOOGLETRANSLATE(B8833,""id"",""en"")"),"['times', 'download', 'ngak', 'opened', 'uninstall', '']")</f>
        <v>['times', 'download', 'ngak', 'opened', 'uninstall', '']</v>
      </c>
      <c r="D8833" s="3">
        <v>2.0</v>
      </c>
    </row>
    <row r="8834" ht="15.75" customHeight="1">
      <c r="A8834" s="1">
        <v>9413.0</v>
      </c>
      <c r="B8834" s="3" t="s">
        <v>8485</v>
      </c>
      <c r="C8834" s="3" t="str">
        <f>IFERROR(__xludf.DUMMYFUNCTION("GOOGLETRANSLATE(B8834,""id"",""en"")"),"['good', 'in the past', 'pandemic', 'kouta', 'economical', 'that's',' active ',' price ',' low ',' package ',' telkomsel ',' dreduk ',' Benefits', 'Doang', '']")</f>
        <v>['good', 'in the past', 'pandemic', 'kouta', 'economical', 'that's',' active ',' price ',' low ',' package ',' telkomsel ',' dreduk ',' Benefits', 'Doang', '']</v>
      </c>
      <c r="D8834" s="3">
        <v>5.0</v>
      </c>
    </row>
    <row r="8835" ht="15.75" customHeight="1">
      <c r="A8835" s="1">
        <v>9414.0</v>
      </c>
      <c r="B8835" s="3" t="s">
        <v>8486</v>
      </c>
      <c r="C8835" s="3" t="str">
        <f>IFERROR(__xludf.DUMMYFUNCTION("GOOGLETRANSLATE(B8835,""id"",""en"")"),"['Bgus', 'bnget', 'application', 'can', 'dpat', 'pket', 'bnyak', 'promo', 'mnarik', 'tngkan', 'lgi', ""]")</f>
        <v>['Bgus', 'bnget', 'application', 'can', 'dpat', 'pket', 'bnyak', 'promo', 'mnarik', 'tngkan', 'lgi', "]</v>
      </c>
      <c r="D8835" s="3">
        <v>4.0</v>
      </c>
    </row>
    <row r="8836" ht="15.75" customHeight="1">
      <c r="A8836" s="1">
        <v>9415.0</v>
      </c>
      <c r="B8836" s="3" t="s">
        <v>8487</v>
      </c>
      <c r="C8836" s="3" t="str">
        <f>IFERROR(__xludf.DUMMYFUNCTION("GOOGLETRANSLATE(B8836,""id"",""en"")"),"['internet', 'price', 'hoax', 'click', 'buy', 'always',' disappear ',' zonk ',' telomsel ',' joking ',' funny ',' funny ',' ']")</f>
        <v>['internet', 'price', 'hoax', 'click', 'buy', 'always',' disappear ',' zonk ',' telomsel ',' joking ',' funny ',' funny ',' ']</v>
      </c>
      <c r="D8836" s="3">
        <v>5.0</v>
      </c>
    </row>
    <row r="8837" ht="15.75" customHeight="1">
      <c r="A8837" s="1">
        <v>9416.0</v>
      </c>
      <c r="B8837" s="3" t="s">
        <v>8488</v>
      </c>
      <c r="C8837" s="3" t="str">
        <f>IFERROR(__xludf.DUMMYFUNCTION("GOOGLETRANSLATE(B8837,""id"",""en"")"),"['knapa', 'signal', 'telkomsell', 'klw', 'weather', 'rain', 'atw', 'weather', 'mndung', 'like', 'signal', 'pdhll', ' Kluarga ',' already ',' Telkomsel ',' TTP ',' signal ',' slow ',' beg ',' repair ',' Telkomsel ',' network ',' trimakasih ', ""]")</f>
        <v>['knapa', 'signal', 'telkomsell', 'klw', 'weather', 'rain', 'atw', 'weather', 'mndung', 'like', 'signal', 'pdhll', ' Kluarga ',' already ',' Telkomsel ',' TTP ',' signal ',' slow ',' beg ',' repair ',' Telkomsel ',' network ',' trimakasih ', "]</v>
      </c>
      <c r="D8837" s="3">
        <v>2.0</v>
      </c>
    </row>
    <row r="8838" ht="15.75" customHeight="1">
      <c r="A8838" s="1">
        <v>9418.0</v>
      </c>
      <c r="B8838" s="3" t="s">
        <v>8489</v>
      </c>
      <c r="C8838" s="3" t="str">
        <f>IFERROR(__xludf.DUMMYFUNCTION("GOOGLETRANSLATE(B8838,""id"",""en"")"),"['Practical', 'use', 'riber']")</f>
        <v>['Practical', 'use', 'riber']</v>
      </c>
      <c r="D8838" s="3">
        <v>5.0</v>
      </c>
    </row>
    <row r="8839" ht="15.75" customHeight="1">
      <c r="A8839" s="1">
        <v>9419.0</v>
      </c>
      <c r="B8839" s="3" t="s">
        <v>8490</v>
      </c>
      <c r="C8839" s="3" t="str">
        <f>IFERROR(__xludf.DUMMYFUNCTION("GOOGLETRANSLATE(B8839,""id"",""en"")"),"['Good', 'makes it easy']")</f>
        <v>['Good', 'makes it easy']</v>
      </c>
      <c r="D8839" s="3">
        <v>4.0</v>
      </c>
    </row>
    <row r="8840" ht="15.75" customHeight="1">
      <c r="A8840" s="1">
        <v>9420.0</v>
      </c>
      <c r="B8840" s="3" t="s">
        <v>8491</v>
      </c>
      <c r="C8840" s="3" t="str">
        <f>IFERROR(__xludf.DUMMYFUNCTION("GOOGLETRANSLATE(B8840,""id"",""en"")"),"['Help', 'darling', 'card', 'promo', 'package', 'cheap', 'min', '']")</f>
        <v>['Help', 'darling', 'card', 'promo', 'package', 'cheap', 'min', '']</v>
      </c>
      <c r="D8840" s="3">
        <v>5.0</v>
      </c>
    </row>
    <row r="8841" ht="15.75" customHeight="1">
      <c r="A8841" s="1">
        <v>9421.0</v>
      </c>
      <c r="B8841" s="3" t="s">
        <v>8492</v>
      </c>
      <c r="C8841" s="3" t="str">
        <f>IFERROR(__xludf.DUMMYFUNCTION("GOOGLETRANSLATE(B8841,""id"",""en"")"),"['Telkomsel', 'choice', 'best']")</f>
        <v>['Telkomsel', 'choice', 'best']</v>
      </c>
      <c r="D8841" s="3">
        <v>5.0</v>
      </c>
    </row>
    <row r="8842" ht="15.75" customHeight="1">
      <c r="A8842" s="1">
        <v>9422.0</v>
      </c>
      <c r="B8842" s="3" t="s">
        <v>8493</v>
      </c>
      <c r="C8842" s="3" t="str">
        <f>IFERROR(__xludf.DUMMYFUNCTION("GOOGLETRANSLATE(B8842,""id"",""en"")"),"['Please', 'Telkomsel', 'Application', 'Fix', 'Knp', 'Skrng', 'Telkomsel', 'Open', 'Violence', 'Faithful', 'Telkomsel', ""]")</f>
        <v>['Please', 'Telkomsel', 'Application', 'Fix', 'Knp', 'Skrng', 'Telkomsel', 'Open', 'Violence', 'Faithful', 'Telkomsel', "]</v>
      </c>
      <c r="D8842" s="3">
        <v>5.0</v>
      </c>
    </row>
    <row r="8843" ht="15.75" customHeight="1">
      <c r="A8843" s="1">
        <v>9423.0</v>
      </c>
      <c r="B8843" s="3" t="s">
        <v>8494</v>
      </c>
      <c r="C8843" s="3" t="str">
        <f>IFERROR(__xludf.DUMMYFUNCTION("GOOGLETRANSLATE(B8843,""id"",""en"")"),"['quality', 'signal', 'internet', 'smakin', 'bad', 'skrg', 'hrus',' kluar ',' rmh ',' dlu ',' bru ',' can ',' Signal ',' ']")</f>
        <v>['quality', 'signal', 'internet', 'smakin', 'bad', 'skrg', 'hrus',' kluar ',' rmh ',' dlu ',' bru ',' can ',' Signal ',' ']</v>
      </c>
      <c r="D8843" s="3">
        <v>2.0</v>
      </c>
    </row>
    <row r="8844" ht="15.75" customHeight="1">
      <c r="A8844" s="1">
        <v>9424.0</v>
      </c>
      <c r="B8844" s="3" t="s">
        <v>2108</v>
      </c>
      <c r="C8844" s="3" t="str">
        <f>IFERROR(__xludf.DUMMYFUNCTION("GOOGLETRANSLATE(B8844,""id"",""en"")"),"['Network', 'strong']")</f>
        <v>['Network', 'strong']</v>
      </c>
      <c r="D8844" s="3">
        <v>5.0</v>
      </c>
    </row>
    <row r="8845" ht="15.75" customHeight="1">
      <c r="A8845" s="1">
        <v>9425.0</v>
      </c>
      <c r="B8845" s="3" t="s">
        <v>8495</v>
      </c>
      <c r="C8845" s="3" t="str">
        <f>IFERROR(__xludf.DUMMYFUNCTION("GOOGLETRANSLATE(B8845,""id"",""en"")"),"['', 'Open', 'times', 'Download', 'Tetep', 'Open']")</f>
        <v>['', 'Open', 'times', 'Download', 'Tetep', 'Open']</v>
      </c>
      <c r="D8845" s="3">
        <v>1.0</v>
      </c>
    </row>
    <row r="8846" ht="15.75" customHeight="1">
      <c r="A8846" s="1">
        <v>9426.0</v>
      </c>
      <c r="B8846" s="3" t="s">
        <v>8496</v>
      </c>
      <c r="C8846" s="3" t="str">
        <f>IFERROR(__xludf.DUMMYFUNCTION("GOOGLETRANSLATE(B8846,""id"",""en"")"),"['updated', 'bukabaaaaaaaa', 'aaaaaa', 'Applikasine', 'SNGTTTTTTT', 'bad']")</f>
        <v>['updated', 'bukabaaaaaaaa', 'aaaaaa', 'Applikasine', 'SNGTTTTTTT', 'bad']</v>
      </c>
      <c r="D8846" s="3">
        <v>1.0</v>
      </c>
    </row>
    <row r="8847" ht="15.75" customHeight="1">
      <c r="A8847" s="1">
        <v>9427.0</v>
      </c>
      <c r="B8847" s="3" t="s">
        <v>8497</v>
      </c>
      <c r="C8847" s="3" t="str">
        <f>IFERROR(__xludf.DUMMYFUNCTION("GOOGLETRANSLATE(B8847,""id"",""en"")"),"['Disappointed', 'Telkomsel', 'Credit', 'Emergency', 'SMS', 'Credit', 'Emergency', 'Success',' Taken ',' Credit ',' Cut ',' Fill ',' Credit ',' Recommend ',' Use ',' Telkomsel ',' Genesis', 'Experienced', 'Customer', 'Telkomsel', ""]")</f>
        <v>['Disappointed', 'Telkomsel', 'Credit', 'Emergency', 'SMS', 'Credit', 'Emergency', 'Success',' Taken ',' Credit ',' Cut ',' Fill ',' Credit ',' Recommend ',' Use ',' Telkomsel ',' Genesis', 'Experienced', 'Customer', 'Telkomsel', "]</v>
      </c>
      <c r="D8847" s="3">
        <v>1.0</v>
      </c>
    </row>
    <row r="8848" ht="15.75" customHeight="1">
      <c r="A8848" s="1">
        <v>9428.0</v>
      </c>
      <c r="B8848" s="3" t="s">
        <v>8498</v>
      </c>
      <c r="C8848" s="3" t="str">
        <f>IFERROR(__xludf.DUMMYFUNCTION("GOOGLETRANSLATE(B8848,""id"",""en"")"),"['Please', 'fix', 'bug', 'quota', 'omg', 'because', 'detrimental', 'user']")</f>
        <v>['Please', 'fix', 'bug', 'quota', 'omg', 'because', 'detrimental', 'user']</v>
      </c>
      <c r="D8848" s="3">
        <v>1.0</v>
      </c>
    </row>
    <row r="8849" ht="15.75" customHeight="1">
      <c r="A8849" s="1">
        <v>9429.0</v>
      </c>
      <c r="B8849" s="3" t="s">
        <v>8499</v>
      </c>
      <c r="C8849" s="3" t="str">
        <f>IFERROR(__xludf.DUMMYFUNCTION("GOOGLETRANSLATE(B8849,""id"",""en"")"),"['Application', 'error', 'Mulu', 'buy', 'package', 'difficult', 'Woyyy', 'Benerin', 'Change', 'Provider']")</f>
        <v>['Application', 'error', 'Mulu', 'buy', 'package', 'difficult', 'Woyyy', 'Benerin', 'Change', 'Provider']</v>
      </c>
      <c r="D8849" s="3">
        <v>1.0</v>
      </c>
    </row>
    <row r="8850" ht="15.75" customHeight="1">
      <c r="A8850" s="1">
        <v>9430.0</v>
      </c>
      <c r="B8850" s="3" t="s">
        <v>8500</v>
      </c>
      <c r="C8850" s="3" t="str">
        <f>IFERROR(__xludf.DUMMYFUNCTION("GOOGLETRANSLATE(B8850,""id"",""en"")"),"['', 'Download', 'Open']")</f>
        <v>['', 'Download', 'Open']</v>
      </c>
      <c r="D8850" s="3">
        <v>1.0</v>
      </c>
    </row>
    <row r="8851" ht="15.75" customHeight="1">
      <c r="A8851" s="1">
        <v>9431.0</v>
      </c>
      <c r="B8851" s="3" t="s">
        <v>8501</v>
      </c>
      <c r="C8851" s="3" t="str">
        <f>IFERROR(__xludf.DUMMYFUNCTION("GOOGLETRANSLATE(B8851,""id"",""en"")"),"['Honey', 'package', 'price']")</f>
        <v>['Honey', 'package', 'price']</v>
      </c>
      <c r="D8851" s="3">
        <v>4.0</v>
      </c>
    </row>
    <row r="8852" ht="15.75" customHeight="1">
      <c r="A8852" s="1">
        <v>9432.0</v>
      </c>
      <c r="B8852" s="3" t="s">
        <v>8502</v>
      </c>
      <c r="C8852" s="3" t="str">
        <f>IFERROR(__xludf.DUMMYFUNCTION("GOOGLETRANSLATE(B8852,""id"",""en"")"),"['access', '']")</f>
        <v>['access', '']</v>
      </c>
      <c r="D8852" s="3">
        <v>3.0</v>
      </c>
    </row>
    <row r="8853" ht="15.75" customHeight="1">
      <c r="A8853" s="1">
        <v>9433.0</v>
      </c>
      <c r="B8853" s="3" t="s">
        <v>8503</v>
      </c>
      <c r="C8853" s="3" t="str">
        <f>IFERROR(__xludf.DUMMYFUNCTION("GOOGLETRANSLATE(B8853,""id"",""en"")"),"['Really', 'happy', 'cheap', 'Package', 'Datux', 'Telkomsel', 'The', 'Best']")</f>
        <v>['Really', 'happy', 'cheap', 'Package', 'Datux', 'Telkomsel', 'The', 'Best']</v>
      </c>
      <c r="D8853" s="3">
        <v>5.0</v>
      </c>
    </row>
    <row r="8854" ht="15.75" customHeight="1">
      <c r="A8854" s="1">
        <v>9435.0</v>
      </c>
      <c r="B8854" s="3" t="s">
        <v>8504</v>
      </c>
      <c r="C8854" s="3" t="str">
        <f>IFERROR(__xludf.DUMMYFUNCTION("GOOGLETRANSLATE(B8854,""id"",""en"")"),"['Open', 'bosss']")</f>
        <v>['Open', 'bosss']</v>
      </c>
      <c r="D8854" s="3">
        <v>5.0</v>
      </c>
    </row>
    <row r="8855" ht="15.75" customHeight="1">
      <c r="A8855" s="1">
        <v>9436.0</v>
      </c>
      <c r="B8855" s="3" t="s">
        <v>8505</v>
      </c>
      <c r="C8855" s="3" t="str">
        <f>IFERROR(__xludf.DUMMYFUNCTION("GOOGLETRANSLATE(B8855,""id"",""en"")"),"['Min', 'Try', 'Lock', 'Lock', 'Pulse', 'Paketan', 'Out', 'Night', 'Credit', 'Sucked', 'Agree', 'Like', ' Post ']")</f>
        <v>['Min', 'Try', 'Lock', 'Lock', 'Pulse', 'Paketan', 'Out', 'Night', 'Credit', 'Sucked', 'Agree', 'Like', ' Post ']</v>
      </c>
      <c r="D8855" s="3">
        <v>5.0</v>
      </c>
    </row>
    <row r="8856" ht="15.75" customHeight="1">
      <c r="A8856" s="1">
        <v>9437.0</v>
      </c>
      <c r="B8856" s="3" t="s">
        <v>8506</v>
      </c>
      <c r="C8856" s="3" t="str">
        <f>IFERROR(__xludf.DUMMYFUNCTION("GOOGLETRANSLATE(B8856,""id"",""en"")"),"['Please', 'plus', 'Feature', 'Lock', 'Credit', 'Kayak', 'Provider', 'Next "",' No ',' Snaw ',' Credit ',' Wonder ',' Class ',' Telkomsel ',' No "", 'Features', 'Lock', 'Credit', '']")</f>
        <v>['Please', 'plus', 'Feature', 'Lock', 'Credit', 'Kayak', 'Provider', 'Next ",' No ',' Snaw ',' Credit ',' Wonder ',' Class ',' Telkomsel ',' No ", 'Features', 'Lock', 'Credit', '']</v>
      </c>
      <c r="D8856" s="3">
        <v>1.0</v>
      </c>
    </row>
    <row r="8857" ht="15.75" customHeight="1">
      <c r="A8857" s="1">
        <v>9438.0</v>
      </c>
      <c r="B8857" s="3" t="s">
        <v>8507</v>
      </c>
      <c r="C8857" s="3" t="str">
        <f>IFERROR(__xludf.DUMMYFUNCTION("GOOGLETRANSLATE(B8857,""id"",""en"")"),"['Sis', 'Application', 'Telkomsel', 'Open', 'How']")</f>
        <v>['Sis', 'Application', 'Telkomsel', 'Open', 'How']</v>
      </c>
      <c r="D8857" s="3">
        <v>5.0</v>
      </c>
    </row>
    <row r="8858" ht="15.75" customHeight="1">
      <c r="A8858" s="1">
        <v>9439.0</v>
      </c>
      <c r="B8858" s="3" t="s">
        <v>8508</v>
      </c>
      <c r="C8858" s="3" t="str">
        <f>IFERROR(__xludf.DUMMYFUNCTION("GOOGLETRANSLATE(B8858,""id"",""en"")"),"['The application', 'Gabisa', 'opened', '']")</f>
        <v>['The application', 'Gabisa', 'opened', '']</v>
      </c>
      <c r="D8858" s="3">
        <v>3.0</v>
      </c>
    </row>
    <row r="8859" ht="15.75" customHeight="1">
      <c r="A8859" s="1">
        <v>9440.0</v>
      </c>
      <c r="B8859" s="3" t="s">
        <v>8509</v>
      </c>
      <c r="C8859" s="3" t="str">
        <f>IFERROR(__xludf.DUMMYFUNCTION("GOOGLETRANSLATE(B8859,""id"",""en"")"),"['Star', 'Applications', 'buy', 'Package']")</f>
        <v>['Star', 'Applications', 'buy', 'Package']</v>
      </c>
      <c r="D8859" s="3">
        <v>3.0</v>
      </c>
    </row>
    <row r="8860" ht="15.75" customHeight="1">
      <c r="A8860" s="1">
        <v>9441.0</v>
      </c>
      <c r="B8860" s="3" t="s">
        <v>8510</v>
      </c>
      <c r="C8860" s="3" t="str">
        <f>IFERROR(__xludf.DUMMYFUNCTION("GOOGLETRANSLATE(B8860,""id"",""en"")"),"['price', 'package', 'data', 'above', 'cellular', 'signal', 'disappointing', '']")</f>
        <v>['price', 'package', 'data', 'above', 'cellular', 'signal', 'disappointing', '']</v>
      </c>
      <c r="D8860" s="3">
        <v>1.0</v>
      </c>
    </row>
    <row r="8861" ht="15.75" customHeight="1">
      <c r="A8861" s="1">
        <v>9442.0</v>
      </c>
      <c r="B8861" s="3" t="s">
        <v>8511</v>
      </c>
      <c r="C8861" s="3" t="str">
        <f>IFERROR(__xludf.DUMMYFUNCTION("GOOGLETRANSLATE(B8861,""id"",""en"")"),"['KNPA', 'Telkomsel', 'Network', 'KB', 'Peremot', 'Bwat', 'Open', 'YouTube', 'SETNGAH', 'Dead', 'Quota', 'Bnyak', ' Gini ',' Mending ',' Change ',' Laen ',' Just ',' Suggestion ']")</f>
        <v>['KNPA', 'Telkomsel', 'Network', 'KB', 'Peremot', 'Bwat', 'Open', 'YouTube', 'SETNGAH', 'Dead', 'Quota', 'Bnyak', ' Gini ',' Mending ',' Change ',' Laen ',' Just ',' Suggestion ']</v>
      </c>
      <c r="D8861" s="3">
        <v>1.0</v>
      </c>
    </row>
    <row r="8862" ht="15.75" customHeight="1">
      <c r="A8862" s="1">
        <v>9443.0</v>
      </c>
      <c r="B8862" s="3" t="s">
        <v>8512</v>
      </c>
      <c r="C8862" s="3" t="str">
        <f>IFERROR(__xludf.DUMMYFUNCTION("GOOGLETRANSLATE(B8862,""id"",""en"")"),"['application', 'already', 'update', 'right', 'open', 'white', 'already', 'that's',' right ',' right ',' application ',' Telkomsel ',' How ',' emang ',' bner ',' application ',' ']")</f>
        <v>['application', 'already', 'update', 'right', 'open', 'white', 'already', 'that's',' right ',' right ',' application ',' Telkomsel ',' How ',' emang ',' bner ',' application ',' ']</v>
      </c>
      <c r="D8862" s="3">
        <v>2.0</v>
      </c>
    </row>
    <row r="8863" ht="15.75" customHeight="1">
      <c r="A8863" s="1">
        <v>9444.0</v>
      </c>
      <c r="B8863" s="3" t="s">
        <v>8513</v>
      </c>
      <c r="C8863" s="3" t="str">
        <f>IFERROR(__xludf.DUMMYFUNCTION("GOOGLETRANSLATE(B8863,""id"",""en"")"),"['klw']")</f>
        <v>['klw']</v>
      </c>
      <c r="D8863" s="3">
        <v>5.0</v>
      </c>
    </row>
    <row r="8864" ht="15.75" customHeight="1">
      <c r="A8864" s="1">
        <v>9445.0</v>
      </c>
      <c r="B8864" s="3" t="s">
        <v>8514</v>
      </c>
      <c r="C8864" s="3" t="str">
        <f>IFERROR(__xludf.DUMMYFUNCTION("GOOGLETRANSLATE(B8864,""id"",""en"")"),"['Credit', 'buy', 'quota', 'Sakti', 'price', 'description', 'pulse', 'sufficient', 'wonder', 'Telkomsel']")</f>
        <v>['Credit', 'buy', 'quota', 'Sakti', 'price', 'description', 'pulse', 'sufficient', 'wonder', 'Telkomsel']</v>
      </c>
      <c r="D8864" s="3">
        <v>1.0</v>
      </c>
    </row>
    <row r="8865" ht="15.75" customHeight="1">
      <c r="A8865" s="1">
        <v>9446.0</v>
      </c>
      <c r="B8865" s="3" t="s">
        <v>8515</v>
      </c>
      <c r="C8865" s="3" t="str">
        <f>IFERROR(__xludf.DUMMYFUNCTION("GOOGLETRANSLATE(B8865,""id"",""en"")"),"['Abis', 'download', 'open', 'blank', 'uninstall', 'download', 'opened', 'blank', 'time', 'repeat', 'application', '']")</f>
        <v>['Abis', 'download', 'open', 'blank', 'uninstall', 'download', 'opened', 'blank', 'time', 'repeat', 'application', '']</v>
      </c>
      <c r="D8865" s="3">
        <v>1.0</v>
      </c>
    </row>
    <row r="8866" ht="15.75" customHeight="1">
      <c r="A8866" s="1">
        <v>9447.0</v>
      </c>
      <c r="B8866" s="3" t="s">
        <v>6889</v>
      </c>
      <c r="C8866" s="3" t="str">
        <f>IFERROR(__xludf.DUMMYFUNCTION("GOOGLETRANSLATE(B8866,""id"",""en"")"),"['times', 'Download', 'Open']")</f>
        <v>['times', 'Download', 'Open']</v>
      </c>
      <c r="D8866" s="3">
        <v>1.0</v>
      </c>
    </row>
    <row r="8867" ht="15.75" customHeight="1">
      <c r="A8867" s="1">
        <v>9448.0</v>
      </c>
      <c r="B8867" s="3" t="s">
        <v>8516</v>
      </c>
      <c r="C8867" s="3" t="str">
        <f>IFERROR(__xludf.DUMMYFUNCTION("GOOGLETRANSLATE(B8867,""id"",""en"")"),"['easy', 'buy', 'activate', 'package', 'free', 'select', 'cheap']")</f>
        <v>['easy', 'buy', 'activate', 'package', 'free', 'select', 'cheap']</v>
      </c>
      <c r="D8867" s="3">
        <v>4.0</v>
      </c>
    </row>
    <row r="8868" ht="15.75" customHeight="1">
      <c r="A8868" s="1">
        <v>9449.0</v>
      </c>
      <c r="B8868" s="3" t="s">
        <v>8517</v>
      </c>
      <c r="C8868" s="3" t="str">
        <f>IFERROR(__xludf.DUMMYFUNCTION("GOOGLETRANSLATE(B8868,""id"",""en"")"),"['Supports', 'work', ""]")</f>
        <v>['Supports', 'work', "]</v>
      </c>
      <c r="D8868" s="3">
        <v>5.0</v>
      </c>
    </row>
    <row r="8869" ht="15.75" customHeight="1">
      <c r="A8869" s="1">
        <v>9450.0</v>
      </c>
      <c r="B8869" s="3" t="s">
        <v>8518</v>
      </c>
      <c r="C8869" s="3" t="str">
        <f>IFERROR(__xludf.DUMMYFUNCTION("GOOGLETRANSLATE(B8869,""id"",""en"")"),"['Please', 'fix', 'bug', 'internet', 'slow', 'open', 'app', 'heavy', 'opened', 'app', 'gabisa', 'ugly', ' Bgtlah ']")</f>
        <v>['Please', 'fix', 'bug', 'internet', 'slow', 'open', 'app', 'heavy', 'opened', 'app', 'gabisa', 'ugly', ' Bgtlah ']</v>
      </c>
      <c r="D8869" s="3">
        <v>1.0</v>
      </c>
    </row>
    <row r="8870" ht="15.75" customHeight="1">
      <c r="A8870" s="1">
        <v>9451.0</v>
      </c>
      <c r="B8870" s="3" t="s">
        <v>8519</v>
      </c>
      <c r="C8870" s="3" t="str">
        <f>IFERROR(__xludf.DUMMYFUNCTION("GOOGLETRANSLATE(B8870,""id"",""en"")"),"['rude', 'cook', 'contents',' pulse ',' yesterday ',' tomorrow ',' direct ',' kasian ',' ibukku ',' lohhh ',' kemren ',' buyin ',' pulses', 'pakek', 'money', 'search', 'money', 'halal', 'dongg', 'base', 'telkomsel', 'corruption', 'believe', 'really', 'Tel"&amp;"komsel' , 'Since', 'pulses', 'run out', 'already', 'believe', 'Telkomsel', 'Corruption', ""]")</f>
        <v>['rude', 'cook', 'contents',' pulse ',' yesterday ',' tomorrow ',' direct ',' kasian ',' ibukku ',' lohhh ',' kemren ',' buyin ',' pulses', 'pakek', 'money', 'search', 'money', 'halal', 'dongg', 'base', 'telkomsel', 'corruption', 'believe', 'really', 'Telkomsel' , 'Since', 'pulses', 'run out', 'already', 'believe', 'Telkomsel', 'Corruption', "]</v>
      </c>
      <c r="D8870" s="3">
        <v>1.0</v>
      </c>
    </row>
    <row r="8871" ht="15.75" customHeight="1">
      <c r="A8871" s="1">
        <v>9453.0</v>
      </c>
      <c r="B8871" s="3" t="s">
        <v>8520</v>
      </c>
      <c r="C8871" s="3" t="str">
        <f>IFERROR(__xludf.DUMMYFUNCTION("GOOGLETRANSLATE(B8871,""id"",""en"")"),"['application', 'strange', 'use', 'application', 'MyTelkomsel', 'smooth', 'smooth', 'disappointed', 'time', 'delete', 'downloud', 'delete', ' Downlouns', 'Blank', 'Blank', 'White', 'Read', 'Comments',' Reply ',' Solution ',' Solution ',' Disappointed ',' "&amp;"Really ',' Disappointed ',' Telkomsel ' ]")</f>
        <v>['application', 'strange', 'use', 'application', 'MyTelkomsel', 'smooth', 'smooth', 'disappointed', 'time', 'delete', 'downloud', 'delete', ' Downlouns', 'Blank', 'Blank', 'White', 'Read', 'Comments',' Reply ',' Solution ',' Solution ',' Disappointed ',' Really ',' Disappointed ',' Telkomsel ' ]</v>
      </c>
      <c r="D8871" s="3">
        <v>1.0</v>
      </c>
    </row>
    <row r="8872" ht="15.75" customHeight="1">
      <c r="A8872" s="1">
        <v>9454.0</v>
      </c>
      <c r="B8872" s="3" t="s">
        <v>8521</v>
      </c>
      <c r="C8872" s="3" t="str">
        <f>IFERROR(__xludf.DUMMYFUNCTION("GOOGLETRANSLATE(B8872,""id"",""en"")"),"['Increase', 'quality', 'ugly']")</f>
        <v>['Increase', 'quality', 'ugly']</v>
      </c>
      <c r="D8872" s="3">
        <v>2.0</v>
      </c>
    </row>
    <row r="8873" ht="15.75" customHeight="1">
      <c r="A8873" s="1">
        <v>9456.0</v>
      </c>
      <c r="B8873" s="3" t="s">
        <v>8522</v>
      </c>
      <c r="C8873" s="3" t="str">
        <f>IFERROR(__xludf.DUMMYFUNCTION("GOOGLETRANSLATE(B8873,""id"",""en"")"),"['Service', 'Telkomsel', 'satisfying']")</f>
        <v>['Service', 'Telkomsel', 'satisfying']</v>
      </c>
      <c r="D8873" s="3">
        <v>5.0</v>
      </c>
    </row>
    <row r="8874" ht="15.75" customHeight="1">
      <c r="A8874" s="1">
        <v>9457.0</v>
      </c>
      <c r="B8874" s="3" t="s">
        <v>8523</v>
      </c>
      <c r="C8874" s="3" t="str">
        <f>IFERROR(__xludf.DUMMYFUNCTION("GOOGLETRANSLATE(B8874,""id"",""en"")"),"['Disappointed', 'Application', 'Telkomsel', 'Love', 'Exchange', 'Points',' Failed ',' Reasons', 'Slalu', 'Busy', 'Pin', 'Millions',' Tandakan ',' ']")</f>
        <v>['Disappointed', 'Application', 'Telkomsel', 'Love', 'Exchange', 'Points',' Failed ',' Reasons', 'Slalu', 'Busy', 'Pin', 'Millions',' Tandakan ',' ']</v>
      </c>
      <c r="D8874" s="3">
        <v>1.0</v>
      </c>
    </row>
    <row r="8875" ht="15.75" customHeight="1">
      <c r="A8875" s="1">
        <v>9458.0</v>
      </c>
      <c r="B8875" s="3" t="s">
        <v>8524</v>
      </c>
      <c r="C8875" s="3" t="str">
        <f>IFERROR(__xludf.DUMMYFUNCTION("GOOGLETRANSLATE(B8875,""id"",""en"")"),"['Good', 'Satisfied', '']")</f>
        <v>['Good', 'Satisfied', '']</v>
      </c>
      <c r="D8875" s="3">
        <v>5.0</v>
      </c>
    </row>
    <row r="8876" ht="15.75" customHeight="1">
      <c r="A8876" s="1">
        <v>9459.0</v>
      </c>
      <c r="B8876" s="3" t="s">
        <v>8525</v>
      </c>
      <c r="C8876" s="3" t="str">
        <f>IFERROR(__xludf.DUMMYFUNCTION("GOOGLETRANSLATE(B8876,""id"",""en"")"),"['Please', 'Application', 'Login', 'Ngurah', 'Quota', 'Credit', 'Buy', 'Package', 'Internet', 'Cut', 'Pulse', 'Give', ' Event ',' bonus', 'quota', 'told', 'pay', 'plus',' cut ',' point ',' how ',' UDH ',' cut ',' Points', 'taken' , 'money', 'greedy']")</f>
        <v>['Please', 'Application', 'Login', 'Ngurah', 'Quota', 'Credit', 'Buy', 'Package', 'Internet', 'Cut', 'Pulse', 'Give', ' Event ',' bonus', 'quota', 'told', 'pay', 'plus',' cut ',' point ',' how ',' UDH ',' cut ',' Points', 'taken' , 'money', 'greedy']</v>
      </c>
      <c r="D8876" s="3">
        <v>1.0</v>
      </c>
    </row>
    <row r="8877" ht="15.75" customHeight="1">
      <c r="A8877" s="1">
        <v>9460.0</v>
      </c>
      <c r="B8877" s="3" t="s">
        <v>8526</v>
      </c>
      <c r="C8877" s="3" t="str">
        <f>IFERROR(__xludf.DUMMYFUNCTION("GOOGLETRANSLATE(B8877,""id"",""en"")"),"['', 'GKOK', 'Ngeleg', 'Error']")</f>
        <v>['', 'GKOK', 'Ngeleg', 'Error']</v>
      </c>
      <c r="D8877" s="3">
        <v>1.0</v>
      </c>
    </row>
    <row r="8878" ht="15.75" customHeight="1">
      <c r="A8878" s="1">
        <v>9461.0</v>
      </c>
      <c r="B8878" s="3" t="s">
        <v>8527</v>
      </c>
      <c r="C8878" s="3" t="str">
        <f>IFERROR(__xludf.DUMMYFUNCTION("GOOGLETRANSLATE(B8878,""id"",""en"")"),"['Opened', 'The application', 'Jngan', 'told', 'Hub', 'Via', 'Tellkomsel', 'Application', 'opened', 'Payah', 'Aah']")</f>
        <v>['Opened', 'The application', 'Jngan', 'told', 'Hub', 'Via', 'Tellkomsel', 'Application', 'opened', 'Payah', 'Aah']</v>
      </c>
      <c r="D8878" s="3">
        <v>2.0</v>
      </c>
    </row>
    <row r="8879" ht="15.75" customHeight="1">
      <c r="A8879" s="1">
        <v>9462.0</v>
      </c>
      <c r="B8879" s="3" t="s">
        <v>478</v>
      </c>
      <c r="C8879" s="3" t="str">
        <f>IFERROR(__xludf.DUMMYFUNCTION("GOOGLETRANSLATE(B8879,""id"",""en"")"),"Of course")</f>
        <v>Of course</v>
      </c>
      <c r="D8879" s="3">
        <v>5.0</v>
      </c>
    </row>
    <row r="8880" ht="15.75" customHeight="1">
      <c r="A8880" s="1">
        <v>9463.0</v>
      </c>
      <c r="B8880" s="3" t="s">
        <v>6177</v>
      </c>
      <c r="C8880" s="3" t="str">
        <f>IFERROR(__xludf.DUMMYFUNCTION("GOOGLETRANSLATE(B8880,""id"",""en"")"),"['APK', 'interesting']")</f>
        <v>['APK', 'interesting']</v>
      </c>
      <c r="D8880" s="3">
        <v>5.0</v>
      </c>
    </row>
    <row r="8881" ht="15.75" customHeight="1">
      <c r="A8881" s="1">
        <v>9464.0</v>
      </c>
      <c r="B8881" s="3" t="s">
        <v>8528</v>
      </c>
      <c r="C8881" s="3" t="str">
        <f>IFERROR(__xludf.DUMMYFUNCTION("GOOGLETRANSLATE(B8881,""id"",""en"")"),"['Package', 'Data', 'Internet', 'Please', 'Price', 'Dumped', ""]")</f>
        <v>['Package', 'Data', 'Internet', 'Please', 'Price', 'Dumped', "]</v>
      </c>
      <c r="D8881" s="3">
        <v>5.0</v>
      </c>
    </row>
    <row r="8882" ht="15.75" customHeight="1">
      <c r="A8882" s="1">
        <v>9466.0</v>
      </c>
      <c r="B8882" s="3" t="s">
        <v>8529</v>
      </c>
      <c r="C8882" s="3" t="str">
        <f>IFERROR(__xludf.DUMMYFUNCTION("GOOGLETRANSLATE(B8882,""id"",""en"")"),"['stlh', 'update', 'app', 'can', 'opened', ""]")</f>
        <v>['stlh', 'update', 'app', 'can', 'opened', "]</v>
      </c>
      <c r="D8882" s="3">
        <v>1.0</v>
      </c>
    </row>
    <row r="8883" ht="15.75" customHeight="1">
      <c r="A8883" s="1">
        <v>9467.0</v>
      </c>
      <c r="B8883" s="3" t="s">
        <v>8530</v>
      </c>
      <c r="C8883" s="3" t="str">
        <f>IFERROR(__xludf.DUMMYFUNCTION("GOOGLETRANSLATE(B8883,""id"",""en"")"),"['min', 'apps',' opened ',' hnya ',' appears', 'white', 'screen', 'times',' download ',' result ',' white ',' screen ',' Why', '']")</f>
        <v>['min', 'apps',' opened ',' hnya ',' appears', 'white', 'screen', 'times',' download ',' result ',' white ',' screen ',' Why', '']</v>
      </c>
      <c r="D8883" s="3">
        <v>2.0</v>
      </c>
    </row>
    <row r="8884" ht="15.75" customHeight="1">
      <c r="A8884" s="1">
        <v>9468.0</v>
      </c>
      <c r="B8884" s="3" t="s">
        <v>8531</v>
      </c>
      <c r="C8884" s="3" t="str">
        <f>IFERROR(__xludf.DUMMYFUNCTION("GOOGLETRANSLATE(B8884,""id"",""en"")"),"['easy', 'check', 'quota', 'prize', 'thanks', 'Telkomsel']")</f>
        <v>['easy', 'check', 'quota', 'prize', 'thanks', 'Telkomsel']</v>
      </c>
      <c r="D8884" s="3">
        <v>5.0</v>
      </c>
    </row>
    <row r="8885" ht="15.75" customHeight="1">
      <c r="A8885" s="1">
        <v>9469.0</v>
      </c>
      <c r="B8885" s="3" t="s">
        <v>8532</v>
      </c>
      <c r="C8885" s="3" t="str">
        <f>IFERROR(__xludf.DUMMYFUNCTION("GOOGLETRANSLATE(B8885,""id"",""en"")"),"['Disappointed', 'Package', 'Extra', 'Unlimit', 'Ngaco', 'updte', 'lag', 'really']")</f>
        <v>['Disappointed', 'Package', 'Extra', 'Unlimit', 'Ngaco', 'updte', 'lag', 'really']</v>
      </c>
      <c r="D8885" s="3">
        <v>1.0</v>
      </c>
    </row>
    <row r="8886" ht="15.75" customHeight="1">
      <c r="A8886" s="1">
        <v>9470.0</v>
      </c>
      <c r="B8886" s="3" t="s">
        <v>8533</v>
      </c>
      <c r="C8886" s="3" t="str">
        <f>IFERROR(__xludf.DUMMYFUNCTION("GOOGLETRANSLATE(B8886,""id"",""en"")"),"['What's "",' mirgh ',' opened ']")</f>
        <v>['What's ",' mirgh ',' opened ']</v>
      </c>
      <c r="D8886" s="3">
        <v>3.0</v>
      </c>
    </row>
    <row r="8887" ht="15.75" customHeight="1">
      <c r="A8887" s="1">
        <v>9471.0</v>
      </c>
      <c r="B8887" s="3" t="s">
        <v>8534</v>
      </c>
      <c r="C8887" s="3" t="str">
        <f>IFERROR(__xludf.DUMMYFUNCTION("GOOGLETRANSLATE(B8887,""id"",""en"")"),"['strange', 'contents',' voucher ',' canaaa ',' waited ',' wait ',' try ',' udh ',' network ',' busy ',' told ',' Try ',' Try ',' Order ',' Wait ',' Clock ',' Optimal ',' Sell ',' Voucher ',' For Sale ',' Disappointed ',' Lahhhhhhhh ', ""]")</f>
        <v>['strange', 'contents',' voucher ',' canaaa ',' waited ',' wait ',' try ',' udh ',' network ',' busy ',' told ',' Try ',' Try ',' Order ',' Wait ',' Clock ',' Optimal ',' Sell ',' Voucher ',' For Sale ',' Disappointed ',' Lahhhhhhhh ', "]</v>
      </c>
      <c r="D8887" s="3">
        <v>1.0</v>
      </c>
    </row>
    <row r="8888" ht="15.75" customHeight="1">
      <c r="A8888" s="1">
        <v>9472.0</v>
      </c>
      <c r="B8888" s="3" t="s">
        <v>8535</v>
      </c>
      <c r="C8888" s="3" t="str">
        <f>IFERROR(__xludf.DUMMYFUNCTION("GOOGLETRANSLATE(B8888,""id"",""en"")"),"['performance', 'Telkomsel', 'Smart', 'Professional']")</f>
        <v>['performance', 'Telkomsel', 'Smart', 'Professional']</v>
      </c>
      <c r="D8888" s="3">
        <v>5.0</v>
      </c>
    </row>
    <row r="8889" ht="15.75" customHeight="1">
      <c r="A8889" s="1">
        <v>9473.0</v>
      </c>
      <c r="B8889" s="3" t="s">
        <v>8536</v>
      </c>
      <c r="C8889" s="3" t="str">
        <f>IFERROR(__xludf.DUMMYFUNCTION("GOOGLETRANSLATE(B8889,""id"",""en"")"),"['pokonya', 'sip']")</f>
        <v>['pokonya', 'sip']</v>
      </c>
      <c r="D8889" s="3">
        <v>5.0</v>
      </c>
    </row>
    <row r="8890" ht="15.75" customHeight="1">
      <c r="A8890" s="1">
        <v>9474.0</v>
      </c>
      <c r="B8890" s="3" t="s">
        <v>8537</v>
      </c>
      <c r="C8890" s="3" t="str">
        <f>IFERROR(__xludf.DUMMYFUNCTION("GOOGLETRANSLATE(B8890,""id"",""en"")"),"['Package', 'cheap', 'how', 'bang']")</f>
        <v>['Package', 'cheap', 'how', 'bang']</v>
      </c>
      <c r="D8890" s="3">
        <v>5.0</v>
      </c>
    </row>
    <row r="8891" ht="15.75" customHeight="1">
      <c r="A8891" s="1">
        <v>9475.0</v>
      </c>
      <c r="B8891" s="3" t="s">
        <v>8538</v>
      </c>
      <c r="C8891" s="3" t="str">
        <f>IFERROR(__xludf.DUMMYFUNCTION("GOOGLETRANSLATE(B8891,""id"",""en"")"),"['Helpful', 'practical', 'pkok', 'okay', 'really']")</f>
        <v>['Helpful', 'practical', 'pkok', 'okay', 'really']</v>
      </c>
      <c r="D8891" s="3">
        <v>5.0</v>
      </c>
    </row>
    <row r="8892" ht="15.75" customHeight="1">
      <c r="A8892" s="1">
        <v>9476.0</v>
      </c>
      <c r="B8892" s="3" t="s">
        <v>8539</v>
      </c>
      <c r="C8892" s="3" t="str">
        <f>IFERROR(__xludf.DUMMYFUNCTION("GOOGLETRANSLATE(B8892,""id"",""en"")"),"['These', 'yrs', 'subscribe', 'application', 'opened', 'download', 'reset', 'behalf of', 'Please', 'repaired', 'enhanced', 'server']")</f>
        <v>['These', 'yrs', 'subscribe', 'application', 'opened', 'download', 'reset', 'behalf of', 'Please', 'repaired', 'enhanced', 'server']</v>
      </c>
      <c r="D8892" s="3">
        <v>1.0</v>
      </c>
    </row>
    <row r="8893" ht="15.75" customHeight="1">
      <c r="A8893" s="1">
        <v>9477.0</v>
      </c>
      <c r="B8893" s="3" t="s">
        <v>8540</v>
      </c>
      <c r="C8893" s="3" t="str">
        <f>IFERROR(__xludf.DUMMYFUNCTION("GOOGLETRANSLATE(B8893,""id"",""en"")"),"['hope', 'signal', 'strength', 'network', 'area', 'pediam', 'feel', 'lag', 'in the city', 'thank', 'love']")</f>
        <v>['hope', 'signal', 'strength', 'network', 'area', 'pediam', 'feel', 'lag', 'in the city', 'thank', 'love']</v>
      </c>
      <c r="D8893" s="3">
        <v>5.0</v>
      </c>
    </row>
    <row r="8894" ht="15.75" customHeight="1">
      <c r="A8894" s="1">
        <v>9478.0</v>
      </c>
      <c r="B8894" s="3" t="s">
        <v>8541</v>
      </c>
      <c r="C8894" s="3" t="str">
        <f>IFERROR(__xludf.DUMMYFUNCTION("GOOGLETRANSLATE(B8894,""id"",""en"")"),"['Dipake', 'Maen', 'Game', 'Doang', 'Direct', 'Down', 'WKWKWK', 'right', 'Rain', 'Direct', 'Goib', 'feeling', ' Telkomsel ',' gini ']")</f>
        <v>['Dipake', 'Maen', 'Game', 'Doang', 'Direct', 'Down', 'WKWKWK', 'right', 'Rain', 'Direct', 'Goib', 'feeling', ' Telkomsel ',' gini ']</v>
      </c>
      <c r="D8894" s="3">
        <v>1.0</v>
      </c>
    </row>
    <row r="8895" ht="15.75" customHeight="1">
      <c r="A8895" s="1">
        <v>9479.0</v>
      </c>
      <c r="B8895" s="3" t="s">
        <v>8542</v>
      </c>
      <c r="C8895" s="3" t="str">
        <f>IFERROR(__xludf.DUMMYFUNCTION("GOOGLETRANSLATE(B8895,""id"",""en"")"),"['Price', 'expensive', 'use', 'expert', 'emergency']")</f>
        <v>['Price', 'expensive', 'use', 'expert', 'emergency']</v>
      </c>
      <c r="D8895" s="3">
        <v>1.0</v>
      </c>
    </row>
    <row r="8896" ht="15.75" customHeight="1">
      <c r="A8896" s="1">
        <v>9481.0</v>
      </c>
      <c r="B8896" s="3" t="s">
        <v>8543</v>
      </c>
      <c r="C8896" s="3" t="str">
        <f>IFERROR(__xludf.DUMMYFUNCTION("GOOGLETRANSLATE(B8896,""id"",""en"")"),"['Kasi', 'star', 'satisfying']")</f>
        <v>['Kasi', 'star', 'satisfying']</v>
      </c>
      <c r="D8896" s="3">
        <v>2.0</v>
      </c>
    </row>
    <row r="8897" ht="15.75" customHeight="1">
      <c r="A8897" s="1">
        <v>9483.0</v>
      </c>
      <c r="B8897" s="3" t="s">
        <v>8544</v>
      </c>
      <c r="C8897" s="3" t="str">
        <f>IFERROR(__xludf.DUMMYFUNCTION("GOOGLETRANSLATE(B8897,""id"",""en"")"),"['APK', 'Telkomsel', 'SNGAT', 'HELPed', 'Telkomsel', 'Best', 'User', 'Thank you', 'Telkomsel', ""]")</f>
        <v>['APK', 'Telkomsel', 'SNGAT', 'HELPed', 'Telkomsel', 'Best', 'User', 'Thank you', 'Telkomsel', "]</v>
      </c>
      <c r="D8897" s="3">
        <v>5.0</v>
      </c>
    </row>
    <row r="8898" ht="15.75" customHeight="1">
      <c r="A8898" s="1">
        <v>9484.0</v>
      </c>
      <c r="B8898" s="3" t="s">
        <v>8545</v>
      </c>
      <c r="C8898" s="3" t="str">
        <f>IFERROR(__xludf.DUMMYFUNCTION("GOOGLETRANSLATE(B8898,""id"",""en"")"),"['', 'updated', 'then', 'open', 'weak', '']")</f>
        <v>['', 'updated', 'then', 'open', 'weak', '']</v>
      </c>
      <c r="D8898" s="3">
        <v>1.0</v>
      </c>
    </row>
    <row r="8899" ht="15.75" customHeight="1">
      <c r="A8899" s="1">
        <v>9485.0</v>
      </c>
      <c r="B8899" s="3" t="s">
        <v>8546</v>
      </c>
      <c r="C8899" s="3" t="str">
        <f>IFERROR(__xludf.DUMMYFUNCTION("GOOGLETRANSLATE(B8899,""id"",""en"")"),"['Telkomsel', 'service', 'detrimental', 'package', 'internet', 'pulse', 'pulled', 'Telkomsel', 'already', 'like', 'thief', 'please', ' evaluation']")</f>
        <v>['Telkomsel', 'service', 'detrimental', 'package', 'internet', 'pulse', 'pulled', 'Telkomsel', 'already', 'like', 'thief', 'please', ' evaluation']</v>
      </c>
      <c r="D8899" s="3">
        <v>1.0</v>
      </c>
    </row>
    <row r="8900" ht="15.75" customHeight="1">
      <c r="A8900" s="1">
        <v>9486.0</v>
      </c>
      <c r="B8900" s="3" t="s">
        <v>8547</v>
      </c>
      <c r="C8900" s="3" t="str">
        <f>IFERROR(__xludf.DUMMYFUNCTION("GOOGLETRANSLATE(B8900,""id"",""en"")"),"['Ngentod', 'see', 'internet', 'quota', 'limit', 'ajg']")</f>
        <v>['Ngentod', 'see', 'internet', 'quota', 'limit', 'ajg']</v>
      </c>
      <c r="D8900" s="3">
        <v>1.0</v>
      </c>
    </row>
    <row r="8901" ht="15.75" customHeight="1">
      <c r="A8901" s="1">
        <v>9487.0</v>
      </c>
      <c r="B8901" s="3" t="s">
        <v>8548</v>
      </c>
      <c r="C8901" s="3" t="str">
        <f>IFERROR(__xludf.DUMMYFUNCTION("GOOGLETRANSLATE(B8901,""id"",""en"")"),"['Disappointed', 'Rotating', 'Video', 'Confirm', 'Masi', 'Telkmsl', 'Play', 'Automatic', 'Tetep', 'Confirm', 'Annoying']")</f>
        <v>['Disappointed', 'Rotating', 'Video', 'Confirm', 'Masi', 'Telkmsl', 'Play', 'Automatic', 'Tetep', 'Confirm', 'Annoying']</v>
      </c>
      <c r="D8901" s="3">
        <v>1.0</v>
      </c>
    </row>
    <row r="8902" ht="15.75" customHeight="1">
      <c r="A8902" s="1">
        <v>9488.0</v>
      </c>
      <c r="B8902" s="3" t="s">
        <v>8549</v>
      </c>
      <c r="C8902" s="3" t="str">
        <f>IFERROR(__xludf.DUMMYFUNCTION("GOOGLETRANSLATE(B8902,""id"",""en"")"),"['Slalu', 'star', 'Karna', 'Guts']")</f>
        <v>['Slalu', 'star', 'Karna', 'Guts']</v>
      </c>
      <c r="D8902" s="3">
        <v>5.0</v>
      </c>
    </row>
    <row r="8903" ht="15.75" customHeight="1">
      <c r="A8903" s="1">
        <v>9489.0</v>
      </c>
      <c r="B8903" s="3" t="s">
        <v>8550</v>
      </c>
      <c r="C8903" s="3" t="str">
        <f>IFERROR(__xludf.DUMMYFUNCTION("GOOGLETRANSLATE(B8903,""id"",""en"")"),"['Telkomsel', 'Slalu', 'Dihati']")</f>
        <v>['Telkomsel', 'Slalu', 'Dihati']</v>
      </c>
      <c r="D8903" s="3">
        <v>5.0</v>
      </c>
    </row>
    <row r="8904" ht="15.75" customHeight="1">
      <c r="A8904" s="1">
        <v>9490.0</v>
      </c>
      <c r="B8904" s="3" t="s">
        <v>8551</v>
      </c>
      <c r="C8904" s="3" t="str">
        <f>IFERROR(__xludf.DUMMYFUNCTION("GOOGLETRANSLATE(B8904,""id"",""en"")"),"['bad', 'application', 'open', 'stupid', 'Telkomsel', 'poor', ""]")</f>
        <v>['bad', 'application', 'open', 'stupid', 'Telkomsel', 'poor', "]</v>
      </c>
      <c r="D8904" s="3">
        <v>1.0</v>
      </c>
    </row>
    <row r="8905" ht="15.75" customHeight="1">
      <c r="A8905" s="1">
        <v>9491.0</v>
      </c>
      <c r="B8905" s="3" t="s">
        <v>8552</v>
      </c>
      <c r="C8905" s="3" t="str">
        <f>IFERROR(__xludf.DUMMYFUNCTION("GOOGLETRANSLATE(B8905,""id"",""en"")"),"['hope', 'network', 'internet', 'improved']")</f>
        <v>['hope', 'network', 'internet', 'improved']</v>
      </c>
      <c r="D8905" s="3">
        <v>4.0</v>
      </c>
    </row>
    <row r="8906" ht="15.75" customHeight="1">
      <c r="A8906" s="1">
        <v>9492.0</v>
      </c>
      <c r="B8906" s="3" t="s">
        <v>8553</v>
      </c>
      <c r="C8906" s="3" t="str">
        <f>IFERROR(__xludf.DUMMYFUNCTION("GOOGLETRANSLATE(B8906,""id"",""en"")"),"['', 'comment', 'Nge', 'ugly', 'ugly', 'Telkomsel', 'because' stupidity ',' understand ',' ngjalanin ',' procedure ',' dngan ',' should be "" ',' It's usually ',' blame ',' Doang ',' cave ',' network ',' fix ',' sampay ',' plobis', 'wiped', 'Expand', 'eve"&amp;"nly', 'organized', 'thank you', '']")</f>
        <v>['', 'comment', 'Nge', 'ugly', 'ugly', 'Telkomsel', 'because' stupidity ',' understand ',' ngjalanin ',' procedure ',' dngan ',' should be " ',' It's usually ',' blame ',' Doang ',' cave ',' network ',' fix ',' sampay ',' plobis', 'wiped', 'Expand', 'evenly', 'organized', 'thank you', '']</v>
      </c>
      <c r="D8906" s="3">
        <v>5.0</v>
      </c>
    </row>
    <row r="8907" ht="15.75" customHeight="1">
      <c r="A8907" s="1">
        <v>9493.0</v>
      </c>
      <c r="B8907" s="3" t="s">
        <v>8554</v>
      </c>
      <c r="C8907" s="3" t="str">
        <f>IFERROR(__xludf.DUMMYFUNCTION("GOOGLETRANSLATE(B8907,""id"",""en"")"),"['Hopefully', 'Telkomsel', 'leading', 'diverse', 'gift', 'service', 'best', 'customer']")</f>
        <v>['Hopefully', 'Telkomsel', 'leading', 'diverse', 'gift', 'service', 'best', 'customer']</v>
      </c>
      <c r="D8907" s="3">
        <v>5.0</v>
      </c>
    </row>
    <row r="8908" ht="15.75" customHeight="1">
      <c r="A8908" s="1">
        <v>9494.0</v>
      </c>
      <c r="B8908" s="3" t="s">
        <v>8555</v>
      </c>
      <c r="C8908" s="3" t="str">
        <f>IFERROR(__xludf.DUMMYFUNCTION("GOOGLETRANSLATE(B8908,""id"",""en"")"),"['Network', 'BURIK', 'SETINNN', '']")</f>
        <v>['Network', 'BURIK', 'SETINNN', '']</v>
      </c>
      <c r="D8908" s="3">
        <v>1.0</v>
      </c>
    </row>
    <row r="8909" ht="15.75" customHeight="1">
      <c r="A8909" s="1">
        <v>9495.0</v>
      </c>
      <c r="B8909" s="3" t="s">
        <v>8556</v>
      </c>
      <c r="C8909" s="3" t="str">
        <f>IFERROR(__xludf.DUMMYFUNCTION("GOOGLETRANSLATE(B8909,""id"",""en"")"),"['Pixel', 'Android', '']")</f>
        <v>['Pixel', 'Android', '']</v>
      </c>
      <c r="D8909" s="3">
        <v>5.0</v>
      </c>
    </row>
    <row r="8910" ht="15.75" customHeight="1">
      <c r="A8910" s="1">
        <v>9496.0</v>
      </c>
      <c r="B8910" s="3" t="s">
        <v>8557</v>
      </c>
      <c r="C8910" s="3" t="str">
        <f>IFERROR(__xludf.DUMMYFUNCTION("GOOGLETRANSLATE(B8910,""id"",""en"")"),"['', 'Sekarag', 'Open', 'Application', 'Yelkomsel', 'PDAJAH', 'UPDATE', 'MALH', 'Ngebleng', 'Open', 'Knp', 'Severe', "" ]")</f>
        <v>['', 'Sekarag', 'Open', 'Application', 'Yelkomsel', 'PDAJAH', 'UPDATE', 'MALH', 'Ngebleng', 'Open', 'Knp', 'Severe', " ]</v>
      </c>
      <c r="D8910" s="3">
        <v>5.0</v>
      </c>
    </row>
    <row r="8911" ht="15.75" customHeight="1">
      <c r="A8911" s="1">
        <v>9498.0</v>
      </c>
      <c r="B8911" s="3" t="s">
        <v>8558</v>
      </c>
      <c r="C8911" s="3" t="str">
        <f>IFERROR(__xludf.DUMMYFUNCTION("GOOGLETRANSLATE(B8911,""id"",""en"")"),"['KONLOLLL', 'Telkomsel', 'pig', 'Telkomsel', 'Sure', 'Telkomsel', 'Corruption', 'just', 'count', 'Rupiah', 'blessing', 'Haram', ' Eating ',' pulse ',' little ',' Cicil ',' pay attention ',' pulse ',' eat ',' bill ',' take ',' pulse ',' package ',' data '"&amp;",' Stay ' , 'animal', '']")</f>
        <v>['KONLOLLL', 'Telkomsel', 'pig', 'Telkomsel', 'Sure', 'Telkomsel', 'Corruption', 'just', 'count', 'Rupiah', 'blessing', 'Haram', ' Eating ',' pulse ',' little ',' Cicil ',' pay attention ',' pulse ',' eat ',' bill ',' take ',' pulse ',' package ',' data ',' Stay ' , 'animal', '']</v>
      </c>
      <c r="D8911" s="3">
        <v>1.0</v>
      </c>
    </row>
    <row r="8912" ht="15.75" customHeight="1">
      <c r="A8912" s="1">
        <v>9499.0</v>
      </c>
      <c r="B8912" s="3" t="s">
        <v>1167</v>
      </c>
      <c r="C8912" s="3" t="str">
        <f>IFERROR(__xludf.DUMMYFUNCTION("GOOGLETRANSLATE(B8912,""id"",""en"")"),"['help']")</f>
        <v>['help']</v>
      </c>
      <c r="D8912" s="3">
        <v>5.0</v>
      </c>
    </row>
    <row r="8913" ht="15.75" customHeight="1">
      <c r="A8913" s="1">
        <v>9500.0</v>
      </c>
      <c r="B8913" s="3" t="s">
        <v>8559</v>
      </c>
      <c r="C8913" s="3" t="str">
        <f>IFERROR(__xludf.DUMMYFUNCTION("GOOGLETRANSLATE(B8913,""id"",""en"")"),"['Steady', 'Telkomsel', 'version', 'the latest']")</f>
        <v>['Steady', 'Telkomsel', 'version', 'the latest']</v>
      </c>
      <c r="D8913" s="3">
        <v>5.0</v>
      </c>
    </row>
    <row r="8914" ht="15.75" customHeight="1">
      <c r="A8914" s="1">
        <v>9501.0</v>
      </c>
      <c r="B8914" s="3" t="s">
        <v>8560</v>
      </c>
      <c r="C8914" s="3" t="str">
        <f>IFERROR(__xludf.DUMMYFUNCTION("GOOGLETRANSLATE(B8914,""id"",""en"")"),"['light']")</f>
        <v>['light']</v>
      </c>
      <c r="D8914" s="3">
        <v>5.0</v>
      </c>
    </row>
    <row r="8915" ht="15.75" customHeight="1">
      <c r="A8915" s="1">
        <v>9502.0</v>
      </c>
      <c r="B8915" s="3" t="s">
        <v>8561</v>
      </c>
      <c r="C8915" s="3" t="str">
        <f>IFERROR(__xludf.DUMMYFUNCTION("GOOGLETRANSLATE(B8915,""id"",""en"")"),"['complained', 'DICKA', 'Natural', 'Uninstall', 'Install', 'result', 'skrg', ""]")</f>
        <v>['complained', 'DICKA', 'Natural', 'Uninstall', 'Install', 'result', 'skrg', "]</v>
      </c>
      <c r="D8915" s="3">
        <v>1.0</v>
      </c>
    </row>
    <row r="8916" ht="15.75" customHeight="1">
      <c r="A8916" s="1">
        <v>9503.0</v>
      </c>
      <c r="B8916" s="3" t="s">
        <v>8562</v>
      </c>
      <c r="C8916" s="3" t="str">
        <f>IFERROR(__xludf.DUMMYFUNCTION("GOOGLETRANSLATE(B8916,""id"",""en"")"),"['Severe', 'APK', 'Open']")</f>
        <v>['Severe', 'APK', 'Open']</v>
      </c>
      <c r="D8916" s="3">
        <v>1.0</v>
      </c>
    </row>
    <row r="8917" ht="15.75" customHeight="1">
      <c r="A8917" s="1">
        <v>9504.0</v>
      </c>
      <c r="B8917" s="3" t="s">
        <v>8563</v>
      </c>
      <c r="C8917" s="3" t="str">
        <f>IFERROR(__xludf.DUMMYFUNCTION("GOOGLETRANSLATE(B8917,""id"",""en"")"),"['apk', 'dozens',' yrs', 'sympathy', 'obstacle', 'cmn', 'darling', 'prnh', 'ngayaan', 'gift', 'lottery', 'point', ' ']")</f>
        <v>['apk', 'dozens',' yrs', 'sympathy', 'obstacle', 'cmn', 'darling', 'prnh', 'ngayaan', 'gift', 'lottery', 'point', ' ']</v>
      </c>
      <c r="D8917" s="3">
        <v>5.0</v>
      </c>
    </row>
    <row r="8918" ht="15.75" customHeight="1">
      <c r="A8918" s="1">
        <v>9505.0</v>
      </c>
      <c r="B8918" s="3" t="s">
        <v>8564</v>
      </c>
      <c r="C8918" s="3" t="str">
        <f>IFERROR(__xludf.DUMMYFUNCTION("GOOGLETRANSLATE(B8918,""id"",""en"")"),"['Telkomsel', 'Success', '']")</f>
        <v>['Telkomsel', 'Success', '']</v>
      </c>
      <c r="D8918" s="3">
        <v>5.0</v>
      </c>
    </row>
    <row r="8919" ht="15.75" customHeight="1">
      <c r="A8919" s="1">
        <v>9506.0</v>
      </c>
      <c r="B8919" s="3" t="s">
        <v>8565</v>
      </c>
      <c r="C8919" s="3" t="str">
        <f>IFERROR(__xludf.DUMMYFUNCTION("GOOGLETRANSLATE(B8919,""id"",""en"")"),"['tasty', 'really', 'apk', 'Telkomsel', 'easy', 'complicated', 'select', 'choose', 'paketan', 'date', 'price', 'cellphone', ' Anyway ',' Cap ',' Cus', '']")</f>
        <v>['tasty', 'really', 'apk', 'Telkomsel', 'easy', 'complicated', 'select', 'choose', 'paketan', 'date', 'price', 'cellphone', ' Anyway ',' Cap ',' Cus', '']</v>
      </c>
      <c r="D8919" s="3">
        <v>5.0</v>
      </c>
    </row>
    <row r="8920" ht="15.75" customHeight="1">
      <c r="A8920" s="1">
        <v>9507.0</v>
      </c>
      <c r="B8920" s="3" t="s">
        <v>8566</v>
      </c>
      <c r="C8920" s="3" t="str">
        <f>IFERROR(__xludf.DUMMYFUNCTION("GOOGLETRANSLATE(B8920,""id"",""en"")"),"['might', 'good', 'look', 'interesting']")</f>
        <v>['might', 'good', 'look', 'interesting']</v>
      </c>
      <c r="D8920" s="3">
        <v>5.0</v>
      </c>
    </row>
    <row r="8921" ht="15.75" customHeight="1">
      <c r="A8921" s="1">
        <v>9508.0</v>
      </c>
      <c r="B8921" s="3" t="s">
        <v>8567</v>
      </c>
      <c r="C8921" s="3" t="str">
        <f>IFERROR(__xludf.DUMMYFUNCTION("GOOGLETRANSLATE(B8921,""id"",""en"")"),"['Knp', 'open', 'apk', 'mlh', 'ngeblank', 'white', 'doang', 'mmbantu', 'skrng', 'mlh', 'rich', 'gini', ' down ',' star ',' klw ',' good ',' addin ',' ecewaaaa ']")</f>
        <v>['Knp', 'open', 'apk', 'mlh', 'ngeblank', 'white', 'doang', 'mmbantu', 'skrng', 'mlh', 'rich', 'gini', ' down ',' star ',' klw ',' good ',' addin ',' ecewaaaa ']</v>
      </c>
      <c r="D8921" s="3">
        <v>1.0</v>
      </c>
    </row>
    <row r="8922" ht="15.75" customHeight="1">
      <c r="A8922" s="1">
        <v>9509.0</v>
      </c>
      <c r="B8922" s="3" t="s">
        <v>8568</v>
      </c>
      <c r="C8922" s="3" t="str">
        <f>IFERROR(__xludf.DUMMYFUNCTION("GOOGLETRANSLATE(B8922,""id"",""en"")"),"['application', 'poor', 'opened', 'network', 'dilapidated', '']")</f>
        <v>['application', 'poor', 'opened', 'network', 'dilapidated', '']</v>
      </c>
      <c r="D8922" s="3">
        <v>1.0</v>
      </c>
    </row>
    <row r="8923" ht="15.75" customHeight="1">
      <c r="A8923" s="1">
        <v>9510.0</v>
      </c>
      <c r="B8923" s="3" t="s">
        <v>8569</v>
      </c>
      <c r="C8923" s="3" t="str">
        <f>IFERROR(__xludf.DUMMYFUNCTION("GOOGLETRANSLATE(B8923,""id"",""en"")"),"['Dowonload', '']")</f>
        <v>['Dowonload', '']</v>
      </c>
      <c r="D8923" s="3">
        <v>1.0</v>
      </c>
    </row>
    <row r="8924" ht="15.75" customHeight="1">
      <c r="A8924" s="1">
        <v>9512.0</v>
      </c>
      <c r="B8924" s="3" t="s">
        <v>8570</v>
      </c>
      <c r="C8924" s="3" t="str">
        <f>IFERROR(__xludf.DUMMYFUNCTION("GOOGLETRANSLATE(B8924,""id"",""en"")"),"['application', 'verytttttt', 'good']")</f>
        <v>['application', 'verytttttt', 'good']</v>
      </c>
      <c r="D8924" s="3">
        <v>5.0</v>
      </c>
    </row>
    <row r="8925" ht="15.75" customHeight="1">
      <c r="A8925" s="1">
        <v>9513.0</v>
      </c>
      <c r="B8925" s="3" t="s">
        <v>8571</v>
      </c>
      <c r="C8925" s="3" t="str">
        <f>IFERROR(__xludf.DUMMYFUNCTION("GOOGLETRANSLATE(B8925,""id"",""en"")"),"['quota', 'expensive', 'signal', 'relied on', 'quota', 'already', 'expensive', 'signal', 'slow', '']")</f>
        <v>['quota', 'expensive', 'signal', 'relied on', 'quota', 'already', 'expensive', 'signal', 'slow', '']</v>
      </c>
      <c r="D8925" s="3">
        <v>1.0</v>
      </c>
    </row>
    <row r="8926" ht="15.75" customHeight="1">
      <c r="A8926" s="1">
        <v>9514.0</v>
      </c>
      <c r="B8926" s="3" t="s">
        <v>8572</v>
      </c>
      <c r="C8926" s="3" t="str">
        <f>IFERROR(__xludf.DUMMYFUNCTION("GOOGLETRANSLATE(B8926,""id"",""en"")"),"['Honey', 'oaket', 'weekly', 'missing']")</f>
        <v>['Honey', 'oaket', 'weekly', 'missing']</v>
      </c>
      <c r="D8926" s="3">
        <v>5.0</v>
      </c>
    </row>
    <row r="8927" ht="15.75" customHeight="1">
      <c r="A8927" s="1">
        <v>9515.0</v>
      </c>
      <c r="B8927" s="3" t="s">
        <v>8573</v>
      </c>
      <c r="C8927" s="3" t="str">
        <f>IFERROR(__xludf.DUMMYFUNCTION("GOOGLETRANSLATE(B8927,""id"",""en"")"),"['Padek', 'Download', 'Application', 'Neh', 'Idak', 'Wak', 'Loss', 'NAQ']")</f>
        <v>['Padek', 'Download', 'Application', 'Neh', 'Idak', 'Wak', 'Loss', 'NAQ']</v>
      </c>
      <c r="D8927" s="3">
        <v>5.0</v>
      </c>
    </row>
    <row r="8928" ht="15.75" customHeight="1">
      <c r="A8928" s="1">
        <v>9516.0</v>
      </c>
      <c r="B8928" s="3" t="s">
        <v>8574</v>
      </c>
      <c r="C8928" s="3" t="str">
        <f>IFERROR(__xludf.DUMMYFUNCTION("GOOGLETRANSLATE(B8928,""id"",""en"")"),"['disappointing', 'bget', 'signal', 'missing', 'missing', 'app', 'dbuka', '']")</f>
        <v>['disappointing', 'bget', 'signal', 'missing', 'missing', 'app', 'dbuka', '']</v>
      </c>
      <c r="D8928" s="3">
        <v>1.0</v>
      </c>
    </row>
    <row r="8929" ht="15.75" customHeight="1">
      <c r="A8929" s="1">
        <v>9517.0</v>
      </c>
      <c r="B8929" s="3" t="s">
        <v>8575</v>
      </c>
      <c r="C8929" s="3" t="str">
        <f>IFERROR(__xludf.DUMMYFUNCTION("GOOGLETRANSLATE(B8929,""id"",""en"")"),"['price', 'quota', 'suw', 'already', 'comfortable', 'taikin', 'price', 'quota', 'bonus']")</f>
        <v>['price', 'quota', 'suw', 'already', 'comfortable', 'taikin', 'price', 'quota', 'bonus']</v>
      </c>
      <c r="D8929" s="3">
        <v>2.0</v>
      </c>
    </row>
    <row r="8930" ht="15.75" customHeight="1">
      <c r="A8930" s="1">
        <v>9518.0</v>
      </c>
      <c r="B8930" s="3" t="s">
        <v>8576</v>
      </c>
      <c r="C8930" s="3" t="str">
        <f>IFERROR(__xludf.DUMMYFUNCTION("GOOGLETRANSLATE(B8930,""id"",""en"")"),"['Here', 'Application', 'Difficult', 'Accessible', 'Yaa', 'Open', 'App', 'Loading', 'Puol', 'Quota', 'Ato', 'Limit', ' quota', '']")</f>
        <v>['Here', 'Application', 'Difficult', 'Accessible', 'Yaa', 'Open', 'App', 'Loading', 'Puol', 'Quota', 'Ato', 'Limit', ' quota', '']</v>
      </c>
      <c r="D8930" s="3">
        <v>1.0</v>
      </c>
    </row>
    <row r="8931" ht="15.75" customHeight="1">
      <c r="A8931" s="1">
        <v>9519.0</v>
      </c>
      <c r="B8931" s="3" t="s">
        <v>8577</v>
      </c>
      <c r="C8931" s="3" t="str">
        <f>IFERROR(__xludf.DUMMYFUNCTION("GOOGLETRANSLATE(B8931,""id"",""en"")"),"['Week', 'open', 'apk', 'Telkomsel', 'gabisa', 'delete', 'donlod', 'tetep', 'gabisa', 'open']")</f>
        <v>['Week', 'open', 'apk', 'Telkomsel', 'gabisa', 'delete', 'donlod', 'tetep', 'gabisa', 'open']</v>
      </c>
      <c r="D8931" s="3">
        <v>2.0</v>
      </c>
    </row>
    <row r="8932" ht="15.75" customHeight="1">
      <c r="A8932" s="1">
        <v>9520.0</v>
      </c>
      <c r="B8932" s="3" t="s">
        <v>8578</v>
      </c>
      <c r="C8932" s="3" t="str">
        <f>IFERROR(__xludf.DUMMYFUNCTION("GOOGLETRANSLATE(B8932,""id"",""en"")"),"['Update', 'bad', 'screen', 'blank', 'white']")</f>
        <v>['Update', 'bad', 'screen', 'blank', 'white']</v>
      </c>
      <c r="D8932" s="3">
        <v>1.0</v>
      </c>
    </row>
    <row r="8933" ht="15.75" customHeight="1">
      <c r="A8933" s="1">
        <v>9522.0</v>
      </c>
      <c r="B8933" s="3" t="s">
        <v>8579</v>
      </c>
      <c r="C8933" s="3" t="str">
        <f>IFERROR(__xludf.DUMMYFUNCTION("GOOGLETRANSLATE(B8933,""id"",""en"")"),"['Please', 'card', 'Adin', 'Package', 'Data', 'Kombo', 'Unlimited', 'RB', 'TMN', 'Cheap', 'Package', 'Nyh', ' rb ',' mulu ',' money ',' every time ',' min ',' sgitu ',' abis', 'divided', 'era', 'skrng', 'expensive', 'then', 'difficult' , 'Level', 'GOLD', "&amp;"'']")</f>
        <v>['Please', 'card', 'Adin', 'Package', 'Data', 'Kombo', 'Unlimited', 'RB', 'TMN', 'Cheap', 'Package', 'Nyh', ' rb ',' mulu ',' money ',' every time ',' min ',' sgitu ',' abis', 'divided', 'era', 'skrng', 'expensive', 'then', 'difficult' , 'Level', 'GOLD', '']</v>
      </c>
      <c r="D8933" s="3">
        <v>5.0</v>
      </c>
    </row>
    <row r="8934" ht="15.75" customHeight="1">
      <c r="A8934" s="1">
        <v>9523.0</v>
      </c>
      <c r="B8934" s="3" t="s">
        <v>8580</v>
      </c>
      <c r="C8934" s="3" t="str">
        <f>IFERROR(__xludf.DUMMYFUNCTION("GOOGLETRANSLATE(B8934,""id"",""en"")"),"['application', 'idiot', 'rich', 'gini', 'open', 'just', 'network', 'Telkomsel', '']")</f>
        <v>['application', 'idiot', 'rich', 'gini', 'open', 'just', 'network', 'Telkomsel', '']</v>
      </c>
      <c r="D8934" s="3">
        <v>1.0</v>
      </c>
    </row>
    <row r="8935" ht="15.75" customHeight="1">
      <c r="A8935" s="1">
        <v>9524.0</v>
      </c>
      <c r="B8935" s="3" t="s">
        <v>8581</v>
      </c>
      <c r="C8935" s="3" t="str">
        <f>IFERROR(__xludf.DUMMYFUNCTION("GOOGLETRANSLATE(B8935,""id"",""en"")"),"['Knpa', 'Sya', 'Install', 'APK', 'Please', 'Help', '']")</f>
        <v>['Knpa', 'Sya', 'Install', 'APK', 'Please', 'Help', '']</v>
      </c>
      <c r="D8935" s="3">
        <v>3.0</v>
      </c>
    </row>
    <row r="8936" ht="15.75" customHeight="1">
      <c r="A8936" s="1">
        <v>9525.0</v>
      </c>
      <c r="B8936" s="3" t="s">
        <v>8582</v>
      </c>
      <c r="C8936" s="3" t="str">
        <f>IFERROR(__xludf.DUMMYFUNCTION("GOOGLETRANSLATE(B8936,""id"",""en"")"),"['Network', 'slow', 'package', 'expensive', 'network', 'slow', 'kayak', 'turtle', 'Kura', ""]")</f>
        <v>['Network', 'slow', 'package', 'expensive', 'network', 'slow', 'kayak', 'turtle', 'Kura', "]</v>
      </c>
      <c r="D8936" s="3">
        <v>1.0</v>
      </c>
    </row>
    <row r="8937" ht="15.75" customHeight="1">
      <c r="A8937" s="1">
        <v>9526.0</v>
      </c>
      <c r="B8937" s="3" t="s">
        <v>8583</v>
      </c>
      <c r="C8937" s="3" t="str">
        <f>IFERROR(__xludf.DUMMYFUNCTION("GOOGLETRANSLATE(B8937,""id"",""en"")"),"['Safety', 'internet', 'dahasyattttttt']")</f>
        <v>['Safety', 'internet', 'dahasyattttttt']</v>
      </c>
      <c r="D8937" s="3">
        <v>5.0</v>
      </c>
    </row>
    <row r="8938" ht="15.75" customHeight="1">
      <c r="A8938" s="1">
        <v>9527.0</v>
      </c>
      <c r="B8938" s="3" t="s">
        <v>8584</v>
      </c>
      <c r="C8938" s="3" t="str">
        <f>IFERROR(__xludf.DUMMYFUNCTION("GOOGLETRANSLATE(B8938,""id"",""en"")"),"['application', 'error', 'bsa', 'opened']")</f>
        <v>['application', 'error', 'bsa', 'opened']</v>
      </c>
      <c r="D8938" s="3">
        <v>1.0</v>
      </c>
    </row>
    <row r="8939" ht="15.75" customHeight="1">
      <c r="A8939" s="1">
        <v>9528.0</v>
      </c>
      <c r="B8939" s="3" t="s">
        <v>8585</v>
      </c>
      <c r="C8939" s="3" t="str">
        <f>IFERROR(__xludf.DUMMYFUNCTION("GOOGLETRANSLATE(B8939,""id"",""en"")"),"['like', 'application', 'basically', 'cheap', '']")</f>
        <v>['like', 'application', 'basically', 'cheap', '']</v>
      </c>
      <c r="D8939" s="3">
        <v>5.0</v>
      </c>
    </row>
    <row r="8940" ht="15.75" customHeight="1">
      <c r="A8940" s="1">
        <v>9529.0</v>
      </c>
      <c r="B8940" s="3" t="s">
        <v>8586</v>
      </c>
      <c r="C8940" s="3" t="str">
        <f>IFERROR(__xludf.DUMMYFUNCTION("GOOGLETRANSLATE(B8940,""id"",""en"")"),"['update', 'not', 'opened', 'delete', 'cache', 'good', 'difficult', 'accessed', 'please', 'repair', ""]")</f>
        <v>['update', 'not', 'opened', 'delete', 'cache', 'good', 'difficult', 'accessed', 'please', 'repair', "]</v>
      </c>
      <c r="D8940" s="3">
        <v>1.0</v>
      </c>
    </row>
    <row r="8941" ht="15.75" customHeight="1">
      <c r="A8941" s="1">
        <v>9530.0</v>
      </c>
      <c r="B8941" s="3" t="s">
        <v>8587</v>
      </c>
      <c r="C8941" s="3" t="str">
        <f>IFERROR(__xludf.DUMMYFUNCTION("GOOGLETRANSLATE(B8941,""id"",""en"")"),"['Mendowlod', 'Telkomsel', 'no', 'open', 'please', ""]")</f>
        <v>['Mendowlod', 'Telkomsel', 'no', 'open', 'please', "]</v>
      </c>
      <c r="D8941" s="3">
        <v>5.0</v>
      </c>
    </row>
    <row r="8942" ht="15.75" customHeight="1">
      <c r="A8942" s="1">
        <v>9531.0</v>
      </c>
      <c r="B8942" s="3" t="s">
        <v>8588</v>
      </c>
      <c r="C8942" s="3" t="str">
        <f>IFERROR(__xludf.DUMMYFUNCTION("GOOGLETRANSLATE(B8942,""id"",""en"")"),"['', 'signal', 'ugly', 'difficult', 'maen', 'game', 'online']")</f>
        <v>['', 'signal', 'ugly', 'difficult', 'maen', 'game', 'online']</v>
      </c>
      <c r="D8942" s="3">
        <v>2.0</v>
      </c>
    </row>
    <row r="8943" ht="15.75" customHeight="1">
      <c r="A8943" s="1">
        <v>9532.0</v>
      </c>
      <c r="B8943" s="3" t="s">
        <v>8589</v>
      </c>
      <c r="C8943" s="3" t="str">
        <f>IFERROR(__xludf.DUMMYFUNCTION("GOOGLETRANSLATE(B8943,""id"",""en"")"),"['Thank you', 'Telkomsel', 'service', 'convoluted', 'turned']")</f>
        <v>['Thank you', 'Telkomsel', 'service', 'convoluted', 'turned']</v>
      </c>
      <c r="D8943" s="3">
        <v>1.0</v>
      </c>
    </row>
    <row r="8944" ht="15.75" customHeight="1">
      <c r="A8944" s="1">
        <v>9533.0</v>
      </c>
      <c r="B8944" s="3" t="s">
        <v>8590</v>
      </c>
      <c r="C8944" s="3" t="str">
        <f>IFERROR(__xludf.DUMMYFUNCTION("GOOGLETRANSLATE(B8944,""id"",""en"")"),"['Updated', 'apps']")</f>
        <v>['Updated', 'apps']</v>
      </c>
      <c r="D8944" s="3">
        <v>2.0</v>
      </c>
    </row>
    <row r="8945" ht="15.75" customHeight="1">
      <c r="A8945" s="1">
        <v>9534.0</v>
      </c>
      <c r="B8945" s="3" t="s">
        <v>8591</v>
      </c>
      <c r="C8945" s="3" t="str">
        <f>IFERROR(__xludf.DUMMYFUNCTION("GOOGLETRANSLATE(B8945,""id"",""en"")"),"['Sulusion', 'Telkomsel', 'opened', 'tlong', 'clarified']")</f>
        <v>['Sulusion', 'Telkomsel', 'opened', 'tlong', 'clarified']</v>
      </c>
      <c r="D8945" s="3">
        <v>5.0</v>
      </c>
    </row>
    <row r="8946" ht="15.75" customHeight="1">
      <c r="A8946" s="1">
        <v>9535.0</v>
      </c>
      <c r="B8946" s="3" t="s">
        <v>8592</v>
      </c>
      <c r="C8946" s="3" t="str">
        <f>IFERROR(__xludf.DUMMYFUNCTION("GOOGLETRANSLATE(B8946,""id"",""en"")"),"['Date', 'December', 'Telkomsel', 'open', 'just', 'blank', 'white', 'screen', 'app', 'delete', 'intol', 'repeat', ' reset ',' restar ',' repeated ',' reset ',' result ',' blank ',' white ',' Samsung ',' package ',' data ',' open ',' app ',' another ' , 'C"&amp;"urrent', 'Jaya', 'Please', 'Solution', 'Trima', 'Love', 'Customer', 'Telkom', 'Cell', 'MOVER', '']")</f>
        <v>['Date', 'December', 'Telkomsel', 'open', 'just', 'blank', 'white', 'screen', 'app', 'delete', 'intol', 'repeat', ' reset ',' restar ',' repeated ',' reset ',' result ',' blank ',' white ',' Samsung ',' package ',' data ',' open ',' app ',' another ' , 'Current', 'Jaya', 'Please', 'Solution', 'Trima', 'Love', 'Customer', 'Telkom', 'Cell', 'MOVER', '']</v>
      </c>
      <c r="D8946" s="3">
        <v>3.0</v>
      </c>
    </row>
    <row r="8947" ht="15.75" customHeight="1">
      <c r="A8947" s="1">
        <v>9536.0</v>
      </c>
      <c r="B8947" s="3" t="s">
        <v>8593</v>
      </c>
      <c r="C8947" s="3" t="str">
        <f>IFERROR(__xludf.DUMMYFUNCTION("GOOGLETRANSLATE(B8947,""id"",""en"")"),"['contents', 'package', 'data', 'enter', 'quota', 'pdahal', 'pulse', 'already', 'sumps']")</f>
        <v>['contents', 'package', 'data', 'enter', 'quota', 'pdahal', 'pulse', 'already', 'sumps']</v>
      </c>
      <c r="D8947" s="3">
        <v>1.0</v>
      </c>
    </row>
    <row r="8948" ht="15.75" customHeight="1">
      <c r="A8948" s="1">
        <v>9537.0</v>
      </c>
      <c r="B8948" s="3" t="s">
        <v>8594</v>
      </c>
      <c r="C8948" s="3" t="str">
        <f>IFERROR(__xludf.DUMMYFUNCTION("GOOGLETRANSLATE(B8948,""id"",""en"")"),"['Package', 'unlimted', 'delicious', 'restricted', 'quota', 'speed', 'limit', 'change', 'card']")</f>
        <v>['Package', 'unlimted', 'delicious', 'restricted', 'quota', 'speed', 'limit', 'change', 'card']</v>
      </c>
      <c r="D8948" s="3">
        <v>2.0</v>
      </c>
    </row>
    <row r="8949" ht="15.75" customHeight="1">
      <c r="A8949" s="1">
        <v>9538.0</v>
      </c>
      <c r="B8949" s="3" t="s">
        <v>8595</v>
      </c>
      <c r="C8949" s="3" t="str">
        <f>IFERROR(__xludf.DUMMYFUNCTION("GOOGLETRANSLATE(B8949,""id"",""en"")"),"['Where', 'contact', 'admin', 'get', 'package', 'tariff', 'low', 'affordable', 'netizen', 'remote']")</f>
        <v>['Where', 'contact', 'admin', 'get', 'package', 'tariff', 'low', 'affordable', 'netizen', 'remote']</v>
      </c>
      <c r="D8949" s="3">
        <v>2.0</v>
      </c>
    </row>
    <row r="8950" ht="15.75" customHeight="1">
      <c r="A8950" s="1">
        <v>9539.0</v>
      </c>
      <c r="B8950" s="3" t="s">
        <v>8596</v>
      </c>
      <c r="C8950" s="3" t="str">
        <f>IFERROR(__xludf.DUMMYFUNCTION("GOOGLETRANSLATE(B8950,""id"",""en"")"),"['Mon', 'Maap', 'watch', 'network', 'visits', 'recovered', 'Lebuh', ""]")</f>
        <v>['Mon', 'Maap', 'watch', 'network', 'visits', 'recovered', 'Lebuh', "]</v>
      </c>
      <c r="D8950" s="3">
        <v>1.0</v>
      </c>
    </row>
    <row r="8951" ht="15.75" customHeight="1">
      <c r="A8951" s="1">
        <v>9540.0</v>
      </c>
      <c r="B8951" s="3" t="s">
        <v>8597</v>
      </c>
      <c r="C8951" s="3" t="str">
        <f>IFERROR(__xludf.DUMMYFUNCTION("GOOGLETRANSLATE(B8951,""id"",""en"")"),"['Mantap', 'Kouta', 'free']")</f>
        <v>['Mantap', 'Kouta', 'free']</v>
      </c>
      <c r="D8951" s="3">
        <v>5.0</v>
      </c>
    </row>
    <row r="8952" ht="15.75" customHeight="1">
      <c r="A8952" s="1">
        <v>9541.0</v>
      </c>
      <c r="B8952" s="3" t="s">
        <v>8598</v>
      </c>
      <c r="C8952" s="3" t="str">
        <f>IFERROR(__xludf.DUMMYFUNCTION("GOOGLETRANSLATE(B8952,""id"",""en"")"),"['ehhh', 'Kouta', 'Pny', 'BLI', 'GB', 'RB', 'SKRG', 'RB', 'Telkomsel', 'GTU', 'Donkkkk', 'Nnt', ' Move ',' kluine ',' heart ']")</f>
        <v>['ehhh', 'Kouta', 'Pny', 'BLI', 'GB', 'RB', 'SKRG', 'RB', 'Telkomsel', 'GTU', 'Donkkkk', 'Nnt', ' Move ',' kluine ',' heart ']</v>
      </c>
      <c r="D8952" s="3">
        <v>3.0</v>
      </c>
    </row>
    <row r="8953" ht="15.75" customHeight="1">
      <c r="A8953" s="1">
        <v>9542.0</v>
      </c>
      <c r="B8953" s="3" t="s">
        <v>4106</v>
      </c>
      <c r="C8953" s="3" t="str">
        <f>IFERROR(__xludf.DUMMYFUNCTION("GOOGLETRANSLATE(B8953,""id"",""en"")"),"['application', '']")</f>
        <v>['application', '']</v>
      </c>
      <c r="D8953" s="3">
        <v>5.0</v>
      </c>
    </row>
    <row r="8954" ht="15.75" customHeight="1">
      <c r="A8954" s="1">
        <v>9543.0</v>
      </c>
      <c r="B8954" s="3" t="s">
        <v>8599</v>
      </c>
      <c r="C8954" s="3" t="str">
        <f>IFERROR(__xludf.DUMMYFUNCTION("GOOGLETRANSLATE(B8954,""id"",""en"")"),"['pulse', 'leftover', 'package', 'missing', 'gajelas']")</f>
        <v>['pulse', 'leftover', 'package', 'missing', 'gajelas']</v>
      </c>
      <c r="D8954" s="3">
        <v>1.0</v>
      </c>
    </row>
    <row r="8955" ht="15.75" customHeight="1">
      <c r="A8955" s="1">
        <v>9544.0</v>
      </c>
      <c r="B8955" s="3" t="s">
        <v>8600</v>
      </c>
      <c r="C8955" s="3" t="str">
        <f>IFERROR(__xludf.DUMMYFUNCTION("GOOGLETRANSLATE(B8955,""id"",""en"")"),"['', 'Telkom', 'Open', 'Mending', 'Switch', 'Card', 'Smartfreen']")</f>
        <v>['', 'Telkom', 'Open', 'Mending', 'Switch', 'Card', 'Smartfreen']</v>
      </c>
      <c r="D8955" s="3">
        <v>1.0</v>
      </c>
    </row>
    <row r="8956" ht="15.75" customHeight="1">
      <c r="A8956" s="1">
        <v>9545.0</v>
      </c>
      <c r="B8956" s="3" t="s">
        <v>8601</v>
      </c>
      <c r="C8956" s="3" t="str">
        <f>IFERROR(__xludf.DUMMYFUNCTION("GOOGLETRANSLATE(B8956,""id"",""en"")"),"['TOP', 'See', 'quota', 'buy', 'quota']")</f>
        <v>['TOP', 'See', 'quota', 'buy', 'quota']</v>
      </c>
      <c r="D8956" s="3">
        <v>5.0</v>
      </c>
    </row>
    <row r="8957" ht="15.75" customHeight="1">
      <c r="A8957" s="1">
        <v>9546.0</v>
      </c>
      <c r="B8957" s="3" t="s">
        <v>8602</v>
      </c>
      <c r="C8957" s="3" t="str">
        <f>IFERROR(__xludf.DUMMYFUNCTION("GOOGLETRANSLATE(B8957,""id"",""en"")"),"['', 'Ngerti', 'ngak', 'lgi', 'transfer', 'via', 'banking', 'gara', 'signal', 'ilang', 'transfer', 'balance', 'nyampe ',' receiver ',' balance ',' kpotong ',' mode ',' plane ',' udh ',' mode ',' suggestion ',' provider ']")</f>
        <v>['', 'Ngerti', 'ngak', 'lgi', 'transfer', 'via', 'banking', 'gara', 'signal', 'ilang', 'transfer', 'balance', 'nyampe ',' receiver ',' balance ',' kpotong ',' mode ',' plane ',' udh ',' mode ',' suggestion ',' provider ']</v>
      </c>
      <c r="D8957" s="3">
        <v>1.0</v>
      </c>
    </row>
    <row r="8958" ht="15.75" customHeight="1">
      <c r="A8958" s="1">
        <v>9547.0</v>
      </c>
      <c r="B8958" s="3" t="s">
        <v>8603</v>
      </c>
      <c r="C8958" s="3" t="str">
        <f>IFERROR(__xludf.DUMMYFUNCTION("GOOGLETRANSLATE(B8958,""id"",""en"")"),"['disappointed', 'application', 'open', 'dowload', 'times', 'please', 'donk', 'kak']")</f>
        <v>['disappointed', 'application', 'open', 'dowload', 'times', 'please', 'donk', 'kak']</v>
      </c>
      <c r="D8958" s="3">
        <v>5.0</v>
      </c>
    </row>
    <row r="8959" ht="15.75" customHeight="1">
      <c r="A8959" s="1">
        <v>9549.0</v>
      </c>
      <c r="B8959" s="3" t="s">
        <v>8604</v>
      </c>
      <c r="C8959" s="3" t="str">
        <f>IFERROR(__xludf.DUMMYFUNCTION("GOOGLETRANSLATE(B8959,""id"",""en"")"),"['Credit', 'cave', 'rb', 'leftover', 'rb', 'right', 'check', 'purchase', 'package', 'internet', 'buy', 'package', ' Package ',' Data ',' Please ',' Turnover ',' Pulse ',' Maling ',' ']")</f>
        <v>['Credit', 'cave', 'rb', 'leftover', 'rb', 'right', 'check', 'purchase', 'package', 'internet', 'buy', 'package', ' Package ',' Data ',' Please ',' Turnover ',' Pulse ',' Maling ',' ']</v>
      </c>
      <c r="D8959" s="3">
        <v>1.0</v>
      </c>
    </row>
    <row r="8960" ht="15.75" customHeight="1">
      <c r="A8960" s="1">
        <v>9550.0</v>
      </c>
      <c r="B8960" s="3" t="s">
        <v>8605</v>
      </c>
      <c r="C8960" s="3" t="str">
        <f>IFERROR(__xludf.DUMMYFUNCTION("GOOGLETRANSLATE(B8960,""id"",""en"")"),"['update', 'screen', 'white', 'opened', 'network', 'lost', 'Hadeh', 'quota', 'mehoonggg', 'koq', 'tmbh', 'ugly', ' Cells', 'Move', 'Provider', 'Gini', '']")</f>
        <v>['update', 'screen', 'white', 'opened', 'network', 'lost', 'Hadeh', 'quota', 'mehoonggg', 'koq', 'tmbh', 'ugly', ' Cells', 'Move', 'Provider', 'Gini', '']</v>
      </c>
      <c r="D8960" s="3">
        <v>2.0</v>
      </c>
    </row>
    <row r="8961" ht="15.75" customHeight="1">
      <c r="A8961" s="1">
        <v>9552.0</v>
      </c>
      <c r="B8961" s="3" t="s">
        <v>8606</v>
      </c>
      <c r="C8961" s="3" t="str">
        <f>IFERROR(__xludf.DUMMYFUNCTION("GOOGLETRANSLATE(B8961,""id"",""en"")"),"['Price', 'tmbah', 'mhal']")</f>
        <v>['Price', 'tmbah', 'mhal']</v>
      </c>
      <c r="D8961" s="3">
        <v>4.0</v>
      </c>
    </row>
    <row r="8962" ht="15.75" customHeight="1">
      <c r="A8962" s="1">
        <v>9553.0</v>
      </c>
      <c r="B8962" s="3" t="s">
        <v>8607</v>
      </c>
      <c r="C8962" s="3" t="str">
        <f>IFERROR(__xludf.DUMMYFUNCTION("GOOGLETRANSLATE(B8962,""id"",""en"")"),"['Honest', 'Disappointed', 'Telkomsel', 'Asik', 'Play', 'Game', 'Data', 'ilang', 'APK', 'MyTelkomsel', 'already', 'that's',' Enter ',' Sometimes', 'Sometimes',' Failed ',' Original ',' Really ',' Disappointed ',' Thn ',' Make ',' Telkomsel ',' Times', 'Ma"&amp;"in', 'Game' , 'comfortable', 'make', 'data', 'Telkomsel']")</f>
        <v>['Honest', 'Disappointed', 'Telkomsel', 'Asik', 'Play', 'Game', 'Data', 'ilang', 'APK', 'MyTelkomsel', 'already', 'that's',' Enter ',' Sometimes', 'Sometimes',' Failed ',' Original ',' Really ',' Disappointed ',' Thn ',' Make ',' Telkomsel ',' Times', 'Main', 'Game' , 'comfortable', 'make', 'data', 'Telkomsel']</v>
      </c>
      <c r="D8962" s="3">
        <v>2.0</v>
      </c>
    </row>
    <row r="8963" ht="15.75" customHeight="1">
      <c r="A8963" s="1">
        <v>9554.0</v>
      </c>
      <c r="B8963" s="3" t="s">
        <v>8608</v>
      </c>
      <c r="C8963" s="3" t="str">
        <f>IFERROR(__xludf.DUMMYFUNCTION("GOOGLETRANSLATE(B8963,""id"",""en"")"),"['Telkomsel', 'Network', 'Worst', 'Rasain', 'Manyakan', 'Customer', 'Disappointed']")</f>
        <v>['Telkomsel', 'Network', 'Worst', 'Rasain', 'Manyakan', 'Customer', 'Disappointed']</v>
      </c>
      <c r="D8963" s="3">
        <v>1.0</v>
      </c>
    </row>
    <row r="8964" ht="15.75" customHeight="1">
      <c r="A8964" s="1">
        <v>9555.0</v>
      </c>
      <c r="B8964" s="3" t="s">
        <v>8609</v>
      </c>
      <c r="C8964" s="3" t="str">
        <f>IFERROR(__xludf.DUMMYFUNCTION("GOOGLETRANSLATE(B8964,""id"",""en"")"),"['price', 'class', 'quality', 'class', 'signal', 'stuck', 'bar', 'signal', 'good']")</f>
        <v>['price', 'class', 'quality', 'class', 'signal', 'stuck', 'bar', 'signal', 'good']</v>
      </c>
      <c r="D8964" s="3">
        <v>1.0</v>
      </c>
    </row>
    <row r="8965" ht="15.75" customHeight="1">
      <c r="A8965" s="1">
        <v>9556.0</v>
      </c>
      <c r="B8965" s="3" t="s">
        <v>6323</v>
      </c>
      <c r="C8965" s="3" t="str">
        <f>IFERROR(__xludf.DUMMYFUNCTION("GOOGLETRANSLATE(B8965,""id"",""en"")"),"['Like', 'Telkomsel']")</f>
        <v>['Like', 'Telkomsel']</v>
      </c>
      <c r="D8965" s="3">
        <v>5.0</v>
      </c>
    </row>
    <row r="8966" ht="15.75" customHeight="1">
      <c r="A8966" s="1">
        <v>9557.0</v>
      </c>
      <c r="B8966" s="3" t="s">
        <v>8610</v>
      </c>
      <c r="C8966" s="3" t="str">
        <f>IFERROR(__xludf.DUMMYFUNCTION("GOOGLETRANSLATE(B8966,""id"",""en"")"),"['thank', 'love', 'team', 'Telkomsel', 'happy', 'features',' features', 'apk', 'telkomsel', 'there', 'price', 'price', ' quota ',' cheap ',' fast ',' trusted ',' so ',' thank ',' love ', ""]")</f>
        <v>['thank', 'love', 'team', 'Telkomsel', 'happy', 'features',' features', 'apk', 'telkomsel', 'there', 'price', 'price', ' quota ',' cheap ',' fast ',' trusted ',' so ',' thank ',' love ', "]</v>
      </c>
      <c r="D8966" s="3">
        <v>5.0</v>
      </c>
    </row>
    <row r="8967" ht="15.75" customHeight="1">
      <c r="A8967" s="1">
        <v>9558.0</v>
      </c>
      <c r="B8967" s="3" t="s">
        <v>8611</v>
      </c>
      <c r="C8967" s="3" t="str">
        <f>IFERROR(__xludf.DUMMYFUNCTION("GOOGLETRANSLATE(B8967,""id"",""en"")"),"['signal', 'bad', 'exact', 'area', 'Lubuk', 'bother', 'kec', 'lempuing', 'Jaya', 'kab', 'oki', 'sumsel', ' Please, 'Fix', 'Signal', 'Oenuk', 'TPI', 'LEGAR', 'METER', 'Tower']")</f>
        <v>['signal', 'bad', 'exact', 'area', 'Lubuk', 'bother', 'kec', 'lempuing', 'Jaya', 'kab', 'oki', 'sumsel', ' Please, 'Fix', 'Signal', 'Oenuk', 'TPI', 'LEGAR', 'METER', 'Tower']</v>
      </c>
      <c r="D8967" s="3">
        <v>1.0</v>
      </c>
    </row>
    <row r="8968" ht="15.75" customHeight="1">
      <c r="A8968" s="1">
        <v>9559.0</v>
      </c>
      <c r="B8968" s="3" t="s">
        <v>8612</v>
      </c>
      <c r="C8968" s="3" t="str">
        <f>IFERROR(__xludf.DUMMYFUNCTION("GOOGLETRANSLATE(B8968,""id"",""en"")"),"['Paketan', 'Doang', 'expensive', 'buy', 'signal', 'ugly', 'Mulu', 'disappointed']")</f>
        <v>['Paketan', 'Doang', 'expensive', 'buy', 'signal', 'ugly', 'Mulu', 'disappointed']</v>
      </c>
      <c r="D8968" s="3">
        <v>1.0</v>
      </c>
    </row>
    <row r="8969" ht="15.75" customHeight="1">
      <c r="A8969" s="1">
        <v>9560.0</v>
      </c>
      <c r="B8969" s="3" t="s">
        <v>8613</v>
      </c>
      <c r="C8969" s="3" t="str">
        <f>IFERROR(__xludf.DUMMYFUNCTION("GOOGLETRANSLATE(B8969,""id"",""en"")"),"['chaotic', 'told', 'update', 'update', 'kak', 'open', 'told', 'follow', 'complain', 'medsos',' twitel ',' etc. ',' Solution ',' lie ',' ']")</f>
        <v>['chaotic', 'told', 'update', 'update', 'kak', 'open', 'told', 'follow', 'complain', 'medsos',' twitel ',' etc. ',' Solution ',' lie ',' ']</v>
      </c>
      <c r="D8969" s="3">
        <v>1.0</v>
      </c>
    </row>
    <row r="8970" ht="15.75" customHeight="1">
      <c r="A8970" s="1">
        <v>9561.0</v>
      </c>
      <c r="B8970" s="3" t="s">
        <v>8614</v>
      </c>
      <c r="C8970" s="3" t="str">
        <f>IFERROR(__xludf.DUMMYFUNCTION("GOOGLETRANSLATE(B8970,""id"",""en"")"),"['apk', 'open', 'mulu', 'disturb', 'really', 'down', 'normal', 'dahh', 'kesell', 'deh', 'telkomsel', ""]")</f>
        <v>['apk', 'open', 'mulu', 'disturb', 'really', 'down', 'normal', 'dahh', 'kesell', 'deh', 'telkomsel', "]</v>
      </c>
      <c r="D8970" s="3">
        <v>1.0</v>
      </c>
    </row>
    <row r="8971" ht="15.75" customHeight="1">
      <c r="A8971" s="1">
        <v>9562.0</v>
      </c>
      <c r="B8971" s="3" t="s">
        <v>8615</v>
      </c>
      <c r="C8971" s="3" t="str">
        <f>IFERROR(__xludf.DUMMYFUNCTION("GOOGLETRANSLATE(B8971,""id"",""en"")"),"['Disappointed', 'really', 'network', 'severe', 'slow', 'no', 'net', 'customers', 'Telkomsel', 'moved', 'operator', ""]")</f>
        <v>['Disappointed', 'really', 'network', 'severe', 'slow', 'no', 'net', 'customers', 'Telkomsel', 'moved', 'operator', "]</v>
      </c>
      <c r="D8971" s="3">
        <v>1.0</v>
      </c>
    </row>
    <row r="8972" ht="15.75" customHeight="1">
      <c r="A8972" s="1">
        <v>9563.0</v>
      </c>
      <c r="B8972" s="3" t="s">
        <v>8616</v>
      </c>
      <c r="C8972" s="3" t="str">
        <f>IFERROR(__xludf.DUMMYFUNCTION("GOOGLETRANSLATE(B8972,""id"",""en"")"),"['times', 'disappointed', 'because', 'experience', 'network', 'bad', 'network', 'bad', 'pay', 'expensive', 'expensive']")</f>
        <v>['times', 'disappointed', 'because', 'experience', 'network', 'bad', 'network', 'bad', 'pay', 'expensive', 'expensive']</v>
      </c>
      <c r="D8972" s="3">
        <v>2.0</v>
      </c>
    </row>
    <row r="8973" ht="15.75" customHeight="1">
      <c r="A8973" s="1">
        <v>9564.0</v>
      </c>
      <c r="B8973" s="3" t="s">
        <v>8617</v>
      </c>
      <c r="C8973" s="3" t="str">
        <f>IFERROR(__xludf.DUMMYFUNCTION("GOOGLETRANSLATE(B8973,""id"",""en"")"),"['TOP', 'deh', 'basically', 'anti', 'slow', 'telephone', 'sms', 'jooosss']")</f>
        <v>['TOP', 'deh', 'basically', 'anti', 'slow', 'telephone', 'sms', 'jooosss']</v>
      </c>
      <c r="D8973" s="3">
        <v>5.0</v>
      </c>
    </row>
    <row r="8974" ht="15.75" customHeight="1">
      <c r="A8974" s="1">
        <v>9565.0</v>
      </c>
      <c r="B8974" s="3" t="s">
        <v>8618</v>
      </c>
      <c r="C8974" s="3" t="str">
        <f>IFERROR(__xludf.DUMMYFUNCTION("GOOGLETRANSLATE(B8974,""id"",""en"")"),"['Dozens', 'Telkomsel', 'Kenda', 'Sousal', 'ilang', 'remote']")</f>
        <v>['Dozens', 'Telkomsel', 'Kenda', 'Sousal', 'ilang', 'remote']</v>
      </c>
      <c r="D8974" s="3">
        <v>5.0</v>
      </c>
    </row>
    <row r="8975" ht="15.75" customHeight="1">
      <c r="A8975" s="1">
        <v>9566.0</v>
      </c>
      <c r="B8975" s="3" t="s">
        <v>8619</v>
      </c>
      <c r="C8975" s="3" t="str">
        <f>IFERROR(__xludf.DUMMYFUNCTION("GOOGLETRANSLATE(B8975,""id"",""en"")"),"['Combine', 'Purchase', 'Points']")</f>
        <v>['Combine', 'Purchase', 'Points']</v>
      </c>
      <c r="D8975" s="3">
        <v>3.0</v>
      </c>
    </row>
    <row r="8976" ht="15.75" customHeight="1">
      <c r="A8976" s="1">
        <v>9567.0</v>
      </c>
      <c r="B8976" s="3" t="s">
        <v>8620</v>
      </c>
      <c r="C8976" s="3" t="str">
        <f>IFERROR(__xludf.DUMMYFUNCTION("GOOGLETRANSLATE(B8976,""id"",""en"")"),"['Please', 'Telkomsel', 'Improved', 'Quality', 'Signal', 'Village', 'Pelaylang', 'Kec', 'Tebo', 'Kab', 'Tebo', 'Prov', ' Jambi ',' ']")</f>
        <v>['Please', 'Telkomsel', 'Improved', 'Quality', 'Signal', 'Village', 'Pelaylang', 'Kec', 'Tebo', 'Kab', 'Tebo', 'Prov', ' Jambi ',' ']</v>
      </c>
      <c r="D8976" s="3">
        <v>3.0</v>
      </c>
    </row>
    <row r="8977" ht="15.75" customHeight="1">
      <c r="A8977" s="1">
        <v>9568.0</v>
      </c>
      <c r="B8977" s="3" t="s">
        <v>8621</v>
      </c>
      <c r="C8977" s="3" t="str">
        <f>IFERROR(__xludf.DUMMYFUNCTION("GOOGLETRANSLATE(B8977,""id"",""en"")"),"['Network', 'Telkomsel', 'Sumbin', 'deteriorates', 'Sangat', 'Disrupted', 'Please', 'Telkomsel', 'Check', 'Condition', 'Network', 'Riau']")</f>
        <v>['Network', 'Telkomsel', 'Sumbin', 'deteriorates', 'Sangat', 'Disrupted', 'Please', 'Telkomsel', 'Check', 'Condition', 'Network', 'Riau']</v>
      </c>
      <c r="D8977" s="3">
        <v>3.0</v>
      </c>
    </row>
    <row r="8978" ht="15.75" customHeight="1">
      <c r="A8978" s="1">
        <v>9569.0</v>
      </c>
      <c r="B8978" s="3" t="s">
        <v>5260</v>
      </c>
      <c r="C8978" s="3" t="str">
        <f>IFERROR(__xludf.DUMMYFUNCTION("GOOGLETRANSLATE(B8978,""id"",""en"")"),"['Service', 'Telkomsel']")</f>
        <v>['Service', 'Telkomsel']</v>
      </c>
      <c r="D8978" s="3">
        <v>5.0</v>
      </c>
    </row>
    <row r="8979" ht="15.75" customHeight="1">
      <c r="A8979" s="1">
        <v>9570.0</v>
      </c>
      <c r="B8979" s="3" t="s">
        <v>8622</v>
      </c>
      <c r="C8979" s="3" t="str">
        <f>IFERROR(__xludf.DUMMYFUNCTION("GOOGLETRANSLATE(B8979,""id"",""en"")"),"['Love', 'nnty', 'enter', 'sorry', 'kak', 'start', 'input', 'number', 'call', 'TPI', 'enter']")</f>
        <v>['Love', 'nnty', 'enter', 'sorry', 'kak', 'start', 'input', 'number', 'call', 'TPI', 'enter']</v>
      </c>
      <c r="D8979" s="3">
        <v>1.0</v>
      </c>
    </row>
    <row r="8980" ht="15.75" customHeight="1">
      <c r="A8980" s="1">
        <v>9572.0</v>
      </c>
      <c r="B8980" s="3" t="s">
        <v>355</v>
      </c>
      <c r="C8980" s="3" t="str">
        <f>IFERROR(__xludf.DUMMYFUNCTION("GOOGLETRANSLATE(B8980,""id"",""en"")"),"['open', '']")</f>
        <v>['open', '']</v>
      </c>
      <c r="D8980" s="3">
        <v>5.0</v>
      </c>
    </row>
    <row r="8981" ht="15.75" customHeight="1">
      <c r="A8981" s="1">
        <v>9575.0</v>
      </c>
      <c r="B8981" s="3" t="s">
        <v>8623</v>
      </c>
      <c r="C8981" s="3" t="str">
        <f>IFERROR(__xludf.DUMMYFUNCTION("GOOGLETRANSLATE(B8981,""id"",""en"")"),"['Nice', 'fast', 'entry']")</f>
        <v>['Nice', 'fast', 'entry']</v>
      </c>
      <c r="D8981" s="3">
        <v>5.0</v>
      </c>
    </row>
    <row r="8982" ht="15.75" customHeight="1">
      <c r="A8982" s="1">
        <v>9576.0</v>
      </c>
      <c r="B8982" s="3" t="s">
        <v>8624</v>
      </c>
      <c r="C8982" s="3" t="str">
        <f>IFERROR(__xludf.DUMMYFUNCTION("GOOGLETRANSLATE(B8982,""id"",""en"")"),"['APK', 'good', 'useful', 'makes it easy', 'buy', 'package', 'success', 'Telkomsel', ""]")</f>
        <v>['APK', 'good', 'useful', 'makes it easy', 'buy', 'package', 'success', 'Telkomsel', "]</v>
      </c>
      <c r="D8982" s="3">
        <v>5.0</v>
      </c>
    </row>
    <row r="8983" ht="15.75" customHeight="1">
      <c r="A8983" s="1">
        <v>9577.0</v>
      </c>
      <c r="B8983" s="3" t="s">
        <v>8625</v>
      </c>
      <c r="C8983" s="3" t="str">
        <f>IFERROR(__xludf.DUMMYFUNCTION("GOOGLETRANSLATE(B8983,""id"",""en"")"),"['', 'application', 'talk', 'unlimited', 'game', 'sosmed', 'right', 'open', 'game', 'no']")</f>
        <v>['', 'application', 'talk', 'unlimited', 'game', 'sosmed', 'right', 'open', 'game', 'no']</v>
      </c>
      <c r="D8983" s="3">
        <v>1.0</v>
      </c>
    </row>
    <row r="8984" ht="15.75" customHeight="1">
      <c r="A8984" s="1">
        <v>9578.0</v>
      </c>
      <c r="B8984" s="3" t="s">
        <v>8626</v>
      </c>
      <c r="C8984" s="3" t="str">
        <f>IFERROR(__xludf.DUMMYFUNCTION("GOOGLETRANSLATE(B8984,""id"",""en"")"),"['love', 'star', 'ngepain', 'love', 'nintang', 'application', 'open']")</f>
        <v>['love', 'star', 'ngepain', 'love', 'nintang', 'application', 'open']</v>
      </c>
      <c r="D8984" s="3">
        <v>1.0</v>
      </c>
    </row>
    <row r="8985" ht="15.75" customHeight="1">
      <c r="A8985" s="1">
        <v>9579.0</v>
      </c>
      <c r="B8985" s="3" t="s">
        <v>8627</v>
      </c>
      <c r="C8985" s="3" t="str">
        <f>IFERROR(__xludf.DUMMYFUNCTION("GOOGLETRANSLATE(B8985,""id"",""en"")"),"['date', 'December', 'update', 'application', 'update', 'not', 'opened', 'deleted', 'download', 'reset', 'buy', 'pulse', ' Quota ',' Application ',' Samoai ',' Out ',' Quota ',' Credit ',' Opened ',' Congratulations', 'Live', 'Telkomsel', 'Use', 'Telkomse"&amp;"l']")</f>
        <v>['date', 'December', 'update', 'application', 'update', 'not', 'opened', 'deleted', 'download', 'reset', 'buy', 'pulse', ' Quota ',' Application ',' Samoai ',' Out ',' Quota ',' Credit ',' Opened ',' Congratulations', 'Live', 'Telkomsel', 'Use', 'Telkomsel']</v>
      </c>
      <c r="D8985" s="3">
        <v>1.0</v>
      </c>
    </row>
    <row r="8986" ht="15.75" customHeight="1">
      <c r="A8986" s="1">
        <v>9580.0</v>
      </c>
      <c r="B8986" s="3" t="s">
        <v>8628</v>
      </c>
      <c r="C8986" s="3" t="str">
        <f>IFERROR(__xludf.DUMMYFUNCTION("GOOGLETRANSLATE(B8986,""id"",""en"")"),"['slow', 'heavy', 'difficult', 'open']")</f>
        <v>['slow', 'heavy', 'difficult', 'open']</v>
      </c>
      <c r="D8986" s="3">
        <v>1.0</v>
      </c>
    </row>
    <row r="8987" ht="15.75" customHeight="1">
      <c r="A8987" s="1">
        <v>9581.0</v>
      </c>
      <c r="B8987" s="3" t="s">
        <v>8629</v>
      </c>
      <c r="C8987" s="3" t="str">
        <f>IFERROR(__xludf.DUMMYFUNCTION("GOOGLETRANSLATE(B8987,""id"",""en"")"),"['MHN', 'Permoved', 'Costs', 'internet']")</f>
        <v>['MHN', 'Permoved', 'Costs', 'internet']</v>
      </c>
      <c r="D8987" s="3">
        <v>5.0</v>
      </c>
    </row>
    <row r="8988" ht="15.75" customHeight="1">
      <c r="A8988" s="1">
        <v>9582.0</v>
      </c>
      <c r="B8988" s="3" t="s">
        <v>8630</v>
      </c>
      <c r="C8988" s="3" t="str">
        <f>IFERROR(__xludf.DUMMYFUNCTION("GOOGLETRANSLATE(B8988,""id"",""en"")"),"['app', 'open', '']")</f>
        <v>['app', 'open', '']</v>
      </c>
      <c r="D8988" s="3">
        <v>1.0</v>
      </c>
    </row>
    <row r="8989" ht="15.75" customHeight="1">
      <c r="A8989" s="1">
        <v>9583.0</v>
      </c>
      <c r="B8989" s="3" t="s">
        <v>8631</v>
      </c>
      <c r="C8989" s="3" t="str">
        <f>IFERROR(__xludf.DUMMYFUNCTION("GOOGLETRANSLATE(B8989,""id"",""en"")"),"['Telkomsel', 'expensive', 'Different', 'Provider']")</f>
        <v>['Telkomsel', 'expensive', 'Different', 'Provider']</v>
      </c>
      <c r="D8989" s="3">
        <v>2.0</v>
      </c>
    </row>
    <row r="8990" ht="15.75" customHeight="1">
      <c r="A8990" s="1">
        <v>9584.0</v>
      </c>
      <c r="B8990" s="3" t="s">
        <v>8632</v>
      </c>
      <c r="C8990" s="3" t="str">
        <f>IFERROR(__xludf.DUMMYFUNCTION("GOOGLETRANSLATE(B8990,""id"",""en"")"),"['', 'times',' buy ',' Kouta ',' Telkomsel ',' Select ',' Kouta ',' GB ',' Unlimited ',' Method ',' Payment ',' Indomaret ',' Total ',' The price ',' RB ',' Punyaran ',' failed ',' error ',' system ',' please ',' Try ',' complaint ',' Indomaret ',' enter "&amp;"',' automatic ', 'Affirm', 'decision', 'tomorrow', 'morning', 'as easy', 'pulse', 'failed', 'please', 'try', 'buy']")</f>
        <v>['', 'times',' buy ',' Kouta ',' Telkomsel ',' Select ',' Kouta ',' GB ',' Unlimited ',' Method ',' Payment ',' Indomaret ',' Total ',' The price ',' RB ',' Punyaran ',' failed ',' error ',' system ',' please ',' Try ',' complaint ',' Indomaret ',' enter ',' automatic ', 'Affirm', 'decision', 'tomorrow', 'morning', 'as easy', 'pulse', 'failed', 'please', 'try', 'buy']</v>
      </c>
      <c r="D8990" s="3">
        <v>1.0</v>
      </c>
    </row>
    <row r="8991" ht="15.75" customHeight="1">
      <c r="A8991" s="1">
        <v>9585.0</v>
      </c>
      <c r="B8991" s="3" t="s">
        <v>8633</v>
      </c>
      <c r="C8991" s="3" t="str">
        <f>IFERROR(__xludf.DUMMYFUNCTION("GOOGLETRANSLATE(B8991,""id"",""en"")"),"['Network', 'already', 'tmbh', 'stable', 'skrng', 'tasty', 'Telkomsel', 'area', 'sumbar', 'sector', ""]")</f>
        <v>['Network', 'already', 'tmbh', 'stable', 'skrng', 'tasty', 'Telkomsel', 'area', 'sumbar', 'sector', "]</v>
      </c>
      <c r="D8991" s="3">
        <v>2.0</v>
      </c>
    </row>
    <row r="8992" ht="15.75" customHeight="1">
      <c r="A8992" s="1">
        <v>9586.0</v>
      </c>
      <c r="B8992" s="3" t="s">
        <v>8634</v>
      </c>
      <c r="C8992" s="3" t="str">
        <f>IFERROR(__xludf.DUMMYFUNCTION("GOOGLETRANSLATE(B8992,""id"",""en"")"),"['price', 'package', 'quota', 'week', 'jdi', 'loss', 'consumer']")</f>
        <v>['price', 'package', 'quota', 'week', 'jdi', 'loss', 'consumer']</v>
      </c>
      <c r="D8992" s="3">
        <v>1.0</v>
      </c>
    </row>
    <row r="8993" ht="15.75" customHeight="1">
      <c r="A8993" s="1">
        <v>9587.0</v>
      </c>
      <c r="B8993" s="3" t="s">
        <v>8635</v>
      </c>
      <c r="C8993" s="3" t="str">
        <f>IFERROR(__xludf.DUMMYFUNCTION("GOOGLETRANSLATE(B8993,""id"",""en"")"),"['makes it easier', 'buy', 'quota']")</f>
        <v>['makes it easier', 'buy', 'quota']</v>
      </c>
      <c r="D8993" s="3">
        <v>4.0</v>
      </c>
    </row>
    <row r="8994" ht="15.75" customHeight="1">
      <c r="A8994" s="1">
        <v>9588.0</v>
      </c>
      <c r="B8994" s="3" t="s">
        <v>8636</v>
      </c>
      <c r="C8994" s="3" t="str">
        <f>IFERROR(__xludf.DUMMYFUNCTION("GOOGLETRANSLATE(B8994,""id"",""en"")"),"['', 'just', 'sndri', 'ngalemin', 'open', 'the application', 'screen', 'white', 'doang']")</f>
        <v>['', 'just', 'sndri', 'ngalemin', 'open', 'the application', 'screen', 'white', 'doang']</v>
      </c>
      <c r="D8994" s="3">
        <v>1.0</v>
      </c>
    </row>
    <row r="8995" ht="15.75" customHeight="1">
      <c r="A8995" s="1">
        <v>9589.0</v>
      </c>
      <c r="B8995" s="3" t="s">
        <v>8637</v>
      </c>
      <c r="C8995" s="3" t="str">
        <f>IFERROR(__xludf.DUMMYFUNCTION("GOOGLETRANSLATE(B8995,""id"",""en"")"),"['Peforma', 'Telkomsel', 'here', 'Severe', 'wanted', 'moved', 'card', 'Ker', 'neighbor']")</f>
        <v>['Peforma', 'Telkomsel', 'here', 'Severe', 'wanted', 'moved', 'card', 'Ker', 'neighbor']</v>
      </c>
      <c r="D8995" s="3">
        <v>1.0</v>
      </c>
    </row>
    <row r="8996" ht="15.75" customHeight="1">
      <c r="A8996" s="1">
        <v>9590.0</v>
      </c>
      <c r="B8996" s="3" t="s">
        <v>8638</v>
      </c>
      <c r="C8996" s="3" t="str">
        <f>IFERROR(__xludf.DUMMYFUNCTION("GOOGLETRANSLATE(B8996,""id"",""en"")"),"['APL', 'Telkom', 'opened', 'fix']")</f>
        <v>['APL', 'Telkom', 'opened', 'fix']</v>
      </c>
      <c r="D8996" s="3">
        <v>1.0</v>
      </c>
    </row>
    <row r="8997" ht="15.75" customHeight="1">
      <c r="A8997" s="1">
        <v>9591.0</v>
      </c>
      <c r="B8997" s="3" t="s">
        <v>8639</v>
      </c>
      <c r="C8997" s="3" t="str">
        <f>IFERROR(__xludf.DUMMYFUNCTION("GOOGLETRANSLATE(B8997,""id"",""en"")"),"['gave', 'star', 'because', 'pulse', 'data', 'cheap', 'just', 'steady']")</f>
        <v>['gave', 'star', 'because', 'pulse', 'data', 'cheap', 'just', 'steady']</v>
      </c>
      <c r="D8997" s="3">
        <v>5.0</v>
      </c>
    </row>
    <row r="8998" ht="15.75" customHeight="1">
      <c r="A8998" s="1">
        <v>9592.0</v>
      </c>
      <c r="B8998" s="3" t="s">
        <v>8640</v>
      </c>
      <c r="C8998" s="3" t="str">
        <f>IFERROR(__xludf.DUMMYFUNCTION("GOOGLETRANSLATE(B8998,""id"",""en"")"),"['Please', 'Telkomsel', 'Bonus',' Data ',' Buy ',' Package ',' Unlimited ',' YouTube ',' All Day ',' YouTube ',' Open ',' Package ',' Data ',' Abis', 'Instant', 'Cut', 'Credit', 'Package', 'Unlimited', 'YouTube', 'Bener', 'Believe', 'Doly Her', '']")</f>
        <v>['Please', 'Telkomsel', 'Bonus',' Data ',' Buy ',' Package ',' Unlimited ',' YouTube ',' All Day ',' YouTube ',' Open ',' Package ',' Data ',' Abis', 'Instant', 'Cut', 'Credit', 'Package', 'Unlimited', 'YouTube', 'Bener', 'Believe', 'Doly Her', '']</v>
      </c>
      <c r="D8998" s="3">
        <v>2.0</v>
      </c>
    </row>
    <row r="8999" ht="15.75" customHeight="1">
      <c r="A8999" s="1">
        <v>9593.0</v>
      </c>
      <c r="B8999" s="3" t="s">
        <v>8641</v>
      </c>
      <c r="C8999" s="3" t="str">
        <f>IFERROR(__xludf.DUMMYFUNCTION("GOOGLETRANSLATE(B8999,""id"",""en"")"),"['Telkomsel', 'detrimental', 'customer', 'already', 'bought', 'pact', 'combo', 'signal', 'slow']")</f>
        <v>['Telkomsel', 'detrimental', 'customer', 'already', 'bought', 'pact', 'combo', 'signal', 'slow']</v>
      </c>
      <c r="D8999" s="3">
        <v>1.0</v>
      </c>
    </row>
    <row r="9000" ht="15.75" customHeight="1">
      <c r="A9000" s="1">
        <v>9594.0</v>
      </c>
      <c r="B9000" s="3" t="s">
        <v>8642</v>
      </c>
      <c r="C9000" s="3" t="str">
        <f>IFERROR(__xludf.DUMMYFUNCTION("GOOGLETRANSLATE(B9000,""id"",""en"")"),"['The application', 'opened', 'already', 'Uninstall', 'Download', 'Tetep', 'opened', '']")</f>
        <v>['The application', 'opened', 'already', 'Uninstall', 'Download', 'Tetep', 'opened', '']</v>
      </c>
      <c r="D9000" s="3">
        <v>4.0</v>
      </c>
    </row>
    <row r="9001" ht="15.75" customHeight="1">
      <c r="A9001" s="1">
        <v>9595.0</v>
      </c>
      <c r="B9001" s="3" t="s">
        <v>8643</v>
      </c>
      <c r="C9001" s="3" t="str">
        <f>IFERROR(__xludf.DUMMYFUNCTION("GOOGLETRANSLATE(B9001,""id"",""en"")"),"['', 'best', '']")</f>
        <v>['', 'best', '']</v>
      </c>
      <c r="D9001" s="3">
        <v>5.0</v>
      </c>
    </row>
    <row r="9002" ht="15.75" customHeight="1">
      <c r="A9002" s="1">
        <v>9596.0</v>
      </c>
      <c r="B9002" s="3" t="s">
        <v>8644</v>
      </c>
      <c r="C9002" s="3" t="str">
        <f>IFERROR(__xludf.DUMMYFUNCTION("GOOGLETRANSLATE(B9002,""id"",""en"")"),"['Woiiii', 'Telkom', 'KNPA', 'Kouta', 'Games', 'Main', 'Game', 'LOL', 'Kouta', 'expensive', ""]")</f>
        <v>['Woiiii', 'Telkom', 'KNPA', 'Kouta', 'Games', 'Main', 'Game', 'LOL', 'Kouta', 'expensive', "]</v>
      </c>
      <c r="D9002" s="3">
        <v>1.0</v>
      </c>
    </row>
    <row r="9003" ht="15.75" customHeight="1">
      <c r="A9003" s="1">
        <v>9597.0</v>
      </c>
      <c r="B9003" s="3" t="s">
        <v>8645</v>
      </c>
      <c r="C9003" s="3" t="str">
        <f>IFERROR(__xludf.DUMMYFUNCTION("GOOGLETRANSLATE(B9003,""id"",""en"")"),"['Package', 'Entertainment', 'Multimedia', 'Dipake', 'Where', 'Open', 'Geogle', 'Tiktok', 'Dipake', 'Turn', 'Open', 'Titoktok', ' Sucked ',' Package ',' Regular ',' How ',' Telkomsel ',' What's', 'Try', 'Use', 'Package', 'Subscription', 'Card', 'Hello', '"&amp;"GB' , 'Entertainment', 'Regular', 'GB', 'Used']")</f>
        <v>['Package', 'Entertainment', 'Multimedia', 'Dipake', 'Where', 'Open', 'Geogle', 'Tiktok', 'Dipake', 'Turn', 'Open', 'Titoktok', ' Sucked ',' Package ',' Regular ',' How ',' Telkomsel ',' What's', 'Try', 'Use', 'Package', 'Subscription', 'Card', 'Hello', 'GB' , 'Entertainment', 'Regular', 'GB', 'Used']</v>
      </c>
      <c r="D9003" s="3">
        <v>1.0</v>
      </c>
    </row>
    <row r="9004" ht="15.75" customHeight="1">
      <c r="A9004" s="1">
        <v>9598.0</v>
      </c>
      <c r="B9004" s="3" t="s">
        <v>8646</v>
      </c>
      <c r="C9004" s="3" t="str">
        <f>IFERROR(__xludf.DUMMYFUNCTION("GOOGLETRANSLATE(B9004,""id"",""en"")"),"['Buy', 'Package', 'Sent', 'Indomaret']")</f>
        <v>['Buy', 'Package', 'Sent', 'Indomaret']</v>
      </c>
      <c r="D9004" s="3">
        <v>1.0</v>
      </c>
    </row>
    <row r="9005" ht="15.75" customHeight="1">
      <c r="A9005" s="1">
        <v>9599.0</v>
      </c>
      <c r="B9005" s="3" t="s">
        <v>8647</v>
      </c>
      <c r="C9005" s="3" t="str">
        <f>IFERROR(__xludf.DUMMYFUNCTION("GOOGLETRANSLATE(B9005,""id"",""en"")"),"['like', 'APL', 'Help', 'TPI', 'in', 'week', 'smpai', 'skarang', 'APL', 'Open', 'Please', 'Help', ' MyTelkomsel ',' ']")</f>
        <v>['like', 'APL', 'Help', 'TPI', 'in', 'week', 'smpai', 'skarang', 'APL', 'Open', 'Please', 'Help', ' MyTelkomsel ',' ']</v>
      </c>
      <c r="D9005" s="3">
        <v>5.0</v>
      </c>
    </row>
    <row r="9006" ht="15.75" customHeight="1">
      <c r="A9006" s="1">
        <v>9600.0</v>
      </c>
      <c r="B9006" s="3" t="s">
        <v>8648</v>
      </c>
      <c r="C9006" s="3" t="str">
        <f>IFERROR(__xludf.DUMMYFUNCTION("GOOGLETRANSLATE(B9006,""id"",""en"")"),"['Knp', 'application', 'opened', '']")</f>
        <v>['Knp', 'application', 'opened', '']</v>
      </c>
      <c r="D9006" s="3">
        <v>1.0</v>
      </c>
    </row>
    <row r="9007" ht="15.75" customHeight="1">
      <c r="A9007" s="1">
        <v>9601.0</v>
      </c>
      <c r="B9007" s="3" t="s">
        <v>8649</v>
      </c>
      <c r="C9007" s="3" t="str">
        <f>IFERROR(__xludf.DUMMYFUNCTION("GOOGLETRANSLATE(B9007,""id"",""en"")"),"['Severe', 'UDH', 'WEEK', 'Open', 'APK']")</f>
        <v>['Severe', 'UDH', 'WEEK', 'Open', 'APK']</v>
      </c>
      <c r="D9007" s="3">
        <v>1.0</v>
      </c>
    </row>
    <row r="9008" ht="15.75" customHeight="1">
      <c r="A9008" s="1">
        <v>9602.0</v>
      </c>
      <c r="B9008" s="3" t="s">
        <v>8650</v>
      </c>
      <c r="C9008" s="3" t="str">
        <f>IFERROR(__xludf.DUMMYFUNCTION("GOOGLETRANSLATE(B9008,""id"",""en"")"),"['HADEHEHH', 'HADEHEHH', 'signal', 'slow', 'boss', 'gini', 'sold', 'busett', 'closed', 'closed']")</f>
        <v>['HADEHEHH', 'HADEHEHH', 'signal', 'slow', 'boss', 'gini', 'sold', 'busett', 'closed', 'closed']</v>
      </c>
      <c r="D9008" s="3">
        <v>1.0</v>
      </c>
    </row>
    <row r="9009" ht="15.75" customHeight="1">
      <c r="A9009" s="1">
        <v>9603.0</v>
      </c>
      <c r="B9009" s="3" t="s">
        <v>7999</v>
      </c>
      <c r="C9009" s="3" t="str">
        <f>IFERROR(__xludf.DUMMYFUNCTION("GOOGLETRANSLATE(B9009,""id"",""en"")"),"['beneficial', '']")</f>
        <v>['beneficial', '']</v>
      </c>
      <c r="D9009" s="3">
        <v>5.0</v>
      </c>
    </row>
    <row r="9010" ht="15.75" customHeight="1">
      <c r="A9010" s="1">
        <v>9604.0</v>
      </c>
      <c r="B9010" s="3" t="s">
        <v>8651</v>
      </c>
      <c r="C9010" s="3" t="str">
        <f>IFERROR(__xludf.DUMMYFUNCTION("GOOGLETRANSLATE(B9010,""id"",""en"")"),"['Application', 'opened', 'yaa', 'troubles']")</f>
        <v>['Application', 'opened', 'yaa', 'troubles']</v>
      </c>
      <c r="D9010" s="3">
        <v>1.0</v>
      </c>
    </row>
    <row r="9011" ht="15.75" customHeight="1">
      <c r="A9011" s="1">
        <v>9605.0</v>
      </c>
      <c r="B9011" s="3" t="s">
        <v>8652</v>
      </c>
      <c r="C9011" s="3" t="str">
        <f>IFERROR(__xludf.DUMMYFUNCTION("GOOGLETRANSLATE(B9011,""id"",""en"")"),"['Good', 'promo', 'satisfying']")</f>
        <v>['Good', 'promo', 'satisfying']</v>
      </c>
      <c r="D9011" s="3">
        <v>5.0</v>
      </c>
    </row>
    <row r="9012" ht="15.75" customHeight="1">
      <c r="A9012" s="1">
        <v>9606.0</v>
      </c>
      <c r="B9012" s="3" t="s">
        <v>8653</v>
      </c>
      <c r="C9012" s="3" t="str">
        <f>IFERROR(__xludf.DUMMYFUNCTION("GOOGLETRANSLATE(B9012,""id"",""en"")"),"['Telkomsel', 'Severe', 'Network', 'Good', 'Disappointed', 'Mending', 'Change', 'Operator', 'Expensive', 'Doang', 'Jiair', 'expensive', ' ',' Jadiii ',' bapuk ',' operator ',' shame ',' shy ',' anjinnnggg ']")</f>
        <v>['Telkomsel', 'Severe', 'Network', 'Good', 'Disappointed', 'Mending', 'Change', 'Operator', 'Expensive', 'Doang', 'Jiair', 'expensive', ' ',' Jadiii ',' bapuk ',' operator ',' shame ',' shy ',' anjinnnggg ']</v>
      </c>
      <c r="D9012" s="3">
        <v>1.0</v>
      </c>
    </row>
    <row r="9013" ht="15.75" customHeight="1">
      <c r="A9013" s="1">
        <v>9607.0</v>
      </c>
      <c r="B9013" s="3" t="s">
        <v>8654</v>
      </c>
      <c r="C9013" s="3" t="str">
        <f>IFERROR(__xludf.DUMMYFUNCTION("GOOGLETRANSLATE(B9013,""id"",""en"")"),"['expensive', 'doang', 'signal', 'ugly', 'bsa', 'comfortable', 'consumer', 'idiot']")</f>
        <v>['expensive', 'doang', 'signal', 'ugly', 'bsa', 'comfortable', 'consumer', 'idiot']</v>
      </c>
      <c r="D9013" s="3">
        <v>1.0</v>
      </c>
    </row>
    <row r="9014" ht="15.75" customHeight="1">
      <c r="A9014" s="1">
        <v>9608.0</v>
      </c>
      <c r="B9014" s="3" t="s">
        <v>8655</v>
      </c>
      <c r="C9014" s="3" t="str">
        <f>IFERROR(__xludf.DUMMYFUNCTION("GOOGLETRANSLATE(B9014,""id"",""en"")"),"['application', 'help', 'remote']")</f>
        <v>['application', 'help', 'remote']</v>
      </c>
      <c r="D9014" s="3">
        <v>5.0</v>
      </c>
    </row>
    <row r="9015" ht="15.75" customHeight="1">
      <c r="A9015" s="1">
        <v>9609.0</v>
      </c>
      <c r="B9015" s="3" t="s">
        <v>1816</v>
      </c>
      <c r="C9015" s="3" t="str">
        <f>IFERROR(__xludf.DUMMYFUNCTION("GOOGLETRANSLATE(B9015,""id"",""en"")"),"['', 'Telkomsel', 'best']")</f>
        <v>['', 'Telkomsel', 'best']</v>
      </c>
      <c r="D9015" s="3">
        <v>5.0</v>
      </c>
    </row>
    <row r="9016" ht="15.75" customHeight="1">
      <c r="A9016" s="1">
        <v>9610.0</v>
      </c>
      <c r="B9016" s="3" t="s">
        <v>8656</v>
      </c>
      <c r="C9016" s="3" t="str">
        <f>IFERROR(__xludf.DUMMYFUNCTION("GOOGLETRANSLATE(B9016,""id"",""en"")"),"['hope', 'gift', 'gift', 'Christmas', ""]")</f>
        <v>['hope', 'gift', 'gift', 'Christmas', "]</v>
      </c>
      <c r="D9016" s="3">
        <v>5.0</v>
      </c>
    </row>
    <row r="9017" ht="15.75" customHeight="1">
      <c r="A9017" s="1">
        <v>9611.0</v>
      </c>
      <c r="B9017" s="3" t="s">
        <v>8657</v>
      </c>
      <c r="C9017" s="3" t="str">
        <f>IFERROR(__xludf.DUMMYFUNCTION("GOOGLETRANSLATE(B9017,""id"",""en"")"),"['App', 'list', 'quota', 'cheap', 'bang']")</f>
        <v>['App', 'list', 'quota', 'cheap', 'bang']</v>
      </c>
      <c r="D9017" s="3">
        <v>1.0</v>
      </c>
    </row>
    <row r="9018" ht="15.75" customHeight="1">
      <c r="A9018" s="1">
        <v>9612.0</v>
      </c>
      <c r="B9018" s="3" t="s">
        <v>8658</v>
      </c>
      <c r="C9018" s="3" t="str">
        <f>IFERROR(__xludf.DUMMYFUNCTION("GOOGLETRANSLATE(B9018,""id"",""en"")"),"['opened', 'color', 'white']")</f>
        <v>['opened', 'color', 'white']</v>
      </c>
      <c r="D9018" s="3">
        <v>1.0</v>
      </c>
    </row>
    <row r="9019" ht="15.75" customHeight="1">
      <c r="A9019" s="1">
        <v>9613.0</v>
      </c>
      <c r="B9019" s="3" t="s">
        <v>8659</v>
      </c>
      <c r="C9019" s="3" t="str">
        <f>IFERROR(__xludf.DUMMYFUNCTION("GOOGLETRANSLATE(B9019,""id"",""en"")"),"['Satisfied', 'Mgunkn', 'APL', 'Ribet', 'BLI', 'PKETAN', 'MKSIH', 'TLKMSEL', '']")</f>
        <v>['Satisfied', 'Mgunkn', 'APL', 'Ribet', 'BLI', 'PKETAN', 'MKSIH', 'TLKMSEL', '']</v>
      </c>
      <c r="D9019" s="3">
        <v>4.0</v>
      </c>
    </row>
    <row r="9020" ht="15.75" customHeight="1">
      <c r="A9020" s="1">
        <v>9614.0</v>
      </c>
      <c r="B9020" s="3" t="s">
        <v>8660</v>
      </c>
      <c r="C9020" s="3" t="str">
        <f>IFERROR(__xludf.DUMMYFUNCTION("GOOGLETRANSLATE(B9020,""id"",""en"")"),"['Steady', 'Affairs']")</f>
        <v>['Steady', 'Affairs']</v>
      </c>
      <c r="D9020" s="3">
        <v>5.0</v>
      </c>
    </row>
    <row r="9021" ht="15.75" customHeight="1">
      <c r="A9021" s="1">
        <v>9615.0</v>
      </c>
      <c r="B9021" s="3" t="s">
        <v>8661</v>
      </c>
      <c r="C9021" s="3" t="str">
        <f>IFERROR(__xludf.DUMMYFUNCTION("GOOGLETRANSLATE(B9021,""id"",""en"")"),"['Network', 'Telkomsel', 'ugly', 'bad', 'pdahal', 'quota', 'msih', 'signal', 'full', 'lemotttttt', 'bgtt', ""]")</f>
        <v>['Network', 'Telkomsel', 'ugly', 'bad', 'pdahal', 'quota', 'msih', 'signal', 'full', 'lemotttttt', 'bgtt', "]</v>
      </c>
      <c r="D9021" s="3">
        <v>1.0</v>
      </c>
    </row>
    <row r="9022" ht="15.75" customHeight="1">
      <c r="A9022" s="1">
        <v>9616.0</v>
      </c>
      <c r="B9022" s="3" t="s">
        <v>8662</v>
      </c>
      <c r="C9022" s="3" t="str">
        <f>IFERROR(__xludf.DUMMYFUNCTION("GOOGLETRANSLATE(B9022,""id"",""en"")"),"['Week', 'APK', 'Telkomsel', 'Open', '']")</f>
        <v>['Week', 'APK', 'Telkomsel', 'Open', '']</v>
      </c>
      <c r="D9022" s="3">
        <v>2.0</v>
      </c>
    </row>
    <row r="9023" ht="15.75" customHeight="1">
      <c r="A9023" s="1">
        <v>9617.0</v>
      </c>
      <c r="B9023" s="3" t="s">
        <v>8663</v>
      </c>
      <c r="C9023" s="3" t="str">
        <f>IFERROR(__xludf.DUMMYFUNCTION("GOOGLETRANSLATE(B9023,""id"",""en"")"),"['Trying', 'Exploring', 'Dapan', 'Experience', 'Extensive']")</f>
        <v>['Trying', 'Exploring', 'Dapan', 'Experience', 'Extensive']</v>
      </c>
      <c r="D9023" s="3">
        <v>5.0</v>
      </c>
    </row>
    <row r="9024" ht="15.75" customHeight="1">
      <c r="A9024" s="1">
        <v>9618.0</v>
      </c>
      <c r="B9024" s="3" t="s">
        <v>8664</v>
      </c>
      <c r="C9024" s="3" t="str">
        <f>IFERROR(__xludf.DUMMYFUNCTION("GOOGLETRANSLATE(B9024,""id"",""en"")"),"['Sorry', 'Love', 'Bintang', 'Honest', 'Telkomsel', 'Disappointing', 'Network', 'SaTabil', 'Price', 'Quotes',' Subscriptions', 'Severe', ' Plypetin ',' unlimited ',' quota ',' multimedia ',' alias', 'omg', 'kepake', 'quota', 'main', 'abis',' automatic ','"&amp;" pulse ',' stuff ' , 'pulses', 'sumps', 'fast', 'filled', 'disappointing', 'kayak', 'package', 'unlimited', 'quota', 'multimedian', 'dipake', '']")</f>
        <v>['Sorry', 'Love', 'Bintang', 'Honest', 'Telkomsel', 'Disappointing', 'Network', 'SaTabil', 'Price', 'Quotes',' Subscriptions', 'Severe', ' Plypetin ',' unlimited ',' quota ',' multimedia ',' alias', 'omg', 'kepake', 'quota', 'main', 'abis',' automatic ',' pulse ',' stuff ' , 'pulses', 'sumps', 'fast', 'filled', 'disappointing', 'kayak', 'package', 'unlimited', 'quota', 'multimedian', 'dipake', '']</v>
      </c>
      <c r="D9024" s="3">
        <v>2.0</v>
      </c>
    </row>
    <row r="9025" ht="15.75" customHeight="1">
      <c r="A9025" s="1">
        <v>9619.0</v>
      </c>
      <c r="B9025" s="3" t="s">
        <v>8665</v>
      </c>
      <c r="C9025" s="3" t="str">
        <f>IFERROR(__xludf.DUMMYFUNCTION("GOOGLETRANSLATE(B9025,""id"",""en"")"),"['fast', 'information', 'pulse', 'package', 'data']")</f>
        <v>['fast', 'information', 'pulse', 'package', 'data']</v>
      </c>
      <c r="D9025" s="3">
        <v>5.0</v>
      </c>
    </row>
    <row r="9026" ht="15.75" customHeight="1">
      <c r="A9026" s="1">
        <v>9620.0</v>
      </c>
      <c r="B9026" s="3" t="s">
        <v>8666</v>
      </c>
      <c r="C9026" s="3" t="str">
        <f>IFERROR(__xludf.DUMMYFUNCTION("GOOGLETRANSLATE(B9026,""id"",""en"")"),"['signal', 'missing', 'embossed']")</f>
        <v>['signal', 'missing', 'embossed']</v>
      </c>
      <c r="D9026" s="3">
        <v>4.0</v>
      </c>
    </row>
    <row r="9027" ht="15.75" customHeight="1">
      <c r="A9027" s="1">
        <v>9621.0</v>
      </c>
      <c r="B9027" s="3" t="s">
        <v>8667</v>
      </c>
      <c r="C9027" s="3" t="str">
        <f>IFERROR(__xludf.DUMMYFUNCTION("GOOGLETRANSLATE(B9027,""id"",""en"")"),"['Anjiing', 'error', 'Mulu', 'price', 'expensive', 'TPI', 'quality', 'ugly', 'what', 'gabisa', 'access', 'Telkomsel']")</f>
        <v>['Anjiing', 'error', 'Mulu', 'price', 'expensive', 'TPI', 'quality', 'ugly', 'what', 'gabisa', 'access', 'Telkomsel']</v>
      </c>
      <c r="D9027" s="3">
        <v>1.0</v>
      </c>
    </row>
    <row r="9028" ht="15.75" customHeight="1">
      <c r="A9028" s="1">
        <v>9622.0</v>
      </c>
      <c r="B9028" s="3" t="s">
        <v>8668</v>
      </c>
      <c r="C9028" s="3" t="str">
        <f>IFERROR(__xludf.DUMMYFUNCTION("GOOGLETRANSLATE(B9028,""id"",""en"")"),"['like', 'really', 'MyTelkomsel', 'makes it easy', 'buy', 'package', 'bnyak', 'promo', 'success', 'always', ""]")</f>
        <v>['like', 'really', 'MyTelkomsel', 'makes it easy', 'buy', 'package', 'bnyak', 'promo', 'success', 'always', "]</v>
      </c>
      <c r="D9028" s="3">
        <v>5.0</v>
      </c>
    </row>
    <row r="9029" ht="15.75" customHeight="1">
      <c r="A9029" s="1">
        <v>9623.0</v>
      </c>
      <c r="B9029" s="3" t="s">
        <v>8669</v>
      </c>
      <c r="C9029" s="3" t="str">
        <f>IFERROR(__xludf.DUMMYFUNCTION("GOOGLETRANSLATE(B9029,""id"",""en"")"),"['Open', 'please', 'Benerin', 'upgrade', 'just' just ']")</f>
        <v>['Open', 'please', 'Benerin', 'upgrade', 'just' just ']</v>
      </c>
      <c r="D9029" s="3">
        <v>2.0</v>
      </c>
    </row>
    <row r="9030" ht="15.75" customHeight="1">
      <c r="A9030" s="1">
        <v>9624.0</v>
      </c>
      <c r="B9030" s="3" t="s">
        <v>8670</v>
      </c>
      <c r="C9030" s="3" t="str">
        <f>IFERROR(__xludf.DUMMYFUNCTION("GOOGLETRANSLATE(B9030,""id"",""en"")"),"['Paketan', 'doang', 'expensive', 'signal', 'quality', 'internet', 'bad', 'alignment', 'signal', 'area', 'expensive', 'quality', ' ugly ',' Telkomsel ',' skrg ',' ugly ',' roll ',' mat ',' lose ',' provider ',' fix ',' tetep ',' slow ',' December ',' ']")</f>
        <v>['Paketan', 'doang', 'expensive', 'signal', 'quality', 'internet', 'bad', 'alignment', 'signal', 'area', 'expensive', 'quality', ' ugly ',' Telkomsel ',' skrg ',' ugly ',' roll ',' mat ',' lose ',' provider ',' fix ',' tetep ',' slow ',' December ',' ']</v>
      </c>
      <c r="D9030" s="3">
        <v>1.0</v>
      </c>
    </row>
    <row r="9031" ht="15.75" customHeight="1">
      <c r="A9031" s="1">
        <v>9625.0</v>
      </c>
      <c r="B9031" s="3" t="s">
        <v>8671</v>
      </c>
      <c r="C9031" s="3" t="str">
        <f>IFERROR(__xludf.DUMMYFUNCTION("GOOGLETRANSLATE(B9031,""id"",""en"")"),"['Disappointed', 'Telkomsel', 'Aaplication', 'NOT', 'Good', 'ugly', 'Diverted', 'Application', 'Telkomsel', 'Lite']")</f>
        <v>['Disappointed', 'Telkomsel', 'Aaplication', 'NOT', 'Good', 'ugly', 'Diverted', 'Application', 'Telkomsel', 'Lite']</v>
      </c>
      <c r="D9031" s="3">
        <v>1.0</v>
      </c>
    </row>
    <row r="9032" ht="15.75" customHeight="1">
      <c r="A9032" s="1">
        <v>9626.0</v>
      </c>
      <c r="B9032" s="3" t="s">
        <v>8672</v>
      </c>
      <c r="C9032" s="3" t="str">
        <f>IFERROR(__xludf.DUMMYFUNCTION("GOOGLETRANSLATE(B9032,""id"",""en"")"),"['Update', 'Open', 'appears', 'screen', 'white']")</f>
        <v>['Update', 'Open', 'appears', 'screen', 'white']</v>
      </c>
      <c r="D9032" s="3">
        <v>1.0</v>
      </c>
    </row>
    <row r="9033" ht="15.75" customHeight="1">
      <c r="A9033" s="1">
        <v>9628.0</v>
      </c>
      <c r="B9033" s="3" t="s">
        <v>8673</v>
      </c>
      <c r="C9033" s="3" t="str">
        <f>IFERROR(__xludf.DUMMYFUNCTION("GOOGLETRANSLATE(B9033,""id"",""en"")"),"['Install', 'Display', 'Full', 'Memory', 'Network', 'Abal', 'Abal', 'Errator', 'Upset']")</f>
        <v>['Install', 'Display', 'Full', 'Memory', 'Network', 'Abal', 'Abal', 'Errator', 'Upset']</v>
      </c>
      <c r="D9033" s="3">
        <v>1.0</v>
      </c>
    </row>
    <row r="9034" ht="15.75" customHeight="1">
      <c r="A9034" s="1">
        <v>9629.0</v>
      </c>
      <c r="B9034" s="3" t="s">
        <v>8674</v>
      </c>
      <c r="C9034" s="3" t="str">
        <f>IFERROR(__xludf.DUMMYFUNCTION("GOOGLETRANSLATE(B9034,""id"",""en"")"),"['Price', 'comparable', 'quality', 'network']")</f>
        <v>['Price', 'comparable', 'quality', 'network']</v>
      </c>
      <c r="D9034" s="3">
        <v>1.0</v>
      </c>
    </row>
    <row r="9035" ht="15.75" customHeight="1">
      <c r="A9035" s="1">
        <v>9630.0</v>
      </c>
      <c r="B9035" s="3" t="s">
        <v>8675</v>
      </c>
      <c r="C9035" s="3" t="str">
        <f>IFERROR(__xludf.DUMMYFUNCTION("GOOGLETRANSLATE(B9035,""id"",""en"")"),"['Telkomsel', 'quata', 'run out', 'eat', 'pulse', 'pulses', 'buy', 'package']")</f>
        <v>['Telkomsel', 'quata', 'run out', 'eat', 'pulse', 'pulses', 'buy', 'package']</v>
      </c>
      <c r="D9035" s="3">
        <v>4.0</v>
      </c>
    </row>
    <row r="9036" ht="15.75" customHeight="1">
      <c r="A9036" s="1">
        <v>9631.0</v>
      </c>
      <c r="B9036" s="3" t="s">
        <v>8676</v>
      </c>
      <c r="C9036" s="3" t="str">
        <f>IFERROR(__xludf.DUMMYFUNCTION("GOOGLETRANSLATE(B9036,""id"",""en"")"),"['Cool', 'package', 'cheap', 'cheap']")</f>
        <v>['Cool', 'package', 'cheap', 'cheap']</v>
      </c>
      <c r="D9036" s="3">
        <v>5.0</v>
      </c>
    </row>
    <row r="9037" ht="15.75" customHeight="1">
      <c r="A9037" s="1">
        <v>9632.0</v>
      </c>
      <c r="B9037" s="3" t="s">
        <v>8677</v>
      </c>
      <c r="C9037" s="3" t="str">
        <f>IFERROR(__xludf.DUMMYFUNCTION("GOOGLETRANSLATE(B9037,""id"",""en"")"),"['Sympathy', 'Signal', 'Amcur', 'Kayak', '']")</f>
        <v>['Sympathy', 'Signal', 'Amcur', 'Kayak', '']</v>
      </c>
      <c r="D9037" s="3">
        <v>1.0</v>
      </c>
    </row>
    <row r="9038" ht="15.75" customHeight="1">
      <c r="A9038" s="1">
        <v>9633.0</v>
      </c>
      <c r="B9038" s="3" t="s">
        <v>1869</v>
      </c>
      <c r="C9038" s="3" t="str">
        <f>IFERROR(__xludf.DUMMYFUNCTION("GOOGLETRANSLATE(B9038,""id"",""en"")"),"['', 'Telkomsel', 'Open', '']")</f>
        <v>['', 'Telkomsel', 'Open', '']</v>
      </c>
      <c r="D9038" s="3">
        <v>1.0</v>
      </c>
    </row>
    <row r="9039" ht="15.75" customHeight="1">
      <c r="A9039" s="1">
        <v>9634.0</v>
      </c>
      <c r="B9039" s="3" t="s">
        <v>8678</v>
      </c>
      <c r="C9039" s="3" t="str">
        <f>IFERROR(__xludf.DUMMYFUNCTION("GOOGLETRANSLATE(B9039,""id"",""en"")"),"['Out', 'updated', 'slow', 'picture', 'white', 'then', 'smpe', 'mnt']")</f>
        <v>['Out', 'updated', 'slow', 'picture', 'white', 'then', 'smpe', 'mnt']</v>
      </c>
      <c r="D9039" s="3">
        <v>1.0</v>
      </c>
    </row>
    <row r="9040" ht="15.75" customHeight="1">
      <c r="A9040" s="1">
        <v>9635.0</v>
      </c>
      <c r="B9040" s="3" t="s">
        <v>8679</v>
      </c>
      <c r="C9040" s="3" t="str">
        <f>IFERROR(__xludf.DUMMYFUNCTION("GOOGLETRANSLATE(B9040,""id"",""en"")"),"['', 'Disappointed', 'Telkomsel', 'Ngapa', 'What is', 'Credit', 'Sumpot', 'Mersasa', 'Corrupted', 'Thank', ""]")</f>
        <v>['', 'Disappointed', 'Telkomsel', 'Ngapa', 'What is', 'Credit', 'Sumpot', 'Mersasa', 'Corrupted', 'Thank', "]</v>
      </c>
      <c r="D9040" s="3">
        <v>1.0</v>
      </c>
    </row>
    <row r="9041" ht="15.75" customHeight="1">
      <c r="A9041" s="1">
        <v>9636.0</v>
      </c>
      <c r="B9041" s="3" t="s">
        <v>8680</v>
      </c>
      <c r="C9041" s="3" t="str">
        <f>IFERROR(__xludf.DUMMYFUNCTION("GOOGLETRANSLATE(B9041,""id"",""en"")"),"['signal', 'good', 'ugly', 'watch', 'vidio', 'muter', 'mulu', 'maen', 'game', 'ngelyg', 'signal', 'stable', ' Down ',' Mulu ',' ']")</f>
        <v>['signal', 'good', 'ugly', 'watch', 'vidio', 'muter', 'mulu', 'maen', 'game', 'ngelyg', 'signal', 'stable', ' Down ',' Mulu ',' ']</v>
      </c>
      <c r="D9041" s="3">
        <v>1.0</v>
      </c>
    </row>
    <row r="9042" ht="15.75" customHeight="1">
      <c r="A9042" s="1">
        <v>9637.0</v>
      </c>
      <c r="B9042" s="3" t="s">
        <v>8681</v>
      </c>
      <c r="C9042" s="3" t="str">
        <f>IFERROR(__xludf.DUMMYFUNCTION("GOOGLETRANSLATE(B9042,""id"",""en"")"),"['Lotten', 'min', 'promote']")</f>
        <v>['Lotten', 'min', 'promote']</v>
      </c>
      <c r="D9042" s="3">
        <v>5.0</v>
      </c>
    </row>
    <row r="9043" ht="15.75" customHeight="1">
      <c r="A9043" s="1">
        <v>9638.0</v>
      </c>
      <c r="B9043" s="3" t="s">
        <v>8682</v>
      </c>
      <c r="C9043" s="3" t="str">
        <f>IFERROR(__xludf.DUMMYFUNCTION("GOOGLETRANSLATE(B9043,""id"",""en"")"),"['knp', 'no', 'open', 'apk', 'apk', 'telkomsel', 'no', 'open', 'already', 'a week', 'no', 'open', ' The application ',' GMN ',' Telkomsel ',' Severe ',' Enter ',' Pitur ',' Help ',' GMN ',' The Application ',' No "", 'Opened', 'GMN', 'Mimin' , 'Rich', 'Oo"&amp;"n', 'application', 'chaotic', 'mimin', 'bloon']")</f>
        <v>['knp', 'no', 'open', 'apk', 'apk', 'telkomsel', 'no', 'open', 'already', 'a week', 'no', 'open', ' The application ',' GMN ',' Telkomsel ',' Severe ',' Enter ',' Pitur ',' Help ',' GMN ',' The Application ',' No ", 'Opened', 'GMN', 'Mimin' , 'Rich', 'Oon', 'application', 'chaotic', 'mimin', 'bloon']</v>
      </c>
      <c r="D9043" s="3">
        <v>1.0</v>
      </c>
    </row>
    <row r="9044" ht="15.75" customHeight="1">
      <c r="A9044" s="1">
        <v>9639.0</v>
      </c>
      <c r="B9044" s="3" t="s">
        <v>8683</v>
      </c>
      <c r="C9044" s="3" t="str">
        <f>IFERROR(__xludf.DUMMYFUNCTION("GOOGLETRANSLATE(B9044,""id"",""en"")"),"['Disappointed', 'signal', 'Telkomsel', 'already', 'kayak', 'card', 'cheap', 'lag', 'open', 'youtube', 'sometimes', 'difficult']")</f>
        <v>['Disappointed', 'signal', 'Telkomsel', 'already', 'kayak', 'card', 'cheap', 'lag', 'open', 'youtube', 'sometimes', 'difficult']</v>
      </c>
      <c r="D9044" s="3">
        <v>1.0</v>
      </c>
    </row>
    <row r="9045" ht="15.75" customHeight="1">
      <c r="A9045" s="1">
        <v>9640.0</v>
      </c>
      <c r="B9045" s="3" t="s">
        <v>8684</v>
      </c>
      <c r="C9045" s="3" t="str">
        <f>IFERROR(__xludf.DUMMYFUNCTION("GOOGLETRANSLATE(B9045,""id"",""en"")"),"['Telkomsel', 'signal', 'lemooootttt']")</f>
        <v>['Telkomsel', 'signal', 'lemooootttt']</v>
      </c>
      <c r="D9045" s="3">
        <v>2.0</v>
      </c>
    </row>
    <row r="9046" ht="15.75" customHeight="1">
      <c r="A9046" s="1">
        <v>9641.0</v>
      </c>
      <c r="B9046" s="3" t="s">
        <v>8685</v>
      </c>
      <c r="C9046" s="3" t="str">
        <f>IFERROR(__xludf.DUMMYFUNCTION("GOOGLETRANSLATE(B9046,""id"",""en"")"),"['Please', 'Increase', 'he married']")</f>
        <v>['Please', 'Increase', 'he married']</v>
      </c>
      <c r="D9046" s="3">
        <v>5.0</v>
      </c>
    </row>
    <row r="9047" ht="15.75" customHeight="1">
      <c r="A9047" s="1">
        <v>9642.0</v>
      </c>
      <c r="B9047" s="3" t="s">
        <v>8686</v>
      </c>
      <c r="C9047" s="3" t="str">
        <f>IFERROR(__xludf.DUMMYFUNCTION("GOOGLETRANSLATE(B9047,""id"",""en"")"),"['Loding', 'open', 'poor', 'no', 'progress', 'lose', 'OPRTR', '']")</f>
        <v>['Loding', 'open', 'poor', 'no', 'progress', 'lose', 'OPRTR', '']</v>
      </c>
      <c r="D9047" s="3">
        <v>1.0</v>
      </c>
    </row>
    <row r="9048" ht="15.75" customHeight="1">
      <c r="A9048" s="1">
        <v>9643.0</v>
      </c>
      <c r="B9048" s="3" t="s">
        <v>8687</v>
      </c>
      <c r="C9048" s="3" t="str">
        <f>IFERROR(__xludf.DUMMYFUNCTION("GOOGLETRANSLATE(B9048,""id"",""en"")"),"['application', 'gini', 'open', 'already', 'delete', 'dowload', 'already', 'comfortable', 'eeehhhhh', 'gini', ""]")</f>
        <v>['application', 'gini', 'open', 'already', 'delete', 'dowload', 'already', 'comfortable', 'eeehhhhh', 'gini', "]</v>
      </c>
      <c r="D9048" s="3">
        <v>2.0</v>
      </c>
    </row>
    <row r="9049" ht="15.75" customHeight="1">
      <c r="A9049" s="1">
        <v>9644.0</v>
      </c>
      <c r="B9049" s="3" t="s">
        <v>8688</v>
      </c>
      <c r="C9049" s="3" t="str">
        <f>IFERROR(__xludf.DUMMYFUNCTION("GOOGLETRANSLATE(B9049,""id"",""en"")"),"['Good', 'can', 'quota', 'free']")</f>
        <v>['Good', 'can', 'quota', 'free']</v>
      </c>
      <c r="D9049" s="3">
        <v>5.0</v>
      </c>
    </row>
    <row r="9050" ht="15.75" customHeight="1">
      <c r="A9050" s="1">
        <v>9645.0</v>
      </c>
      <c r="B9050" s="3" t="s">
        <v>8689</v>
      </c>
      <c r="C9050" s="3" t="str">
        <f>IFERROR(__xludf.DUMMYFUNCTION("GOOGLETRANSLATE(B9050,""id"",""en"")"),"['Slow', 'really', 'Telkomsel', 'Kayak', 'streaming', 'second', 'buffering', 'Mulu', 'users',' Telkomsel ',' disappointed ',' moved ',' Cars', 'Heart', 'Kayak', 'Gini', ""]")</f>
        <v>['Slow', 'really', 'Telkomsel', 'Kayak', 'streaming', 'second', 'buffering', 'Mulu', 'users',' Telkomsel ',' disappointed ',' moved ',' Cars', 'Heart', 'Kayak', 'Gini', "]</v>
      </c>
      <c r="D9050" s="3">
        <v>1.0</v>
      </c>
    </row>
    <row r="9051" ht="15.75" customHeight="1">
      <c r="A9051" s="1">
        <v>9646.0</v>
      </c>
      <c r="B9051" s="3" t="s">
        <v>8690</v>
      </c>
      <c r="C9051" s="3" t="str">
        <f>IFERROR(__xludf.DUMMYFUNCTION("GOOGLETRANSLATE(B9051,""id"",""en"")"),"['Customer', 'Telkomsel', 'Honest', 'Disappointed', 'Karna', 'Main', 'Ngelag', 'Mulu', 'Network', 'Telkom']")</f>
        <v>['Customer', 'Telkomsel', 'Honest', 'Disappointed', 'Karna', 'Main', 'Ngelag', 'Mulu', 'Network', 'Telkom']</v>
      </c>
      <c r="D9051" s="3">
        <v>2.0</v>
      </c>
    </row>
    <row r="9052" ht="15.75" customHeight="1">
      <c r="A9052" s="1">
        <v>9647.0</v>
      </c>
      <c r="B9052" s="3" t="s">
        <v>8691</v>
      </c>
      <c r="C9052" s="3" t="str">
        <f>IFERROR(__xludf.DUMMYFUNCTION("GOOGLETRANSLATE(B9052,""id"",""en"")"),"['Telkomsel', 'Dear', 'please', 'network', 'area', 'banned', 'nga', 'usually', 'just', 'chat', 'doang', ""]")</f>
        <v>['Telkomsel', 'Dear', 'please', 'network', 'area', 'banned', 'nga', 'usually', 'just', 'chat', 'doang', "]</v>
      </c>
      <c r="D9052" s="3">
        <v>3.0</v>
      </c>
    </row>
    <row r="9053" ht="15.75" customHeight="1">
      <c r="A9053" s="1">
        <v>9648.0</v>
      </c>
      <c r="B9053" s="3" t="s">
        <v>8692</v>
      </c>
      <c r="C9053" s="3" t="str">
        <f>IFERROR(__xludf.DUMMYFUNCTION("GOOGLETRANSLATE(B9053,""id"",""en"")"),"['application', 'bsa', 'open', '']")</f>
        <v>['application', 'bsa', 'open', '']</v>
      </c>
      <c r="D9053" s="3">
        <v>3.0</v>
      </c>
    </row>
    <row r="9054" ht="15.75" customHeight="1">
      <c r="A9054" s="1">
        <v>9649.0</v>
      </c>
      <c r="B9054" s="3" t="s">
        <v>8693</v>
      </c>
      <c r="C9054" s="3" t="str">
        <f>IFERROR(__xludf.DUMMYFUNCTION("GOOGLETRANSLATE(B9054,""id"",""en"")"),"['Love', 'Bintang', 'Good', 'Star']")</f>
        <v>['Love', 'Bintang', 'Good', 'Star']</v>
      </c>
      <c r="D9054" s="3">
        <v>2.0</v>
      </c>
    </row>
    <row r="9055" ht="15.75" customHeight="1">
      <c r="A9055" s="1">
        <v>9650.0</v>
      </c>
      <c r="B9055" s="3" t="s">
        <v>8694</v>
      </c>
      <c r="C9055" s="3" t="str">
        <f>IFERROR(__xludf.DUMMYFUNCTION("GOOGLETRANSLATE(B9055,""id"",""en"")"),"['application', 'Telkomsel', 'already', 'then', 'knp', 'open', 'already', 'delete', 'download', 'open', 'open', 'dimba', ' Yaa ', ""]")</f>
        <v>['application', 'Telkomsel', 'already', 'then', 'knp', 'open', 'already', 'delete', 'download', 'open', 'open', 'dimba', ' Yaa ', "]</v>
      </c>
      <c r="D9055" s="3">
        <v>1.0</v>
      </c>
    </row>
    <row r="9056" ht="15.75" customHeight="1">
      <c r="A9056" s="1">
        <v>9651.0</v>
      </c>
      <c r="B9056" s="3" t="s">
        <v>8695</v>
      </c>
      <c r="C9056" s="3" t="str">
        <f>IFERROR(__xludf.DUMMYFUNCTION("GOOGLETRANSLATE(B9056,""id"",""en"")"),"['Hopefully', 'fast', 'go bankrupt', 'yaa', 'ngeeleg', 'mulu', 'makasi', 'network', 'good', 'makasi', 'telkomtolllll']")</f>
        <v>['Hopefully', 'fast', 'go bankrupt', 'yaa', 'ngeeleg', 'mulu', 'makasi', 'network', 'good', 'makasi', 'telkomtolllll']</v>
      </c>
      <c r="D9056" s="3">
        <v>1.0</v>
      </c>
    </row>
    <row r="9057" ht="15.75" customHeight="1">
      <c r="A9057" s="1">
        <v>9652.0</v>
      </c>
      <c r="B9057" s="3" t="s">
        <v>8696</v>
      </c>
      <c r="C9057" s="3" t="str">
        <f>IFERROR(__xludf.DUMMYFUNCTION("GOOGLETRANSLATE(B9057,""id"",""en"")"),"['Easy', 'Direct', 'Regritation']")</f>
        <v>['Easy', 'Direct', 'Regritation']</v>
      </c>
      <c r="D9057" s="3">
        <v>5.0</v>
      </c>
    </row>
    <row r="9058" ht="15.75" customHeight="1">
      <c r="A9058" s="1">
        <v>9653.0</v>
      </c>
      <c r="B9058" s="3" t="s">
        <v>8697</v>
      </c>
      <c r="C9058" s="3" t="str">
        <f>IFERROR(__xludf.DUMMYFUNCTION("GOOGLETRANSLATE(B9058,""id"",""en"")"),"['times',' Open ',' Application ',' MyTelkomsel ',' Assessment ',' Content ',' Assessment ',' Fill ',' Times', 'Open', 'The application', 'annoying', ' times', 'Fill', 'Assessment']")</f>
        <v>['times',' Open ',' Application ',' MyTelkomsel ',' Assessment ',' Content ',' Assessment ',' Fill ',' Times', 'Open', 'The application', 'annoying', ' times', 'Fill', 'Assessment']</v>
      </c>
      <c r="D9058" s="3">
        <v>2.0</v>
      </c>
    </row>
    <row r="9059" ht="15.75" customHeight="1">
      <c r="A9059" s="1">
        <v>9655.0</v>
      </c>
      <c r="B9059" s="3" t="s">
        <v>8698</v>
      </c>
      <c r="C9059" s="3" t="str">
        <f>IFERROR(__xludf.DUMMYFUNCTION("GOOGLETRANSLATE(B9059,""id"",""en"")"),"['Sis', 'Mimin', 'updated', 'Asked', 'The application', 'Buy', 'Package', 'Difficult', ""]")</f>
        <v>['Sis', 'Mimin', 'updated', 'Asked', 'The application', 'Buy', 'Package', 'Difficult', "]</v>
      </c>
      <c r="D9059" s="3">
        <v>1.0</v>
      </c>
    </row>
    <row r="9060" ht="15.75" customHeight="1">
      <c r="A9060" s="1">
        <v>9656.0</v>
      </c>
      <c r="B9060" s="3" t="s">
        <v>8699</v>
      </c>
      <c r="C9060" s="3" t="str">
        <f>IFERROR(__xludf.DUMMYFUNCTION("GOOGLETRANSLATE(B9060,""id"",""en"")"),"['idiot', 'pig', 'anjg', 'signal', 'kek', 'kontl']")</f>
        <v>['idiot', 'pig', 'anjg', 'signal', 'kek', 'kontl']</v>
      </c>
      <c r="D9060" s="3">
        <v>1.0</v>
      </c>
    </row>
    <row r="9061" ht="15.75" customHeight="1">
      <c r="A9061" s="1">
        <v>9657.0</v>
      </c>
      <c r="B9061" s="3" t="s">
        <v>8700</v>
      </c>
      <c r="C9061" s="3" t="str">
        <f>IFERROR(__xludf.DUMMYFUNCTION("GOOGLETRANSLATE(B9061,""id"",""en"")"),"['Forced', 'I', 'Dour', 'Star', 'Out', 'Updated', 'Open', ""]")</f>
        <v>['Forced', 'I', 'Dour', 'Star', 'Out', 'Updated', 'Open', "]</v>
      </c>
      <c r="D9061" s="3">
        <v>3.0</v>
      </c>
    </row>
    <row r="9062" ht="15.75" customHeight="1">
      <c r="A9062" s="1">
        <v>9658.0</v>
      </c>
      <c r="B9062" s="3" t="s">
        <v>8701</v>
      </c>
      <c r="C9062" s="3" t="str">
        <f>IFERROR(__xludf.DUMMYFUNCTION("GOOGLETRANSLATE(B9062,""id"",""en"")"),"['Hopefully', 'package', 'per month', 'cheap']")</f>
        <v>['Hopefully', 'package', 'per month', 'cheap']</v>
      </c>
      <c r="D9062" s="3">
        <v>5.0</v>
      </c>
    </row>
    <row r="9063" ht="15.75" customHeight="1">
      <c r="A9063" s="1">
        <v>9659.0</v>
      </c>
      <c r="B9063" s="3" t="s">
        <v>8702</v>
      </c>
      <c r="C9063" s="3" t="str">
        <f>IFERROR(__xludf.DUMMYFUNCTION("GOOGLETRANSLATE(B9063,""id"",""en"")"),"['NTI', 'KLU', 'Lottery', 'Prizes', 'Love', 'Bintang', ""]")</f>
        <v>['NTI', 'KLU', 'Lottery', 'Prizes', 'Love', 'Bintang', "]</v>
      </c>
      <c r="D9063" s="3">
        <v>1.0</v>
      </c>
    </row>
    <row r="9064" ht="15.75" customHeight="1">
      <c r="A9064" s="1">
        <v>9660.0</v>
      </c>
      <c r="B9064" s="3" t="s">
        <v>8703</v>
      </c>
      <c r="C9064" s="3" t="str">
        <f>IFERROR(__xludf.DUMMYFUNCTION("GOOGLETRANSLATE(B9064,""id"",""en"")"),"['Point', 'Exchange']")</f>
        <v>['Point', 'Exchange']</v>
      </c>
      <c r="D9064" s="3">
        <v>1.0</v>
      </c>
    </row>
    <row r="9065" ht="15.75" customHeight="1">
      <c r="A9065" s="1">
        <v>9661.0</v>
      </c>
      <c r="B9065" s="3" t="s">
        <v>8704</v>
      </c>
      <c r="C9065" s="3" t="str">
        <f>IFERROR(__xludf.DUMMYFUNCTION("GOOGLETRANSLATE(B9065,""id"",""en"")"),"['Jngan', 'expensive', 'boss', 'package']")</f>
        <v>['Jngan', 'expensive', 'boss', 'package']</v>
      </c>
      <c r="D9065" s="3">
        <v>5.0</v>
      </c>
    </row>
    <row r="9066" ht="15.75" customHeight="1">
      <c r="A9066" s="1">
        <v>9662.0</v>
      </c>
      <c r="B9066" s="3" t="s">
        <v>8705</v>
      </c>
      <c r="C9066" s="3" t="str">
        <f>IFERROR(__xludf.DUMMYFUNCTION("GOOGLETRANSLATE(B9066,""id"",""en"")"),"['Good', 'really', 'application', 'nya']")</f>
        <v>['Good', 'really', 'application', 'nya']</v>
      </c>
      <c r="D9066" s="3">
        <v>5.0</v>
      </c>
    </row>
    <row r="9067" ht="15.75" customHeight="1">
      <c r="A9067" s="1">
        <v>9663.0</v>
      </c>
      <c r="B9067" s="3" t="s">
        <v>8706</v>
      </c>
      <c r="C9067" s="3" t="str">
        <f>IFERROR(__xludf.DUMMYFUNCTION("GOOGLETRANSLATE(B9067,""id"",""en"")"),"['intenet', 'SIH', 'Kenceng', 'TPI', 'December', 'Sinyal', 'Like', 'Woyy', 'Director', 'Bngst', 'Ngepain', ""]")</f>
        <v>['intenet', 'SIH', 'Kenceng', 'TPI', 'December', 'Sinyal', 'Like', 'Woyy', 'Director', 'Bngst', 'Ngepain', "]</v>
      </c>
      <c r="D9067" s="3">
        <v>1.0</v>
      </c>
    </row>
    <row r="9068" ht="15.75" customHeight="1">
      <c r="A9068" s="1">
        <v>9664.0</v>
      </c>
      <c r="B9068" s="3" t="s">
        <v>8707</v>
      </c>
      <c r="C9068" s="3" t="str">
        <f>IFERROR(__xludf.DUMMYFUNCTION("GOOGLETRANSLATE(B9068,""id"",""en"")"),"['network', 'package', 'internet', 'disappointing', 'action', 'accountability', 'provider']")</f>
        <v>['network', 'package', 'internet', 'disappointing', 'action', 'accountability', 'provider']</v>
      </c>
      <c r="D9068" s="3">
        <v>1.0</v>
      </c>
    </row>
    <row r="9069" ht="15.75" customHeight="1">
      <c r="A9069" s="1">
        <v>9665.0</v>
      </c>
      <c r="B9069" s="3" t="s">
        <v>8708</v>
      </c>
      <c r="C9069" s="3" t="str">
        <f>IFERROR(__xludf.DUMMYFUNCTION("GOOGLETRANSLATE(B9069,""id"",""en"")"),"['Disappointed', 'really', 'Suah', 'times', 'Download', 'Ngblank', 'Mulu', 'Applications', '']")</f>
        <v>['Disappointed', 'really', 'Suah', 'times', 'Download', 'Ngblank', 'Mulu', 'Applications', '']</v>
      </c>
      <c r="D9069" s="3">
        <v>1.0</v>
      </c>
    </row>
    <row r="9070" ht="15.75" customHeight="1">
      <c r="A9070" s="1">
        <v>9666.0</v>
      </c>
      <c r="B9070" s="3" t="s">
        <v>8709</v>
      </c>
      <c r="C9070" s="3" t="str">
        <f>IFERROR(__xludf.DUMMYFUNCTION("GOOGLETRANSLATE(B9070,""id"",""en"")"),"['Teuna', 'Tel', 'cell', 'Telkomsel', 'Yesterday', 'Open', 'screen', 'White', 'Delete', 'Download', 'Tetep', 'Open', ' Forgiveness', 'Lower', 'Bintang', '']")</f>
        <v>['Teuna', 'Tel', 'cell', 'Telkomsel', 'Yesterday', 'Open', 'screen', 'White', 'Delete', 'Download', 'Tetep', 'Open', ' Forgiveness', 'Lower', 'Bintang', '']</v>
      </c>
      <c r="D9070" s="3">
        <v>1.0</v>
      </c>
    </row>
    <row r="9071" ht="15.75" customHeight="1">
      <c r="A9071" s="1">
        <v>9667.0</v>
      </c>
      <c r="B9071" s="3" t="s">
        <v>8710</v>
      </c>
      <c r="C9071" s="3" t="str">
        <f>IFERROR(__xludf.DUMMYFUNCTION("GOOGLETRANSLATE(B9071,""id"",""en"")"),"['buy', 'quota', 'taik']")</f>
        <v>['buy', 'quota', 'taik']</v>
      </c>
      <c r="D9071" s="3">
        <v>1.0</v>
      </c>
    </row>
    <row r="9072" ht="15.75" customHeight="1">
      <c r="A9072" s="1">
        <v>9668.0</v>
      </c>
      <c r="B9072" s="3" t="s">
        <v>8711</v>
      </c>
      <c r="C9072" s="3" t="str">
        <f>IFERROR(__xludf.DUMMYFUNCTION("GOOGLETRANSLATE(B9072,""id"",""en"")"),"['expensive', 'package', 'Gaesss']")</f>
        <v>['expensive', 'package', 'Gaesss']</v>
      </c>
      <c r="D9072" s="3">
        <v>4.0</v>
      </c>
    </row>
    <row r="9073" ht="15.75" customHeight="1">
      <c r="A9073" s="1">
        <v>9669.0</v>
      </c>
      <c r="B9073" s="3" t="s">
        <v>8712</v>
      </c>
      <c r="C9073" s="3" t="str">
        <f>IFERROR(__xludf.DUMMYFUNCTION("GOOGLETRANSLATE(B9073,""id"",""en"")"),"['Thank you', 'petrified', 'customers', 'class', 'medium', 'down', 'his time', 'extended', 'week', ""]")</f>
        <v>['Thank you', 'petrified', 'customers', 'class', 'medium', 'down', 'his time', 'extended', 'week', "]</v>
      </c>
      <c r="D9073" s="3">
        <v>5.0</v>
      </c>
    </row>
    <row r="9074" ht="15.75" customHeight="1">
      <c r="A9074" s="1">
        <v>9670.0</v>
      </c>
      <c r="B9074" s="3" t="s">
        <v>8713</v>
      </c>
      <c r="C9074" s="3" t="str">
        <f>IFERROR(__xludf.DUMMYFUNCTION("GOOGLETRANSLATE(B9074,""id"",""en"")"),"['Telkomsel', 'expensive', 'ditched', 'doang', 'network', 'error', 'network', 'stable', 'proof', 'buy', 'package', 'expensive', ' The network is', 'satisfying', '']")</f>
        <v>['Telkomsel', 'expensive', 'ditched', 'doang', 'network', 'error', 'network', 'stable', 'proof', 'buy', 'package', 'expensive', ' The network is', 'satisfying', '']</v>
      </c>
      <c r="D9074" s="3">
        <v>1.0</v>
      </c>
    </row>
    <row r="9075" ht="15.75" customHeight="1">
      <c r="A9075" s="1">
        <v>9671.0</v>
      </c>
      <c r="B9075" s="3" t="s">
        <v>8714</v>
      </c>
      <c r="C9075" s="3" t="str">
        <f>IFERROR(__xludf.DUMMYFUNCTION("GOOGLETRANSLATE(B9075,""id"",""en"")"),"['', 'Increase', 'network', 'remote', 'Indonesia', 'steady']")</f>
        <v>['', 'Increase', 'network', 'remote', 'Indonesia', 'steady']</v>
      </c>
      <c r="D9075" s="3">
        <v>5.0</v>
      </c>
    </row>
    <row r="9076" ht="15.75" customHeight="1">
      <c r="A9076" s="1">
        <v>9672.0</v>
      </c>
      <c r="B9076" s="3" t="s">
        <v>8715</v>
      </c>
      <c r="C9076" s="3" t="str">
        <f>IFERROR(__xludf.DUMMYFUNCTION("GOOGLETRANSLATE(B9076,""id"",""en"")"),"['Severe', 'Tsel', 'Signal', 'Full', 'Internet', 'Open', 'File', 'Sampe', 'Forgiveness',' Deh ',' Please ',' Increase ',' The service is', 'Stay', 'Customer', 'Service', 'TLG', 'Search', 'Solution', '']")</f>
        <v>['Severe', 'Tsel', 'Signal', 'Full', 'Internet', 'Open', 'File', 'Sampe', 'Forgiveness',' Deh ',' Please ',' Increase ',' The service is', 'Stay', 'Customer', 'Service', 'TLG', 'Search', 'Solution', '']</v>
      </c>
      <c r="D9076" s="3">
        <v>1.0</v>
      </c>
    </row>
    <row r="9077" ht="15.75" customHeight="1">
      <c r="A9077" s="1">
        <v>9673.0</v>
      </c>
      <c r="B9077" s="3" t="s">
        <v>8716</v>
      </c>
      <c r="C9077" s="3" t="str">
        <f>IFERROR(__xludf.DUMMYFUNCTION("GOOGLETRANSLATE(B9077,""id"",""en"")"),"['Purchase', 'Package', 'Application', 'SUCCESS', '']")</f>
        <v>['Purchase', 'Package', 'Application', 'SUCCESS', '']</v>
      </c>
      <c r="D9077" s="3">
        <v>2.0</v>
      </c>
    </row>
    <row r="9078" ht="15.75" customHeight="1">
      <c r="A9078" s="1">
        <v>9674.0</v>
      </c>
      <c r="B9078" s="3" t="s">
        <v>8717</v>
      </c>
      <c r="C9078" s="3" t="str">
        <f>IFERROR(__xludf.DUMMYFUNCTION("GOOGLETRANSLATE(B9078,""id"",""en"")"),"['', 'Mantap', 'Send', 'quota']")</f>
        <v>['', 'Mantap', 'Send', 'quota']</v>
      </c>
      <c r="D9078" s="3">
        <v>5.0</v>
      </c>
    </row>
    <row r="9079" ht="15.75" customHeight="1">
      <c r="A9079" s="1">
        <v>9675.0</v>
      </c>
      <c r="B9079" s="3" t="s">
        <v>8718</v>
      </c>
      <c r="C9079" s="3" t="str">
        <f>IFERROR(__xludf.DUMMYFUNCTION("GOOGLETRANSLATE(B9079,""id"",""en"")"),"['woe', 'kek', 'update', 'turn', 'UDH', 'update', 'open', 'purpose', 'kauuu']")</f>
        <v>['woe', 'kek', 'update', 'turn', 'UDH', 'update', 'open', 'purpose', 'kauuu']</v>
      </c>
      <c r="D9079" s="3">
        <v>1.0</v>
      </c>
    </row>
    <row r="9080" ht="15.75" customHeight="1">
      <c r="A9080" s="1">
        <v>9676.0</v>
      </c>
      <c r="B9080" s="3" t="s">
        <v>8719</v>
      </c>
      <c r="C9080" s="3" t="str">
        <f>IFERROR(__xludf.DUMMYFUNCTION("GOOGLETRANSLATE(B9080,""id"",""en"")"),"['', 'offer', 'RB', 'GB', 'Unl', 'right', 'click', 'buy', 'pulse', 'uda', 'contents',' rb ',' right ',' buy ',' buy ',' fill ',' pulse ',' mending ',' waste ',' replace ',' card ']")</f>
        <v>['', 'offer', 'RB', 'GB', 'Unl', 'right', 'click', 'buy', 'pulse', 'uda', 'contents',' rb ',' right ',' buy ',' buy ',' fill ',' pulse ',' mending ',' waste ',' replace ',' card ']</v>
      </c>
      <c r="D9080" s="3">
        <v>1.0</v>
      </c>
    </row>
    <row r="9081" ht="15.75" customHeight="1">
      <c r="A9081" s="1">
        <v>9677.0</v>
      </c>
      <c r="B9081" s="3" t="s">
        <v>8720</v>
      </c>
      <c r="C9081" s="3" t="str">
        <f>IFERROR(__xludf.DUMMYFUNCTION("GOOGLETRANSLATE(B9081,""id"",""en"")"),"['Banten', 'Eliminated', 'Package', 'Extra', 'Unlimeted', 'Please', 'Hold', 'Derah', 'Banten']")</f>
        <v>['Banten', 'Eliminated', 'Package', 'Extra', 'Unlimeted', 'Please', 'Hold', 'Derah', 'Banten']</v>
      </c>
      <c r="D9081" s="3">
        <v>3.0</v>
      </c>
    </row>
    <row r="9082" ht="15.75" customHeight="1">
      <c r="A9082" s="1">
        <v>9678.0</v>
      </c>
      <c r="B9082" s="3" t="s">
        <v>8721</v>
      </c>
      <c r="C9082" s="3" t="str">
        <f>IFERROR(__xludf.DUMMYFUNCTION("GOOGLETRANSLATE(B9082,""id"",""en"")"),"['price', 'package', 'here', 'expensive', 'already', 'really', 'tsel', 'times',' feel ',' disappointed ',' heavy ',' tsel ',' Quality ',' signal ',' fix ',' ']")</f>
        <v>['price', 'package', 'here', 'expensive', 'already', 'really', 'tsel', 'times',' feel ',' disappointed ',' heavy ',' tsel ',' Quality ',' signal ',' fix ',' ']</v>
      </c>
      <c r="D9082" s="3">
        <v>1.0</v>
      </c>
    </row>
    <row r="9083" ht="15.75" customHeight="1">
      <c r="A9083" s="1">
        <v>9679.0</v>
      </c>
      <c r="B9083" s="3" t="s">
        <v>8722</v>
      </c>
      <c r="C9083" s="3" t="str">
        <f>IFERROR(__xludf.DUMMYFUNCTION("GOOGLETRANSLATE(B9083,""id"",""en"")"),"['signal', 'Citayem', 'Depok', 'ugly', 'skali', 'package', 'data', 'expensive', 'use']")</f>
        <v>['signal', 'Citayem', 'Depok', 'ugly', 'skali', 'package', 'data', 'expensive', 'use']</v>
      </c>
      <c r="D9083" s="3">
        <v>1.0</v>
      </c>
    </row>
    <row r="9084" ht="15.75" customHeight="1">
      <c r="A9084" s="1">
        <v>9680.0</v>
      </c>
      <c r="B9084" s="3" t="s">
        <v>8723</v>
      </c>
      <c r="C9084" s="3" t="str">
        <f>IFERROR(__xludf.DUMMYFUNCTION("GOOGLETRANSLATE(B9084,""id"",""en"")"),"['THN', 'Customer', 'Tsel', 'Unfortunately', 'Rare', 'Promo', 'Customer']")</f>
        <v>['THN', 'Customer', 'Tsel', 'Unfortunately', 'Rare', 'Promo', 'Customer']</v>
      </c>
      <c r="D9084" s="3">
        <v>5.0</v>
      </c>
    </row>
    <row r="9085" ht="15.75" customHeight="1">
      <c r="A9085" s="1">
        <v>9681.0</v>
      </c>
      <c r="B9085" s="3" t="s">
        <v>8724</v>
      </c>
      <c r="C9085" s="3" t="str">
        <f>IFERROR(__xludf.DUMMYFUNCTION("GOOGLETRANSLATE(B9085,""id"",""en"")"),"['keep healty']")</f>
        <v>['keep healty']</v>
      </c>
      <c r="D9085" s="3">
        <v>5.0</v>
      </c>
    </row>
    <row r="9086" ht="15.75" customHeight="1">
      <c r="A9086" s="1">
        <v>9682.0</v>
      </c>
      <c r="B9086" s="3" t="s">
        <v>8725</v>
      </c>
      <c r="C9086" s="3" t="str">
        <f>IFERROR(__xludf.DUMMYFUNCTION("GOOGLETRANSLATE(B9086,""id"",""en"")"),"['Telkomsel', 'buy', 'package', 'internet', 'watch', 'YouTube', 'used']")</f>
        <v>['Telkomsel', 'buy', 'package', 'internet', 'watch', 'YouTube', 'used']</v>
      </c>
      <c r="D9086" s="3">
        <v>1.0</v>
      </c>
    </row>
    <row r="9087" ht="15.75" customHeight="1">
      <c r="A9087" s="1">
        <v>9683.0</v>
      </c>
      <c r="B9087" s="3" t="s">
        <v>8726</v>
      </c>
      <c r="C9087" s="3" t="str">
        <f>IFERROR(__xludf.DUMMYFUNCTION("GOOGLETRANSLATE(B9087,""id"",""en"")"),"['Price', 'expensive', 'signal', 'rotten', '']")</f>
        <v>['Price', 'expensive', 'signal', 'rotten', '']</v>
      </c>
      <c r="D9087" s="3">
        <v>1.0</v>
      </c>
    </row>
    <row r="9088" ht="15.75" customHeight="1">
      <c r="A9088" s="1">
        <v>9684.0</v>
      </c>
      <c r="B9088" s="3" t="s">
        <v>8727</v>
      </c>
      <c r="C9088" s="3" t="str">
        <f>IFERROR(__xludf.DUMMYFUNCTION("GOOGLETRANSLATE(B9088,""id"",""en"")"),"['a month', 'ngeblank', 'white', 'all', 'opened', 'the application']")</f>
        <v>['a month', 'ngeblank', 'white', 'all', 'opened', 'the application']</v>
      </c>
      <c r="D9088" s="3">
        <v>1.0</v>
      </c>
    </row>
    <row r="9089" ht="15.75" customHeight="1">
      <c r="A9089" s="1">
        <v>9685.0</v>
      </c>
      <c r="B9089" s="3" t="s">
        <v>8728</v>
      </c>
      <c r="C9089" s="3" t="str">
        <f>IFERROR(__xludf.DUMMYFUNCTION("GOOGLETRANSLATE(B9089,""id"",""en"")"),"['ugly', 'function', 'Uninstall', 'Install', 'reset', 'Tetep', 'Run', 'Hint', 'Follow', 'he said', 'Tetep', 'invite', ' ']")</f>
        <v>['ugly', 'function', 'Uninstall', 'Install', 'reset', 'Tetep', 'Run', 'Hint', 'Follow', 'he said', 'Tetep', 'invite', ' ']</v>
      </c>
      <c r="D9089" s="3">
        <v>4.0</v>
      </c>
    </row>
    <row r="9090" ht="15.75" customHeight="1">
      <c r="A9090" s="1">
        <v>9686.0</v>
      </c>
      <c r="B9090" s="3" t="s">
        <v>8729</v>
      </c>
      <c r="C9090" s="3" t="str">
        <f>IFERROR(__xludf.DUMMYFUNCTION("GOOGLETRANSLATE(B9090,""id"",""en"")"),"['best', 'TPI', 'dumped', 'price']")</f>
        <v>['best', 'TPI', 'dumped', 'price']</v>
      </c>
      <c r="D9090" s="3">
        <v>5.0</v>
      </c>
    </row>
    <row r="9091" ht="15.75" customHeight="1">
      <c r="A9091" s="1">
        <v>9688.0</v>
      </c>
      <c r="B9091" s="3" t="s">
        <v>8730</v>
      </c>
      <c r="C9091" s="3" t="str">
        <f>IFERROR(__xludf.DUMMYFUNCTION("GOOGLETRANSLATE(B9091,""id"",""en"")"),"['The application', 'ugly', 'Fersi', 'NOT', 'EASY', 'ACCESS', 'HARD', 'QUALITY', 'User', 'Telkomsel', 'Rich', 'era', ' Watch ',' Telkomsel ',' Install ',' No. ',' Use ',' Menuhahin ',' Memory ',' Doang ', ""]")</f>
        <v>['The application', 'ugly', 'Fersi', 'NOT', 'EASY', 'ACCESS', 'HARD', 'QUALITY', 'User', 'Telkomsel', 'Rich', 'era', ' Watch ',' Telkomsel ',' Install ',' No. ',' Use ',' Menuhahin ',' Memory ',' Doang ', "]</v>
      </c>
      <c r="D9091" s="3">
        <v>1.0</v>
      </c>
    </row>
    <row r="9092" ht="15.75" customHeight="1">
      <c r="A9092" s="1">
        <v>9689.0</v>
      </c>
      <c r="B9092" s="3" t="s">
        <v>8731</v>
      </c>
      <c r="C9092" s="3" t="str">
        <f>IFERROR(__xludf.DUMMYFUNCTION("GOOGLETRANSLATE(B9092,""id"",""en"")"),"['people', 'Kisin', 'after', 'Telkomsel', 'lucky']")</f>
        <v>['people', 'Kisin', 'after', 'Telkomsel', 'lucky']</v>
      </c>
      <c r="D9092" s="3">
        <v>5.0</v>
      </c>
    </row>
    <row r="9093" ht="15.75" customHeight="1">
      <c r="A9093" s="1">
        <v>9690.0</v>
      </c>
      <c r="B9093" s="3" t="s">
        <v>8732</v>
      </c>
      <c r="C9093" s="3" t="str">
        <f>IFERROR(__xludf.DUMMYFUNCTION("GOOGLETRANSLATE(B9093,""id"",""en"")"),"['BER', 'Transition', 'Provider', 'Rates', 'Internet', 'Expensive', 'Place', 'Network', 'Internet', 'Current']")</f>
        <v>['BER', 'Transition', 'Provider', 'Rates', 'Internet', 'Expensive', 'Place', 'Network', 'Internet', 'Current']</v>
      </c>
      <c r="D9093" s="3">
        <v>1.0</v>
      </c>
    </row>
    <row r="9094" ht="15.75" customHeight="1">
      <c r="A9094" s="1">
        <v>9691.0</v>
      </c>
      <c r="B9094" s="3" t="s">
        <v>8733</v>
      </c>
      <c r="C9094" s="3" t="str">
        <f>IFERROR(__xludf.DUMMYFUNCTION("GOOGLETRANSLATE(B9094,""id"",""en"")"),"['Disappointed', 'use', 'combo', 'unlimited', 'limited', 'unlimited', 'limit', 'please', 'explanation', '']")</f>
        <v>['Disappointed', 'use', 'combo', 'unlimited', 'limited', 'unlimited', 'limit', 'please', 'explanation', '']</v>
      </c>
      <c r="D9094" s="3">
        <v>5.0</v>
      </c>
    </row>
    <row r="9095" ht="15.75" customHeight="1">
      <c r="A9095" s="1">
        <v>9692.0</v>
      </c>
      <c r="B9095" s="3" t="s">
        <v>8734</v>
      </c>
      <c r="C9095" s="3" t="str">
        <f>IFERROR(__xludf.DUMMYFUNCTION("GOOGLETRANSLATE(B9095,""id"",""en"")"),"['Application', 'Worst', 'Application', 'Opened', 'Blank', 'Truuuuuuuuussssssssssss', '']")</f>
        <v>['Application', 'Worst', 'Application', 'Opened', 'Blank', 'Truuuuuuuuussssssssssss', '']</v>
      </c>
      <c r="D9095" s="3">
        <v>1.0</v>
      </c>
    </row>
    <row r="9096" ht="15.75" customHeight="1">
      <c r="A9096" s="1">
        <v>9693.0</v>
      </c>
      <c r="B9096" s="3" t="s">
        <v>8735</v>
      </c>
      <c r="C9096" s="3" t="str">
        <f>IFERROR(__xludf.DUMMYFUNCTION("GOOGLETRANSLATE(B9096,""id"",""en"")"),"['application', 'taaaiiikkkk', 'download', 'ttp', 'open']")</f>
        <v>['application', 'taaaiiikkkk', 'download', 'ttp', 'open']</v>
      </c>
      <c r="D9096" s="3">
        <v>5.0</v>
      </c>
    </row>
    <row r="9097" ht="15.75" customHeight="1">
      <c r="A9097" s="1">
        <v>9694.0</v>
      </c>
      <c r="B9097" s="3" t="s">
        <v>8736</v>
      </c>
      <c r="C9097" s="3" t="str">
        <f>IFERROR(__xludf.DUMMYFUNCTION("GOOGLETRANSLATE(B9097,""id"",""en"")"),"['package', 'internet', 'economical', 'opened', 'the application', 'opened', 'application', '']")</f>
        <v>['package', 'internet', 'economical', 'opened', 'the application', 'opened', 'application', '']</v>
      </c>
      <c r="D9097" s="3">
        <v>4.0</v>
      </c>
    </row>
    <row r="9098" ht="15.75" customHeight="1">
      <c r="A9098" s="1">
        <v>9695.0</v>
      </c>
      <c r="B9098" s="3" t="s">
        <v>8737</v>
      </c>
      <c r="C9098" s="3" t="str">
        <f>IFERROR(__xludf.DUMMYFUNCTION("GOOGLETRANSLATE(B9098,""id"",""en"")"),"['Signalnya', 'bad', 'dngn', 'telekomsel']")</f>
        <v>['Signalnya', 'bad', 'dngn', 'telekomsel']</v>
      </c>
      <c r="D9098" s="3">
        <v>4.0</v>
      </c>
    </row>
    <row r="9099" ht="15.75" customHeight="1">
      <c r="A9099" s="1">
        <v>9696.0</v>
      </c>
      <c r="B9099" s="3" t="s">
        <v>8738</v>
      </c>
      <c r="C9099" s="3" t="str">
        <f>IFERROR(__xludf.DUMMYFUNCTION("GOOGLETRANSLATE(B9099,""id"",""en"")"),"['Good', 'Tuker', 'Points', 'Lottery', 'Perna', 'Help']")</f>
        <v>['Good', 'Tuker', 'Points', 'Lottery', 'Perna', 'Help']</v>
      </c>
      <c r="D9099" s="3">
        <v>4.0</v>
      </c>
    </row>
    <row r="9100" ht="15.75" customHeight="1">
      <c r="A9100" s="1">
        <v>9697.0</v>
      </c>
      <c r="B9100" s="3" t="s">
        <v>8739</v>
      </c>
      <c r="C9100" s="3" t="str">
        <f>IFERROR(__xludf.DUMMYFUNCTION("GOOGLETRANSLATE(B9100,""id"",""en"")"),"['Ngani', 'bonus',' data ',' hrs', 'use', 'jngan', 'waiting', 'quota', 'main', 'hbs',' bonus', 'kepakai', ' Listen ',' dikasi ',' criticism ',' eneg ',' comment ',' responded ',' signal ',' Dianchok ',' ngelag ',' trs']")</f>
        <v>['Ngani', 'bonus',' data ',' hrs', 'use', 'jngan', 'waiting', 'quota', 'main', 'hbs',' bonus', 'kepakai', ' Listen ',' dikasi ',' criticism ',' eneg ',' comment ',' responded ',' signal ',' Dianchok ',' ngelag ',' trs']</v>
      </c>
      <c r="D9100" s="3">
        <v>1.0</v>
      </c>
    </row>
    <row r="9101" ht="15.75" customHeight="1">
      <c r="A9101" s="1">
        <v>9698.0</v>
      </c>
      <c r="B9101" s="3" t="s">
        <v>8740</v>
      </c>
      <c r="C9101" s="3" t="str">
        <f>IFERROR(__xludf.DUMMYFUNCTION("GOOGLETRANSLATE(B9101,""id"",""en"")"),"['Telkomsel', 'Sinyal', 'ugly', 'network', 'widest', 'gemana', 'boss', 'tollong']")</f>
        <v>['Telkomsel', 'Sinyal', 'ugly', 'network', 'widest', 'gemana', 'boss', 'tollong']</v>
      </c>
      <c r="D9101" s="3">
        <v>1.0</v>
      </c>
    </row>
    <row r="9102" ht="15.75" customHeight="1">
      <c r="A9102" s="1">
        <v>9699.0</v>
      </c>
      <c r="B9102" s="3" t="s">
        <v>8741</v>
      </c>
      <c r="C9102" s="3" t="str">
        <f>IFERROR(__xludf.DUMMYFUNCTION("GOOGLETRANSLATE(B9102,""id"",""en"")"),"['Features', 'Offered', 'Easy', 'Use']")</f>
        <v>['Features', 'Offered', 'Easy', 'Use']</v>
      </c>
      <c r="D9102" s="3">
        <v>5.0</v>
      </c>
    </row>
    <row r="9103" ht="15.75" customHeight="1">
      <c r="A9103" s="1">
        <v>9700.0</v>
      </c>
      <c r="B9103" s="3" t="s">
        <v>8742</v>
      </c>
      <c r="C9103" s="3" t="str">
        <f>IFERROR(__xludf.DUMMYFUNCTION("GOOGLETRANSLATE(B9103,""id"",""en"")"),"['already', 'Telkomsel', 'yrs', 'times', 'network', 'chaotic', 'kyak', 'gini']")</f>
        <v>['already', 'Telkomsel', 'yrs', 'times', 'network', 'chaotic', 'kyak', 'gini']</v>
      </c>
      <c r="D9103" s="3">
        <v>1.0</v>
      </c>
    </row>
    <row r="9104" ht="15.75" customHeight="1">
      <c r="A9104" s="1">
        <v>9701.0</v>
      </c>
      <c r="B9104" s="3" t="s">
        <v>8743</v>
      </c>
      <c r="C9104" s="3" t="str">
        <f>IFERROR(__xludf.DUMMYFUNCTION("GOOGLETRANSLATE(B9104,""id"",""en"")"),"['Package', 'special', 'cheap', 'Alhamdulillah', 'Not bad', 'watch', 'youtube', 'darling', 'signal', 'sometimes',' ngeedown ',' Telkomsel ',' Signal ',' Lined ',' Package ',' Prepared ',' Hopefully ',' Forward ',' Telkomsel ', ""]")</f>
        <v>['Package', 'special', 'cheap', 'Alhamdulillah', 'Not bad', 'watch', 'youtube', 'darling', 'signal', 'sometimes',' ngeedown ',' Telkomsel ',' Signal ',' Lined ',' Package ',' Prepared ',' Hopefully ',' Forward ',' Telkomsel ', "]</v>
      </c>
      <c r="D9104" s="3">
        <v>5.0</v>
      </c>
    </row>
    <row r="9105" ht="15.75" customHeight="1">
      <c r="A9105" s="1">
        <v>9702.0</v>
      </c>
      <c r="B9105" s="3" t="s">
        <v>8744</v>
      </c>
      <c r="C9105" s="3" t="str">
        <f>IFERROR(__xludf.DUMMYFUNCTION("GOOGLETRANSLATE(B9105,""id"",""en"")"),"['apk', 'taekk', 'login', 'todd', 'jekek', 'regret', 'install', 'APK', '']")</f>
        <v>['apk', 'taekk', 'login', 'todd', 'jekek', 'regret', 'install', 'APK', '']</v>
      </c>
      <c r="D9105" s="3">
        <v>1.0</v>
      </c>
    </row>
    <row r="9106" ht="15.75" customHeight="1">
      <c r="A9106" s="1">
        <v>9703.0</v>
      </c>
      <c r="B9106" s="3" t="s">
        <v>8745</v>
      </c>
      <c r="C9106" s="3" t="str">
        <f>IFERROR(__xludf.DUMMYFUNCTION("GOOGLETRANSLATE(B9106,""id"",""en"")"),"['Love', 'discount']")</f>
        <v>['Love', 'discount']</v>
      </c>
      <c r="D9106" s="3">
        <v>5.0</v>
      </c>
    </row>
    <row r="9107" ht="15.75" customHeight="1">
      <c r="A9107" s="1">
        <v>9704.0</v>
      </c>
      <c r="B9107" s="3" t="s">
        <v>8746</v>
      </c>
      <c r="C9107" s="3" t="str">
        <f>IFERROR(__xludf.DUMMYFUNCTION("GOOGLETRANSLATE(B9107,""id"",""en"")"),"['expensive', 'APK', 'BERES']")</f>
        <v>['expensive', 'APK', 'BERES']</v>
      </c>
      <c r="D9107" s="3">
        <v>1.0</v>
      </c>
    </row>
    <row r="9108" ht="15.75" customHeight="1">
      <c r="A9108" s="1">
        <v>9705.0</v>
      </c>
      <c r="B9108" s="3" t="s">
        <v>8747</v>
      </c>
      <c r="C9108" s="3" t="str">
        <f>IFERROR(__xludf.DUMMYFUNCTION("GOOGLETRANSLATE(B9108,""id"",""en"")"),"['makes it easier', 'transaction']")</f>
        <v>['makes it easier', 'transaction']</v>
      </c>
      <c r="D9108" s="3">
        <v>5.0</v>
      </c>
    </row>
    <row r="9109" ht="15.75" customHeight="1">
      <c r="A9109" s="1">
        <v>9706.0</v>
      </c>
      <c r="B9109" s="3" t="s">
        <v>8748</v>
      </c>
      <c r="C9109" s="3" t="str">
        <f>IFERROR(__xludf.DUMMYFUNCTION("GOOGLETRANSLATE(B9109,""id"",""en"")"),"['package', 'expensive', 'signal', 'severe', 'high school', 'boong', 'ahh', 'ugly', ""]")</f>
        <v>['package', 'expensive', 'signal', 'severe', 'high school', 'boong', 'ahh', 'ugly', "]</v>
      </c>
      <c r="D9109" s="3">
        <v>1.0</v>
      </c>
    </row>
    <row r="9110" ht="15.75" customHeight="1">
      <c r="A9110" s="1">
        <v>9707.0</v>
      </c>
      <c r="B9110" s="3" t="s">
        <v>8749</v>
      </c>
      <c r="C9110" s="3" t="str">
        <f>IFERROR(__xludf.DUMMYFUNCTION("GOOGLETRANSLATE(B9110,""id"",""en"")"),"['No "",' Open ',' Telkomsel ',' Delete ',' then ',' Install ',' TTP ',' NGGA ',' BSA ',' Disappointed ',' APK ']")</f>
        <v>['No ",' Open ',' Telkomsel ',' Delete ',' then ',' Install ',' TTP ',' NGGA ',' BSA ',' Disappointed ',' APK ']</v>
      </c>
      <c r="D9110" s="3">
        <v>1.0</v>
      </c>
    </row>
    <row r="9111" ht="15.75" customHeight="1">
      <c r="A9111" s="1">
        <v>9708.0</v>
      </c>
      <c r="B9111" s="3" t="s">
        <v>8750</v>
      </c>
      <c r="C9111" s="3" t="str">
        <f>IFERROR(__xludf.DUMMYFUNCTION("GOOGLETRANSLATE(B9111,""id"",""en"")"),"['application', 'open', 'asuuuuuuu']")</f>
        <v>['application', 'open', 'asuuuuuuu']</v>
      </c>
      <c r="D9111" s="3">
        <v>1.0</v>
      </c>
    </row>
    <row r="9112" ht="15.75" customHeight="1">
      <c r="A9112" s="1">
        <v>9709.0</v>
      </c>
      <c r="B9112" s="3" t="s">
        <v>8751</v>
      </c>
      <c r="C9112" s="3" t="str">
        <f>IFERROR(__xludf.DUMMYFUNCTION("GOOGLETRANSLATE(B9112,""id"",""en"")"),"['Depcoeptor', 'pulse', 'package', '']")</f>
        <v>['Depcoeptor', 'pulse', 'package', '']</v>
      </c>
      <c r="D9112" s="3">
        <v>1.0</v>
      </c>
    </row>
    <row r="9113" ht="15.75" customHeight="1">
      <c r="A9113" s="1">
        <v>9710.0</v>
      </c>
      <c r="B9113" s="3" t="s">
        <v>8752</v>
      </c>
      <c r="C9113" s="3" t="str">
        <f>IFERROR(__xludf.DUMMYFUNCTION("GOOGLETRANSLATE(B9113,""id"",""en"")"),"['Telkomsel', 'poor', 'weather', 'cloudy', 'signal', 'ugly', 'feed', 'ujan', 'Addjelek', 'dead', 'lights',' signal ',' ugly ',' sometimes', 'annoyed', 'Season', 'yes',' buy ',' package ',' expensive ',' baget ',' thousand ',' Telkomsel ',' kaga ',' andeli"&amp;"n ' , '']")</f>
        <v>['Telkomsel', 'poor', 'weather', 'cloudy', 'signal', 'ugly', 'feed', 'ujan', 'Addjelek', 'dead', 'lights',' signal ',' ugly ',' sometimes', 'annoyed', 'Season', 'yes',' buy ',' package ',' expensive ',' baget ',' thousand ',' Telkomsel ',' kaga ',' andelin ' , '']</v>
      </c>
      <c r="D9113" s="3">
        <v>1.0</v>
      </c>
    </row>
    <row r="9114" ht="15.75" customHeight="1">
      <c r="A9114" s="1">
        <v>9711.0</v>
      </c>
      <c r="B9114" s="3" t="s">
        <v>8753</v>
      </c>
      <c r="C9114" s="3" t="str">
        <f>IFERROR(__xludf.DUMMYFUNCTION("GOOGLETRANSLATE(B9114,""id"",""en"")"),"['Good', 'Gaes']")</f>
        <v>['Good', 'Gaes']</v>
      </c>
      <c r="D9114" s="3">
        <v>4.0</v>
      </c>
    </row>
    <row r="9115" ht="15.75" customHeight="1">
      <c r="A9115" s="1">
        <v>9712.0</v>
      </c>
      <c r="B9115" s="3" t="s">
        <v>8754</v>
      </c>
      <c r="C9115" s="3" t="str">
        <f>IFERROR(__xludf.DUMMYFUNCTION("GOOGLETRANSLATE(B9115,""id"",""en"")"),"['Telkomsel', 'Taik', 'Network', 'Becus',' Package ',' Expensive ',' Network ',' Rotten ',' Dead ',' Lights', 'Lost', 'Network', ' crazy ',' Mending ',' axis', 'steady', 'network', 'package', 'friendly', 'cheap', 'taik', 'telkomsel']")</f>
        <v>['Telkomsel', 'Taik', 'Network', 'Becus',' Package ',' Expensive ',' Network ',' Rotten ',' Dead ',' Lights', 'Lost', 'Network', ' crazy ',' Mending ',' axis', 'steady', 'network', 'package', 'friendly', 'cheap', 'taik', 'telkomsel']</v>
      </c>
      <c r="D9115" s="3">
        <v>1.0</v>
      </c>
    </row>
    <row r="9116" ht="15.75" customHeight="1">
      <c r="A9116" s="1">
        <v>9713.0</v>
      </c>
      <c r="B9116" s="3" t="s">
        <v>8755</v>
      </c>
      <c r="C9116" s="3" t="str">
        <f>IFERROR(__xludf.DUMMYFUNCTION("GOOGLETRANSLATE(B9116,""id"",""en"")"),"['ngblank', 'white', 'access', 'darling', '']")</f>
        <v>['ngblank', 'white', 'access', 'darling', '']</v>
      </c>
      <c r="D9116" s="3">
        <v>2.0</v>
      </c>
    </row>
    <row r="9117" ht="15.75" customHeight="1">
      <c r="A9117" s="1">
        <v>9714.0</v>
      </c>
      <c r="B9117" s="3" t="s">
        <v>8756</v>
      </c>
      <c r="C9117" s="3" t="str">
        <f>IFERROR(__xludf.DUMMYFUNCTION("GOOGLETRANSLATE(B9117,""id"",""en"")"),"['What', 'already', 'week', 'application', 'Telkomsel', 'open', 'right', 'open', 'bleng', 'white', 'doang', 'screen', ' Please, 'Fix', '']")</f>
        <v>['What', 'already', 'week', 'application', 'Telkomsel', 'open', 'right', 'open', 'bleng', 'white', 'doang', 'screen', ' Please, 'Fix', '']</v>
      </c>
      <c r="D9117" s="3">
        <v>1.0</v>
      </c>
    </row>
    <row r="9118" ht="15.75" customHeight="1">
      <c r="A9118" s="1">
        <v>9715.0</v>
      </c>
      <c r="B9118" s="3" t="s">
        <v>8757</v>
      </c>
      <c r="C9118" s="3" t="str">
        <f>IFERROR(__xludf.DUMMYFUNCTION("GOOGLETRANSLATE(B9118,""id"",""en"")"),"['Network', 'Hanan']")</f>
        <v>['Network', 'Hanan']</v>
      </c>
      <c r="D9118" s="3">
        <v>1.0</v>
      </c>
    </row>
    <row r="9119" ht="15.75" customHeight="1">
      <c r="A9119" s="1">
        <v>9716.0</v>
      </c>
      <c r="B9119" s="3" t="s">
        <v>8758</v>
      </c>
      <c r="C9119" s="3" t="str">
        <f>IFERROR(__xludf.DUMMYFUNCTION("GOOGLETRANSLATE(B9119,""id"",""en"")"),"['promo', 'good']")</f>
        <v>['promo', 'good']</v>
      </c>
      <c r="D9119" s="3">
        <v>5.0</v>
      </c>
    </row>
    <row r="9120" ht="15.75" customHeight="1">
      <c r="A9120" s="1">
        <v>9717.0</v>
      </c>
      <c r="B9120" s="3" t="s">
        <v>8759</v>
      </c>
      <c r="C9120" s="3" t="str">
        <f>IFERROR(__xludf.DUMMYFUNCTION("GOOGLETRANSLATE(B9120,""id"",""en"")"),"['ugly', 'really', 'Please', 'Sorry', 'Since', 'Update', 'Screen', 'White', 'Wait', 'Wait', 'Fix', 'Really' Sorry ',' Rate ',' ']")</f>
        <v>['ugly', 'really', 'Please', 'Sorry', 'Since', 'Update', 'Screen', 'White', 'Wait', 'Wait', 'Fix', 'Really' Sorry ',' Rate ',' ']</v>
      </c>
      <c r="D9120" s="3">
        <v>1.0</v>
      </c>
    </row>
    <row r="9121" ht="15.75" customHeight="1">
      <c r="A9121" s="1">
        <v>9718.0</v>
      </c>
      <c r="B9121" s="3" t="s">
        <v>8760</v>
      </c>
      <c r="C9121" s="3" t="str">
        <f>IFERROR(__xludf.DUMMYFUNCTION("GOOGLETRANSLATE(B9121,""id"",""en"")"),"['signal', 'like', 'ilang', '']")</f>
        <v>['signal', 'like', 'ilang', '']</v>
      </c>
      <c r="D9121" s="3">
        <v>1.0</v>
      </c>
    </row>
    <row r="9122" ht="15.75" customHeight="1">
      <c r="A9122" s="1">
        <v>9720.0</v>
      </c>
      <c r="B9122" s="3" t="s">
        <v>8761</v>
      </c>
      <c r="C9122" s="3" t="str">
        <f>IFERROR(__xludf.DUMMYFUNCTION("GOOGLETRANSLATE(B9122,""id"",""en"")"),"['application', 'blank', 'white', 'open']")</f>
        <v>['application', 'blank', 'white', 'open']</v>
      </c>
      <c r="D9122" s="3">
        <v>1.0</v>
      </c>
    </row>
    <row r="9123" ht="15.75" customHeight="1">
      <c r="A9123" s="1">
        <v>9721.0</v>
      </c>
      <c r="B9123" s="3" t="s">
        <v>7698</v>
      </c>
      <c r="C9123" s="3" t="str">
        <f>IFERROR(__xludf.DUMMYFUNCTION("GOOGLETRANSLATE(B9123,""id"",""en"")"),"['Promo', 'good']")</f>
        <v>['Promo', 'good']</v>
      </c>
      <c r="D9123" s="3">
        <v>5.0</v>
      </c>
    </row>
    <row r="9124" ht="15.75" customHeight="1">
      <c r="A9124" s="1">
        <v>9722.0</v>
      </c>
      <c r="B9124" s="3" t="s">
        <v>8762</v>
      </c>
      <c r="C9124" s="3" t="str">
        <f>IFERROR(__xludf.DUMMYFUNCTION("GOOGLETRANSLATE(B9124,""id"",""en"")"),"['price', 'expensive', 'signal', 'slow', 'sip', 'capitalist', 'signal', 'tri', 'good', 'telkomsel', 'tri', 'card', ' cheap ',' shy ',' woii ',' shy ',' price ',' dinaikin ',' signal ',' was charged ',' yesterday ',' yesterday ',' signal ',' that's', 'that"&amp;"'s' , 'Mulu', 'Change', 'Hadeeh', 'Kayak', 'Gini', 'Deh', 'Tsel', 'Lemot', 'Win', 'Price', 'Expensive', 'Card', ' Sousal ',' pulp ', ""]")</f>
        <v>['price', 'expensive', 'signal', 'slow', 'sip', 'capitalist', 'signal', 'tri', 'good', 'telkomsel', 'tri', 'card', ' cheap ',' shy ',' woii ',' shy ',' price ',' dinaikin ',' signal ',' was charged ',' yesterday ',' yesterday ',' signal ',' that's', 'that's' , 'Mulu', 'Change', 'Hadeeh', 'Kayak', 'Gini', 'Deh', 'Tsel', 'Lemot', 'Win', 'Price', 'Expensive', 'Card', ' Sousal ',' pulp ', "]</v>
      </c>
      <c r="D9124" s="3">
        <v>1.0</v>
      </c>
    </row>
    <row r="9125" ht="15.75" customHeight="1">
      <c r="A9125" s="1">
        <v>9723.0</v>
      </c>
      <c r="B9125" s="3" t="s">
        <v>8763</v>
      </c>
      <c r="C9125" s="3" t="str">
        <f>IFERROR(__xludf.DUMMYFUNCTION("GOOGLETRANSLATE(B9125,""id"",""en"")"),"['users',' Telkomsel ',' tells', 'complaints',' Kisah ',' please ',' Sinyal ',' Dragus', 'ugly', 'Severe', 'The network', 'Kayak', ' ']")</f>
        <v>['users',' Telkomsel ',' tells', 'complaints',' Kisah ',' please ',' Sinyal ',' Dragus', 'ugly', 'Severe', 'The network', 'Kayak', ' ']</v>
      </c>
      <c r="D9125" s="3">
        <v>1.0</v>
      </c>
    </row>
    <row r="9126" ht="15.75" customHeight="1">
      <c r="A9126" s="1">
        <v>9725.0</v>
      </c>
      <c r="B9126" s="3" t="s">
        <v>4464</v>
      </c>
      <c r="C9126" s="3" t="str">
        <f>IFERROR(__xludf.DUMMYFUNCTION("GOOGLETRANSLATE(B9126,""id"",""en"")"),"['Good', 'satisfying']")</f>
        <v>['Good', 'satisfying']</v>
      </c>
      <c r="D9126" s="3">
        <v>5.0</v>
      </c>
    </row>
    <row r="9127" ht="15.75" customHeight="1">
      <c r="A9127" s="1">
        <v>9726.0</v>
      </c>
      <c r="B9127" s="3" t="s">
        <v>8764</v>
      </c>
      <c r="C9127" s="3" t="str">
        <f>IFERROR(__xludf.DUMMYFUNCTION("GOOGLETRANSLATE(B9127,""id"",""en"")"),"['Telkomsel', 'difficult', 'login', 'Cape', 'really', 'buy', 'package', 'data', 'expensive', 'really', 'application', 'the application', ' difficult ',' opened ']")</f>
        <v>['Telkomsel', 'difficult', 'login', 'Cape', 'really', 'buy', 'package', 'data', 'expensive', 'really', 'application', 'the application', ' difficult ',' opened ']</v>
      </c>
      <c r="D9127" s="3">
        <v>2.0</v>
      </c>
    </row>
    <row r="9128" ht="15.75" customHeight="1">
      <c r="A9128" s="1">
        <v>9727.0</v>
      </c>
      <c r="B9128" s="3" t="s">
        <v>8765</v>
      </c>
      <c r="C9128" s="3" t="str">
        <f>IFERROR(__xludf.DUMMYFUNCTION("GOOGLETRANSLATE(B9128,""id"",""en"")"),"['Yesterday', 'bsa', 'access', '']")</f>
        <v>['Yesterday', 'bsa', 'access', '']</v>
      </c>
      <c r="D9128" s="3">
        <v>5.0</v>
      </c>
    </row>
    <row r="9129" ht="15.75" customHeight="1">
      <c r="A9129" s="1">
        <v>9728.0</v>
      </c>
      <c r="B9129" s="3" t="s">
        <v>8766</v>
      </c>
      <c r="C9129" s="3" t="str">
        <f>IFERROR(__xludf.DUMMYFUNCTION("GOOGLETRANSLATE(B9129,""id"",""en"")"),"['Application', 'waste', 'data', 'doang', 'looks', 'miserly', 'stingy', 'provider', 'the application', ""]")</f>
        <v>['Application', 'waste', 'data', 'doang', 'looks', 'miserly', 'stingy', 'provider', 'the application', "]</v>
      </c>
      <c r="D9129" s="3">
        <v>1.0</v>
      </c>
    </row>
    <row r="9130" ht="15.75" customHeight="1">
      <c r="A9130" s="1">
        <v>9730.0</v>
      </c>
      <c r="B9130" s="3" t="s">
        <v>8767</v>
      </c>
      <c r="C9130" s="3" t="str">
        <f>IFERROR(__xludf.DUMMYFUNCTION("GOOGLETRANSLATE(B9130,""id"",""en"")"),"['Benefit', 'Telkomsel']")</f>
        <v>['Benefit', 'Telkomsel']</v>
      </c>
      <c r="D9130" s="3">
        <v>5.0</v>
      </c>
    </row>
    <row r="9131" ht="15.75" customHeight="1">
      <c r="A9131" s="1">
        <v>9731.0</v>
      </c>
      <c r="B9131" s="3" t="s">
        <v>8768</v>
      </c>
      <c r="C9131" s="3" t="str">
        <f>IFERROR(__xludf.DUMMYFUNCTION("GOOGLETRANSLATE(B9131,""id"",""en"")"),"['Region', 'Cikokol', 'Tangerang', 'City', 'Signal', '']")</f>
        <v>['Region', 'Cikokol', 'Tangerang', 'City', 'Signal', '']</v>
      </c>
      <c r="D9131" s="3">
        <v>3.0</v>
      </c>
    </row>
    <row r="9132" ht="15.75" customHeight="1">
      <c r="A9132" s="1">
        <v>9732.0</v>
      </c>
      <c r="B9132" s="3" t="s">
        <v>8769</v>
      </c>
      <c r="C9132" s="3" t="str">
        <f>IFERROR(__xludf.DUMMYFUNCTION("GOOGLETRANSLATE(B9132,""id"",""en"")"),"['disappointed', 'network', 'difficult', 'buy', 'package', 'expensive', 'expensive', 'regret', 'use', 'Telkomsel', 'loss']")</f>
        <v>['disappointed', 'network', 'difficult', 'buy', 'package', 'expensive', 'expensive', 'regret', 'use', 'Telkomsel', 'loss']</v>
      </c>
      <c r="D9132" s="3">
        <v>1.0</v>
      </c>
    </row>
    <row r="9133" ht="15.75" customHeight="1">
      <c r="A9133" s="1">
        <v>9733.0</v>
      </c>
      <c r="B9133" s="3" t="s">
        <v>8770</v>
      </c>
      <c r="C9133" s="3" t="str">
        <f>IFERROR(__xludf.DUMMYFUNCTION("GOOGLETRANSLATE(B9133,""id"",""en"")"),"['Santap', 'soulaaaaa']")</f>
        <v>['Santap', 'soulaaaaa']</v>
      </c>
      <c r="D9133" s="3">
        <v>5.0</v>
      </c>
    </row>
    <row r="9134" ht="15.75" customHeight="1">
      <c r="A9134" s="1">
        <v>9734.0</v>
      </c>
      <c r="B9134" s="3" t="s">
        <v>8771</v>
      </c>
      <c r="C9134" s="3" t="str">
        <f>IFERROR(__xludf.DUMMYFUNCTION("GOOGLETRANSLATE(B9134,""id"",""en"")"),"['Mantappp', 'Bingittt', 'Updated', 'Opened', 'Top', 'Bangettt', 'Deh', 'Pokonya', 'BOHOOOOOONG']")</f>
        <v>['Mantappp', 'Bingittt', 'Updated', 'Opened', 'Top', 'Bangettt', 'Deh', 'Pokonya', 'BOHOOOOOONG']</v>
      </c>
      <c r="D9134" s="3">
        <v>1.0</v>
      </c>
    </row>
    <row r="9135" ht="15.75" customHeight="1">
      <c r="A9135" s="1">
        <v>9735.0</v>
      </c>
      <c r="B9135" s="3" t="s">
        <v>8772</v>
      </c>
      <c r="C9135" s="3" t="str">
        <f>IFERROR(__xludf.DUMMYFUNCTION("GOOGLETRANSLATE(B9135,""id"",""en"")"),"['Application', 'Open', 'Display', 'Screen', 'Colored', 'White', ""]")</f>
        <v>['Application', 'Open', 'Display', 'Screen', 'Colored', 'White', "]</v>
      </c>
      <c r="D9135" s="3">
        <v>1.0</v>
      </c>
    </row>
    <row r="9136" ht="15.75" customHeight="1">
      <c r="A9136" s="1">
        <v>9736.0</v>
      </c>
      <c r="B9136" s="3" t="s">
        <v>8773</v>
      </c>
      <c r="C9136" s="3" t="str">
        <f>IFERROR(__xludf.DUMMYFUNCTION("GOOGLETRANSLATE(B9136,""id"",""en"")"),"['Application', 'Blank', 'White', 'Mobile', 'Update', 'Disappointed', 'Sihh', 'People', 'Order', 'Update', 'Update', 'Have', ' Update ',' Mang ',' People ',' It's', 'Comfortable', 'Rudet', 'Rudet', 'Tungtung', 'Jangar', 'Sirah', ""]")</f>
        <v>['Application', 'Blank', 'White', 'Mobile', 'Update', 'Disappointed', 'Sihh', 'People', 'Order', 'Update', 'Update', 'Have', ' Update ',' Mang ',' People ',' It's', 'Comfortable', 'Rudet', 'Rudet', 'Tungtung', 'Jangar', 'Sirah', "]</v>
      </c>
      <c r="D9136" s="3">
        <v>1.0</v>
      </c>
    </row>
    <row r="9137" ht="15.75" customHeight="1">
      <c r="A9137" s="1">
        <v>9737.0</v>
      </c>
      <c r="B9137" s="3" t="s">
        <v>7369</v>
      </c>
      <c r="C9137" s="3" t="str">
        <f>IFERROR(__xludf.DUMMYFUNCTION("GOOGLETRANSLATE(B9137,""id"",""en"")"),"['', 'opened', ""]")</f>
        <v>['', 'opened', "]</v>
      </c>
      <c r="D9137" s="3">
        <v>5.0</v>
      </c>
    </row>
    <row r="9138" ht="15.75" customHeight="1">
      <c r="A9138" s="1">
        <v>9738.0</v>
      </c>
      <c r="B9138" s="3" t="s">
        <v>8774</v>
      </c>
      <c r="C9138" s="3" t="str">
        <f>IFERROR(__xludf.DUMMYFUNCTION("GOOGLETRANSLATE(B9138,""id"",""en"")"),"['a week', 'Telkomsel', 'Open', '']")</f>
        <v>['a week', 'Telkomsel', 'Open', '']</v>
      </c>
      <c r="D9138" s="3">
        <v>5.0</v>
      </c>
    </row>
    <row r="9139" ht="15.75" customHeight="1">
      <c r="A9139" s="1">
        <v>9739.0</v>
      </c>
      <c r="B9139" s="3" t="s">
        <v>8775</v>
      </c>
      <c r="C9139" s="3" t="str">
        <f>IFERROR(__xludf.DUMMYFUNCTION("GOOGLETRANSLATE(B9139,""id"",""en"")"),"['Bosss', 'Lotten', 'Promo', '']")</f>
        <v>['Bosss', 'Lotten', 'Promo', '']</v>
      </c>
      <c r="D9139" s="3">
        <v>5.0</v>
      </c>
    </row>
    <row r="9140" ht="15.75" customHeight="1">
      <c r="A9140" s="1">
        <v>9741.0</v>
      </c>
      <c r="B9140" s="3" t="s">
        <v>8776</v>
      </c>
      <c r="C9140" s="3" t="str">
        <f>IFERROR(__xludf.DUMMYFUNCTION("GOOGLETRANSLATE(B9140,""id"",""en"")"),"['Okay', 'Application', 'Telkomsel', 'Good']")</f>
        <v>['Okay', 'Application', 'Telkomsel', 'Good']</v>
      </c>
      <c r="D9140" s="3">
        <v>5.0</v>
      </c>
    </row>
    <row r="9141" ht="15.75" customHeight="1">
      <c r="A9141" s="1">
        <v>9742.0</v>
      </c>
      <c r="B9141" s="3" t="s">
        <v>8777</v>
      </c>
      <c r="C9141" s="3" t="str">
        <f>IFERROR(__xludf.DUMMYFUNCTION("GOOGLETRANSLATE(B9141,""id"",""en"")"),"['Buy', 'Package', 'Data', 'Internet', 'Telkomsel', '']")</f>
        <v>['Buy', 'Package', 'Data', 'Internet', 'Telkomsel', '']</v>
      </c>
      <c r="D9141" s="3">
        <v>1.0</v>
      </c>
    </row>
    <row r="9142" ht="15.75" customHeight="1">
      <c r="A9142" s="1">
        <v>9743.0</v>
      </c>
      <c r="B9142" s="3" t="s">
        <v>8778</v>
      </c>
      <c r="C9142" s="3" t="str">
        <f>IFERROR(__xludf.DUMMYFUNCTION("GOOGLETRANSLATE(B9142,""id"",""en"")"),"['Sngat', 'satisfying']")</f>
        <v>['Sngat', 'satisfying']</v>
      </c>
      <c r="D9142" s="3">
        <v>5.0</v>
      </c>
    </row>
    <row r="9143" ht="15.75" customHeight="1">
      <c r="A9143" s="1">
        <v>9744.0</v>
      </c>
      <c r="B9143" s="3" t="s">
        <v>8779</v>
      </c>
      <c r="C9143" s="3" t="str">
        <f>IFERROR(__xludf.DUMMYFUNCTION("GOOGLETRANSLATE(B9143,""id"",""en"")"),"['lucky', 'dpat', 'car']")</f>
        <v>['lucky', 'dpat', 'car']</v>
      </c>
      <c r="D9143" s="3">
        <v>5.0</v>
      </c>
    </row>
    <row r="9144" ht="15.75" customHeight="1">
      <c r="A9144" s="1">
        <v>9745.0</v>
      </c>
      <c r="B9144" s="3" t="s">
        <v>8780</v>
      </c>
      <c r="C9144" s="3" t="str">
        <f>IFERROR(__xludf.DUMMYFUNCTION("GOOGLETRANSLATE(B9144,""id"",""en"")"),"['lag', 'severe', 'disorder']")</f>
        <v>['lag', 'severe', 'disorder']</v>
      </c>
      <c r="D9144" s="3">
        <v>1.0</v>
      </c>
    </row>
    <row r="9145" ht="15.75" customHeight="1">
      <c r="A9145" s="1">
        <v>9746.0</v>
      </c>
      <c r="B9145" s="3" t="s">
        <v>8781</v>
      </c>
      <c r="C9145" s="3" t="str">
        <f>IFERROR(__xludf.DUMMYFUNCTION("GOOGLETRANSLATE(B9145,""id"",""en"")"),"['KNPA', 'Package', 'quota', 'expensive', 'expensive', 'ajja', 'Bener', 'Malesin', 'Mending', 'Change', 'card', 'prime', ' Bgini ']")</f>
        <v>['KNPA', 'Package', 'quota', 'expensive', 'expensive', 'ajja', 'Bener', 'Malesin', 'Mending', 'Change', 'card', 'prime', ' Bgini ']</v>
      </c>
      <c r="D9145" s="3">
        <v>1.0</v>
      </c>
    </row>
    <row r="9146" ht="15.75" customHeight="1">
      <c r="A9146" s="1">
        <v>9747.0</v>
      </c>
      <c r="B9146" s="3" t="s">
        <v>8782</v>
      </c>
      <c r="C9146" s="3" t="str">
        <f>IFERROR(__xludf.DUMMYFUNCTION("GOOGLETRANSLATE(B9146,""id"",""en"")"),"['like', 'discount', '']")</f>
        <v>['like', 'discount', '']</v>
      </c>
      <c r="D9146" s="3">
        <v>5.0</v>
      </c>
    </row>
    <row r="9147" ht="15.75" customHeight="1">
      <c r="A9147" s="1">
        <v>9748.0</v>
      </c>
      <c r="B9147" s="3" t="s">
        <v>8783</v>
      </c>
      <c r="C9147" s="3" t="str">
        <f>IFERROR(__xludf.DUMMYFUNCTION("GOOGLETRANSLATE(B9147,""id"",""en"")"),"['', 'Telkomsel', 'Damaged', 'Open', 'Screen', 'White', 'Doang', 'Recommended']")</f>
        <v>['', 'Telkomsel', 'Damaged', 'Open', 'Screen', 'White', 'Doang', 'Recommended']</v>
      </c>
      <c r="D9147" s="3">
        <v>1.0</v>
      </c>
    </row>
    <row r="9148" ht="15.75" customHeight="1">
      <c r="A9148" s="1">
        <v>9749.0</v>
      </c>
      <c r="B9148" s="3" t="s">
        <v>8784</v>
      </c>
      <c r="C9148" s="3" t="str">
        <f>IFERROR(__xludf.DUMMYFUNCTION("GOOGLETRANSLATE(B9148,""id"",""en"")"),"['Severe', 'already', 'network', 'difficult', 'enter', 'apk', 'difficult', 'sms', 'enter']")</f>
        <v>['Severe', 'already', 'network', 'difficult', 'enter', 'apk', 'difficult', 'sms', 'enter']</v>
      </c>
      <c r="D9148" s="3">
        <v>1.0</v>
      </c>
    </row>
    <row r="9149" ht="15.75" customHeight="1">
      <c r="A9149" s="1">
        <v>9750.0</v>
      </c>
      <c r="B9149" s="3" t="s">
        <v>8785</v>
      </c>
      <c r="C9149" s="3" t="str">
        <f>IFERROR(__xludf.DUMMYFUNCTION("GOOGLETRANSLATE(B9149,""id"",""en"")"),"['Package', 'Combo', 'Sakti', 'Lost', 'Use', 'Disappointed', 'Very']")</f>
        <v>['Package', 'Combo', 'Sakti', 'Lost', 'Use', 'Disappointed', 'Very']</v>
      </c>
      <c r="D9149" s="3">
        <v>1.0</v>
      </c>
    </row>
    <row r="9150" ht="15.75" customHeight="1">
      <c r="A9150" s="1">
        <v>9751.0</v>
      </c>
      <c r="B9150" s="3" t="s">
        <v>8786</v>
      </c>
      <c r="C9150" s="3" t="str">
        <f>IFERROR(__xludf.DUMMYFUNCTION("GOOGLETRANSLATE(B9150,""id"",""en"")"),"['right', 'update', 'application', 'Telkomsel', 'enter', 'open', 'Android', 'Telkomsel', 'update', 'Android', 'tetep', 'open', ' GraPARI ',' Telkomsel ',' Help ',' Disappointed ',' Telkomsel ']")</f>
        <v>['right', 'update', 'application', 'Telkomsel', 'enter', 'open', 'Android', 'Telkomsel', 'update', 'Android', 'tetep', 'open', ' GraPARI ',' Telkomsel ',' Help ',' Disappointed ',' Telkomsel ']</v>
      </c>
      <c r="D9150" s="3">
        <v>1.0</v>
      </c>
    </row>
    <row r="9151" ht="15.75" customHeight="1">
      <c r="A9151" s="1">
        <v>9752.0</v>
      </c>
      <c r="B9151" s="3" t="s">
        <v>8787</v>
      </c>
      <c r="C9151" s="3" t="str">
        <f>IFERROR(__xludf.DUMMYFUNCTION("GOOGLETRANSLATE(B9151,""id"",""en"")"),"['Application', 'Telkomsel', 'Open', 'Delete', 'Then', 'Download', 'reset', 'msh', 'opened', ""]")</f>
        <v>['Application', 'Telkomsel', 'Open', 'Delete', 'Then', 'Download', 'reset', 'msh', 'opened', "]</v>
      </c>
      <c r="D9151" s="3">
        <v>1.0</v>
      </c>
    </row>
    <row r="9152" ht="15.75" customHeight="1">
      <c r="A9152" s="1">
        <v>9754.0</v>
      </c>
      <c r="B9152" s="3" t="s">
        <v>8788</v>
      </c>
      <c r="C9152" s="3" t="str">
        <f>IFERROR(__xludf.DUMMYFUNCTION("GOOGLETRANSLATE(B9152,""id"",""en"")"),"['Amanah', 'exciting']")</f>
        <v>['Amanah', 'exciting']</v>
      </c>
      <c r="D9152" s="3">
        <v>5.0</v>
      </c>
    </row>
    <row r="9153" ht="15.75" customHeight="1">
      <c r="A9153" s="1">
        <v>9755.0</v>
      </c>
      <c r="B9153" s="3" t="s">
        <v>8789</v>
      </c>
      <c r="C9153" s="3" t="str">
        <f>IFERROR(__xludf.DUMMYFUNCTION("GOOGLETRANSLATE(B9153,""id"",""en"")"),"['bsa', 'dbuka', 'APK']")</f>
        <v>['bsa', 'dbuka', 'APK']</v>
      </c>
      <c r="D9153" s="3">
        <v>5.0</v>
      </c>
    </row>
    <row r="9154" ht="15.75" customHeight="1">
      <c r="A9154" s="1">
        <v>9756.0</v>
      </c>
      <c r="B9154" s="3" t="s">
        <v>2141</v>
      </c>
      <c r="C9154" s="3" t="str">
        <f>IFERROR(__xludf.DUMMYFUNCTION("GOOGLETRANSLATE(B9154,""id"",""en"")"),"['Enhanced']")</f>
        <v>['Enhanced']</v>
      </c>
      <c r="D9154" s="3">
        <v>5.0</v>
      </c>
    </row>
    <row r="9155" ht="15.75" customHeight="1">
      <c r="A9155" s="1">
        <v>9757.0</v>
      </c>
      <c r="B9155" s="3" t="s">
        <v>8790</v>
      </c>
      <c r="C9155" s="3" t="str">
        <f>IFERROR(__xludf.DUMMYFUNCTION("GOOGLETRANSLATE(B9155,""id"",""en"")"),"['Hopefully', 'Hadia', 'Car', 'Telkomsel']")</f>
        <v>['Hopefully', 'Hadia', 'Car', 'Telkomsel']</v>
      </c>
      <c r="D9155" s="3">
        <v>5.0</v>
      </c>
    </row>
    <row r="9156" ht="15.75" customHeight="1">
      <c r="A9156" s="1">
        <v>9758.0</v>
      </c>
      <c r="B9156" s="3" t="s">
        <v>8791</v>
      </c>
      <c r="C9156" s="3" t="str">
        <f>IFERROR(__xludf.DUMMYFUNCTION("GOOGLETRANSLATE(B9156,""id"",""en"")"),"['Error', 'Open', 'APK', 'bapuk']")</f>
        <v>['Error', 'Open', 'APK', 'bapuk']</v>
      </c>
      <c r="D9156" s="3">
        <v>1.0</v>
      </c>
    </row>
    <row r="9157" ht="15.75" customHeight="1">
      <c r="A9157" s="1">
        <v>9759.0</v>
      </c>
      <c r="B9157" s="3" t="s">
        <v>8792</v>
      </c>
      <c r="C9157" s="3" t="str">
        <f>IFERROR(__xludf.DUMMYFUNCTION("GOOGLETRANSLATE(B9157,""id"",""en"")"),"['Love', 'Bintang', 'Krna', 'Dipelek', '']")</f>
        <v>['Love', 'Bintang', 'Krna', 'Dipelek', '']</v>
      </c>
      <c r="D9157" s="3">
        <v>3.0</v>
      </c>
    </row>
    <row r="9158" ht="15.75" customHeight="1">
      <c r="A9158" s="1">
        <v>9760.0</v>
      </c>
      <c r="B9158" s="3" t="s">
        <v>8793</v>
      </c>
      <c r="C9158" s="3" t="str">
        <f>IFERROR(__xludf.DUMMYFUNCTION("GOOGLETRANSLATE(B9158,""id"",""en"")"),"['right', 'update', 'newest', 'Telkomsel', 'opened', 'Force', 'Close', 'Waiting', 'Enter', 'APK', 'Telkomsel', 'please', ' The solution is', '']")</f>
        <v>['right', 'update', 'newest', 'Telkomsel', 'opened', 'Force', 'Close', 'Waiting', 'Enter', 'APK', 'Telkomsel', 'please', ' The solution is', '']</v>
      </c>
      <c r="D9158" s="3">
        <v>1.0</v>
      </c>
    </row>
    <row r="9159" ht="15.75" customHeight="1">
      <c r="A9159" s="1">
        <v>9761.0</v>
      </c>
      <c r="B9159" s="3" t="s">
        <v>8794</v>
      </c>
      <c r="C9159" s="3" t="str">
        <f>IFERROR(__xludf.DUMMYFUNCTION("GOOGLETRANSLATE(B9159,""id"",""en"")"),"['buy', 'quota', 'expensive', 'Telkomsel', 'Lombok', 'slow', 'subscribe', 'Telkomsel', 'believe']")</f>
        <v>['buy', 'quota', 'expensive', 'Telkomsel', 'Lombok', 'slow', 'subscribe', 'Telkomsel', 'believe']</v>
      </c>
      <c r="D9159" s="3">
        <v>2.0</v>
      </c>
    </row>
    <row r="9160" ht="15.75" customHeight="1">
      <c r="A9160" s="1">
        <v>9762.0</v>
      </c>
      <c r="B9160" s="3" t="s">
        <v>8795</v>
      </c>
      <c r="C9160" s="3" t="str">
        <f>IFERROR(__xludf.DUMMYFUNCTION("GOOGLETRANSLATE(B9160,""id"",""en"")"),"['Good', 'safe']")</f>
        <v>['Good', 'safe']</v>
      </c>
      <c r="D9160" s="3">
        <v>5.0</v>
      </c>
    </row>
    <row r="9161" ht="15.75" customHeight="1">
      <c r="A9161" s="1">
        <v>9763.0</v>
      </c>
      <c r="B9161" s="3" t="s">
        <v>8796</v>
      </c>
      <c r="C9161" s="3" t="str">
        <f>IFERROR(__xludf.DUMMYFUNCTION("GOOGLETRANSLATE(B9161,""id"",""en"")"),"['Profitable', 'Defeloper', 'TPI', 'user', 'Telkomsel']")</f>
        <v>['Profitable', 'Defeloper', 'TPI', 'user', 'Telkomsel']</v>
      </c>
      <c r="D9161" s="3">
        <v>2.0</v>
      </c>
    </row>
    <row r="9162" ht="15.75" customHeight="1">
      <c r="A9162" s="1">
        <v>9764.0</v>
      </c>
      <c r="B9162" s="3" t="s">
        <v>8797</v>
      </c>
      <c r="C9162" s="3" t="str">
        <f>IFERROR(__xludf.DUMMYFUNCTION("GOOGLETRANSLATE(B9162,""id"",""en"")"),"['Good', 'check', 'pulse', 'number']")</f>
        <v>['Good', 'check', 'pulse', 'number']</v>
      </c>
      <c r="D9162" s="3">
        <v>5.0</v>
      </c>
    </row>
    <row r="9163" ht="15.75" customHeight="1">
      <c r="A9163" s="1">
        <v>9767.0</v>
      </c>
      <c r="B9163" s="3" t="s">
        <v>8798</v>
      </c>
      <c r="C9163" s="3" t="str">
        <f>IFERROR(__xludf.DUMMYFUNCTION("GOOGLETRANSLATE(B9163,""id"",""en"")"),"['screen', 'white', 'doang', 'times', 'open', '']")</f>
        <v>['screen', 'white', 'doang', 'times', 'open', '']</v>
      </c>
      <c r="D9163" s="3">
        <v>1.0</v>
      </c>
    </row>
    <row r="9164" ht="15.75" customHeight="1">
      <c r="A9164" s="1">
        <v>9768.0</v>
      </c>
      <c r="B9164" s="3" t="s">
        <v>8799</v>
      </c>
      <c r="C9164" s="3" t="str">
        <f>IFERROR(__xludf.DUMMYFUNCTION("GOOGLETRANSLATE(B9164,""id"",""en"")"),"['Bad', 'Internet', 'Sometimes',' like ',' missing ',' network ',' change ',' belongs', 'kah', 'speed', 'internet', 'sometimes',' Sometimes', 'missing', 'network', 'oath', 'Telkomsel', 'card', 'dream', 'bad', 'card', 'SIM']")</f>
        <v>['Bad', 'Internet', 'Sometimes',' like ',' missing ',' network ',' change ',' belongs', 'kah', 'speed', 'internet', 'sometimes',' Sometimes', 'missing', 'network', 'oath', 'Telkomsel', 'card', 'dream', 'bad', 'card', 'SIM']</v>
      </c>
      <c r="D9164" s="3">
        <v>1.0</v>
      </c>
    </row>
    <row r="9165" ht="15.75" customHeight="1">
      <c r="A9165" s="1">
        <v>9769.0</v>
      </c>
      <c r="B9165" s="3" t="s">
        <v>8800</v>
      </c>
      <c r="C9165" s="3" t="str">
        <f>IFERROR(__xludf.DUMMYFUNCTION("GOOGLETRANSLATE(B9165,""id"",""en"")"),"['Redeem', 'Point', 'interesting', 'Point', '']")</f>
        <v>['Redeem', 'Point', 'interesting', 'Point', '']</v>
      </c>
      <c r="D9165" s="3">
        <v>1.0</v>
      </c>
    </row>
    <row r="9166" ht="15.75" customHeight="1">
      <c r="A9166" s="1">
        <v>9770.0</v>
      </c>
      <c r="B9166" s="3" t="s">
        <v>8801</v>
      </c>
      <c r="C9166" s="3" t="str">
        <f>IFERROR(__xludf.DUMMYFUNCTION("GOOGLETRANSLATE(B9166,""id"",""en"")"),"['', 'kenpa', 'apps', 'open', 'udh', 'ber', '']")</f>
        <v>['', 'kenpa', 'apps', 'open', 'udh', 'ber', '']</v>
      </c>
      <c r="D9166" s="3">
        <v>1.0</v>
      </c>
    </row>
    <row r="9167" ht="15.75" customHeight="1">
      <c r="A9167" s="1">
        <v>9771.0</v>
      </c>
      <c r="B9167" s="3" t="s">
        <v>8802</v>
      </c>
      <c r="C9167" s="3" t="str">
        <f>IFERROR(__xludf.DUMMYFUNCTION("GOOGLETRANSLATE(B9167,""id"",""en"")"),"['Jeleeeeeeekkkkk', 'the application', 'gmn', 'checked', 'run out', 'package', 'etc.', 'woooiii', 'fix', 'as soon as']")</f>
        <v>['Jeleeeeeeekkkkk', 'the application', 'gmn', 'checked', 'run out', 'package', 'etc.', 'woooiii', 'fix', 'as soon as']</v>
      </c>
      <c r="D9167" s="3">
        <v>1.0</v>
      </c>
    </row>
    <row r="9168" ht="15.75" customHeight="1">
      <c r="A9168" s="1">
        <v>9772.0</v>
      </c>
      <c r="B9168" s="3" t="s">
        <v>4359</v>
      </c>
      <c r="C9168" s="3" t="str">
        <f>IFERROR(__xludf.DUMMYFUNCTION("GOOGLETRANSLATE(B9168,""id"",""en"")"),"['fast', 'easy']")</f>
        <v>['fast', 'easy']</v>
      </c>
      <c r="D9168" s="3">
        <v>5.0</v>
      </c>
    </row>
    <row r="9169" ht="15.75" customHeight="1">
      <c r="A9169" s="1">
        <v>9773.0</v>
      </c>
      <c r="B9169" s="3" t="s">
        <v>8803</v>
      </c>
      <c r="C9169" s="3" t="str">
        <f>IFERROR(__xludf.DUMMYFUNCTION("GOOGLETRANSLATE(B9169,""id"",""en"")"),"['TOP', 'Help', ""]")</f>
        <v>['TOP', 'Help', "]</v>
      </c>
      <c r="D9169" s="3">
        <v>4.0</v>
      </c>
    </row>
    <row r="9170" ht="15.75" customHeight="1">
      <c r="A9170" s="1">
        <v>9774.0</v>
      </c>
      <c r="B9170" s="3" t="s">
        <v>8804</v>
      </c>
      <c r="C9170" s="3" t="str">
        <f>IFERROR(__xludf.DUMMYFUNCTION("GOOGLETRANSLATE(B9170,""id"",""en"")"),"['Telkomsel', 'White', 'buy', 'package', 'fill in', 'quota', 'already', 'beher', 'time', 'install', 'Install', 'reset']")</f>
        <v>['Telkomsel', 'White', 'buy', 'package', 'fill in', 'quota', 'already', 'beher', 'time', 'install', 'Install', 'reset']</v>
      </c>
      <c r="D9170" s="3">
        <v>5.0</v>
      </c>
    </row>
    <row r="9171" ht="15.75" customHeight="1">
      <c r="A9171" s="1">
        <v>9775.0</v>
      </c>
      <c r="B9171" s="3" t="s">
        <v>8805</v>
      </c>
      <c r="C9171" s="3" t="str">
        <f>IFERROR(__xludf.DUMMYFUNCTION("GOOGLETRANSLATE(B9171,""id"",""en"")"),"['Ribetttttttttt', 'Extend', 'Hard', 'Change', 'Paska', 'Pay', 'Susaaahh', 'BUMN', 'Becus']")</f>
        <v>['Ribetttttttttt', 'Extend', 'Hard', 'Change', 'Paska', 'Pay', 'Susaaahh', 'BUMN', 'Becus']</v>
      </c>
      <c r="D9171" s="3">
        <v>1.0</v>
      </c>
    </row>
    <row r="9172" ht="15.75" customHeight="1">
      <c r="A9172" s="1">
        <v>9776.0</v>
      </c>
      <c r="B9172" s="3" t="s">
        <v>8806</v>
      </c>
      <c r="C9172" s="3" t="str">
        <f>IFERROR(__xludf.DUMMYFUNCTION("GOOGLETRANSLATE(B9172,""id"",""en"")"),"['Purchase', 'pulse', 'package', 'Mudas', 'GaEess']")</f>
        <v>['Purchase', 'pulse', 'package', 'Mudas', 'GaEess']</v>
      </c>
      <c r="D9172" s="3">
        <v>5.0</v>
      </c>
    </row>
    <row r="9173" ht="15.75" customHeight="1">
      <c r="A9173" s="1">
        <v>9777.0</v>
      </c>
      <c r="B9173" s="3" t="s">
        <v>8807</v>
      </c>
      <c r="C9173" s="3" t="str">
        <f>IFERROR(__xludf.DUMMYFUNCTION("GOOGLETRANSLATE(B9173,""id"",""en"")"),"['Kasi', 'star', 'dlu']")</f>
        <v>['Kasi', 'star', 'dlu']</v>
      </c>
      <c r="D9173" s="3">
        <v>3.0</v>
      </c>
    </row>
    <row r="9174" ht="15.75" customHeight="1">
      <c r="A9174" s="1">
        <v>9778.0</v>
      </c>
      <c r="B9174" s="3" t="s">
        <v>8808</v>
      </c>
      <c r="C9174" s="3" t="str">
        <f>IFERROR(__xludf.DUMMYFUNCTION("GOOGLETRANSLATE(B9174,""id"",""en"")"),"['Login', 'already', 'times', 'try', 'login']")</f>
        <v>['Login', 'already', 'times', 'try', 'login']</v>
      </c>
      <c r="D9174" s="3">
        <v>1.0</v>
      </c>
    </row>
    <row r="9175" ht="15.75" customHeight="1">
      <c r="A9175" s="1">
        <v>9779.0</v>
      </c>
      <c r="B9175" s="3" t="s">
        <v>8809</v>
      </c>
      <c r="C9175" s="3" t="str">
        <f>IFERROR(__xludf.DUMMYFUNCTION("GOOGLETRANSLATE(B9175,""id"",""en"")"),"['buy', 'unlimited', 'max', 'ngeleg', 'really', 'buy', 'expensive', 'kepake', 'please', 'ngeeleg', 'really']")</f>
        <v>['buy', 'unlimited', 'max', 'ngeleg', 'really', 'buy', 'expensive', 'kepake', 'please', 'ngeeleg', 'really']</v>
      </c>
      <c r="D9175" s="3">
        <v>1.0</v>
      </c>
    </row>
    <row r="9176" ht="15.75" customHeight="1">
      <c r="A9176" s="1">
        <v>9780.0</v>
      </c>
      <c r="B9176" s="3" t="s">
        <v>8810</v>
      </c>
      <c r="C9176" s="3" t="str">
        <f>IFERROR(__xludf.DUMMYFUNCTION("GOOGLETRANSLATE(B9176,""id"",""en"")"),"['', 'Disappointed', 'really', 'Tadakuu', 'rendem', 'kouta', 'pulse', 'finished', 'sucked', 'pdhl', 'check', 'there', 'written ',' fail ',' contents', 'reset', 'money', 'min', 'kuturunkn', 'star', 'suggestion', 'administration', 'duits',' gpp ',' right ',"&amp;" 'Pasan', 'DPT', 'Drmana', 'please', 'noticed', 'min', 'email', 'blocked', 'Telkomsel', 'gift', 'confirmed', 'Telkomsel']")</f>
        <v>['', 'Disappointed', 'really', 'Tadakuu', 'rendem', 'kouta', 'pulse', 'finished', 'sucked', 'pdhl', 'check', 'there', 'written ',' fail ',' contents', 'reset', 'money', 'min', 'kuturunkn', 'star', 'suggestion', 'administration', 'duits',' gpp ',' right ', 'Pasan', 'DPT', 'Drmana', 'please', 'noticed', 'min', 'email', 'blocked', 'Telkomsel', 'gift', 'confirmed', 'Telkomsel']</v>
      </c>
      <c r="D9176" s="3">
        <v>2.0</v>
      </c>
    </row>
    <row r="9177" ht="15.75" customHeight="1">
      <c r="A9177" s="1">
        <v>9781.0</v>
      </c>
      <c r="B9177" s="3" t="s">
        <v>8811</v>
      </c>
      <c r="C9177" s="3" t="str">
        <f>IFERROR(__xludf.DUMMYFUNCTION("GOOGLETRANSLATE(B9177,""id"",""en"")"),"['Price', 'Package', 'Network', 'Leet', 'Astaghfirullah', '']")</f>
        <v>['Price', 'Package', 'Network', 'Leet', 'Astaghfirullah', '']</v>
      </c>
      <c r="D9177" s="3">
        <v>1.0</v>
      </c>
    </row>
    <row r="9178" ht="15.75" customHeight="1">
      <c r="A9178" s="1">
        <v>9782.0</v>
      </c>
      <c r="B9178" s="3" t="s">
        <v>8812</v>
      </c>
      <c r="C9178" s="3" t="str">
        <f>IFERROR(__xludf.DUMMYFUNCTION("GOOGLETRANSLATE(B9178,""id"",""en"")"),"['opened', 'update', 'settings', 'geogle', 'bite', 'mean mean', 'gmn', '']")</f>
        <v>['opened', 'update', 'settings', 'geogle', 'bite', 'mean mean', 'gmn', '']</v>
      </c>
      <c r="D9178" s="3">
        <v>1.0</v>
      </c>
    </row>
    <row r="9179" ht="15.75" customHeight="1">
      <c r="A9179" s="1">
        <v>9783.0</v>
      </c>
      <c r="B9179" s="3" t="s">
        <v>8813</v>
      </c>
      <c r="C9179" s="3" t="str">
        <f>IFERROR(__xludf.DUMMYFUNCTION("GOOGLETRANSLATE(B9179,""id"",""en"")"),"['Package', 'buy', 'expensive', 'expensive', 'suaah', 'Jaringn', 'like', 'jringn', 'lost']")</f>
        <v>['Package', 'buy', 'expensive', 'expensive', 'suaah', 'Jaringn', 'like', 'jringn', 'lost']</v>
      </c>
      <c r="D9179" s="3">
        <v>1.0</v>
      </c>
    </row>
    <row r="9180" ht="15.75" customHeight="1">
      <c r="A9180" s="1">
        <v>9784.0</v>
      </c>
      <c r="B9180" s="3" t="s">
        <v>8814</v>
      </c>
      <c r="C9180" s="3" t="str">
        <f>IFERROR(__xludf.DUMMYFUNCTION("GOOGLETRANSLATE(B9180,""id"",""en"")"),"['network', 'internet', 'ugly', 'severe', 'buy', 'package', 'gamemax', 'dipake', 'taken', 'package', 'quota', 'main', ' the rest ',' pulse ',' sucked ',' until ',' run out ',' moved ',' next door ',' im ',' network ',' stable ', ""]")</f>
        <v>['network', 'internet', 'ugly', 'severe', 'buy', 'package', 'gamemax', 'dipake', 'taken', 'package', 'quota', 'main', ' the rest ',' pulse ',' sucked ',' until ',' run out ',' moved ',' next door ',' im ',' network ',' stable ', "]</v>
      </c>
      <c r="D9180" s="3">
        <v>1.0</v>
      </c>
    </row>
    <row r="9181" ht="15.75" customHeight="1">
      <c r="A9181" s="1">
        <v>9785.0</v>
      </c>
      <c r="B9181" s="3" t="s">
        <v>8815</v>
      </c>
      <c r="C9181" s="3" t="str">
        <f>IFERROR(__xludf.DUMMYFUNCTION("GOOGLETRANSLATE(B9181,""id"",""en"")"),"['Package', 'Maha', 'promo', 'especially', 'Area', 'Wonogiri', 'East']")</f>
        <v>['Package', 'Maha', 'promo', 'especially', 'Area', 'Wonogiri', 'East']</v>
      </c>
      <c r="D9181" s="3">
        <v>2.0</v>
      </c>
    </row>
    <row r="9182" ht="15.75" customHeight="1">
      <c r="A9182" s="1">
        <v>9786.0</v>
      </c>
      <c r="B9182" s="3" t="s">
        <v>8816</v>
      </c>
      <c r="C9182" s="3" t="str">
        <f>IFERROR(__xludf.DUMMYFUNCTION("GOOGLETRANSLATE(B9182,""id"",""en"")"),"['Love', 'star', 'because' ease ',' burden ',' package ',' cheap ',' little ',' ']")</f>
        <v>['Love', 'star', 'because' ease ',' burden ',' package ',' cheap ',' little ',' ']</v>
      </c>
      <c r="D9182" s="3">
        <v>5.0</v>
      </c>
    </row>
    <row r="9183" ht="15.75" customHeight="1">
      <c r="A9183" s="1">
        <v>9787.0</v>
      </c>
      <c r="B9183" s="3" t="s">
        <v>859</v>
      </c>
      <c r="C9183" s="3" t="str">
        <f>IFERROR(__xludf.DUMMYFUNCTION("GOOGLETRANSLATE(B9183,""id"",""en"")"),"['help', '']")</f>
        <v>['help', '']</v>
      </c>
      <c r="D9183" s="3">
        <v>5.0</v>
      </c>
    </row>
    <row r="9184" ht="15.75" customHeight="1">
      <c r="A9184" s="1">
        <v>9788.0</v>
      </c>
      <c r="B9184" s="3" t="s">
        <v>8817</v>
      </c>
      <c r="C9184" s="3" t="str">
        <f>IFERROR(__xludf.DUMMYFUNCTION("GOOGLETRANSLATE(B9184,""id"",""en"")"),"['Not bad', 'beginner', '']")</f>
        <v>['Not bad', 'beginner', '']</v>
      </c>
      <c r="D9184" s="3">
        <v>5.0</v>
      </c>
    </row>
    <row r="9185" ht="15.75" customHeight="1">
      <c r="A9185" s="1">
        <v>9789.0</v>
      </c>
      <c r="B9185" s="3" t="s">
        <v>8818</v>
      </c>
      <c r="C9185" s="3" t="str">
        <f>IFERROR(__xludf.DUMMYFUNCTION("GOOGLETRANSLATE(B9185,""id"",""en"")"),"['BGMN', 'Min', 'Open', 'Pelangan', 'Telkomsel', 'WIL', 'Papua', 'Tia']")</f>
        <v>['BGMN', 'Min', 'Open', 'Pelangan', 'Telkomsel', 'WIL', 'Papua', 'Tia']</v>
      </c>
      <c r="D9185" s="3">
        <v>5.0</v>
      </c>
    </row>
    <row r="9186" ht="15.75" customHeight="1">
      <c r="A9186" s="1">
        <v>9790.0</v>
      </c>
      <c r="B9186" s="3" t="s">
        <v>8819</v>
      </c>
      <c r="C9186" s="3" t="str">
        <f>IFERROR(__xludf.DUMMYFUNCTION("GOOGLETRANSLATE(B9186,""id"",""en"")"),"['Telkomsel', 'sassy', 'like', 'take', 'pulse', 'silent', 'silent', ""]")</f>
        <v>['Telkomsel', 'sassy', 'like', 'take', 'pulse', 'silent', 'silent', "]</v>
      </c>
      <c r="D9186" s="3">
        <v>1.0</v>
      </c>
    </row>
    <row r="9187" ht="15.75" customHeight="1">
      <c r="A9187" s="1">
        <v>9791.0</v>
      </c>
      <c r="B9187" s="3" t="s">
        <v>8820</v>
      </c>
      <c r="C9187" s="3" t="str">
        <f>IFERROR(__xludf.DUMMYFUNCTION("GOOGLETRANSLATE(B9187,""id"",""en"")"),"['Out', 'update', 'no', 'open', 'class', 'Telkomsel', 'disappointed', '']")</f>
        <v>['Out', 'update', 'no', 'open', 'class', 'Telkomsel', 'disappointed', '']</v>
      </c>
      <c r="D9187" s="3">
        <v>5.0</v>
      </c>
    </row>
    <row r="9188" ht="15.75" customHeight="1">
      <c r="A9188" s="1">
        <v>9792.0</v>
      </c>
      <c r="B9188" s="3" t="s">
        <v>8821</v>
      </c>
      <c r="C9188" s="3" t="str">
        <f>IFERROR(__xludf.DUMMYFUNCTION("GOOGLETRANSLATE(B9188,""id"",""en"")"),"['really', 'open', 'the application', 'I think', 'Doang', 'he knows',' family ',' open ',' the application ',' family ',' subscription ',' Telkomsel ',' Disappointed ',' Severe ',' ']")</f>
        <v>['really', 'open', 'the application', 'I think', 'Doang', 'he knows',' family ',' open ',' the application ',' family ',' subscription ',' Telkomsel ',' Disappointed ',' Severe ',' ']</v>
      </c>
      <c r="D9188" s="3">
        <v>1.0</v>
      </c>
    </row>
    <row r="9189" ht="15.75" customHeight="1">
      <c r="A9189" s="1">
        <v>9793.0</v>
      </c>
      <c r="B9189" s="3" t="s">
        <v>8822</v>
      </c>
      <c r="C9189" s="3" t="str">
        <f>IFERROR(__xludf.DUMMYFUNCTION("GOOGLETRANSLATE(B9189,""id"",""en"")"),"['already', 'Install', 'Many', 'TTP', 'Open']")</f>
        <v>['already', 'Install', 'Many', 'TTP', 'Open']</v>
      </c>
      <c r="D9189" s="3">
        <v>1.0</v>
      </c>
    </row>
    <row r="9190" ht="15.75" customHeight="1">
      <c r="A9190" s="1">
        <v>9794.0</v>
      </c>
      <c r="B9190" s="3" t="s">
        <v>8823</v>
      </c>
      <c r="C9190" s="3" t="str">
        <f>IFERROR(__xludf.DUMMYFUNCTION("GOOGLETRANSLATE(B9190,""id"",""en"")"),"['standard', 'login', 'application', 'slow', 'heavy', 'open', 'screen', 'blank', 'white', 'user', 'Telkomsel', 'disappointed', ' ']")</f>
        <v>['standard', 'login', 'application', 'slow', 'heavy', 'open', 'screen', 'blank', 'white', 'user', 'Telkomsel', 'disappointed', ' ']</v>
      </c>
      <c r="D9190" s="3">
        <v>1.0</v>
      </c>
    </row>
    <row r="9191" ht="15.75" customHeight="1">
      <c r="A9191" s="1">
        <v>9795.0</v>
      </c>
      <c r="B9191" s="3" t="s">
        <v>8824</v>
      </c>
      <c r="C9191" s="3" t="str">
        <f>IFERROR(__xludf.DUMMYFUNCTION("GOOGLETRANSLATE(B9191,""id"",""en"")"),"['how', 'APK', 'opened', 'screen', 'white', 'doang']")</f>
        <v>['how', 'APK', 'opened', 'screen', 'white', 'doang']</v>
      </c>
      <c r="D9191" s="3">
        <v>2.0</v>
      </c>
    </row>
    <row r="9192" ht="15.75" customHeight="1">
      <c r="A9192" s="1">
        <v>9796.0</v>
      </c>
      <c r="B9192" s="3" t="s">
        <v>8825</v>
      </c>
      <c r="C9192" s="3" t="str">
        <f>IFERROR(__xludf.DUMMYFUNCTION("GOOGLETRANSLATE(B9192,""id"",""en"")"),"['UDH', 'expensive', 'right', 'Ujan', 'signal', 'udh', 'buy', 'package', 'game', 'kgk', 'udh', 'fraud', ' right ',' game ',' bar ',' signal ',' full ',' leg ',' second ',' udh ',' right ',' game ',' bar ',' signal ',' full ' , 'Telkomsel', 'Where', 'Bus',"&amp;" 'Aleg', 'Gini', 'Try', 'Ngilak', 'Indonesia', 'Internet', 'CPT']")</f>
        <v>['UDH', 'expensive', 'right', 'Ujan', 'signal', 'udh', 'buy', 'package', 'game', 'kgk', 'udh', 'fraud', ' right ',' game ',' bar ',' signal ',' full ',' leg ',' second ',' udh ',' right ',' game ',' bar ',' signal ',' full ' , 'Telkomsel', 'Where', 'Bus', 'Aleg', 'Gini', 'Try', 'Ngilak', 'Indonesia', 'Internet', 'CPT']</v>
      </c>
      <c r="D9192" s="3">
        <v>1.0</v>
      </c>
    </row>
    <row r="9193" ht="15.75" customHeight="1">
      <c r="A9193" s="1">
        <v>9797.0</v>
      </c>
      <c r="B9193" s="3" t="s">
        <v>8826</v>
      </c>
      <c r="C9193" s="3" t="str">
        <f>IFERROR(__xludf.DUMMYFUNCTION("GOOGLETRANSLATE(B9193,""id"",""en"")"),"['Steady', 'use', 'easy', 'understandable']")</f>
        <v>['Steady', 'use', 'easy', 'understandable']</v>
      </c>
      <c r="D9193" s="3">
        <v>5.0</v>
      </c>
    </row>
    <row r="9194" ht="15.75" customHeight="1">
      <c r="A9194" s="1">
        <v>9798.0</v>
      </c>
      <c r="B9194" s="3" t="s">
        <v>8827</v>
      </c>
      <c r="C9194" s="3" t="str">
        <f>IFERROR(__xludf.DUMMYFUNCTION("GOOGLETRANSLATE(B9194,""id"",""en"")"),"['The application', 'no', 'Uda', 'download', 'times',' Severe ',' really ',' Telkomsel ',' technology ',' sophisticated ',' APL ',' Telkomsel ',' Burk ',' bad ',' bad ']")</f>
        <v>['The application', 'no', 'Uda', 'download', 'times',' Severe ',' really ',' Telkomsel ',' technology ',' sophisticated ',' APL ',' Telkomsel ',' Burk ',' bad ',' bad ']</v>
      </c>
      <c r="D9194" s="3">
        <v>1.0</v>
      </c>
    </row>
    <row r="9195" ht="15.75" customHeight="1">
      <c r="A9195" s="1">
        <v>9799.0</v>
      </c>
      <c r="B9195" s="3" t="s">
        <v>8828</v>
      </c>
      <c r="C9195" s="3" t="str">
        <f>IFERROR(__xludf.DUMMYFUNCTION("GOOGLETRANSLATE(B9195,""id"",""en"")"),"['application', 'bukabaa', '']")</f>
        <v>['application', 'bukabaa', '']</v>
      </c>
      <c r="D9195" s="3">
        <v>1.0</v>
      </c>
    </row>
    <row r="9196" ht="15.75" customHeight="1">
      <c r="A9196" s="1">
        <v>9800.0</v>
      </c>
      <c r="B9196" s="3" t="s">
        <v>8829</v>
      </c>
      <c r="C9196" s="3" t="str">
        <f>IFERROR(__xludf.DUMMYFUNCTION("GOOGLETRANSLATE(B9196,""id"",""en"")"),"['Where', 'Card', 'Cellular', 'Rated', 'Side', 'Network', 'Package', 'Quota', 'No', 'Network', 'Located', 'Alhamdulillah', ' network ',' Telkomsel ',' only ',' stable ']")</f>
        <v>['Where', 'Card', 'Cellular', 'Rated', 'Side', 'Network', 'Package', 'Quota', 'No', 'Network', 'Located', 'Alhamdulillah', ' network ',' Telkomsel ',' only ',' stable ']</v>
      </c>
      <c r="D9196" s="3">
        <v>5.0</v>
      </c>
    </row>
    <row r="9197" ht="15.75" customHeight="1">
      <c r="A9197" s="1">
        <v>9801.0</v>
      </c>
      <c r="B9197" s="3" t="s">
        <v>8830</v>
      </c>
      <c r="C9197" s="3" t="str">
        <f>IFERROR(__xludf.DUMMYFUNCTION("GOOGLETRANSLATE(B9197,""id"",""en"")"),"['ask', 'complaints', 'Solution', 'computer', 'JAWAH', 'DBIKIN', 'dizziness', 'alternating', 'LGI', ""]")</f>
        <v>['ask', 'complaints', 'Solution', 'computer', 'JAWAH', 'DBIKIN', 'dizziness', 'alternating', 'LGI', "]</v>
      </c>
      <c r="D9197" s="3">
        <v>1.0</v>
      </c>
    </row>
    <row r="9198" ht="15.75" customHeight="1">
      <c r="A9198" s="1">
        <v>9802.0</v>
      </c>
      <c r="B9198" s="3" t="s">
        <v>8831</v>
      </c>
      <c r="C9198" s="3" t="str">
        <f>IFERROR(__xludf.DUMMYFUNCTION("GOOGLETRANSLATE(B9198,""id"",""en"")"),"['Tetab', 'reset', 'shutk', 'telephone', 'admin', 'mitelkomsel', 'told', 'donlod', 'many', 'donlod', 'TPI', 'results',' Tetab ',' Open ',' Fix ',' Mitelkomsel ',' Please ',' Karna ',' Open ',' Telkomsel ']")</f>
        <v>['Tetab', 'reset', 'shutk', 'telephone', 'admin', 'mitelkomsel', 'told', 'donlod', 'many', 'donlod', 'TPI', 'results',' Tetab ',' Open ',' Fix ',' Mitelkomsel ',' Please ',' Karna ',' Open ',' Telkomsel ']</v>
      </c>
      <c r="D9198" s="3">
        <v>1.0</v>
      </c>
    </row>
    <row r="9199" ht="15.75" customHeight="1">
      <c r="A9199" s="1">
        <v>9803.0</v>
      </c>
      <c r="B9199" s="3" t="s">
        <v>8832</v>
      </c>
      <c r="C9199" s="3" t="str">
        <f>IFERROR(__xludf.DUMMYFUNCTION("GOOGLETRANSLATE(B9199,""id"",""en"")"),"['open', 'network', 'internet', 'mobile', 'data', 'because' at home ',' wifi ',' telkomsel ',' cut ',' pulse ',' finished ',' Fill ',' Suck ',' soft ',' open ',' mobile ',' data ',' telponan ',' ']")</f>
        <v>['open', 'network', 'internet', 'mobile', 'data', 'because' at home ',' wifi ',' telkomsel ',' cut ',' pulse ',' finished ',' Fill ',' Suck ',' soft ',' open ',' mobile ',' data ',' telponan ',' ']</v>
      </c>
      <c r="D9199" s="3">
        <v>1.0</v>
      </c>
    </row>
    <row r="9200" ht="15.75" customHeight="1">
      <c r="A9200" s="1">
        <v>9804.0</v>
      </c>
      <c r="B9200" s="3" t="s">
        <v>8833</v>
      </c>
      <c r="C9200" s="3" t="str">
        <f>IFERROR(__xludf.DUMMYFUNCTION("GOOGLETRANSLATE(B9200,""id"",""en"")"),"['Satisfied', 'Network', 'Telkomsel']")</f>
        <v>['Satisfied', 'Network', 'Telkomsel']</v>
      </c>
      <c r="D9200" s="3">
        <v>5.0</v>
      </c>
    </row>
    <row r="9201" ht="15.75" customHeight="1">
      <c r="A9201" s="1">
        <v>9805.0</v>
      </c>
      <c r="B9201" s="3" t="s">
        <v>8834</v>
      </c>
      <c r="C9201" s="3" t="str">
        <f>IFERROR(__xludf.DUMMYFUNCTION("GOOGLETRANSLATE(B9201,""id"",""en"")"),"['Telkosel', 'The application', 'opened']")</f>
        <v>['Telkosel', 'The application', 'opened']</v>
      </c>
      <c r="D9201" s="3">
        <v>2.0</v>
      </c>
    </row>
    <row r="9202" ht="15.75" customHeight="1">
      <c r="A9202" s="1">
        <v>9806.0</v>
      </c>
      <c r="B9202" s="3" t="s">
        <v>8835</v>
      </c>
      <c r="C9202" s="3" t="str">
        <f>IFERROR(__xludf.DUMMYFUNCTION("GOOGLETRANSLATE(B9202,""id"",""en"")"),"['good']")</f>
        <v>['good']</v>
      </c>
      <c r="D9202" s="3">
        <v>5.0</v>
      </c>
    </row>
    <row r="9203" ht="15.75" customHeight="1">
      <c r="A9203" s="1">
        <v>9807.0</v>
      </c>
      <c r="B9203" s="3" t="s">
        <v>8836</v>
      </c>
      <c r="C9203" s="3" t="str">
        <f>IFERROR(__xludf.DUMMYFUNCTION("GOOGLETRANSLATE(B9203,""id"",""en"")"),"['Super', 'ugly', 'mnta', 'update', 'after', 'update', 'opened', '']")</f>
        <v>['Super', 'ugly', 'mnta', 'update', 'after', 'update', 'opened', '']</v>
      </c>
      <c r="D9203" s="3">
        <v>1.0</v>
      </c>
    </row>
    <row r="9204" ht="15.75" customHeight="1">
      <c r="A9204" s="1">
        <v>9808.0</v>
      </c>
      <c r="B9204" s="3" t="s">
        <v>8837</v>
      </c>
      <c r="C9204" s="3" t="str">
        <f>IFERROR(__xludf.DUMMYFUNCTION("GOOGLETRANSLATE(B9204,""id"",""en"")"),"['strange', 'signal', 'Telkomsel', 'ugly', 'city', 'district']")</f>
        <v>['strange', 'signal', 'Telkomsel', 'ugly', 'city', 'district']</v>
      </c>
      <c r="D9204" s="3">
        <v>1.0</v>
      </c>
    </row>
    <row r="9205" ht="15.75" customHeight="1">
      <c r="A9205" s="1">
        <v>9809.0</v>
      </c>
      <c r="B9205" s="3" t="s">
        <v>8838</v>
      </c>
      <c r="C9205" s="3" t="str">
        <f>IFERROR(__xludf.DUMMYFUNCTION("GOOGLETRANSLATE(B9205,""id"",""en"")"),"['Package', 'Internet', 'expensive', '']")</f>
        <v>['Package', 'Internet', 'expensive', '']</v>
      </c>
      <c r="D9205" s="3">
        <v>1.0</v>
      </c>
    </row>
    <row r="9206" ht="15.75" customHeight="1">
      <c r="A9206" s="1">
        <v>9810.0</v>
      </c>
      <c r="B9206" s="3" t="s">
        <v>8839</v>
      </c>
      <c r="C9206" s="3" t="str">
        <f>IFERROR(__xludf.DUMMYFUNCTION("GOOGLETRANSLATE(B9206,""id"",""en"")"),"['Please', 'Customize', 'Price', 'Connection', 'Cook', 'Telkomsel', 'Famous', 'Sousal', 'Strong', 'Lemot', 'Gini', ""]")</f>
        <v>['Please', 'Customize', 'Price', 'Connection', 'Cook', 'Telkomsel', 'Famous', 'Sousal', 'Strong', 'Lemot', 'Gini', "]</v>
      </c>
      <c r="D9206" s="3">
        <v>2.0</v>
      </c>
    </row>
    <row r="9207" ht="15.75" customHeight="1">
      <c r="A9207" s="1">
        <v>9811.0</v>
      </c>
      <c r="B9207" s="3" t="s">
        <v>8840</v>
      </c>
      <c r="C9207" s="3" t="str">
        <f>IFERROR(__xludf.DUMMYFUNCTION("GOOGLETRANSLATE(B9207,""id"",""en"")"),"['expensive', 'doang', 'package', 'error', 'network']")</f>
        <v>['expensive', 'doang', 'package', 'error', 'network']</v>
      </c>
      <c r="D9207" s="3">
        <v>1.0</v>
      </c>
    </row>
    <row r="9208" ht="15.75" customHeight="1">
      <c r="A9208" s="1">
        <v>9812.0</v>
      </c>
      <c r="B9208" s="3" t="s">
        <v>8841</v>
      </c>
      <c r="C9208" s="3" t="str">
        <f>IFERROR(__xludf.DUMMYFUNCTION("GOOGLETRANSLATE(B9208,""id"",""en"")"),"['ugly', 'opened', 'dlu', 'buy', 'package', 'apk', 'skrg', 'ugly', 'ugly', 'ugly', 'install', 'regret']")</f>
        <v>['ugly', 'opened', 'dlu', 'buy', 'package', 'apk', 'skrg', 'ugly', 'ugly', 'ugly', 'install', 'regret']</v>
      </c>
      <c r="D9208" s="3">
        <v>2.0</v>
      </c>
    </row>
    <row r="9209" ht="15.75" customHeight="1">
      <c r="A9209" s="1">
        <v>9813.0</v>
      </c>
      <c r="B9209" s="3" t="s">
        <v>8842</v>
      </c>
      <c r="C9209" s="3" t="str">
        <f>IFERROR(__xludf.DUMMYFUNCTION("GOOGLETRANSLATE(B9209,""id"",""en"")"),"['expensive', 'expensive', 'price', 'package', 'wkwkwk', '']")</f>
        <v>['expensive', 'expensive', 'price', 'package', 'wkwkwk', '']</v>
      </c>
      <c r="D9209" s="3">
        <v>3.0</v>
      </c>
    </row>
    <row r="9210" ht="15.75" customHeight="1">
      <c r="A9210" s="1">
        <v>9814.0</v>
      </c>
      <c r="B9210" s="3" t="s">
        <v>1167</v>
      </c>
      <c r="C9210" s="3" t="str">
        <f>IFERROR(__xludf.DUMMYFUNCTION("GOOGLETRANSLATE(B9210,""id"",""en"")"),"['help']")</f>
        <v>['help']</v>
      </c>
      <c r="D9210" s="3">
        <v>5.0</v>
      </c>
    </row>
    <row r="9211" ht="15.75" customHeight="1">
      <c r="A9211" s="1">
        <v>9815.0</v>
      </c>
      <c r="B9211" s="3" t="s">
        <v>8843</v>
      </c>
      <c r="C9211" s="3" t="str">
        <f>IFERROR(__xludf.DUMMYFUNCTION("GOOGLETRANSLATE(B9211,""id"",""en"")"),"['might', 'threat', 'Telkomsel', 'signal', 'ugly', 'cave', 'segi', 'player', 'game', 'strong', 'Telkomsel', 'Gara', ' signal ',' lose ',' how ',' progress', 'signal', 'Telkomsel', 'woooiiiiiiii', 'SAY', 'cave', 'come on', 'wooooiiiiiiiii', 'signal', 'jnga"&amp;"n' , 'Kek', 'Taiii', 'That's']")</f>
        <v>['might', 'threat', 'Telkomsel', 'signal', 'ugly', 'cave', 'segi', 'player', 'game', 'strong', 'Telkomsel', 'Gara', ' signal ',' lose ',' how ',' progress', 'signal', 'Telkomsel', 'woooiiiiiiii', 'SAY', 'cave', 'come on', 'wooooiiiiiiiii', 'signal', 'jngan' , 'Kek', 'Taiii', 'That's']</v>
      </c>
      <c r="D9211" s="3">
        <v>1.0</v>
      </c>
    </row>
    <row r="9212" ht="15.75" customHeight="1">
      <c r="A9212" s="1">
        <v>9816.0</v>
      </c>
      <c r="B9212" s="3" t="s">
        <v>8844</v>
      </c>
      <c r="C9212" s="3" t="str">
        <f>IFERROR(__xludf.DUMMYFUNCTION("GOOGLETRANSLATE(B9212,""id"",""en"")"),"['Open', 'The application', 'Ngeblank', 'White', 'already', 'subscription', 'for', 'use', 'Telkomsel']")</f>
        <v>['Open', 'The application', 'Ngeblank', 'White', 'already', 'subscription', 'for', 'use', 'Telkomsel']</v>
      </c>
      <c r="D9212" s="3">
        <v>1.0</v>
      </c>
    </row>
    <row r="9213" ht="15.75" customHeight="1">
      <c r="A9213" s="1">
        <v>9817.0</v>
      </c>
      <c r="B9213" s="3" t="s">
        <v>8845</v>
      </c>
      <c r="C9213" s="3" t="str">
        <f>IFERROR(__xludf.DUMMYFUNCTION("GOOGLETRANSLATE(B9213,""id"",""en"")"),"['Mksh', 'Telkomsel', 'makes it easier', 'Castamer']")</f>
        <v>['Mksh', 'Telkomsel', 'makes it easier', 'Castamer']</v>
      </c>
      <c r="D9213" s="3">
        <v>5.0</v>
      </c>
    </row>
    <row r="9214" ht="15.75" customHeight="1">
      <c r="A9214" s="1">
        <v>9818.0</v>
      </c>
      <c r="B9214" s="3" t="s">
        <v>8846</v>
      </c>
      <c r="C9214" s="3" t="str">
        <f>IFERROR(__xludf.DUMMYFUNCTION("GOOGLETRANSLATE(B9214,""id"",""en"")"),"['Help', 'darling', 'signal', 'skrg', 'stable', '']")</f>
        <v>['Help', 'darling', 'signal', 'skrg', 'stable', '']</v>
      </c>
      <c r="D9214" s="3">
        <v>5.0</v>
      </c>
    </row>
    <row r="9215" ht="15.75" customHeight="1">
      <c r="A9215" s="1">
        <v>9819.0</v>
      </c>
      <c r="B9215" s="3" t="s">
        <v>8847</v>
      </c>
      <c r="C9215" s="3" t="str">
        <f>IFERROR(__xludf.DUMMYFUNCTION("GOOGLETRANSLATE(B9215,""id"",""en"")"),"['Telkomsel', 'annoyed', 'Monday', 'date', 'dsember', 'application', 'mytelkomsel', 'bsa', 'login', 'bsa', 'opened', 'blank', ' white ',' report ',' complaints', 'instructions',' followed ',' BLM ',' resolved ',' check ',' can ',' bonus', 'quota', ""]")</f>
        <v>['Telkomsel', 'annoyed', 'Monday', 'date', 'dsember', 'application', 'mytelkomsel', 'bsa', 'login', 'bsa', 'opened', 'blank', ' white ',' report ',' complaints', 'instructions',' followed ',' BLM ',' resolved ',' check ',' can ',' bonus', 'quota', "]</v>
      </c>
      <c r="D9215" s="3">
        <v>1.0</v>
      </c>
    </row>
    <row r="9216" ht="15.75" customHeight="1">
      <c r="A9216" s="1">
        <v>9820.0</v>
      </c>
      <c r="B9216" s="3" t="s">
        <v>8848</v>
      </c>
      <c r="C9216" s="3" t="str">
        <f>IFERROR(__xludf.DUMMYFUNCTION("GOOGLETRANSLATE(B9216,""id"",""en"")"),"['Lemot', 'enter', 'FVK']")</f>
        <v>['Lemot', 'enter', 'FVK']</v>
      </c>
      <c r="D9216" s="3">
        <v>1.0</v>
      </c>
    </row>
    <row r="9217" ht="15.75" customHeight="1">
      <c r="A9217" s="1">
        <v>9821.0</v>
      </c>
      <c r="B9217" s="3" t="s">
        <v>8849</v>
      </c>
      <c r="C9217" s="3" t="str">
        <f>IFERROR(__xludf.DUMMYFUNCTION("GOOGLETRANSLATE(B9217,""id"",""en"")"),"['app', 'Dihp', 'Stuk', 'Dilogo', 'a week', 'bgtu', 'please', 'app', 'repair']")</f>
        <v>['app', 'Dihp', 'Stuk', 'Dilogo', 'a week', 'bgtu', 'please', 'app', 'repair']</v>
      </c>
      <c r="D9217" s="3">
        <v>1.0</v>
      </c>
    </row>
    <row r="9218" ht="15.75" customHeight="1">
      <c r="A9218" s="1">
        <v>9823.0</v>
      </c>
      <c r="B9218" s="3" t="s">
        <v>8850</v>
      </c>
      <c r="C9218" s="3" t="str">
        <f>IFERROR(__xludf.DUMMYFUNCTION("GOOGLETRANSLATE(B9218,""id"",""en"")"),"['entry', 'update', 'love', 'star', 'disappointed']")</f>
        <v>['entry', 'update', 'love', 'star', 'disappointed']</v>
      </c>
      <c r="D9218" s="3">
        <v>1.0</v>
      </c>
    </row>
    <row r="9219" ht="15.75" customHeight="1">
      <c r="A9219" s="1">
        <v>9824.0</v>
      </c>
      <c r="B9219" s="3" t="s">
        <v>8851</v>
      </c>
      <c r="C9219" s="3" t="str">
        <f>IFERROR(__xludf.DUMMYFUNCTION("GOOGLETRANSLATE(B9219,""id"",""en"")"),"['Good', 'APK']")</f>
        <v>['Good', 'APK']</v>
      </c>
      <c r="D9219" s="3">
        <v>5.0</v>
      </c>
    </row>
    <row r="9220" ht="15.75" customHeight="1">
      <c r="A9220" s="1">
        <v>9825.0</v>
      </c>
      <c r="B9220" s="3" t="s">
        <v>8852</v>
      </c>
      <c r="C9220" s="3" t="str">
        <f>IFERROR(__xludf.DUMMYFUNCTION("GOOGLETRANSLATE(B9220,""id"",""en"")"),"['Apps',' No "", 'No', 'Open', 'Provider', 'ASTRY', 'Telkomsel', 'Nidak', 'Team', 'Developer', 'Apps',' Reliable ' embarrassing', '']")</f>
        <v>['Apps',' No ", 'No', 'Open', 'Provider', 'ASTRY', 'Telkomsel', 'Nidak', 'Team', 'Developer', 'Apps',' Reliable ' embarrassing', '']</v>
      </c>
      <c r="D9220" s="3">
        <v>1.0</v>
      </c>
    </row>
    <row r="9221" ht="15.75" customHeight="1">
      <c r="A9221" s="1">
        <v>9827.0</v>
      </c>
      <c r="B9221" s="3" t="s">
        <v>8853</v>
      </c>
      <c r="C9221" s="3" t="str">
        <f>IFERROR(__xludf.DUMMYFUNCTION("GOOGLETRANSLATE(B9221,""id"",""en"")"),"['Telkomsel', 'ndak', 'opened']")</f>
        <v>['Telkomsel', 'ndak', 'opened']</v>
      </c>
      <c r="D9221" s="3">
        <v>5.0</v>
      </c>
    </row>
    <row r="9222" ht="15.75" customHeight="1">
      <c r="A9222" s="1">
        <v>9828.0</v>
      </c>
      <c r="B9222" s="3" t="s">
        <v>8854</v>
      </c>
      <c r="C9222" s="3" t="str">
        <f>IFERROR(__xludf.DUMMYFUNCTION("GOOGLETRANSLATE(B9222,""id"",""en"")"),"['Hopefully', 'Good', 'Service']")</f>
        <v>['Hopefully', 'Good', 'Service']</v>
      </c>
      <c r="D9222" s="3">
        <v>4.0</v>
      </c>
    </row>
    <row r="9223" ht="15.75" customHeight="1">
      <c r="A9223" s="1">
        <v>9829.0</v>
      </c>
      <c r="B9223" s="3" t="s">
        <v>8855</v>
      </c>
      <c r="C9223" s="3" t="str">
        <f>IFERROR(__xludf.DUMMYFUNCTION("GOOGLETRANSLATE(B9223,""id"",""en"")"),"['crazy', 'skrng', 'Telkomsel', 'minutes',' abis', 'finished', 'contents',' pulse ',' right ',' work ',' bli ',' package ',' Suck ',' pulses', 'crazy', '']")</f>
        <v>['crazy', 'skrng', 'Telkomsel', 'minutes',' abis', 'finished', 'contents',' pulse ',' right ',' work ',' bli ',' package ',' Suck ',' pulses', 'crazy', '']</v>
      </c>
      <c r="D9223" s="3">
        <v>1.0</v>
      </c>
    </row>
    <row r="9224" ht="15.75" customHeight="1">
      <c r="A9224" s="1">
        <v>9830.0</v>
      </c>
      <c r="B9224" s="3" t="s">
        <v>8856</v>
      </c>
      <c r="C9224" s="3" t="str">
        <f>IFERROR(__xludf.DUMMYFUNCTION("GOOGLETRANSLATE(B9224,""id"",""en"")"),"['Loding', 'slow', 'signal', 'good']")</f>
        <v>['Loding', 'slow', 'signal', 'good']</v>
      </c>
      <c r="D9224" s="3">
        <v>3.0</v>
      </c>
    </row>
    <row r="9225" ht="15.75" customHeight="1">
      <c r="A9225" s="1">
        <v>9831.0</v>
      </c>
      <c r="B9225" s="3" t="s">
        <v>8857</v>
      </c>
      <c r="C9225" s="3" t="str">
        <f>IFERROR(__xludf.DUMMYFUNCTION("GOOGLETRANSLATE(B9225,""id"",""en"")"),"['Please', 'Sorry', 'Sorry', 'Sis', 'Yaa', 'Trap', 'Batman', 'Attention', 'NTK', 'Customers', 'Faithful', ""]")</f>
        <v>['Please', 'Sorry', 'Sorry', 'Sis', 'Yaa', 'Trap', 'Batman', 'Attention', 'NTK', 'Customers', 'Faithful', "]</v>
      </c>
      <c r="D9225" s="3">
        <v>2.0</v>
      </c>
    </row>
    <row r="9226" ht="15.75" customHeight="1">
      <c r="A9226" s="1">
        <v>9832.0</v>
      </c>
      <c r="B9226" s="3" t="s">
        <v>8858</v>
      </c>
      <c r="C9226" s="3" t="str">
        <f>IFERROR(__xludf.DUMMYFUNCTION("GOOGLETRANSLATE(B9226,""id"",""en"")"),"['Loading', '']")</f>
        <v>['Loading', '']</v>
      </c>
      <c r="D9226" s="3">
        <v>1.0</v>
      </c>
    </row>
    <row r="9227" ht="15.75" customHeight="1">
      <c r="A9227" s="1">
        <v>9833.0</v>
      </c>
      <c r="B9227" s="3" t="s">
        <v>8859</v>
      </c>
      <c r="C9227" s="3" t="str">
        <f>IFERROR(__xludf.DUMMYFUNCTION("GOOGLETRANSLATE(B9227,""id"",""en"")"),"['The application', 'already', 'ugly', 'open', 'please', 'the application', 'fix']")</f>
        <v>['The application', 'already', 'ugly', 'open', 'please', 'the application', 'fix']</v>
      </c>
      <c r="D9227" s="3">
        <v>1.0</v>
      </c>
    </row>
    <row r="9228" ht="15.75" customHeight="1">
      <c r="A9228" s="1">
        <v>9836.0</v>
      </c>
      <c r="B9228" s="3" t="s">
        <v>8860</v>
      </c>
      <c r="C9228" s="3" t="str">
        <f>IFERROR(__xludf.DUMMYFUNCTION("GOOGLETRANSLATE(B9228,""id"",""en"")"),"['', 'Telkomsel', 'good', 'just', 'network', 'stable', 'klau', 'play', 'game', 'online', 'down', 'network', 'quota ',' Expensive ',' Compare ',' Operator ']")</f>
        <v>['', 'Telkomsel', 'good', 'just', 'network', 'stable', 'klau', 'play', 'game', 'online', 'down', 'network', 'quota ',' Expensive ',' Compare ',' Operator ']</v>
      </c>
      <c r="D9228" s="3">
        <v>1.0</v>
      </c>
    </row>
    <row r="9229" ht="15.75" customHeight="1">
      <c r="A9229" s="1">
        <v>9837.0</v>
      </c>
      <c r="B9229" s="3" t="s">
        <v>8861</v>
      </c>
      <c r="C9229" s="3" t="str">
        <f>IFERROR(__xludf.DUMMYFUNCTION("GOOGLETRANSLATE(B9229,""id"",""en"")"),"['skrng', 'Telkomsel', 'fill in', 'pulse', 'sumps', 'pdhl', 'no', 'debt', 'pulse', 'skali']")</f>
        <v>['skrng', 'Telkomsel', 'fill in', 'pulse', 'sumps', 'pdhl', 'no', 'debt', 'pulse', 'skali']</v>
      </c>
      <c r="D9229" s="3">
        <v>2.0</v>
      </c>
    </row>
    <row r="9230" ht="15.75" customHeight="1">
      <c r="A9230" s="1">
        <v>9839.0</v>
      </c>
      <c r="B9230" s="3" t="s">
        <v>8862</v>
      </c>
      <c r="C9230" s="3" t="str">
        <f>IFERROR(__xludf.DUMMYFUNCTION("GOOGLETRANSLATE(B9230,""id"",""en"")"),"['The application', 'ngebalank', 'white', 'already', 'restart', 'install', 'reset', 'the application', 'blank', 'white', 'because', 'his cellphone', ' ']")</f>
        <v>['The application', 'ngebalank', 'white', 'already', 'restart', 'install', 'reset', 'the application', 'blank', 'white', 'because', 'his cellphone', ' ']</v>
      </c>
      <c r="D9230" s="3">
        <v>1.0</v>
      </c>
    </row>
    <row r="9231" ht="15.75" customHeight="1">
      <c r="A9231" s="1">
        <v>9840.0</v>
      </c>
      <c r="B9231" s="3" t="s">
        <v>8863</v>
      </c>
      <c r="C9231" s="3" t="str">
        <f>IFERROR(__xludf.DUMMYFUNCTION("GOOGLETRANSLATE(B9231,""id"",""en"")"),"['expensive', 'expensive', 'package', 'orbit', 'down', 'kondiai', 'acry']")</f>
        <v>['expensive', 'expensive', 'package', 'orbit', 'down', 'kondiai', 'acry']</v>
      </c>
      <c r="D9231" s="3">
        <v>2.0</v>
      </c>
    </row>
    <row r="9232" ht="15.75" customHeight="1">
      <c r="A9232" s="1">
        <v>9842.0</v>
      </c>
      <c r="B9232" s="3" t="s">
        <v>8864</v>
      </c>
      <c r="C9232" s="3" t="str">
        <f>IFERROR(__xludf.DUMMYFUNCTION("GOOGLETRANSLATE(B9232,""id"",""en"")"),"['Disappointed', 'Service', 'Network', 'Telkomsel', 'Leet', 'Buy', 'Package', 'Expensive', 'Please', 'Increase', 'Region', 'Kal', ' Team ',' Thank you ', ""]")</f>
        <v>['Disappointed', 'Service', 'Network', 'Telkomsel', 'Leet', 'Buy', 'Package', 'Expensive', 'Please', 'Increase', 'Region', 'Kal', ' Team ',' Thank you ', "]</v>
      </c>
      <c r="D9232" s="3">
        <v>1.0</v>
      </c>
    </row>
    <row r="9233" ht="15.75" customHeight="1">
      <c r="A9233" s="1">
        <v>9843.0</v>
      </c>
      <c r="B9233" s="3" t="s">
        <v>8865</v>
      </c>
      <c r="C9233" s="3" t="str">
        <f>IFERROR(__xludf.DUMMYFUNCTION("GOOGLETRANSLATE(B9233,""id"",""en"")"),"['Love', 'gift', 'bangs']")</f>
        <v>['Love', 'gift', 'bangs']</v>
      </c>
      <c r="D9233" s="3">
        <v>5.0</v>
      </c>
    </row>
    <row r="9234" ht="15.75" customHeight="1">
      <c r="A9234" s="1">
        <v>9844.0</v>
      </c>
      <c r="B9234" s="3" t="s">
        <v>8866</v>
      </c>
      <c r="C9234" s="3" t="str">
        <f>IFERROR(__xludf.DUMMYFUNCTION("GOOGLETRANSLATE(B9234,""id"",""en"")"),"['', 'Perharuin', 'choice', 'quota', '']")</f>
        <v>['', 'Perharuin', 'choice', 'quota', '']</v>
      </c>
      <c r="D9234" s="3">
        <v>5.0</v>
      </c>
    </row>
    <row r="9235" ht="15.75" customHeight="1">
      <c r="A9235" s="1">
        <v>9845.0</v>
      </c>
      <c r="B9235" s="3" t="s">
        <v>8867</v>
      </c>
      <c r="C9235" s="3" t="str">
        <f>IFERROR(__xludf.DUMMYFUNCTION("GOOGLETRANSLATE(B9235,""id"",""en"")"),"['Hopefully', 'APK', 'disappointing']")</f>
        <v>['Hopefully', 'APK', 'disappointing']</v>
      </c>
      <c r="D9235" s="3">
        <v>5.0</v>
      </c>
    </row>
    <row r="9236" ht="15.75" customHeight="1">
      <c r="A9236" s="1">
        <v>9846.0</v>
      </c>
      <c r="B9236" s="3" t="s">
        <v>8868</v>
      </c>
      <c r="C9236" s="3" t="str">
        <f>IFERROR(__xludf.DUMMYFUNCTION("GOOGLETRANSLATE(B9236,""id"",""en"")"),"['Disappointed', 'really', 'customers',' Telkomsel ',' times', 'disappointed', 'really', 'network', 'really', 'send', 'message', 'watsapp', ' difficult ',' please ',' fix ',' network ',' Telkomsel ']")</f>
        <v>['Disappointed', 'really', 'customers',' Telkomsel ',' times', 'disappointed', 'really', 'network', 'really', 'send', 'message', 'watsapp', ' difficult ',' please ',' fix ',' network ',' Telkomsel ']</v>
      </c>
      <c r="D9236" s="3">
        <v>1.0</v>
      </c>
    </row>
    <row r="9237" ht="15.75" customHeight="1">
      <c r="A9237" s="1">
        <v>9847.0</v>
      </c>
      <c r="B9237" s="3" t="s">
        <v>8869</v>
      </c>
      <c r="C9237" s="3" t="str">
        <f>IFERROR(__xludf.DUMMYFUNCTION("GOOGLETRANSLATE(B9237,""id"",""en"")"),"['network', 'threat', 'Benerin', 'signal', 'just', 'get', 'bar', 'bar', 'here', 'ugly', 'lose', 'cheap', ' ']")</f>
        <v>['network', 'threat', 'Benerin', 'signal', 'just', 'get', 'bar', 'bar', 'here', 'ugly', 'lose', 'cheap', ' ']</v>
      </c>
      <c r="D9237" s="3">
        <v>1.0</v>
      </c>
    </row>
    <row r="9238" ht="15.75" customHeight="1">
      <c r="A9238" s="1">
        <v>9848.0</v>
      </c>
      <c r="B9238" s="3" t="s">
        <v>8870</v>
      </c>
      <c r="C9238" s="3" t="str">
        <f>IFERROR(__xludf.DUMMYFUNCTION("GOOGLETRANSLATE(B9238,""id"",""en"")"),"['Helping', 'makes it easy', 'activity', 'good']")</f>
        <v>['Helping', 'makes it easy', 'activity', 'good']</v>
      </c>
      <c r="D9238" s="3">
        <v>5.0</v>
      </c>
    </row>
    <row r="9239" ht="15.75" customHeight="1">
      <c r="A9239" s="1">
        <v>9849.0</v>
      </c>
      <c r="B9239" s="3" t="s">
        <v>8871</v>
      </c>
      <c r="C9239" s="3" t="str">
        <f>IFERROR(__xludf.DUMMYFUNCTION("GOOGLETRANSLATE(B9239,""id"",""en"")"),"['Place', 'signal', 'Telkomsel', 'Bad', 'Telkomsel', 'intention', 'fix it', ""]")</f>
        <v>['Place', 'signal', 'Telkomsel', 'Bad', 'Telkomsel', 'intention', 'fix it', "]</v>
      </c>
      <c r="D9239" s="3">
        <v>1.0</v>
      </c>
    </row>
    <row r="9240" ht="15.75" customHeight="1">
      <c r="A9240" s="1">
        <v>9850.0</v>
      </c>
      <c r="B9240" s="3" t="s">
        <v>8872</v>
      </c>
      <c r="C9240" s="3" t="str">
        <f>IFERROR(__xludf.DUMMYFUNCTION("GOOGLETRANSLATE(B9240,""id"",""en"")"),"['Open', 'Please', 'Notice', 'Expert']")</f>
        <v>['Open', 'Please', 'Notice', 'Expert']</v>
      </c>
      <c r="D9240" s="3">
        <v>3.0</v>
      </c>
    </row>
    <row r="9241" ht="15.75" customHeight="1">
      <c r="A9241" s="1">
        <v>9851.0</v>
      </c>
      <c r="B9241" s="3" t="s">
        <v>8873</v>
      </c>
      <c r="C9241" s="3" t="str">
        <f>IFERROR(__xludf.DUMMYFUNCTION("GOOGLETRANSLATE(B9241,""id"",""en"")"),"['loyal', 'use', 'Telkomsel', 'moved', 'heart', 'Telkomsel', 'choice', 'last']")</f>
        <v>['loyal', 'use', 'Telkomsel', 'moved', 'heart', 'Telkomsel', 'choice', 'last']</v>
      </c>
      <c r="D9241" s="3">
        <v>5.0</v>
      </c>
    </row>
    <row r="9242" ht="15.75" customHeight="1">
      <c r="A9242" s="1">
        <v>9852.0</v>
      </c>
      <c r="B9242" s="3" t="s">
        <v>8874</v>
      </c>
      <c r="C9242" s="3" t="str">
        <f>IFERROR(__xludf.DUMMYFUNCTION("GOOGLETRANSLATE(B9242,""id"",""en"")"),"['The application', 'ugly', 'severe', 'opened', 'already', 'uninstall', 'Install', 'reset', 'ttp', 'right', 'opened', 'out', ' Color ',' White ',' already ',' Ngaduin ',' About ',' Twitter ',' Opened ',' Application ',' Please ',' Repaired ', ""]")</f>
        <v>['The application', 'ugly', 'severe', 'opened', 'already', 'uninstall', 'Install', 'reset', 'ttp', 'right', 'opened', 'out', ' Color ',' White ',' already ',' Ngaduin ',' About ',' Twitter ',' Opened ',' Application ',' Please ',' Repaired ', "]</v>
      </c>
      <c r="D9242" s="3">
        <v>1.0</v>
      </c>
    </row>
    <row r="9243" ht="15.75" customHeight="1">
      <c r="A9243" s="1">
        <v>9853.0</v>
      </c>
      <c r="B9243" s="3" t="s">
        <v>8875</v>
      </c>
      <c r="C9243" s="3" t="str">
        <f>IFERROR(__xludf.DUMMYFUNCTION("GOOGLETRANSLATE(B9243,""id"",""en"")"),"['application', 'poor', 'right', 'update', 'open', 'please', 'fix', 'klu', 'serve', 'mending', 'Telkomsel', 'poor']")</f>
        <v>['application', 'poor', 'right', 'update', 'open', 'please', 'fix', 'klu', 'serve', 'mending', 'Telkomsel', 'poor']</v>
      </c>
      <c r="D9243" s="3">
        <v>1.0</v>
      </c>
    </row>
    <row r="9244" ht="15.75" customHeight="1">
      <c r="A9244" s="1">
        <v>9854.0</v>
      </c>
      <c r="B9244" s="3" t="s">
        <v>8876</v>
      </c>
      <c r="C9244" s="3" t="str">
        <f>IFERROR(__xludf.DUMMYFUNCTION("GOOGLETRANSLATE(B9244,""id"",""en"")"),"['application', 'crash', 'please', 'repaired', 'please', 'press', 'activated', 'package', 'manual']")</f>
        <v>['application', 'crash', 'please', 'repaired', 'please', 'press', 'activated', 'package', 'manual']</v>
      </c>
      <c r="D9244" s="3">
        <v>1.0</v>
      </c>
    </row>
    <row r="9245" ht="15.75" customHeight="1">
      <c r="A9245" s="1">
        <v>9855.0</v>
      </c>
      <c r="B9245" s="3" t="s">
        <v>8877</v>
      </c>
      <c r="C9245" s="3" t="str">
        <f>IFERROR(__xludf.DUMMYFUNCTION("GOOGLETRANSLATE(B9245,""id"",""en"")"),"['Disappointmentaaaa', '']")</f>
        <v>['Disappointmentaaaa', '']</v>
      </c>
      <c r="D9245" s="3">
        <v>1.0</v>
      </c>
    </row>
    <row r="9246" ht="15.75" customHeight="1">
      <c r="A9246" s="1">
        <v>9856.0</v>
      </c>
      <c r="B9246" s="3" t="s">
        <v>8878</v>
      </c>
      <c r="C9246" s="3" t="str">
        <f>IFERROR(__xludf.DUMMYFUNCTION("GOOGLETRANSLATE(B9246,""id"",""en"")"),"['Disappointed', 'Heavy', 'Credit', 'Cutting', 'Telephone', 'Commit', 'Telkomsel', 'Package', 'Phone', 'Commit', 'Telkomsel', 'Buy', ' package ',' phone ',' open ',' application ',' slow ',' forgiveness', 'fast', 'application', 'provider', 'next door', 'q"&amp;"uota', 'internet', 'Telkomsel' , 'disappointing', '']")</f>
        <v>['Disappointed', 'Heavy', 'Credit', 'Cutting', 'Telephone', 'Commit', 'Telkomsel', 'Package', 'Phone', 'Commit', 'Telkomsel', 'Buy', ' package ',' phone ',' open ',' application ',' slow ',' forgiveness', 'fast', 'application', 'provider', 'next door', 'quota', 'internet', 'Telkomsel' , 'disappointing', '']</v>
      </c>
      <c r="D9246" s="3">
        <v>1.0</v>
      </c>
    </row>
    <row r="9247" ht="15.75" customHeight="1">
      <c r="A9247" s="1">
        <v>9857.0</v>
      </c>
      <c r="B9247" s="3" t="s">
        <v>8879</v>
      </c>
      <c r="C9247" s="3" t="str">
        <f>IFERROR(__xludf.DUMMYFUNCTION("GOOGLETRANSLATE(B9247,""id"",""en"")"),"['Sis', 'Network', 'Telkomsel', 'Down', 'Exams', 'Disturbed', 'That's', 'Karna', 'Network', 'Fix']")</f>
        <v>['Sis', 'Network', 'Telkomsel', 'Down', 'Exams', 'Disturbed', 'That's', 'Karna', 'Network', 'Fix']</v>
      </c>
      <c r="D9247" s="3">
        <v>1.0</v>
      </c>
    </row>
    <row r="9248" ht="15.75" customHeight="1">
      <c r="A9248" s="1">
        <v>9859.0</v>
      </c>
      <c r="B9248" s="3" t="s">
        <v>8880</v>
      </c>
      <c r="C9248" s="3" t="str">
        <f>IFERROR(__xludf.DUMMYFUNCTION("GOOGLETRANSLATE(B9248,""id"",""en"")"),"['KNPA', 'opened', 'Woy', 'just', 'appears',' color ',' white ',' doang ',' pdhl ',' application ',' like ',' UDH ',' Beroy ',' Kek ', ""]")</f>
        <v>['KNPA', 'opened', 'Woy', 'just', 'appears',' color ',' white ',' doang ',' pdhl ',' application ',' like ',' UDH ',' Beroy ',' Kek ', "]</v>
      </c>
      <c r="D9248" s="3">
        <v>1.0</v>
      </c>
    </row>
    <row r="9249" ht="15.75" customHeight="1">
      <c r="A9249" s="1">
        <v>9860.0</v>
      </c>
      <c r="B9249" s="3" t="s">
        <v>8881</v>
      </c>
      <c r="C9249" s="3" t="str">
        <f>IFERROR(__xludf.DUMMYFUNCTION("GOOGLETRANSLATE(B9249,""id"",""en"")"),"['Price', 'Package', 'Data', '']")</f>
        <v>['Price', 'Package', 'Data', '']</v>
      </c>
      <c r="D9249" s="3">
        <v>1.0</v>
      </c>
    </row>
    <row r="9250" ht="15.75" customHeight="1">
      <c r="A9250" s="1">
        <v>9862.0</v>
      </c>
      <c r="B9250" s="3" t="s">
        <v>8882</v>
      </c>
      <c r="C9250" s="3" t="str">
        <f>IFERROR(__xludf.DUMMYFUNCTION("GOOGLETRANSLATE(B9250,""id"",""en"")"),"['Telkomsel', 'nets',' experience ',' setbacks', 'stable', 'missing', 'missing', 'sync', 'ad', 'network', 'speeding', ' turtle', '']")</f>
        <v>['Telkomsel', 'nets',' experience ',' setbacks', 'stable', 'missing', 'missing', 'sync', 'ad', 'network', 'speeding', ' turtle', '']</v>
      </c>
      <c r="D9250" s="3">
        <v>2.0</v>
      </c>
    </row>
    <row r="9251" ht="15.75" customHeight="1">
      <c r="A9251" s="1">
        <v>9863.0</v>
      </c>
      <c r="B9251" s="3" t="s">
        <v>8883</v>
      </c>
      <c r="C9251" s="3" t="str">
        <f>IFERROR(__xludf.DUMMYFUNCTION("GOOGLETRANSLATE(B9251,""id"",""en"")"),"['Upgrade', 'Open', 'My APK']")</f>
        <v>['Upgrade', 'Open', 'My APK']</v>
      </c>
      <c r="D9251" s="3">
        <v>1.0</v>
      </c>
    </row>
    <row r="9252" ht="15.75" customHeight="1">
      <c r="A9252" s="1">
        <v>9864.0</v>
      </c>
      <c r="B9252" s="3" t="s">
        <v>8884</v>
      </c>
      <c r="C9252" s="3" t="str">
        <f>IFERROR(__xludf.DUMMYFUNCTION("GOOGLETRANSLATE(B9252,""id"",""en"")"),"['', 'Telkomsel', 'open', 'package', 'enter', 'dizziness']")</f>
        <v>['', 'Telkomsel', 'open', 'package', 'enter', 'dizziness']</v>
      </c>
      <c r="D9252" s="3">
        <v>1.0</v>
      </c>
    </row>
    <row r="9253" ht="15.75" customHeight="1">
      <c r="A9253" s="1">
        <v>9865.0</v>
      </c>
      <c r="B9253" s="3" t="s">
        <v>8885</v>
      </c>
      <c r="C9253" s="3" t="str">
        <f>IFERROR(__xludf.DUMMYFUNCTION("GOOGLETRANSLATE(B9253,""id"",""en"")"),"['Please', 'Tissue', 'Telkomsel', 'Disorders',' Please ',' Fix ',' System ',' Currently ',' Find ',' Order ',' Greetings', 'Driver', ' Gojek ',' ']")</f>
        <v>['Please', 'Tissue', 'Telkomsel', 'Disorders',' Please ',' Fix ',' System ',' Currently ',' Find ',' Order ',' Greetings', 'Driver', ' Gojek ',' ']</v>
      </c>
      <c r="D9253" s="3">
        <v>5.0</v>
      </c>
    </row>
    <row r="9254" ht="15.75" customHeight="1">
      <c r="A9254" s="1">
        <v>9866.0</v>
      </c>
      <c r="B9254" s="3" t="s">
        <v>8886</v>
      </c>
      <c r="C9254" s="3" t="str">
        <f>IFERROR(__xludf.DUMMYFUNCTION("GOOGLETRANSLATE(B9254,""id"",""en"")"),"['thank', 'love', 'service', 'Indonesia', 'Telkomsel', 'steady']")</f>
        <v>['thank', 'love', 'service', 'Indonesia', 'Telkomsel', 'steady']</v>
      </c>
      <c r="D9254" s="3">
        <v>5.0</v>
      </c>
    </row>
    <row r="9255" ht="15.75" customHeight="1">
      <c r="A9255" s="1">
        <v>9867.0</v>
      </c>
      <c r="B9255" s="3" t="s">
        <v>8887</v>
      </c>
      <c r="C9255" s="3" t="str">
        <f>IFERROR(__xludf.DUMMYFUNCTION("GOOGLETRANSLATE(B9255,""id"",""en"")"),"['Okay', 'Satisfied']")</f>
        <v>['Okay', 'Satisfied']</v>
      </c>
      <c r="D9255" s="3">
        <v>5.0</v>
      </c>
    </row>
    <row r="9256" ht="15.75" customHeight="1">
      <c r="A9256" s="1">
        <v>9868.0</v>
      </c>
      <c r="B9256" s="3" t="s">
        <v>8888</v>
      </c>
      <c r="C9256" s="3" t="str">
        <f>IFERROR(__xludf.DUMMYFUNCTION("GOOGLETRANSLATE(B9256,""id"",""en"")"),"['signal', 'Telkomsel', 'already', 'satisfying', 'stay', 'save', 'pulse', 'sometimes',' quota ',' reduced ',' jls', 'save', ' pulse ',' comfortable ']")</f>
        <v>['signal', 'Telkomsel', 'already', 'satisfying', 'stay', 'save', 'pulse', 'sometimes',' quota ',' reduced ',' jls', 'save', ' pulse ',' comfortable ']</v>
      </c>
      <c r="D9256" s="3">
        <v>4.0</v>
      </c>
    </row>
    <row r="9257" ht="15.75" customHeight="1">
      <c r="A9257" s="1">
        <v>9869.0</v>
      </c>
      <c r="B9257" s="3" t="s">
        <v>8889</v>
      </c>
      <c r="C9257" s="3" t="str">
        <f>IFERROR(__xludf.DUMMYFUNCTION("GOOGLETRANSLATE(B9257,""id"",""en"")"),"['Applikasih']")</f>
        <v>['Applikasih']</v>
      </c>
      <c r="D9257" s="3">
        <v>5.0</v>
      </c>
    </row>
    <row r="9258" ht="15.75" customHeight="1">
      <c r="A9258" s="1">
        <v>9870.0</v>
      </c>
      <c r="B9258" s="3" t="s">
        <v>8890</v>
      </c>
      <c r="C9258" s="3" t="str">
        <f>IFERROR(__xludf.DUMMYFUNCTION("GOOGLETRANSLATE(B9258,""id"",""en"")"),"['Kasih', 'Kenda', 'Telkomsel', 'opened', 'SRH', 'Hubunuin', 'Mimin', 'poor']")</f>
        <v>['Kasih', 'Kenda', 'Telkomsel', 'opened', 'SRH', 'Hubunuin', 'Mimin', 'poor']</v>
      </c>
      <c r="D9258" s="3">
        <v>1.0</v>
      </c>
    </row>
    <row r="9259" ht="15.75" customHeight="1">
      <c r="A9259" s="1">
        <v>9871.0</v>
      </c>
      <c r="B9259" s="3" t="s">
        <v>8891</v>
      </c>
      <c r="C9259" s="3" t="str">
        <f>IFERROR(__xludf.DUMMYFUNCTION("GOOGLETRANSLATE(B9259,""id"",""en"")"),"['Suggestion', 'Telkomsel', 'stingy', 'Customer', 'Increase', 'Quality', 'Signal', 'Miss',' Open ',' APL ',' MyTelkomsel ',' Wear ',' Credit ',' data ']")</f>
        <v>['Suggestion', 'Telkomsel', 'stingy', 'Customer', 'Increase', 'Quality', 'Signal', 'Miss',' Open ',' APL ',' MyTelkomsel ',' Wear ',' Credit ',' data ']</v>
      </c>
      <c r="D9259" s="3">
        <v>1.0</v>
      </c>
    </row>
    <row r="9260" ht="15.75" customHeight="1">
      <c r="A9260" s="1">
        <v>9872.0</v>
      </c>
      <c r="B9260" s="3" t="s">
        <v>8892</v>
      </c>
      <c r="C9260" s="3" t="str">
        <f>IFERROR(__xludf.DUMMYFUNCTION("GOOGLETRANSLATE(B9260,""id"",""en"")"),"['My APK', 'opened', 'Android', '']")</f>
        <v>['My APK', 'opened', 'Android', '']</v>
      </c>
      <c r="D9260" s="3">
        <v>2.0</v>
      </c>
    </row>
    <row r="9261" ht="15.75" customHeight="1">
      <c r="A9261" s="1">
        <v>9873.0</v>
      </c>
      <c r="B9261" s="3" t="s">
        <v>8893</v>
      </c>
      <c r="C9261" s="3" t="str">
        <f>IFERROR(__xludf.DUMMYFUNCTION("GOOGLETRANSLATE(B9261,""id"",""en"")"),"['Ngeblank', 'White', 'payaaah']")</f>
        <v>['Ngeblank', 'White', 'payaaah']</v>
      </c>
      <c r="D9261" s="3">
        <v>1.0</v>
      </c>
    </row>
    <row r="9262" ht="15.75" customHeight="1">
      <c r="A9262" s="1">
        <v>9874.0</v>
      </c>
      <c r="B9262" s="3" t="s">
        <v>8894</v>
      </c>
      <c r="C9262" s="3" t="str">
        <f>IFERROR(__xludf.DUMMYFUNCTION("GOOGLETRANSLATE(B9262,""id"",""en"")"),"['buy', 'quota', 'NGK', 'here', 'Telkomsel', 'server', 'krng']")</f>
        <v>['buy', 'quota', 'NGK', 'here', 'Telkomsel', 'server', 'krng']</v>
      </c>
      <c r="D9262" s="3">
        <v>2.0</v>
      </c>
    </row>
    <row r="9263" ht="15.75" customHeight="1">
      <c r="A9263" s="1">
        <v>9875.0</v>
      </c>
      <c r="B9263" s="3" t="s">
        <v>8895</v>
      </c>
      <c r="C9263" s="3" t="str">
        <f>IFERROR(__xludf.DUMMYFUNCTION("GOOGLETRANSLATE(B9263,""id"",""en"")"),"['Update', 'Display', 'times', 'open', 'Application', 'White', 'Screen', ""]")</f>
        <v>['Update', 'Display', 'times', 'open', 'Application', 'White', 'Screen', "]</v>
      </c>
      <c r="D9263" s="3">
        <v>1.0</v>
      </c>
    </row>
    <row r="9264" ht="15.75" customHeight="1">
      <c r="A9264" s="1">
        <v>9876.0</v>
      </c>
      <c r="B9264" s="3" t="s">
        <v>8896</v>
      </c>
      <c r="C9264" s="3" t="str">
        <f>IFERROR(__xludf.DUMMYFUNCTION("GOOGLETRANSLATE(B9264,""id"",""en"")"),"['knp', 'skrg', 'app', 'telkomsel', 'screen', 'white', 'all', '']")</f>
        <v>['knp', 'skrg', 'app', 'telkomsel', 'screen', 'white', 'all', '']</v>
      </c>
      <c r="D9264" s="3">
        <v>3.0</v>
      </c>
    </row>
    <row r="9265" ht="15.75" customHeight="1">
      <c r="A9265" s="1">
        <v>9877.0</v>
      </c>
      <c r="B9265" s="3" t="s">
        <v>8897</v>
      </c>
      <c r="C9265" s="3" t="str">
        <f>IFERROR(__xludf.DUMMYFUNCTION("GOOGLETRANSLATE(B9265,""id"",""en"")"),"['Update', 'TPI', 'Bukak', 'Telkomsel', 'SMAKIN', 'JLASS', 'STOPP', 'Telkomsel']")</f>
        <v>['Update', 'TPI', 'Bukak', 'Telkomsel', 'SMAKIN', 'JLASS', 'STOPP', 'Telkomsel']</v>
      </c>
      <c r="D9265" s="3">
        <v>1.0</v>
      </c>
    </row>
    <row r="9266" ht="15.75" customHeight="1">
      <c r="A9266" s="1">
        <v>9878.0</v>
      </c>
      <c r="B9266" s="3" t="s">
        <v>8898</v>
      </c>
      <c r="C9266" s="3" t="str">
        <f>IFERROR(__xludf.DUMMYFUNCTION("GOOGLETRANSLATE(B9266,""id"",""en"")"),"['kennapaya', 'package', 'call', 'expensive', 'padal', 'yesterday', 'satisfying', 'aga', 'disappointed', '']")</f>
        <v>['kennapaya', 'package', 'call', 'expensive', 'padal', 'yesterday', 'satisfying', 'aga', 'disappointed', '']</v>
      </c>
      <c r="D9266" s="3">
        <v>1.0</v>
      </c>
    </row>
    <row r="9267" ht="15.75" customHeight="1">
      <c r="A9267" s="1">
        <v>9879.0</v>
      </c>
      <c r="B9267" s="3" t="s">
        <v>8899</v>
      </c>
      <c r="C9267" s="3" t="str">
        <f>IFERROR(__xludf.DUMMYFUNCTION("GOOGLETRANSLATE(B9267,""id"",""en"")"),"['Open', 'the application', 'already', 'update', 'please', 'good', 'the application', 'slow', 'really', ""]")</f>
        <v>['Open', 'the application', 'already', 'update', 'please', 'good', 'the application', 'slow', 'really', "]</v>
      </c>
      <c r="D9267" s="3">
        <v>1.0</v>
      </c>
    </row>
    <row r="9268" ht="15.75" customHeight="1">
      <c r="A9268" s="1">
        <v>9880.0</v>
      </c>
      <c r="B9268" s="3" t="s">
        <v>8900</v>
      </c>
      <c r="C9268" s="3" t="str">
        <f>IFERROR(__xludf.DUMMYFUNCTION("GOOGLETRANSLATE(B9268,""id"",""en"")"),"['entry', 'blank', 'color', 'white', 'how', 'blank', 'white']")</f>
        <v>['entry', 'blank', 'color', 'white', 'how', 'blank', 'white']</v>
      </c>
      <c r="D9268" s="3">
        <v>1.0</v>
      </c>
    </row>
    <row r="9269" ht="15.75" customHeight="1">
      <c r="A9269" s="1">
        <v>9881.0</v>
      </c>
      <c r="B9269" s="3" t="s">
        <v>8901</v>
      </c>
      <c r="C9269" s="3" t="str">
        <f>IFERROR(__xludf.DUMMYFUNCTION("GOOGLETRANSLATE(B9269,""id"",""en"")"),"['Application', 'Brain', 'Kayak', 'Albert', 'Einstein', 'Isaac', 'Newton']")</f>
        <v>['Application', 'Brain', 'Kayak', 'Albert', 'Einstein', 'Isaac', 'Newton']</v>
      </c>
      <c r="D9269" s="3">
        <v>5.0</v>
      </c>
    </row>
    <row r="9270" ht="15.75" customHeight="1">
      <c r="A9270" s="1">
        <v>9882.0</v>
      </c>
      <c r="B9270" s="3" t="s">
        <v>8902</v>
      </c>
      <c r="C9270" s="3" t="str">
        <f>IFERROR(__xludf.DUMMYFUNCTION("GOOGLETRANSLATE(B9270,""id"",""en"")"),"['expensive', 'really', 'package', 'user', 'Telkomsel', 'satisfied', 'Telkomsel', 'win', 'network', 'broad', 'satisfaction', 'customer', ' minus', 'fortunate', 'cave', 'customer', 'tri', 'cheap', 'network', 'safe', 'top', 'thank', 'love', ""]")</f>
        <v>['expensive', 'really', 'package', 'user', 'Telkomsel', 'satisfied', 'Telkomsel', 'win', 'network', 'broad', 'satisfaction', 'customer', ' minus', 'fortunate', 'cave', 'customer', 'tri', 'cheap', 'network', 'safe', 'top', 'thank', 'love', "]</v>
      </c>
      <c r="D9270" s="3">
        <v>1.0</v>
      </c>
    </row>
    <row r="9271" ht="15.75" customHeight="1">
      <c r="A9271" s="1">
        <v>9883.0</v>
      </c>
      <c r="B9271" s="3" t="s">
        <v>8903</v>
      </c>
      <c r="C9271" s="3" t="str">
        <f>IFERROR(__xludf.DUMMYFUNCTION("GOOGLETRANSLATE(B9271,""id"",""en"")"),"['signal', 'rotten', 'according to', 'price', 'paid', 'BUMN', 'broken', 'basically', 'dilapidated', 'mending', 'company', 'hope', ' Cepet ',' bankrupt ', ""]")</f>
        <v>['signal', 'rotten', 'according to', 'price', 'paid', 'BUMN', 'broken', 'basically', 'dilapidated', 'mending', 'company', 'hope', ' Cepet ',' bankrupt ', "]</v>
      </c>
      <c r="D9271" s="3">
        <v>1.0</v>
      </c>
    </row>
    <row r="9272" ht="15.75" customHeight="1">
      <c r="A9272" s="1">
        <v>9884.0</v>
      </c>
      <c r="B9272" s="3" t="s">
        <v>8904</v>
      </c>
      <c r="C9272" s="3" t="str">
        <f>IFERROR(__xludf.DUMMYFUNCTION("GOOGLETRANSLATE(B9272,""id"",""en"")"),"['Applikasih', 'help']")</f>
        <v>['Applikasih', 'help']</v>
      </c>
      <c r="D9272" s="3">
        <v>5.0</v>
      </c>
    </row>
    <row r="9273" ht="15.75" customHeight="1">
      <c r="A9273" s="1">
        <v>9885.0</v>
      </c>
      <c r="B9273" s="3" t="s">
        <v>8905</v>
      </c>
      <c r="C9273" s="3" t="str">
        <f>IFERROR(__xludf.DUMMYFUNCTION("GOOGLETRANSLATE(B9273,""id"",""en"")"),"['open', 'application', 'blank', 'blank', 'uninstall', 'install', 'maintance', 'kah', '']")</f>
        <v>['open', 'application', 'blank', 'blank', 'uninstall', 'install', 'maintance', 'kah', '']</v>
      </c>
      <c r="D9273" s="3">
        <v>5.0</v>
      </c>
    </row>
    <row r="9274" ht="15.75" customHeight="1">
      <c r="A9274" s="1">
        <v>9886.0</v>
      </c>
      <c r="B9274" s="3" t="s">
        <v>8906</v>
      </c>
      <c r="C9274" s="3" t="str">
        <f>IFERROR(__xludf.DUMMYFUNCTION("GOOGLETRANSLATE(B9274,""id"",""en"")"),"['lost', 'signal', 'shake', 'Indonesia', 'consumer', 'protected', 'survive', 'Indonesia', 'quality', 'internet', 'worst', '']")</f>
        <v>['lost', 'signal', 'shake', 'Indonesia', 'consumer', 'protected', 'survive', 'Indonesia', 'quality', 'internet', 'worst', '']</v>
      </c>
      <c r="D9274" s="3">
        <v>3.0</v>
      </c>
    </row>
    <row r="9275" ht="15.75" customHeight="1">
      <c r="A9275" s="1">
        <v>9887.0</v>
      </c>
      <c r="B9275" s="3" t="s">
        <v>8907</v>
      </c>
      <c r="C9275" s="3" t="str">
        <f>IFERROR(__xludf.DUMMYFUNCTION("GOOGLETRANSLATE(B9275,""id"",""en"")"),"['please', 'Telkomsel', 'ugly', 'network', 'you', 'contents',' package ',' TPI ',' network ',' always', 'ilang', 'fix', ' Napa ',' suffer ',' Telkomsel ',' Plisss', 'Network', 'at the level', 'plisssssssssssss']")</f>
        <v>['please', 'Telkomsel', 'ugly', 'network', 'you', 'contents',' package ',' TPI ',' network ',' always', 'ilang', 'fix', ' Napa ',' suffer ',' Telkomsel ',' Plisss', 'Network', 'at the level', 'plisssssssssssss']</v>
      </c>
      <c r="D9275" s="3">
        <v>1.0</v>
      </c>
    </row>
    <row r="9276" ht="15.75" customHeight="1">
      <c r="A9276" s="1">
        <v>9888.0</v>
      </c>
      <c r="B9276" s="3" t="s">
        <v>8908</v>
      </c>
      <c r="C9276" s="3" t="str">
        <f>IFERROR(__xludf.DUMMYFUNCTION("GOOGLETRANSLATE(B9276,""id"",""en"")"),"['knpa', 'signal', 'difficult']")</f>
        <v>['knpa', 'signal', 'difficult']</v>
      </c>
      <c r="D9276" s="3">
        <v>4.0</v>
      </c>
    </row>
    <row r="9277" ht="15.75" customHeight="1">
      <c r="A9277" s="1">
        <v>9889.0</v>
      </c>
      <c r="B9277" s="3" t="s">
        <v>8909</v>
      </c>
      <c r="C9277" s="3" t="str">
        <f>IFERROR(__xludf.DUMMYFUNCTION("GOOGLETRANSLATE(B9277,""id"",""en"")"),"['just', 'contents',' pulse ',' rb ',' buy ',' package ',' ehh ',' taunya ',' sumps', 'rb', 'sumps',' package ',' rb ',' udh ',' active ',' jdi ',' failed ',' strange ',' error ',' telkomsel ']")</f>
        <v>['just', 'contents',' pulse ',' rb ',' buy ',' package ',' ehh ',' taunya ',' sumps', 'rb', 'sumps',' package ',' rb ',' udh ',' active ',' jdi ',' failed ',' strange ',' error ',' telkomsel ']</v>
      </c>
      <c r="D9277" s="3">
        <v>1.0</v>
      </c>
    </row>
    <row r="9278" ht="15.75" customHeight="1">
      <c r="A9278" s="1">
        <v>9890.0</v>
      </c>
      <c r="B9278" s="3" t="s">
        <v>1367</v>
      </c>
      <c r="C9278" s="3" t="str">
        <f>IFERROR(__xludf.DUMMYFUNCTION("GOOGLETRANSLATE(B9278,""id"",""en"")"),"['good']")</f>
        <v>['good']</v>
      </c>
      <c r="D9278" s="3">
        <v>5.0</v>
      </c>
    </row>
    <row r="9279" ht="15.75" customHeight="1">
      <c r="A9279" s="1">
        <v>9891.0</v>
      </c>
      <c r="B9279" s="3" t="s">
        <v>8910</v>
      </c>
      <c r="C9279" s="3" t="str">
        <f>IFERROR(__xludf.DUMMYFUNCTION("GOOGLETRANSLATE(B9279,""id"",""en"")"),"['knapa', 'skarang', 'Telkomsel', 'open', 'liding', 'open', 'open']")</f>
        <v>['knapa', 'skarang', 'Telkomsel', 'open', 'liding', 'open', 'open']</v>
      </c>
      <c r="D9279" s="3">
        <v>1.0</v>
      </c>
    </row>
    <row r="9280" ht="15.75" customHeight="1">
      <c r="A9280" s="1">
        <v>9892.0</v>
      </c>
      <c r="B9280" s="3" t="s">
        <v>8911</v>
      </c>
      <c r="C9280" s="3" t="str">
        <f>IFERROR(__xludf.DUMMYFUNCTION("GOOGLETRANSLATE(B9280,""id"",""en"")"),"['The application', 'opened', 'blank', 'white', 'already', 'diuninstall', 'then', 'install', '']")</f>
        <v>['The application', 'opened', 'blank', 'white', 'already', 'diuninstall', 'then', 'install', '']</v>
      </c>
      <c r="D9280" s="3">
        <v>2.0</v>
      </c>
    </row>
    <row r="9281" ht="15.75" customHeight="1">
      <c r="A9281" s="1">
        <v>9893.0</v>
      </c>
      <c r="B9281" s="3" t="s">
        <v>8912</v>
      </c>
      <c r="C9281" s="3" t="str">
        <f>IFERROR(__xludf.DUMMYFUNCTION("GOOGLETRANSLATE(B9281,""id"",""en"")"),"['Application', 'Telkomsel', 'opened', 'blank', 'White', 'Uninstall', 'Install', 'Tetep', 'Trouble', ""]")</f>
        <v>['Application', 'Telkomsel', 'opened', 'blank', 'White', 'Uninstall', 'Install', 'Tetep', 'Trouble', "]</v>
      </c>
      <c r="D9281" s="3">
        <v>2.0</v>
      </c>
    </row>
    <row r="9282" ht="15.75" customHeight="1">
      <c r="A9282" s="1">
        <v>9894.0</v>
      </c>
      <c r="B9282" s="3" t="s">
        <v>8913</v>
      </c>
      <c r="C9282" s="3" t="str">
        <f>IFERROR(__xludf.DUMMYFUNCTION("GOOGLETRANSLATE(B9282,""id"",""en"")"),"['App', 'Tid', 'Damed', 'Infinix']")</f>
        <v>['App', 'Tid', 'Damed', 'Infinix']</v>
      </c>
      <c r="D9282" s="3">
        <v>5.0</v>
      </c>
    </row>
    <row r="9283" ht="15.75" customHeight="1">
      <c r="A9283" s="1">
        <v>9895.0</v>
      </c>
      <c r="B9283" s="3" t="s">
        <v>8914</v>
      </c>
      <c r="C9283" s="3" t="str">
        <f>IFERROR(__xludf.DUMMYFUNCTION("GOOGLETRANSLATE(B9283,""id"",""en"")"),"['Please', 'Package', 'Telkomsel', 'Expensive', 'Promo', 'Customer', 'Satisfied', '']")</f>
        <v>['Please', 'Package', 'Telkomsel', 'Expensive', 'Promo', 'Customer', 'Satisfied', '']</v>
      </c>
      <c r="D9283" s="3">
        <v>5.0</v>
      </c>
    </row>
    <row r="9284" ht="15.75" customHeight="1">
      <c r="A9284" s="1">
        <v>9896.0</v>
      </c>
      <c r="B9284" s="3" t="s">
        <v>8915</v>
      </c>
      <c r="C9284" s="3" t="str">
        <f>IFERROR(__xludf.DUMMYFUNCTION("GOOGLETRANSLATE(B9284,""id"",""en"")"),"['Telkomsel', 'chaotic', 'application', 'newin', 'hank', 'chaotic', 'telkomsel']")</f>
        <v>['Telkomsel', 'chaotic', 'application', 'newin', 'hank', 'chaotic', 'telkomsel']</v>
      </c>
      <c r="D9284" s="3">
        <v>1.0</v>
      </c>
    </row>
    <row r="9285" ht="15.75" customHeight="1">
      <c r="A9285" s="1">
        <v>9897.0</v>
      </c>
      <c r="B9285" s="3" t="s">
        <v>8916</v>
      </c>
      <c r="C9285" s="3" t="str">
        <f>IFERROR(__xludf.DUMMYFUNCTION("GOOGLETRANSLATE(B9285,""id"",""en"")"),"['Buy', 'Package', 'Data', 'Cheap']")</f>
        <v>['Buy', 'Package', 'Data', 'Cheap']</v>
      </c>
      <c r="D9285" s="3">
        <v>4.0</v>
      </c>
    </row>
    <row r="9286" ht="15.75" customHeight="1">
      <c r="A9286" s="1">
        <v>9898.0</v>
      </c>
      <c r="B9286" s="3" t="s">
        <v>8917</v>
      </c>
      <c r="C9286" s="3" t="str">
        <f>IFERROR(__xludf.DUMMYFUNCTION("GOOGLETRANSLATE(B9286,""id"",""en"")"),"['Pay', 'difficult']")</f>
        <v>['Pay', 'difficult']</v>
      </c>
      <c r="D9286" s="3">
        <v>1.0</v>
      </c>
    </row>
    <row r="9287" ht="15.75" customHeight="1">
      <c r="A9287" s="1">
        <v>9899.0</v>
      </c>
      <c r="B9287" s="3" t="s">
        <v>8918</v>
      </c>
      <c r="C9287" s="3" t="str">
        <f>IFERROR(__xludf.DUMMYFUNCTION("GOOGLETRANSLATE(B9287,""id"",""en"")"),"['Okay', 'Aga', 'expensive']")</f>
        <v>['Okay', 'Aga', 'expensive']</v>
      </c>
      <c r="D9287" s="3">
        <v>1.0</v>
      </c>
    </row>
    <row r="9288" ht="15.75" customHeight="1">
      <c r="A9288" s="1">
        <v>9900.0</v>
      </c>
      <c r="B9288" s="3" t="s">
        <v>8919</v>
      </c>
      <c r="C9288" s="3" t="str">
        <f>IFERROR(__xludf.DUMMYFUNCTION("GOOGLETRANSLATE(B9288,""id"",""en"")"),"['network', 'internet', 'kayak', 'garbage', 'buy', 'quota', 'expensive', 'network', 'internet', 'region', 'Indonesia', 'ngaa', ' good ',' already ',' many ',' times', 'notice', 'no', 'response', 'Telkomsel', 'replace', 'provider', 'network', '']")</f>
        <v>['network', 'internet', 'kayak', 'garbage', 'buy', 'quota', 'expensive', 'network', 'internet', 'region', 'Indonesia', 'ngaa', ' good ',' already ',' many ',' times', 'notice', 'no', 'response', 'Telkomsel', 'replace', 'provider', 'network', '']</v>
      </c>
      <c r="D9288" s="3">
        <v>1.0</v>
      </c>
    </row>
    <row r="9289" ht="15.75" customHeight="1">
      <c r="A9289" s="1">
        <v>9901.0</v>
      </c>
      <c r="B9289" s="3" t="s">
        <v>8920</v>
      </c>
      <c r="C9289" s="3" t="str">
        <f>IFERROR(__xludf.DUMMYFUNCTION("GOOGLETRANSLATE(B9289,""id"",""en"")"),"['Sis',' how ',' Took ',' Semingu ',' Get ',' Kuta ',' Seikhlas', 'Sure', 'Money', 'Emak', 'Cave', 'Buy', ' Koutaa ',' Please ',' Fix ',' Hopefully ',' Read ',' Rent ']")</f>
        <v>['Sis',' how ',' Took ',' Semingu ',' Get ',' Kuta ',' Seikhlas', 'Sure', 'Money', 'Emak', 'Cave', 'Buy', ' Koutaa ',' Please ',' Fix ',' Hopefully ',' Read ',' Rent ']</v>
      </c>
      <c r="D9289" s="3">
        <v>5.0</v>
      </c>
    </row>
    <row r="9290" ht="15.75" customHeight="1">
      <c r="A9290" s="1">
        <v>9902.0</v>
      </c>
      <c r="B9290" s="3" t="s">
        <v>8921</v>
      </c>
      <c r="C9290" s="3" t="str">
        <f>IFERROR(__xludf.DUMMYFUNCTION("GOOGLETRANSLATE(B9290,""id"",""en"")"),"['Update', 'disappointing', '']")</f>
        <v>['Update', 'disappointing', '']</v>
      </c>
      <c r="D9290" s="3">
        <v>3.0</v>
      </c>
    </row>
    <row r="9291" ht="15.75" customHeight="1">
      <c r="A9291" s="1">
        <v>9903.0</v>
      </c>
      <c r="B9291" s="3" t="s">
        <v>8922</v>
      </c>
      <c r="C9291" s="3" t="str">
        <f>IFERROR(__xludf.DUMMYFUNCTION("GOOGLETRANSLATE(B9291,""id"",""en"")"),"['package', 'expensive', 'speed', 'mentok', 'kb', 'watch', 'youtube', 'play', 'game', 'super', 'lag', 'salespeople', ' Samatelkomsel ',' BURIK ']")</f>
        <v>['package', 'expensive', 'speed', 'mentok', 'kb', 'watch', 'youtube', 'play', 'game', 'super', 'lag', 'salespeople', ' Samatelkomsel ',' BURIK ']</v>
      </c>
      <c r="D9291" s="3">
        <v>2.0</v>
      </c>
    </row>
    <row r="9292" ht="15.75" customHeight="1">
      <c r="A9292" s="1">
        <v>9905.0</v>
      </c>
      <c r="B9292" s="3" t="s">
        <v>8923</v>
      </c>
      <c r="C9292" s="3" t="str">
        <f>IFERROR(__xludf.DUMMYFUNCTION("GOOGLETRANSLATE(B9292,""id"",""en"")"),"['Sorry', 'love', 'star', 'already', 'a month', 'network', 'Telkomsel', 'area', 'kampar', 'Riau', 'stable', 'play', ' Game ',' lag ',' UDH ',' BYK ',' ORG ',' MOVEMENT ',' Provider ',' Community ',' Telkomsel ',' Please ',' Help ',' Min ', ""]")</f>
        <v>['Sorry', 'love', 'star', 'already', 'a month', 'network', 'Telkomsel', 'area', 'kampar', 'Riau', 'stable', 'play', ' Game ',' lag ',' UDH ',' BYK ',' ORG ',' MOVEMENT ',' Provider ',' Community ',' Telkomsel ',' Please ',' Help ',' Min ', "]</v>
      </c>
      <c r="D9292" s="3">
        <v>1.0</v>
      </c>
    </row>
    <row r="9293" ht="15.75" customHeight="1">
      <c r="A9293" s="1">
        <v>9906.0</v>
      </c>
      <c r="B9293" s="3" t="s">
        <v>8924</v>
      </c>
      <c r="C9293" s="3" t="str">
        <f>IFERROR(__xludf.DUMMYFUNCTION("GOOGLETRANSLATE(B9293,""id"",""en"")"),"['interesting', 'chance', 'gift']")</f>
        <v>['interesting', 'chance', 'gift']</v>
      </c>
      <c r="D9293" s="3">
        <v>4.0</v>
      </c>
    </row>
    <row r="9294" ht="15.75" customHeight="1">
      <c r="A9294" s="1">
        <v>9907.0</v>
      </c>
      <c r="B9294" s="3" t="s">
        <v>8925</v>
      </c>
      <c r="C9294" s="3" t="str">
        <f>IFERROR(__xludf.DUMMYFUNCTION("GOOGLETRANSLATE(B9294,""id"",""en"")"),"['Good', 'makes it easier', 'buy', 'package']")</f>
        <v>['Good', 'makes it easier', 'buy', 'package']</v>
      </c>
      <c r="D9294" s="3">
        <v>5.0</v>
      </c>
    </row>
    <row r="9295" ht="15.75" customHeight="1">
      <c r="A9295" s="1">
        <v>9908.0</v>
      </c>
      <c r="B9295" s="3" t="s">
        <v>8926</v>
      </c>
      <c r="C9295" s="3" t="str">
        <f>IFERROR(__xludf.DUMMYFUNCTION("GOOGLETRANSLATE(B9295,""id"",""en"")"),"['kurangggggggggg', 'bikessssssss', 'occasioniiiiiiiiiiiiiiiiiiii']")</f>
        <v>['kurangggggggggg', 'bikessssssss', 'occasioniiiiiiiiiiiiiiiiiiii']</v>
      </c>
      <c r="D9295" s="3">
        <v>3.0</v>
      </c>
    </row>
    <row r="9296" ht="15.75" customHeight="1">
      <c r="A9296" s="1">
        <v>9909.0</v>
      </c>
      <c r="B9296" s="3" t="s">
        <v>8927</v>
      </c>
      <c r="C9296" s="3" t="str">
        <f>IFERROR(__xludf.DUMMYFUNCTION("GOOGLETRANSLATE(B9296,""id"",""en"")"),"['quota', 'youtubenya', 'nggk', 'road', 'jdi', 'loss', 'pleaseggggggg']")</f>
        <v>['quota', 'youtubenya', 'nggk', 'road', 'jdi', 'loss', 'pleaseggggggg']</v>
      </c>
      <c r="D9296" s="3">
        <v>1.0</v>
      </c>
    </row>
    <row r="9297" ht="15.75" customHeight="1">
      <c r="A9297" s="1">
        <v>9910.0</v>
      </c>
      <c r="B9297" s="3" t="s">
        <v>8928</v>
      </c>
      <c r="C9297" s="3" t="str">
        <f>IFERROR(__xludf.DUMMYFUNCTION("GOOGLETRANSLATE(B9297,""id"",""en"")"),"['Please', 'Sorry', 'A Week', 'Application', 'Telkomsel', 'Pas',' Open ',' White ',' Waiting ',' Minute ',' Screen ',' White ',' ']")</f>
        <v>['Please', 'Sorry', 'A Week', 'Application', 'Telkomsel', 'Pas',' Open ',' White ',' Waiting ',' Minute ',' Screen ',' White ',' ']</v>
      </c>
      <c r="D9297" s="3">
        <v>4.0</v>
      </c>
    </row>
    <row r="9298" ht="15.75" customHeight="1">
      <c r="A9298" s="1">
        <v>9912.0</v>
      </c>
      <c r="B9298" s="3" t="s">
        <v>8929</v>
      </c>
      <c r="C9298" s="3" t="str">
        <f>IFERROR(__xludf.DUMMYFUNCTION("GOOGLETRANSLATE(B9298,""id"",""en"")"),"['quota', 'expensive', 'application', 'Telkomsel', 'nge', 'blank', 'open']")</f>
        <v>['quota', 'expensive', 'application', 'Telkomsel', 'nge', 'blank', 'open']</v>
      </c>
      <c r="D9298" s="3">
        <v>1.0</v>
      </c>
    </row>
    <row r="9299" ht="15.75" customHeight="1">
      <c r="A9299" s="1">
        <v>9913.0</v>
      </c>
      <c r="B9299" s="3" t="s">
        <v>8930</v>
      </c>
      <c r="C9299" s="3" t="str">
        <f>IFERROR(__xludf.DUMMYFUNCTION("GOOGLETRANSLATE(B9299,""id"",""en"")"),"['Delicious', 'Telkomsel']")</f>
        <v>['Delicious', 'Telkomsel']</v>
      </c>
      <c r="D9299" s="3">
        <v>5.0</v>
      </c>
    </row>
    <row r="9300" ht="15.75" customHeight="1">
      <c r="A9300" s="1">
        <v>9914.0</v>
      </c>
      <c r="B9300" s="3" t="s">
        <v>8931</v>
      </c>
      <c r="C9300" s="3" t="str">
        <f>IFERROR(__xludf.DUMMYFUNCTION("GOOGLETRANSLATE(B9300,""id"",""en"")"),"['Network', 'bad', 'bad']")</f>
        <v>['Network', 'bad', 'bad']</v>
      </c>
      <c r="D9300" s="3">
        <v>1.0</v>
      </c>
    </row>
    <row r="9301" ht="15.75" customHeight="1">
      <c r="A9301" s="1">
        <v>9915.0</v>
      </c>
      <c r="B9301" s="3" t="s">
        <v>8932</v>
      </c>
      <c r="C9301" s="3" t="str">
        <f>IFERROR(__xludf.DUMMYFUNCTION("GOOGLETRANSLATE(B9301,""id"",""en"")"),"['emang', 'steady', 'application']")</f>
        <v>['emang', 'steady', 'application']</v>
      </c>
      <c r="D9301" s="3">
        <v>5.0</v>
      </c>
    </row>
    <row r="9302" ht="15.75" customHeight="1">
      <c r="A9302" s="1">
        <v>9916.0</v>
      </c>
      <c r="B9302" s="3" t="s">
        <v>8933</v>
      </c>
      <c r="C9302" s="3" t="str">
        <f>IFERROR(__xludf.DUMMYFUNCTION("GOOGLETRANSLATE(B9302,""id"",""en"")"),"['Thanks', 'quota', 'free', '']")</f>
        <v>['Thanks', 'quota', 'free', '']</v>
      </c>
      <c r="D9302" s="3">
        <v>5.0</v>
      </c>
    </row>
    <row r="9303" ht="15.75" customHeight="1">
      <c r="A9303" s="1">
        <v>9917.0</v>
      </c>
      <c r="B9303" s="3" t="s">
        <v>8934</v>
      </c>
      <c r="C9303" s="3" t="str">
        <f>IFERROR(__xludf.DUMMYFUNCTION("GOOGLETRANSLATE(B9303,""id"",""en"")"),"['Blank', 'White', 'Doang', 'Severe', 'Disappointed', '']")</f>
        <v>['Blank', 'White', 'Doang', 'Severe', 'Disappointed', '']</v>
      </c>
      <c r="D9303" s="3">
        <v>1.0</v>
      </c>
    </row>
    <row r="9304" ht="15.75" customHeight="1">
      <c r="A9304" s="1">
        <v>9918.0</v>
      </c>
      <c r="B9304" s="3" t="s">
        <v>8935</v>
      </c>
      <c r="C9304" s="3" t="str">
        <f>IFERROR(__xludf.DUMMYFUNCTION("GOOGLETRANSLATE(B9304,""id"",""en"")"),"['Maintain', 'Star']")</f>
        <v>['Maintain', 'Star']</v>
      </c>
      <c r="D9304" s="3">
        <v>5.0</v>
      </c>
    </row>
    <row r="9305" ht="15.75" customHeight="1">
      <c r="A9305" s="1">
        <v>9919.0</v>
      </c>
      <c r="B9305" s="3" t="s">
        <v>8936</v>
      </c>
      <c r="C9305" s="3" t="str">
        <f>IFERROR(__xludf.DUMMYFUNCTION("GOOGLETRANSLATE(B9305,""id"",""en"")"),"['buy', 'quota', 'unlimited', 'youtube', 'quota', 'lap', 'main', 'watch', 'youtube', 'quota', 'main', 'run out', ' Even though ',' make sure ',' App ',' goes', 'YouTube', 'quota', 'unlimited', 'functioning', '']")</f>
        <v>['buy', 'quota', 'unlimited', 'youtube', 'quota', 'lap', 'main', 'watch', 'youtube', 'quota', 'main', 'run out', ' Even though ',' make sure ',' App ',' goes', 'YouTube', 'quota', 'unlimited', 'functioning', '']</v>
      </c>
      <c r="D9305" s="3">
        <v>1.0</v>
      </c>
    </row>
    <row r="9306" ht="15.75" customHeight="1">
      <c r="A9306" s="1">
        <v>9920.0</v>
      </c>
      <c r="B9306" s="3" t="s">
        <v>8937</v>
      </c>
      <c r="C9306" s="3" t="str">
        <f>IFERROR(__xludf.DUMMYFUNCTION("GOOGLETRANSLATE(B9306,""id"",""en"")"),"['transaction', 'already', 'confused', 'confused']")</f>
        <v>['transaction', 'already', 'confused', 'confused']</v>
      </c>
      <c r="D9306" s="3">
        <v>4.0</v>
      </c>
    </row>
    <row r="9307" ht="15.75" customHeight="1">
      <c r="A9307" s="1">
        <v>9921.0</v>
      </c>
      <c r="B9307" s="3" t="s">
        <v>8938</v>
      </c>
      <c r="C9307" s="3" t="str">
        <f>IFERROR(__xludf.DUMMYFUNCTION("GOOGLETRANSLATE(B9307,""id"",""en"")"),"['card', 'WORST', 'SEINDONI Indonesia', 'card', 'smartfren', 'Indosat', 'good', 'card', 'Telkomsel', 'Telkomnyeseeellllll', '']")</f>
        <v>['card', 'WORST', 'SEINDONI Indonesia', 'card', 'smartfren', 'Indosat', 'good', 'card', 'Telkomsel', 'Telkomnyeseeellllll', '']</v>
      </c>
      <c r="D9307" s="3">
        <v>1.0</v>
      </c>
    </row>
    <row r="9308" ht="15.75" customHeight="1">
      <c r="A9308" s="1">
        <v>9922.0</v>
      </c>
      <c r="B9308" s="3" t="s">
        <v>8939</v>
      </c>
      <c r="C9308" s="3" t="str">
        <f>IFERROR(__xludf.DUMMYFUNCTION("GOOGLETRANSLATE(B9308,""id"",""en"")"),"['application', 'bug', 'already', 'pay', 'transaction', 'fail']")</f>
        <v>['application', 'bug', 'already', 'pay', 'transaction', 'fail']</v>
      </c>
      <c r="D9308" s="3">
        <v>1.0</v>
      </c>
    </row>
    <row r="9309" ht="15.75" customHeight="1">
      <c r="A9309" s="1">
        <v>9923.0</v>
      </c>
      <c r="B9309" s="3" t="s">
        <v>8940</v>
      </c>
      <c r="C9309" s="3" t="str">
        <f>IFERROR(__xludf.DUMMYFUNCTION("GOOGLETRANSLATE(B9309,""id"",""en"")"),"['hard', 'really', 'deh', 'the application', 'update', 'turn', 'uodate', 'lazy', 'already', 'smah', 'the network', 'slow', ' MAYAL ',' Doang ',' Fix ',' Quality ',' Network ']")</f>
        <v>['hard', 'really', 'deh', 'the application', 'update', 'turn', 'uodate', 'lazy', 'already', 'smah', 'the network', 'slow', ' MAYAL ',' Doang ',' Fix ',' Quality ',' Network ']</v>
      </c>
      <c r="D9309" s="3">
        <v>1.0</v>
      </c>
    </row>
    <row r="9310" ht="15.75" customHeight="1">
      <c r="A9310" s="1">
        <v>9924.0</v>
      </c>
      <c r="B9310" s="3" t="s">
        <v>8941</v>
      </c>
      <c r="C9310" s="3" t="str">
        <f>IFERROR(__xludf.DUMMYFUNCTION("GOOGLETRANSLATE(B9310,""id"",""en"")"),"['price', 'package', 'internet', 'Telkomsel', 'expensive', 'according to', 'price', 'buy', 'Yesterday', ""]")</f>
        <v>['price', 'package', 'internet', 'Telkomsel', 'expensive', 'according to', 'price', 'buy', 'Yesterday', "]</v>
      </c>
      <c r="D9310" s="3">
        <v>1.0</v>
      </c>
    </row>
    <row r="9311" ht="15.75" customHeight="1">
      <c r="A9311" s="1">
        <v>9925.0</v>
      </c>
      <c r="B9311" s="3" t="s">
        <v>8942</v>
      </c>
      <c r="C9311" s="3" t="str">
        <f>IFERROR(__xludf.DUMMYFUNCTION("GOOGLETRANSLATE(B9311,""id"",""en"")"),"['Suggestion', 'Telkomsel', 'Mending', 'Switch', 'effort', 'kites',' signal ',' get ',' wind ',' little ',' right ',' down ',' Come ',' Good ',' Severe ',' Sampe ',' Rich ',' Gini ',' Next ',' Time ',' Mending ',' Change ',' Card ',' Switch ',' Sosmed ' ,"&amp;" 'function', 'comment', 'playstore', 'situ', 'sanit', 'kah', '']")</f>
        <v>['Suggestion', 'Telkomsel', 'Mending', 'Switch', 'effort', 'kites',' signal ',' get ',' wind ',' little ',' right ',' down ',' Come ',' Good ',' Severe ',' Sampe ',' Rich ',' Gini ',' Next ',' Time ',' Mending ',' Change ',' Card ',' Switch ',' Sosmed ' , 'function', 'comment', 'playstore', 'situ', 'sanit', 'kah', '']</v>
      </c>
      <c r="D9311" s="3">
        <v>1.0</v>
      </c>
    </row>
    <row r="9312" ht="15.75" customHeight="1">
      <c r="A9312" s="1">
        <v>9926.0</v>
      </c>
      <c r="B9312" s="3" t="s">
        <v>8943</v>
      </c>
      <c r="C9312" s="3" t="str">
        <f>IFERROR(__xludf.DUMMYFUNCTION("GOOGLETRANSLATE(B9312,""id"",""en"")"),"['Woy', 'Please', 'Network', 'Telkomsel', 'Fix', '']")</f>
        <v>['Woy', 'Please', 'Network', 'Telkomsel', 'Fix', '']</v>
      </c>
      <c r="D9312" s="3">
        <v>5.0</v>
      </c>
    </row>
    <row r="9313" ht="15.75" customHeight="1">
      <c r="A9313" s="1">
        <v>9927.0</v>
      </c>
      <c r="B9313" s="3" t="s">
        <v>8944</v>
      </c>
      <c r="C9313" s="3" t="str">
        <f>IFERROR(__xludf.DUMMYFUNCTION("GOOGLETRANSLATE(B9313,""id"",""en"")"),"['Get', 'expensive', 'network', 'TTP', 'Lemod', 'Mash', 'Lost', 'SMA', 'Sebih', 'smakin', 'Feurah', 'Gimna', ' Hadeeuh ',' Giti ',' Plz ',' Sumpot ',' Package ',' Plz ',' Sumpot ',' Hadeu ',' HHH ']")</f>
        <v>['Get', 'expensive', 'network', 'TTP', 'Lemod', 'Mash', 'Lost', 'SMA', 'Sebih', 'smakin', 'Feurah', 'Gimna', ' Hadeeuh ',' Giti ',' Plz ',' Sumpot ',' Package ',' Plz ',' Sumpot ',' Hadeu ',' HHH ']</v>
      </c>
      <c r="D9313" s="3">
        <v>2.0</v>
      </c>
    </row>
    <row r="9314" ht="15.75" customHeight="1">
      <c r="A9314" s="1">
        <v>9928.0</v>
      </c>
      <c r="B9314" s="3" t="s">
        <v>8945</v>
      </c>
      <c r="C9314" s="3" t="str">
        <f>IFERROR(__xludf.DUMMYFUNCTION("GOOGLETRANSLATE(B9314,""id"",""en"")"),"['Date', 'December', 'Network', 'Telkomsel', 'Indihome', 'Leet', 'Region', 'Kab', 'Magetan', 'Thank you', ""]")</f>
        <v>['Date', 'December', 'Network', 'Telkomsel', 'Indihome', 'Leet', 'Region', 'Kab', 'Magetan', 'Thank you', "]</v>
      </c>
      <c r="D9314" s="3">
        <v>3.0</v>
      </c>
    </row>
    <row r="9315" ht="15.75" customHeight="1">
      <c r="A9315" s="1">
        <v>9929.0</v>
      </c>
      <c r="B9315" s="3" t="s">
        <v>8946</v>
      </c>
      <c r="C9315" s="3" t="str">
        <f>IFERROR(__xludf.DUMMYFUNCTION("GOOGLETRANSLATE(B9315,""id"",""en"")"),"['quota', 'doang', 'expensive', 'network', 'ugly']")</f>
        <v>['quota', 'doang', 'expensive', 'network', 'ugly']</v>
      </c>
      <c r="D9315" s="3">
        <v>1.0</v>
      </c>
    </row>
    <row r="9316" ht="15.75" customHeight="1">
      <c r="A9316" s="1">
        <v>9930.0</v>
      </c>
      <c r="B9316" s="3" t="s">
        <v>8947</v>
      </c>
      <c r="C9316" s="3" t="str">
        <f>IFERROR(__xludf.DUMMYFUNCTION("GOOGLETRANSLATE(B9316,""id"",""en"")"),"['satisfying', 'heart']")</f>
        <v>['satisfying', 'heart']</v>
      </c>
      <c r="D9316" s="3">
        <v>5.0</v>
      </c>
    </row>
    <row r="9317" ht="15.75" customHeight="1">
      <c r="A9317" s="1">
        <v>9931.0</v>
      </c>
      <c r="B9317" s="3" t="s">
        <v>8948</v>
      </c>
      <c r="C9317" s="3" t="str">
        <f>IFERROR(__xludf.DUMMYFUNCTION("GOOGLETRANSLATE(B9317,""id"",""en"")"),"['Credit', 'Cave', 'Sumpot', 'Mulu', 'Cave', 'SIM']")</f>
        <v>['Credit', 'Cave', 'Sumpot', 'Mulu', 'Cave', 'SIM']</v>
      </c>
      <c r="D9317" s="3">
        <v>1.0</v>
      </c>
    </row>
    <row r="9318" ht="15.75" customHeight="1">
      <c r="A9318" s="1">
        <v>9932.0</v>
      </c>
      <c r="B9318" s="3" t="s">
        <v>8949</v>
      </c>
      <c r="C9318" s="3" t="str">
        <f>IFERROR(__xludf.DUMMYFUNCTION("GOOGLETRANSLATE(B9318,""id"",""en"")"),"['woi', 'network', 'week', 'lag', 'bet', 'Anji', 'change', 'repair', 'price', 'expensive', 'just', 'right', ' Damage ',' Ngebagusin ',' MOVER ',' LOCATION ',' Province ',' North Sumatra ',' City ',' Sibolga ',' Regency ',' Tapanuli ']")</f>
        <v>['woi', 'network', 'week', 'lag', 'bet', 'Anji', 'change', 'repair', 'price', 'expensive', 'just', 'right', ' Damage ',' Ngebagusin ',' MOVER ',' LOCATION ',' Province ',' North Sumatra ',' City ',' Sibolga ',' Regency ',' Tapanuli ']</v>
      </c>
      <c r="D9318" s="3">
        <v>1.0</v>
      </c>
    </row>
    <row r="9319" ht="15.75" customHeight="1">
      <c r="A9319" s="1">
        <v>9933.0</v>
      </c>
      <c r="B9319" s="3" t="s">
        <v>8950</v>
      </c>
      <c r="C9319" s="3" t="str">
        <f>IFERROR(__xludf.DUMMYFUNCTION("GOOGLETRANSLATE(B9319,""id"",""en"")"),"['Send', 'Promo', '']")</f>
        <v>['Send', 'Promo', '']</v>
      </c>
      <c r="D9319" s="3">
        <v>5.0</v>
      </c>
    </row>
    <row r="9320" ht="15.75" customHeight="1">
      <c r="A9320" s="1">
        <v>9934.0</v>
      </c>
      <c r="B9320" s="3" t="s">
        <v>706</v>
      </c>
      <c r="C9320" s="3" t="str">
        <f>IFERROR(__xludf.DUMMYFUNCTION("GOOGLETRANSLATE(B9320,""id"",""en"")"),"['Good', 'like']")</f>
        <v>['Good', 'like']</v>
      </c>
      <c r="D9320" s="3">
        <v>5.0</v>
      </c>
    </row>
    <row r="9321" ht="15.75" customHeight="1">
      <c r="A9321" s="1">
        <v>9935.0</v>
      </c>
      <c r="B9321" s="3" t="s">
        <v>8951</v>
      </c>
      <c r="C9321" s="3" t="str">
        <f>IFERROR(__xludf.DUMMYFUNCTION("GOOGLETRANSLATE(B9321,""id"",""en"")"),"['apk', 'tsel', 'ngeblank', 'white', 'mulu', 'screen', 'open', 'please', 'donk', 'mimin', ""]")</f>
        <v>['apk', 'tsel', 'ngeblank', 'white', 'mulu', 'screen', 'open', 'please', 'donk', 'mimin', "]</v>
      </c>
      <c r="D9321" s="3">
        <v>1.0</v>
      </c>
    </row>
    <row r="9322" ht="15.75" customHeight="1">
      <c r="A9322" s="1">
        <v>9936.0</v>
      </c>
      <c r="B9322" s="3" t="s">
        <v>8952</v>
      </c>
      <c r="C9322" s="3" t="str">
        <f>IFERROR(__xludf.DUMMYFUNCTION("GOOGLETRANSLATE(B9322,""id"",""en"")"),"['Severe', 'update', 'quota', 'internet', 'telephone', 'combo', 'blank', 'white', 'already', 'uninstall', 'install', 'reset', ' Blak ',' White ',' How ',' Telkomsel ',' BUMN ',' KOG ',' Severe ',' Customer ',' Moving ',' Provider ',' Kian ',' Come ',' Kia"&amp;"n ' , 'difficult', 'use', 'applict', '']")</f>
        <v>['Severe', 'update', 'quota', 'internet', 'telephone', 'combo', 'blank', 'white', 'already', 'uninstall', 'install', 'reset', ' Blak ',' White ',' How ',' Telkomsel ',' BUMN ',' KOG ',' Severe ',' Customer ',' Moving ',' Provider ',' Kian ',' Come ',' Kian ' , 'difficult', 'use', 'applict', '']</v>
      </c>
      <c r="D9322" s="3">
        <v>1.0</v>
      </c>
    </row>
    <row r="9323" ht="15.75" customHeight="1">
      <c r="A9323" s="1">
        <v>9937.0</v>
      </c>
      <c r="B9323" s="3" t="s">
        <v>8953</v>
      </c>
      <c r="C9323" s="3" t="str">
        <f>IFERROR(__xludf.DUMMYFUNCTION("GOOGLETRANSLATE(B9323,""id"",""en"")"),"['Severe', 'signal', '']")</f>
        <v>['Severe', 'signal', '']</v>
      </c>
      <c r="D9323" s="3">
        <v>1.0</v>
      </c>
    </row>
    <row r="9324" ht="15.75" customHeight="1">
      <c r="A9324" s="1">
        <v>9938.0</v>
      </c>
      <c r="B9324" s="3" t="s">
        <v>8954</v>
      </c>
      <c r="C9324" s="3" t="str">
        <f>IFERROR(__xludf.DUMMYFUNCTION("GOOGLETRANSLATE(B9324,""id"",""en"")"),"['price', 'package', 'expensive', 'signal', 'ugly', 'pisan', 'najisss',' package ',' expensive ',' signal ',' superior ',' mah ',' okey ',' laah ',' price ',' package ',' expensive ',' signal ',' ugly ',' pisan ',' lose ',' number ']")</f>
        <v>['price', 'package', 'expensive', 'signal', 'ugly', 'pisan', 'najisss',' package ',' expensive ',' signal ',' superior ',' mah ',' okey ',' laah ',' price ',' package ',' expensive ',' signal ',' ugly ',' pisan ',' lose ',' number ']</v>
      </c>
      <c r="D9324" s="3">
        <v>1.0</v>
      </c>
    </row>
    <row r="9325" ht="15.75" customHeight="1">
      <c r="A9325" s="1">
        <v>9939.0</v>
      </c>
      <c r="B9325" s="3" t="s">
        <v>8955</v>
      </c>
      <c r="C9325" s="3" t="str">
        <f>IFERROR(__xludf.DUMMYFUNCTION("GOOGLETRANSLATE(B9325,""id"",""en"")"),"['Disappointed', 'Kouta', 'call', 'missing', 'Where', 'Please', 'Restore', '']")</f>
        <v>['Disappointed', 'Kouta', 'call', 'missing', 'Where', 'Please', 'Restore', '']</v>
      </c>
      <c r="D9325" s="3">
        <v>5.0</v>
      </c>
    </row>
    <row r="9326" ht="15.75" customHeight="1">
      <c r="A9326" s="1">
        <v>9940.0</v>
      </c>
      <c r="B9326" s="3" t="s">
        <v>8956</v>
      </c>
      <c r="C9326" s="3" t="str">
        <f>IFERROR(__xludf.DUMMYFUNCTION("GOOGLETRANSLATE(B9326,""id"",""en"")"),"['Network', 'already', 'gabisa', 'diandalin', 'kyk']")</f>
        <v>['Network', 'already', 'gabisa', 'diandalin', 'kyk']</v>
      </c>
      <c r="D9326" s="3">
        <v>1.0</v>
      </c>
    </row>
    <row r="9327" ht="15.75" customHeight="1">
      <c r="A9327" s="1">
        <v>9941.0</v>
      </c>
      <c r="B9327" s="3" t="s">
        <v>8957</v>
      </c>
      <c r="C9327" s="3" t="str">
        <f>IFERROR(__xludf.DUMMYFUNCTION("GOOGLETRANSLATE(B9327,""id"",""en"")"),"['Increase', 'Telkomsel']")</f>
        <v>['Increase', 'Telkomsel']</v>
      </c>
      <c r="D9327" s="3">
        <v>5.0</v>
      </c>
    </row>
    <row r="9328" ht="15.75" customHeight="1">
      <c r="A9328" s="1">
        <v>9942.0</v>
      </c>
      <c r="B9328" s="3" t="s">
        <v>8958</v>
      </c>
      <c r="C9328" s="3" t="str">
        <f>IFERROR(__xludf.DUMMYFUNCTION("GOOGLETRANSLATE(B9328,""id"",""en"")"),"['Buy', 'Package', 'Disruption', 'System', '']")</f>
        <v>['Buy', 'Package', 'Disruption', 'System', '']</v>
      </c>
      <c r="D9328" s="3">
        <v>1.0</v>
      </c>
    </row>
    <row r="9329" ht="15.75" customHeight="1">
      <c r="A9329" s="1">
        <v>9943.0</v>
      </c>
      <c r="B9329" s="3" t="s">
        <v>8959</v>
      </c>
      <c r="C9329" s="3" t="str">
        <f>IFERROR(__xludf.DUMMYFUNCTION("GOOGLETRANSLATE(B9329,""id"",""en"")"),"['Disappointed', 'Telkomsel', 'Credit', 'Sumpot', 'Pas',' HDP ',' Data ',' SMS ',' SDG ',' Access', 'Internet', 'Non', ' package ',' quota ',' msh ',' knp ',' telkomsel ',' sucked ',' pulse ',' sebap ',' beg ',' repaired ',' yaa ',' mls', 'bgin' , '']")</f>
        <v>['Disappointed', 'Telkomsel', 'Credit', 'Sumpot', 'Pas',' HDP ',' Data ',' SMS ',' SDG ',' Access', 'Internet', 'Non', ' package ',' quota ',' msh ',' knp ',' telkomsel ',' sucked ',' pulse ',' sebap ',' beg ',' repaired ',' yaa ',' mls', 'bgin' , '']</v>
      </c>
      <c r="D9329" s="3">
        <v>2.0</v>
      </c>
    </row>
    <row r="9330" ht="15.75" customHeight="1">
      <c r="A9330" s="1">
        <v>9944.0</v>
      </c>
      <c r="B9330" s="3" t="s">
        <v>8960</v>
      </c>
      <c r="C9330" s="3" t="str">
        <f>IFERROR(__xludf.DUMMYFUNCTION("GOOGLETRANSLATE(B9330,""id"",""en"")"),"['signal', 'setabilia']")</f>
        <v>['signal', 'setabilia']</v>
      </c>
      <c r="D9330" s="3">
        <v>1.0</v>
      </c>
    </row>
    <row r="9331" ht="15.75" customHeight="1">
      <c r="A9331" s="1">
        <v>9945.0</v>
      </c>
      <c r="B9331" s="3" t="s">
        <v>8961</v>
      </c>
      <c r="C9331" s="3" t="str">
        <f>IFERROR(__xludf.DUMMYFUNCTION("GOOGLETRANSLATE(B9331,""id"",""en"")"),"['Telkomsel', 'Open', 'application', '']")</f>
        <v>['Telkomsel', 'Open', 'application', '']</v>
      </c>
      <c r="D9331" s="3">
        <v>5.0</v>
      </c>
    </row>
    <row r="9332" ht="15.75" customHeight="1">
      <c r="A9332" s="1">
        <v>9946.0</v>
      </c>
      <c r="B9332" s="3" t="s">
        <v>8962</v>
      </c>
      <c r="C9332" s="3" t="str">
        <f>IFERROR(__xludf.DUMMYFUNCTION("GOOGLETRANSLATE(B9332,""id"",""en"")"),"['Easy', 'Dlam', 'Purchase', 'Package']")</f>
        <v>['Easy', 'Dlam', 'Purchase', 'Package']</v>
      </c>
      <c r="D9332" s="3">
        <v>5.0</v>
      </c>
    </row>
    <row r="9333" ht="15.75" customHeight="1">
      <c r="A9333" s="1">
        <v>9947.0</v>
      </c>
      <c r="B9333" s="3" t="s">
        <v>8963</v>
      </c>
      <c r="C9333" s="3" t="str">
        <f>IFERROR(__xludf.DUMMYFUNCTION("GOOGLETRANSLATE(B9333,""id"",""en"")"),"['Please', 'Sorry', 'Min', 'Price', 'Telkomsel', 'Very', 'Telkomsel', 'Please', 'Enlightenment', 'Min', ""]")</f>
        <v>['Please', 'Sorry', 'Min', 'Price', 'Telkomsel', 'Very', 'Telkomsel', 'Please', 'Enlightenment', 'Min', "]</v>
      </c>
      <c r="D9333" s="3">
        <v>2.0</v>
      </c>
    </row>
    <row r="9334" ht="15.75" customHeight="1">
      <c r="A9334" s="1">
        <v>9950.0</v>
      </c>
      <c r="B9334" s="3" t="s">
        <v>8964</v>
      </c>
      <c r="C9334" s="3" t="str">
        <f>IFERROR(__xludf.DUMMYFUNCTION("GOOGLETRANSLATE(B9334,""id"",""en"")"),"['mantaf', 'easy']")</f>
        <v>['mantaf', 'easy']</v>
      </c>
      <c r="D9334" s="3">
        <v>5.0</v>
      </c>
    </row>
    <row r="9335" ht="15.75" customHeight="1">
      <c r="A9335" s="1">
        <v>9951.0</v>
      </c>
      <c r="B9335" s="3" t="s">
        <v>8965</v>
      </c>
      <c r="C9335" s="3" t="str">
        <f>IFERROR(__xludf.DUMMYFUNCTION("GOOGLETRANSLATE(B9335,""id"",""en"")"),"['Apliaty', 'Open', 'Susha', 'Delete', 'Download']")</f>
        <v>['Apliaty', 'Open', 'Susha', 'Delete', 'Download']</v>
      </c>
      <c r="D9335" s="3">
        <v>1.0</v>
      </c>
    </row>
    <row r="9336" ht="15.75" customHeight="1">
      <c r="A9336" s="1">
        <v>9952.0</v>
      </c>
      <c r="B9336" s="3" t="s">
        <v>8966</v>
      </c>
      <c r="C9336" s="3" t="str">
        <f>IFERROR(__xludf.DUMMYFUNCTION("GOOGLETRANSLATE(B9336,""id"",""en"")"),"['APK', 'opened', 'update', 'kayak', 'gini']")</f>
        <v>['APK', 'opened', 'update', 'kayak', 'gini']</v>
      </c>
      <c r="D9336" s="3">
        <v>1.0</v>
      </c>
    </row>
    <row r="9337" ht="15.75" customHeight="1">
      <c r="A9337" s="1">
        <v>9953.0</v>
      </c>
      <c r="B9337" s="3" t="s">
        <v>8967</v>
      </c>
      <c r="C9337" s="3" t="str">
        <f>IFERROR(__xludf.DUMMYFUNCTION("GOOGLETRANSLATE(B9337,""id"",""en"")"),"['signal', 'ugly', 'mulu', 'in the city', 'auto', 'moved', 'bye', 'bye', 'Telkomsel', '']")</f>
        <v>['signal', 'ugly', 'mulu', 'in the city', 'auto', 'moved', 'bye', 'bye', 'Telkomsel', '']</v>
      </c>
      <c r="D9337" s="3">
        <v>1.0</v>
      </c>
    </row>
    <row r="9338" ht="15.75" customHeight="1">
      <c r="A9338" s="1">
        <v>9954.0</v>
      </c>
      <c r="B9338" s="3" t="s">
        <v>8968</v>
      </c>
      <c r="C9338" s="3" t="str">
        <f>IFERROR(__xludf.DUMMYFUNCTION("GOOGLETRANSLATE(B9338,""id"",""en"")"),"['Credit', 'Sumpot', 'Mulu', 'Ashu', 'Sumpot', 'Ampe', 'How', 'Buy', 'Package', 'Kyli', 'emang']")</f>
        <v>['Credit', 'Sumpot', 'Mulu', 'Ashu', 'Sumpot', 'Ampe', 'How', 'Buy', 'Package', 'Kyli', 'emang']</v>
      </c>
      <c r="D9338" s="3">
        <v>1.0</v>
      </c>
    </row>
    <row r="9339" ht="15.75" customHeight="1">
      <c r="A9339" s="1">
        <v>9955.0</v>
      </c>
      <c r="B9339" s="3" t="s">
        <v>8969</v>
      </c>
      <c r="C9339" s="3" t="str">
        <f>IFERROR(__xludf.DUMMYFUNCTION("GOOGLETRANSLATE(B9339,""id"",""en"")"),"['Service', 'Network', 'Serasa', 'Telkomsel', ""]")</f>
        <v>['Service', 'Network', 'Serasa', 'Telkomsel', "]</v>
      </c>
      <c r="D9339" s="3">
        <v>1.0</v>
      </c>
    </row>
    <row r="9340" ht="15.75" customHeight="1">
      <c r="A9340" s="1">
        <v>9956.0</v>
      </c>
      <c r="B9340" s="3" t="s">
        <v>8970</v>
      </c>
      <c r="C9340" s="3" t="str">
        <f>IFERROR(__xludf.DUMMYFUNCTION("GOOGLETRANSLATE(B9340,""id"",""en"")"),"['here', 'network', 'Telkomsel', 'BURIK', 'price', 'package', 'expensive', '']")</f>
        <v>['here', 'network', 'Telkomsel', 'BURIK', 'price', 'package', 'expensive', '']</v>
      </c>
      <c r="D9340" s="3">
        <v>1.0</v>
      </c>
    </row>
    <row r="9341" ht="15.75" customHeight="1">
      <c r="A9341" s="1">
        <v>9957.0</v>
      </c>
      <c r="B9341" s="3" t="s">
        <v>8971</v>
      </c>
      <c r="C9341" s="3" t="str">
        <f>IFERROR(__xludf.DUMMYFUNCTION("GOOGLETRANSLATE(B9341,""id"",""en"")"),"['like', 'notification', 'promo', 'right', 'click', 'promo', 'not', 'found', 'full', 'in', 'notification', ""]")</f>
        <v>['like', 'notification', 'promo', 'right', 'click', 'promo', 'not', 'found', 'full', 'in', 'notification', "]</v>
      </c>
      <c r="D9341" s="3">
        <v>2.0</v>
      </c>
    </row>
    <row r="9342" ht="15.75" customHeight="1">
      <c r="A9342" s="1">
        <v>9958.0</v>
      </c>
      <c r="B9342" s="3" t="s">
        <v>8972</v>
      </c>
      <c r="C9342" s="3" t="str">
        <f>IFERROR(__xludf.DUMMYFUNCTION("GOOGLETRANSLATE(B9342,""id"",""en"")"),"['Update', 'TKS', 'Telkomsel']")</f>
        <v>['Update', 'TKS', 'Telkomsel']</v>
      </c>
      <c r="D9342" s="3">
        <v>5.0</v>
      </c>
    </row>
    <row r="9343" ht="15.75" customHeight="1">
      <c r="A9343" s="1">
        <v>9959.0</v>
      </c>
      <c r="B9343" s="3" t="s">
        <v>8973</v>
      </c>
      <c r="C9343" s="3" t="str">
        <f>IFERROR(__xludf.DUMMYFUNCTION("GOOGLETRANSLATE(B9343,""id"",""en"")"),"['use', 'Telkomsel', 'update', 'not', 'opened', 'times',' Install ',' reset ',' tetep ',' no ',' open ',' screen ',' Saza ',' White ',' Ttidak ',' Change ',' Please ',' Repaired ',' Opens', 'Ngeblank', 'Uninstall', ""]")</f>
        <v>['use', 'Telkomsel', 'update', 'not', 'opened', 'times',' Install ',' reset ',' tetep ',' no ',' open ',' screen ',' Saza ',' White ',' Ttidak ',' Change ',' Please ',' Repaired ',' Opens', 'Ngeblank', 'Uninstall', "]</v>
      </c>
      <c r="D9343" s="3">
        <v>2.0</v>
      </c>
    </row>
    <row r="9344" ht="15.75" customHeight="1">
      <c r="A9344" s="1">
        <v>9960.0</v>
      </c>
      <c r="B9344" s="3" t="s">
        <v>8974</v>
      </c>
      <c r="C9344" s="3" t="str">
        <f>IFERROR(__xludf.DUMMYFUNCTION("GOOGLETRANSLATE(B9344,""id"",""en"")"),"['Love', 'Star', 'Love', 'Bintang', 'Combo', 'Sakti', 'Unlimited', 'Limitation', 'Internet', 'National', 'Price', 'Package', ' Data ',' expensive ',' GB ',' expensive ',' customers', 'change', 'provider', '']")</f>
        <v>['Love', 'Star', 'Love', 'Bintang', 'Combo', 'Sakti', 'Unlimited', 'Limitation', 'Internet', 'National', 'Price', 'Package', ' Data ',' expensive ',' GB ',' expensive ',' customers', 'change', 'provider', '']</v>
      </c>
      <c r="D9344" s="3">
        <v>1.0</v>
      </c>
    </row>
    <row r="9345" ht="15.75" customHeight="1">
      <c r="A9345" s="1">
        <v>9961.0</v>
      </c>
      <c r="B9345" s="3" t="s">
        <v>8975</v>
      </c>
      <c r="C9345" s="3" t="str">
        <f>IFERROR(__xludf.DUMMYFUNCTION("GOOGLETRANSLATE(B9345,""id"",""en"")"),"['signal', 'down', 'consistent', 'signal', 'strong', 'hem', ""]")</f>
        <v>['signal', 'down', 'consistent', 'signal', 'strong', 'hem', "]</v>
      </c>
      <c r="D9345" s="3">
        <v>2.0</v>
      </c>
    </row>
    <row r="9346" ht="15.75" customHeight="1">
      <c r="A9346" s="1">
        <v>9962.0</v>
      </c>
      <c r="B9346" s="3" t="s">
        <v>8976</v>
      </c>
      <c r="C9346" s="3" t="str">
        <f>IFERROR(__xludf.DUMMYFUNCTION("GOOGLETRANSLATE(B9346,""id"",""en"")"),"['Gabisa', 'Open', 'APK']")</f>
        <v>['Gabisa', 'Open', 'APK']</v>
      </c>
      <c r="D9346" s="3">
        <v>1.0</v>
      </c>
    </row>
    <row r="9347" ht="15.75" customHeight="1">
      <c r="A9347" s="1">
        <v>9963.0</v>
      </c>
      <c r="B9347" s="3" t="s">
        <v>8977</v>
      </c>
      <c r="C9347" s="3" t="str">
        <f>IFERROR(__xludf.DUMMYFUNCTION("GOOGLETRANSLATE(B9347,""id"",""en"")"),"['update', 'steady']")</f>
        <v>['update', 'steady']</v>
      </c>
      <c r="D9347" s="3">
        <v>5.0</v>
      </c>
    </row>
    <row r="9348" ht="15.75" customHeight="1">
      <c r="A9348" s="1">
        <v>9964.0</v>
      </c>
      <c r="B9348" s="3" t="s">
        <v>8978</v>
      </c>
      <c r="C9348" s="3" t="str">
        <f>IFERROR(__xludf.DUMMYFUNCTION("GOOGLETRANSLATE(B9348,""id"",""en"")"),"['Telkomsel', 'emang', 'good', 'ahir', 'ahir', 'network', 'internet', 'minimal', 'play', 'game', 'pub', 'connection', ' Ngg ',' smooth ',' PDAH ',' buy ',' quota ',' Not bad ',' expensive ',' please ',' Telkomsel ',' stingy ', ""]")</f>
        <v>['Telkomsel', 'emang', 'good', 'ahir', 'ahir', 'network', 'internet', 'minimal', 'play', 'game', 'pub', 'connection', ' Ngg ',' smooth ',' PDAH ',' buy ',' quota ',' Not bad ',' expensive ',' please ',' Telkomsel ',' stingy ', "]</v>
      </c>
      <c r="D9348" s="3">
        <v>5.0</v>
      </c>
    </row>
    <row r="9349" ht="15.75" customHeight="1">
      <c r="A9349" s="1">
        <v>9965.0</v>
      </c>
      <c r="B9349" s="3" t="s">
        <v>8979</v>
      </c>
      <c r="C9349" s="3" t="str">
        <f>IFERROR(__xludf.DUMMYFUNCTION("GOOGLETRANSLATE(B9349,""id"",""en"")"),"['Troubled']")</f>
        <v>['Troubled']</v>
      </c>
      <c r="D9349" s="3">
        <v>1.0</v>
      </c>
    </row>
    <row r="9350" ht="15.75" customHeight="1">
      <c r="A9350" s="1">
        <v>9966.0</v>
      </c>
      <c r="B9350" s="3" t="s">
        <v>8980</v>
      </c>
      <c r="C9350" s="3" t="str">
        <f>IFERROR(__xludf.DUMMYFUNCTION("GOOGLETRANSLATE(B9350,""id"",""en"")"),"['Severe', 'Network', 'ugly', 'Bad', 'Network', 'Telkomsel', '']")</f>
        <v>['Severe', 'Network', 'ugly', 'Bad', 'Network', 'Telkomsel', '']</v>
      </c>
      <c r="D9350" s="3">
        <v>1.0</v>
      </c>
    </row>
    <row r="9351" ht="15.75" customHeight="1">
      <c r="A9351" s="1">
        <v>9967.0</v>
      </c>
      <c r="B9351" s="3" t="s">
        <v>8981</v>
      </c>
      <c r="C9351" s="3" t="str">
        <f>IFERROR(__xludf.DUMMYFUNCTION("GOOGLETRANSLATE(B9351,""id"",""en"")"),"['Mantul', 'easy', 'hopefully', 'in the future']")</f>
        <v>['Mantul', 'easy', 'hopefully', 'in the future']</v>
      </c>
      <c r="D9351" s="3">
        <v>5.0</v>
      </c>
    </row>
    <row r="9352" ht="15.75" customHeight="1">
      <c r="A9352" s="1">
        <v>9968.0</v>
      </c>
      <c r="B9352" s="3" t="s">
        <v>8982</v>
      </c>
      <c r="C9352" s="3" t="str">
        <f>IFERROR(__xludf.DUMMYFUNCTION("GOOGLETRANSLATE(B9352,""id"",""en"")"),"['already', 'package', 'price', 'fast', 'rotten', 'connection', 'internet', 'Males', 'Pakek', 'Telkomsel', ""]")</f>
        <v>['already', 'package', 'price', 'fast', 'rotten', 'connection', 'internet', 'Males', 'Pakek', 'Telkomsel', "]</v>
      </c>
      <c r="D9352" s="3">
        <v>1.0</v>
      </c>
    </row>
    <row r="9353" ht="15.75" customHeight="1">
      <c r="A9353" s="1">
        <v>9969.0</v>
      </c>
      <c r="B9353" s="3" t="s">
        <v>8983</v>
      </c>
      <c r="C9353" s="3" t="str">
        <f>IFERROR(__xludf.DUMMYFUNCTION("GOOGLETRANSLATE(B9353,""id"",""en"")"),"['appears', 'ad', 'application', 'Telkomsel', 'please', 'fix', 'bug', 'interfere', 'fix', 'love', 'rating', '']")</f>
        <v>['appears', 'ad', 'application', 'Telkomsel', 'please', 'fix', 'bug', 'interfere', 'fix', 'love', 'rating', '']</v>
      </c>
      <c r="D9353" s="3">
        <v>1.0</v>
      </c>
    </row>
    <row r="9354" ht="15.75" customHeight="1">
      <c r="A9354" s="1">
        <v>9971.0</v>
      </c>
      <c r="B9354" s="3" t="s">
        <v>8462</v>
      </c>
      <c r="C9354" s="3" t="str">
        <f>IFERROR(__xludf.DUMMYFUNCTION("GOOGLETRANSLATE(B9354,""id"",""en"")"),"['Opened', 'The application']")</f>
        <v>['Opened', 'The application']</v>
      </c>
      <c r="D9354" s="3">
        <v>1.0</v>
      </c>
    </row>
    <row r="9355" ht="15.75" customHeight="1">
      <c r="A9355" s="1">
        <v>9972.0</v>
      </c>
      <c r="B9355" s="3" t="s">
        <v>8984</v>
      </c>
      <c r="C9355" s="3" t="str">
        <f>IFERROR(__xludf.DUMMYFUNCTION("GOOGLETRANSLATE(B9355,""id"",""en"")"),"['Update', 'blank', 'white', 'access',' signal ',' down ',' Hadehhhhhhhhhhhhhhhhhhhhhhhhhhhhhhhhhhhhhhhhhhhhhhhhhhhhhhhhhhhhhhhhhhhhhhhhhhhhhhhhhhhhhhhhhhhhhhhhhhhhhhhhhhhhhhhhhhhhhhhhhhhhhhhhhhhhhhhhhhhhhhhhhhhhhhhhhhhhhhhhhhhhh ',' mah ',' address', 'mi"&amp;"ss',' check ',' point ',' For days, '']")</f>
        <v>['Update', 'blank', 'white', 'access',' signal ',' down ',' Hadehhhhhhhhhhhhhhhhhhhhhhhhhhhhhhhhhhhhhhhhhhhhhhhhhhhhhhhhhhhhhhhhhhhhhhhhhhhhhhhhhhhhhhhhhhhhhhhhhhhhhhhhhhhhhhhhhhhhhhhhhhhhhhhhhhhhhhhhhhhhhhhhhhhhhhhhhhhhhhhhhhhhh ',' mah ',' address', 'miss',' check ',' point ',' For days, '']</v>
      </c>
      <c r="D9355" s="3">
        <v>1.0</v>
      </c>
    </row>
    <row r="9356" ht="15.75" customHeight="1">
      <c r="A9356" s="1">
        <v>9973.0</v>
      </c>
      <c r="B9356" s="3" t="s">
        <v>8985</v>
      </c>
      <c r="C9356" s="3" t="str">
        <f>IFERROR(__xludf.DUMMYFUNCTION("GOOGLETRANSLATE(B9356,""id"",""en"")"),"['Disappointed', 'Telkomsel', 'Sekrang', 'Network', 'ugly', 'price', 'pulse', 'quota', 'vocer', 'etc.', 'expensive', 'please', ' repaired ',' price ',' expensive ',' service ',' satisfying ',' beg ',' actioned ',' thank you ', ""]")</f>
        <v>['Disappointed', 'Telkomsel', 'Sekrang', 'Network', 'ugly', 'price', 'pulse', 'quota', 'vocer', 'etc.', 'expensive', 'please', ' repaired ',' price ',' expensive ',' service ',' satisfying ',' beg ',' actioned ',' thank you ', "]</v>
      </c>
      <c r="D9356" s="3">
        <v>2.0</v>
      </c>
    </row>
    <row r="9357" ht="15.75" customHeight="1">
      <c r="A9357" s="1">
        <v>9974.0</v>
      </c>
      <c r="B9357" s="3" t="s">
        <v>8986</v>
      </c>
      <c r="C9357" s="3" t="str">
        <f>IFERROR(__xludf.DUMMYFUNCTION("GOOGLETRANSLATE(B9357,""id"",""en"")"),"['Save', 'Teklomsel']")</f>
        <v>['Save', 'Teklomsel']</v>
      </c>
      <c r="D9357" s="3">
        <v>4.0</v>
      </c>
    </row>
    <row r="9358" ht="15.75" customHeight="1">
      <c r="A9358" s="1">
        <v>9975.0</v>
      </c>
      <c r="B9358" s="3" t="s">
        <v>8987</v>
      </c>
      <c r="C9358" s="3" t="str">
        <f>IFERROR(__xludf.DUMMYFUNCTION("GOOGLETRANSLATE(B9358,""id"",""en"")"),"['The application', 'open', 'already', 'unintall', '']")</f>
        <v>['The application', 'open', 'already', 'unintall', '']</v>
      </c>
      <c r="D9358" s="3">
        <v>2.0</v>
      </c>
    </row>
    <row r="9359" ht="15.75" customHeight="1">
      <c r="A9359" s="1">
        <v>9976.0</v>
      </c>
      <c r="B9359" s="3" t="s">
        <v>8988</v>
      </c>
      <c r="C9359" s="3" t="str">
        <f>IFERROR(__xludf.DUMMYFUNCTION("GOOGLETRANSLATE(B9359,""id"",""en"")"),"['Nomiking', 'Doank']")</f>
        <v>['Nomiking', 'Doank']</v>
      </c>
      <c r="D9359" s="3">
        <v>1.0</v>
      </c>
    </row>
    <row r="9360" ht="15.75" customHeight="1">
      <c r="A9360" s="1">
        <v>9977.0</v>
      </c>
      <c r="B9360" s="3" t="s">
        <v>8989</v>
      </c>
      <c r="C9360" s="3" t="str">
        <f>IFERROR(__xludf.DUMMYFUNCTION("GOOGLETRANSLATE(B9360,""id"",""en"")"),"['Sorry', 'really', 'expensive', 'that's',' offer ',' price ',' data ',' consistent ',' extra ',' pulse ',' that's', 'chick', ' Quota ',' Internet ',' Nelfon ',' SMS ',' Cut ',' UDH ',' Check ',' Cuman ',' Looks', 'Rates',' Cut ',' Doang ',' Gaada ' , 'Tr"&amp;"ansaction', 'AUTHING', '']")</f>
        <v>['Sorry', 'really', 'expensive', 'that's',' offer ',' price ',' data ',' consistent ',' extra ',' pulse ',' that's', 'chick', ' Quota ',' Internet ',' Nelfon ',' SMS ',' Cut ',' UDH ',' Check ',' Cuman ',' Looks', 'Rates',' Cut ',' Doang ',' Gaada ' , 'Transaction', 'AUTHING', '']</v>
      </c>
      <c r="D9360" s="3">
        <v>2.0</v>
      </c>
    </row>
    <row r="9361" ht="15.75" customHeight="1">
      <c r="A9361" s="1">
        <v>9978.0</v>
      </c>
      <c r="B9361" s="3" t="s">
        <v>8990</v>
      </c>
      <c r="C9361" s="3" t="str">
        <f>IFERROR(__xludf.DUMMYFUNCTION("GOOGLETRANSLATE(B9361,""id"",""en"")"),"['cave', 'buy', 'package', 'internet', 'price', 'rb', 'month', 'tissue', 'tmbh', 'lag', 'severe', 'already', ' The network is', 'Gini', 'Telkomsel', 'already', 'expensive', 'package', 'network', 'lag', 'buy', 'package', 'quota', 'internet', 'Telkomselku' "&amp;", 'Msih', 'Hbis', 'loss', 'cave', 'klau', 'gini', 'poor', '']")</f>
        <v>['cave', 'buy', 'package', 'internet', 'price', 'rb', 'month', 'tissue', 'tmbh', 'lag', 'severe', 'already', ' The network is', 'Gini', 'Telkomsel', 'already', 'expensive', 'package', 'network', 'lag', 'buy', 'package', 'quota', 'internet', 'Telkomselku' , 'Msih', 'Hbis', 'loss', 'cave', 'klau', 'gini', 'poor', '']</v>
      </c>
      <c r="D9361" s="3">
        <v>1.0</v>
      </c>
    </row>
    <row r="9362" ht="15.75" customHeight="1">
      <c r="A9362" s="1">
        <v>9979.0</v>
      </c>
      <c r="B9362" s="3" t="s">
        <v>8991</v>
      </c>
      <c r="C9362" s="3" t="str">
        <f>IFERROR(__xludf.DUMMYFUNCTION("GOOGLETRANSLATE(B9362,""id"",""en"")"),"['Telkomsel', 'network', 'slow', 'really', 'need', 'right', 'told', 'send', 'Link', 'Telkomsel', 'Udh', 'Ngk', ' healthy ',' Mending ',' Reporning ',' Down ',' branch ']")</f>
        <v>['Telkomsel', 'network', 'slow', 'really', 'need', 'right', 'told', 'send', 'Link', 'Telkomsel', 'Udh', 'Ngk', ' healthy ',' Mending ',' Reporning ',' Down ',' branch ']</v>
      </c>
      <c r="D9362" s="3">
        <v>1.0</v>
      </c>
    </row>
    <row r="9363" ht="15.75" customHeight="1">
      <c r="A9363" s="1">
        <v>9980.0</v>
      </c>
      <c r="B9363" s="3" t="s">
        <v>8992</v>
      </c>
      <c r="C9363" s="3" t="str">
        <f>IFERROR(__xludf.DUMMYFUNCTION("GOOGLETRANSLATE(B9363,""id"",""en"")"),"['mantappp', '']")</f>
        <v>['mantappp', '']</v>
      </c>
      <c r="D9363" s="3">
        <v>5.0</v>
      </c>
    </row>
    <row r="9364" ht="15.75" customHeight="1">
      <c r="A9364" s="1">
        <v>9981.0</v>
      </c>
      <c r="B9364" s="3" t="s">
        <v>8993</v>
      </c>
      <c r="C9364" s="3" t="str">
        <f>IFERROR(__xludf.DUMMYFUNCTION("GOOGLETRANSLATE(B9364,""id"",""en"")"),"['Telkomsel', 'Okey', 'MJD', 'Pelangement', 'loyal', 'old', 'Unfortunately', 'BLM', 'DPT', 'Gift', 'Tuker', 'Points',' ']")</f>
        <v>['Telkomsel', 'Okey', 'MJD', 'Pelangement', 'loyal', 'old', 'Unfortunately', 'BLM', 'DPT', 'Gift', 'Tuker', 'Points',' ']</v>
      </c>
      <c r="D9364" s="3">
        <v>5.0</v>
      </c>
    </row>
    <row r="9365" ht="15.75" customHeight="1">
      <c r="A9365" s="1">
        <v>9982.0</v>
      </c>
      <c r="B9365" s="3" t="s">
        <v>8994</v>
      </c>
      <c r="C9365" s="3" t="str">
        <f>IFERROR(__xludf.DUMMYFUNCTION("GOOGLETRANSLATE(B9365,""id"",""en"")"),"['appears',' white ',' Berih ',' access', 'then', 'point', 'ilang', 'looked', 'package', 'cheap', 'application', 'it's hard', ' ']")</f>
        <v>['appears',' white ',' Berih ',' access', 'then', 'point', 'ilang', 'looked', 'package', 'cheap', 'application', 'it's hard', ' ']</v>
      </c>
      <c r="D9365" s="3">
        <v>2.0</v>
      </c>
    </row>
    <row r="9366" ht="15.75" customHeight="1">
      <c r="A9366" s="1">
        <v>9983.0</v>
      </c>
      <c r="B9366" s="3" t="s">
        <v>8995</v>
      </c>
      <c r="C9366" s="3" t="str">
        <f>IFERROR(__xludf.DUMMYFUNCTION("GOOGLETRANSLATE(B9366,""id"",""en"")"),"['silly', 'signal', 'down']")</f>
        <v>['silly', 'signal', 'down']</v>
      </c>
      <c r="D9366" s="3">
        <v>1.0</v>
      </c>
    </row>
    <row r="9367" ht="15.75" customHeight="1">
      <c r="A9367" s="1">
        <v>9984.0</v>
      </c>
      <c r="B9367" s="3" t="s">
        <v>8996</v>
      </c>
      <c r="C9367" s="3" t="str">
        <f>IFERROR(__xludf.DUMMYFUNCTION("GOOGLETRANSLATE(B9367,""id"",""en"")"),"['', 'Telkomsel', 'skrng', 'already', 'application', 'already', 'a week', 'open', 'no', 'repairs',' Telkomsel ',' please ',' prioritizes the security ', 'customer']")</f>
        <v>['', 'Telkomsel', 'skrng', 'already', 'application', 'already', 'a week', 'open', 'no', 'repairs',' Telkomsel ',' please ',' prioritizes the security ', 'customer']</v>
      </c>
      <c r="D9367" s="3">
        <v>1.0</v>
      </c>
    </row>
    <row r="9368" ht="15.75" customHeight="1">
      <c r="A9368" s="1">
        <v>9985.0</v>
      </c>
      <c r="B9368" s="3" t="s">
        <v>8997</v>
      </c>
      <c r="C9368" s="3" t="str">
        <f>IFERROR(__xludf.DUMMYFUNCTION("GOOGLETRANSLATE(B9368,""id"",""en"")"),"['steady', 'makes it easy', 'use', '']")</f>
        <v>['steady', 'makes it easy', 'use', '']</v>
      </c>
      <c r="D9368" s="3">
        <v>5.0</v>
      </c>
    </row>
    <row r="9369" ht="15.75" customHeight="1">
      <c r="A9369" s="1">
        <v>9986.0</v>
      </c>
      <c r="B9369" s="3" t="s">
        <v>8998</v>
      </c>
      <c r="C9369" s="3" t="str">
        <f>IFERROR(__xludf.DUMMYFUNCTION("GOOGLETRANSLATE(B9369,""id"",""en"")"),"['Update', 'BLM', 'Best']")</f>
        <v>['Update', 'BLM', 'Best']</v>
      </c>
      <c r="D9369" s="3">
        <v>1.0</v>
      </c>
    </row>
    <row r="9370" ht="15.75" customHeight="1">
      <c r="A9370" s="1">
        <v>9987.0</v>
      </c>
      <c r="B9370" s="3" t="s">
        <v>8999</v>
      </c>
      <c r="C9370" s="3" t="str">
        <f>IFERROR(__xludf.DUMMYFUNCTION("GOOGLETRANSLATE(B9370,""id"",""en"")"),"['KNTL', 'Jakarta', 'Dibekasi', 'Network', 'Telkomsel', 'Macem', 'Taik', 'Package', 'Doang', 'Expensive', 'The Network', 'Bad', ' ']")</f>
        <v>['KNTL', 'Jakarta', 'Dibekasi', 'Network', 'Telkomsel', 'Macem', 'Taik', 'Package', 'Doang', 'Expensive', 'The Network', 'Bad', ' ']</v>
      </c>
      <c r="D9370" s="3">
        <v>1.0</v>
      </c>
    </row>
    <row r="9371" ht="15.75" customHeight="1">
      <c r="A9371" s="1">
        <v>9988.0</v>
      </c>
      <c r="B9371" s="3" t="s">
        <v>9000</v>
      </c>
      <c r="C9371" s="3" t="str">
        <f>IFERROR(__xludf.DUMMYFUNCTION("GOOGLETRANSLATE(B9371,""id"",""en"")"),"['Help', 'Min', 'download', 'APK', 'open', 'screen', 'white', 'Please', 'responded']")</f>
        <v>['Help', 'Min', 'download', 'APK', 'open', 'screen', 'white', 'Please', 'responded']</v>
      </c>
      <c r="D9371" s="3">
        <v>1.0</v>
      </c>
    </row>
    <row r="9372" ht="15.75" customHeight="1">
      <c r="A9372" s="1">
        <v>9989.0</v>
      </c>
      <c r="B9372" s="3" t="s">
        <v>9001</v>
      </c>
      <c r="C9372" s="3" t="str">
        <f>IFERROR(__xludf.DUMMYFUNCTION("GOOGLETRANSLATE(B9372,""id"",""en"")"),"['already', 'use', 'katu', 'hello', 'kenya', 'signal', 'ugly', 'really', 'oath', 'Telkomsel', 'know', 'network', ' Good ',' hilarious', 'network', 'bad', 'really', '']")</f>
        <v>['already', 'use', 'katu', 'hello', 'kenya', 'signal', 'ugly', 'really', 'oath', 'Telkomsel', 'know', 'network', ' Good ',' hilarious', 'network', 'bad', 'really', '']</v>
      </c>
      <c r="D9372" s="3">
        <v>1.0</v>
      </c>
    </row>
    <row r="9373" ht="15.75" customHeight="1">
      <c r="A9373" s="1">
        <v>9990.0</v>
      </c>
      <c r="B9373" s="3" t="s">
        <v>9002</v>
      </c>
      <c r="C9373" s="3" t="str">
        <f>IFERROR(__xludf.DUMMYFUNCTION("GOOGLETRANSLATE(B9373,""id"",""en"")"),"['Telkomsel', 'best', 'already', 'Halpir', 'yrs',' Telkomsel ',' signal ',' smooth ',' obstacle ',' nyah ',' nlpn ',' indication ',' Promo ']")</f>
        <v>['Telkomsel', 'best', 'already', 'Halpir', 'yrs',' Telkomsel ',' signal ',' smooth ',' obstacle ',' nyah ',' nlpn ',' indication ',' Promo ']</v>
      </c>
      <c r="D9373" s="3">
        <v>5.0</v>
      </c>
    </row>
    <row r="9374" ht="15.75" customHeight="1">
      <c r="A9374" s="1">
        <v>9992.0</v>
      </c>
      <c r="B9374" s="3" t="s">
        <v>9003</v>
      </c>
      <c r="C9374" s="3" t="str">
        <f>IFERROR(__xludf.DUMMYFUNCTION("GOOGLETRANSLATE(B9374,""id"",""en"")"),"['NDK', 'star', 'ndk', 'ksi', 'star', 'slow', 'price', 'expensive', 'poor', 'moved', 'neighbor']")</f>
        <v>['NDK', 'star', 'ndk', 'ksi', 'star', 'slow', 'price', 'expensive', 'poor', 'moved', 'neighbor']</v>
      </c>
      <c r="D9374" s="3">
        <v>1.0</v>
      </c>
    </row>
    <row r="9375" ht="15.75" customHeight="1">
      <c r="A9375" s="1">
        <v>9994.0</v>
      </c>
      <c r="B9375" s="3" t="s">
        <v>9004</v>
      </c>
      <c r="C9375" s="3" t="str">
        <f>IFERROR(__xludf.DUMMYFUNCTION("GOOGLETRANSLATE(B9375,""id"",""en"")"),"['already', 'update', 'Open', 'Min', 'Loading']")</f>
        <v>['already', 'update', 'Open', 'Min', 'Loading']</v>
      </c>
      <c r="D9375" s="3">
        <v>3.0</v>
      </c>
    </row>
    <row r="9376" ht="15.75" customHeight="1">
      <c r="A9376" s="1">
        <v>9995.0</v>
      </c>
      <c r="B9376" s="3" t="s">
        <v>9005</v>
      </c>
      <c r="C9376" s="3" t="str">
        <f>IFERROR(__xludf.DUMMYFUNCTION("GOOGLETRANSLATE(B9376,""id"",""en"")"),"['Please', 'fix', 'deh', 'difficult', 'really', 'login', 'shy']")</f>
        <v>['Please', 'fix', 'deh', 'difficult', 'really', 'login', 'shy']</v>
      </c>
      <c r="D9376" s="3">
        <v>1.0</v>
      </c>
    </row>
    <row r="9377" ht="15.75" customHeight="1">
      <c r="A9377" s="1">
        <v>9996.0</v>
      </c>
      <c r="B9377" s="3" t="s">
        <v>9006</v>
      </c>
      <c r="C9377" s="3" t="str">
        <f>IFERROR(__xludf.DUMMYFUNCTION("GOOGLETRANSLATE(B9377,""id"",""en"")"),"['Severe', 'opened', 'Mobile', 'opened', 'Stuck', 'Screen', 'Blank', 'White', 'Delete', 'Cache', 'Intrial', 'reset', ' buy ',' quota ',' package ',' complete ',' application ',' love ',' star ',' choose ',' love ',' star ',' zero ', ""]")</f>
        <v>['Severe', 'opened', 'Mobile', 'opened', 'Stuck', 'Screen', 'Blank', 'White', 'Delete', 'Cache', 'Intrial', 'reset', ' buy ',' quota ',' package ',' complete ',' application ',' love ',' star ',' choose ',' love ',' star ',' zero ', "]</v>
      </c>
      <c r="D9377" s="3">
        <v>1.0</v>
      </c>
    </row>
    <row r="9378" ht="15.75" customHeight="1">
      <c r="A9378" s="1">
        <v>9997.0</v>
      </c>
      <c r="B9378" s="3" t="s">
        <v>9007</v>
      </c>
      <c r="C9378" s="3" t="str">
        <f>IFERROR(__xludf.DUMMYFUNCTION("GOOGLETRANSLATE(B9378,""id"",""en"")"),"['APK', 'opened', 'screen', 'white', 'all', 'padahalg', 'that's', '']")</f>
        <v>['APK', 'opened', 'screen', 'white', 'all', 'padahalg', 'that's', '']</v>
      </c>
      <c r="D9378" s="3">
        <v>1.0</v>
      </c>
    </row>
    <row r="9379" ht="15.75" customHeight="1">
      <c r="A9379" s="1">
        <v>9998.0</v>
      </c>
      <c r="B9379" s="3" t="s">
        <v>9008</v>
      </c>
      <c r="C9379" s="3" t="str">
        <f>IFERROR(__xludf.DUMMYFUNCTION("GOOGLETRANSLATE(B9379,""id"",""en"")"),"['Telkomsel', 'Disappointed', 'Telkomsel']")</f>
        <v>['Telkomsel', 'Disappointed', 'Telkomsel']</v>
      </c>
      <c r="D9379" s="3">
        <v>1.0</v>
      </c>
    </row>
    <row r="9380" ht="15.75" customHeight="1">
      <c r="A9380" s="1">
        <v>9999.0</v>
      </c>
      <c r="B9380" s="3" t="s">
        <v>9009</v>
      </c>
      <c r="C9380" s="3" t="str">
        <f>IFERROR(__xludf.DUMMYFUNCTION("GOOGLETRANSLATE(B9380,""id"",""en"")"),"['updete', 'the latest', 'problematic']")</f>
        <v>['updete', 'the latest', 'problematic']</v>
      </c>
      <c r="D9380" s="3">
        <v>3.0</v>
      </c>
    </row>
    <row r="9381" ht="15.75" customHeight="1">
      <c r="A9381" s="1">
        <v>10000.0</v>
      </c>
      <c r="B9381" s="3" t="s">
        <v>9010</v>
      </c>
      <c r="C9381" s="3" t="str">
        <f>IFERROR(__xludf.DUMMYFUNCTION("GOOGLETRANSLATE(B9381,""id"",""en"")"),"['Alhamdulillah', 'Telkomsel', 'price', 'get', 'quota', '']")</f>
        <v>['Alhamdulillah', 'Telkomsel', 'price', 'get', 'quota', '']</v>
      </c>
      <c r="D9381" s="3">
        <v>5.0</v>
      </c>
    </row>
    <row r="9382" ht="15.75" customHeight="1">
      <c r="A9382" s="1">
        <v>10001.0</v>
      </c>
      <c r="B9382" s="3" t="s">
        <v>9011</v>
      </c>
      <c r="C9382" s="3" t="str">
        <f>IFERROR(__xludf.DUMMYFUNCTION("GOOGLETRANSLATE(B9382,""id"",""en"")"),"['Please', 'Fix', 'Kouta', 'Games', 'Car', 'Legend', 'Adventure', 'Please', 'Game']")</f>
        <v>['Please', 'Fix', 'Kouta', 'Games', 'Car', 'Legend', 'Adventure', 'Please', 'Game']</v>
      </c>
      <c r="D9382" s="3">
        <v>5.0</v>
      </c>
    </row>
    <row r="9383" ht="15.75" customHeight="1">
      <c r="A9383" s="1">
        <v>10002.0</v>
      </c>
      <c r="B9383" s="3" t="s">
        <v>9012</v>
      </c>
      <c r="C9383" s="3" t="str">
        <f>IFERROR(__xludf.DUMMYFUNCTION("GOOGLETRANSLATE(B9383,""id"",""en"")"),"['Telkomsel', 'opened', 'Try', 'repeat', 'times', 'Try', 'Uninstall', 'Install', 'file', 'file', 'heavy']")</f>
        <v>['Telkomsel', 'opened', 'Try', 'repeat', 'times', 'Try', 'Uninstall', 'Install', 'file', 'file', 'heavy']</v>
      </c>
      <c r="D9383" s="3">
        <v>1.0</v>
      </c>
    </row>
    <row r="9384" ht="15.75" customHeight="1">
      <c r="A9384" s="1">
        <v>10003.0</v>
      </c>
      <c r="B9384" s="3" t="s">
        <v>9013</v>
      </c>
      <c r="C9384" s="3" t="str">
        <f>IFERROR(__xludf.DUMMYFUNCTION("GOOGLETRANSLATE(B9384,""id"",""en"")"),"['', 'Vitur', 'Transfer', 'Credit', 'Service', 'Wallet', 'Update', ""]")</f>
        <v>['', 'Vitur', 'Transfer', 'Credit', 'Service', 'Wallet', 'Update', "]</v>
      </c>
      <c r="D9384" s="3">
        <v>5.0</v>
      </c>
    </row>
    <row r="9385" ht="15.75" customHeight="1">
      <c r="A9385" s="1">
        <v>10004.0</v>
      </c>
      <c r="B9385" s="3" t="s">
        <v>9014</v>
      </c>
      <c r="C9385" s="3" t="str">
        <f>IFERROR(__xludf.DUMMYFUNCTION("GOOGLETRANSLATE(B9385,""id"",""en"")"),"['Good', 'Application', 'Telkomsel', 'Helping', 'Make Easy', 'People', 'Accept', 'Love', 'Telkomsel', 'Services', 'People', ""]")</f>
        <v>['Good', 'Application', 'Telkomsel', 'Helping', 'Make Easy', 'People', 'Accept', 'Love', 'Telkomsel', 'Services', 'People', "]</v>
      </c>
      <c r="D9385" s="3">
        <v>5.0</v>
      </c>
    </row>
    <row r="9386" ht="15.75" customHeight="1">
      <c r="A9386" s="1">
        <v>10005.0</v>
      </c>
      <c r="B9386" s="3" t="s">
        <v>9015</v>
      </c>
      <c r="C9386" s="3" t="str">
        <f>IFERROR(__xludf.DUMMYFUNCTION("GOOGLETRANSLATE(B9386,""id"",""en"")"),"['Help', 'makes it easier', 'service', 'Telkomsel', 'transaction', 'data', 'pulse', 'effective', '']")</f>
        <v>['Help', 'makes it easier', 'service', 'Telkomsel', 'transaction', 'data', 'pulse', 'effective', '']</v>
      </c>
      <c r="D9386" s="3">
        <v>5.0</v>
      </c>
    </row>
    <row r="9387" ht="15.75" customHeight="1">
      <c r="A9387" s="1">
        <v>10006.0</v>
      </c>
      <c r="B9387" s="3" t="s">
        <v>9016</v>
      </c>
      <c r="C9387" s="3" t="str">
        <f>IFERROR(__xludf.DUMMYFUNCTION("GOOGLETRANSLATE(B9387,""id"",""en"")"),"['Paketan', 'buy', 'expensive', 'area', 'JKRTA', 'TPI', 'internet', 'broke', 'Bkin', 'emotion', ""]")</f>
        <v>['Paketan', 'buy', 'expensive', 'area', 'JKRTA', 'TPI', 'internet', 'broke', 'Bkin', 'emotion', "]</v>
      </c>
      <c r="D9387" s="3">
        <v>1.0</v>
      </c>
    </row>
    <row r="9388" ht="15.75" customHeight="1">
      <c r="A9388" s="1">
        <v>10007.0</v>
      </c>
      <c r="B9388" s="3" t="s">
        <v>9017</v>
      </c>
      <c r="C9388" s="3" t="str">
        <f>IFERROR(__xludf.DUMMYFUNCTION("GOOGLETRANSLATE(B9388,""id"",""en"")"),"['payment', 'purchase', 'package', 'data', 'method']")</f>
        <v>['payment', 'purchase', 'package', 'data', 'method']</v>
      </c>
      <c r="D9388" s="3">
        <v>1.0</v>
      </c>
    </row>
    <row r="9389" ht="15.75" customHeight="1">
      <c r="A9389" s="1">
        <v>10008.0</v>
      </c>
      <c r="B9389" s="3" t="s">
        <v>9018</v>
      </c>
      <c r="C9389" s="3" t="str">
        <f>IFERROR(__xludf.DUMMYFUNCTION("GOOGLETRANSLATE(B9389,""id"",""en"")"),"['Towning', 'Telkomsel', 'opened', 'signal', 'error']")</f>
        <v>['Towning', 'Telkomsel', 'opened', 'signal', 'error']</v>
      </c>
      <c r="D9389" s="3">
        <v>1.0</v>
      </c>
    </row>
    <row r="9390" ht="15.75" customHeight="1">
      <c r="A9390" s="1">
        <v>10009.0</v>
      </c>
      <c r="B9390" s="3" t="s">
        <v>9019</v>
      </c>
      <c r="C9390" s="3" t="str">
        <f>IFERROR(__xludf.DUMMYFUNCTION("GOOGLETRANSLATE(B9390,""id"",""en"")"),"['Open', 'APK']")</f>
        <v>['Open', 'APK']</v>
      </c>
      <c r="D9390" s="3">
        <v>1.0</v>
      </c>
    </row>
    <row r="9391" ht="15.75" customHeight="1">
      <c r="A9391" s="1">
        <v>10010.0</v>
      </c>
      <c r="B9391" s="3" t="s">
        <v>9020</v>
      </c>
      <c r="C9391" s="3" t="str">
        <f>IFERROR(__xludf.DUMMYFUNCTION("GOOGLETRANSLATE(B9391,""id"",""en"")"),"['application', 'buy', 'package', 'forced', 'really', 'Telkomsel', 'try', 'request', 'according to']")</f>
        <v>['application', 'buy', 'package', 'forced', 'really', 'Telkomsel', 'try', 'request', 'according to']</v>
      </c>
      <c r="D9391" s="3">
        <v>1.0</v>
      </c>
    </row>
    <row r="9392" ht="15.75" customHeight="1">
      <c r="A9392" s="1">
        <v>10011.0</v>
      </c>
      <c r="B9392" s="3" t="s">
        <v>9021</v>
      </c>
      <c r="C9392" s="3" t="str">
        <f>IFERROR(__xludf.DUMMYFUNCTION("GOOGLETRANSLATE(B9392,""id"",""en"")"),"['', 'update', 'error', 'koq', 'class',' Telkomsel ',' application ',' gatot ',' rich ',' gini ',' application ',' smart ',' was so ',' smart ',' Sampe ',' Ngeblang ', ""]")</f>
        <v>['', 'update', 'error', 'koq', 'class',' Telkomsel ',' application ',' gatot ',' rich ',' gini ',' application ',' smart ',' was so ',' smart ',' Sampe ',' Ngeblang ', "]</v>
      </c>
      <c r="D9392" s="3">
        <v>1.0</v>
      </c>
    </row>
    <row r="9393" ht="15.75" customHeight="1">
      <c r="A9393" s="1">
        <v>10012.0</v>
      </c>
      <c r="B9393" s="3" t="s">
        <v>9022</v>
      </c>
      <c r="C9393" s="3" t="str">
        <f>IFERROR(__xludf.DUMMYFUNCTION("GOOGLETRANSLATE(B9393,""id"",""en"")"),"['Network', 'stable', 'streaming', 'buffering', 'game', 'lag', 'drop', 'fps',' package ',' renamed ',' Quality ',' network ',' Drop ']")</f>
        <v>['Network', 'stable', 'streaming', 'buffering', 'game', 'lag', 'drop', 'fps',' package ',' renamed ',' Quality ',' network ',' Drop ']</v>
      </c>
      <c r="D9393" s="3">
        <v>1.0</v>
      </c>
    </row>
    <row r="9394" ht="15.75" customHeight="1">
      <c r="A9394" s="1">
        <v>10013.0</v>
      </c>
      <c r="B9394" s="3" t="s">
        <v>9023</v>
      </c>
      <c r="C9394" s="3" t="str">
        <f>IFERROR(__xludf.DUMMYFUNCTION("GOOGLETRANSLATE(B9394,""id"",""en"")"),"['Times', 'Karna', 'Service', 'Public', 'Telkomsel', 'Good']")</f>
        <v>['Times', 'Karna', 'Service', 'Public', 'Telkomsel', 'Good']</v>
      </c>
      <c r="D9394" s="3">
        <v>5.0</v>
      </c>
    </row>
    <row r="9395" ht="15.75" customHeight="1">
      <c r="A9395" s="1">
        <v>10014.0</v>
      </c>
      <c r="B9395" s="3" t="s">
        <v>9024</v>
      </c>
      <c r="C9395" s="3" t="str">
        <f>IFERROR(__xludf.DUMMYFUNCTION("GOOGLETRANSLATE(B9395,""id"",""en"")"),"['Application', 'gabisa', 'opened', 'Samsung', 'update', ""]")</f>
        <v>['Application', 'gabisa', 'opened', 'Samsung', 'update', "]</v>
      </c>
      <c r="D9395" s="3">
        <v>1.0</v>
      </c>
    </row>
    <row r="9396" ht="15.75" customHeight="1">
      <c r="A9396" s="1">
        <v>10015.0</v>
      </c>
      <c r="B9396" s="3" t="s">
        <v>9025</v>
      </c>
      <c r="C9396" s="3" t="str">
        <f>IFERROR(__xludf.DUMMYFUNCTION("GOOGLETRANSLATE(B9396,""id"",""en"")"),"['poor', 'poor']")</f>
        <v>['poor', 'poor']</v>
      </c>
      <c r="D9396" s="3">
        <v>1.0</v>
      </c>
    </row>
    <row r="9397" ht="15.75" customHeight="1">
      <c r="A9397" s="1">
        <v>10016.0</v>
      </c>
      <c r="B9397" s="3" t="s">
        <v>9026</v>
      </c>
      <c r="C9397" s="3" t="str">
        <f>IFERROR(__xludf.DUMMYFUNCTION("GOOGLETRANSLATE(B9397,""id"",""en"")"),"['MGGU', 'Open', 'APK', 'Difficult', 'Bener', 'Uninstall', 'Tide', 'BLENG', 'APK', 'Please', 'Upadate', 'Bener', ' ']")</f>
        <v>['MGGU', 'Open', 'APK', 'Difficult', 'Bener', 'Uninstall', 'Tide', 'BLENG', 'APK', 'Please', 'Upadate', 'Bener', ' ']</v>
      </c>
      <c r="D9397" s="3">
        <v>2.0</v>
      </c>
    </row>
    <row r="9398" ht="15.75" customHeight="1">
      <c r="A9398" s="1">
        <v>10017.0</v>
      </c>
      <c r="B9398" s="3" t="s">
        <v>9027</v>
      </c>
      <c r="C9398" s="3" t="str">
        <f>IFERROR(__xludf.DUMMYFUNCTION("GOOGLETRANSLATE(B9398,""id"",""en"")"),"['Android', 'Support', 'Error', 'Application', 'Open']")</f>
        <v>['Android', 'Support', 'Error', 'Application', 'Open']</v>
      </c>
      <c r="D9398" s="3">
        <v>2.0</v>
      </c>
    </row>
    <row r="9399" ht="15.75" customHeight="1">
      <c r="A9399" s="1">
        <v>10018.0</v>
      </c>
      <c r="B9399" s="3" t="s">
        <v>9028</v>
      </c>
      <c r="C9399" s="3" t="str">
        <f>IFERROR(__xludf.DUMMYFUNCTION("GOOGLETRANSLATE(B9399,""id"",""en"")"),"['opened', 'dhpku', 'updated']")</f>
        <v>['opened', 'dhpku', 'updated']</v>
      </c>
      <c r="D9399" s="3">
        <v>5.0</v>
      </c>
    </row>
    <row r="9400" ht="15.75" customHeight="1">
      <c r="A9400" s="1">
        <v>10019.0</v>
      </c>
      <c r="B9400" s="3" t="s">
        <v>9029</v>
      </c>
      <c r="C9400" s="3" t="str">
        <f>IFERROR(__xludf.DUMMYFUNCTION("GOOGLETRANSLATE(B9400,""id"",""en"")"),"['claim', 'reward', 'quota', 'internet', 'GB', 'apply', 'dipake', 'pulse', 'regular', 'chick', 'surge', ""]")</f>
        <v>['claim', 'reward', 'quota', 'internet', 'GB', 'apply', 'dipake', 'pulse', 'regular', 'chick', 'surge', "]</v>
      </c>
      <c r="D9400" s="3">
        <v>2.0</v>
      </c>
    </row>
    <row r="9401" ht="15.75" customHeight="1">
      <c r="A9401" s="1">
        <v>10020.0</v>
      </c>
      <c r="B9401" s="3" t="s">
        <v>9030</v>
      </c>
      <c r="C9401" s="3" t="str">
        <f>IFERROR(__xludf.DUMMYFUNCTION("GOOGLETRANSLATE(B9401,""id"",""en"")"),"['Forced', 'love', 'star', 'deh', 'update', 'open', 'already', 'no', 'open', 'screen', 'white', ""]")</f>
        <v>['Forced', 'love', 'star', 'deh', 'update', 'open', 'already', 'no', 'open', 'screen', 'white', "]</v>
      </c>
      <c r="D9401" s="3">
        <v>1.0</v>
      </c>
    </row>
    <row r="9402" ht="15.75" customHeight="1">
      <c r="A9402" s="1">
        <v>10021.0</v>
      </c>
      <c r="B9402" s="3" t="s">
        <v>9031</v>
      </c>
      <c r="C9402" s="3" t="str">
        <f>IFERROR(__xludf.DUMMYFUNCTION("GOOGLETRANSLATE(B9402,""id"",""en"")"),"['The application', 'blank', 'opened', 'Reinstall', 'please', 'repaired']")</f>
        <v>['The application', 'blank', 'opened', 'Reinstall', 'please', 'repaired']</v>
      </c>
      <c r="D9402" s="3">
        <v>3.0</v>
      </c>
    </row>
    <row r="9403" ht="15.75" customHeight="1">
      <c r="A9403" s="1">
        <v>10022.0</v>
      </c>
      <c r="B9403" s="3" t="s">
        <v>9032</v>
      </c>
      <c r="C9403" s="3" t="str">
        <f>IFERROR(__xludf.DUMMYFUNCTION("GOOGLETRANSLATE(B9403,""id"",""en"")"),"['Application', 'opened', 'Samsung', ""]")</f>
        <v>['Application', 'opened', 'Samsung', "]</v>
      </c>
      <c r="D9403" s="3">
        <v>1.0</v>
      </c>
    </row>
    <row r="9404" ht="15.75" customHeight="1">
      <c r="A9404" s="1">
        <v>10023.0</v>
      </c>
      <c r="B9404" s="3" t="s">
        <v>777</v>
      </c>
      <c r="C9404" s="3" t="str">
        <f>IFERROR(__xludf.DUMMYFUNCTION("GOOGLETRANSLATE(B9404,""id"",""en"")"),"['Application', 'Good', '']")</f>
        <v>['Application', 'Good', '']</v>
      </c>
      <c r="D9404" s="3">
        <v>5.0</v>
      </c>
    </row>
    <row r="9405" ht="15.75" customHeight="1">
      <c r="A9405" s="1">
        <v>10024.0</v>
      </c>
      <c r="B9405" s="3" t="s">
        <v>9033</v>
      </c>
      <c r="C9405" s="3" t="str">
        <f>IFERROR(__xludf.DUMMYFUNCTION("GOOGLETRANSLATE(B9405,""id"",""en"")"),"['min', 'telkon', 'gimanaa', 'sihhh', 'screen', 'white', 'gajelas',' really ',' please ',' benerin ',' buy ',' quota ',' Delayed ',' Ama ',' Ginian ',' HRUS ',' NGEVING ',' MIMIN ',' MIMIN ',' CONTACT ',' Orng ',' Buyer ',' Nidak ',' Ahk ']")</f>
        <v>['min', 'telkon', 'gimanaa', 'sihhh', 'screen', 'white', 'gajelas',' really ',' please ',' benerin ',' buy ',' quota ',' Delayed ',' Ama ',' Ginian ',' HRUS ',' NGEVING ',' MIMIN ',' MIMIN ',' CONTACT ',' Orng ',' Buyer ',' Nidak ',' Ahk ']</v>
      </c>
      <c r="D9405" s="3">
        <v>1.0</v>
      </c>
    </row>
    <row r="9406" ht="15.75" customHeight="1">
      <c r="A9406" s="1">
        <v>10025.0</v>
      </c>
      <c r="B9406" s="3" t="s">
        <v>9034</v>
      </c>
      <c r="C9406" s="3" t="str">
        <f>IFERROR(__xludf.DUMMYFUNCTION("GOOGLETRANSLATE(B9406,""id"",""en"")"),"['convenience', 'access']")</f>
        <v>['convenience', 'access']</v>
      </c>
      <c r="D9406" s="3">
        <v>4.0</v>
      </c>
    </row>
    <row r="9407" ht="15.75" customHeight="1">
      <c r="A9407" s="1">
        <v>10026.0</v>
      </c>
      <c r="B9407" s="3" t="s">
        <v>9035</v>
      </c>
      <c r="C9407" s="3" t="str">
        <f>IFERROR(__xludf.DUMMYFUNCTION("GOOGLETRANSLATE(B9407,""id"",""en"")"),"['Package', 'Telkomsel', 'expensive', 'package', 'unlimited', 'max', 'GB', 'ilang', 'kacewa', 'expensive', ""]")</f>
        <v>['Package', 'Telkomsel', 'expensive', 'package', 'unlimited', 'max', 'GB', 'ilang', 'kacewa', 'expensive', "]</v>
      </c>
      <c r="D9407" s="3">
        <v>1.0</v>
      </c>
    </row>
    <row r="9408" ht="15.75" customHeight="1">
      <c r="A9408" s="1">
        <v>10027.0</v>
      </c>
      <c r="B9408" s="3" t="s">
        <v>9036</v>
      </c>
      <c r="C9408" s="3" t="str">
        <f>IFERROR(__xludf.DUMMYFUNCTION("GOOGLETRANSLATE(B9408,""id"",""en"")"),"['signal', 'wherever']")</f>
        <v>['signal', 'wherever']</v>
      </c>
      <c r="D9408" s="3">
        <v>5.0</v>
      </c>
    </row>
    <row r="9409" ht="15.75" customHeight="1">
      <c r="A9409" s="1">
        <v>10028.0</v>
      </c>
      <c r="B9409" s="3" t="s">
        <v>9037</v>
      </c>
      <c r="C9409" s="3" t="str">
        <f>IFERROR(__xludf.DUMMYFUNCTION("GOOGLETRANSLATE(B9409,""id"",""en"")"),"['It's', 'lemottttttttttttttttttttttttttttttttt', 'really', 'subscription', 'already']")</f>
        <v>['It's', 'lemottttttttttttttttttttttttttttttttt', 'really', 'subscription', 'already']</v>
      </c>
      <c r="D9409" s="3">
        <v>1.0</v>
      </c>
    </row>
    <row r="9410" ht="15.75" customHeight="1">
      <c r="A9410" s="1">
        <v>10029.0</v>
      </c>
      <c r="B9410" s="3" t="s">
        <v>9038</v>
      </c>
      <c r="C9410" s="3" t="str">
        <f>IFERROR(__xludf.DUMMYFUNCTION("GOOGLETRANSLATE(B9410,""id"",""en"")"),"['Please', 'open', 'already', 'a week', 'blank', 'until', 'update', 'already', 'reinstall', 'already', ""]")</f>
        <v>['Please', 'open', 'already', 'a week', 'blank', 'until', 'update', 'already', 'reinstall', 'already', "]</v>
      </c>
      <c r="D9410" s="3">
        <v>3.0</v>
      </c>
    </row>
    <row r="9411" ht="15.75" customHeight="1">
      <c r="A9411" s="1">
        <v>10030.0</v>
      </c>
      <c r="B9411" s="3" t="s">
        <v>4106</v>
      </c>
      <c r="C9411" s="3" t="str">
        <f>IFERROR(__xludf.DUMMYFUNCTION("GOOGLETRANSLATE(B9411,""id"",""en"")"),"['application', '']")</f>
        <v>['application', '']</v>
      </c>
      <c r="D9411" s="3">
        <v>5.0</v>
      </c>
    </row>
    <row r="9412" ht="15.75" customHeight="1">
      <c r="A9412" s="1">
        <v>10031.0</v>
      </c>
      <c r="B9412" s="3" t="s">
        <v>9039</v>
      </c>
      <c r="C9412" s="3" t="str">
        <f>IFERROR(__xludf.DUMMYFUNCTION("GOOGLETRANSLATE(B9412,""id"",""en"")"),"['difficult', 'opened', 'Telkomsel', 'opened', 'screen', 'white', 'please', 'updated']")</f>
        <v>['difficult', 'opened', 'Telkomsel', 'opened', 'screen', 'white', 'please', 'updated']</v>
      </c>
      <c r="D9412" s="3">
        <v>3.0</v>
      </c>
    </row>
    <row r="9413" ht="15.75" customHeight="1">
      <c r="A9413" s="1">
        <v>10032.0</v>
      </c>
      <c r="B9413" s="3" t="s">
        <v>9040</v>
      </c>
      <c r="C9413" s="3" t="str">
        <f>IFERROR(__xludf.DUMMYFUNCTION("GOOGLETRANSLATE(B9413,""id"",""en"")"),"['Difficult', 'download', 'APK', 'already', 'try', 'what']")</f>
        <v>['Difficult', 'download', 'APK', 'already', 'try', 'what']</v>
      </c>
      <c r="D9413" s="3">
        <v>1.0</v>
      </c>
    </row>
    <row r="9414" ht="15.75" customHeight="1">
      <c r="A9414" s="1">
        <v>10033.0</v>
      </c>
      <c r="B9414" s="3" t="s">
        <v>9041</v>
      </c>
      <c r="C9414" s="3" t="str">
        <f>IFERROR(__xludf.DUMMYFUNCTION("GOOGLETRANSLATE(B9414,""id"",""en"")"),"['hope', 'get', 'lottery', 'blessing', 'aminn']")</f>
        <v>['hope', 'get', 'lottery', 'blessing', 'aminn']</v>
      </c>
      <c r="D9414" s="3">
        <v>4.0</v>
      </c>
    </row>
    <row r="9415" ht="15.75" customHeight="1">
      <c r="A9415" s="1">
        <v>10034.0</v>
      </c>
      <c r="B9415" s="3" t="s">
        <v>9042</v>
      </c>
      <c r="C9415" s="3" t="str">
        <f>IFERROR(__xludf.DUMMYFUNCTION("GOOGLETRANSLATE(B9415,""id"",""en"")"),"['expensive', 'slow', 'usually', 'sorry', 'sorry', 'sorry', 'repair', 'rame', 'love', 'star', ""]")</f>
        <v>['expensive', 'slow', 'usually', 'sorry', 'sorry', 'sorry', 'repair', 'rame', 'love', 'star', "]</v>
      </c>
      <c r="D9415" s="3">
        <v>1.0</v>
      </c>
    </row>
    <row r="9416" ht="15.75" customHeight="1">
      <c r="A9416" s="1">
        <v>10035.0</v>
      </c>
      <c r="B9416" s="3" t="s">
        <v>9043</v>
      </c>
      <c r="C9416" s="3" t="str">
        <f>IFERROR(__xludf.DUMMYFUNCTION("GOOGLETRANSLATE(B9416,""id"",""en"")"),"['signal', 'Cikampek', 'Karawang', 'ugly', '']")</f>
        <v>['signal', 'Cikampek', 'Karawang', 'ugly', '']</v>
      </c>
      <c r="D9416" s="3">
        <v>2.0</v>
      </c>
    </row>
    <row r="9417" ht="15.75" customHeight="1">
      <c r="A9417" s="1">
        <v>10036.0</v>
      </c>
      <c r="B9417" s="3" t="s">
        <v>9044</v>
      </c>
      <c r="C9417" s="3" t="str">
        <f>IFERROR(__xludf.DUMMYFUNCTION("GOOGLETRANSLATE(B9417,""id"",""en"")"),"['strange', 'open', 'comment', 'install', 'repeat', 'many "",' open ']")</f>
        <v>['strange', 'open', 'comment', 'install', 'repeat', 'many ",' open ']</v>
      </c>
      <c r="D9417" s="3">
        <v>1.0</v>
      </c>
    </row>
    <row r="9418" ht="15.75" customHeight="1">
      <c r="A9418" s="1">
        <v>10037.0</v>
      </c>
      <c r="B9418" s="3" t="s">
        <v>9045</v>
      </c>
      <c r="C9418" s="3" t="str">
        <f>IFERROR(__xludf.DUMMYFUNCTION("GOOGLETRANSLATE(B9418,""id"",""en"")"),"['Come here', 'ugly', 'network', 'buy', 'Telkomsel', 'hope', 'price', 'according to', 'network', 'ekh', 'destroyed', 'the network', ' Must ',' Matiin ',' turn on ',' mode ',' plane ',' times', 'network', 'broken']")</f>
        <v>['Come here', 'ugly', 'network', 'buy', 'Telkomsel', 'hope', 'price', 'according to', 'network', 'ekh', 'destroyed', 'the network', ' Must ',' Matiin ',' turn on ',' mode ',' plane ',' times', 'network', 'broken']</v>
      </c>
      <c r="D9418" s="3">
        <v>1.0</v>
      </c>
    </row>
    <row r="9419" ht="15.75" customHeight="1">
      <c r="A9419" s="1">
        <v>10038.0</v>
      </c>
      <c r="B9419" s="3" t="s">
        <v>9046</v>
      </c>
      <c r="C9419" s="3" t="str">
        <f>IFERROR(__xludf.DUMMYFUNCTION("GOOGLETRANSLATE(B9419,""id"",""en"")"),"['', 'Ngerti', 'Telkomsel', 'strange', 'buy', 'package', 'pay', 'gopay', 'error', 'then', 'please', 'fix', "" ]")</f>
        <v>['', 'Ngerti', 'Telkomsel', 'strange', 'buy', 'package', 'pay', 'gopay', 'error', 'then', 'please', 'fix', " ]</v>
      </c>
      <c r="D9419" s="3">
        <v>1.0</v>
      </c>
    </row>
    <row r="9420" ht="15.75" customHeight="1">
      <c r="A9420" s="1">
        <v>10039.0</v>
      </c>
      <c r="B9420" s="3" t="s">
        <v>9047</v>
      </c>
      <c r="C9420" s="3" t="str">
        <f>IFERROR(__xludf.DUMMYFUNCTION("GOOGLETRANSLATE(B9420,""id"",""en"")"),"['Easy', 'Bat', 'Naek', 'Price', 'Package', 'Internet']")</f>
        <v>['Easy', 'Bat', 'Naek', 'Price', 'Package', 'Internet']</v>
      </c>
      <c r="D9420" s="3">
        <v>5.0</v>
      </c>
    </row>
    <row r="9421" ht="15.75" customHeight="1">
      <c r="A9421" s="1">
        <v>10040.0</v>
      </c>
      <c r="B9421" s="3" t="s">
        <v>9048</v>
      </c>
      <c r="C9421" s="3" t="str">
        <f>IFERROR(__xludf.DUMMYFUNCTION("GOOGLETRANSLATE(B9421,""id"",""en"")"),"['signal', 'ugly', 'really', 'Lost', 'signal', 'already', 'report', 'operator', 'already', 'run', 'suggestion', 'package', ' expensive ',' service ',' ugly ']")</f>
        <v>['signal', 'ugly', 'really', 'Lost', 'signal', 'already', 'report', 'operator', 'already', 'run', 'suggestion', 'package', ' expensive ',' service ',' ugly ']</v>
      </c>
      <c r="D9421" s="3">
        <v>1.0</v>
      </c>
    </row>
    <row r="9422" ht="15.75" customHeight="1">
      <c r="A9422" s="1">
        <v>10041.0</v>
      </c>
      <c r="B9422" s="3" t="s">
        <v>9049</v>
      </c>
      <c r="C9422" s="3" t="str">
        <f>IFERROR(__xludf.DUMMYFUNCTION("GOOGLETRANSLATE(B9422,""id"",""en"")"),"['Telkomsel', 'Goat', 'Telkomsel', 'Satan', 'Telkomsel', 'Nda', 'Hina', 'Love', 'Good', 'Your Network', 'Pigiiii', 'Anjingg "",' animal', '']")</f>
        <v>['Telkomsel', 'Goat', 'Telkomsel', 'Satan', 'Telkomsel', 'Nda', 'Hina', 'Love', 'Good', 'Your Network', 'Pigiiii', 'Anjingg ",' animal', '']</v>
      </c>
      <c r="D9422" s="3">
        <v>1.0</v>
      </c>
    </row>
    <row r="9423" ht="15.75" customHeight="1">
      <c r="A9423" s="1">
        <v>10042.0</v>
      </c>
      <c r="B9423" s="3" t="s">
        <v>9050</v>
      </c>
      <c r="C9423" s="3" t="str">
        <f>IFERROR(__xludf.DUMMYFUNCTION("GOOGLETRANSLATE(B9423,""id"",""en"")"),"['Telkomsel', 'Network', 'Disconnect', 'UDH', 'BASON', 'Use', 'Telkomsel']")</f>
        <v>['Telkomsel', 'Network', 'Disconnect', 'UDH', 'BASON', 'Use', 'Telkomsel']</v>
      </c>
      <c r="D9423" s="3">
        <v>1.0</v>
      </c>
    </row>
    <row r="9424" ht="15.75" customHeight="1">
      <c r="A9424" s="1">
        <v>10043.0</v>
      </c>
      <c r="B9424" s="3" t="s">
        <v>9051</v>
      </c>
      <c r="C9424" s="3" t="str">
        <f>IFERROR(__xludf.DUMMYFUNCTION("GOOGLETRANSLATE(B9424,""id"",""en"")"),"['Sorry', 'love', 'star', 'week', 'buy', 'package', 'internet', 'for', 'package', 'ngak', 'enter']")</f>
        <v>['Sorry', 'love', 'star', 'week', 'buy', 'package', 'internet', 'for', 'package', 'ngak', 'enter']</v>
      </c>
      <c r="D9424" s="3">
        <v>1.0</v>
      </c>
    </row>
    <row r="9425" ht="15.75" customHeight="1">
      <c r="A9425" s="1">
        <v>10044.0</v>
      </c>
      <c r="B9425" s="3" t="s">
        <v>9052</v>
      </c>
      <c r="C9425" s="3" t="str">
        <f>IFERROR(__xludf.DUMMYFUNCTION("GOOGLETRANSLATE(B9425,""id"",""en"")"),"['The screen', 'white', 'opened', 'love', 'star', 'fast', 'repaired']")</f>
        <v>['The screen', 'white', 'opened', 'love', 'star', 'fast', 'repaired']</v>
      </c>
      <c r="D9425" s="3">
        <v>5.0</v>
      </c>
    </row>
    <row r="9426" ht="15.75" customHeight="1">
      <c r="A9426" s="1">
        <v>10045.0</v>
      </c>
      <c r="B9426" s="3" t="s">
        <v>9053</v>
      </c>
      <c r="C9426" s="3" t="str">
        <f>IFERROR(__xludf.DUMMYFUNCTION("GOOGLETRANSLATE(B9426,""id"",""en"")"),"['', 'Telkomsel', 'Best', 'Thank you']")</f>
        <v>['', 'Telkomsel', 'Best', 'Thank you']</v>
      </c>
      <c r="D9426" s="3">
        <v>5.0</v>
      </c>
    </row>
    <row r="9427" ht="15.75" customHeight="1">
      <c r="A9427" s="1">
        <v>10047.0</v>
      </c>
      <c r="B9427" s="3" t="s">
        <v>9054</v>
      </c>
      <c r="C9427" s="3" t="str">
        <f>IFERROR(__xludf.DUMMYFUNCTION("GOOGLETRANSLATE(B9427,""id"",""en"")"),"['rotten', 'error', 'internet', 'sby', 'afternoon', 'clock', ""]")</f>
        <v>['rotten', 'error', 'internet', 'sby', 'afternoon', 'clock', "]</v>
      </c>
      <c r="D9427" s="3">
        <v>1.0</v>
      </c>
    </row>
    <row r="9428" ht="15.75" customHeight="1">
      <c r="A9428" s="1">
        <v>10048.0</v>
      </c>
      <c r="B9428" s="3" t="s">
        <v>9055</v>
      </c>
      <c r="C9428" s="3" t="str">
        <f>IFERROR(__xludf.DUMMYFUNCTION("GOOGLETRANSLATE(B9428,""id"",""en"")"),"['Application', 'opened', 'times', 'Download', 'Tetep', 'opened', 'Severe']")</f>
        <v>['Application', 'opened', 'times', 'Download', 'Tetep', 'opened', 'Severe']</v>
      </c>
      <c r="D9428" s="3">
        <v>1.0</v>
      </c>
    </row>
    <row r="9429" ht="15.75" customHeight="1">
      <c r="A9429" s="1">
        <v>10049.0</v>
      </c>
      <c r="B9429" s="3" t="s">
        <v>9056</v>
      </c>
      <c r="C9429" s="3" t="str">
        <f>IFERROR(__xludf.DUMMYFUNCTION("GOOGLETRANSLATE(B9429,""id"",""en"")"),"['Blom', 'CBA', 'Pertima', '']")</f>
        <v>['Blom', 'CBA', 'Pertima', '']</v>
      </c>
      <c r="D9429" s="3">
        <v>4.0</v>
      </c>
    </row>
    <row r="9430" ht="15.75" customHeight="1">
      <c r="A9430" s="1">
        <v>10050.0</v>
      </c>
      <c r="B9430" s="3" t="s">
        <v>9057</v>
      </c>
      <c r="C9430" s="3" t="str">
        <f>IFERROR(__xludf.DUMMYFUNCTION("GOOGLETRANSLATE(B9430,""id"",""en"")"),"['Please', 'Sorry', 'Kasi', 'Star', 'Krena', 'Tlkomsel', 'Skrang', 'Strange', 'Vocher', 'Unlimited', 'Quota', 'Main', ' run out ',' Tetep ',' smooth ',' open ',' youtube ',' skarang ',' difficult ',' really ',' person ',' fast ',' replace ',' card ',' deh"&amp;" ' ]")</f>
        <v>['Please', 'Sorry', 'Kasi', 'Star', 'Krena', 'Tlkomsel', 'Skrang', 'Strange', 'Vocher', 'Unlimited', 'Quota', 'Main', ' run out ',' Tetep ',' smooth ',' open ',' youtube ',' skarang ',' difficult ',' really ',' person ',' fast ',' replace ',' card ',' deh ' ]</v>
      </c>
      <c r="D9430" s="3">
        <v>1.0</v>
      </c>
    </row>
    <row r="9431" ht="15.75" customHeight="1">
      <c r="A9431" s="1">
        <v>10051.0</v>
      </c>
      <c r="B9431" s="3" t="s">
        <v>9058</v>
      </c>
      <c r="C9431" s="3" t="str">
        <f>IFERROR(__xludf.DUMMYFUNCTION("GOOGLETRANSLATE(B9431,""id"",""en"")"),"['Network', 'rotten', 'ngeleg', 'expensive', 'quality', 'poor', 'call', 'call', 'center', 'repair', '']")</f>
        <v>['Network', 'rotten', 'ngeleg', 'expensive', 'quality', 'poor', 'call', 'call', 'center', 'repair', '']</v>
      </c>
      <c r="D9431" s="3">
        <v>1.0</v>
      </c>
    </row>
    <row r="9432" ht="15.75" customHeight="1">
      <c r="A9432" s="1">
        <v>10052.0</v>
      </c>
      <c r="B9432" s="3" t="s">
        <v>9059</v>
      </c>
      <c r="C9432" s="3" t="str">
        <f>IFERROR(__xludf.DUMMYFUNCTION("GOOGLETRANSLATE(B9432,""id"",""en"")"),"['Disappointed', 'MiGi']")</f>
        <v>['Disappointed', 'MiGi']</v>
      </c>
      <c r="D9432" s="3">
        <v>1.0</v>
      </c>
    </row>
    <row r="9433" ht="15.75" customHeight="1">
      <c r="A9433" s="1">
        <v>10053.0</v>
      </c>
      <c r="B9433" s="3" t="s">
        <v>9060</v>
      </c>
      <c r="C9433" s="3" t="str">
        <f>IFERROR(__xludf.DUMMYFUNCTION("GOOGLETRANSLATE(B9433,""id"",""en"")"),"['expensive', 'slow', 'signal', 'full', 'slow', 'times',' criticize ',' delete ',' accept ',' longer ',' kah ',' thank ',' signal ',' slow ',' kah ',' syaa ',' change ',' card ']")</f>
        <v>['expensive', 'slow', 'signal', 'full', 'slow', 'times',' criticize ',' delete ',' accept ',' longer ',' kah ',' thank ',' signal ',' slow ',' kah ',' syaa ',' change ',' card ']</v>
      </c>
      <c r="D9433" s="3">
        <v>1.0</v>
      </c>
    </row>
    <row r="9434" ht="15.75" customHeight="1">
      <c r="A9434" s="1">
        <v>10054.0</v>
      </c>
      <c r="B9434" s="3" t="s">
        <v>9061</v>
      </c>
      <c r="C9434" s="3" t="str">
        <f>IFERROR(__xludf.DUMMYFUNCTION("GOOGLETRANSLATE(B9434,""id"",""en"")"),"['Telkomsel', 'what', 'fill in', 'pulse', 'lost', 'scorched', 'buy', 'package', 'internet', 'minute', 'pulse', 'missing', ' Maikn ',' expensive ',' pulses', 'lost', 'loss',' gimanasih ',' application ',' becus', 'cheating', 'developer', 'return', 'pulse',"&amp;" 'cepaaaat' , '']")</f>
        <v>['Telkomsel', 'what', 'fill in', 'pulse', 'lost', 'scorched', 'buy', 'package', 'internet', 'minute', 'pulse', 'missing', ' Maikn ',' expensive ',' pulses', 'lost', 'loss',' gimanasih ',' application ',' becus', 'cheating', 'developer', 'return', 'pulse', 'cepaaaat' , '']</v>
      </c>
      <c r="D9434" s="3">
        <v>1.0</v>
      </c>
    </row>
    <row r="9435" ht="15.75" customHeight="1">
      <c r="A9435" s="1">
        <v>10055.0</v>
      </c>
      <c r="B9435" s="3" t="s">
        <v>9062</v>
      </c>
      <c r="C9435" s="3" t="str">
        <f>IFERROR(__xludf.DUMMYFUNCTION("GOOGLETRANSLATE(B9435,""id"",""en"")"),"['Join', 'Telkomsel', 'ehh', 'Try', 'It seems', 'Kagak', 'Connect', 'That's', 'Bored', 'Tuk', 'Application', ""]")</f>
        <v>['Join', 'Telkomsel', 'ehh', 'Try', 'It seems', 'Kagak', 'Connect', 'That's', 'Bored', 'Tuk', 'Application', "]</v>
      </c>
      <c r="D9435" s="3">
        <v>2.0</v>
      </c>
    </row>
    <row r="9436" ht="15.75" customHeight="1">
      <c r="A9436" s="1">
        <v>10056.0</v>
      </c>
      <c r="B9436" s="3" t="s">
        <v>9063</v>
      </c>
      <c r="C9436" s="3" t="str">
        <f>IFERROR(__xludf.DUMMYFUNCTION("GOOGLETRANSLATE(B9436,""id"",""en"")"),"['Please', 'Check', 'Application', 'Telkomsel', 'Open', '']")</f>
        <v>['Please', 'Check', 'Application', 'Telkomsel', 'Open', '']</v>
      </c>
      <c r="D9436" s="3">
        <v>5.0</v>
      </c>
    </row>
    <row r="9437" ht="15.75" customHeight="1">
      <c r="A9437" s="1">
        <v>10057.0</v>
      </c>
      <c r="B9437" s="3" t="s">
        <v>9064</v>
      </c>
      <c r="C9437" s="3" t="str">
        <f>IFERROR(__xludf.DUMMYFUNCTION("GOOGLETRANSLATE(B9437,""id"",""en"")"),"['application', 'difficult', 'opened', 'brang', 'reset', 'download', 'application', 'open', 'isntal', 'lgi', 'download', 'lgi', ' It's', 'then', 'TPI', 'TTP', 'opened']")</f>
        <v>['application', 'difficult', 'opened', 'brang', 'reset', 'download', 'application', 'open', 'isntal', 'lgi', 'download', 'lgi', ' It's', 'then', 'TPI', 'TTP', 'opened']</v>
      </c>
      <c r="D9437" s="3">
        <v>1.0</v>
      </c>
    </row>
    <row r="9438" ht="15.75" customHeight="1">
      <c r="A9438" s="1">
        <v>10058.0</v>
      </c>
      <c r="B9438" s="3" t="s">
        <v>9065</v>
      </c>
      <c r="C9438" s="3" t="str">
        <f>IFERROR(__xludf.DUMMYFUNCTION("GOOGLETRANSLATE(B9438,""id"",""en"")"),"['Application', 'Error', 'Response']")</f>
        <v>['Application', 'Error', 'Response']</v>
      </c>
      <c r="D9438" s="3">
        <v>1.0</v>
      </c>
    </row>
    <row r="9439" ht="15.75" customHeight="1">
      <c r="A9439" s="1">
        <v>10059.0</v>
      </c>
      <c r="B9439" s="3" t="s">
        <v>9066</v>
      </c>
      <c r="C9439" s="3" t="str">
        <f>IFERROR(__xludf.DUMMYFUNCTION("GOOGLETRANSLATE(B9439,""id"",""en"")"),"['User', 'App', 'Telkomsel', 'Sunday', 'DBuka', 'Application', 'Uninstall', 'Times', 'Access', ""]")</f>
        <v>['User', 'App', 'Telkomsel', 'Sunday', 'DBuka', 'Application', 'Uninstall', 'Times', 'Access', "]</v>
      </c>
      <c r="D9439" s="3">
        <v>3.0</v>
      </c>
    </row>
    <row r="9440" ht="15.75" customHeight="1">
      <c r="A9440" s="1">
        <v>10061.0</v>
      </c>
      <c r="B9440" s="3" t="s">
        <v>9067</v>
      </c>
      <c r="C9440" s="3" t="str">
        <f>IFERROR(__xludf.DUMMYFUNCTION("GOOGLETRANSLATE(B9440,""id"",""en"")"),"['Telkomsel', 'network', 'extensive', 'help', 'in the field', 'bosnis']")</f>
        <v>['Telkomsel', 'network', 'extensive', 'help', 'in the field', 'bosnis']</v>
      </c>
      <c r="D9440" s="3">
        <v>5.0</v>
      </c>
    </row>
    <row r="9441" ht="15.75" customHeight="1">
      <c r="A9441" s="1">
        <v>10062.0</v>
      </c>
      <c r="B9441" s="3" t="s">
        <v>9068</v>
      </c>
      <c r="C9441" s="3" t="str">
        <f>IFERROR(__xludf.DUMMYFUNCTION("GOOGLETRANSLATE(B9441,""id"",""en"")"),"['Application', 'opened', 'Update', 'Update', 'Open', 'Application', 'Sampe', 'Screen', 'White', 'Report', 'Solution', 'SUCCESS']")</f>
        <v>['Application', 'opened', 'Update', 'Update', 'Open', 'Application', 'Sampe', 'Screen', 'White', 'Report', 'Solution', 'SUCCESS']</v>
      </c>
      <c r="D9441" s="3">
        <v>1.0</v>
      </c>
    </row>
    <row r="9442" ht="15.75" customHeight="1">
      <c r="A9442" s="1">
        <v>10064.0</v>
      </c>
      <c r="B9442" s="3" t="s">
        <v>9069</v>
      </c>
      <c r="C9442" s="3" t="str">
        <f>IFERROR(__xludf.DUMMYFUNCTION("GOOGLETRANSLATE(B9442,""id"",""en"")"),"['Heart', 'users',' Telkomsel ',' Skrg ',' Provider ',' Robber ',' Credit ',' Consumers', 'Credit', 'Steal', 'Middle', 'skrg', ' Stayed ',' crazy ',' in ',' condition ',' data ',' GPRS ',' Telkomsel ',' suggestion ',' save ',' credit ',' Telkomsel ',' rob"&amp;"p ',' run out ' , 'Telkomsel', 'Application', 'Abis',' Update ',' Knp ',' opened ',' ugly ',' Telkomsel ',' Uda ',' Response ',' Skrg ',' The application ',' error ',' ']")</f>
        <v>['Heart', 'users',' Telkomsel ',' Skrg ',' Provider ',' Robber ',' Credit ',' Consumers', 'Credit', 'Steal', 'Middle', 'skrg', ' Stayed ',' crazy ',' in ',' condition ',' data ',' GPRS ',' Telkomsel ',' suggestion ',' save ',' credit ',' Telkomsel ',' robp ',' run out ' , 'Telkomsel', 'Application', 'Abis',' Update ',' Knp ',' opened ',' ugly ',' Telkomsel ',' Uda ',' Response ',' Skrg ',' The application ',' error ',' ']</v>
      </c>
      <c r="D9442" s="3">
        <v>1.0</v>
      </c>
    </row>
    <row r="9443" ht="15.75" customHeight="1">
      <c r="A9443" s="1">
        <v>10065.0</v>
      </c>
      <c r="B9443" s="3" t="s">
        <v>9070</v>
      </c>
      <c r="C9443" s="3" t="str">
        <f>IFERROR(__xludf.DUMMYFUNCTION("GOOGLETRANSLATE(B9443,""id"",""en"")"),"['signal', 'fix', 'Yesterday', 'signal', 'ilang', 'UDH', 'near', 'Tower', 'TELKOM', 'expensive', 'connection', 'cord']")</f>
        <v>['signal', 'fix', 'Yesterday', 'signal', 'ilang', 'UDH', 'near', 'Tower', 'TELKOM', 'expensive', 'connection', 'cord']</v>
      </c>
      <c r="D9443" s="3">
        <v>1.0</v>
      </c>
    </row>
    <row r="9444" ht="15.75" customHeight="1">
      <c r="A9444" s="1">
        <v>10066.0</v>
      </c>
      <c r="B9444" s="3" t="s">
        <v>9071</v>
      </c>
      <c r="C9444" s="3" t="str">
        <f>IFERROR(__xludf.DUMMYFUNCTION("GOOGLETRANSLATE(B9444,""id"",""en"")"),"['Credit', 'Cut', 'Package', 'Data', 'Dahal', 'Quota', 'Gajelas']")</f>
        <v>['Credit', 'Cut', 'Package', 'Data', 'Dahal', 'Quota', 'Gajelas']</v>
      </c>
      <c r="D9444" s="3">
        <v>1.0</v>
      </c>
    </row>
    <row r="9445" ht="15.75" customHeight="1">
      <c r="A9445" s="1">
        <v>10067.0</v>
      </c>
      <c r="B9445" s="3" t="s">
        <v>9072</v>
      </c>
      <c r="C9445" s="3" t="str">
        <f>IFERROR(__xludf.DUMMYFUNCTION("GOOGLETRANSLATE(B9445,""id"",""en"")"),"['Telkomsel', 'I', 'Disappointed', 'Network', '']")</f>
        <v>['Telkomsel', 'I', 'Disappointed', 'Network', '']</v>
      </c>
      <c r="D9445" s="3">
        <v>1.0</v>
      </c>
    </row>
    <row r="9446" ht="15.75" customHeight="1">
      <c r="A9446" s="1">
        <v>10068.0</v>
      </c>
      <c r="B9446" s="3" t="s">
        <v>9073</v>
      </c>
      <c r="C9446" s="3" t="str">
        <f>IFERROR(__xludf.DUMMYFUNCTION("GOOGLETRANSLATE(B9446,""id"",""en"")"),"['love', 'dlu', 'because', 'AGK', 'hassle', 'klau', 'open', 'open', 'link', 'and then', 'sometimes',' difficult ',' Tdak ',' ckup ',' ']")</f>
        <v>['love', 'dlu', 'because', 'AGK', 'hassle', 'klau', 'open', 'open', 'link', 'and then', 'sometimes',' difficult ',' Tdak ',' ckup ',' ']</v>
      </c>
      <c r="D9446" s="3">
        <v>4.0</v>
      </c>
    </row>
    <row r="9447" ht="15.75" customHeight="1">
      <c r="A9447" s="1">
        <v>10069.0</v>
      </c>
      <c r="B9447" s="3" t="s">
        <v>9074</v>
      </c>
      <c r="C9447" s="3" t="str">
        <f>IFERROR(__xludf.DUMMYFUNCTION("GOOGLETRANSLATE(B9447,""id"",""en"")"),"['Good', 'Gaess']")</f>
        <v>['Good', 'Gaess']</v>
      </c>
      <c r="D9447" s="3">
        <v>4.0</v>
      </c>
    </row>
    <row r="9448" ht="15.75" customHeight="1">
      <c r="A9448" s="1">
        <v>10070.0</v>
      </c>
      <c r="B9448" s="3" t="s">
        <v>9075</v>
      </c>
      <c r="C9448" s="3" t="str">
        <f>IFERROR(__xludf.DUMMYFUNCTION("GOOGLETRANSLATE(B9448,""id"",""en"")"),"['Package', 'Literable', '']")</f>
        <v>['Package', 'Literable', '']</v>
      </c>
      <c r="D9448" s="3">
        <v>5.0</v>
      </c>
    </row>
    <row r="9449" ht="15.75" customHeight="1">
      <c r="A9449" s="1">
        <v>10071.0</v>
      </c>
      <c r="B9449" s="3" t="s">
        <v>9076</v>
      </c>
      <c r="C9449" s="3" t="str">
        <f>IFERROR(__xludf.DUMMYFUNCTION("GOOGLETRANSLATE(B9449,""id"",""en"")"),"['Update', 'difficult']")</f>
        <v>['Update', 'difficult']</v>
      </c>
      <c r="D9449" s="3">
        <v>5.0</v>
      </c>
    </row>
    <row r="9450" ht="15.75" customHeight="1">
      <c r="A9450" s="1">
        <v>10072.0</v>
      </c>
      <c r="B9450" s="3" t="s">
        <v>9077</v>
      </c>
      <c r="C9450" s="3" t="str">
        <f>IFERROR(__xludf.DUMMYFUNCTION("GOOGLETRANSLATE(B9450,""id"",""en"")"),"['Sya', 'down', 'star', 'SNI', 'might', 'bgs',' down ',' signal ',' ugly ',' hrga ',' subscribe ',' TPI ',' Quality ',' down ',' ']")</f>
        <v>['Sya', 'down', 'star', 'SNI', 'might', 'bgs',' down ',' signal ',' ugly ',' hrga ',' subscribe ',' TPI ',' Quality ',' down ',' ']</v>
      </c>
      <c r="D9450" s="3">
        <v>1.0</v>
      </c>
    </row>
    <row r="9451" ht="15.75" customHeight="1">
      <c r="A9451" s="1">
        <v>10073.0</v>
      </c>
      <c r="B9451" s="3" t="s">
        <v>9078</v>
      </c>
      <c r="C9451" s="3" t="str">
        <f>IFERROR(__xludf.DUMMYFUNCTION("GOOGLETRANSLATE(B9451,""id"",""en"")"),"['JLS', 'APL', 'Please', 'Repaired', 'Signal', 'Klou', 'BSA', 'Price', 'Quality', 'NOT', 'Price', 'Quality', ' Decreases', 'cook', 'lose', 'Ama', 'card', 'next door']")</f>
        <v>['JLS', 'APL', 'Please', 'Repaired', 'Signal', 'Klou', 'BSA', 'Price', 'Quality', 'NOT', 'Price', 'Quality', ' Decreases', 'cook', 'lose', 'Ama', 'card', 'next door']</v>
      </c>
      <c r="D9451" s="3">
        <v>1.0</v>
      </c>
    </row>
    <row r="9452" ht="15.75" customHeight="1">
      <c r="A9452" s="1">
        <v>10074.0</v>
      </c>
      <c r="B9452" s="3" t="s">
        <v>8016</v>
      </c>
      <c r="C9452" s="3" t="str">
        <f>IFERROR(__xludf.DUMMYFUNCTION("GOOGLETRANSLATE(B9452,""id"",""en"")"),"['APK', 'opened']")</f>
        <v>['APK', 'opened']</v>
      </c>
      <c r="D9452" s="3">
        <v>1.0</v>
      </c>
    </row>
    <row r="9453" ht="15.75" customHeight="1">
      <c r="A9453" s="1">
        <v>10075.0</v>
      </c>
      <c r="B9453" s="3" t="s">
        <v>9079</v>
      </c>
      <c r="C9453" s="3" t="str">
        <f>IFERROR(__xludf.DUMMYFUNCTION("GOOGLETRANSLATE(B9453,""id"",""en"")"),"['APK', 'BEJAD', 'Network', 'Good', 'APK', 'Ngelag', 'Benerin', 'APK', 'Pantes',' Rating ',' Star ',' Awkwkek ',' APK ',' BEJAD ',' Cuih ',' ']")</f>
        <v>['APK', 'BEJAD', 'Network', 'Good', 'APK', 'Ngelag', 'Benerin', 'APK', 'Pantes',' Rating ',' Star ',' Awkwkek ',' APK ',' BEJAD ',' Cuih ',' ']</v>
      </c>
      <c r="D9453" s="3">
        <v>1.0</v>
      </c>
    </row>
    <row r="9454" ht="15.75" customHeight="1">
      <c r="A9454" s="1">
        <v>10076.0</v>
      </c>
      <c r="B9454" s="3" t="s">
        <v>4229</v>
      </c>
      <c r="C9454" s="3" t="str">
        <f>IFERROR(__xludf.DUMMYFUNCTION("GOOGLETRANSLATE(B9454,""id"",""en"")"),"['choice']")</f>
        <v>['choice']</v>
      </c>
      <c r="D9454" s="3">
        <v>5.0</v>
      </c>
    </row>
    <row r="9455" ht="15.75" customHeight="1">
      <c r="A9455" s="1">
        <v>10077.0</v>
      </c>
      <c r="B9455" s="3" t="s">
        <v>5590</v>
      </c>
      <c r="C9455" s="3" t="str">
        <f>IFERROR(__xludf.DUMMYFUNCTION("GOOGLETRANSLATE(B9455,""id"",""en"")"),"['Satisfied', 'service', 'Telkomsel']")</f>
        <v>['Satisfied', 'service', 'Telkomsel']</v>
      </c>
      <c r="D9455" s="3">
        <v>5.0</v>
      </c>
    </row>
    <row r="9456" ht="15.75" customHeight="1">
      <c r="A9456" s="1">
        <v>10078.0</v>
      </c>
      <c r="B9456" s="3" t="s">
        <v>9080</v>
      </c>
      <c r="C9456" s="3" t="str">
        <f>IFERROR(__xludf.DUMMYFUNCTION("GOOGLETRANSLATE(B9456,""id"",""en"")"),"['Promo', 'cheap', '']")</f>
        <v>['Promo', 'cheap', '']</v>
      </c>
      <c r="D9456" s="3">
        <v>5.0</v>
      </c>
    </row>
    <row r="9457" ht="15.75" customHeight="1">
      <c r="A9457" s="1">
        <v>10079.0</v>
      </c>
      <c r="B9457" s="3" t="s">
        <v>9081</v>
      </c>
      <c r="C9457" s="3" t="str">
        <f>IFERROR(__xludf.DUMMYFUNCTION("GOOGLETRANSLATE(B9457,""id"",""en"")"),"['pulse', 'leftover', 'ilang', 'kmn', 'disappointed', 'really']")</f>
        <v>['pulse', 'leftover', 'ilang', 'kmn', 'disappointed', 'really']</v>
      </c>
      <c r="D9457" s="3">
        <v>2.0</v>
      </c>
    </row>
    <row r="9458" ht="15.75" customHeight="1">
      <c r="A9458" s="1">
        <v>10080.0</v>
      </c>
      <c r="B9458" s="3" t="s">
        <v>9082</v>
      </c>
      <c r="C9458" s="3" t="str">
        <f>IFERROR(__xludf.DUMMYFUNCTION("GOOGLETRANSLATE(B9458,""id"",""en"")"),"['screen', 'gada', 'picture', 'plain', 'white']")</f>
        <v>['screen', 'gada', 'picture', 'plain', 'white']</v>
      </c>
      <c r="D9458" s="3">
        <v>1.0</v>
      </c>
    </row>
    <row r="9459" ht="15.75" customHeight="1">
      <c r="A9459" s="1">
        <v>10081.0</v>
      </c>
      <c r="B9459" s="3" t="s">
        <v>9083</v>
      </c>
      <c r="C9459" s="3" t="str">
        <f>IFERROR(__xludf.DUMMYFUNCTION("GOOGLETRANSLATE(B9459,""id"",""en"")"),"['', 'good', '']")</f>
        <v>['', 'good', '']</v>
      </c>
      <c r="D9459" s="3">
        <v>5.0</v>
      </c>
    </row>
    <row r="9460" ht="15.75" customHeight="1">
      <c r="A9460" s="1">
        <v>10082.0</v>
      </c>
      <c r="B9460" s="3" t="s">
        <v>9084</v>
      </c>
      <c r="C9460" s="3" t="str">
        <f>IFERROR(__xludf.DUMMYFUNCTION("GOOGLETRANSLATE(B9460,""id"",""en"")"),"['accessed', '']")</f>
        <v>['accessed', '']</v>
      </c>
      <c r="D9460" s="3">
        <v>1.0</v>
      </c>
    </row>
    <row r="9461" ht="15.75" customHeight="1">
      <c r="A9461" s="1">
        <v>10083.0</v>
      </c>
      <c r="B9461" s="3" t="s">
        <v>9085</v>
      </c>
      <c r="C9461" s="3" t="str">
        <f>IFERROR(__xludf.DUMMYFUNCTION("GOOGLETRANSLATE(B9461,""id"",""en"")"),"['application', 'bad', 'difficult', 'open', 'please', 'fix', 'thank', 'love']")</f>
        <v>['application', 'bad', 'difficult', 'open', 'please', 'fix', 'thank', 'love']</v>
      </c>
      <c r="D9461" s="3">
        <v>1.0</v>
      </c>
    </row>
    <row r="9462" ht="15.75" customHeight="1">
      <c r="A9462" s="1">
        <v>10084.0</v>
      </c>
      <c r="B9462" s="3" t="s">
        <v>9086</v>
      </c>
      <c r="C9462" s="3" t="str">
        <f>IFERROR(__xludf.DUMMYFUNCTION("GOOGLETRANSLATE(B9462,""id"",""en"")"),"['Please', 'Maap', 'User', 'Faithful', 'Tlkomsel', 'Experience', 'FAILURE', 'FATION', 'Please', 'Min', 'Tower', 'TELKOM', ' Strategic ',' Please ',' Banti ',' Thank you ', ""]")</f>
        <v>['Please', 'Maap', 'User', 'Faithful', 'Tlkomsel', 'Experience', 'FAILURE', 'FATION', 'Please', 'Min', 'Tower', 'TELKOM', ' Strategic ',' Please ',' Banti ',' Thank you ', "]</v>
      </c>
      <c r="D9462" s="3">
        <v>2.0</v>
      </c>
    </row>
    <row r="9463" ht="15.75" customHeight="1">
      <c r="A9463" s="1">
        <v>10085.0</v>
      </c>
      <c r="B9463" s="3" t="s">
        <v>9087</v>
      </c>
      <c r="C9463" s="3" t="str">
        <f>IFERROR(__xludf.DUMMYFUNCTION("GOOGLETRANSLATE(B9463,""id"",""en"")"),"['The application', 'accessed', 'appears', 'screen', 'white', '']")</f>
        <v>['The application', 'accessed', 'appears', 'screen', 'white', '']</v>
      </c>
      <c r="D9463" s="3">
        <v>5.0</v>
      </c>
    </row>
    <row r="9464" ht="15.75" customHeight="1">
      <c r="A9464" s="1">
        <v>10086.0</v>
      </c>
      <c r="B9464" s="3" t="s">
        <v>9088</v>
      </c>
      <c r="C9464" s="3" t="str">
        <f>IFERROR(__xludf.DUMMYFUNCTION("GOOGLETRANSLATE(B9464,""id"",""en"")"),"['easy', 'really', 'since' update ',' opened ',' open ',' appears ',' screen ',' white ',' wait ',' minute ',' screen ',' blank ',' uninstall ',' installed ',' display ',' blank ',' disappointed ',' really ',' please ',' repair ']")</f>
        <v>['easy', 'really', 'since' update ',' opened ',' open ',' appears ',' screen ',' white ',' wait ',' minute ',' screen ',' blank ',' uninstall ',' installed ',' display ',' blank ',' disappointed ',' really ',' please ',' repair ']</v>
      </c>
      <c r="D9464" s="3">
        <v>1.0</v>
      </c>
    </row>
    <row r="9465" ht="15.75" customHeight="1">
      <c r="A9465" s="1">
        <v>10087.0</v>
      </c>
      <c r="B9465" s="3" t="s">
        <v>9089</v>
      </c>
      <c r="C9465" s="3" t="str">
        <f>IFERROR(__xludf.DUMMYFUNCTION("GOOGLETRANSLATE(B9465,""id"",""en"")"),"['Joss', 'Cool', 'Mantaps']")</f>
        <v>['Joss', 'Cool', 'Mantaps']</v>
      </c>
      <c r="D9465" s="3">
        <v>5.0</v>
      </c>
    </row>
    <row r="9466" ht="15.75" customHeight="1">
      <c r="A9466" s="1">
        <v>10088.0</v>
      </c>
      <c r="B9466" s="3" t="s">
        <v>9090</v>
      </c>
      <c r="C9466" s="3" t="str">
        <f>IFERROR(__xludf.DUMMYFUNCTION("GOOGLETRANSLATE(B9466,""id"",""en"")"),"['UDH', 'bonus',' prize ',' quota ',' use ',' aesthan ',' network ',' weak ',' log ',' application ',' Telkomsel ',' exchange ',' balance ',' pulse ',' point ',' exchange ',' bonus', 'quota', 'internet', 'use', 'quota', 'internet', 'chopped', 'pulse', 'ci"&amp;"rculation' , 'UDH', 'thought', 'Skali', 'ATW', 'Hmmm', 'annoying', 'Telkomsel', 'Males', 'Extend', 'Card', 'Telkomsel', ""]")</f>
        <v>['UDH', 'bonus',' prize ',' quota ',' use ',' aesthan ',' network ',' weak ',' log ',' application ',' Telkomsel ',' exchange ',' balance ',' pulse ',' point ',' exchange ',' bonus', 'quota', 'internet', 'use', 'quota', 'internet', 'chopped', 'pulse', 'circulation' , 'UDH', 'thought', 'Skali', 'ATW', 'Hmmm', 'annoying', 'Telkomsel', 'Males', 'Extend', 'Card', 'Telkomsel', "]</v>
      </c>
      <c r="D9466" s="3">
        <v>1.0</v>
      </c>
    </row>
    <row r="9467" ht="15.75" customHeight="1">
      <c r="A9467" s="1">
        <v>10089.0</v>
      </c>
      <c r="B9467" s="3" t="s">
        <v>9091</v>
      </c>
      <c r="C9467" s="3" t="str">
        <f>IFERROR(__xludf.DUMMYFUNCTION("GOOGLETRANSLATE(B9467,""id"",""en"")"),"['already', 'cool', 'expensive', 'use', 'work', 'beak', 'like me']")</f>
        <v>['already', 'cool', 'expensive', 'use', 'work', 'beak', 'like me']</v>
      </c>
      <c r="D9467" s="3">
        <v>3.0</v>
      </c>
    </row>
    <row r="9468" ht="15.75" customHeight="1">
      <c r="A9468" s="1">
        <v>10090.0</v>
      </c>
      <c r="B9468" s="3" t="s">
        <v>1310</v>
      </c>
      <c r="C9468" s="3" t="str">
        <f>IFERROR(__xludf.DUMMYFUNCTION("GOOGLETRANSLATE(B9468,""id"",""en"")"),"['Open', 'the application']")</f>
        <v>['Open', 'the application']</v>
      </c>
      <c r="D9468" s="3">
        <v>5.0</v>
      </c>
    </row>
    <row r="9469" ht="15.75" customHeight="1">
      <c r="A9469" s="1">
        <v>10091.0</v>
      </c>
      <c r="B9469" s="3" t="s">
        <v>9092</v>
      </c>
      <c r="C9469" s="3" t="str">
        <f>IFERROR(__xludf.DUMMYFUNCTION("GOOGLETRANSLATE(B9469,""id"",""en"")"),"['buy', 'quota', 'data', 'sms',' access', 'internet', 'tariff', 'non', 'package', 'huhu', 'lost', 'deh', ' the rest of ',' pulse ',' really ',' gini ',' kapok ',' privider ',' hope ',' in the future ',' ']")</f>
        <v>['buy', 'quota', 'data', 'sms',' access', 'internet', 'tariff', 'non', 'package', 'huhu', 'lost', 'deh', ' the rest of ',' pulse ',' really ',' gini ',' kapok ',' privider ',' hope ',' in the future ',' ']</v>
      </c>
      <c r="D9469" s="3">
        <v>2.0</v>
      </c>
    </row>
    <row r="9470" ht="15.75" customHeight="1">
      <c r="A9470" s="1">
        <v>10092.0</v>
      </c>
      <c r="B9470" s="3" t="s">
        <v>9093</v>
      </c>
      <c r="C9470" s="3" t="str">
        <f>IFERROR(__xludf.DUMMYFUNCTION("GOOGLETRANSLATE(B9470,""id"",""en"")"),"['already', 'since', 'Update', 'Application', 'Telkomsel', 'just', 'White', 'Screen', 'appears',' Sya ',' Jdi ',' tribulation ',' Mebeli ',' Package ',' Data ',' Sya ',' please ',' fix it ',' ']")</f>
        <v>['already', 'since', 'Update', 'Application', 'Telkomsel', 'just', 'White', 'Screen', 'appears',' Sya ',' Jdi ',' tribulation ',' Mebeli ',' Package ',' Data ',' Sya ',' please ',' fix it ',' ']</v>
      </c>
      <c r="D9470" s="3">
        <v>1.0</v>
      </c>
    </row>
    <row r="9471" ht="15.75" customHeight="1">
      <c r="A9471" s="1">
        <v>10093.0</v>
      </c>
      <c r="B9471" s="3" t="s">
        <v>9094</v>
      </c>
      <c r="C9471" s="3" t="str">
        <f>IFERROR(__xludf.DUMMYFUNCTION("GOOGLETRANSLATE(B9471,""id"",""en"")"),"['Sorry', 'renewal', 'apk', 'difficult', 'open', 'user', 'card', 'hello', 'difficulty', 'check', 'quota']")</f>
        <v>['Sorry', 'renewal', 'apk', 'difficult', 'open', 'user', 'card', 'hello', 'difficulty', 'check', 'quota']</v>
      </c>
      <c r="D9471" s="3">
        <v>4.0</v>
      </c>
    </row>
    <row r="9472" ht="15.75" customHeight="1">
      <c r="A9472" s="1">
        <v>10094.0</v>
      </c>
      <c r="B9472" s="3" t="s">
        <v>9095</v>
      </c>
      <c r="C9472" s="3" t="str">
        <f>IFERROR(__xludf.DUMMYFUNCTION("GOOGLETRANSLATE(B9472,""id"",""en"")"),"['package', 'internet', 'used', 'compared', 'package', 'internet', 'fast', 'control', 'use', 'package', 'internet', '']")</f>
        <v>['package', 'internet', 'used', 'compared', 'package', 'internet', 'fast', 'control', 'use', 'package', 'internet', '']</v>
      </c>
      <c r="D9472" s="3">
        <v>1.0</v>
      </c>
    </row>
    <row r="9473" ht="15.75" customHeight="1">
      <c r="A9473" s="1">
        <v>10095.0</v>
      </c>
      <c r="B9473" s="3" t="s">
        <v>9096</v>
      </c>
      <c r="C9473" s="3" t="str">
        <f>IFERROR(__xludf.DUMMYFUNCTION("GOOGLETRANSLATE(B9473,""id"",""en"")"),"['offer', 'Package', 'number', 'Different', 'Disappointed', '']")</f>
        <v>['offer', 'Package', 'number', 'Different', 'Disappointed', '']</v>
      </c>
      <c r="D9473" s="3">
        <v>1.0</v>
      </c>
    </row>
    <row r="9474" ht="15.75" customHeight="1">
      <c r="A9474" s="1">
        <v>10096.0</v>
      </c>
      <c r="B9474" s="3" t="s">
        <v>9097</v>
      </c>
      <c r="C9474" s="3" t="str">
        <f>IFERROR(__xludf.DUMMYFUNCTION("GOOGLETRANSLATE(B9474,""id"",""en"")"),"['Telkomsel', 'already', 'bankrupt', 'price', 'network', 'slow', 'cheap', 'network', 'widespread', ""]")</f>
        <v>['Telkomsel', 'already', 'bankrupt', 'price', 'network', 'slow', 'cheap', 'network', 'widespread', "]</v>
      </c>
      <c r="D9474" s="3">
        <v>2.0</v>
      </c>
    </row>
    <row r="9475" ht="15.75" customHeight="1">
      <c r="A9475" s="1">
        <v>10097.0</v>
      </c>
      <c r="B9475" s="3" t="s">
        <v>9098</v>
      </c>
      <c r="C9475" s="3" t="str">
        <f>IFERROR(__xludf.DUMMYFUNCTION("GOOGLETRANSLATE(B9475,""id"",""en"")"),"['Complaints', 'Application', 'Telkomsel', 'opened', 'After', 'Updated', 'Loading', 'Color', 'White', ""]")</f>
        <v>['Complaints', 'Application', 'Telkomsel', 'opened', 'After', 'Updated', 'Loading', 'Color', 'White', "]</v>
      </c>
      <c r="D9475" s="3">
        <v>2.0</v>
      </c>
    </row>
    <row r="9476" ht="15.75" customHeight="1">
      <c r="A9476" s="1">
        <v>10098.0</v>
      </c>
      <c r="B9476" s="3" t="s">
        <v>9099</v>
      </c>
      <c r="C9476" s="3" t="str">
        <f>IFERROR(__xludf.DUMMYFUNCTION("GOOGLETRANSLATE(B9476,""id"",""en"")"),"['Points', 'Telkom', 'Exchange', 'Quota', 'Failed', 'Disappointed', 'Already', 'Cape', 'Collecting']")</f>
        <v>['Points', 'Telkom', 'Exchange', 'Quota', 'Failed', 'Disappointed', 'Already', 'Cape', 'Collecting']</v>
      </c>
      <c r="D9476" s="3">
        <v>2.0</v>
      </c>
    </row>
    <row r="9477" ht="15.75" customHeight="1">
      <c r="A9477" s="1">
        <v>10099.0</v>
      </c>
      <c r="B9477" s="3" t="s">
        <v>9100</v>
      </c>
      <c r="C9477" s="3" t="str">
        <f>IFERROR(__xludf.DUMMYFUNCTION("GOOGLETRANSLATE(B9477,""id"",""en"")"),"['YTH', 'owner', 'Manager', 'Telkomsel', 'Please', 'Fix', 'Application', 'Telkomsel', 'Time', 'Open', 'Uninstall', 'Install', ' Login ',' COMPANY ',' CUMAN ',' KEK ',' NETING ',' CUSTOMER ',' All ',' Region ',' Indonesia ',' Come ',' Satisfaction ',' Cust"&amp;"omer ',' Comfortable ' , 'Features', 'Latest', 'Modern', 'Salam', 'respect']")</f>
        <v>['YTH', 'owner', 'Manager', 'Telkomsel', 'Please', 'Fix', 'Application', 'Telkomsel', 'Time', 'Open', 'Uninstall', 'Install', ' Login ',' COMPANY ',' CUMAN ',' KEK ',' NETING ',' CUSTOMER ',' All ',' Region ',' Indonesia ',' Come ',' Satisfaction ',' Customer ',' Comfortable ' , 'Features', 'Latest', 'Modern', 'Salam', 'respect']</v>
      </c>
      <c r="D9477" s="3">
        <v>1.0</v>
      </c>
    </row>
    <row r="9478" ht="15.75" customHeight="1">
      <c r="A9478" s="1">
        <v>10100.0</v>
      </c>
      <c r="B9478" s="3" t="s">
        <v>9101</v>
      </c>
      <c r="C9478" s="3" t="str">
        <f>IFERROR(__xludf.DUMMYFUNCTION("GOOGLETRANSLATE(B9478,""id"",""en"")"),"['Nice', 'app', 'makes it easy', 'buy', 'package']")</f>
        <v>['Nice', 'app', 'makes it easy', 'buy', 'package']</v>
      </c>
      <c r="D9478" s="3">
        <v>5.0</v>
      </c>
    </row>
    <row r="9479" ht="15.75" customHeight="1">
      <c r="A9479" s="1">
        <v>10101.0</v>
      </c>
      <c r="B9479" s="3" t="s">
        <v>9102</v>
      </c>
      <c r="C9479" s="3" t="str">
        <f>IFERROR(__xludf.DUMMYFUNCTION("GOOGLETRANSLATE(B9479,""id"",""en"")"),"['signal', 'SKR', 'ugly']")</f>
        <v>['signal', 'SKR', 'ugly']</v>
      </c>
      <c r="D9479" s="3">
        <v>5.0</v>
      </c>
    </row>
    <row r="9480" ht="15.75" customHeight="1">
      <c r="A9480" s="1">
        <v>10102.0</v>
      </c>
      <c r="B9480" s="3" t="s">
        <v>9103</v>
      </c>
      <c r="C9480" s="3" t="str">
        <f>IFERROR(__xludf.DUMMYFUNCTION("GOOGLETRANSLATE(B9480,""id"",""en"")"),"['Please', 'help', 'application', 'open']")</f>
        <v>['Please', 'help', 'application', 'open']</v>
      </c>
      <c r="D9480" s="3">
        <v>5.0</v>
      </c>
    </row>
    <row r="9481" ht="15.75" customHeight="1">
      <c r="A9481" s="1">
        <v>10103.0</v>
      </c>
      <c r="B9481" s="3" t="s">
        <v>9104</v>
      </c>
      <c r="C9481" s="3" t="str">
        <f>IFERROR(__xludf.DUMMYFUNCTION("GOOGLETRANSLATE(B9481,""id"",""en"")"),"['Bgus', 'good', 'tancak']")</f>
        <v>['Bgus', 'good', 'tancak']</v>
      </c>
      <c r="D9481" s="3">
        <v>5.0</v>
      </c>
    </row>
    <row r="9482" ht="15.75" customHeight="1">
      <c r="A9482" s="1">
        <v>10104.0</v>
      </c>
      <c r="B9482" s="3" t="s">
        <v>9105</v>
      </c>
      <c r="C9482" s="3" t="str">
        <f>IFERROR(__xludf.DUMMYFUNCTION("GOOGLETRANSLATE(B9482,""id"",""en"")"),"['Price', 'expensive', 'signal', 'ugly', 'really', 'WhatsApp', 'difficult', 'send', 'oath', 'regret', 'I', 'use', ' Telkomsel ',' Ampasss', 'Bye', 'Bye', 'Telkomsel', '']")</f>
        <v>['Price', 'expensive', 'signal', 'ugly', 'really', 'WhatsApp', 'difficult', 'send', 'oath', 'regret', 'I', 'use', ' Telkomsel ',' Ampasss', 'Bye', 'Bye', 'Telkomsel', '']</v>
      </c>
      <c r="D9482" s="3">
        <v>1.0</v>
      </c>
    </row>
    <row r="9483" ht="15.75" customHeight="1">
      <c r="A9483" s="1">
        <v>10105.0</v>
      </c>
      <c r="B9483" s="3" t="s">
        <v>9106</v>
      </c>
      <c r="C9483" s="3" t="str">
        <f>IFERROR(__xludf.DUMMYFUNCTION("GOOGLETRANSLATE(B9483,""id"",""en"")"),"['knp', 'bsa', 'open', 'the application']")</f>
        <v>['knp', 'bsa', 'open', 'the application']</v>
      </c>
      <c r="D9483" s="3">
        <v>3.0</v>
      </c>
    </row>
    <row r="9484" ht="15.75" customHeight="1">
      <c r="A9484" s="1">
        <v>10106.0</v>
      </c>
      <c r="B9484" s="3" t="s">
        <v>9107</v>
      </c>
      <c r="C9484" s="3" t="str">
        <f>IFERROR(__xludf.DUMMYFUNCTION("GOOGLETRANSLATE(B9484,""id"",""en"")"),"['Help', 'really', 'checks', 'purchase', 'data', 'internet', '']")</f>
        <v>['Help', 'really', 'checks', 'purchase', 'data', 'internet', '']</v>
      </c>
      <c r="D9484" s="3">
        <v>5.0</v>
      </c>
    </row>
    <row r="9485" ht="15.75" customHeight="1">
      <c r="A9485" s="1">
        <v>10107.0</v>
      </c>
      <c r="B9485" s="3" t="s">
        <v>9108</v>
      </c>
      <c r="C9485" s="3" t="str">
        <f>IFERROR(__xludf.DUMMYFUNCTION("GOOGLETRANSLATE(B9485,""id"",""en"")"),"['Dead', 'The application']")</f>
        <v>['Dead', 'The application']</v>
      </c>
      <c r="D9485" s="3">
        <v>2.0</v>
      </c>
    </row>
    <row r="9486" ht="15.75" customHeight="1">
      <c r="A9486" s="1">
        <v>10108.0</v>
      </c>
      <c r="B9486" s="3" t="s">
        <v>9109</v>
      </c>
      <c r="C9486" s="3" t="str">
        <f>IFERROR(__xludf.DUMMYFUNCTION("GOOGLETRANSLATE(B9486,""id"",""en"")"),"['application', 'help', 'makes it easy', 'business', ""]")</f>
        <v>['application', 'help', 'makes it easy', 'business', "]</v>
      </c>
      <c r="D9486" s="3">
        <v>5.0</v>
      </c>
    </row>
    <row r="9487" ht="15.75" customHeight="1">
      <c r="A9487" s="1">
        <v>10109.0</v>
      </c>
      <c r="B9487" s="3" t="s">
        <v>9110</v>
      </c>
      <c r="C9487" s="3" t="str">
        <f>IFERROR(__xludf.DUMMYFUNCTION("GOOGLETRANSLATE(B9487,""id"",""en"")"),"['Package', 'data', 'expensive', 'network', 'slow', 'buy', 'package', 'combo', 'expensive', 'telephone', 'phone', 'sms',' Telkom ',' Free ',' Msh ',' Worn ',' Credit ',' Telkomsel ',' Complain ',' Virtual ',' Assistant ',' Call ',' Center ',' The answer '"&amp;",' satisfying ' ]")</f>
        <v>['Package', 'data', 'expensive', 'network', 'slow', 'buy', 'package', 'combo', 'expensive', 'telephone', 'phone', 'sms',' Telkom ',' Free ',' Msh ',' Worn ',' Credit ',' Telkomsel ',' Complain ',' Virtual ',' Assistant ',' Call ',' Center ',' The answer ',' satisfying ' ]</v>
      </c>
      <c r="D9487" s="3">
        <v>1.0</v>
      </c>
    </row>
    <row r="9488" ht="15.75" customHeight="1">
      <c r="A9488" s="1">
        <v>10110.0</v>
      </c>
      <c r="B9488" s="3" t="s">
        <v>9111</v>
      </c>
      <c r="C9488" s="3" t="str">
        <f>IFERROR(__xludf.DUMMYFUNCTION("GOOGLETRANSLATE(B9488,""id"",""en"")"),"['mantapp', 'promo']")</f>
        <v>['mantapp', 'promo']</v>
      </c>
      <c r="D9488" s="3">
        <v>5.0</v>
      </c>
    </row>
    <row r="9489" ht="15.75" customHeight="1">
      <c r="A9489" s="1">
        <v>10111.0</v>
      </c>
      <c r="B9489" s="3" t="s">
        <v>9112</v>
      </c>
      <c r="C9489" s="3" t="str">
        <f>IFERROR(__xludf.DUMMYFUNCTION("GOOGLETRANSLATE(B9489,""id"",""en"")"),"['Bismillah', 'Tawakaltu', 'Alaallah', ""]")</f>
        <v>['Bismillah', 'Tawakaltu', 'Alaallah', "]</v>
      </c>
      <c r="D9489" s="3">
        <v>5.0</v>
      </c>
    </row>
    <row r="9490" ht="15.75" customHeight="1">
      <c r="A9490" s="1">
        <v>10113.0</v>
      </c>
      <c r="B9490" s="3" t="s">
        <v>9113</v>
      </c>
      <c r="C9490" s="3" t="str">
        <f>IFERROR(__xludf.DUMMYFUNCTION("GOOGLETRANSLATE(B9490,""id"",""en"")"),"['signal', 'Telkomsel', 'slow', 'fast']")</f>
        <v>['signal', 'Telkomsel', 'slow', 'fast']</v>
      </c>
      <c r="D9490" s="3">
        <v>3.0</v>
      </c>
    </row>
    <row r="9491" ht="15.75" customHeight="1">
      <c r="A9491" s="1">
        <v>10115.0</v>
      </c>
      <c r="B9491" s="3" t="s">
        <v>312</v>
      </c>
      <c r="C9491" s="3" t="str">
        <f>IFERROR(__xludf.DUMMYFUNCTION("GOOGLETRANSLATE(B9491,""id"",""en"")"),"['best']")</f>
        <v>['best']</v>
      </c>
      <c r="D9491" s="3">
        <v>5.0</v>
      </c>
    </row>
    <row r="9492" ht="15.75" customHeight="1">
      <c r="A9492" s="1">
        <v>10116.0</v>
      </c>
      <c r="B9492" s="3" t="s">
        <v>9114</v>
      </c>
      <c r="C9492" s="3" t="str">
        <f>IFERROR(__xludf.DUMMYFUNCTION("GOOGLETRANSLATE(B9492,""id"",""en"")"),"['Package', 'Internet', 'expensive']")</f>
        <v>['Package', 'Internet', 'expensive']</v>
      </c>
      <c r="D9492" s="3">
        <v>1.0</v>
      </c>
    </row>
    <row r="9493" ht="15.75" customHeight="1">
      <c r="A9493" s="1">
        <v>10117.0</v>
      </c>
      <c r="B9493" s="3" t="s">
        <v>9115</v>
      </c>
      <c r="C9493" s="3" t="str">
        <f>IFERROR(__xludf.DUMMYFUNCTION("GOOGLETRANSLATE(B9493,""id"",""en"")"),"['Discard', 'waste', 'doang', 'already', 'difficult', 'difficult', 'check', 'check', 'ilang', 'night', 'check', 'prize', ' Claims', 'Package', 'Enter', 'Disappointed', 'Cave', '']")</f>
        <v>['Discard', 'waste', 'doang', 'already', 'difficult', 'difficult', 'check', 'check', 'ilang', 'night', 'check', 'prize', ' Claims', 'Package', 'Enter', 'Disappointed', 'Cave', '']</v>
      </c>
      <c r="D9493" s="3">
        <v>1.0</v>
      </c>
    </row>
    <row r="9494" ht="15.75" customHeight="1">
      <c r="A9494" s="1">
        <v>10118.0</v>
      </c>
      <c r="B9494" s="3" t="s">
        <v>355</v>
      </c>
      <c r="C9494" s="3" t="str">
        <f>IFERROR(__xludf.DUMMYFUNCTION("GOOGLETRANSLATE(B9494,""id"",""en"")"),"['open', '']")</f>
        <v>['open', '']</v>
      </c>
      <c r="D9494" s="3">
        <v>1.0</v>
      </c>
    </row>
    <row r="9495" ht="15.75" customHeight="1">
      <c r="A9495" s="1">
        <v>10120.0</v>
      </c>
      <c r="B9495" s="3" t="s">
        <v>9116</v>
      </c>
      <c r="C9495" s="3" t="str">
        <f>IFERROR(__xludf.DUMMYFUNCTION("GOOGLETRANSLATE(B9495,""id"",""en"")"),"['Star', 'because', 'Bug', 'Redem', 'Daily', 'Package', 'Enter']")</f>
        <v>['Star', 'because', 'Bug', 'Redem', 'Daily', 'Package', 'Enter']</v>
      </c>
      <c r="D9495" s="3">
        <v>3.0</v>
      </c>
    </row>
    <row r="9496" ht="15.75" customHeight="1">
      <c r="A9496" s="1">
        <v>10121.0</v>
      </c>
      <c r="B9496" s="3" t="s">
        <v>9117</v>
      </c>
      <c r="C9496" s="3" t="str">
        <f>IFERROR(__xludf.DUMMYFUNCTION("GOOGLETRANSLATE(B9496,""id"",""en"")"),"['already', 'use', 'Telkomsel', 'Change', 'number', 'Tetep', 'use', 'Telkomsel', 'Husnudzon', 'Provider', 'Good', 'Sinyal', ' Modmod ',' price ',' package ',' expensive ',' Come ',' Doong ',' Telkomsel ',' expensive ',' YAPI ',' Sinyal ',' ugly ',' Mulu '"&amp;",' the price ' ]")</f>
        <v>['already', 'use', 'Telkomsel', 'Change', 'number', 'Tetep', 'use', 'Telkomsel', 'Husnudzon', 'Provider', 'Good', 'Sinyal', ' Modmod ',' price ',' package ',' expensive ',' Come ',' Doong ',' Telkomsel ',' expensive ',' YAPI ',' Sinyal ',' ugly ',' Mulu ',' the price ' ]</v>
      </c>
      <c r="D9496" s="3">
        <v>3.0</v>
      </c>
    </row>
    <row r="9497" ht="15.75" customHeight="1">
      <c r="A9497" s="1">
        <v>10123.0</v>
      </c>
      <c r="B9497" s="3" t="s">
        <v>9118</v>
      </c>
      <c r="C9497" s="3" t="str">
        <f>IFERROR(__xludf.DUMMYFUNCTION("GOOGLETRANSLATE(B9497,""id"",""en"")"),"['', 'VIH', 'EASY', 'Easy', 'Stay', 'Click', 'Walk']]")</f>
        <v>['', 'VIH', 'EASY', 'Easy', 'Stay', 'Click', 'Walk']]</v>
      </c>
      <c r="D9497" s="3">
        <v>5.0</v>
      </c>
    </row>
    <row r="9498" ht="15.75" customHeight="1">
      <c r="A9498" s="1">
        <v>10124.0</v>
      </c>
      <c r="B9498" s="3" t="s">
        <v>9119</v>
      </c>
      <c r="C9498" s="3" t="str">
        <f>IFERROR(__xludf.DUMMYFUNCTION("GOOGLETRANSLATE(B9498,""id"",""en"")"),"['staple', 'steady', ""]")</f>
        <v>['staple', 'steady', "]</v>
      </c>
      <c r="D9498" s="3">
        <v>5.0</v>
      </c>
    </row>
    <row r="9499" ht="15.75" customHeight="1">
      <c r="A9499" s="1">
        <v>10125.0</v>
      </c>
      <c r="B9499" s="3" t="s">
        <v>9120</v>
      </c>
      <c r="C9499" s="3" t="str">
        <f>IFERROR(__xludf.DUMMYFUNCTION("GOOGLETRANSLATE(B9499,""id"",""en"")"),"['Good', 'easy', 'check', 'kiota']")</f>
        <v>['Good', 'easy', 'check', 'kiota']</v>
      </c>
      <c r="D9499" s="3">
        <v>5.0</v>
      </c>
    </row>
    <row r="9500" ht="15.75" customHeight="1">
      <c r="A9500" s="1">
        <v>10126.0</v>
      </c>
      <c r="B9500" s="3" t="s">
        <v>9121</v>
      </c>
      <c r="C9500" s="3" t="str">
        <f>IFERROR(__xludf.DUMMYFUNCTION("GOOGLETRANSLATE(B9500,""id"",""en"")"),"['Try', 'Open', 'Application', 'Telkomsel', 'Many', 'Times',' Contact ',' Account ',' Suggested ',' Open ',' Application ',' Telkomsel ',' ']")</f>
        <v>['Try', 'Open', 'Application', 'Telkomsel', 'Many', 'Times',' Contact ',' Account ',' Suggested ',' Open ',' Application ',' Telkomsel ',' ']</v>
      </c>
      <c r="D9500" s="3">
        <v>1.0</v>
      </c>
    </row>
    <row r="9501" ht="15.75" customHeight="1">
      <c r="A9501" s="1">
        <v>10127.0</v>
      </c>
      <c r="B9501" s="3" t="s">
        <v>9122</v>
      </c>
      <c r="C9501" s="3" t="str">
        <f>IFERROR(__xludf.DUMMYFUNCTION("GOOGLETRANSLATE(B9501,""id"",""en"")"),"['application', 'response', 'bsa', 'exchange', 'point', 'zonk']")</f>
        <v>['application', 'response', 'bsa', 'exchange', 'point', 'zonk']</v>
      </c>
      <c r="D9501" s="3">
        <v>1.0</v>
      </c>
    </row>
    <row r="9502" ht="15.75" customHeight="1">
      <c r="A9502" s="1">
        <v>10128.0</v>
      </c>
      <c r="B9502" s="3" t="s">
        <v>9123</v>
      </c>
      <c r="C9502" s="3" t="str">
        <f>IFERROR(__xludf.DUMMYFUNCTION("GOOGLETRANSLATE(B9502,""id"",""en"")"),"['best', 'features']")</f>
        <v>['best', 'features']</v>
      </c>
      <c r="D9502" s="3">
        <v>5.0</v>
      </c>
    </row>
    <row r="9503" ht="15.75" customHeight="1">
      <c r="A9503" s="1">
        <v>10129.0</v>
      </c>
      <c r="B9503" s="3" t="s">
        <v>9124</v>
      </c>
      <c r="C9503" s="3" t="str">
        <f>IFERROR(__xludf.DUMMYFUNCTION("GOOGLETRANSLATE(B9503,""id"",""en"")"),"['Responding']")</f>
        <v>['Responding']</v>
      </c>
      <c r="D9503" s="3">
        <v>5.0</v>
      </c>
    </row>
    <row r="9504" ht="15.75" customHeight="1">
      <c r="A9504" s="1">
        <v>10130.0</v>
      </c>
      <c r="B9504" s="3" t="s">
        <v>9125</v>
      </c>
      <c r="C9504" s="3" t="str">
        <f>IFERROR(__xludf.DUMMYFUNCTION("GOOGLETRANSLATE(B9504,""id"",""en"")"),"['Active', 'fast']")</f>
        <v>['Active', 'fast']</v>
      </c>
      <c r="D9504" s="3">
        <v>2.0</v>
      </c>
    </row>
    <row r="9505" ht="15.75" customHeight="1">
      <c r="A9505" s="1">
        <v>10131.0</v>
      </c>
      <c r="B9505" s="3" t="s">
        <v>9126</v>
      </c>
      <c r="C9505" s="3" t="str">
        <f>IFERROR(__xludf.DUMMYFUNCTION("GOOGLETRANSLATE(B9505,""id"",""en"")"),"['', 'Telkomsel', 'petrified', ""]")</f>
        <v>['', 'Telkomsel', 'petrified', "]</v>
      </c>
      <c r="D9505" s="3">
        <v>5.0</v>
      </c>
    </row>
    <row r="9506" ht="15.75" customHeight="1">
      <c r="A9506" s="1">
        <v>10132.0</v>
      </c>
      <c r="B9506" s="3" t="s">
        <v>9127</v>
      </c>
      <c r="C9506" s="3" t="str">
        <f>IFERROR(__xludf.DUMMYFUNCTION("GOOGLETRANSLATE(B9506,""id"",""en"")"),"['Buy', 'Package', 'Minute', 'Call', 'Operator', 'Credit', 'Reduced', '']")</f>
        <v>['Buy', 'Package', 'Minute', 'Call', 'Operator', 'Credit', 'Reduced', '']</v>
      </c>
      <c r="D9506" s="3">
        <v>2.0</v>
      </c>
    </row>
    <row r="9507" ht="15.75" customHeight="1">
      <c r="A9507" s="1">
        <v>10133.0</v>
      </c>
      <c r="B9507" s="3" t="s">
        <v>9128</v>
      </c>
      <c r="C9507" s="3" t="str">
        <f>IFERROR(__xludf.DUMMYFUNCTION("GOOGLETRANSLATE(B9507,""id"",""en"")"),"['pulse', 'package', 'price', 'network', 'like', 'slow', 'bkn', ""]")</f>
        <v>['pulse', 'package', 'price', 'network', 'like', 'slow', 'bkn', "]</v>
      </c>
      <c r="D9507" s="3">
        <v>3.0</v>
      </c>
    </row>
    <row r="9508" ht="15.75" customHeight="1">
      <c r="A9508" s="1">
        <v>10134.0</v>
      </c>
      <c r="B9508" s="3" t="s">
        <v>478</v>
      </c>
      <c r="C9508" s="3" t="str">
        <f>IFERROR(__xludf.DUMMYFUNCTION("GOOGLETRANSLATE(B9508,""id"",""en"")"),"Of course")</f>
        <v>Of course</v>
      </c>
      <c r="D9508" s="3">
        <v>4.0</v>
      </c>
    </row>
    <row r="9509" ht="15.75" customHeight="1">
      <c r="A9509" s="1">
        <v>10135.0</v>
      </c>
      <c r="B9509" s="3" t="s">
        <v>9129</v>
      </c>
      <c r="C9509" s="3" t="str">
        <f>IFERROR(__xludf.DUMMYFUNCTION("GOOGLETRANSLATE(B9509,""id"",""en"")"),"['Hi', 'Developer', 'App', 'Telkomsel', 'opened']")</f>
        <v>['Hi', 'Developer', 'App', 'Telkomsel', 'opened']</v>
      </c>
      <c r="D9509" s="3">
        <v>1.0</v>
      </c>
    </row>
    <row r="9510" ht="15.75" customHeight="1">
      <c r="A9510" s="1">
        <v>10136.0</v>
      </c>
      <c r="B9510" s="3" t="s">
        <v>9130</v>
      </c>
      <c r="C9510" s="3" t="str">
        <f>IFERROR(__xludf.DUMMYFUNCTION("GOOGLETRANSLATE(B9510,""id"",""en"")"),"['knp', 'Telkomsel', 'open', 'until', 'kpn', 'rich']")</f>
        <v>['knp', 'Telkomsel', 'open', 'until', 'kpn', 'rich']</v>
      </c>
      <c r="D9510" s="3">
        <v>3.0</v>
      </c>
    </row>
    <row r="9511" ht="15.75" customHeight="1">
      <c r="A9511" s="1">
        <v>10137.0</v>
      </c>
      <c r="B9511" s="3" t="s">
        <v>9131</v>
      </c>
      <c r="C9511" s="3" t="str">
        <f>IFERROR(__xludf.DUMMYFUNCTION("GOOGLETRANSLATE(B9511,""id"",""en"")"),"['Fiks',' Season ',' UDH ',' fill in ',' credit ',' quota ',' intention ',' tbtb ',' abis', 'ilang', 'notification', 'quota', ' Credit ',' Paketan ',' expensive ',' Fiks', 'UDH', 'Mending', 'Move', ""]")</f>
        <v>['Fiks',' Season ',' UDH ',' fill in ',' credit ',' quota ',' intention ',' tbtb ',' abis', 'ilang', 'notification', 'quota', ' Credit ',' Paketan ',' expensive ',' Fiks', 'UDH', 'Mending', 'Move', "]</v>
      </c>
      <c r="D9511" s="3">
        <v>1.0</v>
      </c>
    </row>
    <row r="9512" ht="15.75" customHeight="1">
      <c r="A9512" s="1">
        <v>10138.0</v>
      </c>
      <c r="B9512" s="3" t="s">
        <v>9132</v>
      </c>
      <c r="C9512" s="3" t="str">
        <f>IFERROR(__xludf.DUMMYFUNCTION("GOOGLETRANSLATE(B9512,""id"",""en"")"),"['Contents', 'pulse', 'Season', 'Bet']")</f>
        <v>['Contents', 'pulse', 'Season', 'Bet']</v>
      </c>
      <c r="D9512" s="3">
        <v>1.0</v>
      </c>
    </row>
    <row r="9513" ht="15.75" customHeight="1">
      <c r="A9513" s="1">
        <v>10139.0</v>
      </c>
      <c r="B9513" s="3" t="s">
        <v>9133</v>
      </c>
      <c r="C9513" s="3" t="str">
        <f>IFERROR(__xludf.DUMMYFUNCTION("GOOGLETRANSLATE(B9513,""id"",""en"")"),"['Success',' Indonesia ',' Free ',' Forward ',' Network ',' Telkomsel ',' Hopefully ',' In the future ',' Indonesia ',' Improved ',' Increases', 'Quality', ' Telkomsel ',' Performance ',' Best ',' Indonseia ']")</f>
        <v>['Success',' Indonesia ',' Free ',' Forward ',' Network ',' Telkomsel ',' Hopefully ',' In the future ',' Indonesia ',' Improved ',' Increases', 'Quality', ' Telkomsel ',' Performance ',' Best ',' Indonseia ']</v>
      </c>
      <c r="D9513" s="3">
        <v>5.0</v>
      </c>
    </row>
    <row r="9514" ht="15.75" customHeight="1">
      <c r="A9514" s="1">
        <v>10140.0</v>
      </c>
      <c r="B9514" s="3" t="s">
        <v>9134</v>
      </c>
      <c r="C9514" s="3" t="str">
        <f>IFERROR(__xludf.DUMMYFUNCTION("GOOGLETRANSLATE(B9514,""id"",""en"")"),"['Please', 'fix', 'quality', 'network', 'internet']")</f>
        <v>['Please', 'fix', 'quality', 'network', 'internet']</v>
      </c>
      <c r="D9514" s="3">
        <v>3.0</v>
      </c>
    </row>
    <row r="9515" ht="15.75" customHeight="1">
      <c r="A9515" s="1">
        <v>10141.0</v>
      </c>
      <c r="B9515" s="3" t="s">
        <v>9135</v>
      </c>
      <c r="C9515" s="3" t="str">
        <f>IFERROR(__xludf.DUMMYFUNCTION("GOOGLETRANSLATE(B9515,""id"",""en"")"),"['Application', 'Calace', 'Open', 'Application', 'Error', 'Blank', ""]")</f>
        <v>['Application', 'Calace', 'Open', 'Application', 'Error', 'Blank', "]</v>
      </c>
      <c r="D9515" s="3">
        <v>1.0</v>
      </c>
    </row>
    <row r="9516" ht="15.75" customHeight="1">
      <c r="A9516" s="1">
        <v>10142.0</v>
      </c>
      <c r="B9516" s="3" t="s">
        <v>3031</v>
      </c>
      <c r="C9516" s="3" t="str">
        <f>IFERROR(__xludf.DUMMYFUNCTION("GOOGLETRANSLATE(B9516,""id"",""en"")"),"['Help', 'easy']")</f>
        <v>['Help', 'easy']</v>
      </c>
      <c r="D9516" s="3">
        <v>5.0</v>
      </c>
    </row>
    <row r="9517" ht="15.75" customHeight="1">
      <c r="A9517" s="1">
        <v>10143.0</v>
      </c>
      <c r="B9517" s="3" t="s">
        <v>9136</v>
      </c>
      <c r="C9517" s="3" t="str">
        <f>IFERROR(__xludf.DUMMYFUNCTION("GOOGLETRANSLATE(B9517,""id"",""en"")"),"['sympathy', 'disorder', 'yaa', 'cave', 'maen', 'mobile', 'legend', 'signal', 'ilang', 'broken', 'loststreak', 'please', ' Assisted ',' Restore ',' Network ',' Normal ',' Disappointed ',' Subscriptions', 'Telkomsel']")</f>
        <v>['sympathy', 'disorder', 'yaa', 'cave', 'maen', 'mobile', 'legend', 'signal', 'ilang', 'broken', 'loststreak', 'please', ' Assisted ',' Restore ',' Network ',' Normal ',' Disappointed ',' Subscriptions', 'Telkomsel']</v>
      </c>
      <c r="D9517" s="3">
        <v>1.0</v>
      </c>
    </row>
    <row r="9518" ht="15.75" customHeight="1">
      <c r="A9518" s="1">
        <v>10144.0</v>
      </c>
      <c r="B9518" s="3" t="s">
        <v>9137</v>
      </c>
      <c r="C9518" s="3" t="str">
        <f>IFERROR(__xludf.DUMMYFUNCTION("GOOGLETRANSLATE(B9518,""id"",""en"")"),"['Helpful', 'like']")</f>
        <v>['Helpful', 'like']</v>
      </c>
      <c r="D9518" s="3">
        <v>5.0</v>
      </c>
    </row>
    <row r="9519" ht="15.75" customHeight="1">
      <c r="A9519" s="1">
        <v>10145.0</v>
      </c>
      <c r="B9519" s="3" t="s">
        <v>9138</v>
      </c>
      <c r="C9519" s="3" t="str">
        <f>IFERROR(__xludf.DUMMYFUNCTION("GOOGLETRANSLATE(B9519,""id"",""en"")"),"['Star', 'ngeselin', 'judgment', 'star', 'upset', 'fox', 'star', ""]")</f>
        <v>['Star', 'ngeselin', 'judgment', 'star', 'upset', 'fox', 'star', "]</v>
      </c>
      <c r="D9519" s="3">
        <v>1.0</v>
      </c>
    </row>
    <row r="9520" ht="15.75" customHeight="1">
      <c r="A9520" s="1">
        <v>10146.0</v>
      </c>
      <c r="B9520" s="3" t="s">
        <v>9139</v>
      </c>
      <c r="C9520" s="3" t="str">
        <f>IFERROR(__xludf.DUMMYFUNCTION("GOOGLETRANSLATE(B9520,""id"",""en"")"),"['service', 'worst', 'natural', 'service', 'buy', 'quota', 'extra', 'bought', 'clock', 'disappear', 'promise', 'processed', ' Judgment ',' Results', 'Silent', 'Provider', 'Terbitai', ""]")</f>
        <v>['service', 'worst', 'natural', 'service', 'buy', 'quota', 'extra', 'bought', 'clock', 'disappear', 'promise', 'processed', ' Judgment ',' Results', 'Silent', 'Provider', 'Terbitai', "]</v>
      </c>
      <c r="D9520" s="3">
        <v>1.0</v>
      </c>
    </row>
    <row r="9521" ht="15.75" customHeight="1">
      <c r="A9521" s="1">
        <v>10147.0</v>
      </c>
      <c r="B9521" s="3" t="s">
        <v>9140</v>
      </c>
      <c r="C9521" s="3" t="str">
        <f>IFERROR(__xludf.DUMMYFUNCTION("GOOGLETRANSLATE(B9521,""id"",""en"")"),"['', 'Ribet', 'needed', 'Please', 'Quality', 'Network', 'Perfered', 'Yach', 'Service', ""]")</f>
        <v>['', 'Ribet', 'needed', 'Please', 'Quality', 'Network', 'Perfered', 'Yach', 'Service', "]</v>
      </c>
      <c r="D9521" s="3">
        <v>4.0</v>
      </c>
    </row>
    <row r="9522" ht="15.75" customHeight="1">
      <c r="A9522" s="1">
        <v>10148.0</v>
      </c>
      <c r="B9522" s="3" t="s">
        <v>9141</v>
      </c>
      <c r="C9522" s="3" t="str">
        <f>IFERROR(__xludf.DUMMYFUNCTION("GOOGLETRANSLATE(B9522,""id"",""en"")"),"['already', 'subscribe', 'Telkomsel', 'era', 'card', 'sympathy', 'confession', 'freedom', 'price', 'Telkomsel', 'expensive', 'because', ' network ',' good ',' sorry ',' disappointed ',' moved ',' card ',' next door ',' rich ',' network ',' ugly ',' super "&amp;"',' ugly ',' people ' , 'Live', 'Kampung', 'Say', 'Telkomsel', 'already', 'disappointing', 'loyalty', 'Telkomsel', 'Disi', ""]")</f>
        <v>['already', 'subscribe', 'Telkomsel', 'era', 'card', 'sympathy', 'confession', 'freedom', 'price', 'Telkomsel', 'expensive', 'because', ' network ',' good ',' sorry ',' disappointed ',' moved ',' card ',' next door ',' rich ',' network ',' ugly ',' super ',' ugly ',' people ' , 'Live', 'Kampung', 'Say', 'Telkomsel', 'already', 'disappointing', 'loyalty', 'Telkomsel', 'Disi', "]</v>
      </c>
      <c r="D9522" s="3">
        <v>1.0</v>
      </c>
    </row>
    <row r="9523" ht="15.75" customHeight="1">
      <c r="A9523" s="1">
        <v>10149.0</v>
      </c>
      <c r="B9523" s="3" t="s">
        <v>9142</v>
      </c>
      <c r="C9523" s="3" t="str">
        <f>IFERROR(__xludf.DUMMYFUNCTION("GOOGLETRANSLATE(B9523,""id"",""en"")"),"['Disruption', 'GMN', 'Open', 'Application', 'White', 'UDH', 'Uninstall', 'Install']")</f>
        <v>['Disruption', 'GMN', 'Open', 'Application', 'White', 'UDH', 'Uninstall', 'Install']</v>
      </c>
      <c r="D9523" s="3">
        <v>1.0</v>
      </c>
    </row>
    <row r="9524" ht="15.75" customHeight="1">
      <c r="A9524" s="1">
        <v>10150.0</v>
      </c>
      <c r="B9524" s="3" t="s">
        <v>9143</v>
      </c>
      <c r="C9524" s="3" t="str">
        <f>IFERROR(__xludf.DUMMYFUNCTION("GOOGLETRANSLATE(B9524,""id"",""en"")"),"['experience', 'Wear', 'Telkomsel', 'satisfying']")</f>
        <v>['experience', 'Wear', 'Telkomsel', 'satisfying']</v>
      </c>
      <c r="D9524" s="3">
        <v>5.0</v>
      </c>
    </row>
    <row r="9525" ht="15.75" customHeight="1">
      <c r="A9525" s="1">
        <v>10151.0</v>
      </c>
      <c r="B9525" s="3" t="s">
        <v>1754</v>
      </c>
      <c r="C9525" s="3" t="str">
        <f>IFERROR(__xludf.DUMMYFUNCTION("GOOGLETRANSLATE(B9525,""id"",""en"")"),"['', 'open']")</f>
        <v>['', 'open']</v>
      </c>
      <c r="D9525" s="3">
        <v>1.0</v>
      </c>
    </row>
    <row r="9526" ht="15.75" customHeight="1">
      <c r="A9526" s="1">
        <v>10152.0</v>
      </c>
      <c r="B9526" s="3" t="s">
        <v>9144</v>
      </c>
      <c r="C9526" s="3" t="str">
        <f>IFERROR(__xludf.DUMMYFUNCTION("GOOGLETRANSLATE(B9526,""id"",""en"")"),"['difficult', 'opened', 'shopping', 'how', 'company', 'biggest', 'service', 'ugly', 'really', 'please', 'maximized', 'yaa', ' application']")</f>
        <v>['difficult', 'opened', 'shopping', 'how', 'company', 'biggest', 'service', 'ugly', 'really', 'please', 'maximized', 'yaa', ' application']</v>
      </c>
      <c r="D9526" s="3">
        <v>1.0</v>
      </c>
    </row>
    <row r="9527" ht="15.75" customHeight="1">
      <c r="A9527" s="1">
        <v>10153.0</v>
      </c>
      <c r="B9527" s="3" t="s">
        <v>9145</v>
      </c>
      <c r="C9527" s="3" t="str">
        <f>IFERROR(__xludf.DUMMYFUNCTION("GOOGLETRANSLATE(B9527,""id"",""en"")"),"['times',' redeem ',' quota ',' free ',' GB ',' check ',' daily ',' succeed ',' description ',' column ',' Claim ',' click ',' Chat ',' Response ',' Bot ',' Veronica ',' Solution ',' Completion ',' ']")</f>
        <v>['times',' redeem ',' quota ',' free ',' GB ',' check ',' daily ',' succeed ',' description ',' column ',' Claim ',' click ',' Chat ',' Response ',' Bot ',' Veronica ',' Solution ',' Completion ',' ']</v>
      </c>
      <c r="D9527" s="3">
        <v>1.0</v>
      </c>
    </row>
    <row r="9528" ht="15.75" customHeight="1">
      <c r="A9528" s="1">
        <v>10154.0</v>
      </c>
      <c r="B9528" s="3" t="s">
        <v>9146</v>
      </c>
      <c r="C9528" s="3" t="str">
        <f>IFERROR(__xludf.DUMMYFUNCTION("GOOGLETRANSLATE(B9528,""id"",""en"")"),"['Disappointed', 'transaction', 'failed', 'reduced', 'pulse', 'internet', 'run out', 'please', 'replaced', 'pulses', ""]")</f>
        <v>['Disappointed', 'transaction', 'failed', 'reduced', 'pulse', 'internet', 'run out', 'please', 'replaced', 'pulses', "]</v>
      </c>
      <c r="D9528" s="3">
        <v>1.0</v>
      </c>
    </row>
    <row r="9529" ht="15.75" customHeight="1">
      <c r="A9529" s="1">
        <v>10155.0</v>
      </c>
      <c r="B9529" s="3" t="s">
        <v>9147</v>
      </c>
      <c r="C9529" s="3" t="str">
        <f>IFERROR(__xludf.DUMMYFUNCTION("GOOGLETRANSLATE(B9529,""id"",""en"")"),"['Sya', 'Mnyukai', 'Application', 'Telkosel', 'Karna', 'bnyak', 'promo', 'exchange', 'point', 'dngn', 'check', 'every time']")</f>
        <v>['Sya', 'Mnyukai', 'Application', 'Telkosel', 'Karna', 'bnyak', 'promo', 'exchange', 'point', 'dngn', 'check', 'every time']</v>
      </c>
      <c r="D9529" s="3">
        <v>5.0</v>
      </c>
    </row>
    <row r="9530" ht="15.75" customHeight="1">
      <c r="A9530" s="1">
        <v>10156.0</v>
      </c>
      <c r="B9530" s="3" t="s">
        <v>9148</v>
      </c>
      <c r="C9530" s="3" t="str">
        <f>IFERROR(__xludf.DUMMYFUNCTION("GOOGLETRANSLATE(B9530,""id"",""en"")"),"['rotten', 'open', 'slow']")</f>
        <v>['rotten', 'open', 'slow']</v>
      </c>
      <c r="D9530" s="3">
        <v>1.0</v>
      </c>
    </row>
    <row r="9531" ht="15.75" customHeight="1">
      <c r="A9531" s="1">
        <v>10158.0</v>
      </c>
      <c r="B9531" s="3" t="s">
        <v>9149</v>
      </c>
      <c r="C9531" s="3" t="str">
        <f>IFERROR(__xludf.DUMMYFUNCTION("GOOGLETRANSLATE(B9531,""id"",""en"")"),"['difficult', 'open', 'the application']")</f>
        <v>['difficult', 'open', 'the application']</v>
      </c>
      <c r="D9531" s="3">
        <v>1.0</v>
      </c>
    </row>
    <row r="9532" ht="15.75" customHeight="1">
      <c r="A9532" s="1">
        <v>10159.0</v>
      </c>
      <c r="B9532" s="3" t="s">
        <v>9150</v>
      </c>
      <c r="C9532" s="3" t="str">
        <f>IFERROR(__xludf.DUMMYFUNCTION("GOOGLETRANSLATE(B9532,""id"",""en"")"),"['Application', 'Bagsss']")</f>
        <v>['Application', 'Bagsss']</v>
      </c>
      <c r="D9532" s="3">
        <v>5.0</v>
      </c>
    </row>
    <row r="9533" ht="15.75" customHeight="1">
      <c r="A9533" s="1">
        <v>10160.0</v>
      </c>
      <c r="B9533" s="3" t="s">
        <v>9151</v>
      </c>
      <c r="C9533" s="3" t="str">
        <f>IFERROR(__xludf.DUMMYFUNCTION("GOOGLETRANSLATE(B9533,""id"",""en"")"),"['', 'Telkomsel', 'steady', 'borrow']")</f>
        <v>['', 'Telkomsel', 'steady', 'borrow']</v>
      </c>
      <c r="D9533" s="3">
        <v>5.0</v>
      </c>
    </row>
    <row r="9534" ht="15.75" customHeight="1">
      <c r="A9534" s="1">
        <v>10161.0</v>
      </c>
      <c r="B9534" s="3" t="s">
        <v>9152</v>
      </c>
      <c r="C9534" s="3" t="str">
        <f>IFERROR(__xludf.DUMMYFUNCTION("GOOGLETRANSLATE(B9534,""id"",""en"")"),"['connection', 'bad', 'gajelas', 'telephone', 'connect', 'reset']")</f>
        <v>['connection', 'bad', 'gajelas', 'telephone', 'connect', 'reset']</v>
      </c>
      <c r="D9534" s="3">
        <v>1.0</v>
      </c>
    </row>
    <row r="9535" ht="15.75" customHeight="1">
      <c r="A9535" s="1">
        <v>10162.0</v>
      </c>
      <c r="B9535" s="3" t="s">
        <v>9153</v>
      </c>
      <c r="C9535" s="3" t="str">
        <f>IFERROR(__xludf.DUMMYFUNCTION("GOOGLETRANSLATE(B9535,""id"",""en"")"),"['network', 'Telkomsel', 'yaa', 'understand', 'th', 'broken', 'severe', 'chat', 'Veronika', 'millions',' times', 'complaint', ' Road ',' Bln ',' Tomorrow ',' Switch ',' Profider ',' Disappointed ',' Very ',' ']")</f>
        <v>['network', 'Telkomsel', 'yaa', 'understand', 'th', 'broken', 'severe', 'chat', 'Veronika', 'millions',' times', 'complaint', ' Road ',' Bln ',' Tomorrow ',' Switch ',' Profider ',' Disappointed ',' Very ',' ']</v>
      </c>
      <c r="D9535" s="3">
        <v>1.0</v>
      </c>
    </row>
    <row r="9536" ht="15.75" customHeight="1">
      <c r="A9536" s="1">
        <v>10163.0</v>
      </c>
      <c r="B9536" s="3" t="s">
        <v>9154</v>
      </c>
      <c r="C9536" s="3" t="str">
        <f>IFERROR(__xludf.DUMMYFUNCTION("GOOGLETRANSLATE(B9536,""id"",""en"")"),"['ugly', 'quota', 'slow', 'what', '']")</f>
        <v>['ugly', 'quota', 'slow', 'what', '']</v>
      </c>
      <c r="D9536" s="3">
        <v>1.0</v>
      </c>
    </row>
    <row r="9537" ht="15.75" customHeight="1">
      <c r="A9537" s="1">
        <v>10164.0</v>
      </c>
      <c r="B9537" s="3" t="s">
        <v>9155</v>
      </c>
      <c r="C9537" s="3" t="str">
        <f>IFERROR(__xludf.DUMMYFUNCTION("GOOGLETRANSLATE(B9537,""id"",""en"")"),"['The application', 'good', 'package', 'Not bad', 'expensive', '']")</f>
        <v>['The application', 'good', 'package', 'Not bad', 'expensive', '']</v>
      </c>
      <c r="D9537" s="3">
        <v>5.0</v>
      </c>
    </row>
    <row r="9538" ht="15.75" customHeight="1">
      <c r="A9538" s="1">
        <v>10165.0</v>
      </c>
      <c r="B9538" s="3" t="s">
        <v>9156</v>
      </c>
      <c r="C9538" s="3" t="str">
        <f>IFERROR(__xludf.DUMMYFUNCTION("GOOGLETRANSLATE(B9538,""id"",""en"")"),"['', 'Taun', 'use', 'telkemsol', 'times',' nyesel ',' Telkomsel ',' NOT ',' good ',' rotten ',' already ',' signal ',' ugly ',' appears', 'fix', 'blame', 'customers',' Telkomsel ',' missing ',' ']")</f>
        <v>['', 'Taun', 'use', 'telkemsol', 'times',' nyesel ',' Telkomsel ',' NOT ',' good ',' rotten ',' already ',' signal ',' ugly ',' appears', 'fix', 'blame', 'customers',' Telkomsel ',' missing ',' ']</v>
      </c>
      <c r="D9538" s="3">
        <v>1.0</v>
      </c>
    </row>
    <row r="9539" ht="15.75" customHeight="1">
      <c r="A9539" s="1">
        <v>10166.0</v>
      </c>
      <c r="B9539" s="3" t="s">
        <v>9157</v>
      </c>
      <c r="C9539" s="3" t="str">
        <f>IFERROR(__xludf.DUMMYFUNCTION("GOOGLETRANSLATE(B9539,""id"",""en"")"),"['Good', 'access', 'Bangking']")</f>
        <v>['Good', 'access', 'Bangking']</v>
      </c>
      <c r="D9539" s="3">
        <v>5.0</v>
      </c>
    </row>
    <row r="9540" ht="15.75" customHeight="1">
      <c r="A9540" s="1">
        <v>10167.0</v>
      </c>
      <c r="B9540" s="3" t="s">
        <v>9158</v>
      </c>
      <c r="C9540" s="3" t="str">
        <f>IFERROR(__xludf.DUMMYFUNCTION("GOOGLETRANSLATE(B9540,""id"",""en"")"),"['December', 'Telkomsel', 'how', 'subscribe', 'Telkomsel', 'difficult', 'really', 'yesterday', 'quota', 'unlimited', 'turn', 'buy', ' lost']")</f>
        <v>['December', 'Telkomsel', 'how', 'subscribe', 'Telkomsel', 'difficult', 'really', 'yesterday', 'quota', 'unlimited', 'turn', 'buy', ' lost']</v>
      </c>
      <c r="D9540" s="3">
        <v>1.0</v>
      </c>
    </row>
    <row r="9541" ht="15.75" customHeight="1">
      <c r="A9541" s="1">
        <v>10168.0</v>
      </c>
      <c r="B9541" s="3" t="s">
        <v>9159</v>
      </c>
      <c r="C9541" s="3" t="str">
        <f>IFERROR(__xludf.DUMMYFUNCTION("GOOGLETRANSLATE(B9541,""id"",""en"")"),"['Credit', 'Cut', 'Day', 'Card', 'Subscribe', 'Package', 'Whatever', 'NSP', 'Live', 'Internet', 'No', 'Try', ' Cut ',' pulse ']")</f>
        <v>['Credit', 'Cut', 'Day', 'Card', 'Subscribe', 'Package', 'Whatever', 'NSP', 'Live', 'Internet', 'No', 'Try', ' Cut ',' pulse ']</v>
      </c>
      <c r="D9541" s="3">
        <v>1.0</v>
      </c>
    </row>
    <row r="9542" ht="15.75" customHeight="1">
      <c r="A9542" s="1">
        <v>10169.0</v>
      </c>
      <c r="B9542" s="3" t="s">
        <v>9160</v>
      </c>
      <c r="C9542" s="3" t="str">
        <f>IFERROR(__xludf.DUMMYFUNCTION("GOOGLETRANSLATE(B9542,""id"",""en"")"),"['already', 'That's', 'Greetings', 'Binjai']")</f>
        <v>['already', 'That's', 'Greetings', 'Binjai']</v>
      </c>
      <c r="D9542" s="3">
        <v>5.0</v>
      </c>
    </row>
    <row r="9543" ht="15.75" customHeight="1">
      <c r="A9543" s="1">
        <v>10170.0</v>
      </c>
      <c r="B9543" s="3" t="s">
        <v>9161</v>
      </c>
      <c r="C9543" s="3" t="str">
        <f>IFERROR(__xludf.DUMMYFUNCTION("GOOGLETRANSLATE(B9543,""id"",""en"")"),"['steady', 'regret', 'help', ""]")</f>
        <v>['steady', 'regret', 'help', "]</v>
      </c>
      <c r="D9543" s="3">
        <v>5.0</v>
      </c>
    </row>
    <row r="9544" ht="15.75" customHeight="1">
      <c r="A9544" s="1">
        <v>10171.0</v>
      </c>
      <c r="B9544" s="3" t="s">
        <v>9162</v>
      </c>
      <c r="C9544" s="3" t="str">
        <f>IFERROR(__xludf.DUMMYFUNCTION("GOOGLETRANSLATE(B9544,""id"",""en"")"),"['Hopefully', 'repaired', 'Performance']")</f>
        <v>['Hopefully', 'repaired', 'Performance']</v>
      </c>
      <c r="D9544" s="3">
        <v>5.0</v>
      </c>
    </row>
    <row r="9545" ht="15.75" customHeight="1">
      <c r="A9545" s="1">
        <v>10172.0</v>
      </c>
      <c r="B9545" s="3" t="s">
        <v>6264</v>
      </c>
      <c r="C9545" s="3" t="str">
        <f>IFERROR(__xludf.DUMMYFUNCTION("GOOGLETRANSLATE(B9545,""id"",""en"")"),"['disappointing', '']")</f>
        <v>['disappointing', '']</v>
      </c>
      <c r="D9545" s="3">
        <v>1.0</v>
      </c>
    </row>
    <row r="9546" ht="15.75" customHeight="1">
      <c r="A9546" s="1">
        <v>10173.0</v>
      </c>
      <c r="B9546" s="3" t="s">
        <v>1100</v>
      </c>
      <c r="C9546" s="3" t="str">
        <f>IFERROR(__xludf.DUMMYFUNCTION("GOOGLETRANSLATE(B9546,""id"",""en"")"),"['Process', 'fast']")</f>
        <v>['Process', 'fast']</v>
      </c>
      <c r="D9546" s="3">
        <v>5.0</v>
      </c>
    </row>
    <row r="9547" ht="15.75" customHeight="1">
      <c r="A9547" s="1">
        <v>10174.0</v>
      </c>
      <c r="B9547" s="3" t="s">
        <v>9163</v>
      </c>
      <c r="C9547" s="3" t="str">
        <f>IFERROR(__xludf.DUMMYFUNCTION("GOOGLETRANSLATE(B9547,""id"",""en"")"),"['pulse', 'suck']")</f>
        <v>['pulse', 'suck']</v>
      </c>
      <c r="D9547" s="3">
        <v>1.0</v>
      </c>
    </row>
    <row r="9548" ht="15.75" customHeight="1">
      <c r="A9548" s="1">
        <v>10175.0</v>
      </c>
      <c r="B9548" s="3" t="s">
        <v>3538</v>
      </c>
      <c r="C9548" s="3" t="str">
        <f>IFERROR(__xludf.DUMMYFUNCTION("GOOGLETRANSLATE(B9548,""id"",""en"")"),"['APK', 'Open', '']")</f>
        <v>['APK', 'Open', '']</v>
      </c>
      <c r="D9548" s="3">
        <v>1.0</v>
      </c>
    </row>
    <row r="9549" ht="15.75" customHeight="1">
      <c r="A9549" s="1">
        <v>10176.0</v>
      </c>
      <c r="B9549" s="3" t="s">
        <v>9164</v>
      </c>
      <c r="C9549" s="3" t="str">
        <f>IFERROR(__xludf.DUMMYFUNCTION("GOOGLETRANSLATE(B9549,""id"",""en"")"),"['UNLIMITED', 'unlimited', 'quota', 'internet', 'multimedia', 'run out', 'slow', 'disappointed', '']")</f>
        <v>['UNLIMITED', 'unlimited', 'quota', 'internet', 'multimedia', 'run out', 'slow', 'disappointed', '']</v>
      </c>
      <c r="D9549" s="3">
        <v>1.0</v>
      </c>
    </row>
    <row r="9550" ht="15.75" customHeight="1">
      <c r="A9550" s="1">
        <v>10177.0</v>
      </c>
      <c r="B9550" s="3" t="s">
        <v>9165</v>
      </c>
      <c r="C9550" s="3" t="str">
        <f>IFERROR(__xludf.DUMMYFUNCTION("GOOGLETRANSLATE(B9550,""id"",""en"")"),"['Difficult', 'Install']")</f>
        <v>['Difficult', 'Install']</v>
      </c>
      <c r="D9550" s="3">
        <v>2.0</v>
      </c>
    </row>
    <row r="9551" ht="15.75" customHeight="1">
      <c r="A9551" s="1">
        <v>10178.0</v>
      </c>
      <c r="B9551" s="3" t="s">
        <v>9166</v>
      </c>
      <c r="C9551" s="3" t="str">
        <f>IFERROR(__xludf.DUMMYFUNCTION("GOOGLETRANSLATE(B9551,""id"",""en"")"),"['Application', 'Open', 'Tolo']")</f>
        <v>['Application', 'Open', 'Tolo']</v>
      </c>
      <c r="D9551" s="3">
        <v>1.0</v>
      </c>
    </row>
    <row r="9552" ht="15.75" customHeight="1">
      <c r="A9552" s="1">
        <v>10179.0</v>
      </c>
      <c r="B9552" s="3" t="s">
        <v>9167</v>
      </c>
      <c r="C9552" s="3" t="str">
        <f>IFERROR(__xludf.DUMMYFUNCTION("GOOGLETRANSLATE(B9552,""id"",""en"")"),"['Application', 'Helpful']")</f>
        <v>['Application', 'Helpful']</v>
      </c>
      <c r="D9552" s="3">
        <v>5.0</v>
      </c>
    </row>
    <row r="9553" ht="15.75" customHeight="1">
      <c r="A9553" s="1">
        <v>10180.0</v>
      </c>
      <c r="B9553" s="3" t="s">
        <v>9168</v>
      </c>
      <c r="C9553" s="3" t="str">
        <f>IFERROR(__xludf.DUMMYFUNCTION("GOOGLETRANSLATE(B9553,""id"",""en"")"),"['Internet', 'Sakti', 'pliiiis', '']")</f>
        <v>['Internet', 'Sakti', 'pliiiis', '']</v>
      </c>
      <c r="D9553" s="3">
        <v>5.0</v>
      </c>
    </row>
    <row r="9554" ht="15.75" customHeight="1">
      <c r="A9554" s="1">
        <v>10181.0</v>
      </c>
      <c r="B9554" s="3" t="s">
        <v>9169</v>
      </c>
      <c r="C9554" s="3" t="str">
        <f>IFERROR(__xludf.DUMMYFUNCTION("GOOGLETRANSLATE(B9554,""id"",""en"")"),"['Telkomsel', 'trusted', 'buy', 'package', 'Sakti', 'package', 'call', 'monthly', 'bought', 'Telkomsel', 'back', 'my money', ' You're ',' Think ',' Cape ',' Look ',' Money ',' You ',' Reply ',' Email ',' You ',' Delete ',' Comment ',' Yaaa ', ""]")</f>
        <v>['Telkomsel', 'trusted', 'buy', 'package', 'Sakti', 'package', 'call', 'monthly', 'bought', 'Telkomsel', 'back', 'my money', ' You're ',' Think ',' Cape ',' Look ',' Money ',' You ',' Reply ',' Email ',' You ',' Delete ',' Comment ',' Yaaa ', "]</v>
      </c>
      <c r="D9554" s="3">
        <v>1.0</v>
      </c>
    </row>
    <row r="9555" ht="15.75" customHeight="1">
      <c r="A9555" s="1">
        <v>10182.0</v>
      </c>
      <c r="B9555" s="3" t="s">
        <v>9170</v>
      </c>
      <c r="C9555" s="3" t="str">
        <f>IFERROR(__xludf.DUMMYFUNCTION("GOOGLETRANSLATE(B9555,""id"",""en"")"),"['chat', 'bales', 'bet', 'asw', 'already', 'signal', 'lag', 'really', 'mending', 'type', 'operator']")</f>
        <v>['chat', 'bales', 'bet', 'asw', 'already', 'signal', 'lag', 'really', 'mending', 'type', 'operator']</v>
      </c>
      <c r="D9555" s="3">
        <v>1.0</v>
      </c>
    </row>
    <row r="9556" ht="15.75" customHeight="1">
      <c r="A9556" s="1">
        <v>10183.0</v>
      </c>
      <c r="B9556" s="3" t="s">
        <v>9171</v>
      </c>
      <c r="C9556" s="3" t="str">
        <f>IFERROR(__xludf.DUMMYFUNCTION("GOOGLETRANSLATE(B9556,""id"",""en"")"),"['oath', 'really', 'switch', 'account', 'number', 'session', 'run out', 'so', 'then', 'repeat', 'times']")</f>
        <v>['oath', 'really', 'switch', 'account', 'number', 'session', 'run out', 'so', 'then', 'repeat', 'times']</v>
      </c>
      <c r="D9556" s="3">
        <v>1.0</v>
      </c>
    </row>
    <row r="9557" ht="15.75" customHeight="1">
      <c r="A9557" s="1">
        <v>10184.0</v>
      </c>
      <c r="B9557" s="3" t="s">
        <v>9172</v>
      </c>
      <c r="C9557" s="3" t="str">
        <f>IFERROR(__xludf.DUMMYFUNCTION("GOOGLETRANSLATE(B9557,""id"",""en"")"),"['Telkomsel', 'Gaada', 'Choice', 'Package', 'That's',' Sometimes', 'Like', 'Loss',' Sometimes', 'Package', 'Dri', 'Sklh', ' package ',' bought ',' banyk ',' package ',' buy ',' boundary ',' gitukan ',' package ',' sklh ',' limit ',' bet ',' package ',' sk"&amp;"lh ' , 'dlu', 'kurasin', 'package', 'boundary', 'coakes',' package ',' buy ',' oath ',' sometimes', 'regret', 'bet', 'buy', ' Please, 'Change', 'That's', 'Org', 'Loss', '']")</f>
        <v>['Telkomsel', 'Gaada', 'Choice', 'Package', 'That's',' Sometimes', 'Like', 'Loss',' Sometimes', 'Package', 'Dri', 'Sklh', ' package ',' bought ',' banyk ',' package ',' buy ',' boundary ',' gitukan ',' package ',' sklh ',' limit ',' bet ',' package ',' sklh ' , 'dlu', 'kurasin', 'package', 'boundary', 'coakes',' package ',' buy ',' oath ',' sometimes', 'regret', 'bet', 'buy', ' Please, 'Change', 'That's', 'Org', 'Loss', '']</v>
      </c>
      <c r="D9557" s="3">
        <v>2.0</v>
      </c>
    </row>
    <row r="9558" ht="15.75" customHeight="1">
      <c r="A9558" s="1">
        <v>10185.0</v>
      </c>
      <c r="B9558" s="3" t="s">
        <v>9173</v>
      </c>
      <c r="C9558" s="3" t="str">
        <f>IFERROR(__xludf.DUMMYFUNCTION("GOOGLETRANSLATE(B9558,""id"",""en"")"),"['', 'Klu', 'good', 'go up', 'star']")</f>
        <v>['', 'Klu', 'good', 'go up', 'star']</v>
      </c>
      <c r="D9558" s="3">
        <v>3.0</v>
      </c>
    </row>
    <row r="9559" ht="15.75" customHeight="1">
      <c r="A9559" s="1">
        <v>10186.0</v>
      </c>
      <c r="B9559" s="3" t="s">
        <v>9174</v>
      </c>
      <c r="C9559" s="3" t="str">
        <f>IFERROR(__xludf.DUMMYFUNCTION("GOOGLETRANSLATE(B9559,""id"",""en"")"),"['application', 'Telkomsel', 'open', 'yaa', 'disappointed', 'bangat', 'because' change ',' already ',' delete ',' then 'dowload', ' Open ',' Application ',' jerk ',' Honest ',' Darling ',' Disappointed ',' Karna ',' Use ',' Application ',' Telkomsel ',' C"&amp;"hatt ',' Veronika ',' Telkomsel ' , 'Mesager', 'Option', 'Live', 'Pekah', 'The result', 'spends', 'quota', 'please', 'disappointed', ""]")</f>
        <v>['application', 'Telkomsel', 'open', 'yaa', 'disappointed', 'bangat', 'because' change ',' already ',' delete ',' then 'dowload', ' Open ',' Application ',' jerk ',' Honest ',' Darling ',' Disappointed ',' Karna ',' Use ',' Application ',' Telkomsel ',' Chatt ',' Veronika ',' Telkomsel ' , 'Mesager', 'Option', 'Live', 'Pekah', 'The result', 'spends', 'quota', 'please', 'disappointed', "]</v>
      </c>
      <c r="D9559" s="3">
        <v>3.0</v>
      </c>
    </row>
    <row r="9560" ht="15.75" customHeight="1">
      <c r="A9560" s="1">
        <v>10187.0</v>
      </c>
      <c r="B9560" s="3" t="s">
        <v>9175</v>
      </c>
      <c r="C9560" s="3" t="str">
        <f>IFERROR(__xludf.DUMMYFUNCTION("GOOGLETRANSLATE(B9560,""id"",""en"")"),"['Open', 'the application', 'opened', 'screen', 'color', 'white', 'what', 'purpose', 'apk', 'difficult', 'people', 'use', ' APK ',' APK ',' Useful ',' ']")</f>
        <v>['Open', 'the application', 'opened', 'screen', 'color', 'white', 'what', 'purpose', 'apk', 'difficult', 'people', 'use', ' APK ',' APK ',' Useful ',' ']</v>
      </c>
      <c r="D9560" s="3">
        <v>1.0</v>
      </c>
    </row>
    <row r="9561" ht="15.75" customHeight="1">
      <c r="A9561" s="1">
        <v>10188.0</v>
      </c>
      <c r="B9561" s="3" t="s">
        <v>9176</v>
      </c>
      <c r="C9561" s="3" t="str">
        <f>IFERROR(__xludf.DUMMYFUNCTION("GOOGLETRANSLATE(B9561,""id"",""en"")"),"['MyTelkomsel', 'good', 'buy', 'package', 'nelfon', 'difficult', 'offered', 'Nelfon', 'Negri', 'strange']")</f>
        <v>['MyTelkomsel', 'good', 'buy', 'package', 'nelfon', 'difficult', 'offered', 'Nelfon', 'Negri', 'strange']</v>
      </c>
      <c r="D9561" s="3">
        <v>4.0</v>
      </c>
    </row>
    <row r="9562" ht="15.75" customHeight="1">
      <c r="A9562" s="1">
        <v>10189.0</v>
      </c>
      <c r="B9562" s="3" t="s">
        <v>9177</v>
      </c>
      <c r="C9562" s="3" t="str">
        <f>IFERROR(__xludf.DUMMYFUNCTION("GOOGLETRANSLATE(B9562,""id"",""en"")"),"['December', 'Sekarsng', 'Application', 'Telkomsel', 'White', 'Screen', 'Tel', 'CARE', 'Online', 'Following', 'suggestion', 'given', ' zonk ',' ngeapain ',' telephone ',' care ',' online ',' result ',' DAJ ',' complain ',' please ',' solution ']")</f>
        <v>['December', 'Sekarsng', 'Application', 'Telkomsel', 'White', 'Screen', 'Tel', 'CARE', 'Online', 'Following', 'suggestion', 'given', ' zonk ',' ngeapain ',' telephone ',' care ',' online ',' result ',' DAJ ',' complain ',' please ',' solution ']</v>
      </c>
      <c r="D9562" s="3">
        <v>1.0</v>
      </c>
    </row>
    <row r="9563" ht="15.75" customHeight="1">
      <c r="A9563" s="1">
        <v>10190.0</v>
      </c>
      <c r="B9563" s="3" t="s">
        <v>9178</v>
      </c>
      <c r="C9563" s="3" t="str">
        <f>IFERROR(__xludf.DUMMYFUNCTION("GOOGLETRANSLATE(B9563,""id"",""en"")"),"['Samapai', 'Open', 'Application', 'Many', 'Download', 'Delete', 'Solution', 'Donk', 'Min', ""]")</f>
        <v>['Samapai', 'Open', 'Application', 'Many', 'Download', 'Delete', 'Solution', 'Donk', 'Min', "]</v>
      </c>
      <c r="D9563" s="3">
        <v>1.0</v>
      </c>
    </row>
    <row r="9564" ht="15.75" customHeight="1">
      <c r="A9564" s="1">
        <v>10191.0</v>
      </c>
      <c r="B9564" s="3" t="s">
        <v>9179</v>
      </c>
      <c r="C9564" s="3" t="str">
        <f>IFERROR(__xludf.DUMMYFUNCTION("GOOGLETRANSLATE(B9564,""id"",""en"")"),"['card', 'lol', 'price', 'quota', 'expensive', 'cheap', 'signal', 'lag', 'mulu', 'please', 'fix', ""]")</f>
        <v>['card', 'lol', 'price', 'quota', 'expensive', 'cheap', 'signal', 'lag', 'mulu', 'please', 'fix', "]</v>
      </c>
      <c r="D9564" s="3">
        <v>1.0</v>
      </c>
    </row>
    <row r="9565" ht="15.75" customHeight="1">
      <c r="A9565" s="1">
        <v>10192.0</v>
      </c>
      <c r="B9565" s="3" t="s">
        <v>9180</v>
      </c>
      <c r="C9565" s="3" t="str">
        <f>IFERROR(__xludf.DUMMYFUNCTION("GOOGLETRANSLATE(B9565,""id"",""en"")"),"['Price', 'Package', 'Data', 'Expensive', 'Customer', 'Setia', 'Telkomsel']")</f>
        <v>['Price', 'Package', 'Data', 'Expensive', 'Customer', 'Setia', 'Telkomsel']</v>
      </c>
      <c r="D9565" s="3">
        <v>2.0</v>
      </c>
    </row>
    <row r="9566" ht="15.75" customHeight="1">
      <c r="A9566" s="1">
        <v>10193.0</v>
      </c>
      <c r="B9566" s="3" t="s">
        <v>9181</v>
      </c>
      <c r="C9566" s="3" t="str">
        <f>IFERROR(__xludf.DUMMYFUNCTION("GOOGLETRANSLATE(B9566,""id"",""en"")"),"['application', 'open', 'uninstall', 'log', 'open', 'what', 'wrong', 'mytelkomsel', 'lsg', 'reply', 'deh', 'lbh', ' practical ',' told ',' hub ']")</f>
        <v>['application', 'open', 'uninstall', 'log', 'open', 'what', 'wrong', 'mytelkomsel', 'lsg', 'reply', 'deh', 'lbh', ' practical ',' told ',' hub ']</v>
      </c>
      <c r="D9566" s="3">
        <v>2.0</v>
      </c>
    </row>
    <row r="9567" ht="15.75" customHeight="1">
      <c r="A9567" s="1">
        <v>10194.0</v>
      </c>
      <c r="B9567" s="3" t="s">
        <v>9182</v>
      </c>
      <c r="C9567" s="3" t="str">
        <f>IFERROR(__xludf.DUMMYFUNCTION("GOOGLETRANSLATE(B9567,""id"",""en"")"),"['Purchase', 'Package', 'Easy', 'BNYAK', 'Event', 'Follow', 'Win', 'Gift', 'Free']")</f>
        <v>['Purchase', 'Package', 'Easy', 'BNYAK', 'Event', 'Follow', 'Win', 'Gift', 'Free']</v>
      </c>
      <c r="D9567" s="3">
        <v>5.0</v>
      </c>
    </row>
    <row r="9568" ht="15.75" customHeight="1">
      <c r="A9568" s="1">
        <v>10195.0</v>
      </c>
      <c r="B9568" s="3" t="s">
        <v>9183</v>
      </c>
      <c r="C9568" s="3" t="str">
        <f>IFERROR(__xludf.DUMMYFUNCTION("GOOGLETRANSLATE(B9568,""id"",""en"")"),"['Tissue', 'Telkomsel', 'North Sumatra', 'deteriorated', 'users',' Telkomsel ',' North Sumatra ',' troubled ',' Tipu ',' Katany ',' quota ',' GB ',' Switching ',' Points', 'IDR', 'Credit', 'right', 'exchanged', 'Kagk', 'Can', 'Tired', 'Change', 'card', 't"&amp;"hen']")</f>
        <v>['Tissue', 'Telkomsel', 'North Sumatra', 'deteriorated', 'users',' Telkomsel ',' North Sumatra ',' troubled ',' Tipu ',' Katany ',' quota ',' GB ',' Switching ',' Points', 'IDR', 'Credit', 'right', 'exchanged', 'Kagk', 'Can', 'Tired', 'Change', 'card', 'then']</v>
      </c>
      <c r="D9568" s="3">
        <v>1.0</v>
      </c>
    </row>
    <row r="9569" ht="15.75" customHeight="1">
      <c r="A9569" s="1">
        <v>10196.0</v>
      </c>
      <c r="B9569" s="3" t="s">
        <v>9184</v>
      </c>
      <c r="C9569" s="3" t="str">
        <f>IFERROR(__xludf.DUMMYFUNCTION("GOOGLETRANSLATE(B9569,""id"",""en"")"),"['The application', 'interesting', 'Install', 'Install', 'buy', 'package', 'internet', 'check', 'connection', 'repeat', 'minute', 'Please', ' explanization ',' uninstall ']")</f>
        <v>['The application', 'interesting', 'Install', 'Install', 'buy', 'package', 'internet', 'check', 'connection', 'repeat', 'minute', 'Please', ' explanization ',' uninstall ']</v>
      </c>
      <c r="D9569" s="3">
        <v>1.0</v>
      </c>
    </row>
    <row r="9570" ht="15.75" customHeight="1">
      <c r="A9570" s="1">
        <v>10197.0</v>
      </c>
      <c r="B9570" s="3" t="s">
        <v>9185</v>
      </c>
      <c r="C9570" s="3" t="str">
        <f>IFERROR(__xludf.DUMMYFUNCTION("GOOGLETRANSLATE(B9570,""id"",""en"")"),"['Thanks', 'Telkomsel', 'Hopefully', 'Allah', 'Reply', 'Your Goodness']")</f>
        <v>['Thanks', 'Telkomsel', 'Hopefully', 'Allah', 'Reply', 'Your Goodness']</v>
      </c>
      <c r="D9570" s="3">
        <v>5.0</v>
      </c>
    </row>
    <row r="9571" ht="15.75" customHeight="1">
      <c r="A9571" s="1">
        <v>10198.0</v>
      </c>
      <c r="B9571" s="3" t="s">
        <v>9186</v>
      </c>
      <c r="C9571" s="3" t="str">
        <f>IFERROR(__xludf.DUMMYFUNCTION("GOOGLETRANSLATE(B9571,""id"",""en"")"),"['Error', 'Mulu', 'buy', 'Package', '']")</f>
        <v>['Error', 'Mulu', 'buy', 'Package', '']</v>
      </c>
      <c r="D9571" s="3">
        <v>2.0</v>
      </c>
    </row>
    <row r="9572" ht="15.75" customHeight="1">
      <c r="A9572" s="1">
        <v>10199.0</v>
      </c>
      <c r="B9572" s="3" t="s">
        <v>9187</v>
      </c>
      <c r="C9572" s="3" t="str">
        <f>IFERROR(__xludf.DUMMYFUNCTION("GOOGLETRANSLATE(B9572,""id"",""en"")"),"['Login', 'Telkomsel', 'Screen', 'Direct', 'White']")</f>
        <v>['Login', 'Telkomsel', 'Screen', 'Direct', 'White']</v>
      </c>
      <c r="D9572" s="3">
        <v>1.0</v>
      </c>
    </row>
    <row r="9573" ht="15.75" customHeight="1">
      <c r="A9573" s="1">
        <v>10200.0</v>
      </c>
      <c r="B9573" s="3" t="s">
        <v>9188</v>
      </c>
      <c r="C9573" s="3" t="str">
        <f>IFERROR(__xludf.DUMMYFUNCTION("GOOGLETRANSLATE(B9573,""id"",""en"")"),"['Provides', 'Information', 'Billing', 'Points', 'Lottery', 'Features', 'Service', 'Provided', 'Telkomsel', 'Customer', 'Cards', 'Hello']")</f>
        <v>['Provides', 'Information', 'Billing', 'Points', 'Lottery', 'Features', 'Service', 'Provided', 'Telkomsel', 'Customer', 'Cards', 'Hello']</v>
      </c>
      <c r="D9573" s="3">
        <v>5.0</v>
      </c>
    </row>
    <row r="9574" ht="15.75" customHeight="1">
      <c r="A9574" s="1">
        <v>10201.0</v>
      </c>
      <c r="B9574" s="3" t="s">
        <v>9189</v>
      </c>
      <c r="C9574" s="3" t="str">
        <f>IFERROR(__xludf.DUMMYFUNCTION("GOOGLETRANSLATE(B9574,""id"",""en"")"),"['Buy', 'Check', 'Quota', 'APK', 'Simple', 'Out', 'Update', 'Opened', ""]")</f>
        <v>['Buy', 'Check', 'Quota', 'APK', 'Simple', 'Out', 'Update', 'Opened', "]</v>
      </c>
      <c r="D9574" s="3">
        <v>1.0</v>
      </c>
    </row>
    <row r="9575" ht="15.75" customHeight="1">
      <c r="A9575" s="1">
        <v>10202.0</v>
      </c>
      <c r="B9575" s="3" t="s">
        <v>9190</v>
      </c>
      <c r="C9575" s="3" t="str">
        <f>IFERROR(__xludf.DUMMYFUNCTION("GOOGLETRANSLATE(B9575,""id"",""en"")"),"['Satisfied', 'service', 'Telkomsel', 'Telkomsel', 'weve', 'steady', 'bigger', 'spacious', 'smooth', 'download', '']")</f>
        <v>['Satisfied', 'service', 'Telkomsel', 'Telkomsel', 'weve', 'steady', 'bigger', 'spacious', 'smooth', 'download', '']</v>
      </c>
      <c r="D9575" s="3">
        <v>5.0</v>
      </c>
    </row>
    <row r="9576" ht="15.75" customHeight="1">
      <c r="A9576" s="1">
        <v>10203.0</v>
      </c>
      <c r="B9576" s="3" t="s">
        <v>9191</v>
      </c>
      <c r="C9576" s="3" t="str">
        <f>IFERROR(__xludf.DUMMYFUNCTION("GOOGLETRANSLATE(B9576,""id"",""en"")"),"['Star', 'Sorry', 'ilang', 'Star', 'Point', 'Collected', 'Reward', 'Reward', 'Data', 'Data', 'GB', 'Burns',' Point ',' collected ',' contents', 'pulse', 'min', 'point', 'boss',' Telkomsel ',' complicated ',' package ',' expensive ']")</f>
        <v>['Star', 'Sorry', 'ilang', 'Star', 'Point', 'Collected', 'Reward', 'Reward', 'Data', 'Data', 'GB', 'Burns',' Point ',' collected ',' contents', 'pulse', 'min', 'point', 'boss',' Telkomsel ',' complicated ',' package ',' expensive ']</v>
      </c>
      <c r="D9576" s="3">
        <v>4.0</v>
      </c>
    </row>
    <row r="9577" ht="15.75" customHeight="1">
      <c r="A9577" s="1">
        <v>10204.0</v>
      </c>
      <c r="B9577" s="3" t="s">
        <v>9192</v>
      </c>
      <c r="C9577" s="3" t="str">
        <f>IFERROR(__xludf.DUMMYFUNCTION("GOOGLETRANSLATE(B9577,""id"",""en"")"),"['Package', 'unlimited', 'missing', 'min']")</f>
        <v>['Package', 'unlimited', 'missing', 'min']</v>
      </c>
      <c r="D9577" s="3">
        <v>5.0</v>
      </c>
    </row>
    <row r="9578" ht="15.75" customHeight="1">
      <c r="A9578" s="1">
        <v>10205.0</v>
      </c>
      <c r="B9578" s="3" t="s">
        <v>9193</v>
      </c>
      <c r="C9578" s="3" t="str">
        <f>IFERROR(__xludf.DUMMYFUNCTION("GOOGLETRANSLATE(B9578,""id"",""en"")"),"['Goodjobs', 'Easy', 'Ribet']")</f>
        <v>['Goodjobs', 'Easy', 'Ribet']</v>
      </c>
      <c r="D9578" s="3">
        <v>5.0</v>
      </c>
    </row>
    <row r="9579" ht="15.75" customHeight="1">
      <c r="A9579" s="1">
        <v>10207.0</v>
      </c>
      <c r="B9579" s="3" t="s">
        <v>9194</v>
      </c>
      <c r="C9579" s="3" t="str">
        <f>IFERROR(__xludf.DUMMYFUNCTION("GOOGLETRANSLATE(B9579,""id"",""en"")"),"['Severe', 'Pay', 'subscription', 'APK', 'no', 'Mulu']")</f>
        <v>['Severe', 'Pay', 'subscription', 'APK', 'no', 'Mulu']</v>
      </c>
      <c r="D9579" s="3">
        <v>2.0</v>
      </c>
    </row>
    <row r="9580" ht="15.75" customHeight="1">
      <c r="A9580" s="1">
        <v>10208.0</v>
      </c>
      <c r="B9580" s="3" t="s">
        <v>3692</v>
      </c>
      <c r="C9580" s="3" t="str">
        <f>IFERROR(__xludf.DUMMYFUNCTION("GOOGLETRANSLATE(B9580,""id"",""en"")"),"['expensive', 'doang', 'ngelag']")</f>
        <v>['expensive', 'doang', 'ngelag']</v>
      </c>
      <c r="D9580" s="3">
        <v>1.0</v>
      </c>
    </row>
    <row r="9581" ht="15.75" customHeight="1">
      <c r="A9581" s="1">
        <v>10209.0</v>
      </c>
      <c r="B9581" s="3" t="s">
        <v>9195</v>
      </c>
      <c r="C9581" s="3" t="str">
        <f>IFERROR(__xludf.DUMMYFUNCTION("GOOGLETRANSLATE(B9581,""id"",""en"")"),"['', 'Rating', 'Collapin', 'JDI', 'Star', 'Weh', 'Try', 'Fix', 'Sinyal', 'Bener', 'LGI', 'Delicious',' Delicious ',' Play ',' signal ',' ilang ',' please ',' Benerin ']")</f>
        <v>['', 'Rating', 'Collapin', 'JDI', 'Star', 'Weh', 'Try', 'Fix', 'Sinyal', 'Bener', 'LGI', 'Delicious',' Delicious ',' Play ',' signal ',' ilang ',' please ',' Benerin ']</v>
      </c>
      <c r="D9581" s="3">
        <v>1.0</v>
      </c>
    </row>
    <row r="9582" ht="15.75" customHeight="1">
      <c r="A9582" s="1">
        <v>10210.0</v>
      </c>
      <c r="B9582" s="3" t="s">
        <v>9196</v>
      </c>
      <c r="C9582" s="3" t="str">
        <f>IFERROR(__xludf.DUMMYFUNCTION("GOOGLETRANSLATE(B9582,""id"",""en"")"),"['Update', 'Vocer', 'Shopee', 'Price', 'Package', 'Data', 'Season']")</f>
        <v>['Update', 'Vocer', 'Shopee', 'Price', 'Package', 'Data', 'Season']</v>
      </c>
      <c r="D9582" s="3">
        <v>1.0</v>
      </c>
    </row>
    <row r="9583" ht="15.75" customHeight="1">
      <c r="A9583" s="1">
        <v>10211.0</v>
      </c>
      <c r="B9583" s="3" t="s">
        <v>9197</v>
      </c>
      <c r="C9583" s="3" t="str">
        <f>IFERROR(__xludf.DUMMYFUNCTION("GOOGLETRANSLATE(B9583,""id"",""en"")"),"['Masap', 'mas', 'brooo']")</f>
        <v>['Masap', 'mas', 'brooo']</v>
      </c>
      <c r="D9583" s="3">
        <v>5.0</v>
      </c>
    </row>
    <row r="9584" ht="15.75" customHeight="1">
      <c r="A9584" s="1">
        <v>10212.0</v>
      </c>
      <c r="B9584" s="3" t="s">
        <v>9198</v>
      </c>
      <c r="C9584" s="3" t="str">
        <f>IFERROR(__xludf.DUMMYFUNCTION("GOOGLETRANSLATE(B9584,""id"",""en"")"),"['Disappointing', 'Telkomsel', 'Download', 'Bukak', 'I mean', 'please', 'jeliary']")</f>
        <v>['Disappointing', 'Telkomsel', 'Download', 'Bukak', 'I mean', 'please', 'jeliary']</v>
      </c>
      <c r="D9584" s="3">
        <v>1.0</v>
      </c>
    </row>
    <row r="9585" ht="15.75" customHeight="1">
      <c r="A9585" s="1">
        <v>10213.0</v>
      </c>
      <c r="B9585" s="3" t="s">
        <v>9199</v>
      </c>
      <c r="C9585" s="3" t="str">
        <f>IFERROR(__xludf.DUMMYFUNCTION("GOOGLETRANSLATE(B9585,""id"",""en"")"),"['Message', 'Telkomsel', 'paseless',' package ',' expensive ',' TPI ',' network ',' according to ',' price ',' package ',' buy ',' Please ',' DNG ',' Telkomsel ',' Network ',' Ngilak ',' Bener ',' Today ',' Modern ',' TPI ',' Age ',' Men ',' Bitang ',' Lo"&amp;"ve ',' Star ' , 'ngaterin', 'message', 'cave', 'mytelkomsel']")</f>
        <v>['Message', 'Telkomsel', 'paseless',' package ',' expensive ',' TPI ',' network ',' according to ',' price ',' package ',' buy ',' Please ',' DNG ',' Telkomsel ',' Network ',' Ngilak ',' Bener ',' Today ',' Modern ',' TPI ',' Age ',' Men ',' Bitang ',' Love ',' Star ' , 'ngaterin', 'message', 'cave', 'mytelkomsel']</v>
      </c>
      <c r="D9585" s="3">
        <v>1.0</v>
      </c>
    </row>
    <row r="9586" ht="15.75" customHeight="1">
      <c r="A9586" s="1">
        <v>10214.0</v>
      </c>
      <c r="B9586" s="3" t="s">
        <v>9200</v>
      </c>
      <c r="C9586" s="3" t="str">
        <f>IFERROR(__xludf.DUMMYFUNCTION("GOOGLETRANSLATE(B9586,""id"",""en"")"),"['heavy', 'application', 'open', 'application', 'Loading', 'Mulu', 'Telkomsel', 'orbit', 'Is there', 'Telkomsel', 'Jago', 'Apps',' Nomers', 'Indonesia', 'Lose', 'Apps',' Vendor ',' Next to ',' Hadewwwww ']")</f>
        <v>['heavy', 'application', 'open', 'application', 'Loading', 'Mulu', 'Telkomsel', 'orbit', 'Is there', 'Telkomsel', 'Jago', 'Apps',' Nomers', 'Indonesia', 'Lose', 'Apps',' Vendor ',' Next to ',' Hadewwwww ']</v>
      </c>
      <c r="D9586" s="3">
        <v>2.0</v>
      </c>
    </row>
    <row r="9587" ht="15.75" customHeight="1">
      <c r="A9587" s="1">
        <v>10215.0</v>
      </c>
      <c r="B9587" s="3" t="s">
        <v>9201</v>
      </c>
      <c r="C9587" s="3" t="str">
        <f>IFERROR(__xludf.DUMMYFUNCTION("GOOGLETRANSLATE(B9587,""id"",""en"")"),"['signal', 'slow', 'play', 'game', 'ping', 'red']")</f>
        <v>['signal', 'slow', 'play', 'game', 'ping', 'red']</v>
      </c>
      <c r="D9587" s="3">
        <v>1.0</v>
      </c>
    </row>
    <row r="9588" ht="15.75" customHeight="1">
      <c r="A9588" s="1">
        <v>10216.0</v>
      </c>
      <c r="B9588" s="3" t="s">
        <v>9202</v>
      </c>
      <c r="C9588" s="3" t="str">
        <f>IFERROR(__xludf.DUMMYFUNCTION("GOOGLETRANSLATE(B9588,""id"",""en"")"),"['Severe', 'sihhh', 'pulse', 'suck', 'notification', 'quota', 'abis',' network ',' gajelas', 'sometimes',' sometimes', 'ilang', ' Leg ',' Paraahhhh ',' Severe ',' Babget ',' Sihhh ',' expensive ',' bondaaa ', ""]")</f>
        <v>['Severe', 'sihhh', 'pulse', 'suck', 'notification', 'quota', 'abis',' network ',' gajelas', 'sometimes',' sometimes', 'ilang', ' Leg ',' Paraahhhh ',' Severe ',' Babget ',' Sihhh ',' expensive ',' bondaaa ', "]</v>
      </c>
      <c r="D9588" s="3">
        <v>1.0</v>
      </c>
    </row>
    <row r="9589" ht="15.75" customHeight="1">
      <c r="A9589" s="1">
        <v>10217.0</v>
      </c>
      <c r="B9589" s="3" t="s">
        <v>9203</v>
      </c>
      <c r="C9589" s="3" t="str">
        <f>IFERROR(__xludf.DUMMYFUNCTION("GOOGLETRANSLATE(B9589,""id"",""en"")"),"['Good', 'signal', 'already', 'that's', 'cheap', '']")</f>
        <v>['Good', 'signal', 'already', 'that's', 'cheap', '']</v>
      </c>
      <c r="D9589" s="3">
        <v>5.0</v>
      </c>
    </row>
    <row r="9590" ht="15.75" customHeight="1">
      <c r="A9590" s="1">
        <v>10219.0</v>
      </c>
      <c r="B9590" s="3" t="s">
        <v>9204</v>
      </c>
      <c r="C9590" s="3" t="str">
        <f>IFERROR(__xludf.DUMMYFUNCTION("GOOGLETRANSLATE(B9590,""id"",""en"")"),"['Please', 'Help', 'Sis', 'Kouta', 'Please', 'Help', 'Kouta']")</f>
        <v>['Please', 'Help', 'Sis', 'Kouta', 'Please', 'Help', 'Kouta']</v>
      </c>
      <c r="D9590" s="3">
        <v>5.0</v>
      </c>
    </row>
    <row r="9591" ht="15.75" customHeight="1">
      <c r="A9591" s="1">
        <v>10220.0</v>
      </c>
      <c r="B9591" s="3" t="s">
        <v>9205</v>
      </c>
      <c r="C9591" s="3" t="str">
        <f>IFERROR(__xludf.DUMMYFUNCTION("GOOGLETRANSLATE(B9591,""id"",""en"")"),"['Xiaomi', 'Redmi', 'RAM', 'complaints',' APK ',' APK ',' heavy ',' wifi ',' data ',' internet ',' loding ',' fail ',' Loading ',' picture ',' magnitude ',' APK ',' in ',' size ',' appeal ',' apk ',' knpa ',' sruh ',' patience ',' open ',' apk ' , 'Please"&amp;"', 'Clarification', 'Follow', 'Fix', 'APK', 'Test', 'Customer', 'Disappointed', '']")</f>
        <v>['Xiaomi', 'Redmi', 'RAM', 'complaints',' APK ',' APK ',' heavy ',' wifi ',' data ',' internet ',' loding ',' fail ',' Loading ',' picture ',' magnitude ',' APK ',' in ',' size ',' appeal ',' apk ',' knpa ',' sruh ',' patience ',' open ',' apk ' , 'Please', 'Clarification', 'Follow', 'Fix', 'APK', 'Test', 'Customer', 'Disappointed', '']</v>
      </c>
      <c r="D9591" s="3">
        <v>1.0</v>
      </c>
    </row>
    <row r="9592" ht="15.75" customHeight="1">
      <c r="A9592" s="1">
        <v>10221.0</v>
      </c>
      <c r="B9592" s="3" t="s">
        <v>9206</v>
      </c>
      <c r="C9592" s="3" t="str">
        <f>IFERROR(__xludf.DUMMYFUNCTION("GOOGLETRANSLATE(B9592,""id"",""en"")"),"['Telkomsel', 'Manteuppp']")</f>
        <v>['Telkomsel', 'Manteuppp']</v>
      </c>
      <c r="D9592" s="3">
        <v>5.0</v>
      </c>
    </row>
    <row r="9593" ht="15.75" customHeight="1">
      <c r="A9593" s="1">
        <v>10222.0</v>
      </c>
      <c r="B9593" s="3" t="s">
        <v>9207</v>
      </c>
      <c r="C9593" s="3" t="str">
        <f>IFERROR(__xludf.DUMMYFUNCTION("GOOGLETRANSLATE(B9593,""id"",""en"")"),"['Telkomsel', 'pulp', 'price', 'package', 'signal', 'down', 'stable', 'down', ""]")</f>
        <v>['Telkomsel', 'pulp', 'price', 'package', 'signal', 'down', 'stable', 'down', "]</v>
      </c>
      <c r="D9593" s="3">
        <v>1.0</v>
      </c>
    </row>
    <row r="9594" ht="15.75" customHeight="1">
      <c r="A9594" s="1">
        <v>10223.0</v>
      </c>
      <c r="B9594" s="3" t="s">
        <v>9208</v>
      </c>
      <c r="C9594" s="3" t="str">
        <f>IFERROR(__xludf.DUMMYFUNCTION("GOOGLETRANSLATE(B9594,""id"",""en"")"),"['satisfying', 'application', 'log']")</f>
        <v>['satisfying', 'application', 'log']</v>
      </c>
      <c r="D9594" s="3">
        <v>3.0</v>
      </c>
    </row>
    <row r="9595" ht="15.75" customHeight="1">
      <c r="A9595" s="1">
        <v>10224.0</v>
      </c>
      <c r="B9595" s="3" t="s">
        <v>9209</v>
      </c>
      <c r="C9595" s="3" t="str">
        <f>IFERROR(__xludf.DUMMYFUNCTION("GOOGLETRANSLATE(B9595,""id"",""en"")"),"['price', 'package', 'data', 'please', 'quality', 'signal', 'increase', 'defender', 'active', 'yrs', 'network', 'slow' Hopefully ',' aware ',' aware ',' please ',' sahah ',' junk ',' price ',' sah ', ""]")</f>
        <v>['price', 'package', 'data', 'please', 'quality', 'signal', 'increase', 'defender', 'active', 'yrs', 'network', 'slow' Hopefully ',' aware ',' aware ',' please ',' sahah ',' junk ',' price ',' sah ', "]</v>
      </c>
      <c r="D9595" s="3">
        <v>1.0</v>
      </c>
    </row>
    <row r="9596" ht="15.75" customHeight="1">
      <c r="A9596" s="1">
        <v>10225.0</v>
      </c>
      <c r="B9596" s="3" t="s">
        <v>9210</v>
      </c>
      <c r="C9596" s="3" t="str">
        <f>IFERROR(__xludf.DUMMYFUNCTION("GOOGLETRANSLATE(B9596,""id"",""en"")"),"['Ngawi', 'cheap', 'Banyuwangi', 'expensive']")</f>
        <v>['Ngawi', 'cheap', 'Banyuwangi', 'expensive']</v>
      </c>
      <c r="D9596" s="3">
        <v>5.0</v>
      </c>
    </row>
    <row r="9597" ht="15.75" customHeight="1">
      <c r="A9597" s="1">
        <v>10226.0</v>
      </c>
      <c r="B9597" s="3" t="s">
        <v>9211</v>
      </c>
      <c r="C9597" s="3" t="str">
        <f>IFERROR(__xludf.DUMMYFUNCTION("GOOGLETRANSLATE(B9597,""id"",""en"")"),"['baguus',' the application ',' signal ',' Telkomsel ',' ugly ',' sometimes', 'sometimes',' good ',' then ',' ugly ',' stable ',' it seems', ' Mending ',' Package ',' Data ',' Masuh ',' Nyak ',' Card ',' already ',' already ',' Region ',' District ',' Pat"&amp;"ikraja ',' Kab ',' Banyumas' , 'Java']")</f>
        <v>['baguus',' the application ',' signal ',' Telkomsel ',' ugly ',' sometimes', 'sometimes',' good ',' then ',' ugly ',' stable ',' it seems', ' Mending ',' Package ',' Data ',' Masuh ',' Nyak ',' Card ',' already ',' already ',' Region ',' District ',' Patikraja ',' Kab ',' Banyumas' , 'Java']</v>
      </c>
      <c r="D9597" s="3">
        <v>4.0</v>
      </c>
    </row>
    <row r="9598" ht="15.75" customHeight="1">
      <c r="A9598" s="1">
        <v>10227.0</v>
      </c>
      <c r="B9598" s="3" t="s">
        <v>9212</v>
      </c>
      <c r="C9598" s="3" t="str">
        <f>IFERROR(__xludf.DUMMYFUNCTION("GOOGLETRANSLATE(B9598,""id"",""en"")"),"['Anyway', 'steady', 'deh', 'Telkomsel']")</f>
        <v>['Anyway', 'steady', 'deh', 'Telkomsel']</v>
      </c>
      <c r="D9598" s="3">
        <v>1.0</v>
      </c>
    </row>
    <row r="9599" ht="15.75" customHeight="1">
      <c r="A9599" s="1">
        <v>10228.0</v>
      </c>
      <c r="B9599" s="3" t="s">
        <v>9213</v>
      </c>
      <c r="C9599" s="3" t="str">
        <f>IFERROR(__xludf.DUMMYFUNCTION("GOOGLETRANSLATE(B9599,""id"",""en"")"),"['connection', 'stable', 'Try', 'complaint', 'Telkomsel', 'response', 'slow', ""]")</f>
        <v>['connection', 'stable', 'Try', 'complaint', 'Telkomsel', 'response', 'slow', "]</v>
      </c>
      <c r="D9599" s="3">
        <v>1.0</v>
      </c>
    </row>
    <row r="9600" ht="15.75" customHeight="1">
      <c r="A9600" s="1">
        <v>10229.0</v>
      </c>
      <c r="B9600" s="3" t="s">
        <v>9214</v>
      </c>
      <c r="C9600" s="3" t="str">
        <f>IFERROR(__xludf.DUMMYFUNCTION("GOOGLETRANSLATE(B9600,""id"",""en"")"),"['right', 'cave', 'open', 'apk', 'blank', 'suh', 'screen', 'cave', 'try', 'fix']")</f>
        <v>['right', 'cave', 'open', 'apk', 'blank', 'suh', 'screen', 'cave', 'try', 'fix']</v>
      </c>
      <c r="D9600" s="3">
        <v>1.0</v>
      </c>
    </row>
    <row r="9601" ht="15.75" customHeight="1">
      <c r="A9601" s="1">
        <v>10230.0</v>
      </c>
      <c r="B9601" s="3" t="s">
        <v>9215</v>
      </c>
      <c r="C9601" s="3" t="str">
        <f>IFERROR(__xludf.DUMMYFUNCTION("GOOGLETRANSLATE(B9601,""id"",""en"")"),"['application', 'bguas', 'really']")</f>
        <v>['application', 'bguas', 'really']</v>
      </c>
      <c r="D9601" s="3">
        <v>5.0</v>
      </c>
    </row>
    <row r="9602" ht="15.75" customHeight="1">
      <c r="A9602" s="1">
        <v>10231.0</v>
      </c>
      <c r="B9602" s="3" t="s">
        <v>9216</v>
      </c>
      <c r="C9602" s="3" t="str">
        <f>IFERROR(__xludf.DUMMYFUNCTION("GOOGLETRANSLATE(B9602,""id"",""en"")"),"['Enhanced', 'LGI', 'STAGE', 'QUALITY', 'SIGNL', 'TLPN', 'Cellular', 'Supya', 'Mantap', ""]")</f>
        <v>['Enhanced', 'LGI', 'STAGE', 'QUALITY', 'SIGNL', 'TLPN', 'Cellular', 'Supya', 'Mantap', "]</v>
      </c>
      <c r="D9602" s="3">
        <v>5.0</v>
      </c>
    </row>
    <row r="9603" ht="15.75" customHeight="1">
      <c r="A9603" s="1">
        <v>10232.0</v>
      </c>
      <c r="B9603" s="3" t="s">
        <v>9217</v>
      </c>
      <c r="C9603" s="3" t="str">
        <f>IFERROR(__xludf.DUMMYFUNCTION("GOOGLETRANSLATE(B9603,""id"",""en"")"),"['hi', 'Telkomsel', 'use', 'application', 'right', 'koq', 'purchase', 'package', 'internet', 'application', 'appear', 'disorder', ' system ',' dial ',' buy ',' package ',' get out ',' promo ']")</f>
        <v>['hi', 'Telkomsel', 'use', 'application', 'right', 'koq', 'purchase', 'package', 'internet', 'application', 'appear', 'disorder', ' system ',' dial ',' buy ',' package ',' get out ',' promo ']</v>
      </c>
      <c r="D9603" s="3">
        <v>1.0</v>
      </c>
    </row>
    <row r="9604" ht="15.75" customHeight="1">
      <c r="A9604" s="1">
        <v>10233.0</v>
      </c>
      <c r="B9604" s="3" t="s">
        <v>6437</v>
      </c>
      <c r="C9604" s="3" t="str">
        <f>IFERROR(__xludf.DUMMYFUNCTION("GOOGLETRANSLATE(B9604,""id"",""en"")"),"['easy', 'practical']")</f>
        <v>['easy', 'practical']</v>
      </c>
      <c r="D9604" s="3">
        <v>5.0</v>
      </c>
    </row>
    <row r="9605" ht="15.75" customHeight="1">
      <c r="A9605" s="1">
        <v>10234.0</v>
      </c>
      <c r="B9605" s="3" t="s">
        <v>9218</v>
      </c>
      <c r="C9605" s="3" t="str">
        <f>IFERROR(__xludf.DUMMYFUNCTION("GOOGLETRANSLATE(B9605,""id"",""en"")"),"['Season', 'Package', 'Quality', 'Network', 'Serasa', 'Drop', 'Play', 'Reconnect', 'Benerin', 'Lost', 'Ama', 'Provider']")</f>
        <v>['Season', 'Package', 'Quality', 'Network', 'Serasa', 'Drop', 'Play', 'Reconnect', 'Benerin', 'Lost', 'Ama', 'Provider']</v>
      </c>
      <c r="D9605" s="3">
        <v>1.0</v>
      </c>
    </row>
    <row r="9606" ht="15.75" customHeight="1">
      <c r="A9606" s="1">
        <v>10235.0</v>
      </c>
      <c r="B9606" s="3" t="s">
        <v>9219</v>
      </c>
      <c r="C9606" s="3" t="str">
        <f>IFERROR(__xludf.DUMMYFUNCTION("GOOGLETRANSLATE(B9606,""id"",""en"")"),"['Votedkkk', 'Download', 'Install', 'open', 'rotten', 'person', 'needhhhh', 'fix', 'see', 'bosss',' rotten ',' kayak ',' Gini ',' ']")</f>
        <v>['Votedkkk', 'Download', 'Install', 'open', 'rotten', 'person', 'needhhhh', 'fix', 'see', 'bosss',' rotten ',' kayak ',' Gini ',' ']</v>
      </c>
      <c r="D9606" s="3">
        <v>1.0</v>
      </c>
    </row>
    <row r="9607" ht="15.75" customHeight="1">
      <c r="A9607" s="1">
        <v>10236.0</v>
      </c>
      <c r="B9607" s="3" t="s">
        <v>9220</v>
      </c>
      <c r="C9607" s="3" t="str">
        <f>IFERROR(__xludf.DUMMYFUNCTION("GOOGLETRANSLATE(B9607,""id"",""en"")"),"['Steady', 'easy']")</f>
        <v>['Steady', 'easy']</v>
      </c>
      <c r="D9607" s="3">
        <v>5.0</v>
      </c>
    </row>
    <row r="9608" ht="15.75" customHeight="1">
      <c r="A9608" s="1">
        <v>10237.0</v>
      </c>
      <c r="B9608" s="3" t="s">
        <v>9221</v>
      </c>
      <c r="C9608" s="3" t="str">
        <f>IFERROR(__xludf.DUMMYFUNCTION("GOOGLETRANSLATE(B9608,""id"",""en"")"),"['Open', 'Application', 'Contact', 'Where', 'Please', 'Help']")</f>
        <v>['Open', 'Application', 'Contact', 'Where', 'Please', 'Help']</v>
      </c>
      <c r="D9608" s="3">
        <v>4.0</v>
      </c>
    </row>
    <row r="9609" ht="15.75" customHeight="1">
      <c r="A9609" s="1">
        <v>10238.0</v>
      </c>
      <c r="B9609" s="3" t="s">
        <v>9222</v>
      </c>
      <c r="C9609" s="3" t="str">
        <f>IFERROR(__xludf.DUMMYFUNCTION("GOOGLETRANSLATE(B9609,""id"",""en"")"),"['unfortunate', 'package', 'term', 'run out', 'leftover', 'quota', 'package', 'missing']")</f>
        <v>['unfortunate', 'package', 'term', 'run out', 'leftover', 'quota', 'package', 'missing']</v>
      </c>
      <c r="D9609" s="3">
        <v>5.0</v>
      </c>
    </row>
    <row r="9610" ht="15.75" customHeight="1">
      <c r="A9610" s="1">
        <v>10239.0</v>
      </c>
      <c r="B9610" s="3" t="s">
        <v>9223</v>
      </c>
      <c r="C9610" s="3" t="str">
        <f>IFERROR(__xludf.DUMMYFUNCTION("GOOGLETRANSLATE(B9610,""id"",""en"")"),"['price', 'expensive', 'already', 'make', 'kaga', 'policy', 'cook', 'neighbor', 'package', 'price', 'different', 'Mahalan', ' Palmu ',' Anjay ']")</f>
        <v>['price', 'expensive', 'already', 'make', 'kaga', 'policy', 'cook', 'neighbor', 'package', 'price', 'different', 'Mahalan', ' Palmu ',' Anjay ']</v>
      </c>
      <c r="D9610" s="3">
        <v>1.0</v>
      </c>
    </row>
    <row r="9611" ht="15.75" customHeight="1">
      <c r="A9611" s="1">
        <v>10240.0</v>
      </c>
      <c r="B9611" s="3" t="s">
        <v>9224</v>
      </c>
      <c r="C9611" s="3" t="str">
        <f>IFERROR(__xludf.DUMMYFUNCTION("GOOGLETRANSLATE(B9611,""id"",""en"")"),"['blank', 'white', 'opened', 'already', 'use', 'Telkomsel', 'skrng', 'blank', 'white', 'check', 'pulse', 'buy', ' Package ',' MyTelkomsel ',' ']")</f>
        <v>['blank', 'white', 'opened', 'already', 'use', 'Telkomsel', 'skrng', 'blank', 'white', 'check', 'pulse', 'buy', ' Package ',' MyTelkomsel ',' ']</v>
      </c>
      <c r="D9611" s="3">
        <v>1.0</v>
      </c>
    </row>
    <row r="9612" ht="15.75" customHeight="1">
      <c r="A9612" s="1">
        <v>10241.0</v>
      </c>
      <c r="B9612" s="3" t="s">
        <v>9225</v>
      </c>
      <c r="C9612" s="3" t="str">
        <f>IFERROR(__xludf.DUMMYFUNCTION("GOOGLETRANSLATE(B9612,""id"",""en"")"),"['', 'open', 'application', 'screen', 'white', 'mulu', 'paraaaaah']")</f>
        <v>['', 'open', 'application', 'screen', 'white', 'mulu', 'paraaaaah']</v>
      </c>
      <c r="D9612" s="3">
        <v>1.0</v>
      </c>
    </row>
    <row r="9613" ht="15.75" customHeight="1">
      <c r="A9613" s="1">
        <v>10242.0</v>
      </c>
      <c r="B9613" s="3" t="s">
        <v>9226</v>
      </c>
      <c r="C9613" s="3" t="str">
        <f>IFERROR(__xludf.DUMMYFUNCTION("GOOGLETRANSLATE(B9613,""id"",""en"")"),"['mantapppp', 'pokonyaaaa']")</f>
        <v>['mantapppp', 'pokonyaaaa']</v>
      </c>
      <c r="D9613" s="3">
        <v>5.0</v>
      </c>
    </row>
    <row r="9614" ht="15.75" customHeight="1">
      <c r="A9614" s="1">
        <v>10243.0</v>
      </c>
      <c r="B9614" s="3" t="s">
        <v>9227</v>
      </c>
      <c r="C9614" s="3" t="str">
        <f>IFERROR(__xludf.DUMMYFUNCTION("GOOGLETRANSLATE(B9614,""id"",""en"")"),"['Complete', 'promo']")</f>
        <v>['Complete', 'promo']</v>
      </c>
      <c r="D9614" s="3">
        <v>4.0</v>
      </c>
    </row>
    <row r="9615" ht="15.75" customHeight="1">
      <c r="A9615" s="1">
        <v>10244.0</v>
      </c>
      <c r="B9615" s="3" t="s">
        <v>9228</v>
      </c>
      <c r="C9615" s="3" t="str">
        <f>IFERROR(__xludf.DUMMYFUNCTION("GOOGLETRANSLATE(B9615,""id"",""en"")"),"['safe', 'safe', 'safe', 'runs', 'smooth', 'congratulations', 'enjoy']")</f>
        <v>['safe', 'safe', 'safe', 'runs', 'smooth', 'congratulations', 'enjoy']</v>
      </c>
      <c r="D9615" s="3">
        <v>5.0</v>
      </c>
    </row>
    <row r="9616" ht="15.75" customHeight="1">
      <c r="A9616" s="1">
        <v>10245.0</v>
      </c>
      <c r="B9616" s="3" t="s">
        <v>9229</v>
      </c>
      <c r="C9616" s="3" t="str">
        <f>IFERROR(__xludf.DUMMYFUNCTION("GOOGLETRANSLATE(B9616,""id"",""en"")"),"['opened', 'application', 'install', 'reset', 'pdahal']")</f>
        <v>['opened', 'application', 'install', 'reset', 'pdahal']</v>
      </c>
      <c r="D9616" s="3">
        <v>1.0</v>
      </c>
    </row>
    <row r="9617" ht="15.75" customHeight="1">
      <c r="A9617" s="1">
        <v>10246.0</v>
      </c>
      <c r="B9617" s="3" t="s">
        <v>9230</v>
      </c>
      <c r="C9617" s="3" t="str">
        <f>IFERROR(__xludf.DUMMYFUNCTION("GOOGLETRANSLATE(B9617,""id"",""en"")"),"['slow connection', '']")</f>
        <v>['slow connection', '']</v>
      </c>
      <c r="D9617" s="3">
        <v>3.0</v>
      </c>
    </row>
    <row r="9618" ht="15.75" customHeight="1">
      <c r="A9618" s="1">
        <v>10247.0</v>
      </c>
      <c r="B9618" s="3" t="s">
        <v>9231</v>
      </c>
      <c r="C9618" s="3" t="str">
        <f>IFERROR(__xludf.DUMMYFUNCTION("GOOGLETRANSLATE(B9618,""id"",""en"")"),"['Telkomsel', 'easy']")</f>
        <v>['Telkomsel', 'easy']</v>
      </c>
      <c r="D9618" s="3">
        <v>5.0</v>
      </c>
    </row>
    <row r="9619" ht="15.75" customHeight="1">
      <c r="A9619" s="1">
        <v>10248.0</v>
      </c>
      <c r="B9619" s="3" t="s">
        <v>9232</v>
      </c>
      <c r="C9619" s="3" t="str">
        <f>IFERROR(__xludf.DUMMYFUNCTION("GOOGLETRANSLATE(B9619,""id"",""en"")"),"['', 'area', 'signal', 'full', 'right', 'play', 'ngelag', 'severe', 'sometimes',' internet ',' subscription ',' package ',' the price ',' wants', 'signal', 'already', 'sometimes',' ilang ',' gini ',' thanks', 'tsel', 'move', 'im', '']")</f>
        <v>['', 'area', 'signal', 'full', 'right', 'play', 'ngelag', 'severe', 'sometimes',' internet ',' subscription ',' package ',' the price ',' wants', 'signal', 'already', 'sometimes',' ilang ',' gini ',' thanks', 'tsel', 'move', 'im', '']</v>
      </c>
      <c r="D9619" s="3">
        <v>1.0</v>
      </c>
    </row>
    <row r="9620" ht="15.75" customHeight="1">
      <c r="A9620" s="1">
        <v>10249.0</v>
      </c>
      <c r="B9620" s="3" t="s">
        <v>9233</v>
      </c>
      <c r="C9620" s="3" t="str">
        <f>IFERROR(__xludf.DUMMYFUNCTION("GOOGLETRANSLATE(B9620,""id"",""en"")"),"['user', 'December', 'BISMILLAHIRRAHMANIRRAHIM', 'Hopefully', 'friendly']")</f>
        <v>['user', 'December', 'BISMILLAHIRRAHMANIRRAHIM', 'Hopefully', 'friendly']</v>
      </c>
      <c r="D9620" s="3">
        <v>5.0</v>
      </c>
    </row>
    <row r="9621" ht="15.75" customHeight="1">
      <c r="A9621" s="1">
        <v>10250.0</v>
      </c>
      <c r="B9621" s="3" t="s">
        <v>9234</v>
      </c>
      <c r="C9621" s="3" t="str">
        <f>IFERROR(__xludf.DUMMYFUNCTION("GOOGLETRANSLATE(B9621,""id"",""en"")"),"['Disappointed', 'Telkomsel', 'Kmarin', 'Register', 'number', 'check', 'package', 'Kenda', 'automatic', 'annoyed']")</f>
        <v>['Disappointed', 'Telkomsel', 'Kmarin', 'Register', 'number', 'check', 'package', 'Kenda', 'automatic', 'annoyed']</v>
      </c>
      <c r="D9621" s="3">
        <v>1.0</v>
      </c>
    </row>
    <row r="9622" ht="15.75" customHeight="1">
      <c r="A9622" s="1">
        <v>10251.0</v>
      </c>
      <c r="B9622" s="3" t="s">
        <v>9235</v>
      </c>
      <c r="C9622" s="3" t="str">
        <f>IFERROR(__xludf.DUMMYFUNCTION("GOOGLETRANSLATE(B9622,""id"",""en"")"),"['Severe', 'testimonials',' all ',' response ',' told ',' contact ',' account ',' Telkomsel ',' bkn ',' solution ',' fix ',' lngsung ',' Sorry ',' star ',' down ',' times', 'download', 'msh', 'opened']")</f>
        <v>['Severe', 'testimonials',' all ',' response ',' told ',' contact ',' account ',' Telkomsel ',' bkn ',' solution ',' fix ',' lngsung ',' Sorry ',' star ',' down ',' times', 'download', 'msh', 'opened']</v>
      </c>
      <c r="D9622" s="3">
        <v>1.0</v>
      </c>
    </row>
    <row r="9623" ht="15.75" customHeight="1">
      <c r="A9623" s="1">
        <v>10252.0</v>
      </c>
      <c r="B9623" s="3" t="s">
        <v>9236</v>
      </c>
      <c r="C9623" s="3" t="str">
        <f>IFERROR(__xludf.DUMMYFUNCTION("GOOGLETRANSLATE(B9623,""id"",""en"")"),"['truncated', 'continues',' moved ',' data ',' internet ',' SIM ',' only ',' Notif ',' use ',' pulse ',' xxx ',' access', ' Internet ',' Sad ',' really ',' plis', 'rich', ""]")</f>
        <v>['truncated', 'continues',' moved ',' data ',' internet ',' SIM ',' only ',' Notif ',' use ',' pulse ',' xxx ',' access', ' Internet ',' Sad ',' really ',' plis', 'rich', "]</v>
      </c>
      <c r="D9623" s="3">
        <v>1.0</v>
      </c>
    </row>
    <row r="9624" ht="15.75" customHeight="1">
      <c r="A9624" s="1">
        <v>10253.0</v>
      </c>
      <c r="B9624" s="3" t="s">
        <v>9237</v>
      </c>
      <c r="C9624" s="3" t="str">
        <f>IFERROR(__xludf.DUMMYFUNCTION("GOOGLETRANSLATE(B9624,""id"",""en"")"),"['trimakasih', 'Telkomsel', 'verytt', 'Satisfied', 'APK', '']")</f>
        <v>['trimakasih', 'Telkomsel', 'verytt', 'Satisfied', 'APK', '']</v>
      </c>
      <c r="D9624" s="3">
        <v>2.0</v>
      </c>
    </row>
    <row r="9625" ht="15.75" customHeight="1">
      <c r="A9625" s="1">
        <v>10254.0</v>
      </c>
      <c r="B9625" s="3" t="s">
        <v>9238</v>
      </c>
      <c r="C9625" s="3" t="str">
        <f>IFERROR(__xludf.DUMMYFUNCTION("GOOGLETRANSLATE(B9625,""id"",""en"")"),"['COK', 'Dipelek']")</f>
        <v>['COK', 'Dipelek']</v>
      </c>
      <c r="D9625" s="3">
        <v>1.0</v>
      </c>
    </row>
    <row r="9626" ht="15.75" customHeight="1">
      <c r="A9626" s="1">
        <v>10255.0</v>
      </c>
      <c r="B9626" s="3" t="s">
        <v>9239</v>
      </c>
      <c r="C9626" s="3" t="str">
        <f>IFERROR(__xludf.DUMMYFUNCTION("GOOGLETRANSLATE(B9626,""id"",""en"")"),"['send', 'prize', 'quota', 'friend', 'succeed', 'quota', 'enter', 'friend', 'notif', 'quota', 'enter', 'sms',' Strangely ',' pulses', 'reduced', 'Mimin', 'Blocked', 'Telkomsel', 'Corruption', '']")</f>
        <v>['send', 'prize', 'quota', 'friend', 'succeed', 'quota', 'enter', 'friend', 'notif', 'quota', 'enter', 'sms',' Strangely ',' pulses', 'reduced', 'Mimin', 'Blocked', 'Telkomsel', 'Corruption', '']</v>
      </c>
      <c r="D9626" s="3">
        <v>1.0</v>
      </c>
    </row>
    <row r="9627" ht="15.75" customHeight="1">
      <c r="A9627" s="1">
        <v>10256.0</v>
      </c>
      <c r="B9627" s="3" t="s">
        <v>9240</v>
      </c>
      <c r="C9627" s="3" t="str">
        <f>IFERROR(__xludf.DUMMYFUNCTION("GOOGLETRANSLATE(B9627,""id"",""en"")"),"['Open', 'APKika', 'difficult', 'Conec']")</f>
        <v>['Open', 'APKika', 'difficult', 'Conec']</v>
      </c>
      <c r="D9627" s="3">
        <v>3.0</v>
      </c>
    </row>
    <row r="9628" ht="15.75" customHeight="1">
      <c r="A9628" s="1">
        <v>10257.0</v>
      </c>
      <c r="B9628" s="3" t="s">
        <v>9241</v>
      </c>
      <c r="C9628" s="3" t="str">
        <f>IFERROR(__xludf.DUMMYFUNCTION("GOOGLETRANSLATE(B9628,""id"",""en"")"),"['Good', 'really', 'Telkomsel', 'open', 'screen', 'white', 'all', 'subscription', 'thank', 'love', 'Telkomsel', 'disappointed', ' annoyed']")</f>
        <v>['Good', 'really', 'Telkomsel', 'open', 'screen', 'white', 'all', 'subscription', 'thank', 'love', 'Telkomsel', 'disappointed', ' annoyed']</v>
      </c>
      <c r="D9628" s="3">
        <v>5.0</v>
      </c>
    </row>
    <row r="9629" ht="15.75" customHeight="1">
      <c r="A9629" s="1">
        <v>10258.0</v>
      </c>
      <c r="B9629" s="3" t="s">
        <v>9242</v>
      </c>
      <c r="C9629" s="3" t="str">
        <f>IFERROR(__xludf.DUMMYFUNCTION("GOOGLETRANSLATE(B9629,""id"",""en"")"),"['complaints',' number ',' ticket ',' Dgjhia ',' resolved ',' package ',' internet ',' enter ',' bill ',' paylater ',' kredivo ',' walk ',' Tsel ',' SMS ',' complaints', 'resolved', '']")</f>
        <v>['complaints',' number ',' ticket ',' Dgjhia ',' resolved ',' package ',' internet ',' enter ',' bill ',' paylater ',' kredivo ',' walk ',' Tsel ',' SMS ',' complaints', 'resolved', '']</v>
      </c>
      <c r="D9629" s="3">
        <v>1.0</v>
      </c>
    </row>
    <row r="9630" ht="15.75" customHeight="1">
      <c r="A9630" s="1">
        <v>10259.0</v>
      </c>
      <c r="B9630" s="3" t="s">
        <v>9243</v>
      </c>
      <c r="C9630" s="3" t="str">
        <f>IFERROR(__xludf.DUMMYFUNCTION("GOOGLETRANSLATE(B9630,""id"",""en"")"),"['Telkomsel', 'signal', 'internet', 'difficult', 'lose', 'brand', 'jakarta', 'just', 'inside', 'room', 'closed', 'signal', ' Internet ',' already ',' difficult ']")</f>
        <v>['Telkomsel', 'signal', 'internet', 'difficult', 'lose', 'brand', 'jakarta', 'just', 'inside', 'room', 'closed', 'signal', ' Internet ',' already ',' difficult ']</v>
      </c>
      <c r="D9630" s="3">
        <v>1.0</v>
      </c>
    </row>
    <row r="9631" ht="15.75" customHeight="1">
      <c r="A9631" s="1">
        <v>10260.0</v>
      </c>
      <c r="B9631" s="3" t="s">
        <v>9244</v>
      </c>
      <c r="C9631" s="3" t="str">
        <f>IFERROR(__xludf.DUMMYFUNCTION("GOOGLETRANSLATE(B9631,""id"",""en"")"),"['KNPA', 'TDA', 'Download', 'Application', 'Telkomsel', '']")</f>
        <v>['KNPA', 'TDA', 'Download', 'Application', 'Telkomsel', '']</v>
      </c>
      <c r="D9631" s="3">
        <v>5.0</v>
      </c>
    </row>
    <row r="9632" ht="15.75" customHeight="1">
      <c r="A9632" s="1">
        <v>10261.0</v>
      </c>
      <c r="B9632" s="3" t="s">
        <v>3222</v>
      </c>
      <c r="C9632" s="3" t="str">
        <f>IFERROR(__xludf.DUMMYFUNCTION("GOOGLETRANSLATE(B9632,""id"",""en"")"),"['satisfying', '']")</f>
        <v>['satisfying', '']</v>
      </c>
      <c r="D9632" s="3">
        <v>5.0</v>
      </c>
    </row>
    <row r="9633" ht="15.75" customHeight="1">
      <c r="A9633" s="1">
        <v>10262.0</v>
      </c>
      <c r="B9633" s="3" t="s">
        <v>9245</v>
      </c>
      <c r="C9633" s="3" t="str">
        <f>IFERROR(__xludf.DUMMYFUNCTION("GOOGLETRANSLATE(B9633,""id"",""en"")"),"['troubles',' download ',' repeated ',' Install ',' reset ',' Telkomsel ',' screen ',' white ',' told ',' contact ',' email ',' line ',' gajelas', 'love', 'solution', 'direct', 'repay', 'system', 'troublesome', 'customer', 'told', 'contact', 'mimin', 'mim"&amp;"in', 'customer' , 'Need', 'Solution', 'Throw', 'Miminnnn']")</f>
        <v>['troubles',' download ',' repeated ',' Install ',' reset ',' Telkomsel ',' screen ',' white ',' told ',' contact ',' email ',' line ',' gajelas', 'love', 'solution', 'direct', 'repay', 'system', 'troublesome', 'customer', 'told', 'contact', 'mimin', 'mimin', 'customer' , 'Need', 'Solution', 'Throw', 'Miminnnn']</v>
      </c>
      <c r="D9633" s="3">
        <v>1.0</v>
      </c>
    </row>
    <row r="9634" ht="15.75" customHeight="1">
      <c r="A9634" s="1">
        <v>10263.0</v>
      </c>
      <c r="B9634" s="3" t="s">
        <v>9246</v>
      </c>
      <c r="C9634" s="3" t="str">
        <f>IFERROR(__xludf.DUMMYFUNCTION("GOOGLETRANSLATE(B9634,""id"",""en"")"),"['Age', 'era', 'digital', 'Metaverse', 'deterioration', 'signal', 'internet', 'era', 'worst', 'use', 'tsel', ""]")</f>
        <v>['Age', 'era', 'digital', 'Metaverse', 'deterioration', 'signal', 'internet', 'era', 'worst', 'use', 'tsel', "]</v>
      </c>
      <c r="D9634" s="3">
        <v>1.0</v>
      </c>
    </row>
    <row r="9635" ht="15.75" customHeight="1">
      <c r="A9635" s="1">
        <v>10264.0</v>
      </c>
      <c r="B9635" s="3" t="s">
        <v>471</v>
      </c>
      <c r="C9635" s="3" t="str">
        <f>IFERROR(__xludf.DUMMYFUNCTION("GOOGLETRANSLATE(B9635,""id"",""en"")"),"['']")</f>
        <v>['']</v>
      </c>
      <c r="D9635" s="3">
        <v>1.0</v>
      </c>
    </row>
    <row r="9636" ht="15.75" customHeight="1">
      <c r="A9636" s="1">
        <v>10265.0</v>
      </c>
      <c r="B9636" s="3" t="s">
        <v>9247</v>
      </c>
      <c r="C9636" s="3" t="str">
        <f>IFERROR(__xludf.DUMMYFUNCTION("GOOGLETRANSLATE(B9636,""id"",""en"")"),"['already', 'a month', 'signal', 'ugly', 'increased', 'severe', 'disappointed', 'price', 'qualified', 'expensive', 'quality', 'guarded', ' ']")</f>
        <v>['already', 'a month', 'signal', 'ugly', 'increased', 'severe', 'disappointed', 'price', 'qualified', 'expensive', 'quality', 'guarded', ' ']</v>
      </c>
      <c r="D9636" s="3">
        <v>1.0</v>
      </c>
    </row>
    <row r="9637" ht="15.75" customHeight="1">
      <c r="A9637" s="1">
        <v>10266.0</v>
      </c>
      <c r="B9637" s="3" t="s">
        <v>9248</v>
      </c>
      <c r="C9637" s="3" t="str">
        <f>IFERROR(__xludf.DUMMYFUNCTION("GOOGLETRANSLATE(B9637,""id"",""en"")"),"['thank', 'love', 'Telkomsel', 'blessing', 'Telkomsel', 'buy', 'package', 'internet', 'easy']")</f>
        <v>['thank', 'love', 'Telkomsel', 'blessing', 'Telkomsel', 'buy', 'package', 'internet', 'easy']</v>
      </c>
      <c r="D9637" s="3">
        <v>4.0</v>
      </c>
    </row>
    <row r="9638" ht="15.75" customHeight="1">
      <c r="A9638" s="1">
        <v>10267.0</v>
      </c>
      <c r="B9638" s="3" t="s">
        <v>9249</v>
      </c>
      <c r="C9638" s="3" t="str">
        <f>IFERROR(__xludf.DUMMYFUNCTION("GOOGLETRANSLATE(B9638,""id"",""en"")"),"['expensive', 'Doang', 'Quality', 'Signal', 'Rich', 'Pig', 'Najis']")</f>
        <v>['expensive', 'Doang', 'Quality', 'Signal', 'Rich', 'Pig', 'Najis']</v>
      </c>
      <c r="D9638" s="3">
        <v>1.0</v>
      </c>
    </row>
    <row r="9639" ht="15.75" customHeight="1">
      <c r="A9639" s="1">
        <v>10268.0</v>
      </c>
      <c r="B9639" s="3" t="s">
        <v>9250</v>
      </c>
      <c r="C9639" s="3" t="str">
        <f>IFERROR(__xludf.DUMMYFUNCTION("GOOGLETRANSLATE(B9639,""id"",""en"")"),"['Telkomsel', 'as good', 'grace', 'buy', 'eager', 'as good', 'grace', 'package', 'cheap', 'sell', 'Telkomsel', 'aspects',' Price ',' Lose ',' Operator ',' Offer ',' Package ',' Data ',' Free ',' Call ',' Operator ',' Unlimited ',' Social ',' Media ',' Tel"&amp;"komsel ' , 'expensive', 'expensive']")</f>
        <v>['Telkomsel', 'as good', 'grace', 'buy', 'eager', 'as good', 'grace', 'package', 'cheap', 'sell', 'Telkomsel', 'aspects',' Price ',' Lose ',' Operator ',' Offer ',' Package ',' Data ',' Free ',' Call ',' Operator ',' Unlimited ',' Social ',' Media ',' Telkomsel ' , 'expensive', 'expensive']</v>
      </c>
      <c r="D9639" s="3">
        <v>1.0</v>
      </c>
    </row>
    <row r="9640" ht="15.75" customHeight="1">
      <c r="A9640" s="1">
        <v>10269.0</v>
      </c>
      <c r="B9640" s="3" t="s">
        <v>9251</v>
      </c>
      <c r="C9640" s="3" t="str">
        <f>IFERROR(__xludf.DUMMYFUNCTION("GOOGLETRANSLATE(B9640,""id"",""en"")"),"['Telkomsel', 'just', 'take care', 'connection', 'city', 'doang', 'kah', 'village', 'already', 'nebay', 'connection', 'internet', ' bad']")</f>
        <v>['Telkomsel', 'just', 'take care', 'connection', 'city', 'doang', 'kah', 'village', 'already', 'nebay', 'connection', 'internet', ' bad']</v>
      </c>
      <c r="D9640" s="3">
        <v>1.0</v>
      </c>
    </row>
    <row r="9641" ht="15.75" customHeight="1">
      <c r="A9641" s="1">
        <v>10270.0</v>
      </c>
      <c r="B9641" s="3" t="s">
        <v>9252</v>
      </c>
      <c r="C9641" s="3" t="str">
        <f>IFERROR(__xludf.DUMMYFUNCTION("GOOGLETRANSLATE(B9641,""id"",""en"")"),"['expensive', '']")</f>
        <v>['expensive', '']</v>
      </c>
      <c r="D9641" s="3">
        <v>5.0</v>
      </c>
    </row>
    <row r="9642" ht="15.75" customHeight="1">
      <c r="A9642" s="1">
        <v>10271.0</v>
      </c>
      <c r="B9642" s="3" t="s">
        <v>9253</v>
      </c>
      <c r="C9642" s="3" t="str">
        <f>IFERROR(__xludf.DUMMYFUNCTION("GOOGLETRANSLATE(B9642,""id"",""en"")"),"['buy', 'package', 'internet', 'area', 'signal', 'Telkomsel', 'bad', 'feel', 'open', 'youtube', 'open', 'site', ' Light ',' able to ',' Stay ',' Capital ',' Capital ',' Complex ',' Offices', 'County', 'Signal', 'Mentok', 'Bar', 'Houses',' Samsung ' , 'And"&amp;"roid', 'Realme', 'Android', 'Oppo', 'Android', 'Vivo', 'Andr', 'Internet', 'DNG', 'Worth', 'Buy', 'Package', ' Internet ',' Enaered ']")</f>
        <v>['buy', 'package', 'internet', 'area', 'signal', 'Telkomsel', 'bad', 'feel', 'open', 'youtube', 'open', 'site', ' Light ',' able to ',' Stay ',' Capital ',' Capital ',' Complex ',' Offices', 'County', 'Signal', 'Mentok', 'Bar', 'Houses',' Samsung ' , 'Android', 'Realme', 'Android', 'Oppo', 'Android', 'Vivo', 'Andr', 'Internet', 'DNG', 'Worth', 'Buy', 'Package', ' Internet ',' Enaered ']</v>
      </c>
      <c r="D9642" s="3">
        <v>1.0</v>
      </c>
    </row>
    <row r="9643" ht="15.75" customHeight="1">
      <c r="A9643" s="1">
        <v>10272.0</v>
      </c>
      <c r="B9643" s="3" t="s">
        <v>9254</v>
      </c>
      <c r="C9643" s="3" t="str">
        <f>IFERROR(__xludf.DUMMYFUNCTION("GOOGLETRANSLATE(B9643,""id"",""en"")"),"['Error', 'pulse', 'buy', 'gbisa', 'gajelas']")</f>
        <v>['Error', 'pulse', 'buy', 'gbisa', 'gajelas']</v>
      </c>
      <c r="D9643" s="3">
        <v>1.0</v>
      </c>
    </row>
    <row r="9644" ht="15.75" customHeight="1">
      <c r="A9644" s="1">
        <v>10273.0</v>
      </c>
      <c r="B9644" s="3" t="s">
        <v>2119</v>
      </c>
      <c r="C9644" s="3" t="str">
        <f>IFERROR(__xludf.DUMMYFUNCTION("GOOGLETRANSLATE(B9644,""id"",""en"")"),"['', 'opened']")</f>
        <v>['', 'opened']</v>
      </c>
      <c r="D9644" s="3">
        <v>1.0</v>
      </c>
    </row>
    <row r="9645" ht="15.75" customHeight="1">
      <c r="A9645" s="1">
        <v>10274.0</v>
      </c>
      <c r="B9645" s="3" t="s">
        <v>9255</v>
      </c>
      <c r="C9645" s="3" t="str">
        <f>IFERROR(__xludf.DUMMYFUNCTION("GOOGLETRANSLATE(B9645,""id"",""en"")"),"['Network', 'ugly', 'boss', 'aware', 'name', 'gloomy', 'because' use ',' number ',' oath ',' buy ',' simcard ',' Brand ',' Nokia ',' Customer ',' Market ',' ']")</f>
        <v>['Network', 'ugly', 'boss', 'aware', 'name', 'gloomy', 'because' use ',' number ',' oath ',' buy ',' simcard ',' Brand ',' Nokia ',' Customer ',' Market ',' ']</v>
      </c>
      <c r="D9645" s="3">
        <v>1.0</v>
      </c>
    </row>
    <row r="9646" ht="15.75" customHeight="1">
      <c r="A9646" s="1">
        <v>10275.0</v>
      </c>
      <c r="B9646" s="3" t="s">
        <v>9256</v>
      </c>
      <c r="C9646" s="3" t="str">
        <f>IFERROR(__xludf.DUMMYFUNCTION("GOOGLETRANSLATE(B9646,""id"",""en"")"),"['Price', 'prom', 'here', 'here', 'Males', 'buy', 'ajig']")</f>
        <v>['Price', 'prom', 'here', 'here', 'Males', 'buy', 'ajig']</v>
      </c>
      <c r="D9646" s="3">
        <v>1.0</v>
      </c>
    </row>
    <row r="9647" ht="15.75" customHeight="1">
      <c r="A9647" s="1">
        <v>10276.0</v>
      </c>
      <c r="B9647" s="3" t="s">
        <v>9257</v>
      </c>
      <c r="C9647" s="3" t="str">
        <f>IFERROR(__xludf.DUMMYFUNCTION("GOOGLETRANSLATE(B9647,""id"",""en"")"),"['Hadeuu', 'Severe', 'repairs', 'lazy', 'improve', 'system', 'update', 'return', 'patch', ""]")</f>
        <v>['Hadeuu', 'Severe', 'repairs', 'lazy', 'improve', 'system', 'update', 'return', 'patch', "]</v>
      </c>
      <c r="D9647" s="3">
        <v>1.0</v>
      </c>
    </row>
    <row r="9648" ht="15.75" customHeight="1">
      <c r="A9648" s="1">
        <v>10277.0</v>
      </c>
      <c r="B9648" s="3" t="s">
        <v>9258</v>
      </c>
      <c r="C9648" s="3" t="str">
        <f>IFERROR(__xludf.DUMMYFUNCTION("GOOGLETRANSLATE(B9648,""id"",""en"")"),"['', 'obstacles',' quota ',' access', 'complain', 'Gara', 'influence', 'earthquake', 'that's',' the network ',' missing ',' right ',' process ',' Telkomsel ',' waiting ',' rich ',' clock ',' direct ',' network ',' Thank you ',' Telkomsel ',' complain ',' "&amp;"network ',' Mending ',' Twitter ', 'Telkomsel', 'fast', 'reply']")</f>
        <v>['', 'obstacles',' quota ',' access', 'complain', 'Gara', 'influence', 'earthquake', 'that's',' the network ',' missing ',' right ',' process ',' Telkomsel ',' waiting ',' rich ',' clock ',' direct ',' network ',' Thank you ',' Telkomsel ',' complain ',' network ',' Mending ',' Twitter ', 'Telkomsel', 'fast', 'reply']</v>
      </c>
      <c r="D9648" s="3">
        <v>5.0</v>
      </c>
    </row>
    <row r="9649" ht="15.75" customHeight="1">
      <c r="A9649" s="1">
        <v>10278.0</v>
      </c>
      <c r="B9649" s="3" t="s">
        <v>9259</v>
      </c>
      <c r="C9649" s="3" t="str">
        <f>IFERROR(__xludf.DUMMYFUNCTION("GOOGLETRANSLATE(B9649,""id"",""en"")"),"['Application', 'Open', 'parahhhh']")</f>
        <v>['Application', 'Open', 'parahhhh']</v>
      </c>
      <c r="D9649" s="3">
        <v>4.0</v>
      </c>
    </row>
    <row r="9650" ht="15.75" customHeight="1">
      <c r="A9650" s="1">
        <v>10279.0</v>
      </c>
      <c r="B9650" s="3" t="s">
        <v>9260</v>
      </c>
      <c r="C9650" s="3" t="str">
        <f>IFERROR(__xludf.DUMMYFUNCTION("GOOGLETRANSLATE(B9650,""id"",""en"")"),"['Telkomsel', 'opened', 'Uninstall', 'Install', 'Tetep', 'opened', 'ugly']")</f>
        <v>['Telkomsel', 'opened', 'Uninstall', 'Install', 'Tetep', 'opened', 'ugly']</v>
      </c>
      <c r="D9650" s="3">
        <v>5.0</v>
      </c>
    </row>
    <row r="9651" ht="15.75" customHeight="1">
      <c r="A9651" s="1">
        <v>10280.0</v>
      </c>
      <c r="B9651" s="3" t="s">
        <v>92</v>
      </c>
      <c r="C9651" s="3" t="str">
        <f>IFERROR(__xludf.DUMMYFUNCTION("GOOGLETRANSLATE(B9651,""id"",""en"")"),"['Application', 'Open']")</f>
        <v>['Application', 'Open']</v>
      </c>
      <c r="D9651" s="3">
        <v>3.0</v>
      </c>
    </row>
    <row r="9652" ht="15.75" customHeight="1">
      <c r="A9652" s="1">
        <v>10281.0</v>
      </c>
      <c r="B9652" s="3" t="s">
        <v>9261</v>
      </c>
      <c r="C9652" s="3" t="str">
        <f>IFERROR(__xludf.DUMMYFUNCTION("GOOGLETRANSLATE(B9652,""id"",""en"")"),"['Telkomsel', 'people', 'difficult', 'network']")</f>
        <v>['Telkomsel', 'people', 'difficult', 'network']</v>
      </c>
      <c r="D9652" s="3">
        <v>1.0</v>
      </c>
    </row>
    <row r="9653" ht="15.75" customHeight="1">
      <c r="A9653" s="1">
        <v>10282.0</v>
      </c>
      <c r="B9653" s="3" t="s">
        <v>9262</v>
      </c>
      <c r="C9653" s="3" t="str">
        <f>IFERROR(__xludf.DUMMYFUNCTION("GOOGLETRANSLATE(B9653,""id"",""en"")"),"['how', 'run out', 'download', 'open', 'appears', 'screen', 'white', '']")</f>
        <v>['how', 'run out', 'download', 'open', 'appears', 'screen', 'white', '']</v>
      </c>
      <c r="D9653" s="3">
        <v>2.0</v>
      </c>
    </row>
    <row r="9654" ht="15.75" customHeight="1">
      <c r="A9654" s="1">
        <v>10283.0</v>
      </c>
      <c r="B9654" s="3" t="s">
        <v>9263</v>
      </c>
      <c r="C9654" s="3" t="str">
        <f>IFERROR(__xludf.DUMMYFUNCTION("GOOGLETRANSLATE(B9654,""id"",""en"")"),"['Aga', 'expensive', 'price', 'quota']")</f>
        <v>['Aga', 'expensive', 'price', 'quota']</v>
      </c>
      <c r="D9654" s="3">
        <v>4.0</v>
      </c>
    </row>
    <row r="9655" ht="15.75" customHeight="1">
      <c r="A9655" s="1">
        <v>10284.0</v>
      </c>
      <c r="B9655" s="3" t="s">
        <v>9264</v>
      </c>
      <c r="C9655" s="3" t="str">
        <f>IFERROR(__xludf.DUMMYFUNCTION("GOOGLETRANSLATE(B9655,""id"",""en"")"),"['a week', 'Telkomsel', 'open', 'App', 'disappointing']")</f>
        <v>['a week', 'Telkomsel', 'open', 'App', 'disappointing']</v>
      </c>
      <c r="D9655" s="3">
        <v>1.0</v>
      </c>
    </row>
    <row r="9656" ht="15.75" customHeight="1">
      <c r="A9656" s="1">
        <v>10285.0</v>
      </c>
      <c r="B9656" s="3" t="s">
        <v>9265</v>
      </c>
      <c r="C9656" s="3" t="str">
        <f>IFERROR(__xludf.DUMMYFUNCTION("GOOGLETRANSLATE(B9656,""id"",""en"")"),"['', 'dlu', 'good', 'good', 'star']")</f>
        <v>['', 'dlu', 'good', 'good', 'star']</v>
      </c>
      <c r="D9656" s="3">
        <v>3.0</v>
      </c>
    </row>
    <row r="9657" ht="15.75" customHeight="1">
      <c r="A9657" s="1">
        <v>10286.0</v>
      </c>
      <c r="B9657" s="3" t="s">
        <v>9266</v>
      </c>
      <c r="C9657" s="3" t="str">
        <f>IFERROR(__xludf.DUMMYFUNCTION("GOOGLETRANSLATE(B9657,""id"",""en"")"),"['already', 'subscribe', 'THN', 'THN', 'Domicile', 'Network', 'Need', 'Tanding', 'Network', 'Severe', 'Change', 'Provider', ' Krna ',' Telkomsel ',' Udh ',' Kya ', ""]")</f>
        <v>['already', 'subscribe', 'THN', 'THN', 'Domicile', 'Network', 'Need', 'Tanding', 'Network', 'Severe', 'Change', 'Provider', ' Krna ',' Telkomsel ',' Udh ',' Kya ', "]</v>
      </c>
      <c r="D9657" s="3">
        <v>1.0</v>
      </c>
    </row>
    <row r="9658" ht="15.75" customHeight="1">
      <c r="A9658" s="1">
        <v>10287.0</v>
      </c>
      <c r="B9658" s="3" t="s">
        <v>9267</v>
      </c>
      <c r="C9658" s="3" t="str">
        <f>IFERROR(__xludf.DUMMYFUNCTION("GOOGLETRANSLATE(B9658,""id"",""en"")"),"['iPhone', 'Mending', 'Telkomsel', 'Signal', 'lag']")</f>
        <v>['iPhone', 'Mending', 'Telkomsel', 'Signal', 'lag']</v>
      </c>
      <c r="D9658" s="3">
        <v>1.0</v>
      </c>
    </row>
    <row r="9659" ht="15.75" customHeight="1">
      <c r="A9659" s="1">
        <v>10288.0</v>
      </c>
      <c r="B9659" s="3" t="s">
        <v>9268</v>
      </c>
      <c r="C9659" s="3" t="str">
        <f>IFERROR(__xludf.DUMMYFUNCTION("GOOGLETRANSLATE(B9659,""id"",""en"")"),"['cheap expensive']")</f>
        <v>['cheap expensive']</v>
      </c>
      <c r="D9659" s="3">
        <v>4.0</v>
      </c>
    </row>
    <row r="9660" ht="15.75" customHeight="1">
      <c r="A9660" s="1">
        <v>10289.0</v>
      </c>
      <c r="B9660" s="3" t="s">
        <v>9269</v>
      </c>
      <c r="C9660" s="3" t="str">
        <f>IFERROR(__xludf.DUMMYFUNCTION("GOOGLETRANSLATE(B9660,""id"",""en"")"),"['Package', 'data', 'strangling', 'expensive', 'expensive', 'compared', 'provider', '']")</f>
        <v>['Package', 'data', 'strangling', 'expensive', 'expensive', 'compared', 'provider', '']</v>
      </c>
      <c r="D9660" s="3">
        <v>5.0</v>
      </c>
    </row>
    <row r="9661" ht="15.75" customHeight="1">
      <c r="A9661" s="1">
        <v>10290.0</v>
      </c>
      <c r="B9661" s="3" t="s">
        <v>9270</v>
      </c>
      <c r="C9661" s="3" t="str">
        <f>IFERROR(__xludf.DUMMYFUNCTION("GOOGLETRANSLATE(B9661,""id"",""en"")"),"['Network', 'BURIK', 'Try']")</f>
        <v>['Network', 'BURIK', 'Try']</v>
      </c>
      <c r="D9661" s="3">
        <v>2.0</v>
      </c>
    </row>
    <row r="9662" ht="15.75" customHeight="1">
      <c r="A9662" s="1">
        <v>10291.0</v>
      </c>
      <c r="B9662" s="3" t="s">
        <v>9271</v>
      </c>
      <c r="C9662" s="3" t="str">
        <f>IFERROR(__xludf.DUMMYFUNCTION("GOOGLETRANSLATE(B9662,""id"",""en"")"),"['territory', 'attack', 'Banten', 'signal', 'bad', 'severe', 'please', 'repaired', 'subscription', 'Telkomsel', 'already', 'annual', ' already ',' here ',' ugly ',' Telkomsel ',' regret ',' list ',' package ',' dity ',' package ',' expensive ',' good ',' "&amp;"mbps', 'trnyata' , 'Mira', 'slow', 'loss', 'Aink', ""]")</f>
        <v>['territory', 'attack', 'Banten', 'signal', 'bad', 'severe', 'please', 'repaired', 'subscription', 'Telkomsel', 'already', 'annual', ' already ',' here ',' ugly ',' Telkomsel ',' regret ',' list ',' package ',' dity ',' package ',' expensive ',' good ',' mbps', 'trnyata' , 'Mira', 'slow', 'loss', 'Aink', "]</v>
      </c>
      <c r="D9662" s="3">
        <v>1.0</v>
      </c>
    </row>
    <row r="9663" ht="15.75" customHeight="1">
      <c r="A9663" s="1">
        <v>10292.0</v>
      </c>
      <c r="B9663" s="3" t="s">
        <v>9272</v>
      </c>
      <c r="C9663" s="3" t="str">
        <f>IFERROR(__xludf.DUMMYFUNCTION("GOOGLETRANSLATE(B9663,""id"",""en"")"),"['happy', 'use', 'application', 'Telkomsel']")</f>
        <v>['happy', 'use', 'application', 'Telkomsel']</v>
      </c>
      <c r="D9663" s="3">
        <v>1.0</v>
      </c>
    </row>
    <row r="9664" ht="15.75" customHeight="1">
      <c r="A9664" s="1">
        <v>10293.0</v>
      </c>
      <c r="B9664" s="3" t="s">
        <v>9273</v>
      </c>
      <c r="C9664" s="3" t="str">
        <f>IFERROR(__xludf.DUMMYFUNCTION("GOOGLETRANSLATE(B9664,""id"",""en"")"),"['Network', 'Telkomsel', 'skrg', 'bad', 'according to', 'expensive', 'quota', 'pdhl', 'dri', 'yrs',' sllu ',' use ',' Telkomsel ',' annoyed ',' network ',' internet ',' ']")</f>
        <v>['Network', 'Telkomsel', 'skrg', 'bad', 'according to', 'expensive', 'quota', 'pdhl', 'dri', 'yrs',' sllu ',' use ',' Telkomsel ',' annoyed ',' network ',' internet ',' ']</v>
      </c>
      <c r="D9664" s="3">
        <v>3.0</v>
      </c>
    </row>
    <row r="9665" ht="15.75" customHeight="1">
      <c r="A9665" s="1">
        <v>10294.0</v>
      </c>
      <c r="B9665" s="3" t="s">
        <v>9274</v>
      </c>
      <c r="C9665" s="3" t="str">
        <f>IFERROR(__xludf.DUMMYFUNCTION("GOOGLETRANSLATE(B9665,""id"",""en"")"),"['', 'Telkomsel', 'week', 'opened', 'blank', 'white', ""]")</f>
        <v>['', 'Telkomsel', 'week', 'opened', 'blank', 'white', "]</v>
      </c>
      <c r="D9665" s="3">
        <v>4.0</v>
      </c>
    </row>
    <row r="9666" ht="15.75" customHeight="1">
      <c r="A9666" s="1">
        <v>10295.0</v>
      </c>
      <c r="B9666" s="3" t="s">
        <v>9275</v>
      </c>
      <c r="C9666" s="3" t="str">
        <f>IFERROR(__xludf.DUMMYFUNCTION("GOOGLETRANSLATE(B9666,""id"",""en"")"),"['Increases', 'Service', 'Consumer', 'Customer', '']")</f>
        <v>['Increases', 'Service', 'Consumer', 'Customer', '']</v>
      </c>
      <c r="D9666" s="3">
        <v>4.0</v>
      </c>
    </row>
    <row r="9667" ht="15.75" customHeight="1">
      <c r="A9667" s="1">
        <v>10296.0</v>
      </c>
      <c r="B9667" s="3" t="s">
        <v>9276</v>
      </c>
      <c r="C9667" s="3" t="str">
        <f>IFERROR(__xludf.DUMMYFUNCTION("GOOGLETRANSLATE(B9667,""id"",""en"")"),"['Network', 'Quality', 'Kayak', 'Taik']")</f>
        <v>['Network', 'Quality', 'Kayak', 'Taik']</v>
      </c>
      <c r="D9667" s="3">
        <v>1.0</v>
      </c>
    </row>
    <row r="9668" ht="15.75" customHeight="1">
      <c r="A9668" s="1">
        <v>10297.0</v>
      </c>
      <c r="B9668" s="3" t="s">
        <v>9277</v>
      </c>
      <c r="C9668" s="3" t="str">
        <f>IFERROR(__xludf.DUMMYFUNCTION("GOOGLETRANSLATE(B9668,""id"",""en"")"),"['Please', 'Network', 'Stabilized', 'Kayak', 'Doelo']")</f>
        <v>['Please', 'Network', 'Stabilized', 'Kayak', 'Doelo']</v>
      </c>
      <c r="D9668" s="3">
        <v>4.0</v>
      </c>
    </row>
    <row r="9669" ht="15.75" customHeight="1">
      <c r="A9669" s="1">
        <v>10298.0</v>
      </c>
      <c r="B9669" s="3" t="s">
        <v>9278</v>
      </c>
      <c r="C9669" s="3" t="str">
        <f>IFERROR(__xludf.DUMMYFUNCTION("GOOGLETRANSLATE(B9669,""id"",""en"")"),"['APK', 'Mantul', 'Exchange', 'Points', 'Successover', 'Telkomsel']")</f>
        <v>['APK', 'Mantul', 'Exchange', 'Points', 'Successover', 'Telkomsel']</v>
      </c>
      <c r="D9669" s="3">
        <v>5.0</v>
      </c>
    </row>
    <row r="9670" ht="15.75" customHeight="1">
      <c r="A9670" s="1">
        <v>10299.0</v>
      </c>
      <c r="B9670" s="3" t="s">
        <v>9279</v>
      </c>
      <c r="C9670" s="3" t="str">
        <f>IFERROR(__xludf.DUMMYFUNCTION("GOOGLETRANSLATE(B9670,""id"",""en"")"),"['Package', 'data', 'expensive', 'according to', 'quality', 'network', 'parhhhhh']")</f>
        <v>['Package', 'data', 'expensive', 'according to', 'quality', 'network', 'parhhhhh']</v>
      </c>
      <c r="D9670" s="3">
        <v>1.0</v>
      </c>
    </row>
    <row r="9671" ht="15.75" customHeight="1">
      <c r="A9671" s="1">
        <v>10300.0</v>
      </c>
      <c r="B9671" s="3" t="s">
        <v>9280</v>
      </c>
      <c r="C9671" s="3" t="str">
        <f>IFERROR(__xludf.DUMMYFUNCTION("GOOGLETRANSLATE(B9671,""id"",""en"")"),"['Sring', 'login', 'signal', 'network', 'Telkomsel', 'smakin', 'good', 'Please', 'noticed', 'mkasih']")</f>
        <v>['Sring', 'login', 'signal', 'network', 'Telkomsel', 'smakin', 'good', 'Please', 'noticed', 'mkasih']</v>
      </c>
      <c r="D9671" s="3">
        <v>1.0</v>
      </c>
    </row>
    <row r="9672" ht="15.75" customHeight="1">
      <c r="A9672" s="1">
        <v>10301.0</v>
      </c>
      <c r="B9672" s="3" t="s">
        <v>9281</v>
      </c>
      <c r="C9672" s="3" t="str">
        <f>IFERROR(__xludf.DUMMYFUNCTION("GOOGLETRANSLATE(B9672,""id"",""en"")"),"['expensive', 'package', 'data', 'cheap', 'download', '']")</f>
        <v>['expensive', 'package', 'data', 'cheap', 'download', '']</v>
      </c>
      <c r="D9672" s="3">
        <v>2.0</v>
      </c>
    </row>
    <row r="9673" ht="15.75" customHeight="1">
      <c r="A9673" s="1">
        <v>10302.0</v>
      </c>
      <c r="B9673" s="3" t="s">
        <v>9282</v>
      </c>
      <c r="C9673" s="3" t="str">
        <f>IFERROR(__xludf.DUMMYFUNCTION("GOOGLETRANSLATE(B9673,""id"",""en"")"),"['Update', 'Date', 'December', '']")</f>
        <v>['Update', 'Date', 'December', '']</v>
      </c>
      <c r="D9673" s="3">
        <v>1.0</v>
      </c>
    </row>
    <row r="9674" ht="15.75" customHeight="1">
      <c r="A9674" s="1">
        <v>10303.0</v>
      </c>
      <c r="B9674" s="3" t="s">
        <v>9283</v>
      </c>
      <c r="C9674" s="3" t="str">
        <f>IFERROR(__xludf.DUMMYFUNCTION("GOOGLETRANSLATE(B9674,""id"",""en"")"),"['Okay', 'really', 'TPI', 'Sya', 'system', 'signal', 'repaired', 'Klau', 'Dipli', 'signal', 'strong', 'forward', ' Telkomsel ']")</f>
        <v>['Okay', 'really', 'TPI', 'Sya', 'system', 'signal', 'repaired', 'Klau', 'Dipli', 'signal', 'strong', 'forward', ' Telkomsel ']</v>
      </c>
      <c r="D9674" s="3">
        <v>5.0</v>
      </c>
    </row>
    <row r="9675" ht="15.75" customHeight="1">
      <c r="A9675" s="1">
        <v>10304.0</v>
      </c>
      <c r="B9675" s="3" t="s">
        <v>9167</v>
      </c>
      <c r="C9675" s="3" t="str">
        <f>IFERROR(__xludf.DUMMYFUNCTION("GOOGLETRANSLATE(B9675,""id"",""en"")"),"['Application', 'Helpful']")</f>
        <v>['Application', 'Helpful']</v>
      </c>
      <c r="D9675" s="3">
        <v>5.0</v>
      </c>
    </row>
    <row r="9676" ht="15.75" customHeight="1">
      <c r="A9676" s="1">
        <v>10305.0</v>
      </c>
      <c r="B9676" s="3" t="s">
        <v>859</v>
      </c>
      <c r="C9676" s="3" t="str">
        <f>IFERROR(__xludf.DUMMYFUNCTION("GOOGLETRANSLATE(B9676,""id"",""en"")"),"['help', '']")</f>
        <v>['help', '']</v>
      </c>
      <c r="D9676" s="3">
        <v>5.0</v>
      </c>
    </row>
    <row r="9677" ht="15.75" customHeight="1">
      <c r="A9677" s="1">
        <v>10306.0</v>
      </c>
      <c r="B9677" s="3" t="s">
        <v>9284</v>
      </c>
      <c r="C9677" s="3" t="str">
        <f>IFERROR(__xludf.DUMMYFUNCTION("GOOGLETRANSLATE(B9677,""id"",""en"")"),"['Telkomsel', 'Pekahhh', 'Sangt', 'Disappointing', 'Network', 'Bagus',' Price ',' Quota ',' Pling ',' Mahalll ',' Internet ',' Lemott ',' Ngadat ', ""]")</f>
        <v>['Telkomsel', 'Pekahhh', 'Sangt', 'Disappointing', 'Network', 'Bagus',' Price ',' Quota ',' Pling ',' Mahalll ',' Internet ',' Lemott ',' Ngadat ', "]</v>
      </c>
      <c r="D9677" s="3">
        <v>1.0</v>
      </c>
    </row>
    <row r="9678" ht="15.75" customHeight="1">
      <c r="A9678" s="1">
        <v>10307.0</v>
      </c>
      <c r="B9678" s="3" t="s">
        <v>9285</v>
      </c>
      <c r="C9678" s="3" t="str">
        <f>IFERROR(__xludf.DUMMYFUNCTION("GOOGLETRANSLATE(B9678,""id"",""en"")"),"['Application', 'Telkomsel', 'opened', '']")</f>
        <v>['Application', 'Telkomsel', 'opened', '']</v>
      </c>
      <c r="D9678" s="3">
        <v>1.0</v>
      </c>
    </row>
    <row r="9679" ht="15.75" customHeight="1">
      <c r="A9679" s="1">
        <v>10308.0</v>
      </c>
      <c r="B9679" s="3" t="s">
        <v>9286</v>
      </c>
      <c r="C9679" s="3" t="str">
        <f>IFERROR(__xludf.DUMMYFUNCTION("GOOGLETRANSLATE(B9679,""id"",""en"")"),"['Application', 'Help']")</f>
        <v>['Application', 'Help']</v>
      </c>
      <c r="D9679" s="3">
        <v>5.0</v>
      </c>
    </row>
    <row r="9680" ht="15.75" customHeight="1">
      <c r="A9680" s="1">
        <v>10309.0</v>
      </c>
      <c r="B9680" s="3" t="s">
        <v>9287</v>
      </c>
      <c r="C9680" s="3" t="str">
        <f>IFERROR(__xludf.DUMMYFUNCTION("GOOGLETRANSLATE(B9680,""id"",""en"")"),"['per day', 'like', 'Telkomsell', 'opened', '']")</f>
        <v>['per day', 'like', 'Telkomsell', 'opened', '']</v>
      </c>
      <c r="D9680" s="3">
        <v>1.0</v>
      </c>
    </row>
    <row r="9681" ht="15.75" customHeight="1">
      <c r="A9681" s="1">
        <v>10310.0</v>
      </c>
      <c r="B9681" s="3" t="s">
        <v>1096</v>
      </c>
      <c r="C9681" s="3" t="str">
        <f>IFERROR(__xludf.DUMMYFUNCTION("GOOGLETRANSLATE(B9681,""id"",""en"")"),"['Application', 'good', 'help']")</f>
        <v>['Application', 'good', 'help']</v>
      </c>
      <c r="D9681" s="3">
        <v>5.0</v>
      </c>
    </row>
    <row r="9682" ht="15.75" customHeight="1">
      <c r="A9682" s="1">
        <v>10311.0</v>
      </c>
      <c r="B9682" s="3" t="s">
        <v>9288</v>
      </c>
      <c r="C9682" s="3" t="str">
        <f>IFERROR(__xludf.DUMMYFUNCTION("GOOGLETRANSLATE(B9682,""id"",""en"")"),"['Disappointed', 'App', 'Telkomsel', 'version', 'the latest', 'open', 'just', 'appears',' white ',' doang ',' disappointed ',' staple ',' Huhh ']")</f>
        <v>['Disappointed', 'App', 'Telkomsel', 'version', 'the latest', 'open', 'just', 'appears',' white ',' doang ',' disappointed ',' staple ',' Huhh ']</v>
      </c>
      <c r="D9682" s="3">
        <v>1.0</v>
      </c>
    </row>
    <row r="9683" ht="15.75" customHeight="1">
      <c r="A9683" s="1">
        <v>10312.0</v>
      </c>
      <c r="B9683" s="3" t="s">
        <v>92</v>
      </c>
      <c r="C9683" s="3" t="str">
        <f>IFERROR(__xludf.DUMMYFUNCTION("GOOGLETRANSLATE(B9683,""id"",""en"")"),"['Application', 'Open']")</f>
        <v>['Application', 'Open']</v>
      </c>
      <c r="D9683" s="3">
        <v>1.0</v>
      </c>
    </row>
    <row r="9684" ht="15.75" customHeight="1">
      <c r="A9684" s="1">
        <v>10313.0</v>
      </c>
      <c r="B9684" s="3" t="s">
        <v>9289</v>
      </c>
      <c r="C9684" s="3" t="str">
        <f>IFERROR(__xludf.DUMMYFUNCTION("GOOGLETRANSLATE(B9684,""id"",""en"")"),"['signal', 'Telkomsel', 'slow', 'Severe', 'ilang', 'ilang', 'lazy', 'contents',' pulse ',' masang ',' package ',' pay ',' expensive ',' slow ',' disorder ']")</f>
        <v>['signal', 'Telkomsel', 'slow', 'Severe', 'ilang', 'ilang', 'lazy', 'contents',' pulse ',' masang ',' package ',' pay ',' expensive ',' slow ',' disorder ']</v>
      </c>
      <c r="D9684" s="3">
        <v>1.0</v>
      </c>
    </row>
    <row r="9685" ht="15.75" customHeight="1">
      <c r="A9685" s="1">
        <v>10314.0</v>
      </c>
      <c r="B9685" s="3" t="s">
        <v>9290</v>
      </c>
      <c r="C9685" s="3" t="str">
        <f>IFERROR(__xludf.DUMMYFUNCTION("GOOGLETRANSLATE(B9685,""id"",""en"")"),"['good luck']")</f>
        <v>['good luck']</v>
      </c>
      <c r="D9685" s="3">
        <v>1.0</v>
      </c>
    </row>
    <row r="9686" ht="15.75" customHeight="1">
      <c r="A9686" s="1">
        <v>10315.0</v>
      </c>
      <c r="B9686" s="3" t="s">
        <v>9291</v>
      </c>
      <c r="C9686" s="3" t="str">
        <f>IFERROR(__xludf.DUMMYFUNCTION("GOOGLETRANSLATE(B9686,""id"",""en"")"),"['Telkomsel', 'opened', 'smartphone', 'system', 'Android', '']")</f>
        <v>['Telkomsel', 'opened', 'smartphone', 'system', 'Android', '']</v>
      </c>
      <c r="D9686" s="3">
        <v>1.0</v>
      </c>
    </row>
    <row r="9687" ht="15.75" customHeight="1">
      <c r="A9687" s="1">
        <v>10316.0</v>
      </c>
      <c r="B9687" s="3" t="s">
        <v>9292</v>
      </c>
      <c r="C9687" s="3" t="str">
        <f>IFERROR(__xludf.DUMMYFUNCTION("GOOGLETRANSLATE(B9687,""id"",""en"")"),"['quota', 'expensive', 'price', 'skrg', 'application', 'blank', 'gini', 'mending', 'switch', 'provider', 'ajah']")</f>
        <v>['quota', 'expensive', 'price', 'skrg', 'application', 'blank', 'gini', 'mending', 'switch', 'provider', 'ajah']</v>
      </c>
      <c r="D9687" s="3">
        <v>1.0</v>
      </c>
    </row>
    <row r="9688" ht="15.75" customHeight="1">
      <c r="A9688" s="1">
        <v>10317.0</v>
      </c>
      <c r="B9688" s="3" t="s">
        <v>9293</v>
      </c>
      <c r="C9688" s="3" t="str">
        <f>IFERROR(__xludf.DUMMYFUNCTION("GOOGLETRANSLATE(B9688,""id"",""en"")"),"['TELKOM', 'AJNG', 'BLI', 'PKET', 'expensive', 'expensive', 'Nglag', 'ajng', 'ajng']")</f>
        <v>['TELKOM', 'AJNG', 'BLI', 'PKET', 'expensive', 'expensive', 'Nglag', 'ajng', 'ajng']</v>
      </c>
      <c r="D9688" s="3">
        <v>1.0</v>
      </c>
    </row>
    <row r="9689" ht="15.75" customHeight="1">
      <c r="A9689" s="1">
        <v>10318.0</v>
      </c>
      <c r="B9689" s="3" t="s">
        <v>9294</v>
      </c>
      <c r="C9689" s="3" t="str">
        <f>IFERROR(__xludf.DUMMYFUNCTION("GOOGLETRANSLATE(B9689,""id"",""en"")"),"['Telkomsel', 'emang', 'joss', 'network']")</f>
        <v>['Telkomsel', 'emang', 'joss', 'network']</v>
      </c>
      <c r="D9689" s="3">
        <v>5.0</v>
      </c>
    </row>
    <row r="9690" ht="15.75" customHeight="1">
      <c r="A9690" s="1">
        <v>10320.0</v>
      </c>
      <c r="B9690" s="3" t="s">
        <v>9295</v>
      </c>
      <c r="C9690" s="3" t="str">
        <f>IFERROR(__xludf.DUMMYFUNCTION("GOOGLETRANSLATE(B9690,""id"",""en"")"),"['Telkomsel', 'already', 'subscriber', 'price', 'rich', 'card', 'iME', 'xsis',' etc ',' sometimes', 'nyesel', 'Telkomsel', ' Please '""Fix']")</f>
        <v>['Telkomsel', 'already', 'subscriber', 'price', 'rich', 'card', 'iME', 'xsis',' etc ',' sometimes', 'nyesel', 'Telkomsel', ' Please '"Fix']</v>
      </c>
      <c r="D9690" s="3">
        <v>1.0</v>
      </c>
    </row>
    <row r="9691" ht="15.75" customHeight="1">
      <c r="A9691" s="1">
        <v>10321.0</v>
      </c>
      <c r="B9691" s="3" t="s">
        <v>9296</v>
      </c>
      <c r="C9691" s="3" t="str">
        <f>IFERROR(__xludf.DUMMYFUNCTION("GOOGLETRANSLATE(B9691,""id"",""en"")"),"['Telkomsel', 'wherever', 'signal', 'strong', 'network', 'internet', 'good', '']")</f>
        <v>['Telkomsel', 'wherever', 'signal', 'strong', 'network', 'internet', 'good', '']</v>
      </c>
      <c r="D9691" s="3">
        <v>5.0</v>
      </c>
    </row>
    <row r="9692" ht="15.75" customHeight="1">
      <c r="A9692" s="1">
        <v>10322.0</v>
      </c>
      <c r="B9692" s="3" t="s">
        <v>9297</v>
      </c>
      <c r="C9692" s="3" t="str">
        <f>IFERROR(__xludf.DUMMYFUNCTION("GOOGLETRANSLATE(B9692,""id"",""en"")"),"['IMI', 'Tidsk', 'open', 'APK', 'already', 'donlod', 'Install', 'Sampe', 'thought', 'error', 'Read', 'Review', ' Have ',' contact ',' Tele ',' contact ',' response ',' twiter ',' please ',' explanation ',' quota ',' abis', 'buy']")</f>
        <v>['IMI', 'Tidsk', 'open', 'APK', 'already', 'donlod', 'Install', 'Sampe', 'thought', 'error', 'Read', 'Review', ' Have ',' contact ',' Tele ',' contact ',' response ',' twiter ',' please ',' explanation ',' quota ',' abis', 'buy']</v>
      </c>
      <c r="D9692" s="3">
        <v>1.0</v>
      </c>
    </row>
    <row r="9693" ht="15.75" customHeight="1">
      <c r="A9693" s="1">
        <v>10323.0</v>
      </c>
      <c r="B9693" s="3" t="s">
        <v>9298</v>
      </c>
      <c r="C9693" s="3" t="str">
        <f>IFERROR(__xludf.DUMMYFUNCTION("GOOGLETRANSLATE(B9693,""id"",""en"")"),"['bad signal', '']")</f>
        <v>['bad signal', '']</v>
      </c>
      <c r="D9693" s="3">
        <v>1.0</v>
      </c>
    </row>
    <row r="9694" ht="15.75" customHeight="1">
      <c r="A9694" s="1">
        <v>10324.0</v>
      </c>
      <c r="B9694" s="3" t="s">
        <v>9299</v>
      </c>
      <c r="C9694" s="3" t="str">
        <f>IFERROR(__xludf.DUMMYFUNCTION("GOOGLETRANSLATE(B9694,""id"",""en"")"),"['Steady', 'Price', 'Package', 'Internet', 'Quality', 'Down', 'Maen']")</f>
        <v>['Steady', 'Price', 'Package', 'Internet', 'Quality', 'Down', 'Maen']</v>
      </c>
      <c r="D9694" s="3">
        <v>1.0</v>
      </c>
    </row>
    <row r="9695" ht="15.75" customHeight="1">
      <c r="A9695" s="1">
        <v>10325.0</v>
      </c>
      <c r="B9695" s="3" t="s">
        <v>9300</v>
      </c>
      <c r="C9695" s="3" t="str">
        <f>IFERROR(__xludf.DUMMYFUNCTION("GOOGLETRANSLATE(B9695,""id"",""en"")"),"['', 'Login', 'via', 'SMS', 'System', 'Busy', 'The answer']")</f>
        <v>['', 'Login', 'via', 'SMS', 'System', 'Busy', 'The answer']</v>
      </c>
      <c r="D9695" s="3">
        <v>1.0</v>
      </c>
    </row>
    <row r="9696" ht="15.75" customHeight="1">
      <c r="A9696" s="1">
        <v>10326.0</v>
      </c>
      <c r="B9696" s="3" t="s">
        <v>9301</v>
      </c>
      <c r="C9696" s="3" t="str">
        <f>IFERROR(__xludf.DUMMYFUNCTION("GOOGLETRANSLATE(B9696,""id"",""en"")"),"['Not bad', 'help']")</f>
        <v>['Not bad', 'help']</v>
      </c>
      <c r="D9696" s="3">
        <v>5.0</v>
      </c>
    </row>
    <row r="9697" ht="15.75" customHeight="1">
      <c r="A9697" s="1">
        <v>10327.0</v>
      </c>
      <c r="B9697" s="3" t="s">
        <v>9302</v>
      </c>
      <c r="C9697" s="3" t="str">
        <f>IFERROR(__xludf.DUMMYFUNCTION("GOOGLETRANSLATE(B9697,""id"",""en"")"),"['users',' Telkomsel ',' Mending ',' Change ',' Card ',' Telkomsel ',' UDH ',' Damaged ',' AJG ',' Malem ',' Signal ',' Give ',' Service ',' good ',' user ',' UDH ',' buy ',' quota ',' expensive ',' tuhcmn ',' money ',' doang ',' sek ',' ajg ']")</f>
        <v>['users',' Telkomsel ',' Mending ',' Change ',' Card ',' Telkomsel ',' UDH ',' Damaged ',' AJG ',' Malem ',' Signal ',' Give ',' Service ',' good ',' user ',' UDH ',' buy ',' quota ',' expensive ',' tuhcmn ',' money ',' doang ',' sek ',' ajg ']</v>
      </c>
      <c r="D9697" s="3">
        <v>1.0</v>
      </c>
    </row>
    <row r="9698" ht="15.75" customHeight="1">
      <c r="A9698" s="1">
        <v>10328.0</v>
      </c>
      <c r="B9698" s="3" t="s">
        <v>9303</v>
      </c>
      <c r="C9698" s="3" t="str">
        <f>IFERROR(__xludf.DUMMYFUNCTION("GOOGLETRANSLATE(B9698,""id"",""en"")"),"['Disappointed', 'Network', 'Internet', 'Sexous', 'Leet', 'Please', 'Repaired', '']")</f>
        <v>['Disappointed', 'Network', 'Internet', 'Sexous', 'Leet', 'Please', 'Repaired', '']</v>
      </c>
      <c r="D9698" s="3">
        <v>3.0</v>
      </c>
    </row>
    <row r="9699" ht="15.75" customHeight="1">
      <c r="A9699" s="1">
        <v>10329.0</v>
      </c>
      <c r="B9699" s="3" t="s">
        <v>9304</v>
      </c>
      <c r="C9699" s="3" t="str">
        <f>IFERROR(__xludf.DUMMYFUNCTION("GOOGLETRANSLATE(B9699,""id"",""en"")"),"['', 'Telkomsel', 'wrong', 'application', 'bad', 'slow', 'application', 'obsolete', 'rating', 'star', 'person', 'nge', 'star ',' Komplin ',' Read ',' Assessment ',' Honest ',' Search ',' Rating ',' Impossible ',' Application ',' Hopefully ',' Developer ',"&amp;"' Telkomsel ',' Aware ', 'Operator', 'Indonesia', 'Development', 'Application', 'Becus', '']")</f>
        <v>['', 'Telkomsel', 'wrong', 'application', 'bad', 'slow', 'application', 'obsolete', 'rating', 'star', 'person', 'nge', 'star ',' Komplin ',' Read ',' Assessment ',' Honest ',' Search ',' Rating ',' Impossible ',' Application ',' Hopefully ',' Developer ',' Telkomsel ',' Aware ', 'Operator', 'Indonesia', 'Development', 'Application', 'Becus', '']</v>
      </c>
      <c r="D9699" s="3">
        <v>1.0</v>
      </c>
    </row>
    <row r="9700" ht="15.75" customHeight="1">
      <c r="A9700" s="1">
        <v>10330.0</v>
      </c>
      <c r="B9700" s="3" t="s">
        <v>9305</v>
      </c>
      <c r="C9700" s="3" t="str">
        <f>IFERROR(__xludf.DUMMYFUNCTION("GOOGLETRANSLATE(B9700,""id"",""en"")"),"['Mantul', 'Pisan', 'Purchase', 'PKAET', 'Internet', 'Telkomsel']")</f>
        <v>['Mantul', 'Pisan', 'Purchase', 'PKAET', 'Internet', 'Telkomsel']</v>
      </c>
      <c r="D9700" s="3">
        <v>4.0</v>
      </c>
    </row>
    <row r="9701" ht="15.75" customHeight="1">
      <c r="A9701" s="1">
        <v>10331.0</v>
      </c>
      <c r="B9701" s="3" t="s">
        <v>3302</v>
      </c>
      <c r="C9701" s="3" t="str">
        <f>IFERROR(__xludf.DUMMYFUNCTION("GOOGLETRANSLATE(B9701,""id"",""en"")"),"['Gabisa', 'opened', '']")</f>
        <v>['Gabisa', 'opened', '']</v>
      </c>
      <c r="D9701" s="3">
        <v>2.0</v>
      </c>
    </row>
    <row r="9702" ht="15.75" customHeight="1">
      <c r="A9702" s="1">
        <v>10332.0</v>
      </c>
      <c r="B9702" s="3" t="s">
        <v>9306</v>
      </c>
      <c r="C9702" s="3" t="str">
        <f>IFERROR(__xludf.DUMMYFUNCTION("GOOGLETRANSLATE(B9702,""id"",""en"")"),"['Your Package', 'You', 'Mail', 'Your Network', 'Sngt', 'Bad', 'Sorry', 'Use', 'Telkomsel']")</f>
        <v>['Your Package', 'You', 'Mail', 'Your Network', 'Sngt', 'Bad', 'Sorry', 'Use', 'Telkomsel']</v>
      </c>
      <c r="D9702" s="3">
        <v>1.0</v>
      </c>
    </row>
    <row r="9703" ht="15.75" customHeight="1">
      <c r="A9703" s="1">
        <v>10333.0</v>
      </c>
      <c r="B9703" s="3" t="s">
        <v>9307</v>
      </c>
      <c r="C9703" s="3" t="str">
        <f>IFERROR(__xludf.DUMMYFUNCTION("GOOGLETRANSLATE(B9703,""id"",""en"")"),"['Telkomsel', 'access', 'please', 'fix', 'application']")</f>
        <v>['Telkomsel', 'access', 'please', 'fix', 'application']</v>
      </c>
      <c r="D9703" s="3">
        <v>5.0</v>
      </c>
    </row>
    <row r="9704" ht="15.75" customHeight="1">
      <c r="A9704" s="1">
        <v>10334.0</v>
      </c>
      <c r="B9704" s="3" t="s">
        <v>9308</v>
      </c>
      <c r="C9704" s="3" t="str">
        <f>IFERROR(__xludf.DUMMYFUNCTION("GOOGLETRANSLATE(B9704,""id"",""en"")"),"['Hrga', 'pket', 'uda', 'that's', 'network', 'gguan', 'melululu', ""]")</f>
        <v>['Hrga', 'pket', 'uda', 'that's', 'network', 'gguan', 'melululu', "]</v>
      </c>
      <c r="D9704" s="3">
        <v>1.0</v>
      </c>
    </row>
    <row r="9705" ht="15.75" customHeight="1">
      <c r="A9705" s="1">
        <v>10335.0</v>
      </c>
      <c r="B9705" s="3" t="s">
        <v>92</v>
      </c>
      <c r="C9705" s="3" t="str">
        <f>IFERROR(__xludf.DUMMYFUNCTION("GOOGLETRANSLATE(B9705,""id"",""en"")"),"['Application', 'Open']")</f>
        <v>['Application', 'Open']</v>
      </c>
      <c r="D9705" s="3">
        <v>3.0</v>
      </c>
    </row>
    <row r="9706" ht="15.75" customHeight="1">
      <c r="A9706" s="1">
        <v>10336.0</v>
      </c>
      <c r="B9706" s="3" t="s">
        <v>9309</v>
      </c>
      <c r="C9706" s="3" t="str">
        <f>IFERROR(__xludf.DUMMYFUNCTION("GOOGLETRANSLATE(B9706,""id"",""en"")"),"['Application', 'Telkomsel', 'open', ""]")</f>
        <v>['Application', 'Telkomsel', 'open', "]</v>
      </c>
      <c r="D9706" s="3">
        <v>2.0</v>
      </c>
    </row>
    <row r="9707" ht="15.75" customHeight="1">
      <c r="A9707" s="1">
        <v>10337.0</v>
      </c>
      <c r="B9707" s="3" t="s">
        <v>9310</v>
      </c>
      <c r="C9707" s="3" t="str">
        <f>IFERROR(__xludf.DUMMYFUNCTION("GOOGLETRANSLATE(B9707,""id"",""en"")"),"['Disappointed', 'Telkomsel', 'Network', 'Rich', 'Please', 'Fix', 'Make', 'Telkomsel']")</f>
        <v>['Disappointed', 'Telkomsel', 'Network', 'Rich', 'Please', 'Fix', 'Make', 'Telkomsel']</v>
      </c>
      <c r="D9707" s="3">
        <v>2.0</v>
      </c>
    </row>
    <row r="9708" ht="15.75" customHeight="1">
      <c r="A9708" s="1">
        <v>10338.0</v>
      </c>
      <c r="B9708" s="3" t="s">
        <v>9311</v>
      </c>
      <c r="C9708" s="3" t="str">
        <f>IFERROR(__xludf.DUMMYFUNCTION("GOOGLETRANSLATE(B9708,""id"",""en"")"),"['Dlm', 'MGGU', 'Application', 'Telkomsel', 'Open', 'Restart', 'Opened', 'Please', 'Attention']")</f>
        <v>['Dlm', 'MGGU', 'Application', 'Telkomsel', 'Open', 'Restart', 'Opened', 'Please', 'Attention']</v>
      </c>
      <c r="D9708" s="3">
        <v>1.0</v>
      </c>
    </row>
    <row r="9709" ht="15.75" customHeight="1">
      <c r="A9709" s="1">
        <v>10339.0</v>
      </c>
      <c r="B9709" s="3" t="s">
        <v>9312</v>
      </c>
      <c r="C9709" s="3" t="str">
        <f>IFERROR(__xludf.DUMMYFUNCTION("GOOGLETRANSLATE(B9709,""id"",""en"")"),"['Telkomsel', 'quota', 'internet', 'internet', 'pulse', 'chick', 'on', 'quota', 'internet', 'already', 'network', 'ugly', ' Services', 'ugly', '']")</f>
        <v>['Telkomsel', 'quota', 'internet', 'internet', 'pulse', 'chick', 'on', 'quota', 'internet', 'already', 'network', 'ugly', ' Services', 'ugly', '']</v>
      </c>
      <c r="D9709" s="3">
        <v>1.0</v>
      </c>
    </row>
    <row r="9710" ht="15.75" customHeight="1">
      <c r="A9710" s="1">
        <v>10340.0</v>
      </c>
      <c r="B9710" s="3" t="s">
        <v>9313</v>
      </c>
      <c r="C9710" s="3" t="str">
        <f>IFERROR(__xludf.DUMMYFUNCTION("GOOGLETRANSLATE(B9710,""id"",""en"")"),"['Selek', 'Telkom', 'broken', 'Kek']")</f>
        <v>['Selek', 'Telkom', 'broken', 'Kek']</v>
      </c>
      <c r="D9710" s="3">
        <v>1.0</v>
      </c>
    </row>
    <row r="9711" ht="15.75" customHeight="1">
      <c r="A9711" s="1">
        <v>10341.0</v>
      </c>
      <c r="B9711" s="3" t="s">
        <v>9314</v>
      </c>
      <c r="C9711" s="3" t="str">
        <f>IFERROR(__xludf.DUMMYFUNCTION("GOOGLETRANSLATE(B9711,""id"",""en"")"),"['confused', 'knp', 'quota', 'Telkomsel', 'byk', 'rare', 'quota', 'knp', 'buy', ""]")</f>
        <v>['confused', 'knp', 'quota', 'Telkomsel', 'byk', 'rare', 'quota', 'knp', 'buy', "]</v>
      </c>
      <c r="D9711" s="3">
        <v>1.0</v>
      </c>
    </row>
    <row r="9712" ht="15.75" customHeight="1">
      <c r="A9712" s="1">
        <v>10342.0</v>
      </c>
      <c r="B9712" s="3" t="s">
        <v>9315</v>
      </c>
      <c r="C9712" s="3" t="str">
        <f>IFERROR(__xludf.DUMMYFUNCTION("GOOGLETRANSLATE(B9712,""id"",""en"")"),"['open', 'Telkomsel', 'Please', 'Banti', '']")</f>
        <v>['open', 'Telkomsel', 'Please', 'Banti', '']</v>
      </c>
      <c r="D9712" s="3">
        <v>4.0</v>
      </c>
    </row>
    <row r="9713" ht="15.75" customHeight="1">
      <c r="A9713" s="1">
        <v>10343.0</v>
      </c>
      <c r="B9713" s="3" t="s">
        <v>9316</v>
      </c>
      <c r="C9713" s="3" t="str">
        <f>IFERROR(__xludf.DUMMYFUNCTION("GOOGLETRANSLATE(B9713,""id"",""en"")"),"['Tsel', 'signal', 'ugly', 'please', 'repaired']")</f>
        <v>['Tsel', 'signal', 'ugly', 'please', 'repaired']</v>
      </c>
      <c r="D9713" s="3">
        <v>2.0</v>
      </c>
    </row>
    <row r="9714" ht="15.75" customHeight="1">
      <c r="A9714" s="1">
        <v>10344.0</v>
      </c>
      <c r="B9714" s="3" t="s">
        <v>9317</v>
      </c>
      <c r="C9714" s="3" t="str">
        <f>IFERROR(__xludf.DUMMYFUNCTION("GOOGLETRANSLATE(B9714,""id"",""en"")"),"['', 'Telkomsel', 'Knp', 'entered', 'SMS', 'DiDen', 'Valid', 'Bagiman', 'entry']")</f>
        <v>['', 'Telkomsel', 'Knp', 'entered', 'SMS', 'DiDen', 'Valid', 'Bagiman', 'entry']</v>
      </c>
      <c r="D9714" s="3">
        <v>1.0</v>
      </c>
    </row>
    <row r="9715" ht="15.75" customHeight="1">
      <c r="A9715" s="1">
        <v>10345.0</v>
      </c>
      <c r="B9715" s="3" t="s">
        <v>9318</v>
      </c>
      <c r="C9715" s="3" t="str">
        <f>IFERROR(__xludf.DUMMYFUNCTION("GOOGLETRANSLATE(B9715,""id"",""en"")"),"['Janjany', 'Personif', 'Satisfied', 'Service']")</f>
        <v>['Janjany', 'Personif', 'Satisfied', 'Service']</v>
      </c>
      <c r="D9715" s="3">
        <v>5.0</v>
      </c>
    </row>
    <row r="9716" ht="15.75" customHeight="1">
      <c r="A9716" s="1">
        <v>10346.0</v>
      </c>
      <c r="B9716" s="3" t="s">
        <v>9319</v>
      </c>
      <c r="C9716" s="3" t="str">
        <f>IFERROR(__xludf.DUMMYFUNCTION("GOOGLETRANSLATE(B9716,""id"",""en"")"),"['Help', 'sekli']")</f>
        <v>['Help', 'sekli']</v>
      </c>
      <c r="D9716" s="3">
        <v>4.0</v>
      </c>
    </row>
    <row r="9717" ht="15.75" customHeight="1">
      <c r="A9717" s="1">
        <v>10347.0</v>
      </c>
      <c r="B9717" s="3" t="s">
        <v>9320</v>
      </c>
      <c r="C9717" s="3" t="str">
        <f>IFERROR(__xludf.DUMMYFUNCTION("GOOGLETRANSLATE(B9717,""id"",""en"")"),"['blank', 'white', 'repair']")</f>
        <v>['blank', 'white', 'repair']</v>
      </c>
      <c r="D9717" s="3">
        <v>1.0</v>
      </c>
    </row>
    <row r="9718" ht="15.75" customHeight="1">
      <c r="A9718" s="1">
        <v>10348.0</v>
      </c>
      <c r="B9718" s="3" t="s">
        <v>9321</v>
      </c>
      <c r="C9718" s="3" t="str">
        <f>IFERROR(__xludf.DUMMYFUNCTION("GOOGLETRANSLATE(B9718,""id"",""en"")"),"['Samsung', 'PDAH', 'APP', 'CURRENT']")</f>
        <v>['Samsung', 'PDAH', 'APP', 'CURRENT']</v>
      </c>
      <c r="D9718" s="3">
        <v>1.0</v>
      </c>
    </row>
    <row r="9719" ht="15.75" customHeight="1">
      <c r="A9719" s="1">
        <v>10349.0</v>
      </c>
      <c r="B9719" s="3" t="s">
        <v>9322</v>
      </c>
      <c r="C9719" s="3" t="str">
        <f>IFERROR(__xludf.DUMMYFUNCTION("GOOGLETRANSLATE(B9719,""id"",""en"")"),"['Signal', 'Jumping', 'continued', 'Nge', 'Game']")</f>
        <v>['Signal', 'Jumping', 'continued', 'Nge', 'Game']</v>
      </c>
      <c r="D9719" s="3">
        <v>1.0</v>
      </c>
    </row>
    <row r="9720" ht="15.75" customHeight="1">
      <c r="A9720" s="1">
        <v>10350.0</v>
      </c>
      <c r="B9720" s="3" t="s">
        <v>9323</v>
      </c>
      <c r="C9720" s="3" t="str">
        <f>IFERROR(__xludf.DUMMYFUNCTION("GOOGLETRANSLATE(B9720,""id"",""en"")"),"['Assessment', 'Change', 'Yesterday', 'Love', 'Star', 'complaints',' The network ',' stable ',' disappointed ',' contents', 'reset', 'pulses',' Minutes', 'already', 'sumps',' contents', 'reset', 'enter', 'already', 'sumps',' data ',' already ',' Matiin ',"&amp;"' network ',' already ' , 'Connect', 'wifi', 'please', 'budayakan', 'corruption', 'what', 'Indonesia', 'advanced', 'gini', 'caranan']")</f>
        <v>['Assessment', 'Change', 'Yesterday', 'Love', 'Star', 'complaints',' The network ',' stable ',' disappointed ',' contents', 'reset', 'pulses',' Minutes', 'already', 'sumps',' contents', 'reset', 'enter', 'already', 'sumps',' data ',' already ',' Matiin ',' network ',' already ' , 'Connect', 'wifi', 'please', 'budayakan', 'corruption', 'what', 'Indonesia', 'advanced', 'gini', 'caranan']</v>
      </c>
      <c r="D9720" s="3">
        <v>1.0</v>
      </c>
    </row>
    <row r="9721" ht="15.75" customHeight="1">
      <c r="A9721" s="1">
        <v>10351.0</v>
      </c>
      <c r="B9721" s="3" t="s">
        <v>9324</v>
      </c>
      <c r="C9721" s="3" t="str">
        <f>IFERROR(__xludf.DUMMYFUNCTION("GOOGLETRANSLATE(B9721,""id"",""en"")"),"['here', 'slow', 'network']")</f>
        <v>['here', 'slow', 'network']</v>
      </c>
      <c r="D9721" s="3">
        <v>1.0</v>
      </c>
    </row>
    <row r="9722" ht="15.75" customHeight="1">
      <c r="A9722" s="1">
        <v>10352.0</v>
      </c>
      <c r="B9722" s="3" t="s">
        <v>9325</v>
      </c>
      <c r="C9722" s="3" t="str">
        <f>IFERROR(__xludf.DUMMYFUNCTION("GOOGLETRANSLATE(B9722,""id"",""en"")"),"['App', 'Whitescreen', '']")</f>
        <v>['App', 'Whitescreen', '']</v>
      </c>
      <c r="D9722" s="3">
        <v>1.0</v>
      </c>
    </row>
    <row r="9723" ht="15.75" customHeight="1">
      <c r="A9723" s="1">
        <v>10353.0</v>
      </c>
      <c r="B9723" s="3" t="s">
        <v>9326</v>
      </c>
      <c r="C9723" s="3" t="str">
        <f>IFERROR(__xludf.DUMMYFUNCTION("GOOGLETRANSLATE(B9723,""id"",""en"")"),"['Cool', 'Basic', 'Telkomsel', 'Dihati', '']")</f>
        <v>['Cool', 'Basic', 'Telkomsel', 'Dihati', '']</v>
      </c>
      <c r="D9723" s="3">
        <v>4.0</v>
      </c>
    </row>
    <row r="9724" ht="15.75" customHeight="1">
      <c r="A9724" s="1">
        <v>10354.0</v>
      </c>
      <c r="B9724" s="3" t="s">
        <v>9327</v>
      </c>
      <c r="C9724" s="3" t="str">
        <f>IFERROR(__xludf.DUMMYFUNCTION("GOOGLETRANSLATE(B9724,""id"",""en"")"),"['Please', 'Help', 'Application', 'Opened', 'High School']")</f>
        <v>['Please', 'Help', 'Application', 'Opened', 'High School']</v>
      </c>
      <c r="D9724" s="3">
        <v>1.0</v>
      </c>
    </row>
    <row r="9725" ht="15.75" customHeight="1">
      <c r="A9725" s="1">
        <v>10355.0</v>
      </c>
      <c r="B9725" s="3" t="s">
        <v>9328</v>
      </c>
      <c r="C9725" s="3" t="str">
        <f>IFERROR(__xludf.DUMMYFUNCTION("GOOGLETRANSLATE(B9725,""id"",""en"")"),"['What', 'dowload', 'trs',' right ',' opened ',' ehh ',' color ',' white ',' doang ',' weve ',' the application ',' please ',' Updated ',' Application ',' Karna ',' users', 'Telkomsel', 'Satisfied', 'Application', 'Check', 'Buy', 'Color', 'White', 'Doang'"&amp;", 'screen', 'screen' , 'already', 'high', 'really', 'the application', 'error']")</f>
        <v>['What', 'dowload', 'trs',' right ',' opened ',' ehh ',' color ',' white ',' doang ',' weve ',' the application ',' please ',' Updated ',' Application ',' Karna ',' users', 'Telkomsel', 'Satisfied', 'Application', 'Check', 'Buy', 'Color', 'White', 'Doang', 'screen', 'screen' , 'already', 'high', 'really', 'the application', 'error']</v>
      </c>
      <c r="D9725" s="3">
        <v>1.0</v>
      </c>
    </row>
    <row r="9726" ht="15.75" customHeight="1">
      <c r="A9726" s="1">
        <v>10356.0</v>
      </c>
      <c r="B9726" s="3" t="s">
        <v>9329</v>
      </c>
      <c r="C9726" s="3" t="str">
        <f>IFERROR(__xludf.DUMMYFUNCTION("GOOGLETRANSLATE(B9726,""id"",""en"")"),"['User', 'Telkomsel', 'The name', 'Laggg', 'Padahala', 'already', 'buy', 'unlimited', 'disappointed']")</f>
        <v>['User', 'Telkomsel', 'The name', 'Laggg', 'Padahala', 'already', 'buy', 'unlimited', 'disappointed']</v>
      </c>
      <c r="D9726" s="3">
        <v>1.0</v>
      </c>
    </row>
    <row r="9727" ht="15.75" customHeight="1">
      <c r="A9727" s="1">
        <v>10357.0</v>
      </c>
      <c r="B9727" s="3" t="s">
        <v>9330</v>
      </c>
      <c r="C9727" s="3" t="str">
        <f>IFERROR(__xludf.DUMMYFUNCTION("GOOGLETRANSLATE(B9727,""id"",""en"")"),"['slow', 'signal', 'tmpat', 'good']")</f>
        <v>['slow', 'signal', 'tmpat', 'good']</v>
      </c>
      <c r="D9727" s="3">
        <v>1.0</v>
      </c>
    </row>
    <row r="9728" ht="15.75" customHeight="1">
      <c r="A9728" s="1">
        <v>10358.0</v>
      </c>
      <c r="B9728" s="3" t="s">
        <v>9331</v>
      </c>
      <c r="C9728" s="3" t="str">
        <f>IFERROR(__xludf.DUMMYFUNCTION("GOOGLETRANSLATE(B9728,""id"",""en"")"),"['signal', 'poor', 'difficult', 'signal', 'sometimes', 'strong', 'signal', 'wherever']")</f>
        <v>['signal', 'poor', 'difficult', 'signal', 'sometimes', 'strong', 'signal', 'wherever']</v>
      </c>
      <c r="D9728" s="3">
        <v>1.0</v>
      </c>
    </row>
    <row r="9729" ht="15.75" customHeight="1">
      <c r="A9729" s="1">
        <v>10359.0</v>
      </c>
      <c r="B9729" s="3" t="s">
        <v>9332</v>
      </c>
      <c r="C9729" s="3" t="str">
        <f>IFERROR(__xludf.DUMMYFUNCTION("GOOGLETRANSLATE(B9729,""id"",""en"")"),"['Update', 'Telkomsel', 'Open', '']")</f>
        <v>['Update', 'Telkomsel', 'Open', '']</v>
      </c>
      <c r="D9729" s="3">
        <v>5.0</v>
      </c>
    </row>
    <row r="9730" ht="15.75" customHeight="1">
      <c r="A9730" s="1">
        <v>10360.0</v>
      </c>
      <c r="B9730" s="3" t="s">
        <v>9333</v>
      </c>
      <c r="C9730" s="3" t="str">
        <f>IFERROR(__xludf.DUMMYFUNCTION("GOOGLETRANSLATE(B9730,""id"",""en"")"),"['Internet', 'Telkomsel', 'LEG', 'Pink', 'Karna', 'Selalu', 'User', 'Quota', 'Network', 'lag']")</f>
        <v>['Internet', 'Telkomsel', 'LEG', 'Pink', 'Karna', 'Selalu', 'User', 'Quota', 'Network', 'lag']</v>
      </c>
      <c r="D9730" s="3">
        <v>2.0</v>
      </c>
    </row>
    <row r="9731" ht="15.75" customHeight="1">
      <c r="A9731" s="1">
        <v>10361.0</v>
      </c>
      <c r="B9731" s="3" t="s">
        <v>9334</v>
      </c>
      <c r="C9731" s="3" t="str">
        <f>IFERROR(__xludf.DUMMYFUNCTION("GOOGLETRANSLATE(B9731,""id"",""en"")"),"['', 'browsing', 'read', 'comics',' use ',' multimedia ',' kb ',' open ',' yotube ',' use ',' quota ',' regular ',' MB ',' looks', 'bar', 'check', 'data', 'invite', 'gelud', 'kah', 'ngentid', '']")</f>
        <v>['', 'browsing', 'read', 'comics',' use ',' multimedia ',' kb ',' open ',' yotube ',' use ',' quota ',' regular ',' MB ',' looks', 'bar', 'check', 'data', 'invite', 'gelud', 'kah', 'ngentid', '']</v>
      </c>
      <c r="D9731" s="3">
        <v>1.0</v>
      </c>
    </row>
    <row r="9732" ht="15.75" customHeight="1">
      <c r="A9732" s="1">
        <v>10363.0</v>
      </c>
      <c r="B9732" s="3" t="s">
        <v>9335</v>
      </c>
      <c r="C9732" s="3" t="str">
        <f>IFERROR(__xludf.DUMMYFUNCTION("GOOGLETRANSLATE(B9732,""id"",""en"")"),"['Severe', 'already', 'entered', 'tetep', 'blenk', 'white', 'already', 'delete', 'playstore', 'delete', 'data', 'garbage', ' Blank ',' White ',' What ',' Application ',' ']")</f>
        <v>['Severe', 'already', 'entered', 'tetep', 'blenk', 'white', 'already', 'delete', 'playstore', 'delete', 'data', 'garbage', ' Blank ',' White ',' What ',' Application ',' ']</v>
      </c>
      <c r="D9732" s="3">
        <v>1.0</v>
      </c>
    </row>
    <row r="9733" ht="15.75" customHeight="1">
      <c r="A9733" s="1">
        <v>10364.0</v>
      </c>
      <c r="B9733" s="3" t="s">
        <v>9336</v>
      </c>
      <c r="C9733" s="3" t="str">
        <f>IFERROR(__xludf.DUMMYFUNCTION("GOOGLETRANSLATE(B9733,""id"",""en"")"),"['bugus', 'bangetttt', 'signal', 'help', 'business', 'business', 'trimakasih', 'telkomse']")</f>
        <v>['bugus', 'bangetttt', 'signal', 'help', 'business', 'business', 'trimakasih', 'telkomse']</v>
      </c>
      <c r="D9733" s="3">
        <v>5.0</v>
      </c>
    </row>
    <row r="9734" ht="15.75" customHeight="1">
      <c r="A9734" s="1">
        <v>10366.0</v>
      </c>
      <c r="B9734" s="3" t="s">
        <v>9337</v>
      </c>
      <c r="C9734" s="3" t="str">
        <f>IFERROR(__xludf.DUMMYFUNCTION("GOOGLETRANSLATE(B9734,""id"",""en"")"),"['Network', 'missing']")</f>
        <v>['Network', 'missing']</v>
      </c>
      <c r="D9734" s="3">
        <v>1.0</v>
      </c>
    </row>
    <row r="9735" ht="15.75" customHeight="1">
      <c r="A9735" s="1">
        <v>10367.0</v>
      </c>
      <c r="B9735" s="3" t="s">
        <v>9338</v>
      </c>
      <c r="C9735" s="3" t="str">
        <f>IFERROR(__xludf.DUMMYFUNCTION("GOOGLETRANSLATE(B9735,""id"",""en"")"),"['Price', 'expensive', 'network', 'slow', 'really', 'worth', 'play', 'game']")</f>
        <v>['Price', 'expensive', 'network', 'slow', 'really', 'worth', 'play', 'game']</v>
      </c>
      <c r="D9735" s="3">
        <v>1.0</v>
      </c>
    </row>
    <row r="9736" ht="15.75" customHeight="1">
      <c r="A9736" s="1">
        <v>10368.0</v>
      </c>
      <c r="B9736" s="3" t="s">
        <v>9339</v>
      </c>
      <c r="C9736" s="3" t="str">
        <f>IFERROR(__xludf.DUMMYFUNCTION("GOOGLETRANSLATE(B9736,""id"",""en"")"),"['Please', 'Increase', 'Network']")</f>
        <v>['Please', 'Increase', 'Network']</v>
      </c>
      <c r="D9736" s="3">
        <v>4.0</v>
      </c>
    </row>
    <row r="9737" ht="15.75" customHeight="1">
      <c r="A9737" s="1">
        <v>10369.0</v>
      </c>
      <c r="B9737" s="3" t="s">
        <v>9340</v>
      </c>
      <c r="C9737" s="3" t="str">
        <f>IFERROR(__xludf.DUMMYFUNCTION("GOOGLETRANSLATE(B9737,""id"",""en"")"),"['network', 'slow', 'emotion', 'mending', 'cave', 'moved', 'card', 'network', 'Telkomsel', '']")</f>
        <v>['network', 'slow', 'emotion', 'mending', 'cave', 'moved', 'card', 'network', 'Telkomsel', '']</v>
      </c>
      <c r="D9737" s="3">
        <v>1.0</v>
      </c>
    </row>
    <row r="9738" ht="15.75" customHeight="1">
      <c r="A9738" s="1">
        <v>10370.0</v>
      </c>
      <c r="B9738" s="3" t="s">
        <v>9341</v>
      </c>
      <c r="C9738" s="3" t="str">
        <f>IFERROR(__xludf.DUMMYFUNCTION("GOOGLETRANSLATE(B9738,""id"",""en"")"),"['fast', 'process']")</f>
        <v>['fast', 'process']</v>
      </c>
      <c r="D9738" s="3">
        <v>5.0</v>
      </c>
    </row>
    <row r="9739" ht="15.75" customHeight="1">
      <c r="A9739" s="1">
        <v>10371.0</v>
      </c>
      <c r="B9739" s="3" t="s">
        <v>9342</v>
      </c>
      <c r="C9739" s="3" t="str">
        <f>IFERROR(__xludf.DUMMYFUNCTION("GOOGLETRANSLATE(B9739,""id"",""en"")"),"['Install', 'Tawarin', 'Install', 'Service', 'installed', 'Karna', 'Savings',' Delay ',' Fill ',' Credit ',' DOWN ',' TELKOMSEL ',' Thank you ',' service ',' except ']")</f>
        <v>['Install', 'Tawarin', 'Install', 'Service', 'installed', 'Karna', 'Savings',' Delay ',' Fill ',' Credit ',' DOWN ',' TELKOMSEL ',' Thank you ',' service ',' except ']</v>
      </c>
      <c r="D9739" s="3">
        <v>1.0</v>
      </c>
    </row>
    <row r="9740" ht="15.75" customHeight="1">
      <c r="A9740" s="1">
        <v>10372.0</v>
      </c>
      <c r="B9740" s="3" t="s">
        <v>9343</v>
      </c>
      <c r="C9740" s="3" t="str">
        <f>IFERROR(__xludf.DUMMYFUNCTION("GOOGLETRANSLATE(B9740,""id"",""en"")"),"['Okay', 'really', 'already', 'a week', 'open', '']")</f>
        <v>['Okay', 'really', 'already', 'a week', 'open', '']</v>
      </c>
      <c r="D9740" s="3">
        <v>2.0</v>
      </c>
    </row>
    <row r="9741" ht="15.75" customHeight="1">
      <c r="A9741" s="1">
        <v>10373.0</v>
      </c>
      <c r="B9741" s="3" t="s">
        <v>9344</v>
      </c>
      <c r="C9741" s="3" t="str">
        <f>IFERROR(__xludf.DUMMYFUNCTION("GOOGLETRANSLATE(B9741,""id"",""en"")"),"['Good', 'times']")</f>
        <v>['Good', 'times']</v>
      </c>
      <c r="D9741" s="3">
        <v>5.0</v>
      </c>
    </row>
    <row r="9742" ht="15.75" customHeight="1">
      <c r="A9742" s="1">
        <v>10374.0</v>
      </c>
      <c r="B9742" s="3" t="s">
        <v>9345</v>
      </c>
      <c r="C9742" s="3" t="str">
        <f>IFERROR(__xludf.DUMMYFUNCTION("GOOGLETRANSLATE(B9742,""id"",""en"")"),"['The', 'Best', 'really', 'Telkomsel', '']")</f>
        <v>['The', 'Best', 'really', 'Telkomsel', '']</v>
      </c>
      <c r="D9742" s="3">
        <v>5.0</v>
      </c>
    </row>
    <row r="9743" ht="15.75" customHeight="1">
      <c r="A9743" s="1">
        <v>10375.0</v>
      </c>
      <c r="B9743" s="3" t="s">
        <v>9346</v>
      </c>
      <c r="C9743" s="3" t="str">
        <f>IFERROR(__xludf.DUMMYFUNCTION("GOOGLETRANSLATE(B9743,""id"",""en"")"),"['blank', 'white', 'payaaah']")</f>
        <v>['blank', 'white', 'payaaah']</v>
      </c>
      <c r="D9743" s="3">
        <v>1.0</v>
      </c>
    </row>
    <row r="9744" ht="15.75" customHeight="1">
      <c r="A9744" s="1">
        <v>10376.0</v>
      </c>
      <c r="B9744" s="3" t="s">
        <v>9347</v>
      </c>
      <c r="C9744" s="3" t="str">
        <f>IFERROR(__xludf.DUMMYFUNCTION("GOOGLETRANSLATE(B9744,""id"",""en"")"),"['Developer', 'Please', 'Signal', 'Fix', 'Cook', 'Price', 'Expensive', 'Quality', 'Network', 'Lemot']")</f>
        <v>['Developer', 'Please', 'Signal', 'Fix', 'Cook', 'Price', 'Expensive', 'Quality', 'Network', 'Lemot']</v>
      </c>
      <c r="D9744" s="3">
        <v>1.0</v>
      </c>
    </row>
    <row r="9745" ht="15.75" customHeight="1">
      <c r="A9745" s="1">
        <v>10377.0</v>
      </c>
      <c r="B9745" s="3" t="s">
        <v>9348</v>
      </c>
      <c r="C9745" s="3" t="str">
        <f>IFERROR(__xludf.DUMMYFUNCTION("GOOGLETRANSLATE(B9745,""id"",""en"")"),"['Application', 'Taik', 'Have', 'Points', 'Credit', 'Quota', 'Internet', 'Nga', ""]")</f>
        <v>['Application', 'Taik', 'Have', 'Points', 'Credit', 'Quota', 'Internet', 'Nga', "]</v>
      </c>
      <c r="D9745" s="3">
        <v>1.0</v>
      </c>
    </row>
    <row r="9746" ht="15.75" customHeight="1">
      <c r="A9746" s="1">
        <v>10378.0</v>
      </c>
      <c r="B9746" s="3" t="s">
        <v>9349</v>
      </c>
      <c r="C9746" s="3" t="str">
        <f>IFERROR(__xludf.DUMMYFUNCTION("GOOGLETRANSLATE(B9746,""id"",""en"")"),"['Used', 'error', 'update']")</f>
        <v>['Used', 'error', 'update']</v>
      </c>
      <c r="D9746" s="3">
        <v>2.0</v>
      </c>
    </row>
    <row r="9747" ht="15.75" customHeight="1">
      <c r="A9747" s="1">
        <v>10379.0</v>
      </c>
      <c r="B9747" s="3" t="s">
        <v>9350</v>
      </c>
      <c r="C9747" s="3" t="str">
        <f>IFERROR(__xludf.DUMMYFUNCTION("GOOGLETRANSLATE(B9747,""id"",""en"")"),"['APK', 'opened', 'White', 'Doang', 'already', 'Telkomsel', 'APK', 'checked', 'leftover', 'pulse', 'quota', 'data', ' ']")</f>
        <v>['APK', 'opened', 'White', 'Doang', 'already', 'Telkomsel', 'APK', 'checked', 'leftover', 'pulse', 'quota', 'data', ' ']</v>
      </c>
      <c r="D9747" s="3">
        <v>1.0</v>
      </c>
    </row>
    <row r="9748" ht="15.75" customHeight="1">
      <c r="A9748" s="1">
        <v>10380.0</v>
      </c>
      <c r="B9748" s="3" t="s">
        <v>9351</v>
      </c>
      <c r="C9748" s="3" t="str">
        <f>IFERROR(__xludf.DUMMYFUNCTION("GOOGLETRANSLATE(B9748,""id"",""en"")"),"['update', 'open', 'display', 'screen', 'white', 'all day', ""]")</f>
        <v>['update', 'open', 'display', 'screen', 'white', 'all day', "]</v>
      </c>
      <c r="D9748" s="3">
        <v>1.0</v>
      </c>
    </row>
    <row r="9749" ht="15.75" customHeight="1">
      <c r="A9749" s="1">
        <v>10381.0</v>
      </c>
      <c r="B9749" s="3" t="s">
        <v>9352</v>
      </c>
      <c r="C9749" s="3" t="str">
        <f>IFERROR(__xludf.DUMMYFUNCTION("GOOGLETRANSLATE(B9749,""id"",""en"")"),"['locking', 'pulses', 'used', 'internet', 'buy', 'pulse', 'direct', 'scorched', 'zonk', 'kagak', 'dipake', '']")</f>
        <v>['locking', 'pulses', 'used', 'internet', 'buy', 'pulse', 'direct', 'scorched', 'zonk', 'kagak', 'dipake', '']</v>
      </c>
      <c r="D9749" s="3">
        <v>1.0</v>
      </c>
    </row>
    <row r="9750" ht="15.75" customHeight="1">
      <c r="A9750" s="1">
        <v>10382.0</v>
      </c>
      <c r="B9750" s="3" t="s">
        <v>9353</v>
      </c>
      <c r="C9750" s="3" t="str">
        <f>IFERROR(__xludf.DUMMYFUNCTION("GOOGLETRANSLATE(B9750,""id"",""en"")"),"['Sorry', 'apk', 'Telkomsel', 'bsa', 'opened', 'solution', 'please', 'information', ""]")</f>
        <v>['Sorry', 'apk', 'Telkomsel', 'bsa', 'opened', 'solution', 'please', 'information', "]</v>
      </c>
      <c r="D9750" s="3">
        <v>4.0</v>
      </c>
    </row>
    <row r="9751" ht="15.75" customHeight="1">
      <c r="A9751" s="1">
        <v>10383.0</v>
      </c>
      <c r="B9751" s="3" t="s">
        <v>9354</v>
      </c>
      <c r="C9751" s="3" t="str">
        <f>IFERROR(__xludf.DUMMYFUNCTION("GOOGLETRANSLATE(B9751,""id"",""en"")"),"['Package', 'unlimited', 'how', 'feels', 'use', 'network', 'edge', 'Instagram', 'severe', 'slow', 'package', 'unlimited']")</f>
        <v>['Package', 'unlimited', 'how', 'feels', 'use', 'network', 'edge', 'Instagram', 'severe', 'slow', 'package', 'unlimited']</v>
      </c>
      <c r="D9751" s="3">
        <v>1.0</v>
      </c>
    </row>
    <row r="9752" ht="15.75" customHeight="1">
      <c r="A9752" s="1">
        <v>10384.0</v>
      </c>
      <c r="B9752" s="3" t="s">
        <v>9355</v>
      </c>
      <c r="C9752" s="3" t="str">
        <f>IFERROR(__xludf.DUMMYFUNCTION("GOOGLETRANSLATE(B9752,""id"",""en"")"),"['Connection', 'Internet', 'Good', 'Dihp', 'Telkomsel', 'Disruption', 'Costs', 'Call', 'Telkomsel', 'Expensive']")</f>
        <v>['Connection', 'Internet', 'Good', 'Dihp', 'Telkomsel', 'Disruption', 'Costs', 'Call', 'Telkomsel', 'Expensive']</v>
      </c>
      <c r="D9752" s="3">
        <v>3.0</v>
      </c>
    </row>
    <row r="9753" ht="15.75" customHeight="1">
      <c r="A9753" s="1">
        <v>10385.0</v>
      </c>
      <c r="B9753" s="3" t="s">
        <v>9356</v>
      </c>
      <c r="C9753" s="3" t="str">
        <f>IFERROR(__xludf.DUMMYFUNCTION("GOOGLETRANSLATE(B9753,""id"",""en"")"),"['NSP', 'garbage', 'Sya', 'Keep', 'NSP', 'Slalu', 'Notification', 'NSP', 'Extend', 'Harm']")</f>
        <v>['NSP', 'garbage', 'Sya', 'Keep', 'NSP', 'Slalu', 'Notification', 'NSP', 'Extend', 'Harm']</v>
      </c>
      <c r="D9753" s="3">
        <v>1.0</v>
      </c>
    </row>
    <row r="9754" ht="15.75" customHeight="1">
      <c r="A9754" s="1">
        <v>10386.0</v>
      </c>
      <c r="B9754" s="3" t="s">
        <v>9357</v>
      </c>
      <c r="C9754" s="3" t="str">
        <f>IFERROR(__xludf.DUMMYFUNCTION("GOOGLETRANSLATE(B9754,""id"",""en"")"),"['Please', 'Tuker', 'Points', 'APK', 'MyTelkomsel', 'Disappointed', 'UDH', 'UDH', 'Gmail', 'Response', 'Sampe', 'sekrang']")</f>
        <v>['Please', 'Tuker', 'Points', 'APK', 'MyTelkomsel', 'Disappointed', 'UDH', 'UDH', 'Gmail', 'Response', 'Sampe', 'sekrang']</v>
      </c>
      <c r="D9754" s="3">
        <v>1.0</v>
      </c>
    </row>
    <row r="9755" ht="15.75" customHeight="1">
      <c r="A9755" s="1">
        <v>10387.0</v>
      </c>
      <c r="B9755" s="3" t="s">
        <v>9358</v>
      </c>
      <c r="C9755" s="3" t="str">
        <f>IFERROR(__xludf.DUMMYFUNCTION("GOOGLETRANSLATE(B9755,""id"",""en"")"),"['Sorry', 'Kasi', 'Star', 'Application', 'Open', 'Ribet', 'Capture', 'Etc.', ""]")</f>
        <v>['Sorry', 'Kasi', 'Star', 'Application', 'Open', 'Ribet', 'Capture', 'Etc.', "]</v>
      </c>
      <c r="D9755" s="3">
        <v>1.0</v>
      </c>
    </row>
    <row r="9756" ht="15.75" customHeight="1">
      <c r="A9756" s="1">
        <v>10388.0</v>
      </c>
      <c r="B9756" s="3" t="s">
        <v>9359</v>
      </c>
      <c r="C9756" s="3" t="str">
        <f>IFERROR(__xludf.DUMMYFUNCTION("GOOGLETRANSLATE(B9756,""id"",""en"")"),"['Try', 'network', 'fix', 'card', 'expensive', 'signal', 'bobok']")</f>
        <v>['Try', 'network', 'fix', 'card', 'expensive', 'signal', 'bobok']</v>
      </c>
      <c r="D9756" s="3">
        <v>1.0</v>
      </c>
    </row>
    <row r="9757" ht="15.75" customHeight="1">
      <c r="A9757" s="1">
        <v>10389.0</v>
      </c>
      <c r="B9757" s="3" t="s">
        <v>9360</v>
      </c>
      <c r="C9757" s="3" t="str">
        <f>IFERROR(__xludf.DUMMYFUNCTION("GOOGLETRANSLATE(B9757,""id"",""en"")"),"['hard', 'open', '']")</f>
        <v>['hard', 'open', '']</v>
      </c>
      <c r="D9757" s="3">
        <v>1.0</v>
      </c>
    </row>
    <row r="9758" ht="15.75" customHeight="1">
      <c r="A9758" s="1">
        <v>10390.0</v>
      </c>
      <c r="B9758" s="3" t="s">
        <v>9361</v>
      </c>
      <c r="C9758" s="3" t="str">
        <f>IFERROR(__xludf.DUMMYFUNCTION("GOOGLETRANSLATE(B9758,""id"",""en"")"),"['Network', 'users',' Telkomsel ',' Sometimes', 'experience', 'disorders',' network ',' online ',' Please ',' special ',' network ',' increase ',' good, thank you', '']")</f>
        <v>['Network', 'users',' Telkomsel ',' Sometimes', 'experience', 'disorders',' network ',' online ',' Please ',' special ',' network ',' increase ',' good, thank you', '']</v>
      </c>
      <c r="D9758" s="3">
        <v>4.0</v>
      </c>
    </row>
    <row r="9759" ht="15.75" customHeight="1">
      <c r="A9759" s="1">
        <v>10391.0</v>
      </c>
      <c r="B9759" s="3" t="s">
        <v>9362</v>
      </c>
      <c r="C9759" s="3" t="str">
        <f>IFERROR(__xludf.DUMMYFUNCTION("GOOGLETRANSLATE(B9759,""id"",""en"")"),"['Network', 'smooth']")</f>
        <v>['Network', 'smooth']</v>
      </c>
      <c r="D9759" s="3">
        <v>4.0</v>
      </c>
    </row>
    <row r="9760" ht="15.75" customHeight="1">
      <c r="A9760" s="1">
        <v>10392.0</v>
      </c>
      <c r="B9760" s="3" t="s">
        <v>2110</v>
      </c>
      <c r="C9760" s="3" t="str">
        <f>IFERROR(__xludf.DUMMYFUNCTION("GOOGLETRANSLATE(B9760,""id"",""en"")"),"['Telkomsel', '']")</f>
        <v>['Telkomsel', '']</v>
      </c>
      <c r="D9760" s="3">
        <v>5.0</v>
      </c>
    </row>
    <row r="9761" ht="15.75" customHeight="1">
      <c r="A9761" s="1">
        <v>10393.0</v>
      </c>
      <c r="B9761" s="3" t="s">
        <v>9363</v>
      </c>
      <c r="C9761" s="3" t="str">
        <f>IFERROR(__xludf.DUMMYFUNCTION("GOOGLETRANSLATE(B9761,""id"",""en"")"),"['Telkomsel', 'The network', 'ugly', 'play', 'Nge', 'Game', 'Ngelag', 'Gini', 'Move', 'Provider', ""]")</f>
        <v>['Telkomsel', 'The network', 'ugly', 'play', 'Nge', 'Game', 'Ngelag', 'Gini', 'Move', 'Provider', "]</v>
      </c>
      <c r="D9761" s="3">
        <v>1.0</v>
      </c>
    </row>
    <row r="9762" ht="15.75" customHeight="1">
      <c r="A9762" s="1">
        <v>10394.0</v>
      </c>
      <c r="B9762" s="3" t="s">
        <v>9364</v>
      </c>
      <c r="C9762" s="3" t="str">
        <f>IFERROR(__xludf.DUMMYFUNCTION("GOOGLETRANSLATE(B9762,""id"",""en"")"),"['Knp', 'check', 'data']")</f>
        <v>['Knp', 'check', 'data']</v>
      </c>
      <c r="D9762" s="3">
        <v>4.0</v>
      </c>
    </row>
    <row r="9763" ht="15.75" customHeight="1">
      <c r="A9763" s="1">
        <v>10395.0</v>
      </c>
      <c r="B9763" s="3" t="s">
        <v>9365</v>
      </c>
      <c r="C9763" s="3" t="str">
        <f>IFERROR(__xludf.DUMMYFUNCTION("GOOGLETRANSLATE(B9763,""id"",""en"")"),"['Main', 'Game', 'Online', 'Ping', 'Stable', 'Main', 'Game', 'Mobile', 'Legends', 'Stable']")</f>
        <v>['Main', 'Game', 'Online', 'Ping', 'Stable', 'Main', 'Game', 'Mobile', 'Legends', 'Stable']</v>
      </c>
      <c r="D9763" s="3">
        <v>4.0</v>
      </c>
    </row>
    <row r="9764" ht="15.75" customHeight="1">
      <c r="A9764" s="1">
        <v>10396.0</v>
      </c>
      <c r="B9764" s="3" t="s">
        <v>9366</v>
      </c>
      <c r="C9764" s="3" t="str">
        <f>IFERROR(__xludf.DUMMYFUNCTION("GOOGLETRANSLATE(B9764,""id"",""en"")"),"['Telkomsel', 'enter']")</f>
        <v>['Telkomsel', 'enter']</v>
      </c>
      <c r="D9764" s="3">
        <v>5.0</v>
      </c>
    </row>
    <row r="9765" ht="15.75" customHeight="1">
      <c r="A9765" s="1">
        <v>10397.0</v>
      </c>
      <c r="B9765" s="3" t="s">
        <v>9367</v>
      </c>
      <c r="C9765" s="3" t="str">
        <f>IFERROR(__xludf.DUMMYFUNCTION("GOOGLETRANSLATE(B9765,""id"",""en"")"),"['baggus', 'easy', 'buy', 'package']")</f>
        <v>['baggus', 'easy', 'buy', 'package']</v>
      </c>
      <c r="D9765" s="3">
        <v>4.0</v>
      </c>
    </row>
    <row r="9766" ht="15.75" customHeight="1">
      <c r="A9766" s="1">
        <v>10398.0</v>
      </c>
      <c r="B9766" s="3" t="s">
        <v>9368</v>
      </c>
      <c r="C9766" s="3" t="str">
        <f>IFERROR(__xludf.DUMMYFUNCTION("GOOGLETRANSLATE(B9766,""id"",""en"")"),"['Good', 'apk', 'mimin', 'thanks']")</f>
        <v>['Good', 'apk', 'mimin', 'thanks']</v>
      </c>
      <c r="D9766" s="3">
        <v>5.0</v>
      </c>
    </row>
    <row r="9767" ht="15.75" customHeight="1">
      <c r="A9767" s="1">
        <v>10399.0</v>
      </c>
      <c r="B9767" s="3" t="s">
        <v>9369</v>
      </c>
      <c r="C9767" s="3" t="str">
        <f>IFERROR(__xludf.DUMMYFUNCTION("GOOGLETRANSLATE(B9767,""id"",""en"")"),"['signal', 'bad', 'tariff', 'expensive']")</f>
        <v>['signal', 'bad', 'tariff', 'expensive']</v>
      </c>
      <c r="D9767" s="3">
        <v>1.0</v>
      </c>
    </row>
    <row r="9768" ht="15.75" customHeight="1">
      <c r="A9768" s="1">
        <v>10400.0</v>
      </c>
      <c r="B9768" s="3" t="s">
        <v>9370</v>
      </c>
      <c r="C9768" s="3" t="str">
        <f>IFERROR(__xludf.DUMMYFUNCTION("GOOGLETRANSLATE(B9768,""id"",""en"")"),"['Good', 'Bangat', 'Kasih', 'Renting', ""]")</f>
        <v>['Good', 'Bangat', 'Kasih', 'Renting', "]</v>
      </c>
      <c r="D9768" s="3">
        <v>5.0</v>
      </c>
    </row>
    <row r="9769" ht="15.75" customHeight="1">
      <c r="A9769" s="1">
        <v>10401.0</v>
      </c>
      <c r="B9769" s="3" t="s">
        <v>9371</v>
      </c>
      <c r="C9769" s="3" t="str">
        <f>IFERROR(__xludf.DUMMYFUNCTION("GOOGLETRANSLATE(B9769,""id"",""en"")"),"['Please', 'Package', 'Internet', 'Cheap', 'Fucked', 'Promo', 'Peromo', 'Thank you']")</f>
        <v>['Please', 'Package', 'Internet', 'Cheap', 'Fucked', 'Promo', 'Peromo', 'Thank you']</v>
      </c>
      <c r="D9769" s="3">
        <v>4.0</v>
      </c>
    </row>
    <row r="9770" ht="15.75" customHeight="1">
      <c r="A9770" s="1">
        <v>10403.0</v>
      </c>
      <c r="B9770" s="3" t="s">
        <v>9372</v>
      </c>
      <c r="C9770" s="3" t="str">
        <f>IFERROR(__xludf.DUMMYFUNCTION("GOOGLETRANSLATE(B9770,""id"",""en"")"),"['happy', 'application', 'Telkomsel', 'thank', 'maxh', 'Telkomsel']")</f>
        <v>['happy', 'application', 'Telkomsel', 'thank', 'maxh', 'Telkomsel']</v>
      </c>
      <c r="D9770" s="3">
        <v>5.0</v>
      </c>
    </row>
    <row r="9771" ht="15.75" customHeight="1">
      <c r="A9771" s="1">
        <v>10404.0</v>
      </c>
      <c r="B9771" s="3" t="s">
        <v>9373</v>
      </c>
      <c r="C9771" s="3" t="str">
        <f>IFERROR(__xludf.DUMMYFUNCTION("GOOGLETRANSLATE(B9771,""id"",""en"")"),"['ugly', 'price', 'expensive', 'buy', 'package', 'shopeepay', 'error', 'mulu', 'please', 'fix']")</f>
        <v>['ugly', 'price', 'expensive', 'buy', 'package', 'shopeepay', 'error', 'mulu', 'please', 'fix']</v>
      </c>
      <c r="D9771" s="3">
        <v>1.0</v>
      </c>
    </row>
    <row r="9772" ht="15.75" customHeight="1">
      <c r="A9772" s="1">
        <v>10405.0</v>
      </c>
      <c r="B9772" s="3" t="s">
        <v>9374</v>
      </c>
      <c r="C9772" s="3" t="str">
        <f>IFERROR(__xludf.DUMMYFUNCTION("GOOGLETRANSLATE(B9772,""id"",""en"")"),"['APK', 'open', 'already', 'uninstall', 'download', 'reset', 'open', 'please', 'update', '']")</f>
        <v>['APK', 'open', 'already', 'uninstall', 'download', 'reset', 'open', 'please', 'update', '']</v>
      </c>
      <c r="D9772" s="3">
        <v>2.0</v>
      </c>
    </row>
    <row r="9773" ht="15.75" customHeight="1">
      <c r="A9773" s="1">
        <v>10406.0</v>
      </c>
      <c r="B9773" s="3" t="s">
        <v>9375</v>
      </c>
      <c r="C9773" s="3" t="str">
        <f>IFERROR(__xludf.DUMMYFUNCTION("GOOGLETRANSLATE(B9773,""id"",""en"")"),"['Network', 'down', 'October', 'skrng', 'stable', 'telephone', 'call', 'center', 'telkomsel', 'belom', 'finished', 'reporting', ' Xnya ',' Customer ',' Service ',' polite ',' Thank you ',' Telkomsel ',' service ']")</f>
        <v>['Network', 'down', 'October', 'skrng', 'stable', 'telephone', 'call', 'center', 'telkomsel', 'belom', 'finished', 'reporting', ' Xnya ',' Customer ',' Service ',' polite ',' Thank you ',' Telkomsel ',' service ']</v>
      </c>
      <c r="D9773" s="3">
        <v>1.0</v>
      </c>
    </row>
    <row r="9774" ht="15.75" customHeight="1">
      <c r="A9774" s="1">
        <v>10408.0</v>
      </c>
      <c r="B9774" s="3" t="s">
        <v>9376</v>
      </c>
      <c r="C9774" s="3" t="str">
        <f>IFERROR(__xludf.DUMMYFUNCTION("GOOGLETRANSLATE(B9774,""id"",""en"")"),"['signal', 'Telkomsel', 'in place', 'loss',' user ',' oprator ',' uda ',' contacted ',' times', 'TPI', 'change', 'pakek', ' brain ',' Telkomsel ',' tired ',' blik ',' quota ',' access', 'ajha', 'Try', 'Telfon', 'Telkomsel', 'told', 'replace', 'card' , 'ud"&amp;"a', 'crazy', 'oprator', 'Telkomsel']")</f>
        <v>['signal', 'Telkomsel', 'in place', 'loss',' user ',' oprator ',' uda ',' contacted ',' times', 'TPI', 'change', 'pakek', ' brain ',' Telkomsel ',' tired ',' blik ',' quota ',' access', 'ajha', 'Try', 'Telfon', 'Telkomsel', 'told', 'replace', 'card' , 'uda', 'crazy', 'oprator', 'Telkomsel']</v>
      </c>
      <c r="D9774" s="3">
        <v>1.0</v>
      </c>
    </row>
    <row r="9775" ht="15.75" customHeight="1">
      <c r="A9775" s="1">
        <v>10409.0</v>
      </c>
      <c r="B9775" s="3" t="s">
        <v>9377</v>
      </c>
      <c r="C9775" s="3" t="str">
        <f>IFERROR(__xludf.DUMMYFUNCTION("GOOGLETRANSLATE(B9775,""id"",""en"")"),"['Network', 'Telkomsel', 'ugly', 'really']")</f>
        <v>['Network', 'Telkomsel', 'ugly', 'really']</v>
      </c>
      <c r="D9775" s="3">
        <v>1.0</v>
      </c>
    </row>
    <row r="9776" ht="15.75" customHeight="1">
      <c r="A9776" s="1">
        <v>10410.0</v>
      </c>
      <c r="B9776" s="3" t="s">
        <v>9378</v>
      </c>
      <c r="C9776" s="3" t="str">
        <f>IFERROR(__xludf.DUMMYFUNCTION("GOOGLETRANSLATE(B9776,""id"",""en"")"),"['Cheap', 'really', 'buy', 'package']")</f>
        <v>['Cheap', 'really', 'buy', 'package']</v>
      </c>
      <c r="D9776" s="3">
        <v>5.0</v>
      </c>
    </row>
    <row r="9777" ht="15.75" customHeight="1">
      <c r="A9777" s="1">
        <v>10411.0</v>
      </c>
      <c r="B9777" s="3" t="s">
        <v>9379</v>
      </c>
      <c r="C9777" s="3" t="str">
        <f>IFERROR(__xludf.DUMMYFUNCTION("GOOGLETRANSLATE(B9777,""id"",""en"")"),"['satisfying', 'trusted', ""]")</f>
        <v>['satisfying', 'trusted', "]</v>
      </c>
      <c r="D9777" s="3">
        <v>5.0</v>
      </c>
    </row>
    <row r="9778" ht="15.75" customHeight="1">
      <c r="A9778" s="1">
        <v>10412.0</v>
      </c>
      <c r="B9778" s="3" t="s">
        <v>9380</v>
      </c>
      <c r="C9778" s="3" t="str">
        <f>IFERROR(__xludf.DUMMYFUNCTION("GOOGLETRANSLATE(B9778,""id"",""en"")"),"['Sinih', 'Network', 'Severe', 'Liat', 'You', 'Tube', 'Donwload', 'Lemot', 'Buy', 'Package', 'Internet', 'Sakti', ' Namba ',' a thousand ',' forced ',' buy ',' used ',' GB ',' please ',' help ',' down ',' price ']")</f>
        <v>['Sinih', 'Network', 'Severe', 'Liat', 'You', 'Tube', 'Donwload', 'Lemot', 'Buy', 'Package', 'Internet', 'Sakti', ' Namba ',' a thousand ',' forced ',' buy ',' used ',' GB ',' please ',' help ',' down ',' price ']</v>
      </c>
      <c r="D9778" s="3">
        <v>1.0</v>
      </c>
    </row>
    <row r="9779" ht="15.75" customHeight="1">
      <c r="A9779" s="1">
        <v>10413.0</v>
      </c>
      <c r="B9779" s="3" t="s">
        <v>9381</v>
      </c>
      <c r="C9779" s="3" t="str">
        <f>IFERROR(__xludf.DUMMYFUNCTION("GOOGLETRANSLATE(B9779,""id"",""en"")"),"['Telkom', 'please', 'fix', 'signal', 'asa', 'signal', 'really']")</f>
        <v>['Telkom', 'please', 'fix', 'signal', 'asa', 'signal', 'really']</v>
      </c>
      <c r="D9779" s="3">
        <v>1.0</v>
      </c>
    </row>
    <row r="9780" ht="15.75" customHeight="1">
      <c r="A9780" s="1">
        <v>10415.0</v>
      </c>
      <c r="B9780" s="3" t="s">
        <v>9382</v>
      </c>
      <c r="C9780" s="3" t="str">
        <f>IFERROR(__xludf.DUMMYFUNCTION("GOOGLETRANSLATE(B9780,""id"",""en"")"),"['Package', 'cheerful', 'Telkomsel', 'mantapppp']")</f>
        <v>['Package', 'cheerful', 'Telkomsel', 'mantapppp']</v>
      </c>
      <c r="D9780" s="3">
        <v>5.0</v>
      </c>
    </row>
    <row r="9781" ht="15.75" customHeight="1">
      <c r="A9781" s="1">
        <v>10416.0</v>
      </c>
      <c r="B9781" s="3" t="s">
        <v>9383</v>
      </c>
      <c r="C9781" s="3" t="str">
        <f>IFERROR(__xludf.DUMMYFUNCTION("GOOGLETRANSLATE(B9781,""id"",""en"")"),"['Disappointed', 'Network', 'Telkomsel', 'here', 'threat', 'disorder', 'network', 'stable', ""]")</f>
        <v>['Disappointed', 'Network', 'Telkomsel', 'here', 'threat', 'disorder', 'network', 'stable', "]</v>
      </c>
      <c r="D9781" s="3">
        <v>1.0</v>
      </c>
    </row>
    <row r="9782" ht="15.75" customHeight="1">
      <c r="A9782" s="1">
        <v>10417.0</v>
      </c>
      <c r="B9782" s="3" t="s">
        <v>9384</v>
      </c>
      <c r="C9782" s="3" t="str">
        <f>IFERROR(__xludf.DUMMYFUNCTION("GOOGLETRANSLATE(B9782,""id"",""en"")"),"['', 'App', 'Open', '']")</f>
        <v>['', 'App', 'Open', '']</v>
      </c>
      <c r="D9782" s="3">
        <v>1.0</v>
      </c>
    </row>
    <row r="9783" ht="15.75" customHeight="1">
      <c r="A9783" s="1">
        <v>10418.0</v>
      </c>
      <c r="B9783" s="3" t="s">
        <v>9385</v>
      </c>
      <c r="C9783" s="3" t="str">
        <f>IFERROR(__xludf.DUMMYFUNCTION("GOOGLETRANSLATE(B9783,""id"",""en"")"),"['', 'trakkasih', 'Telkomsel', ""]")</f>
        <v>['', 'trakkasih', 'Telkomsel', "]</v>
      </c>
      <c r="D9783" s="3">
        <v>5.0</v>
      </c>
    </row>
    <row r="9784" ht="15.75" customHeight="1">
      <c r="A9784" s="1">
        <v>10419.0</v>
      </c>
      <c r="B9784" s="3" t="s">
        <v>9386</v>
      </c>
      <c r="C9784" s="3" t="str">
        <f>IFERROR(__xludf.DUMMYFUNCTION("GOOGLETRANSLATE(B9784,""id"",""en"")"),"['Since', 'December', 'Dowlod', 'Telkomsel', 'Knp', 'Egg', 'Kouta', 'Geratis', 'org', 'except', 'stupid', 'clarified']")</f>
        <v>['Since', 'December', 'Dowlod', 'Telkomsel', 'Knp', 'Egg', 'Kouta', 'Geratis', 'org', 'except', 'stupid', 'clarified']</v>
      </c>
      <c r="D9784" s="3">
        <v>1.0</v>
      </c>
    </row>
    <row r="9785" ht="15.75" customHeight="1">
      <c r="A9785" s="1">
        <v>10420.0</v>
      </c>
      <c r="B9785" s="3" t="s">
        <v>9387</v>
      </c>
      <c r="C9785" s="3" t="str">
        <f>IFERROR(__xludf.DUMMYFUNCTION("GOOGLETRANSLATE(B9785,""id"",""en"")"),"['work', '']")</f>
        <v>['work', '']</v>
      </c>
      <c r="D9785" s="3">
        <v>5.0</v>
      </c>
    </row>
    <row r="9786" ht="15.75" customHeight="1">
      <c r="A9786" s="1">
        <v>10421.0</v>
      </c>
      <c r="B9786" s="3" t="s">
        <v>9388</v>
      </c>
      <c r="C9786" s="3" t="str">
        <f>IFERROR(__xludf.DUMMYFUNCTION("GOOGLETRANSLATE(B9786,""id"",""en"")"),"['Anyway', 'Program', 'Telkomsel', 'Special', 'Darling', 'Following', 'Wrong', 'The Lottery', ""]")</f>
        <v>['Anyway', 'Program', 'Telkomsel', 'Special', 'Darling', 'Following', 'Wrong', 'The Lottery', "]</v>
      </c>
      <c r="D9786" s="3">
        <v>5.0</v>
      </c>
    </row>
    <row r="9787" ht="15.75" customHeight="1">
      <c r="A9787" s="1">
        <v>10422.0</v>
      </c>
      <c r="B9787" s="3" t="s">
        <v>9389</v>
      </c>
      <c r="C9787" s="3" t="str">
        <f>IFERROR(__xludf.DUMMYFUNCTION("GOOGLETRANSLATE(B9787,""id"",""en"")"),"['Satisfied', 'Apps', 'Telkomsel', 'Karna', 'Easy', 'Buy', 'Credit', 'Package']")</f>
        <v>['Satisfied', 'Apps', 'Telkomsel', 'Karna', 'Easy', 'Buy', 'Credit', 'Package']</v>
      </c>
      <c r="D9787" s="3">
        <v>5.0</v>
      </c>
    </row>
    <row r="9788" ht="15.75" customHeight="1">
      <c r="A9788" s="1">
        <v>10423.0</v>
      </c>
      <c r="B9788" s="3" t="s">
        <v>9390</v>
      </c>
      <c r="C9788" s="3" t="str">
        <f>IFERROR(__xludf.DUMMYFUNCTION("GOOGLETRANSLATE(B9788,""id"",""en"")"),"['Nge', 'lag']")</f>
        <v>['Nge', 'lag']</v>
      </c>
      <c r="D9788" s="3">
        <v>1.0</v>
      </c>
    </row>
    <row r="9789" ht="15.75" customHeight="1">
      <c r="A9789" s="1">
        <v>10424.0</v>
      </c>
      <c r="B9789" s="3" t="s">
        <v>9391</v>
      </c>
      <c r="C9789" s="3" t="str">
        <f>IFERROR(__xludf.DUMMYFUNCTION("GOOGLETRANSLATE(B9789,""id"",""en"")"),"['My APK', 'Good', 'knpa', 'direct', 'blang', 'use']")</f>
        <v>['My APK', 'Good', 'knpa', 'direct', 'blang', 'use']</v>
      </c>
      <c r="D9789" s="3">
        <v>3.0</v>
      </c>
    </row>
    <row r="9790" ht="15.75" customHeight="1">
      <c r="A9790" s="1">
        <v>10425.0</v>
      </c>
      <c r="B9790" s="3" t="s">
        <v>9392</v>
      </c>
      <c r="C9790" s="3" t="str">
        <f>IFERROR(__xludf.DUMMYFUNCTION("GOOGLETRANSLATE(B9790,""id"",""en"")"),"['Hi', 'Telkomsel', 'Telkomsel', 'Good', 'discount', ""]")</f>
        <v>['Hi', 'Telkomsel', 'Telkomsel', 'Good', 'discount', "]</v>
      </c>
      <c r="D9790" s="3">
        <v>5.0</v>
      </c>
    </row>
    <row r="9791" ht="15.75" customHeight="1">
      <c r="A9791" s="1">
        <v>10426.0</v>
      </c>
      <c r="B9791" s="3" t="s">
        <v>9393</v>
      </c>
      <c r="C9791" s="3" t="str">
        <f>IFERROR(__xludf.DUMMYFUNCTION("GOOGLETRANSLATE(B9791,""id"",""en"")"),"['a week', 'application', 'Telkomsel', 'opened', 'already', 'Uninstall', 'then', 'download', 'opened', 'trimakasih']")</f>
        <v>['a week', 'application', 'Telkomsel', 'opened', 'already', 'Uninstall', 'then', 'download', 'opened', 'trimakasih']</v>
      </c>
      <c r="D9791" s="3">
        <v>1.0</v>
      </c>
    </row>
    <row r="9792" ht="15.75" customHeight="1">
      <c r="A9792" s="1">
        <v>10427.0</v>
      </c>
      <c r="B9792" s="3" t="s">
        <v>9394</v>
      </c>
      <c r="C9792" s="3" t="str">
        <f>IFERROR(__xludf.DUMMYFUNCTION("GOOGLETRANSLATE(B9792,""id"",""en"")"),"['Disappointed', 'knp', 'bise', 'open', 'klw', 'closed', 'hub', 'work', 'application', 'bise', 'download']")</f>
        <v>['Disappointed', 'knp', 'bise', 'open', 'klw', 'closed', 'hub', 'work', 'application', 'bise', 'download']</v>
      </c>
      <c r="D9792" s="3">
        <v>1.0</v>
      </c>
    </row>
    <row r="9793" ht="15.75" customHeight="1">
      <c r="A9793" s="1">
        <v>10428.0</v>
      </c>
      <c r="B9793" s="3" t="s">
        <v>9395</v>
      </c>
      <c r="C9793" s="3" t="str">
        <f>IFERROR(__xludf.DUMMYFUNCTION("GOOGLETRANSLATE(B9793,""id"",""en"")"),"['Apps', 'Manpaat', 'Kenspa', 'Telkomsel', 'Siznya']")</f>
        <v>['Apps', 'Manpaat', 'Kenspa', 'Telkomsel', 'Siznya']</v>
      </c>
      <c r="D9793" s="3">
        <v>4.0</v>
      </c>
    </row>
    <row r="9794" ht="15.75" customHeight="1">
      <c r="A9794" s="1">
        <v>10429.0</v>
      </c>
      <c r="B9794" s="3" t="s">
        <v>9396</v>
      </c>
      <c r="C9794" s="3" t="str">
        <f>IFERROR(__xludf.DUMMYFUNCTION("GOOGLETRANSLATE(B9794,""id"",""en"")"),"['Price', 'Consistent']")</f>
        <v>['Price', 'Consistent']</v>
      </c>
      <c r="D9794" s="3">
        <v>5.0</v>
      </c>
    </row>
    <row r="9795" ht="15.75" customHeight="1">
      <c r="A9795" s="1">
        <v>10430.0</v>
      </c>
      <c r="B9795" s="3" t="s">
        <v>9397</v>
      </c>
      <c r="C9795" s="3" t="str">
        <f>IFERROR(__xludf.DUMMYFUNCTION("GOOGLETRANSLATE(B9795,""id"",""en"")"),"['Network', 'Telkomsel', 'Kyk', 'Upset', 'Change', 'Operator', 'Network', 'Blood']")</f>
        <v>['Network', 'Telkomsel', 'Kyk', 'Upset', 'Change', 'Operator', 'Network', 'Blood']</v>
      </c>
      <c r="D9795" s="3">
        <v>2.0</v>
      </c>
    </row>
    <row r="9796" ht="15.75" customHeight="1">
      <c r="A9796" s="1">
        <v>10431.0</v>
      </c>
      <c r="B9796" s="3" t="s">
        <v>9398</v>
      </c>
      <c r="C9796" s="3" t="str">
        <f>IFERROR(__xludf.DUMMYFUNCTION("GOOGLETRANSLATE(B9796,""id"",""en"")"),"['card', 'Telkomsel', 'disorder', 'test', 'difficult', 'card', 'Telkomsel', 'disorder']")</f>
        <v>['card', 'Telkomsel', 'disorder', 'test', 'difficult', 'card', 'Telkomsel', 'disorder']</v>
      </c>
      <c r="D9796" s="3">
        <v>1.0</v>
      </c>
    </row>
    <row r="9797" ht="15.75" customHeight="1">
      <c r="A9797" s="1">
        <v>10432.0</v>
      </c>
      <c r="B9797" s="3" t="s">
        <v>9399</v>
      </c>
      <c r="C9797" s="3" t="str">
        <f>IFERROR(__xludf.DUMMYFUNCTION("GOOGLETRANSLATE(B9797,""id"",""en"")"),"['Signal', 'Lemootttt', 'Love', 'Star', '']")</f>
        <v>['Signal', 'Lemootttt', 'Love', 'Star', '']</v>
      </c>
      <c r="D9797" s="3">
        <v>1.0</v>
      </c>
    </row>
    <row r="9798" ht="15.75" customHeight="1">
      <c r="A9798" s="1">
        <v>10433.0</v>
      </c>
      <c r="B9798" s="3" t="s">
        <v>9400</v>
      </c>
      <c r="C9798" s="3" t="str">
        <f>IFERROR(__xludf.DUMMYFUNCTION("GOOGLETRANSLATE(B9798,""id"",""en"")"),"['expect', 'Telkomsel', 'provide', 'package', 'unlimited', 'limit', 'quota', 'made', 'modem', 'hotspot', 'wifi', 'wifi', ' cable ',' slow ',' condition ',' weather ',' run out ',' rain ',' Telkomsel ',' use ',' SIM ',' wifi ',' home ',' watch ',' movie ' "&amp;", 'Download', 'etc.', 'as fast as',' wifi ',' cable ',' speed ',' consistent ',' MB ',' Perdicon ',' download ',' subscription ',' wifi ',' Download ',' Condition ',' Bad ']")</f>
        <v>['expect', 'Telkomsel', 'provide', 'package', 'unlimited', 'limit', 'quota', 'made', 'modem', 'hotspot', 'wifi', 'wifi', ' cable ',' slow ',' condition ',' weather ',' run out ',' rain ',' Telkomsel ',' use ',' SIM ',' wifi ',' home ',' watch ',' movie ' , 'Download', 'etc.', 'as fast as',' wifi ',' cable ',' speed ',' consistent ',' MB ',' Perdicon ',' download ',' subscription ',' wifi ',' Download ',' Condition ',' Bad ']</v>
      </c>
      <c r="D9798" s="3">
        <v>3.0</v>
      </c>
    </row>
    <row r="9799" ht="15.75" customHeight="1">
      <c r="A9799" s="1">
        <v>10434.0</v>
      </c>
      <c r="B9799" s="3" t="s">
        <v>9401</v>
      </c>
      <c r="C9799" s="3" t="str">
        <f>IFERROR(__xludf.DUMMYFUNCTION("GOOGLETRANSLATE(B9799,""id"",""en"")"),"['Difficult', 'Open', 'Application', '']")</f>
        <v>['Difficult', 'Open', 'Application', '']</v>
      </c>
      <c r="D9799" s="3">
        <v>2.0</v>
      </c>
    </row>
    <row r="9800" ht="15.75" customHeight="1">
      <c r="A9800" s="1">
        <v>10435.0</v>
      </c>
      <c r="B9800" s="3" t="s">
        <v>9402</v>
      </c>
      <c r="C9800" s="3" t="str">
        <f>IFERROR(__xludf.DUMMYFUNCTION("GOOGLETRANSLATE(B9800,""id"",""en"")"),"['satisfied', '']")</f>
        <v>['satisfied', '']</v>
      </c>
      <c r="D9800" s="3">
        <v>5.0</v>
      </c>
    </row>
    <row r="9801" ht="15.75" customHeight="1">
      <c r="A9801" s="1">
        <v>10436.0</v>
      </c>
      <c r="B9801" s="3" t="s">
        <v>9403</v>
      </c>
      <c r="C9801" s="3" t="str">
        <f>IFERROR(__xludf.DUMMYFUNCTION("GOOGLETRANSLATE(B9801,""id"",""en"")"),"['thank', 'love', 'the application', 'good', 'sorry', 'just', 'love', 'star', 'pulses', 'expensive', ""]")</f>
        <v>['thank', 'love', 'the application', 'good', 'sorry', 'just', 'love', 'star', 'pulses', 'expensive', "]</v>
      </c>
      <c r="D9801" s="3">
        <v>4.0</v>
      </c>
    </row>
    <row r="9802" ht="15.75" customHeight="1">
      <c r="A9802" s="1">
        <v>10437.0</v>
      </c>
      <c r="B9802" s="3" t="s">
        <v>9404</v>
      </c>
      <c r="C9802" s="3" t="str">
        <f>IFERROR(__xludf.DUMMYFUNCTION("GOOGLETRANSLATE(B9802,""id"",""en"")"),"['mntap', 'service', 'varies', 'good', 'lahh']")</f>
        <v>['mntap', 'service', 'varies', 'good', 'lahh']</v>
      </c>
      <c r="D9802" s="3">
        <v>5.0</v>
      </c>
    </row>
    <row r="9803" ht="15.75" customHeight="1">
      <c r="A9803" s="1">
        <v>10438.0</v>
      </c>
      <c r="B9803" s="3" t="s">
        <v>9405</v>
      </c>
      <c r="C9803" s="3" t="str">
        <f>IFERROR(__xludf.DUMMYFUNCTION("GOOGLETRANSLATE(B9803,""id"",""en"")"),"['already', 'download', 'many', 'times', 'tetep', 'go']")</f>
        <v>['already', 'download', 'many', 'times', 'tetep', 'go']</v>
      </c>
      <c r="D9803" s="3">
        <v>1.0</v>
      </c>
    </row>
    <row r="9804" ht="15.75" customHeight="1">
      <c r="A9804" s="1">
        <v>10439.0</v>
      </c>
      <c r="B9804" s="3" t="s">
        <v>9406</v>
      </c>
      <c r="C9804" s="3" t="str">
        <f>IFERROR(__xludf.DUMMYFUNCTION("GOOGLETRANSLATE(B9804,""id"",""en"")"),"['Provider', 'understand', 'need', 'user', 'serve']")</f>
        <v>['Provider', 'understand', 'need', 'user', 'serve']</v>
      </c>
      <c r="D9804" s="3">
        <v>5.0</v>
      </c>
    </row>
    <row r="9805" ht="15.75" customHeight="1">
      <c r="A9805" s="1">
        <v>10441.0</v>
      </c>
      <c r="B9805" s="3" t="s">
        <v>859</v>
      </c>
      <c r="C9805" s="3" t="str">
        <f>IFERROR(__xludf.DUMMYFUNCTION("GOOGLETRANSLATE(B9805,""id"",""en"")"),"['help', '']")</f>
        <v>['help', '']</v>
      </c>
      <c r="D9805" s="3">
        <v>5.0</v>
      </c>
    </row>
    <row r="9806" ht="15.75" customHeight="1">
      <c r="A9806" s="1">
        <v>10442.0</v>
      </c>
      <c r="B9806" s="3" t="s">
        <v>9407</v>
      </c>
      <c r="C9806" s="3" t="str">
        <f>IFERROR(__xludf.DUMMYFUNCTION("GOOGLETRANSLATE(B9806,""id"",""en"")"),"['Sory', 'Switch', 'Next to', 'Already', 'Champion', 'Funny', 'Current', 'already', ""]")</f>
        <v>['Sory', 'Switch', 'Next to', 'Already', 'Champion', 'Funny', 'Current', 'already', "]</v>
      </c>
      <c r="D9806" s="3">
        <v>1.0</v>
      </c>
    </row>
    <row r="9807" ht="15.75" customHeight="1">
      <c r="A9807" s="1">
        <v>10443.0</v>
      </c>
      <c r="B9807" s="3" t="s">
        <v>9408</v>
      </c>
      <c r="C9807" s="3" t="str">
        <f>IFERROR(__xludf.DUMMYFUNCTION("GOOGLETRANSLATE(B9807,""id"",""en"")"),"['happy', 'promo', '']")</f>
        <v>['happy', 'promo', '']</v>
      </c>
      <c r="D9807" s="3">
        <v>4.0</v>
      </c>
    </row>
    <row r="9808" ht="15.75" customHeight="1">
      <c r="A9808" s="1">
        <v>10444.0</v>
      </c>
      <c r="B9808" s="3" t="s">
        <v>9409</v>
      </c>
      <c r="C9808" s="3" t="str">
        <f>IFERROR(__xludf.DUMMYFUNCTION("GOOGLETRANSLATE(B9808,""id"",""en"")"),"['Package', 'card', 'Hallo', 'expensive', 'quota', 'internet', 'Multimedia', 'YouTube', 'Needs', 'Online', 'Handemi', ""]")</f>
        <v>['Package', 'card', 'Hallo', 'expensive', 'quota', 'internet', 'Multimedia', 'YouTube', 'Needs', 'Online', 'Handemi', "]</v>
      </c>
      <c r="D9808" s="3">
        <v>1.0</v>
      </c>
    </row>
    <row r="9809" ht="15.75" customHeight="1">
      <c r="A9809" s="1">
        <v>10445.0</v>
      </c>
      <c r="B9809" s="3" t="s">
        <v>9410</v>
      </c>
      <c r="C9809" s="3" t="str">
        <f>IFERROR(__xludf.DUMMYFUNCTION("GOOGLETRANSLATE(B9809,""id"",""en"")"),"['application', 'open', 'already', 'send', 'email', 'open', 'already', 'week']")</f>
        <v>['application', 'open', 'already', 'send', 'email', 'open', 'already', 'week']</v>
      </c>
      <c r="D9809" s="3">
        <v>1.0</v>
      </c>
    </row>
    <row r="9810" ht="15.75" customHeight="1">
      <c r="A9810" s="1">
        <v>10446.0</v>
      </c>
      <c r="B9810" s="3" t="s">
        <v>9411</v>
      </c>
      <c r="C9810" s="3" t="str">
        <f>IFERROR(__xludf.DUMMYFUNCTION("GOOGLETRANSLATE(B9810,""id"",""en"")"),"['Hadianya']")</f>
        <v>['Hadianya']</v>
      </c>
      <c r="D9810" s="3">
        <v>5.0</v>
      </c>
    </row>
    <row r="9811" ht="15.75" customHeight="1">
      <c r="A9811" s="1">
        <v>10447.0</v>
      </c>
      <c r="B9811" s="3" t="s">
        <v>9412</v>
      </c>
      <c r="C9811" s="3" t="str">
        <f>IFERROR(__xludf.DUMMYFUNCTION("GOOGLETRANSLATE(B9811,""id"",""en"")"),"['Telkom', 'KnTool', 'Package', 'expensive', 'signal', 'rich', 'ugly', 'ugly', 'anjg', 'Serlok', 'Dek', 'Bewann']")</f>
        <v>['Telkom', 'KnTool', 'Package', 'expensive', 'signal', 'rich', 'ugly', 'ugly', 'anjg', 'Serlok', 'Dek', 'Bewann']</v>
      </c>
      <c r="D9811" s="3">
        <v>1.0</v>
      </c>
    </row>
    <row r="9812" ht="15.75" customHeight="1">
      <c r="A9812" s="1">
        <v>10448.0</v>
      </c>
      <c r="B9812" s="3" t="s">
        <v>9413</v>
      </c>
      <c r="C9812" s="3" t="str">
        <f>IFERROR(__xludf.DUMMYFUNCTION("GOOGLETRANSLATE(B9812,""id"",""en"")"),"['Application', 'Open']")</f>
        <v>['Application', 'Open']</v>
      </c>
      <c r="D9812" s="3">
        <v>5.0</v>
      </c>
    </row>
    <row r="9813" ht="15.75" customHeight="1">
      <c r="A9813" s="1">
        <v>10450.0</v>
      </c>
      <c r="B9813" s="3" t="s">
        <v>9414</v>
      </c>
      <c r="C9813" s="3" t="str">
        <f>IFERROR(__xludf.DUMMYFUNCTION("GOOGLETRANSLATE(B9813,""id"",""en"")"),"['hope', 'his servant', ""]")</f>
        <v>['hope', 'his servant', "]</v>
      </c>
      <c r="D9813" s="3">
        <v>5.0</v>
      </c>
    </row>
    <row r="9814" ht="15.75" customHeight="1">
      <c r="A9814" s="1">
        <v>10451.0</v>
      </c>
      <c r="B9814" s="3" t="s">
        <v>9415</v>
      </c>
      <c r="C9814" s="3" t="str">
        <f>IFERROR(__xludf.DUMMYFUNCTION("GOOGLETRANSLATE(B9814,""id"",""en"")"),"['Signal', 'Telkomsel', 'Good']")</f>
        <v>['Signal', 'Telkomsel', 'Good']</v>
      </c>
      <c r="D9814" s="3">
        <v>4.0</v>
      </c>
    </row>
    <row r="9815" ht="15.75" customHeight="1">
      <c r="A9815" s="1">
        <v>10452.0</v>
      </c>
      <c r="B9815" s="3" t="s">
        <v>9416</v>
      </c>
      <c r="C9815" s="3" t="str">
        <f>IFERROR(__xludf.DUMMYFUNCTION("GOOGLETRANSLATE(B9815,""id"",""en"")"),"['Package', 'cheap', 'user', 'applices',' combo ',' Sakti ',' GB ',' for ',' RB ',' quality ',' network ',' qualified ',' Stay ',' program ',' package ',' data ',' cheap ',' type ',' card ',' Telkomsel ']")</f>
        <v>['Package', 'cheap', 'user', 'applices',' combo ',' Sakti ',' GB ',' for ',' RB ',' quality ',' network ',' qualified ',' Stay ',' program ',' package ',' data ',' cheap ',' type ',' card ',' Telkomsel ']</v>
      </c>
      <c r="D9815" s="3">
        <v>5.0</v>
      </c>
    </row>
    <row r="9816" ht="15.75" customHeight="1">
      <c r="A9816" s="1">
        <v>10453.0</v>
      </c>
      <c r="B9816" s="3" t="s">
        <v>2381</v>
      </c>
      <c r="C9816" s="3" t="str">
        <f>IFERROR(__xludf.DUMMYFUNCTION("GOOGLETRANSLATE(B9816,""id"",""en"")"),"['application', 'ugly']")</f>
        <v>['application', 'ugly']</v>
      </c>
      <c r="D9816" s="3">
        <v>1.0</v>
      </c>
    </row>
    <row r="9817" ht="15.75" customHeight="1">
      <c r="A9817" s="1">
        <v>10454.0</v>
      </c>
      <c r="B9817" s="3" t="s">
        <v>9417</v>
      </c>
      <c r="C9817" s="3" t="str">
        <f>IFERROR(__xludf.DUMMYFUNCTION("GOOGLETRANSLATE(B9817,""id"",""en"")"),"['Telkomsel', 'skrg', 'network', 'stable', 'Pernag', 'Full', 'signal', 'Network', 'Traduruk']")</f>
        <v>['Telkomsel', 'skrg', 'network', 'stable', 'Pernag', 'Full', 'signal', 'Network', 'Traduruk']</v>
      </c>
      <c r="D9817" s="3">
        <v>5.0</v>
      </c>
    </row>
    <row r="9818" ht="15.75" customHeight="1">
      <c r="A9818" s="1">
        <v>10455.0</v>
      </c>
      <c r="B9818" s="3" t="s">
        <v>9418</v>
      </c>
      <c r="C9818" s="3" t="str">
        <f>IFERROR(__xludf.DUMMYFUNCTION("GOOGLETRANSLATE(B9818,""id"",""en"")"),"['Network', 'ugly', 'play', 'game', 'already', 'use', 'Telkom', 'Please', 'fix', 'network', 'smooth', 'play', ' Games']")</f>
        <v>['Network', 'ugly', 'play', 'game', 'already', 'use', 'Telkom', 'Please', 'fix', 'network', 'smooth', 'play', ' Games']</v>
      </c>
      <c r="D9818" s="3">
        <v>1.0</v>
      </c>
    </row>
    <row r="9819" ht="15.75" customHeight="1">
      <c r="A9819" s="1">
        <v>10456.0</v>
      </c>
      <c r="B9819" s="3" t="s">
        <v>9419</v>
      </c>
      <c r="C9819" s="3" t="str">
        <f>IFERROR(__xludf.DUMMYFUNCTION("GOOGLETRANSLATE(B9819,""id"",""en"")"),"['application', 'opened', 'intentionally', 'buy', 'quota', 'price', 'expensive', 'discount', ""]")</f>
        <v>['application', 'opened', 'intentionally', 'buy', 'quota', 'price', 'expensive', 'discount', "]</v>
      </c>
      <c r="D9819" s="3">
        <v>1.0</v>
      </c>
    </row>
    <row r="9820" ht="15.75" customHeight="1">
      <c r="A9820" s="1">
        <v>10457.0</v>
      </c>
      <c r="B9820" s="3" t="s">
        <v>9420</v>
      </c>
      <c r="C9820" s="3" t="str">
        <f>IFERROR(__xludf.DUMMYFUNCTION("GOOGLETRANSLATE(B9820,""id"",""en"")"),"['Mantab', 'Telkomsel', 'smooth', 'internet', 'expensive', 'beg', 'expensive', 'Telkomsel', ""]")</f>
        <v>['Mantab', 'Telkomsel', 'smooth', 'internet', 'expensive', 'beg', 'expensive', 'Telkomsel', "]</v>
      </c>
      <c r="D9820" s="3">
        <v>5.0</v>
      </c>
    </row>
    <row r="9821" ht="15.75" customHeight="1">
      <c r="A9821" s="1">
        <v>10458.0</v>
      </c>
      <c r="B9821" s="3" t="s">
        <v>9421</v>
      </c>
      <c r="C9821" s="3" t="str">
        <f>IFERROR(__xludf.DUMMYFUNCTION("GOOGLETRANSLATE(B9821,""id"",""en"")"),"['already', 'price', 'expensive', 'internet', 'slow']")</f>
        <v>['already', 'price', 'expensive', 'internet', 'slow']</v>
      </c>
      <c r="D9821" s="3">
        <v>1.0</v>
      </c>
    </row>
    <row r="9822" ht="15.75" customHeight="1">
      <c r="A9822" s="1">
        <v>10459.0</v>
      </c>
      <c r="B9822" s="3" t="s">
        <v>9422</v>
      </c>
      <c r="C9822" s="3" t="str">
        <f>IFERROR(__xludf.DUMMYFUNCTION("GOOGLETRANSLATE(B9822,""id"",""en"")"),"['Signal', 'Sangt', 'ugly', 'quota', 'expensive', 'cpet', 'abis', 'TPI', 'signal', 'adequate']")</f>
        <v>['Signal', 'Sangt', 'ugly', 'quota', 'expensive', 'cpet', 'abis', 'TPI', 'signal', 'adequate']</v>
      </c>
      <c r="D9822" s="3">
        <v>1.0</v>
      </c>
    </row>
    <row r="9823" ht="15.75" customHeight="1">
      <c r="A9823" s="1">
        <v>10460.0</v>
      </c>
      <c r="B9823" s="3" t="s">
        <v>9423</v>
      </c>
      <c r="C9823" s="3" t="str">
        <f>IFERROR(__xludf.DUMMYFUNCTION("GOOGLETRANSLATE(B9823,""id"",""en"")"),"['Gabisa', 'break up', 'buy', 'package', 'data']")</f>
        <v>['Gabisa', 'break up', 'buy', 'package', 'data']</v>
      </c>
      <c r="D9823" s="3">
        <v>2.0</v>
      </c>
    </row>
    <row r="9824" ht="15.75" customHeight="1">
      <c r="A9824" s="1">
        <v>10461.0</v>
      </c>
      <c r="B9824" s="3" t="s">
        <v>9424</v>
      </c>
      <c r="C9824" s="3" t="str">
        <f>IFERROR(__xludf.DUMMYFUNCTION("GOOGLETRANSLATE(B9824,""id"",""en"")"),"['Kualita', 'information', 'accurate']")</f>
        <v>['Kualita', 'information', 'accurate']</v>
      </c>
      <c r="D9824" s="3">
        <v>5.0</v>
      </c>
    </row>
    <row r="9825" ht="15.75" customHeight="1">
      <c r="A9825" s="1">
        <v>10462.0</v>
      </c>
      <c r="B9825" s="3" t="s">
        <v>9425</v>
      </c>
      <c r="C9825" s="3" t="str">
        <f>IFERROR(__xludf.DUMMYFUNCTION("GOOGLETRANSLATE(B9825,""id"",""en"")"),"['network', 'Telkomsel', 'slow', 'severe', 'kapok', 'buy', 'package']")</f>
        <v>['network', 'Telkomsel', 'slow', 'severe', 'kapok', 'buy', 'package']</v>
      </c>
      <c r="D9825" s="3">
        <v>1.0</v>
      </c>
    </row>
    <row r="9826" ht="15.75" customHeight="1">
      <c r="A9826" s="1">
        <v>10463.0</v>
      </c>
      <c r="B9826" s="3" t="s">
        <v>9426</v>
      </c>
      <c r="C9826" s="3" t="str">
        <f>IFERROR(__xludf.DUMMYFUNCTION("GOOGLETRANSLATE(B9826,""id"",""en"")"),"['Price', 'expensive', 'quality', '']")</f>
        <v>['Price', 'expensive', 'quality', '']</v>
      </c>
      <c r="D9826" s="3">
        <v>1.0</v>
      </c>
    </row>
    <row r="9827" ht="15.75" customHeight="1">
      <c r="A9827" s="1">
        <v>10464.0</v>
      </c>
      <c r="B9827" s="3" t="s">
        <v>9427</v>
      </c>
      <c r="C9827" s="3" t="str">
        <f>IFERROR(__xludf.DUMMYFUNCTION("GOOGLETRANSLATE(B9827,""id"",""en"")"),"['Please', 'donk', 'unlimited', 'youtubenya']")</f>
        <v>['Please', 'donk', 'unlimited', 'youtubenya']</v>
      </c>
      <c r="D9827" s="3">
        <v>2.0</v>
      </c>
    </row>
    <row r="9828" ht="15.75" customHeight="1">
      <c r="A9828" s="1">
        <v>10465.0</v>
      </c>
      <c r="B9828" s="3" t="s">
        <v>9428</v>
      </c>
      <c r="C9828" s="3" t="str">
        <f>IFERROR(__xludf.DUMMYFUNCTION("GOOGLETRANSLATE(B9828,""id"",""en"")"),"['The application', 'update', 'opened', '']")</f>
        <v>['The application', 'update', 'opened', '']</v>
      </c>
      <c r="D9828" s="3">
        <v>3.0</v>
      </c>
    </row>
    <row r="9829" ht="15.75" customHeight="1">
      <c r="A9829" s="1">
        <v>10466.0</v>
      </c>
      <c r="B9829" s="3" t="s">
        <v>9429</v>
      </c>
      <c r="C9829" s="3" t="str">
        <f>IFERROR(__xludf.DUMMYFUNCTION("GOOGLETRANSLATE(B9829,""id"",""en"")"),"['Application', 'opened', 'White', 'Screen', 'then']")</f>
        <v>['Application', 'opened', 'White', 'Screen', 'then']</v>
      </c>
      <c r="D9829" s="3">
        <v>3.0</v>
      </c>
    </row>
    <row r="9830" ht="15.75" customHeight="1">
      <c r="A9830" s="1">
        <v>10468.0</v>
      </c>
      <c r="B9830" s="3" t="s">
        <v>1530</v>
      </c>
      <c r="C9830" s="3" t="str">
        <f>IFERROR(__xludf.DUMMYFUNCTION("GOOGLETRANSLATE(B9830,""id"",""en"")"),"['try']")</f>
        <v>['try']</v>
      </c>
      <c r="D9830" s="3">
        <v>5.0</v>
      </c>
    </row>
    <row r="9831" ht="15.75" customHeight="1">
      <c r="A9831" s="1">
        <v>10469.0</v>
      </c>
      <c r="B9831" s="3" t="s">
        <v>9430</v>
      </c>
      <c r="C9831" s="3" t="str">
        <f>IFERROR(__xludf.DUMMYFUNCTION("GOOGLETRANSLATE(B9831,""id"",""en"")"),"['Telkomsel', 'Date', 'Network', 'ugly', 'Mulu', 'Porn', 'good', 'right', 'enter', 'clock', 'network', 'right', ' ugly ',' please ',' min ',' play ',' game ',' ngilangin ',' stress', 'add', 'stress',' please ',' Telkomsel ',' down ',' hand ' ]")</f>
        <v>['Telkomsel', 'Date', 'Network', 'ugly', 'Mulu', 'Porn', 'good', 'right', 'enter', 'clock', 'network', 'right', ' ugly ',' please ',' min ',' play ',' game ',' ngilangin ',' stress', 'add', 'stress',' please ',' Telkomsel ',' down ',' hand ' ]</v>
      </c>
      <c r="D9831" s="3">
        <v>1.0</v>
      </c>
    </row>
    <row r="9832" ht="15.75" customHeight="1">
      <c r="A9832" s="1">
        <v>10470.0</v>
      </c>
      <c r="B9832" s="3" t="s">
        <v>9431</v>
      </c>
      <c r="C9832" s="3" t="str">
        <f>IFERROR(__xludf.DUMMYFUNCTION("GOOGLETRANSLATE(B9832,""id"",""en"")"),"['boss',' announcement ',' gift ',' Telkomsel ',' Points', 'can', 'gift', 'please', 'love', 'news',' draw ',' gift ',' Telkomsel ',' Points', 'yaa', 'following', 'program', 'boss', ""]")</f>
        <v>['boss',' announcement ',' gift ',' Telkomsel ',' Points', 'can', 'gift', 'please', 'love', 'news',' draw ',' gift ',' Telkomsel ',' Points', 'yaa', 'following', 'program', 'boss', "]</v>
      </c>
      <c r="D9832" s="3">
        <v>5.0</v>
      </c>
    </row>
    <row r="9833" ht="15.75" customHeight="1">
      <c r="A9833" s="1">
        <v>10471.0</v>
      </c>
      <c r="B9833" s="3" t="s">
        <v>9432</v>
      </c>
      <c r="C9833" s="3" t="str">
        <f>IFERROR(__xludf.DUMMYFUNCTION("GOOGLETRANSLATE(B9833,""id"",""en"")"),"['Application', 'opened', 'pulse', 'lost']")</f>
        <v>['Application', 'opened', 'pulse', 'lost']</v>
      </c>
      <c r="D9833" s="3">
        <v>1.0</v>
      </c>
    </row>
    <row r="9834" ht="15.75" customHeight="1">
      <c r="A9834" s="1">
        <v>10472.0</v>
      </c>
      <c r="B9834" s="3" t="s">
        <v>9433</v>
      </c>
      <c r="C9834" s="3" t="str">
        <f>IFERROR(__xludf.DUMMYFUNCTION("GOOGLETRANSLATE(B9834,""id"",""en"")"),"['Telkomsel', 'Features',' Card ',' Telkomsel ',' Data ',' Koutaa ',' Access', 'Telkomsel', 'User', 'Buy', 'Quota', 'App', ' Telkomsel ',' Access', 'Data', 'Terbimah', 'Love', 'Hopefully', 'Telkomsel', 'Realize', 'Response', 'User', 'Setia', 'Telkomsel']")</f>
        <v>['Telkomsel', 'Features',' Card ',' Telkomsel ',' Data ',' Koutaa ',' Access', 'Telkomsel', 'User', 'Buy', 'Quota', 'App', ' Telkomsel ',' Access', 'Data', 'Terbimah', 'Love', 'Hopefully', 'Telkomsel', 'Realize', 'Response', 'User', 'Setia', 'Telkomsel']</v>
      </c>
      <c r="D9834" s="3">
        <v>2.0</v>
      </c>
    </row>
    <row r="9835" ht="15.75" customHeight="1">
      <c r="A9835" s="1">
        <v>10473.0</v>
      </c>
      <c r="B9835" s="3" t="s">
        <v>9434</v>
      </c>
      <c r="C9835" s="3" t="str">
        <f>IFERROR(__xludf.DUMMYFUNCTION("GOOGLETRANSLATE(B9835,""id"",""en"")"),"['Telkomsel', 'Network', 'Best', 'Ad', 'Real']")</f>
        <v>['Telkomsel', 'Network', 'Best', 'Ad', 'Real']</v>
      </c>
      <c r="D9835" s="3">
        <v>1.0</v>
      </c>
    </row>
    <row r="9836" ht="15.75" customHeight="1">
      <c r="A9836" s="1">
        <v>10474.0</v>
      </c>
      <c r="B9836" s="3" t="s">
        <v>9435</v>
      </c>
      <c r="C9836" s="3" t="str">
        <f>IFERROR(__xludf.DUMMYFUNCTION("GOOGLETRANSLATE(B9836,""id"",""en"")"),"['Easy', 'pakek']")</f>
        <v>['Easy', 'pakek']</v>
      </c>
      <c r="D9836" s="3">
        <v>5.0</v>
      </c>
    </row>
    <row r="9837" ht="15.75" customHeight="1">
      <c r="A9837" s="1">
        <v>10475.0</v>
      </c>
      <c r="B9837" s="3" t="s">
        <v>9436</v>
      </c>
      <c r="C9837" s="3" t="str">
        <f>IFERROR(__xludf.DUMMYFUNCTION("GOOGLETRANSLATE(B9837,""id"",""en"")"),"['opened', 'min', 'please', 'fix', 'fast']")</f>
        <v>['opened', 'min', 'please', 'fix', 'fast']</v>
      </c>
      <c r="D9837" s="3">
        <v>1.0</v>
      </c>
    </row>
    <row r="9838" ht="15.75" customHeight="1">
      <c r="A9838" s="1">
        <v>10476.0</v>
      </c>
      <c r="B9838" s="3" t="s">
        <v>9437</v>
      </c>
      <c r="C9838" s="3" t="str">
        <f>IFERROR(__xludf.DUMMYFUNCTION("GOOGLETRANSLATE(B9838,""id"",""en"")"),"['rudeeeeeeeeeeeeeeeeeeeuut', 'face', 'application']")</f>
        <v>['rudeeeeeeeeeeeeeeeeeeeuut', 'face', 'application']</v>
      </c>
      <c r="D9838" s="3">
        <v>1.0</v>
      </c>
    </row>
    <row r="9839" ht="15.75" customHeight="1">
      <c r="A9839" s="1">
        <v>10477.0</v>
      </c>
      <c r="B9839" s="3" t="s">
        <v>9438</v>
      </c>
      <c r="C9839" s="3" t="str">
        <f>IFERROR(__xludf.DUMMYFUNCTION("GOOGLETRANSLATE(B9839,""id"",""en"")"),"['Taik', 'Telkomsel', 'bsa', 'bkan', 'fix', 'apk', 'intention', 'hpus', 'apk', 'play', 'store']")</f>
        <v>['Taik', 'Telkomsel', 'bsa', 'bkan', 'fix', 'apk', 'intention', 'hpus', 'apk', 'play', 'store']</v>
      </c>
      <c r="D9839" s="3">
        <v>1.0</v>
      </c>
    </row>
    <row r="9840" ht="15.75" customHeight="1">
      <c r="A9840" s="1">
        <v>10478.0</v>
      </c>
      <c r="B9840" s="3" t="s">
        <v>9439</v>
      </c>
      <c r="C9840" s="3" t="str">
        <f>IFERROR(__xludf.DUMMYFUNCTION("GOOGLETRANSLATE(B9840,""id"",""en"")"),"['application', 'opened', 'blank', 'white', 'doang', 'TDI', 'morning', ""]")</f>
        <v>['application', 'opened', 'blank', 'white', 'doang', 'TDI', 'morning', "]</v>
      </c>
      <c r="D9840" s="3">
        <v>1.0</v>
      </c>
    </row>
    <row r="9841" ht="15.75" customHeight="1">
      <c r="A9841" s="1">
        <v>10479.0</v>
      </c>
      <c r="B9841" s="3" t="s">
        <v>9440</v>
      </c>
      <c r="C9841" s="3" t="str">
        <f>IFERROR(__xludf.DUMMYFUNCTION("GOOGLETRANSLATE(B9841,""id"",""en"")"),"['Network', 'Telkomsel', 'slow', '']")</f>
        <v>['Network', 'Telkomsel', 'slow', '']</v>
      </c>
      <c r="D9841" s="3">
        <v>1.0</v>
      </c>
    </row>
    <row r="9842" ht="15.75" customHeight="1">
      <c r="A9842" s="1">
        <v>10480.0</v>
      </c>
      <c r="B9842" s="3" t="s">
        <v>9441</v>
      </c>
      <c r="C9842" s="3" t="str">
        <f>IFERROR(__xludf.DUMMYFUNCTION("GOOGLETRANSLATE(B9842,""id"",""en"")"),"['Hi', 'Sis', 'The application', 'Open', 'Udate', 'Please', 'Fix']")</f>
        <v>['Hi', 'Sis', 'The application', 'Open', 'Udate', 'Please', 'Fix']</v>
      </c>
      <c r="D9842" s="3">
        <v>1.0</v>
      </c>
    </row>
    <row r="9843" ht="15.75" customHeight="1">
      <c r="A9843" s="1">
        <v>10481.0</v>
      </c>
      <c r="B9843" s="3" t="s">
        <v>9442</v>
      </c>
      <c r="C9843" s="3" t="str">
        <f>IFERROR(__xludf.DUMMYFUNCTION("GOOGLETRANSLATE(B9843,""id"",""en"")"),"['Exchange', 'Samsuns']")</f>
        <v>['Exchange', 'Samsuns']</v>
      </c>
      <c r="D9843" s="3">
        <v>1.0</v>
      </c>
    </row>
    <row r="9844" ht="15.75" customHeight="1">
      <c r="A9844" s="1">
        <v>10482.0</v>
      </c>
      <c r="B9844" s="3" t="s">
        <v>9443</v>
      </c>
      <c r="C9844" s="3" t="str">
        <f>IFERROR(__xludf.DUMMYFUNCTION("GOOGLETRANSLATE(B9844,""id"",""en"")"),"['loyal', 'Telkomsel', 'Please', 'Increase', 'Quality']")</f>
        <v>['loyal', 'Telkomsel', 'Please', 'Increase', 'Quality']</v>
      </c>
      <c r="D9844" s="3">
        <v>4.0</v>
      </c>
    </row>
    <row r="9845" ht="15.75" customHeight="1">
      <c r="A9845" s="1">
        <v>10483.0</v>
      </c>
      <c r="B9845" s="3" t="s">
        <v>9444</v>
      </c>
      <c r="C9845" s="3" t="str">
        <f>IFERROR(__xludf.DUMMYFUNCTION("GOOGLETRANSLATE(B9845,""id"",""en"")"),"['Network', 'rotten', 'ugly', 'expensive', 'doang', 'buy', 'package', 'pulse', 'right']")</f>
        <v>['Network', 'rotten', 'ugly', 'expensive', 'doang', 'buy', 'package', 'pulse', 'right']</v>
      </c>
      <c r="D9845" s="3">
        <v>1.0</v>
      </c>
    </row>
    <row r="9846" ht="15.75" customHeight="1">
      <c r="A9846" s="1">
        <v>10484.0</v>
      </c>
      <c r="B9846" s="3" t="s">
        <v>9445</v>
      </c>
      <c r="C9846" s="3" t="str">
        <f>IFERROR(__xludf.DUMMYFUNCTION("GOOGLETRANSLATE(B9846,""id"",""en"")"),"['Steady', 'Telkomsel', 'That's', 'Lho', 'Jaya', 'Movers', 'The Network', '']")</f>
        <v>['Steady', 'Telkomsel', 'That's', 'Lho', 'Jaya', 'Movers', 'The Network', '']</v>
      </c>
      <c r="D9846" s="3">
        <v>5.0</v>
      </c>
    </row>
    <row r="9847" ht="15.75" customHeight="1">
      <c r="A9847" s="1">
        <v>10485.0</v>
      </c>
      <c r="B9847" s="3" t="s">
        <v>9446</v>
      </c>
      <c r="C9847" s="3" t="str">
        <f>IFERROR(__xludf.DUMMYFUNCTION("GOOGLETRANSLATE(B9847,""id"",""en"")"),"['Telkomsel', 'LAKNAT', 'Ngeta', 'Credit', 'Edible', 'Buy', 'Package', 'Corruption', 'Credit', 'Rb', 'Buy', 'Package', ' rb ',' leftover ',' forget ',' count ',' Kali ']")</f>
        <v>['Telkomsel', 'LAKNAT', 'Ngeta', 'Credit', 'Edible', 'Buy', 'Package', 'Corruption', 'Credit', 'Rb', 'Buy', 'Package', ' rb ',' leftover ',' forget ',' count ',' Kali ']</v>
      </c>
      <c r="D9847" s="3">
        <v>1.0</v>
      </c>
    </row>
    <row r="9848" ht="15.75" customHeight="1">
      <c r="A9848" s="1">
        <v>10486.0</v>
      </c>
      <c r="B9848" s="3" t="s">
        <v>9447</v>
      </c>
      <c r="C9848" s="3" t="str">
        <f>IFERROR(__xludf.DUMMYFUNCTION("GOOGLETRANSLATE(B9848,""id"",""en"")"),"['likes',' Telkomsel ',' like ',' missing ',' credit ',' realize ',' package ',' quota ',' active ',' ssdangkn ',' subscription ',' anything ',' SPT ',' NSP ',' Etc. ',' Please ',' repaired ',' System ',' AGA ',' Credit ',' Customer ',' Safe ',' Sucked ',"&amp;"' Law to ', ""]")</f>
        <v>['likes',' Telkomsel ',' like ',' missing ',' credit ',' realize ',' package ',' quota ',' active ',' ssdangkn ',' subscription ',' anything ',' SPT ',' NSP ',' Etc. ',' Please ',' repaired ',' System ',' AGA ',' Credit ',' Customer ',' Safe ',' Sucked ',' Law to ', "]</v>
      </c>
      <c r="D9848" s="3">
        <v>3.0</v>
      </c>
    </row>
    <row r="9849" ht="15.75" customHeight="1">
      <c r="A9849" s="1">
        <v>10487.0</v>
      </c>
      <c r="B9849" s="3" t="s">
        <v>9448</v>
      </c>
      <c r="C9849" s="3" t="str">
        <f>IFERROR(__xludf.DUMMYFUNCTION("GOOGLETRANSLATE(B9849,""id"",""en"")"),"['Telkomsel', 'strange', 'open', 'Facebook', 'like', 'mode', 'geratis',' already ',' so ',' like ',' ad ',' package ',' Telkomsel ',' already ',' Located ',' buy ',' package ',' emergency ',' Facebook ',' Padah ',' quota ',' GB ',' sorrow ',' forced ',' b"&amp;"uy ' , 'signal', 'UDH', 'as fast as', 'slow']")</f>
        <v>['Telkomsel', 'strange', 'open', 'Facebook', 'like', 'mode', 'geratis',' already ',' so ',' like ',' ad ',' package ',' Telkomsel ',' already ',' Located ',' buy ',' package ',' emergency ',' Facebook ',' Padah ',' quota ',' GB ',' sorrow ',' forced ',' buy ' , 'signal', 'UDH', 'as fast as', 'slow']</v>
      </c>
      <c r="D9849" s="3">
        <v>1.0</v>
      </c>
    </row>
    <row r="9850" ht="15.75" customHeight="1">
      <c r="A9850" s="1">
        <v>10488.0</v>
      </c>
      <c r="B9850" s="3" t="s">
        <v>9449</v>
      </c>
      <c r="C9850" s="3" t="str">
        <f>IFERROR(__xludf.DUMMYFUNCTION("GOOGLETRANSLATE(B9850,""id"",""en"")"),"['Assalamu', 'Alaikum', 'Please', 'Sorry', 'Sis', 'Update', ""]")</f>
        <v>['Assalamu', 'Alaikum', 'Please', 'Sorry', 'Sis', 'Update', "]</v>
      </c>
      <c r="D9850" s="3">
        <v>2.0</v>
      </c>
    </row>
    <row r="9851" ht="15.75" customHeight="1">
      <c r="A9851" s="1">
        <v>10489.0</v>
      </c>
      <c r="B9851" s="3" t="s">
        <v>9450</v>
      </c>
      <c r="C9851" s="3" t="str">
        <f>IFERROR(__xludf.DUMMYFUNCTION("GOOGLETRANSLATE(B9851,""id"",""en"")"),"['Please', 'APK', 'opened', 'Waiting', 'Change', 'Diuninstall', 'Download', 'Please', ""]")</f>
        <v>['Please', 'APK', 'opened', 'Waiting', 'Change', 'Diuninstall', 'Download', 'Please', "]</v>
      </c>
      <c r="D9851" s="3">
        <v>1.0</v>
      </c>
    </row>
    <row r="9852" ht="15.75" customHeight="1">
      <c r="A9852" s="1">
        <v>10490.0</v>
      </c>
      <c r="B9852" s="3" t="s">
        <v>9451</v>
      </c>
      <c r="C9852" s="3" t="str">
        <f>IFERROR(__xludf.DUMMYFUNCTION("GOOGLETRANSLATE(B9852,""id"",""en"")"),"['Safe', 'Simple']")</f>
        <v>['Safe', 'Simple']</v>
      </c>
      <c r="D9852" s="3">
        <v>5.0</v>
      </c>
    </row>
    <row r="9853" ht="15.75" customHeight="1">
      <c r="A9853" s="1">
        <v>10492.0</v>
      </c>
      <c r="B9853" s="3" t="s">
        <v>9452</v>
      </c>
      <c r="C9853" s="3" t="str">
        <f>IFERROR(__xludf.DUMMYFUNCTION("GOOGLETRANSLATE(B9853,""id"",""en"")"),"['disappointed', 'subscription', 'data', 'price', '']")</f>
        <v>['disappointed', 'subscription', 'data', 'price', '']</v>
      </c>
      <c r="D9853" s="3">
        <v>1.0</v>
      </c>
    </row>
    <row r="9854" ht="15.75" customHeight="1">
      <c r="A9854" s="1">
        <v>10493.0</v>
      </c>
      <c r="B9854" s="3" t="s">
        <v>9453</v>
      </c>
      <c r="C9854" s="3" t="str">
        <f>IFERROR(__xludf.DUMMYFUNCTION("GOOGLETRANSLATE(B9854,""id"",""en"")"),"['smooth', 'good', 'updet', 'screen', 'white', 'login', 'use', 'Telkomsel', 'disappointed', '']")</f>
        <v>['smooth', 'good', 'updet', 'screen', 'white', 'login', 'use', 'Telkomsel', 'disappointed', '']</v>
      </c>
      <c r="D9854" s="3">
        <v>1.0</v>
      </c>
    </row>
    <row r="9855" ht="15.75" customHeight="1">
      <c r="A9855" s="1">
        <v>10494.0</v>
      </c>
      <c r="B9855" s="3" t="s">
        <v>2704</v>
      </c>
      <c r="C9855" s="3" t="str">
        <f>IFERROR(__xludf.DUMMYFUNCTION("GOOGLETRANSLATE(B9855,""id"",""en"")"),"['Package', 'expensive']")</f>
        <v>['Package', 'expensive']</v>
      </c>
      <c r="D9855" s="3">
        <v>5.0</v>
      </c>
    </row>
    <row r="9856" ht="15.75" customHeight="1">
      <c r="A9856" s="1">
        <v>10496.0</v>
      </c>
      <c r="B9856" s="3" t="s">
        <v>9454</v>
      </c>
      <c r="C9856" s="3" t="str">
        <f>IFERROR(__xludf.DUMMYFUNCTION("GOOGLETRANSLATE(B9856,""id"",""en"")"),"['happy', 'wear', 'card', 'Telkomsel']")</f>
        <v>['happy', 'wear', 'card', 'Telkomsel']</v>
      </c>
      <c r="D9856" s="3">
        <v>5.0</v>
      </c>
    </row>
    <row r="9857" ht="15.75" customHeight="1">
      <c r="A9857" s="1">
        <v>10497.0</v>
      </c>
      <c r="B9857" s="3" t="s">
        <v>9455</v>
      </c>
      <c r="C9857" s="3" t="str">
        <f>IFERROR(__xludf.DUMMYFUNCTION("GOOGLETRANSLATE(B9857,""id"",""en"")"),"['Stlah', 'update', 'open', 'TRS', 'Unistal', 'TRS', 'Install', 'TTP', 'opened', 'screen', 'white', 'Doank', ' chaotic', '']")</f>
        <v>['Stlah', 'update', 'open', 'TRS', 'Unistal', 'TRS', 'Install', 'TTP', 'opened', 'screen', 'white', 'Doank', ' chaotic', '']</v>
      </c>
      <c r="D9857" s="3">
        <v>1.0</v>
      </c>
    </row>
    <row r="9858" ht="15.75" customHeight="1">
      <c r="A9858" s="1">
        <v>10498.0</v>
      </c>
      <c r="B9858" s="3" t="s">
        <v>9456</v>
      </c>
      <c r="C9858" s="3" t="str">
        <f>IFERROR(__xludf.DUMMYFUNCTION("GOOGLETRANSLATE(B9858,""id"",""en"")"),"['application', 'blank', 'white', 'tok', 'screen', 'please', 'explanation', ""]")</f>
        <v>['application', 'blank', 'white', 'tok', 'screen', 'please', 'explanation', "]</v>
      </c>
      <c r="D9858" s="3">
        <v>1.0</v>
      </c>
    </row>
    <row r="9859" ht="15.75" customHeight="1">
      <c r="A9859" s="1">
        <v>10499.0</v>
      </c>
      <c r="B9859" s="3" t="s">
        <v>9457</v>
      </c>
      <c r="C9859" s="3" t="str">
        <f>IFERROR(__xludf.DUMMYFUNCTION("GOOGLETRANSLATE(B9859,""id"",""en"")"),"['use', 'Telkomsel', 'open', 'application', 'anything', 'fast', 'smooth']")</f>
        <v>['use', 'Telkomsel', 'open', 'application', 'anything', 'fast', 'smooth']</v>
      </c>
      <c r="D9859" s="3">
        <v>5.0</v>
      </c>
    </row>
    <row r="9860" ht="15.75" customHeight="1">
      <c r="A9860" s="1">
        <v>10500.0</v>
      </c>
      <c r="B9860" s="3" t="s">
        <v>9458</v>
      </c>
      <c r="C9860" s="3" t="str">
        <f>IFERROR(__xludf.DUMMYFUNCTION("GOOGLETRANSLATE(B9860,""id"",""en"")"),"['The network', 'Severe', 'Maen', 'Game', 'Leg', 'Like', 'really', 'Karna', 'The network', 'smooth', 'Severe']")</f>
        <v>['The network', 'Severe', 'Maen', 'Game', 'Leg', 'Like', 'really', 'Karna', 'The network', 'smooth', 'Severe']</v>
      </c>
      <c r="D9860" s="3">
        <v>1.0</v>
      </c>
    </row>
    <row r="9861" ht="15.75" customHeight="1">
      <c r="A9861" s="1">
        <v>10501.0</v>
      </c>
      <c r="B9861" s="3" t="s">
        <v>1096</v>
      </c>
      <c r="C9861" s="3" t="str">
        <f>IFERROR(__xludf.DUMMYFUNCTION("GOOGLETRANSLATE(B9861,""id"",""en"")"),"['Application', 'good', 'help']")</f>
        <v>['Application', 'good', 'help']</v>
      </c>
      <c r="D9861" s="3">
        <v>5.0</v>
      </c>
    </row>
    <row r="9862" ht="15.75" customHeight="1">
      <c r="A9862" s="1">
        <v>10502.0</v>
      </c>
      <c r="B9862" s="3" t="s">
        <v>9459</v>
      </c>
      <c r="C9862" s="3" t="str">
        <f>IFERROR(__xludf.DUMMYFUNCTION("GOOGLETRANSLATE(B9862,""id"",""en"")"),"['The application', 'ngebug', 'please', 'fix', 'open', 'apk', 'knapa', 'colored', 'white', 'time', 'delete', 'install', ' Ngebug ',' Collapse ',' Size ',' ']")</f>
        <v>['The application', 'ngebug', 'please', 'fix', 'open', 'apk', 'knapa', 'colored', 'white', 'time', 'delete', 'install', ' Ngebug ',' Collapse ',' Size ',' ']</v>
      </c>
      <c r="D9862" s="3">
        <v>1.0</v>
      </c>
    </row>
    <row r="9863" ht="15.75" customHeight="1">
      <c r="A9863" s="1">
        <v>10503.0</v>
      </c>
      <c r="B9863" s="3" t="s">
        <v>1257</v>
      </c>
      <c r="C9863" s="3" t="str">
        <f>IFERROR(__xludf.DUMMYFUNCTION("GOOGLETRANSLATE(B9863,""id"",""en"")"),"['Opened']")</f>
        <v>['Opened']</v>
      </c>
      <c r="D9863" s="3">
        <v>5.0</v>
      </c>
    </row>
    <row r="9864" ht="15.75" customHeight="1">
      <c r="A9864" s="1">
        <v>10504.0</v>
      </c>
      <c r="B9864" s="3" t="s">
        <v>9460</v>
      </c>
      <c r="C9864" s="3" t="str">
        <f>IFERROR(__xludf.DUMMYFUNCTION("GOOGLETRANSLATE(B9864,""id"",""en"")"),"['Read', 'comment', 'complaints', 'TTG', 'APK', 'Blank', 'Stlah', 'updated', 'tlong', 'assisted', 'completed']")</f>
        <v>['Read', 'comment', 'complaints', 'TTG', 'APK', 'Blank', 'Stlah', 'updated', 'tlong', 'assisted', 'completed']</v>
      </c>
      <c r="D9864" s="3">
        <v>1.0</v>
      </c>
    </row>
    <row r="9865" ht="15.75" customHeight="1">
      <c r="A9865" s="1">
        <v>10505.0</v>
      </c>
      <c r="B9865" s="3" t="s">
        <v>9461</v>
      </c>
      <c r="C9865" s="3" t="str">
        <f>IFERROR(__xludf.DUMMYFUNCTION("GOOGLETRANSLATE(B9865,""id"",""en"")"),"['Application', 'Open', 'White', 'Screen']")</f>
        <v>['Application', 'Open', 'White', 'Screen']</v>
      </c>
      <c r="D9865" s="3">
        <v>2.0</v>
      </c>
    </row>
    <row r="9866" ht="15.75" customHeight="1">
      <c r="A9866" s="1">
        <v>10506.0</v>
      </c>
      <c r="B9866" s="3" t="s">
        <v>9462</v>
      </c>
      <c r="C9866" s="3" t="str">
        <f>IFERROR(__xludf.DUMMYFUNCTION("GOOGLETRANSLATE(B9866,""id"",""en"")"),"['Network', 'Signal', 'according to', 'price']")</f>
        <v>['Network', 'Signal', 'according to', 'price']</v>
      </c>
      <c r="D9866" s="3">
        <v>3.0</v>
      </c>
    </row>
    <row r="9867" ht="15.75" customHeight="1">
      <c r="A9867" s="1">
        <v>10507.0</v>
      </c>
      <c r="B9867" s="3" t="s">
        <v>9463</v>
      </c>
      <c r="C9867" s="3" t="str">
        <f>IFERROR(__xludf.DUMMYFUNCTION("GOOGLETRANSLATE(B9867,""id"",""en"")"),"['Good', 'compete']")</f>
        <v>['Good', 'compete']</v>
      </c>
      <c r="D9867" s="3">
        <v>4.0</v>
      </c>
    </row>
    <row r="9868" ht="15.75" customHeight="1">
      <c r="A9868" s="1">
        <v>10508.0</v>
      </c>
      <c r="B9868" s="3" t="s">
        <v>5985</v>
      </c>
      <c r="C9868" s="3" t="str">
        <f>IFERROR(__xludf.DUMMYFUNCTION("GOOGLETRANSLATE(B9868,""id"",""en"")"),"['Satisfied', 'application', 'help']")</f>
        <v>['Satisfied', 'application', 'help']</v>
      </c>
      <c r="D9868" s="3">
        <v>5.0</v>
      </c>
    </row>
    <row r="9869" ht="15.75" customHeight="1">
      <c r="A9869" s="1">
        <v>10509.0</v>
      </c>
      <c r="B9869" s="3" t="s">
        <v>9464</v>
      </c>
      <c r="C9869" s="3" t="str">
        <f>IFERROR(__xludf.DUMMYFUNCTION("GOOGLETRANSLATE(B9869,""id"",""en"")"),"['krj', 'mandatory', 'bother', 'people', 'bnyk', 'complain', 'msh', 'ndak', 'ksh', 'solution', 'or', 'sorry']")</f>
        <v>['krj', 'mandatory', 'bother', 'people', 'bnyk', 'complain', 'msh', 'ndak', 'ksh', 'solution', 'or', 'sorry']</v>
      </c>
      <c r="D9869" s="3">
        <v>1.0</v>
      </c>
    </row>
    <row r="9870" ht="15.75" customHeight="1">
      <c r="A9870" s="1">
        <v>10511.0</v>
      </c>
      <c r="B9870" s="3" t="s">
        <v>9465</v>
      </c>
      <c r="C9870" s="3" t="str">
        <f>IFERROR(__xludf.DUMMYFUNCTION("GOOGLETRANSLATE(B9870,""id"",""en"")"),"['Telkomsel', 'opened', 'date', 'December', 'sya', 'uninstall', 'then', 'install', 'reset', 'open', 'how', 'nie']")</f>
        <v>['Telkomsel', 'opened', 'date', 'December', 'sya', 'uninstall', 'then', 'install', 'reset', 'open', 'how', 'nie']</v>
      </c>
      <c r="D9870" s="3">
        <v>2.0</v>
      </c>
    </row>
    <row r="9871" ht="15.75" customHeight="1">
      <c r="A9871" s="1">
        <v>10512.0</v>
      </c>
      <c r="B9871" s="3" t="s">
        <v>1555</v>
      </c>
      <c r="C9871" s="3" t="str">
        <f>IFERROR(__xludf.DUMMYFUNCTION("GOOGLETRANSLATE(B9871,""id"",""en"")"),"['application', 'open', '']")</f>
        <v>['application', 'open', '']</v>
      </c>
      <c r="D9871" s="3">
        <v>1.0</v>
      </c>
    </row>
    <row r="9872" ht="15.75" customHeight="1">
      <c r="A9872" s="1">
        <v>10513.0</v>
      </c>
      <c r="B9872" s="3" t="s">
        <v>9466</v>
      </c>
      <c r="C9872" s="3" t="str">
        <f>IFERROR(__xludf.DUMMYFUNCTION("GOOGLETRANSLATE(B9872,""id"",""en"")"),"['', 'Best', 'compotitor', 'Telkomse']")</f>
        <v>['', 'Best', 'compotitor', 'Telkomse']</v>
      </c>
      <c r="D9872" s="3">
        <v>5.0</v>
      </c>
    </row>
    <row r="9873" ht="15.75" customHeight="1">
      <c r="A9873" s="1">
        <v>10514.0</v>
      </c>
      <c r="B9873" s="3" t="s">
        <v>9467</v>
      </c>
      <c r="C9873" s="3" t="str">
        <f>IFERROR(__xludf.DUMMYFUNCTION("GOOGLETRANSLATE(B9873,""id"",""en"")"),"['Bagus', 'TPI', 'Koutanyah', 'kdang', 'expensive', 'expensive', ""]")</f>
        <v>['Bagus', 'TPI', 'Koutanyah', 'kdang', 'expensive', 'expensive', "]</v>
      </c>
      <c r="D9873" s="3">
        <v>4.0</v>
      </c>
    </row>
    <row r="9874" ht="15.75" customHeight="1">
      <c r="A9874" s="1">
        <v>10515.0</v>
      </c>
      <c r="B9874" s="3" t="s">
        <v>9468</v>
      </c>
      <c r="C9874" s="3" t="str">
        <f>IFERROR(__xludf.DUMMYFUNCTION("GOOGLETRANSLATE(B9874,""id"",""en"")"),"['APK', 'NGU', 'Nga', 'goes', 'Nga', 'person', 'Season', ""]")</f>
        <v>['APK', 'NGU', 'Nga', 'goes', 'Nga', 'person', 'Season', "]</v>
      </c>
      <c r="D9874" s="3">
        <v>1.0</v>
      </c>
    </row>
    <row r="9875" ht="15.75" customHeight="1">
      <c r="A9875" s="1">
        <v>10516.0</v>
      </c>
      <c r="B9875" s="3" t="s">
        <v>9469</v>
      </c>
      <c r="C9875" s="3" t="str">
        <f>IFERROR(__xludf.DUMMYFUNCTION("GOOGLETRANSLATE(B9875,""id"",""en"")"),"['Application', 'Normal']")</f>
        <v>['Application', 'Normal']</v>
      </c>
      <c r="D9875" s="3">
        <v>1.0</v>
      </c>
    </row>
    <row r="9876" ht="15.75" customHeight="1">
      <c r="A9876" s="1">
        <v>10517.0</v>
      </c>
      <c r="B9876" s="3" t="s">
        <v>9470</v>
      </c>
      <c r="C9876" s="3" t="str">
        <f>IFERROR(__xludf.DUMMYFUNCTION("GOOGLETRANSLATE(B9876,""id"",""en"")"),"['hope', 'offer', 'interesting']")</f>
        <v>['hope', 'offer', 'interesting']</v>
      </c>
      <c r="D9876" s="3">
        <v>4.0</v>
      </c>
    </row>
    <row r="9877" ht="15.75" customHeight="1">
      <c r="A9877" s="1">
        <v>10518.0</v>
      </c>
      <c r="B9877" s="3" t="s">
        <v>9471</v>
      </c>
      <c r="C9877" s="3" t="str">
        <f>IFERROR(__xludf.DUMMYFUNCTION("GOOGLETRANSLATE(B9877,""id"",""en"")"),"['Use', 'The application', 'Current', 'Jaya', 'Koq', 'Open', 'The application', ""]")</f>
        <v>['Use', 'The application', 'Current', 'Jaya', 'Koq', 'Open', 'The application', "]</v>
      </c>
      <c r="D9877" s="3">
        <v>3.0</v>
      </c>
    </row>
    <row r="9878" ht="15.75" customHeight="1">
      <c r="A9878" s="1">
        <v>10519.0</v>
      </c>
      <c r="B9878" s="3" t="s">
        <v>9472</v>
      </c>
      <c r="C9878" s="3" t="str">
        <f>IFERROR(__xludf.DUMMYFUNCTION("GOOGLETRANSLATE(B9878,""id"",""en"")"),"['Telkomsel', 'Tetep', 'Jaya', 'Jaya', 'Jaya']")</f>
        <v>['Telkomsel', 'Tetep', 'Jaya', 'Jaya', 'Jaya']</v>
      </c>
      <c r="D9878" s="3">
        <v>5.0</v>
      </c>
    </row>
    <row r="9879" ht="15.75" customHeight="1">
      <c r="A9879" s="1">
        <v>10520.0</v>
      </c>
      <c r="B9879" s="3" t="s">
        <v>9473</v>
      </c>
      <c r="C9879" s="3" t="str">
        <f>IFERROR(__xludf.DUMMYFUNCTION("GOOGLETRANSLATE(B9879,""id"",""en"")"),"['Bad', 'jdi', 'open', 'update', 'bug', 'kah', '']")</f>
        <v>['Bad', 'jdi', 'open', 'update', 'bug', 'kah', '']</v>
      </c>
      <c r="D9879" s="3">
        <v>1.0</v>
      </c>
    </row>
    <row r="9880" ht="15.75" customHeight="1">
      <c r="A9880" s="1">
        <v>10521.0</v>
      </c>
      <c r="B9880" s="3" t="s">
        <v>9474</v>
      </c>
      <c r="C9880" s="3" t="str">
        <f>IFERROR(__xludf.DUMMYFUNCTION("GOOGLETRANSLATE(B9880,""id"",""en"")"),"['steady', 'application']")</f>
        <v>['steady', 'application']</v>
      </c>
      <c r="D9880" s="3">
        <v>5.0</v>
      </c>
    </row>
    <row r="9881" ht="15.75" customHeight="1">
      <c r="A9881" s="1">
        <v>10522.0</v>
      </c>
      <c r="B9881" s="3" t="s">
        <v>9413</v>
      </c>
      <c r="C9881" s="3" t="str">
        <f>IFERROR(__xludf.DUMMYFUNCTION("GOOGLETRANSLATE(B9881,""id"",""en"")"),"['Application', 'Open']")</f>
        <v>['Application', 'Open']</v>
      </c>
      <c r="D9881" s="3">
        <v>1.0</v>
      </c>
    </row>
    <row r="9882" ht="15.75" customHeight="1">
      <c r="A9882" s="1">
        <v>10523.0</v>
      </c>
      <c r="B9882" s="3" t="s">
        <v>659</v>
      </c>
      <c r="C9882" s="3" t="str">
        <f>IFERROR(__xludf.DUMMYFUNCTION("GOOGLETRANSLATE(B9882,""id"",""en"")"),"['Application', 'Help']")</f>
        <v>['Application', 'Help']</v>
      </c>
      <c r="D9882" s="3">
        <v>5.0</v>
      </c>
    </row>
    <row r="9883" ht="15.75" customHeight="1">
      <c r="A9883" s="1">
        <v>10524.0</v>
      </c>
      <c r="B9883" s="3" t="s">
        <v>9475</v>
      </c>
      <c r="C9883" s="3" t="str">
        <f>IFERROR(__xludf.DUMMYFUNCTION("GOOGLETRANSLATE(B9883,""id"",""en"")"),"['apk', 'Damn', 'knpa', 'hbis',' update ',' screen ',' white ',' then ',' apk ',' bad luck ',' born ',' dikinggggggggggggggggggggggggggg")</f>
        <v>['apk', 'Damn', 'knpa', 'hbis',' update ',' screen ',' white ',' then ',' apk ',' bad luck ',' born ',' dikinggggggggggggggggggggggggggg</v>
      </c>
      <c r="D9883" s="3">
        <v>1.0</v>
      </c>
    </row>
    <row r="9884" ht="15.75" customHeight="1">
      <c r="A9884" s="1">
        <v>10525.0</v>
      </c>
      <c r="B9884" s="3" t="s">
        <v>592</v>
      </c>
      <c r="C9884" s="3" t="str">
        <f>IFERROR(__xludf.DUMMYFUNCTION("GOOGLETRANSLATE(B9884,""id"",""en"")"),"['Telkomsel']")</f>
        <v>['Telkomsel']</v>
      </c>
      <c r="D9884" s="3">
        <v>5.0</v>
      </c>
    </row>
    <row r="9885" ht="15.75" customHeight="1">
      <c r="A9885" s="1">
        <v>10527.0</v>
      </c>
      <c r="B9885" s="3" t="s">
        <v>9476</v>
      </c>
      <c r="C9885" s="3" t="str">
        <f>IFERROR(__xludf.DUMMYFUNCTION("GOOGLETRANSLATE(B9885,""id"",""en"")"),"['Paketan', 'get', 'access',' love ',' ngruff ',' package ',' pure ',' kalok ',' intention ',' gave ',' bother ',' give']")</f>
        <v>['Paketan', 'get', 'access',' love ',' ngruff ',' package ',' pure ',' kalok ',' intention ',' gave ',' bother ',' give']</v>
      </c>
      <c r="D9885" s="3">
        <v>1.0</v>
      </c>
    </row>
    <row r="9886" ht="15.75" customHeight="1">
      <c r="A9886" s="1">
        <v>10528.0</v>
      </c>
      <c r="B9886" s="3" t="s">
        <v>9477</v>
      </c>
      <c r="C9886" s="3" t="str">
        <f>IFERROR(__xludf.DUMMYFUNCTION("GOOGLETRANSLATE(B9886,""id"",""en"")"),"['Recommendation', 'Package', 'Data', 'Telkomsel', 'a month', 'cheap']")</f>
        <v>['Recommendation', 'Package', 'Data', 'Telkomsel', 'a month', 'cheap']</v>
      </c>
      <c r="D9886" s="3">
        <v>3.0</v>
      </c>
    </row>
    <row r="9887" ht="15.75" customHeight="1">
      <c r="A9887" s="1">
        <v>10529.0</v>
      </c>
      <c r="B9887" s="3" t="s">
        <v>9478</v>
      </c>
      <c r="C9887" s="3" t="str">
        <f>IFERROR(__xludf.DUMMYFUNCTION("GOOGLETRANSLATE(B9887,""id"",""en"")"),"['Mantul', 'pisan', 'fast', 'simple', 'practical', 'method', 'payment', 'purchase', 'pulses']")</f>
        <v>['Mantul', 'pisan', 'fast', 'simple', 'practical', 'method', 'payment', 'purchase', 'pulses']</v>
      </c>
      <c r="D9887" s="3">
        <v>5.0</v>
      </c>
    </row>
    <row r="9888" ht="15.75" customHeight="1">
      <c r="A9888" s="1">
        <v>10530.0</v>
      </c>
      <c r="B9888" s="3" t="s">
        <v>9479</v>
      </c>
      <c r="C9888" s="3" t="str">
        <f>IFERROR(__xludf.DUMMYFUNCTION("GOOGLETRANSLATE(B9888,""id"",""en"")"),"['Help', 'bonus', 'application', 'trmksh']")</f>
        <v>['Help', 'bonus', 'application', 'trmksh']</v>
      </c>
      <c r="D9888" s="3">
        <v>5.0</v>
      </c>
    </row>
    <row r="9889" ht="15.75" customHeight="1">
      <c r="A9889" s="1">
        <v>10531.0</v>
      </c>
      <c r="B9889" s="3" t="s">
        <v>9480</v>
      </c>
      <c r="C9889" s="3" t="str">
        <f>IFERROR(__xludf.DUMMYFUNCTION("GOOGLETRANSLATE(B9889,""id"",""en"")"),"['Download', 'Telkomsel', 'version', 'Google', 'Uninstall', 'Application', 'Experience', 'Blank', 'White', 'Update', 'Downloaded', 'Telkomsel', ' version ',' install ',' update ',' ignore ',' smpai ',' normal ',' version ',' hope ',' useful ',' thank ',' "&amp;"love ', ""]")</f>
        <v>['Download', 'Telkomsel', 'version', 'Google', 'Uninstall', 'Application', 'Experience', 'Blank', 'White', 'Update', 'Downloaded', 'Telkomsel', ' version ',' install ',' update ',' ignore ',' smpai ',' normal ',' version ',' hope ',' useful ',' thank ',' love ', "]</v>
      </c>
      <c r="D9889" s="3">
        <v>3.0</v>
      </c>
    </row>
    <row r="9890" ht="15.75" customHeight="1">
      <c r="A9890" s="1">
        <v>10532.0</v>
      </c>
      <c r="B9890" s="3" t="s">
        <v>9481</v>
      </c>
      <c r="C9890" s="3" t="str">
        <f>IFERROR(__xludf.DUMMYFUNCTION("GOOGLETRANSLATE(B9890,""id"",""en"")"),"['bad', 'system', 'service', 'detrimental', 'user']")</f>
        <v>['bad', 'system', 'service', 'detrimental', 'user']</v>
      </c>
      <c r="D9890" s="3">
        <v>1.0</v>
      </c>
    </row>
    <row r="9891" ht="15.75" customHeight="1">
      <c r="A9891" s="1">
        <v>10533.0</v>
      </c>
      <c r="B9891" s="3" t="s">
        <v>3296</v>
      </c>
      <c r="C9891" s="3" t="str">
        <f>IFERROR(__xludf.DUMMYFUNCTION("GOOGLETRANSLATE(B9891,""id"",""en"")"),"['Network error']")</f>
        <v>['Network error']</v>
      </c>
      <c r="D9891" s="3">
        <v>1.0</v>
      </c>
    </row>
    <row r="9892" ht="15.75" customHeight="1">
      <c r="A9892" s="1">
        <v>10534.0</v>
      </c>
      <c r="B9892" s="3" t="s">
        <v>9482</v>
      </c>
      <c r="C9892" s="3" t="str">
        <f>IFERROR(__xludf.DUMMYFUNCTION("GOOGLETRANSLATE(B9892,""id"",""en"")"),"['Satisfied', 'TPI', 'Cheap']")</f>
        <v>['Satisfied', 'TPI', 'Cheap']</v>
      </c>
      <c r="D9892" s="3">
        <v>4.0</v>
      </c>
    </row>
    <row r="9893" ht="15.75" customHeight="1">
      <c r="A9893" s="1">
        <v>10535.0</v>
      </c>
      <c r="B9893" s="3" t="s">
        <v>9483</v>
      </c>
      <c r="C9893" s="3" t="str">
        <f>IFERROR(__xludf.DUMMYFUNCTION("GOOGLETRANSLATE(B9893,""id"",""en"")"),"['Steady', 'package']")</f>
        <v>['Steady', 'package']</v>
      </c>
      <c r="D9893" s="3">
        <v>5.0</v>
      </c>
    </row>
    <row r="9894" ht="15.75" customHeight="1">
      <c r="A9894" s="1">
        <v>10536.0</v>
      </c>
      <c r="B9894" s="3" t="s">
        <v>9484</v>
      </c>
      <c r="C9894" s="3" t="str">
        <f>IFERROR(__xludf.DUMMYFUNCTION("GOOGLETRANSLATE(B9894,""id"",""en"")"),"['Telkomsel', 'trouble', 'package', 'expensive', 'trouble', 'stable', 'cloud', 'little', 'signal', 'difficult', 'comfortable', 'Telkomsel', ' operator ',' signal ',' good ',' cloudy ',' surprised ',' increase ',' trouble ',' regret ',' Telkomsel ',' mendi"&amp;"ng ',' stable ',' signal ']")</f>
        <v>['Telkomsel', 'trouble', 'package', 'expensive', 'trouble', 'stable', 'cloud', 'little', 'signal', 'difficult', 'comfortable', 'Telkomsel', ' operator ',' signal ',' good ',' cloudy ',' surprised ',' increase ',' trouble ',' regret ',' Telkomsel ',' mending ',' stable ',' signal ']</v>
      </c>
      <c r="D9894" s="3">
        <v>1.0</v>
      </c>
    </row>
    <row r="9895" ht="15.75" customHeight="1">
      <c r="A9895" s="1">
        <v>10537.0</v>
      </c>
      <c r="B9895" s="3" t="s">
        <v>9485</v>
      </c>
      <c r="C9895" s="3" t="str">
        <f>IFERROR(__xludf.DUMMYFUNCTION("GOOGLETRANSLATE(B9895,""id"",""en"")"),"['Application', 'Telkomsel', 'Bukak', 'already', 'Install', 'reset', 'Please', 'explanation', ""]")</f>
        <v>['Application', 'Telkomsel', 'Bukak', 'already', 'Install', 'reset', 'Please', 'explanation', "]</v>
      </c>
      <c r="D9895" s="3">
        <v>2.0</v>
      </c>
    </row>
    <row r="9896" ht="15.75" customHeight="1">
      <c r="A9896" s="1">
        <v>10538.0</v>
      </c>
      <c r="B9896" s="3" t="s">
        <v>9486</v>
      </c>
      <c r="C9896" s="3" t="str">
        <f>IFERROR(__xludf.DUMMYFUNCTION("GOOGLETRANSLATE(B9896,""id"",""en"")"),"['Telkomsel', 'ngeselin', 'network', 'slow', 'package', 'expensive', 'expensive', 'love', 'star', 'hope', 'compete', 'customer']")</f>
        <v>['Telkomsel', 'ngeselin', 'network', 'slow', 'package', 'expensive', 'expensive', 'love', 'star', 'hope', 'compete', 'customer']</v>
      </c>
      <c r="D9896" s="3">
        <v>5.0</v>
      </c>
    </row>
    <row r="9897" ht="15.75" customHeight="1">
      <c r="A9897" s="1">
        <v>10539.0</v>
      </c>
      <c r="B9897" s="3" t="s">
        <v>9487</v>
      </c>
      <c r="C9897" s="3" t="str">
        <f>IFERROR(__xludf.DUMMYFUNCTION("GOOGLETRANSLATE(B9897,""id"",""en"")"),"['Min', 'Open', 'Application', 'Color', 'White', 'Doang', 'TRS', 'HBS', ""]")</f>
        <v>['Min', 'Open', 'Application', 'Color', 'White', 'Doang', 'TRS', 'HBS', "]</v>
      </c>
      <c r="D9897" s="3">
        <v>2.0</v>
      </c>
    </row>
    <row r="9898" ht="15.75" customHeight="1">
      <c r="A9898" s="1">
        <v>10540.0</v>
      </c>
      <c r="B9898" s="3" t="s">
        <v>9488</v>
      </c>
      <c r="C9898" s="3" t="str">
        <f>IFERROR(__xludf.DUMMYFUNCTION("GOOGLETRANSLATE(B9898,""id"",""en"")"),"['Telkomsel', 'bad', 'make', 'unlimitid', 'thousand', 'play', 'game', 'kapok', 'telkomsel']")</f>
        <v>['Telkomsel', 'bad', 'make', 'unlimitid', 'thousand', 'play', 'game', 'kapok', 'telkomsel']</v>
      </c>
      <c r="D9898" s="3">
        <v>1.0</v>
      </c>
    </row>
    <row r="9899" ht="15.75" customHeight="1">
      <c r="A9899" s="1">
        <v>10542.0</v>
      </c>
      <c r="B9899" s="3" t="s">
        <v>9489</v>
      </c>
      <c r="C9899" s="3" t="str">
        <f>IFERROR(__xludf.DUMMYFUNCTION("GOOGLETRANSLATE(B9899,""id"",""en"")"),"['hope', 'then', 'easy', 'in', 'transaction', 'lbih', 'promo', 'interesting', 'cheap']")</f>
        <v>['hope', 'then', 'easy', 'in', 'transaction', 'lbih', 'promo', 'interesting', 'cheap']</v>
      </c>
      <c r="D9899" s="3">
        <v>5.0</v>
      </c>
    </row>
    <row r="9900" ht="15.75" customHeight="1">
      <c r="A9900" s="1">
        <v>10544.0</v>
      </c>
      <c r="B9900" s="3" t="s">
        <v>9490</v>
      </c>
      <c r="C9900" s="3" t="str">
        <f>IFERROR(__xludf.DUMMYFUNCTION("GOOGLETRANSLATE(B9900,""id"",""en"")"),"['Telkomsel', 'knpaa', 'please', 'entered', 'gabisa', 'bsaa', 'knpaa', 'what', 'carnaa', 'gimanaa', ""]")</f>
        <v>['Telkomsel', 'knpaa', 'please', 'entered', 'gabisa', 'bsaa', 'knpaa', 'what', 'carnaa', 'gimanaa', "]</v>
      </c>
      <c r="D9900" s="3">
        <v>1.0</v>
      </c>
    </row>
    <row r="9901" ht="15.75" customHeight="1">
      <c r="A9901" s="1">
        <v>10546.0</v>
      </c>
      <c r="B9901" s="3" t="s">
        <v>9491</v>
      </c>
      <c r="C9901" s="3" t="str">
        <f>IFERROR(__xludf.DUMMYFUNCTION("GOOGLETRANSLATE(B9901,""id"",""en"")"),"['', 'good', 'bnyak', 'surprise', 'success', 'SLALLU', 'Telkomsel']")</f>
        <v>['', 'good', 'bnyak', 'surprise', 'success', 'SLALLU', 'Telkomsel']</v>
      </c>
      <c r="D9901" s="3">
        <v>5.0</v>
      </c>
    </row>
    <row r="9902" ht="15.75" customHeight="1">
      <c r="A9902" s="1">
        <v>10548.0</v>
      </c>
      <c r="B9902" s="3" t="s">
        <v>9492</v>
      </c>
      <c r="C9902" s="3" t="str">
        <f>IFERROR(__xludf.DUMMYFUNCTION("GOOGLETRANSLATE(B9902,""id"",""en"")"),"['Dahlah', 'quota', 'internet', 'pulse', 'sucked', 'network', 'setabilia', ""]")</f>
        <v>['Dahlah', 'quota', 'internet', 'pulse', 'sucked', 'network', 'setabilia', "]</v>
      </c>
      <c r="D9902" s="3">
        <v>2.0</v>
      </c>
    </row>
    <row r="9903" ht="15.75" customHeight="1">
      <c r="A9903" s="1">
        <v>10549.0</v>
      </c>
      <c r="B9903" s="3" t="s">
        <v>9493</v>
      </c>
      <c r="C9903" s="3" t="str">
        <f>IFERROR(__xludf.DUMMYFUNCTION("GOOGLETRANSLATE(B9903,""id"",""en"")"),"['Open', 'Samsung', '']")</f>
        <v>['Open', 'Samsung', '']</v>
      </c>
      <c r="D9903" s="3">
        <v>1.0</v>
      </c>
    </row>
    <row r="9904" ht="15.75" customHeight="1">
      <c r="A9904" s="1">
        <v>10550.0</v>
      </c>
      <c r="B9904" s="3" t="s">
        <v>9494</v>
      </c>
      <c r="C9904" s="3" t="str">
        <f>IFERROR(__xludf.DUMMYFUNCTION("GOOGLETRANSLATE(B9904,""id"",""en"")"),"['Good', 'signal', 'Ngdrop', 'Mulu', 'Apes', 'buy', 'Telkomsel']")</f>
        <v>['Good', 'signal', 'Ngdrop', 'Mulu', 'Apes', 'buy', 'Telkomsel']</v>
      </c>
      <c r="D9904" s="3">
        <v>1.0</v>
      </c>
    </row>
    <row r="9905" ht="15.75" customHeight="1">
      <c r="A9905" s="1">
        <v>10551.0</v>
      </c>
      <c r="B9905" s="3" t="s">
        <v>9495</v>
      </c>
      <c r="C9905" s="3" t="str">
        <f>IFERROR(__xludf.DUMMYFUNCTION("GOOGLETRANSLATE(B9905,""id"",""en"")"),"['Help', 'just', 'sometimes', 'Error', 'annoying']")</f>
        <v>['Help', 'just', 'sometimes', 'Error', 'annoying']</v>
      </c>
      <c r="D9905" s="3">
        <v>4.0</v>
      </c>
    </row>
    <row r="9906" ht="15.75" customHeight="1">
      <c r="A9906" s="1">
        <v>10552.0</v>
      </c>
      <c r="B9906" s="3" t="s">
        <v>9496</v>
      </c>
      <c r="C9906" s="3" t="str">
        <f>IFERROR(__xludf.DUMMYFUNCTION("GOOGLETRANSLATE(B9906,""id"",""en"")"),"['Please', 'see', 'Telkomsel', 'begitted', 'application', 'please', 'as soon as possible', 'fix', 'delete', 'waiting', 'to repair']")</f>
        <v>['Please', 'see', 'Telkomsel', 'begitted', 'application', 'please', 'as soon as possible', 'fix', 'delete', 'waiting', 'to repair']</v>
      </c>
      <c r="D9906" s="3">
        <v>1.0</v>
      </c>
    </row>
    <row r="9907" ht="15.75" customHeight="1">
      <c r="A9907" s="1">
        <v>10553.0</v>
      </c>
      <c r="B9907" s="3" t="s">
        <v>9497</v>
      </c>
      <c r="C9907" s="3" t="str">
        <f>IFERROR(__xludf.DUMMYFUNCTION("GOOGLETRANSLATE(B9907,""id"",""en"")"),"['Disappointed', 'Telkomsel', 'already', 'pulses', 'sucked', 'Ama', 'APK']")</f>
        <v>['Disappointed', 'Telkomsel', 'already', 'pulses', 'sucked', 'Ama', 'APK']</v>
      </c>
      <c r="D9907" s="3">
        <v>1.0</v>
      </c>
    </row>
    <row r="9908" ht="15.75" customHeight="1">
      <c r="A9908" s="1">
        <v>10554.0</v>
      </c>
      <c r="B9908" s="3" t="s">
        <v>9498</v>
      </c>
      <c r="C9908" s="3" t="str">
        <f>IFERROR(__xludf.DUMMYFUNCTION("GOOGLETRANSLATE(B9908,""id"",""en"")"),"['App', 'Good', '']")</f>
        <v>['App', 'Good', '']</v>
      </c>
      <c r="D9908" s="3">
        <v>4.0</v>
      </c>
    </row>
    <row r="9909" ht="15.75" customHeight="1">
      <c r="A9909" s="1">
        <v>10555.0</v>
      </c>
      <c r="B9909" s="3" t="s">
        <v>9499</v>
      </c>
      <c r="C9909" s="3" t="str">
        <f>IFERROR(__xludf.DUMMYFUNCTION("GOOGLETRANSLATE(B9909,""id"",""en"")"),"['Current', 'really', 'satisfying', 'service', 'tks', '']")</f>
        <v>['Current', 'really', 'satisfying', 'service', 'tks', '']</v>
      </c>
      <c r="D9909" s="3">
        <v>5.0</v>
      </c>
    </row>
    <row r="9910" ht="15.75" customHeight="1">
      <c r="A9910" s="1">
        <v>10556.0</v>
      </c>
      <c r="B9910" s="3" t="s">
        <v>9500</v>
      </c>
      <c r="C9910" s="3" t="str">
        <f>IFERROR(__xludf.DUMMYFUNCTION("GOOGLETRANSLATE(B9910,""id"",""en"")"),"['base', 'card', 'bajainagn', 'mending', 'Telkomsel', 'Disband', 'Telkomsel', 'usually', 'lag', 'doang', 'cave', 'loss',' Gara ',' Gara ',' Telkomsel ',' Telkomsel ',' Reply ',' Telkomsel ',' Menting ',' Money ',' Care ',' User ',' Basic ',' Telkomsel ','"&amp;" Dajjal ' , 'Loss', 'Doang']")</f>
        <v>['base', 'card', 'bajainagn', 'mending', 'Telkomsel', 'Disband', 'Telkomsel', 'usually', 'lag', 'doang', 'cave', 'loss',' Gara ',' Gara ',' Telkomsel ',' Telkomsel ',' Reply ',' Telkomsel ',' Menting ',' Money ',' Care ',' User ',' Basic ',' Telkomsel ',' Dajjal ' , 'Loss', 'Doang']</v>
      </c>
      <c r="D9910" s="3">
        <v>1.0</v>
      </c>
    </row>
    <row r="9911" ht="15.75" customHeight="1">
      <c r="A9911" s="1">
        <v>10557.0</v>
      </c>
      <c r="B9911" s="3" t="s">
        <v>9501</v>
      </c>
      <c r="C9911" s="3" t="str">
        <f>IFERROR(__xludf.DUMMYFUNCTION("GOOGLETRANSLATE(B9911,""id"",""en"")"),"['gymna', 'min', 'buy', 'kouta', 'use', 'udh', 'run out', 'gunain', 'please', 'response']")</f>
        <v>['gymna', 'min', 'buy', 'kouta', 'use', 'udh', 'run out', 'gunain', 'please', 'response']</v>
      </c>
      <c r="D9911" s="3">
        <v>1.0</v>
      </c>
    </row>
    <row r="9912" ht="15.75" customHeight="1">
      <c r="A9912" s="1">
        <v>10558.0</v>
      </c>
      <c r="B9912" s="3" t="s">
        <v>9502</v>
      </c>
      <c r="C9912" s="3" t="str">
        <f>IFERROR(__xludf.DUMMYFUNCTION("GOOGLETRANSLATE(B9912,""id"",""en"")"),"['Increases', 'Quality', '']")</f>
        <v>['Increases', 'Quality', '']</v>
      </c>
      <c r="D9912" s="3">
        <v>5.0</v>
      </c>
    </row>
    <row r="9913" ht="15.75" customHeight="1">
      <c r="A9913" s="1">
        <v>10559.0</v>
      </c>
      <c r="B9913" s="3" t="s">
        <v>9503</v>
      </c>
      <c r="C9913" s="3" t="str">
        <f>IFERROR(__xludf.DUMMYFUNCTION("GOOGLETRANSLATE(B9913,""id"",""en"")"),"['open', 'repair', 'please', 'info', 'thks']")</f>
        <v>['open', 'repair', 'please', 'info', 'thks']</v>
      </c>
      <c r="D9913" s="3">
        <v>2.0</v>
      </c>
    </row>
    <row r="9914" ht="15.75" customHeight="1">
      <c r="A9914" s="1">
        <v>10560.0</v>
      </c>
      <c r="B9914" s="3" t="s">
        <v>9504</v>
      </c>
      <c r="C9914" s="3" t="str">
        <f>IFERROR(__xludf.DUMMYFUNCTION("GOOGLETRANSLATE(B9914,""id"",""en"")"),"['Knp', 'right', 'open', 'application', 'Telkomsel', 'opened', 'week']")</f>
        <v>['Knp', 'right', 'open', 'application', 'Telkomsel', 'opened', 'week']</v>
      </c>
      <c r="D9914" s="3">
        <v>4.0</v>
      </c>
    </row>
    <row r="9915" ht="15.75" customHeight="1">
      <c r="A9915" s="1">
        <v>10561.0</v>
      </c>
      <c r="B9915" s="3" t="s">
        <v>9505</v>
      </c>
      <c r="C9915" s="3" t="str">
        <f>IFERROR(__xludf.DUMMYFUNCTION("GOOGLETRANSLATE(B9915,""id"",""en"")"),"['tariff', 'package', 'change', '']")</f>
        <v>['tariff', 'package', 'change', '']</v>
      </c>
      <c r="D9915" s="3">
        <v>5.0</v>
      </c>
    </row>
    <row r="9916" ht="15.75" customHeight="1">
      <c r="A9916" s="1">
        <v>10562.0</v>
      </c>
      <c r="B9916" s="3" t="s">
        <v>9506</v>
      </c>
      <c r="C9916" s="3" t="str">
        <f>IFERROR(__xludf.DUMMYFUNCTION("GOOGLETRANSLATE(B9916,""id"",""en"")"),"['opened', 'the application', 'already', 'use', 'error', 'blank', 'screen', 'colored', 'white', 'please', 'kak', 'delete', ' Install ',' Login ',' ']")</f>
        <v>['opened', 'the application', 'already', 'use', 'error', 'blank', 'screen', 'colored', 'white', 'please', 'kak', 'delete', ' Install ',' Login ',' ']</v>
      </c>
      <c r="D9916" s="3">
        <v>1.0</v>
      </c>
    </row>
    <row r="9917" ht="15.75" customHeight="1">
      <c r="A9917" s="1">
        <v>10563.0</v>
      </c>
      <c r="B9917" s="3" t="s">
        <v>9507</v>
      </c>
      <c r="C9917" s="3" t="str">
        <f>IFERROR(__xludf.DUMMYFUNCTION("GOOGLETRANSLATE(B9917,""id"",""en"")"),"['Please', 'Maintance', 'App', 'Loading', 'SGT', 'Ngebug', 'Contents',' Package ',' Use ',' WiFi ',' Like ',' Ngebug ',' Loading ',' really ',' ']")</f>
        <v>['Please', 'Maintance', 'App', 'Loading', 'SGT', 'Ngebug', 'Contents',' Package ',' Use ',' WiFi ',' Like ',' Ngebug ',' Loading ',' really ',' ']</v>
      </c>
      <c r="D9917" s="3">
        <v>1.0</v>
      </c>
    </row>
    <row r="9918" ht="15.75" customHeight="1">
      <c r="A9918" s="1">
        <v>10564.0</v>
      </c>
      <c r="B9918" s="3" t="s">
        <v>9508</v>
      </c>
      <c r="C9918" s="3" t="str">
        <f>IFERROR(__xludf.DUMMYFUNCTION("GOOGLETRANSLATE(B9918,""id"",""en"")"),"['Honey', 'bonus', 'quota']")</f>
        <v>['Honey', 'bonus', 'quota']</v>
      </c>
      <c r="D9918" s="3">
        <v>4.0</v>
      </c>
    </row>
    <row r="9919" ht="15.75" customHeight="1">
      <c r="A9919" s="1">
        <v>10565.0</v>
      </c>
      <c r="B9919" s="3" t="s">
        <v>9509</v>
      </c>
      <c r="C9919" s="3" t="str">
        <f>IFERROR(__xludf.DUMMYFUNCTION("GOOGLETRANSLATE(B9919,""id"",""en"")"),"['concept', 'YouTube', 'Unlimited', 'Kouta', 'Way', 'Why', 'Why', 'Capitalist']")</f>
        <v>['concept', 'YouTube', 'Unlimited', 'Kouta', 'Way', 'Why', 'Why', 'Capitalist']</v>
      </c>
      <c r="D9919" s="3">
        <v>1.0</v>
      </c>
    </row>
    <row r="9920" ht="15.75" customHeight="1">
      <c r="A9920" s="1">
        <v>10566.0</v>
      </c>
      <c r="B9920" s="3" t="s">
        <v>9510</v>
      </c>
      <c r="C9920" s="3" t="str">
        <f>IFERROR(__xludf.DUMMYFUNCTION("GOOGLETRANSLATE(B9920,""id"",""en"")"),"['Customer', 'Telkomsel', 'Sampe', 'skrg', 'here', 'disappointing']")</f>
        <v>['Customer', 'Telkomsel', 'Sampe', 'skrg', 'here', 'disappointing']</v>
      </c>
      <c r="D9920" s="3">
        <v>1.0</v>
      </c>
    </row>
    <row r="9921" ht="15.75" customHeight="1">
      <c r="A9921" s="1">
        <v>10567.0</v>
      </c>
      <c r="B9921" s="3" t="s">
        <v>9511</v>
      </c>
      <c r="C9921" s="3" t="str">
        <f>IFERROR(__xludf.DUMMYFUNCTION("GOOGLETRANSLATE(B9921,""id"",""en"")"),"['Network', 'enhanced']")</f>
        <v>['Network', 'enhanced']</v>
      </c>
      <c r="D9921" s="3">
        <v>4.0</v>
      </c>
    </row>
    <row r="9922" ht="15.75" customHeight="1">
      <c r="A9922" s="1">
        <v>10568.0</v>
      </c>
      <c r="B9922" s="3" t="s">
        <v>9512</v>
      </c>
      <c r="C9922" s="3" t="str">
        <f>IFERROR(__xludf.DUMMYFUNCTION("GOOGLETRANSLATE(B9922,""id"",""en"")"),"['Applikasih', 'Hao', 'Hao', 'Over', 'Use', 'Telkomsel', 'Try', 'Already', 'Like', 'Look', 'Play', 'Cut', ' pulses', 'people', 'money', 'search', 'halal', 'haram', 'pig']")</f>
        <v>['Applikasih', 'Hao', 'Hao', 'Over', 'Use', 'Telkomsel', 'Try', 'Already', 'Like', 'Look', 'Play', 'Cut', ' pulses', 'people', 'money', 'search', 'halal', 'haram', 'pig']</v>
      </c>
      <c r="D9922" s="3">
        <v>1.0</v>
      </c>
    </row>
    <row r="9923" ht="15.75" customHeight="1">
      <c r="A9923" s="1">
        <v>10569.0</v>
      </c>
      <c r="B9923" s="3" t="s">
        <v>9513</v>
      </c>
      <c r="C9923" s="3" t="str">
        <f>IFERROR(__xludf.DUMMYFUNCTION("GOOGLETRANSLATE(B9923,""id"",""en"")"),"['Telkomsel', 'help', 'in', 'charging', 'package', '']")</f>
        <v>['Telkomsel', 'help', 'in', 'charging', 'package', '']</v>
      </c>
      <c r="D9923" s="3">
        <v>4.0</v>
      </c>
    </row>
    <row r="9924" ht="15.75" customHeight="1">
      <c r="A9924" s="1">
        <v>10571.0</v>
      </c>
      <c r="B9924" s="3" t="s">
        <v>9514</v>
      </c>
      <c r="C9924" s="3" t="str">
        <f>IFERROR(__xludf.DUMMYFUNCTION("GOOGLETRANSLATE(B9924,""id"",""en"")"),"['', 'entered', 'MyTelkomsel', 'Please', 'the solution', 'tmksh', ""]")</f>
        <v>['', 'entered', 'MyTelkomsel', 'Please', 'the solution', 'tmksh', "]</v>
      </c>
      <c r="D9924" s="3">
        <v>1.0</v>
      </c>
    </row>
    <row r="9925" ht="15.75" customHeight="1">
      <c r="A9925" s="1">
        <v>10573.0</v>
      </c>
      <c r="B9925" s="3" t="s">
        <v>9515</v>
      </c>
      <c r="C9925" s="3" t="str">
        <f>IFERROR(__xludf.DUMMYFUNCTION("GOOGLETRANSLATE(B9925,""id"",""en"")"),"['Steady', 'Place', 'Tower', 'Telkomsel', 'The Network', 'Embossed', 'Sinking']")</f>
        <v>['Steady', 'Place', 'Tower', 'Telkomsel', 'The Network', 'Embossed', 'Sinking']</v>
      </c>
      <c r="D9925" s="3">
        <v>5.0</v>
      </c>
    </row>
    <row r="9926" ht="15.75" customHeight="1">
      <c r="A9926" s="1">
        <v>10574.0</v>
      </c>
      <c r="B9926" s="3" t="s">
        <v>9516</v>
      </c>
      <c r="C9926" s="3" t="str">
        <f>IFERROR(__xludf.DUMMYFUNCTION("GOOGLETRANSLATE(B9926,""id"",""en"")"),"['Help', 'makes it easy']")</f>
        <v>['Help', 'makes it easy']</v>
      </c>
      <c r="D9926" s="3">
        <v>4.0</v>
      </c>
    </row>
    <row r="9927" ht="15.75" customHeight="1">
      <c r="A9927" s="1">
        <v>10575.0</v>
      </c>
      <c r="B9927" s="3" t="s">
        <v>9517</v>
      </c>
      <c r="C9927" s="3" t="str">
        <f>IFERROR(__xludf.DUMMYFUNCTION("GOOGLETRANSLATE(B9927,""id"",""en"")"),"['Tenyata', 'Access',' Application ',' Telkomsel ',' December ',' Telkomsel ',' Customer ',' Faithful ',' Telkomsel ',' Survive ',' Hampit ',' Thn ',' JDI ',' customers', 'Telkomsel', 'experience', 'special', 'service', 'oprator', 'cheap', 'bonus',' acces"&amp;"s', 'fast', 'Sangaaa', 'disappointed' , '']")</f>
        <v>['Tenyata', 'Access',' Application ',' Telkomsel ',' December ',' Telkomsel ',' Customer ',' Faithful ',' Telkomsel ',' Survive ',' Hampit ',' Thn ',' JDI ',' customers', 'Telkomsel', 'experience', 'special', 'service', 'oprator', 'cheap', 'bonus',' access', 'fast', 'Sangaaa', 'disappointed' , '']</v>
      </c>
      <c r="D9927" s="3">
        <v>1.0</v>
      </c>
    </row>
    <row r="9928" ht="15.75" customHeight="1">
      <c r="A9928" s="1">
        <v>10576.0</v>
      </c>
      <c r="B9928" s="3" t="s">
        <v>9518</v>
      </c>
      <c r="C9928" s="3" t="str">
        <f>IFERROR(__xludf.DUMMYFUNCTION("GOOGLETRANSLATE(B9928,""id"",""en"")"),"['Application', 'Blank', 'White', 'Service', 'BUMN', 'ACAP', 'TIMES', 'BAD', 'Private', ""]")</f>
        <v>['Application', 'Blank', 'White', 'Service', 'BUMN', 'ACAP', 'TIMES', 'BAD', 'Private', "]</v>
      </c>
      <c r="D9928" s="3">
        <v>1.0</v>
      </c>
    </row>
    <row r="9929" ht="15.75" customHeight="1">
      <c r="A9929" s="1">
        <v>10577.0</v>
      </c>
      <c r="B9929" s="3" t="s">
        <v>2892</v>
      </c>
      <c r="C9929" s="3" t="str">
        <f>IFERROR(__xludf.DUMMYFUNCTION("GOOGLETRANSLATE(B9929,""id"",""en"")"),"['Application', 'difficult', 'open']")</f>
        <v>['Application', 'difficult', 'open']</v>
      </c>
      <c r="D9929" s="3">
        <v>3.0</v>
      </c>
    </row>
    <row r="9930" ht="15.75" customHeight="1">
      <c r="A9930" s="1">
        <v>10578.0</v>
      </c>
      <c r="B9930" s="3" t="s">
        <v>9519</v>
      </c>
      <c r="C9930" s="3" t="str">
        <f>IFERROR(__xludf.DUMMYFUNCTION("GOOGLETRANSLATE(B9930,""id"",""en"")"),"['Needles']")</f>
        <v>['Needles']</v>
      </c>
      <c r="D9930" s="3">
        <v>5.0</v>
      </c>
    </row>
    <row r="9931" ht="15.75" customHeight="1">
      <c r="A9931" s="1">
        <v>10579.0</v>
      </c>
      <c r="B9931" s="3" t="s">
        <v>9520</v>
      </c>
      <c r="C9931" s="3" t="str">
        <f>IFERROR(__xludf.DUMMYFUNCTION("GOOGLETRANSLATE(B9931,""id"",""en"")"),"['Internet', 'strong', 'play', 'game', 'jdi', 'nge', 'Lack', 'then']")</f>
        <v>['Internet', 'strong', 'play', 'game', 'jdi', 'nge', 'Lack', 'then']</v>
      </c>
      <c r="D9931" s="3">
        <v>1.0</v>
      </c>
    </row>
    <row r="9932" ht="15.75" customHeight="1">
      <c r="A9932" s="1">
        <v>10580.0</v>
      </c>
      <c r="B9932" s="3" t="s">
        <v>5232</v>
      </c>
      <c r="C9932" s="3" t="str">
        <f>IFERROR(__xludf.DUMMYFUNCTION("GOOGLETRANSLATE(B9932,""id"",""en"")"),"['Package', 'cheap']")</f>
        <v>['Package', 'cheap']</v>
      </c>
      <c r="D9932" s="3">
        <v>1.0</v>
      </c>
    </row>
    <row r="9933" ht="15.75" customHeight="1">
      <c r="A9933" s="1">
        <v>10581.0</v>
      </c>
      <c r="B9933" s="3" t="s">
        <v>619</v>
      </c>
      <c r="C9933" s="3" t="str">
        <f>IFERROR(__xludf.DUMMYFUNCTION("GOOGLETRANSLATE(B9933,""id"",""en"")"),"['Good', 'help']")</f>
        <v>['Good', 'help']</v>
      </c>
      <c r="D9933" s="3">
        <v>5.0</v>
      </c>
    </row>
    <row r="9934" ht="15.75" customHeight="1">
      <c r="A9934" s="1">
        <v>10582.0</v>
      </c>
      <c r="B9934" s="3" t="s">
        <v>9521</v>
      </c>
      <c r="C9934" s="3" t="str">
        <f>IFERROR(__xludf.DUMMYFUNCTION("GOOGLETRANSLATE(B9934,""id"",""en"")"),"['user', 'loyal', 'Telkomsel']")</f>
        <v>['user', 'loyal', 'Telkomsel']</v>
      </c>
      <c r="D9934" s="3">
        <v>5.0</v>
      </c>
    </row>
    <row r="9935" ht="15.75" customHeight="1">
      <c r="A9935" s="1">
        <v>10583.0</v>
      </c>
      <c r="B9935" s="3" t="s">
        <v>9522</v>
      </c>
      <c r="C9935" s="3" t="str">
        <f>IFERROR(__xludf.DUMMYFUNCTION("GOOGLETRANSLATE(B9935,""id"",""en"")"),"['pulse', 'pull', 'package', 'napa']")</f>
        <v>['pulse', 'pull', 'package', 'napa']</v>
      </c>
      <c r="D9935" s="3">
        <v>3.0</v>
      </c>
    </row>
    <row r="9936" ht="15.75" customHeight="1">
      <c r="A9936" s="1">
        <v>10584.0</v>
      </c>
      <c r="B9936" s="3" t="s">
        <v>9523</v>
      </c>
      <c r="C9936" s="3" t="str">
        <f>IFERROR(__xludf.DUMMYFUNCTION("GOOGLETRANSLATE(B9936,""id"",""en"")"),"['signal', 'Telkomsel', 'slow', 'quota', 'above', 'GB', 'Please', ""]")</f>
        <v>['signal', 'Telkomsel', 'slow', 'quota', 'above', 'GB', 'Please', "]</v>
      </c>
      <c r="D9936" s="3">
        <v>1.0</v>
      </c>
    </row>
    <row r="9937" ht="15.75" customHeight="1">
      <c r="A9937" s="1">
        <v>10585.0</v>
      </c>
      <c r="B9937" s="3" t="s">
        <v>9524</v>
      </c>
      <c r="C9937" s="3" t="str">
        <f>IFERROR(__xludf.DUMMYFUNCTION("GOOGLETRANSLATE(B9937,""id"",""en"")"),"['Basic', 'Telkomsial', 'Price', 'Package', 'Ride', 'Use', 'Limit', 'Use', 'Network', 'Ngelag', 'Severe', 'Kimak', ' Kimak ']")</f>
        <v>['Basic', 'Telkomsial', 'Price', 'Package', 'Ride', 'Use', 'Limit', 'Use', 'Network', 'Ngelag', 'Severe', 'Kimak', ' Kimak ']</v>
      </c>
      <c r="D9937" s="3">
        <v>1.0</v>
      </c>
    </row>
    <row r="9938" ht="15.75" customHeight="1">
      <c r="A9938" s="1">
        <v>10586.0</v>
      </c>
      <c r="B9938" s="3" t="s">
        <v>9525</v>
      </c>
      <c r="C9938" s="3" t="str">
        <f>IFERROR(__xludf.DUMMYFUNCTION("GOOGLETRANSLATE(B9938,""id"",""en"")"),"['Disappointed', 'Telkomsel', 'Tawarin', 'Card', 'Hello', 'Marketing', 'Tel', 'Marketing', 'Postpaid', 'Prepaid', 'Ingn', 'Move', ' Prepaid ',' Save ',' wasteful ',' aka ',' permanet ',' closed ',' card ',' die ',' card ',' dozens', 'disappointed', 'his n"&amp;"ame', 'fraud' , 'Marketing', 'Telkomsel', 'cheater', ""]")</f>
        <v>['Disappointed', 'Telkomsel', 'Tawarin', 'Card', 'Hello', 'Marketing', 'Tel', 'Marketing', 'Postpaid', 'Prepaid', 'Ingn', 'Move', ' Prepaid ',' Save ',' wasteful ',' aka ',' permanet ',' closed ',' card ',' die ',' card ',' dozens', 'disappointed', 'his name', 'fraud' , 'Marketing', 'Telkomsel', 'cheater', "]</v>
      </c>
      <c r="D9938" s="3">
        <v>1.0</v>
      </c>
    </row>
    <row r="9939" ht="15.75" customHeight="1">
      <c r="A9939" s="1">
        <v>10588.0</v>
      </c>
      <c r="B9939" s="3" t="s">
        <v>9526</v>
      </c>
      <c r="C9939" s="3" t="str">
        <f>IFERROR(__xludf.DUMMYFUNCTION("GOOGLETRANSLATE(B9939,""id"",""en"")"),"['koq', 'fast', 'run out', 'fast', 'run out', 'package']")</f>
        <v>['koq', 'fast', 'run out', 'fast', 'run out', 'package']</v>
      </c>
      <c r="D9939" s="3">
        <v>5.0</v>
      </c>
    </row>
    <row r="9940" ht="15.75" customHeight="1">
      <c r="A9940" s="1">
        <v>10589.0</v>
      </c>
      <c r="B9940" s="3" t="s">
        <v>9527</v>
      </c>
      <c r="C9940" s="3" t="str">
        <f>IFERROR(__xludf.DUMMYFUNCTION("GOOGLETRANSLATE(B9940,""id"",""en"")"),"['Please', 'Network', 'Loding', '']")</f>
        <v>['Please', 'Network', 'Loding', '']</v>
      </c>
      <c r="D9940" s="3">
        <v>1.0</v>
      </c>
    </row>
    <row r="9941" ht="15.75" customHeight="1">
      <c r="A9941" s="1">
        <v>10590.0</v>
      </c>
      <c r="B9941" s="3" t="s">
        <v>9528</v>
      </c>
      <c r="C9941" s="3" t="str">
        <f>IFERROR(__xludf.DUMMYFUNCTION("GOOGLETRANSLATE(B9941,""id"",""en"")"),"['The application', 'blank', 'white', 'palm', 'ewww', 'Telkomsel', '']")</f>
        <v>['The application', 'blank', 'white', 'palm', 'ewww', 'Telkomsel', '']</v>
      </c>
      <c r="D9941" s="3">
        <v>1.0</v>
      </c>
    </row>
    <row r="9942" ht="15.75" customHeight="1">
      <c r="A9942" s="1">
        <v>10591.0</v>
      </c>
      <c r="B9942" s="3" t="s">
        <v>9529</v>
      </c>
      <c r="C9942" s="3" t="str">
        <f>IFERROR(__xludf.DUMMYFUNCTION("GOOGLETRANSLATE(B9942,""id"",""en"")"),"['Loading', 'bintag']")</f>
        <v>['Loading', 'bintag']</v>
      </c>
      <c r="D9942" s="3">
        <v>4.0</v>
      </c>
    </row>
    <row r="9943" ht="15.75" customHeight="1">
      <c r="A9943" s="1">
        <v>10592.0</v>
      </c>
      <c r="B9943" s="3" t="s">
        <v>592</v>
      </c>
      <c r="C9943" s="3" t="str">
        <f>IFERROR(__xludf.DUMMYFUNCTION("GOOGLETRANSLATE(B9943,""id"",""en"")"),"['Telkomsel']")</f>
        <v>['Telkomsel']</v>
      </c>
      <c r="D9943" s="3">
        <v>5.0</v>
      </c>
    </row>
    <row r="9944" ht="15.75" customHeight="1">
      <c r="A9944" s="1">
        <v>10593.0</v>
      </c>
      <c r="B9944" s="3" t="s">
        <v>9530</v>
      </c>
      <c r="C9944" s="3" t="str">
        <f>IFERROR(__xludf.DUMMYFUNCTION("GOOGLETRANSLATE(B9944,""id"",""en"")"),"['Telkomsel', 'bankrupt', 'network', 'difficult', 'profit', 'priority', 'satisfaction', 'customer', '']")</f>
        <v>['Telkomsel', 'bankrupt', 'network', 'difficult', 'profit', 'priority', 'satisfaction', 'customer', '']</v>
      </c>
      <c r="D9944" s="3">
        <v>1.0</v>
      </c>
    </row>
    <row r="9945" ht="15.75" customHeight="1">
      <c r="A9945" s="1">
        <v>10594.0</v>
      </c>
      <c r="B9945" s="3" t="s">
        <v>9531</v>
      </c>
      <c r="C9945" s="3" t="str">
        <f>IFERROR(__xludf.DUMMYFUNCTION("GOOGLETRANSLATE(B9945,""id"",""en"")"),"['cave', 'ksh', 'star', 'kebaca', 'snyal', 'rich', 'buy', 'package', 'expensive', 'TPI', 'Lemott', 'Abisin', ' money ',' doang ',' play ',' game ',' red ',' open ',' all ',' sosmed ',' slow ',' lose ',' card ',' cheap ',' ']")</f>
        <v>['cave', 'ksh', 'star', 'kebaca', 'snyal', 'rich', 'buy', 'package', 'expensive', 'TPI', 'Lemott', 'Abisin', ' money ',' doang ',' play ',' game ',' red ',' open ',' all ',' sosmed ',' slow ',' lose ',' card ',' cheap ',' ']</v>
      </c>
      <c r="D9945" s="3">
        <v>5.0</v>
      </c>
    </row>
    <row r="9946" ht="15.75" customHeight="1">
      <c r="A9946" s="1">
        <v>10596.0</v>
      </c>
      <c r="B9946" s="3" t="s">
        <v>9532</v>
      </c>
      <c r="C9946" s="3" t="str">
        <f>IFERROR(__xludf.DUMMYFUNCTION("GOOGLETRANSLATE(B9946,""id"",""en"")"),"['Good', 'TPIIIII', 'Opened', 'Toppp']")</f>
        <v>['Good', 'TPIIIII', 'Opened', 'Toppp']</v>
      </c>
      <c r="D9946" s="3">
        <v>5.0</v>
      </c>
    </row>
    <row r="9947" ht="15.75" customHeight="1">
      <c r="A9947" s="1">
        <v>10597.0</v>
      </c>
      <c r="B9947" s="3" t="s">
        <v>9533</v>
      </c>
      <c r="C9947" s="3" t="str">
        <f>IFERROR(__xludf.DUMMYFUNCTION("GOOGLETRANSLATE(B9947,""id"",""en"")"),"['APK', 'CORN', 'good', 'use', 'easy', 'promo']")</f>
        <v>['APK', 'CORN', 'good', 'use', 'easy', 'promo']</v>
      </c>
      <c r="D9947" s="3">
        <v>5.0</v>
      </c>
    </row>
    <row r="9948" ht="15.75" customHeight="1">
      <c r="A9948" s="1">
        <v>10599.0</v>
      </c>
      <c r="B9948" s="3" t="s">
        <v>9534</v>
      </c>
      <c r="C9948" s="3" t="str">
        <f>IFERROR(__xludf.DUMMYFUNCTION("GOOGLETRANSLATE(B9948,""id"",""en"")"),"['', 'application', 'ngeta', 'open', '']")</f>
        <v>['', 'application', 'ngeta', 'open', '']</v>
      </c>
      <c r="D9948" s="3">
        <v>1.0</v>
      </c>
    </row>
    <row r="9949" ht="15.75" customHeight="1">
      <c r="A9949" s="1">
        <v>10600.0</v>
      </c>
      <c r="B9949" s="3" t="s">
        <v>9535</v>
      </c>
      <c r="C9949" s="3" t="str">
        <f>IFERROR(__xludf.DUMMYFUNCTION("GOOGLETRANSLATE(B9949,""id"",""en"")"),"['Pay', 'expensive', 'network', 'kyk', '']")</f>
        <v>['Pay', 'expensive', 'network', 'kyk', '']</v>
      </c>
      <c r="D9949" s="3">
        <v>1.0</v>
      </c>
    </row>
    <row r="9950" ht="15.75" customHeight="1">
      <c r="A9950" s="1">
        <v>10601.0</v>
      </c>
      <c r="B9950" s="3" t="s">
        <v>9536</v>
      </c>
      <c r="C9950" s="3" t="str">
        <f>IFERROR(__xludf.DUMMYFUNCTION("GOOGLETRANSLATE(B9950,""id"",""en"")"),"['card', 'garbage', 'healthy', ""]")</f>
        <v>['card', 'garbage', 'healthy', "]</v>
      </c>
      <c r="D9950" s="3">
        <v>1.0</v>
      </c>
    </row>
    <row r="9951" ht="15.75" customHeight="1">
      <c r="A9951" s="1">
        <v>10602.0</v>
      </c>
      <c r="B9951" s="3" t="s">
        <v>9537</v>
      </c>
      <c r="C9951" s="3" t="str">
        <f>IFERROR(__xludf.DUMMYFUNCTION("GOOGLETRANSLATE(B9951,""id"",""en"")"),"['Signal', 'Stable', 'FUP']")</f>
        <v>['Signal', 'Stable', 'FUP']</v>
      </c>
      <c r="D9951" s="3">
        <v>5.0</v>
      </c>
    </row>
    <row r="9952" ht="15.75" customHeight="1">
      <c r="A9952" s="1">
        <v>10603.0</v>
      </c>
      <c r="B9952" s="3" t="s">
        <v>9538</v>
      </c>
      <c r="C9952" s="3" t="str">
        <f>IFERROR(__xludf.DUMMYFUNCTION("GOOGLETRANSLATE(B9952,""id"",""en"")"),"['Pertamakali', 'okay', 'okay']")</f>
        <v>['Pertamakali', 'okay', 'okay']</v>
      </c>
      <c r="D9952" s="3">
        <v>5.0</v>
      </c>
    </row>
    <row r="9953" ht="15.75" customHeight="1">
      <c r="A9953" s="1">
        <v>10604.0</v>
      </c>
      <c r="B9953" s="3" t="s">
        <v>9539</v>
      </c>
      <c r="C9953" s="3" t="str">
        <f>IFERROR(__xludf.DUMMYFUNCTION("GOOGLETRANSLATE(B9953,""id"",""en"")"),"['Steady', 'bonus']")</f>
        <v>['Steady', 'bonus']</v>
      </c>
      <c r="D9953" s="3">
        <v>5.0</v>
      </c>
    </row>
    <row r="9954" ht="15.75" customHeight="1">
      <c r="A9954" s="1">
        <v>10605.0</v>
      </c>
      <c r="B9954" s="3" t="s">
        <v>9540</v>
      </c>
      <c r="C9954" s="3" t="str">
        <f>IFERROR(__xludf.DUMMYFUNCTION("GOOGLETRANSLATE(B9954,""id"",""en"")"),"['musty', 'Bags']")</f>
        <v>['musty', 'Bags']</v>
      </c>
      <c r="D9954" s="3">
        <v>5.0</v>
      </c>
    </row>
    <row r="9955" ht="15.75" customHeight="1">
      <c r="A9955" s="1">
        <v>10606.0</v>
      </c>
      <c r="B9955" s="3" t="s">
        <v>9541</v>
      </c>
      <c r="C9955" s="3" t="str">
        <f>IFERROR(__xludf.DUMMYFUNCTION("GOOGLETRANSLATE(B9955,""id"",""en"")"),"['Please', 'Fix', 'Laagih', 'yaa', 'pulse', 'cave', 'ehh', 'cave', 'try', 'check', 'thousand', 'pulsa', ' Fix ',' again ',' yaa ', ""]")</f>
        <v>['Please', 'Fix', 'Laagih', 'yaa', 'pulse', 'cave', 'ehh', 'cave', 'try', 'check', 'thousand', 'pulsa', ' Fix ',' again ',' yaa ', "]</v>
      </c>
      <c r="D9955" s="3">
        <v>2.0</v>
      </c>
    </row>
    <row r="9956" ht="15.75" customHeight="1">
      <c r="A9956" s="1">
        <v>10607.0</v>
      </c>
      <c r="B9956" s="3" t="s">
        <v>9542</v>
      </c>
      <c r="C9956" s="3" t="str">
        <f>IFERROR(__xludf.DUMMYFUNCTION("GOOGLETRANSLATE(B9956,""id"",""en"")"),"['Semprul', 'really', 'buy', 'package', 'youtube', 'watch', 'youtube', 'already', 'chrome', 'mozilla', 'vivaldi', 'kgk', ' Open ',' YouTube ',' intention ',' kgk ',' provide ',' package ']")</f>
        <v>['Semprul', 'really', 'buy', 'package', 'youtube', 'watch', 'youtube', 'already', 'chrome', 'mozilla', 'vivaldi', 'kgk', ' Open ',' YouTube ',' intention ',' kgk ',' provide ',' package ']</v>
      </c>
      <c r="D9956" s="3">
        <v>1.0</v>
      </c>
    </row>
    <row r="9957" ht="15.75" customHeight="1">
      <c r="A9957" s="1">
        <v>10608.0</v>
      </c>
      <c r="B9957" s="3" t="s">
        <v>9543</v>
      </c>
      <c r="C9957" s="3" t="str">
        <f>IFERROR(__xludf.DUMMYFUNCTION("GOOGLETRANSLATE(B9957,""id"",""en"")"),"['Nice', 'hope', 'jdi', 'winner']")</f>
        <v>['Nice', 'hope', 'jdi', 'winner']</v>
      </c>
      <c r="D9957" s="3">
        <v>5.0</v>
      </c>
    </row>
    <row r="9958" ht="15.75" customHeight="1">
      <c r="A9958" s="1">
        <v>10609.0</v>
      </c>
      <c r="B9958" s="3" t="s">
        <v>9544</v>
      </c>
      <c r="C9958" s="3" t="str">
        <f>IFERROR(__xludf.DUMMYFUNCTION("GOOGLETRANSLATE(B9958,""id"",""en"")"),"['Safety', 'Lots', 'promo', 'yaa', 'hehee']")</f>
        <v>['Safety', 'Lots', 'promo', 'yaa', 'hehee']</v>
      </c>
      <c r="D9958" s="3">
        <v>5.0</v>
      </c>
    </row>
    <row r="9959" ht="15.75" customHeight="1">
      <c r="A9959" s="1">
        <v>10610.0</v>
      </c>
      <c r="B9959" s="3" t="s">
        <v>9545</v>
      </c>
      <c r="C9959" s="3" t="str">
        <f>IFERROR(__xludf.DUMMYFUNCTION("GOOGLETRANSLATE(B9959,""id"",""en"")"),"['Facilitates', 'transacting', 'purchase', 'package', 'internet', 'KARUKVEVER', 'CHEAP', 'LAHI']")</f>
        <v>['Facilitates', 'transacting', 'purchase', 'package', 'internet', 'KARUKVEVER', 'CHEAP', 'LAHI']</v>
      </c>
      <c r="D9959" s="3">
        <v>5.0</v>
      </c>
    </row>
    <row r="9960" ht="15.75" customHeight="1">
      <c r="A9960" s="1">
        <v>10611.0</v>
      </c>
      <c r="B9960" s="3" t="s">
        <v>9546</v>
      </c>
      <c r="C9960" s="3" t="str">
        <f>IFERROR(__xludf.DUMMYFUNCTION("GOOGLETRANSLATE(B9960,""id"",""en"")"),"['Telkomsel', 'Dear', 'reported', 'application', 'Telkomsel', 'opened', 'update', 'open', 'screen', 'application', 'change', 'white', ' Please ',' Repaired ',' Application ',' Thank "", 'Love', 'Telkomsel',""]")</f>
        <v>['Telkomsel', 'Dear', 'reported', 'application', 'Telkomsel', 'opened', 'update', 'open', 'screen', 'application', 'change', 'white', ' Please ',' Repaired ',' Application ',' Thank ", 'Love', 'Telkomsel',"]</v>
      </c>
      <c r="D9960" s="3">
        <v>1.0</v>
      </c>
    </row>
    <row r="9961" ht="15.75" customHeight="1">
      <c r="A9961" s="1">
        <v>10612.0</v>
      </c>
      <c r="B9961" s="3" t="s">
        <v>9547</v>
      </c>
      <c r="C9961" s="3" t="str">
        <f>IFERROR(__xludf.DUMMYFUNCTION("GOOGLETRANSLATE(B9961,""id"",""en"")"),"['Application', 'Open', 'Males', 'Cave', 'Delete', 'Application', 'Telkomsel', 'Mood', ""]")</f>
        <v>['Application', 'Open', 'Males', 'Cave', 'Delete', 'Application', 'Telkomsel', 'Mood', "]</v>
      </c>
      <c r="D9961" s="3">
        <v>2.0</v>
      </c>
    </row>
    <row r="9962" ht="15.75" customHeight="1">
      <c r="A9962" s="1">
        <v>10613.0</v>
      </c>
      <c r="B9962" s="3" t="s">
        <v>9548</v>
      </c>
      <c r="C9962" s="3" t="str">
        <f>IFERROR(__xludf.DUMMYFUNCTION("GOOGLETRANSLATE(B9962,""id"",""en"")"),"['expensive price', '']")</f>
        <v>['expensive price', '']</v>
      </c>
      <c r="D9962" s="3">
        <v>2.0</v>
      </c>
    </row>
    <row r="9963" ht="15.75" customHeight="1">
      <c r="A9963" s="1">
        <v>10614.0</v>
      </c>
      <c r="B9963" s="3" t="s">
        <v>9549</v>
      </c>
      <c r="C9963" s="3" t="str">
        <f>IFERROR(__xludf.DUMMYFUNCTION("GOOGLETRANSLATE(B9963,""id"",""en"")"),"['Telkomsel', 'what', 'already', 'week', 'buy', 'quota', 'reply', 'sorry', 'disorder', 'system', 'week', 'right', ' Disorders', 'Mulu', 'already', 'contents',' pulse ',' buy ',' quota ',' disorder ',' sorted ',' barged ',' buy ']")</f>
        <v>['Telkomsel', 'what', 'already', 'week', 'buy', 'quota', 'reply', 'sorry', 'disorder', 'system', 'week', 'right', ' Disorders', 'Mulu', 'already', 'contents',' pulse ',' buy ',' quota ',' disorder ',' sorted ',' barged ',' buy ']</v>
      </c>
      <c r="D9963" s="3">
        <v>1.0</v>
      </c>
    </row>
    <row r="9964" ht="15.75" customHeight="1">
      <c r="A9964" s="1">
        <v>10615.0</v>
      </c>
      <c r="B9964" s="3" t="s">
        <v>9550</v>
      </c>
      <c r="C9964" s="3" t="str">
        <f>IFERROR(__xludf.DUMMYFUNCTION("GOOGLETRANSLATE(B9964,""id"",""en"")"),"['Update', 'Buy', 'Package', 'Telkomsel', 'Balance', 'Main', 'Tetep', 'Sucked', 'Notification', 'Package', 'Buy', 'Expired', ' disappointed ',' Telkomsel ',' robbing ',' silent ',' silent ',' buy ',' package ',' rope ',' pulse ',' main ',' run out ',' dra"&amp;"ined ',' offering ' , 'package', 'package', 'bought', 'trap', 'Batman', 'suspected', 'pulseku', 'run out', 'package', 'data', 'internet', 'sad', ' ']")</f>
        <v>['Update', 'Buy', 'Package', 'Telkomsel', 'Balance', 'Main', 'Tetep', 'Sucked', 'Notification', 'Package', 'Buy', 'Expired', ' disappointed ',' Telkomsel ',' robbing ',' silent ',' silent ',' buy ',' package ',' rope ',' pulse ',' main ',' run out ',' drained ',' offering ' , 'package', 'package', 'bought', 'trap', 'Batman', 'suspected', 'pulseku', 'run out', 'package', 'data', 'internet', 'sad', ' ']</v>
      </c>
      <c r="D9964" s="3">
        <v>1.0</v>
      </c>
    </row>
    <row r="9965" ht="15.75" customHeight="1">
      <c r="A9965" s="1">
        <v>10616.0</v>
      </c>
      <c r="B9965" s="3" t="s">
        <v>9551</v>
      </c>
      <c r="C9965" s="3" t="str">
        <f>IFERROR(__xludf.DUMMYFUNCTION("GOOGLETRANSLATE(B9965,""id"",""en"")"),"['Application', 'Good', 'Karna', 'Update', 'Open', 'Enter', '']")</f>
        <v>['Application', 'Good', 'Karna', 'Update', 'Open', 'Enter', '']</v>
      </c>
      <c r="D9965" s="3">
        <v>1.0</v>
      </c>
    </row>
    <row r="9966" ht="15.75" customHeight="1">
      <c r="A9966" s="1">
        <v>10617.0</v>
      </c>
      <c r="B9966" s="3" t="s">
        <v>9552</v>
      </c>
      <c r="C9966" s="3" t="str">
        <f>IFERROR(__xludf.DUMMYFUNCTION("GOOGLETRANSLATE(B9966,""id"",""en"")"),"['Please', 'sorry', 'application', 'power', 'opened', 'opened', 'look', 'screen', 'white', 'please', 'repaired', 'star']")</f>
        <v>['Please', 'sorry', 'application', 'power', 'opened', 'opened', 'look', 'screen', 'white', 'please', 'repaired', 'star']</v>
      </c>
      <c r="D9966" s="3">
        <v>1.0</v>
      </c>
    </row>
    <row r="9967" ht="15.75" customHeight="1">
      <c r="A9967" s="1">
        <v>10618.0</v>
      </c>
      <c r="B9967" s="3" t="s">
        <v>9553</v>
      </c>
      <c r="C9967" s="3" t="str">
        <f>IFERROR(__xludf.DUMMYFUNCTION("GOOGLETRANSLATE(B9967,""id"",""en"")"),"['Application', 'virtue', 'help']")</f>
        <v>['Application', 'virtue', 'help']</v>
      </c>
      <c r="D9967" s="3">
        <v>5.0</v>
      </c>
    </row>
    <row r="9968" ht="15.75" customHeight="1">
      <c r="A9968" s="1">
        <v>10619.0</v>
      </c>
      <c r="B9968" s="3" t="s">
        <v>9554</v>
      </c>
      <c r="C9968" s="3" t="str">
        <f>IFERROR(__xludf.DUMMYFUNCTION("GOOGLETRANSLATE(B9968,""id"",""en"")"),"['appears', 'screen', 'white', 'doang']")</f>
        <v>['appears', 'screen', 'white', 'doang']</v>
      </c>
      <c r="D9968" s="3">
        <v>1.0</v>
      </c>
    </row>
    <row r="9969" ht="15.75" customHeight="1">
      <c r="A9969" s="1">
        <v>10620.0</v>
      </c>
      <c r="B9969" s="3" t="s">
        <v>9555</v>
      </c>
      <c r="C9969" s="3" t="str">
        <f>IFERROR(__xludf.DUMMYFUNCTION("GOOGLETRANSLATE(B9969,""id"",""en"")"),"['', 'Perbahrui', 'bsa', 'open', 'poor', 'telkomsel', 'bukn', 'maybe', 'bgus', 'nggbleng', 'white', 'can' open ',' LGI ',' BNTNG ',' Ajalah ',' Disappointed ',' Sya ']")</f>
        <v>['', 'Perbahrui', 'bsa', 'open', 'poor', 'telkomsel', 'bukn', 'maybe', 'bgus', 'nggbleng', 'white', 'can' open ',' LGI ',' BNTNG ',' Ajalah ',' Disappointed ',' Sya ']</v>
      </c>
      <c r="D9969" s="3">
        <v>1.0</v>
      </c>
    </row>
    <row r="9970" ht="15.75" customHeight="1">
      <c r="A9970" s="1">
        <v>10622.0</v>
      </c>
      <c r="B9970" s="3" t="s">
        <v>9556</v>
      </c>
      <c r="C9970" s="3" t="str">
        <f>IFERROR(__xludf.DUMMYFUNCTION("GOOGLETRANSLATE(B9970,""id"",""en"")"),"['Good', 'nnti', 'tambrin', 'star']")</f>
        <v>['Good', 'nnti', 'tambrin', 'star']</v>
      </c>
      <c r="D9970" s="3">
        <v>4.0</v>
      </c>
    </row>
    <row r="9971" ht="15.75" customHeight="1">
      <c r="A9971" s="1">
        <v>10623.0</v>
      </c>
      <c r="B9971" s="3" t="s">
        <v>9557</v>
      </c>
      <c r="C9971" s="3" t="str">
        <f>IFERROR(__xludf.DUMMYFUNCTION("GOOGLETRANSLATE(B9971,""id"",""en"")"),"['Points', 'Knpa', 'Exchange', '']")</f>
        <v>['Points', 'Knpa', 'Exchange', '']</v>
      </c>
      <c r="D9971" s="3">
        <v>1.0</v>
      </c>
    </row>
    <row r="9972" ht="15.75" customHeight="1">
      <c r="A9972" s="1">
        <v>10624.0</v>
      </c>
      <c r="B9972" s="3" t="s">
        <v>9558</v>
      </c>
      <c r="C9972" s="3" t="str">
        <f>IFERROR(__xludf.DUMMYFUNCTION("GOOGLETRANSLATE(B9972,""id"",""en"")"),"['disturbance', 'remote', 'village']")</f>
        <v>['disturbance', 'remote', 'village']</v>
      </c>
      <c r="D9972" s="3">
        <v>1.0</v>
      </c>
    </row>
    <row r="9973" ht="15.75" customHeight="1">
      <c r="A9973" s="1">
        <v>10625.0</v>
      </c>
      <c r="B9973" s="3" t="s">
        <v>9559</v>
      </c>
      <c r="C9973" s="3" t="str">
        <f>IFERROR(__xludf.DUMMYFUNCTION("GOOGLETRANSLATE(B9973,""id"",""en"")"),"['fair', 'mah', 'other', 'can', 'quota', 'cheap', 'pdhl', 'telkomsel', 'udh', 'yr']")</f>
        <v>['fair', 'mah', 'other', 'can', 'quota', 'cheap', 'pdhl', 'telkomsel', 'udh', 'yr']</v>
      </c>
      <c r="D9973" s="3">
        <v>5.0</v>
      </c>
    </row>
    <row r="9974" ht="15.75" customHeight="1">
      <c r="A9974" s="1">
        <v>10626.0</v>
      </c>
      <c r="B9974" s="3" t="s">
        <v>9560</v>
      </c>
      <c r="C9974" s="3" t="str">
        <f>IFERROR(__xludf.DUMMYFUNCTION("GOOGLETRANSLATE(B9974,""id"",""en"")"),"['Disappointed', 'Service', 'Telkom', 'Paketan', 'On', 'Package', 'Emergency', 'Filter', 'PIN', 'Fill', 'Credit', 'Cut', ' repeated ',' reset ',' robbed ',' imagine ',' million ',' user ']")</f>
        <v>['Disappointed', 'Service', 'Telkom', 'Paketan', 'On', 'Package', 'Emergency', 'Filter', 'PIN', 'Fill', 'Credit', 'Cut', ' repeated ',' reset ',' robbed ',' imagine ',' million ',' user ']</v>
      </c>
      <c r="D9974" s="3">
        <v>1.0</v>
      </c>
    </row>
    <row r="9975" ht="15.75" customHeight="1">
      <c r="A9975" s="1">
        <v>10627.0</v>
      </c>
      <c r="B9975" s="3" t="s">
        <v>9561</v>
      </c>
      <c r="C9975" s="3" t="str">
        <f>IFERROR(__xludf.DUMMYFUNCTION("GOOGLETRANSLATE(B9975,""id"",""en"")"),"['application', 'like', 'promo', 'rare', 'donlot', 'promo', 'jauuuuuh', 'buy', 'package', 'expensive', 'cheap', 'active', ' Sunday ',' please ',' Telkomsel ',' choose ',' love ',' promo ']")</f>
        <v>['application', 'like', 'promo', 'rare', 'donlot', 'promo', 'jauuuuuh', 'buy', 'package', 'expensive', 'cheap', 'active', ' Sunday ',' please ',' Telkomsel ',' choose ',' love ',' promo ']</v>
      </c>
      <c r="D9975" s="3">
        <v>3.0</v>
      </c>
    </row>
    <row r="9976" ht="15.75" customHeight="1">
      <c r="A9976" s="1">
        <v>10628.0</v>
      </c>
      <c r="B9976" s="3" t="s">
        <v>9562</v>
      </c>
      <c r="C9976" s="3" t="str">
        <f>IFERROR(__xludf.DUMMYFUNCTION("GOOGLETRANSLATE(B9976,""id"",""en"")"),"['Woyyy', 'Come on', 'Nipu', 'Nipu', 'Already', 'Buy', 'Credit', 'Potted', 'Credit', 'Adequate', 'Credit', 'Reduced', ' Feelings', 'Provider', 'Rich', 'Gini', 'Fast', 'Fix', 'Change', 'Loss',' Credit ',' Reduced ',' Already ',' Expensive ',' Nipu ' , 'Had"&amp;"ehhhh']")</f>
        <v>['Woyyy', 'Come on', 'Nipu', 'Nipu', 'Already', 'Buy', 'Credit', 'Potted', 'Credit', 'Adequate', 'Credit', 'Reduced', ' Feelings', 'Provider', 'Rich', 'Gini', 'Fast', 'Fix', 'Change', 'Loss',' Credit ',' Reduced ',' Already ',' Expensive ',' Nipu ' , 'Hadehhhh']</v>
      </c>
      <c r="D9976" s="3">
        <v>1.0</v>
      </c>
    </row>
    <row r="9977" ht="15.75" customHeight="1">
      <c r="A9977" s="1">
        <v>10629.0</v>
      </c>
      <c r="B9977" s="3" t="s">
        <v>9563</v>
      </c>
      <c r="C9977" s="3" t="str">
        <f>IFERROR(__xludf.DUMMYFUNCTION("GOOGLETRANSLATE(B9977,""id"",""en"")"),"['Telkomsel', 'already', 'Install', 'Until', 'Open', 'Content', 'Package', 'Nelfon', 'Enter', 'Purchase', 'Staus',' Success', ' Please, 'How', 'Telkomsel', '']")</f>
        <v>['Telkomsel', 'already', 'Install', 'Until', 'Open', 'Content', 'Package', 'Nelfon', 'Enter', 'Purchase', 'Staus',' Success', ' Please, 'How', 'Telkomsel', '']</v>
      </c>
      <c r="D9977" s="3">
        <v>2.0</v>
      </c>
    </row>
    <row r="9978" ht="15.75" customHeight="1">
      <c r="A9978" s="1">
        <v>10630.0</v>
      </c>
      <c r="B9978" s="3" t="s">
        <v>9564</v>
      </c>
      <c r="C9978" s="3" t="str">
        <f>IFERROR(__xludf.DUMMYFUNCTION("GOOGLETRANSLATE(B9978,""id"",""en"")"),"['Try', 'Report', 'via', 'email', 'obstacle', 'application', 'opened', 'screen', 'color', 'white', 'blm', 'solution', ' BLM ',' Overcome ',' Application ',' Telkomsel ',' Please ',' Fix ',' Know ',' Telkomsel ',' Company ',' User ',' Millions', 'People', "&amp;"'Dragged' , 'Matching', 'the application', 'open', 'repair', 'sorry', 'min']")</f>
        <v>['Try', 'Report', 'via', 'email', 'obstacle', 'application', 'opened', 'screen', 'color', 'white', 'blm', 'solution', ' BLM ',' Overcome ',' Application ',' Telkomsel ',' Please ',' Fix ',' Know ',' Telkomsel ',' Company ',' User ',' Millions', 'People', 'Dragged' , 'Matching', 'the application', 'open', 'repair', 'sorry', 'min']</v>
      </c>
      <c r="D9978" s="3">
        <v>4.0</v>
      </c>
    </row>
    <row r="9979" ht="15.75" customHeight="1">
      <c r="A9979" s="1">
        <v>10631.0</v>
      </c>
      <c r="B9979" s="3" t="s">
        <v>9565</v>
      </c>
      <c r="C9979" s="3" t="str">
        <f>IFERROR(__xludf.DUMMYFUNCTION("GOOGLETRANSLATE(B9979,""id"",""en"")"),"['Open', 'Telkomsel', 'no', 'star']")</f>
        <v>['Open', 'Telkomsel', 'no', 'star']</v>
      </c>
      <c r="D9979" s="3">
        <v>1.0</v>
      </c>
    </row>
    <row r="9980" ht="15.75" customHeight="1">
      <c r="A9980" s="1">
        <v>10632.0</v>
      </c>
      <c r="B9980" s="3" t="s">
        <v>9566</v>
      </c>
      <c r="C9980" s="3" t="str">
        <f>IFERROR(__xludf.DUMMYFUNCTION("GOOGLETRANSLATE(B9980,""id"",""en"")"),"['menu', 'easy']")</f>
        <v>['menu', 'easy']</v>
      </c>
      <c r="D9980" s="3">
        <v>4.0</v>
      </c>
    </row>
    <row r="9981" ht="15.75" customHeight="1">
      <c r="A9981" s="1">
        <v>10633.0</v>
      </c>
      <c r="B9981" s="3" t="s">
        <v>9567</v>
      </c>
      <c r="C9981" s="3" t="str">
        <f>IFERROR(__xludf.DUMMYFUNCTION("GOOGLETRANSLATE(B9981,""id"",""en"")"),"['Disorders', 'Telkomsel']")</f>
        <v>['Disorders', 'Telkomsel']</v>
      </c>
      <c r="D9981" s="3">
        <v>2.0</v>
      </c>
    </row>
    <row r="9982" ht="15.75" customHeight="1">
      <c r="A9982" s="1">
        <v>10634.0</v>
      </c>
      <c r="B9982" s="3" t="s">
        <v>9568</v>
      </c>
      <c r="C9982" s="3" t="str">
        <f>IFERROR(__xludf.DUMMYFUNCTION("GOOGLETRANSLATE(B9982,""id"",""en"")"),"['please', 'Telkomsel', 'application', 'Telkomsel', 'open', 'update', 'update', 'update', 'seeking', 'screen', 'color', 'white', ' package ',' internet ',' please ',' how ',' buy ',' package ',' internet ',' ']")</f>
        <v>['please', 'Telkomsel', 'application', 'Telkomsel', 'open', 'update', 'update', 'update', 'seeking', 'screen', 'color', 'white', ' package ',' internet ',' please ',' how ',' buy ',' package ',' internet ',' ']</v>
      </c>
      <c r="D9982" s="3">
        <v>3.0</v>
      </c>
    </row>
    <row r="9983" ht="15.75" customHeight="1">
      <c r="A9983" s="1">
        <v>10635.0</v>
      </c>
      <c r="B9983" s="3" t="s">
        <v>9569</v>
      </c>
      <c r="C9983" s="3" t="str">
        <f>IFERROR(__xludf.DUMMYFUNCTION("GOOGLETRANSLATE(B9983,""id"",""en"")"),"['easy', 'buy', 'package', 'internet', 'telephone']")</f>
        <v>['easy', 'buy', 'package', 'internet', 'telephone']</v>
      </c>
      <c r="D9983" s="3">
        <v>5.0</v>
      </c>
    </row>
    <row r="9984" ht="15.75" customHeight="1">
      <c r="A9984" s="1">
        <v>10636.0</v>
      </c>
      <c r="B9984" s="3" t="s">
        <v>478</v>
      </c>
      <c r="C9984" s="3" t="str">
        <f>IFERROR(__xludf.DUMMYFUNCTION("GOOGLETRANSLATE(B9984,""id"",""en"")"),"Of course")</f>
        <v>Of course</v>
      </c>
      <c r="D9984" s="3">
        <v>5.0</v>
      </c>
    </row>
    <row r="9985" ht="15.75" customHeight="1">
      <c r="A9985" s="1">
        <v>10637.0</v>
      </c>
      <c r="B9985" s="3" t="s">
        <v>9570</v>
      </c>
      <c r="C9985" s="3" t="str">
        <f>IFERROR(__xludf.DUMMYFUNCTION("GOOGLETRANSLATE(B9985,""id"",""en"")"),"['right', 'buy', 'quota', 'price', 'quota', 'pulse', 'gave', 'price', 'right', 'quota', 'formerly', 'plis',' ',' that's', 'loss',' little ',' gamau ',' customer ',' disappointed ',' so ',' ']")</f>
        <v>['right', 'buy', 'quota', 'price', 'quota', 'pulse', 'gave', 'price', 'right', 'quota', 'formerly', 'plis',' ',' that's', 'loss',' little ',' gamau ',' customer ',' disappointed ',' so ',' ']</v>
      </c>
      <c r="D9985" s="3">
        <v>2.0</v>
      </c>
    </row>
    <row r="9986" ht="15.75" customHeight="1">
      <c r="A9986" s="1">
        <v>10638.0</v>
      </c>
      <c r="B9986" s="3" t="s">
        <v>9571</v>
      </c>
      <c r="C9986" s="3" t="str">
        <f>IFERROR(__xludf.DUMMYFUNCTION("GOOGLETRANSLATE(B9986,""id"",""en"")"),"['unclean', 'signal', 'replace', 'card', 'jirrrr']")</f>
        <v>['unclean', 'signal', 'replace', 'card', 'jirrrr']</v>
      </c>
      <c r="D9986" s="3">
        <v>1.0</v>
      </c>
    </row>
    <row r="9987" ht="15.75" customHeight="1">
      <c r="A9987" s="1">
        <v>10639.0</v>
      </c>
      <c r="B9987" s="3" t="s">
        <v>9572</v>
      </c>
      <c r="C9987" s="3" t="str">
        <f>IFERROR(__xludf.DUMMYFUNCTION("GOOGLETRANSLATE(B9987,""id"",""en"")"),"['Good', 'mmbantu', 'easy']")</f>
        <v>['Good', 'mmbantu', 'easy']</v>
      </c>
      <c r="D9987" s="3">
        <v>5.0</v>
      </c>
    </row>
    <row r="9988" ht="15.75" customHeight="1">
      <c r="A9988" s="1">
        <v>10640.0</v>
      </c>
      <c r="B9988" s="3" t="s">
        <v>9573</v>
      </c>
      <c r="C9988" s="3" t="str">
        <f>IFERROR(__xludf.DUMMYFUNCTION("GOOGLETRANSLATE(B9988,""id"",""en"")"),"['Help', 'access', 'information', 'my number']")</f>
        <v>['Help', 'access', 'information', 'my number']</v>
      </c>
      <c r="D9988" s="3">
        <v>5.0</v>
      </c>
    </row>
    <row r="9989" ht="15.75" customHeight="1">
      <c r="A9989" s="1">
        <v>10641.0</v>
      </c>
      <c r="B9989" s="3" t="s">
        <v>9574</v>
      </c>
      <c r="C9989" s="3" t="str">
        <f>IFERROR(__xludf.DUMMYFUNCTION("GOOGLETRANSLATE(B9989,""id"",""en"")"),"['Please', 'explanation', 'update', 'application', 'obstacle', 'Karna', 'opened', 'application', 'MyTelkomsel', 'screen', 'jdi', 'blank', ' White ',' the application ',' problematic ',' hope ',' fast ',' repaired ',' user ',' MyTelkomsel ',' disappointed "&amp;"',' obstacle ', ""]")</f>
        <v>['Please', 'explanation', 'update', 'application', 'obstacle', 'Karna', 'opened', 'application', 'MyTelkomsel', 'screen', 'jdi', 'blank', ' White ',' the application ',' problematic ',' hope ',' fast ',' repaired ',' user ',' MyTelkomsel ',' disappointed ',' obstacle ', "]</v>
      </c>
      <c r="D9989" s="3">
        <v>1.0</v>
      </c>
    </row>
    <row r="9990" ht="15.75" customHeight="1">
      <c r="A9990" s="1">
        <v>10642.0</v>
      </c>
      <c r="B9990" s="3" t="s">
        <v>9575</v>
      </c>
      <c r="C9990" s="3" t="str">
        <f>IFERROR(__xludf.DUMMYFUNCTION("GOOGLETRANSLATE(B9990,""id"",""en"")"),"['Love', 'star', 'Telkomsel', 'like', 'suck', 'pulse']")</f>
        <v>['Love', 'star', 'Telkomsel', 'like', 'suck', 'pulse']</v>
      </c>
      <c r="D9990" s="3">
        <v>1.0</v>
      </c>
    </row>
    <row r="9991" ht="15.75" customHeight="1">
      <c r="A9991" s="1">
        <v>10643.0</v>
      </c>
      <c r="B9991" s="3" t="s">
        <v>9576</v>
      </c>
      <c r="C9991" s="3" t="str">
        <f>IFERROR(__xludf.DUMMYFUNCTION("GOOGLETRANSLATE(B9991,""id"",""en"")"),"['Apalikasi', 'smooth', 'Jaya']")</f>
        <v>['Apalikasi', 'smooth', 'Jaya']</v>
      </c>
      <c r="D9991" s="3">
        <v>5.0</v>
      </c>
    </row>
    <row r="9992" ht="15.75" customHeight="1">
      <c r="A9992" s="1">
        <v>10644.0</v>
      </c>
      <c r="B9992" s="3" t="s">
        <v>9577</v>
      </c>
      <c r="C9992" s="3" t="str">
        <f>IFERROR(__xludf.DUMMYFUNCTION("GOOGLETRANSLATE(B9992,""id"",""en"")"),"['screen', 'white', 'ngln', 'solution', 'mgkn', 'telkomsel', 'balek', 'era', 'baheula']")</f>
        <v>['screen', 'white', 'ngln', 'solution', 'mgkn', 'telkomsel', 'balek', 'era', 'baheula']</v>
      </c>
      <c r="D9992" s="3">
        <v>1.0</v>
      </c>
    </row>
    <row r="9993" ht="15.75" customHeight="1">
      <c r="A9993" s="1">
        <v>10645.0</v>
      </c>
      <c r="B9993" s="3" t="s">
        <v>9578</v>
      </c>
      <c r="C9993" s="3" t="str">
        <f>IFERROR(__xludf.DUMMYFUNCTION("GOOGLETRANSLATE(B9993,""id"",""en"")"),"['I hope all goes well']")</f>
        <v>['I hope all goes well']</v>
      </c>
      <c r="D9993" s="3">
        <v>5.0</v>
      </c>
    </row>
    <row r="9994" ht="15.75" customHeight="1">
      <c r="A9994" s="1">
        <v>10646.0</v>
      </c>
      <c r="B9994" s="3" t="s">
        <v>9579</v>
      </c>
      <c r="C9994" s="3" t="str">
        <f>IFERROR(__xludf.DUMMYFUNCTION("GOOGLETRANSLATE(B9994,""id"",""en"")"),"['easy', 'list', 'package']")</f>
        <v>['easy', 'list', 'package']</v>
      </c>
      <c r="D9994" s="3">
        <v>5.0</v>
      </c>
    </row>
    <row r="9995" ht="15.75" customHeight="1">
      <c r="A9995" s="1">
        <v>10647.0</v>
      </c>
      <c r="B9995" s="3" t="s">
        <v>4921</v>
      </c>
      <c r="C9995" s="3" t="str">
        <f>IFERROR(__xludf.DUMMYFUNCTION("GOOGLETRANSLATE(B9995,""id"",""en"")"),"['Open', 'Telkomsel']")</f>
        <v>['Open', 'Telkomsel']</v>
      </c>
      <c r="D9995" s="3">
        <v>1.0</v>
      </c>
    </row>
    <row r="9996" ht="15.75" customHeight="1">
      <c r="A9996" s="1">
        <v>10648.0</v>
      </c>
      <c r="B9996" s="3" t="s">
        <v>1555</v>
      </c>
      <c r="C9996" s="3" t="str">
        <f>IFERROR(__xludf.DUMMYFUNCTION("GOOGLETRANSLATE(B9996,""id"",""en"")"),"['application', 'open', '']")</f>
        <v>['application', 'open', '']</v>
      </c>
      <c r="D9996" s="3">
        <v>2.0</v>
      </c>
    </row>
    <row r="9997" ht="15.75" customHeight="1">
      <c r="A9997" s="1">
        <v>10649.0</v>
      </c>
      <c r="B9997" s="3" t="s">
        <v>9580</v>
      </c>
      <c r="C9997" s="3" t="str">
        <f>IFERROR(__xludf.DUMMYFUNCTION("GOOGLETRANSLATE(B9997,""id"",""en"")"),"['MyTelkomsel', 'Error', 'Opened', 'Blank', 'Blank', 'White', 'Version', 'Upgrade', 'Error', 'Hard', 'Buy', 'Check', ' Credit ',' quota ', ""]")</f>
        <v>['MyTelkomsel', 'Error', 'Opened', 'Blank', 'Blank', 'White', 'Version', 'Upgrade', 'Error', 'Hard', 'Buy', 'Check', ' Credit ',' quota ', "]</v>
      </c>
      <c r="D9997" s="3">
        <v>1.0</v>
      </c>
    </row>
    <row r="9998" ht="15.75" customHeight="1">
      <c r="A9998" s="1">
        <v>10651.0</v>
      </c>
      <c r="B9998" s="3" t="s">
        <v>9581</v>
      </c>
      <c r="C9998" s="3" t="str">
        <f>IFERROR(__xludf.DUMMYFUNCTION("GOOGLETRANSLATE(B9998,""id"",""en"")"),"['application', 'provider', 'worst']")</f>
        <v>['application', 'provider', 'worst']</v>
      </c>
      <c r="D9998" s="3">
        <v>1.0</v>
      </c>
    </row>
    <row r="9999" ht="15.75" customHeight="1">
      <c r="A9999" s="1">
        <v>10652.0</v>
      </c>
      <c r="B9999" s="3" t="s">
        <v>9582</v>
      </c>
      <c r="C9999" s="3" t="str">
        <f>IFERROR(__xludf.DUMMYFUNCTION("GOOGLETRANSLATE(B9999,""id"",""en"")"),"['APK', 'opened', 'displays',' screen ',' blank ',' white ',' try ',' suggestion ',' twitter ',' Instagram ',' result ',' change ',' hope ',' developer ',' fix ',' as soon as possible ',' people ',' experience ',' users', 'complain', '']")</f>
        <v>['APK', 'opened', 'displays',' screen ',' blank ',' white ',' try ',' suggestion ',' twitter ',' Instagram ',' result ',' change ',' hope ',' developer ',' fix ',' as soon as possible ',' people ',' experience ',' users', 'complain', '']</v>
      </c>
      <c r="D9999" s="3">
        <v>1.0</v>
      </c>
    </row>
    <row r="10000" ht="15.75" customHeight="1">
      <c r="A10000" s="1">
        <v>10653.0</v>
      </c>
      <c r="B10000" s="3" t="s">
        <v>9583</v>
      </c>
      <c r="C10000" s="3" t="str">
        <f>IFERROR(__xludf.DUMMYFUNCTION("GOOGLETRANSLATE(B10000,""id"",""en"")"),"['Kotak', 'quota', 'price', 'quota', 'nominal', 'price', 'user', 'love', 'special', 'cikelk', 'care', 'BUMN', ' pig']")</f>
        <v>['Kotak', 'quota', 'price', 'quota', 'nominal', 'price', 'user', 'love', 'special', 'cikelk', 'care', 'BUMN', ' pig']</v>
      </c>
      <c r="D10000" s="3">
        <v>1.0</v>
      </c>
    </row>
    <row r="10001" ht="15.75" customHeight="1">
      <c r="A10001" s="1">
        <v>10654.0</v>
      </c>
      <c r="B10001" s="3" t="s">
        <v>9584</v>
      </c>
      <c r="C10001" s="3" t="str">
        <f>IFERROR(__xludf.DUMMYFUNCTION("GOOGLETRANSLATE(B10001,""id"",""en"")"),"['easy', 'dbeli']")</f>
        <v>['easy', 'dbeli']</v>
      </c>
      <c r="D10001" s="3">
        <v>4.0</v>
      </c>
    </row>
    <row r="10002" ht="15.75" customHeight="1">
      <c r="A10002" s="1">
        <v>10655.0</v>
      </c>
      <c r="B10002" s="3" t="s">
        <v>9585</v>
      </c>
      <c r="C10002" s="3" t="str">
        <f>IFERROR(__xludf.DUMMYFUNCTION("GOOGLETRANSLATE(B10002,""id"",""en"")"),"['Toppp', 'Markotop', '']")</f>
        <v>['Toppp', 'Markotop', '']</v>
      </c>
      <c r="D10002" s="3">
        <v>5.0</v>
      </c>
    </row>
    <row r="10003" ht="15.75" customHeight="1">
      <c r="A10003" s="1">
        <v>10656.0</v>
      </c>
      <c r="B10003" s="3" t="s">
        <v>9586</v>
      </c>
      <c r="C10003" s="3" t="str">
        <f>IFERROR(__xludf.DUMMYFUNCTION("GOOGLETRANSLATE(B10003,""id"",""en"")"),"['Good', 'pokonya']")</f>
        <v>['Good', 'pokonya']</v>
      </c>
      <c r="D10003" s="3">
        <v>5.0</v>
      </c>
    </row>
    <row r="10004" ht="15.75" customHeight="1">
      <c r="A10004" s="1">
        <v>10657.0</v>
      </c>
      <c r="B10004" s="3" t="s">
        <v>9587</v>
      </c>
      <c r="C10004" s="3" t="str">
        <f>IFERROR(__xludf.DUMMYFUNCTION("GOOGLETRANSLATE(B10004,""id"",""en"")"),"['Min', 'enter', 'APKNY', 'ngestuck', 'screen', 'white', 'gmn', 'min', 'please', 'fix']")</f>
        <v>['Min', 'enter', 'APKNY', 'ngestuck', 'screen', 'white', 'gmn', 'min', 'please', 'fix']</v>
      </c>
      <c r="D10004" s="3">
        <v>1.0</v>
      </c>
    </row>
    <row r="10005" ht="15.75" customHeight="1">
      <c r="A10005" s="1">
        <v>10658.0</v>
      </c>
      <c r="B10005" s="3" t="s">
        <v>9588</v>
      </c>
      <c r="C10005" s="3" t="str">
        <f>IFERROR(__xludf.DUMMYFUNCTION("GOOGLETRANSLATE(B10005,""id"",""en"")"),"['Paketan', 'expensive', 'signal', 'ugly', '']")</f>
        <v>['Paketan', 'expensive', 'signal', 'ugly', '']</v>
      </c>
      <c r="D10005" s="3">
        <v>1.0</v>
      </c>
    </row>
    <row r="10006" ht="15.75" customHeight="1">
      <c r="A10006" s="1">
        <v>10659.0</v>
      </c>
      <c r="B10006" s="3" t="s">
        <v>9589</v>
      </c>
      <c r="C10006" s="3" t="str">
        <f>IFERROR(__xludf.DUMMYFUNCTION("GOOGLETRANSLATE(B10006,""id"",""en"")"),"['email', 'waiting', 'assisted', 'Refresh', 'network', 'result', 'Season', 'brooo', 'naek', 'tile', 'quality', 'ugly', ' "", 'sympathy', '']")</f>
        <v>['email', 'waiting', 'assisted', 'Refresh', 'network', 'result', 'Season', 'brooo', 'naek', 'tile', 'quality', 'ugly', ' ", 'sympathy', '']</v>
      </c>
      <c r="D10006" s="3">
        <v>1.0</v>
      </c>
    </row>
    <row r="10007" ht="15.75" customHeight="1">
      <c r="A10007" s="1">
        <v>10660.0</v>
      </c>
      <c r="B10007" s="3" t="s">
        <v>9590</v>
      </c>
      <c r="C10007" s="3" t="str">
        <f>IFERROR(__xludf.DUMMYFUNCTION("GOOGLETRANSLATE(B10007,""id"",""en"")"),"['Unlimited', 'YouTube', 'Open', 'YouTube', 'Gabisa', 'Opened', '']")</f>
        <v>['Unlimited', 'YouTube', 'Open', 'YouTube', 'Gabisa', 'Opened', '']</v>
      </c>
      <c r="D10007" s="3">
        <v>1.0</v>
      </c>
    </row>
    <row r="10008" ht="15.75" customHeight="1">
      <c r="A10008" s="1">
        <v>10661.0</v>
      </c>
      <c r="B10008" s="3" t="s">
        <v>9591</v>
      </c>
      <c r="C10008" s="3" t="str">
        <f>IFERROR(__xludf.DUMMYFUNCTION("GOOGLETRANSLATE(B10008,""id"",""en"")"),"['Service']")</f>
        <v>['Service']</v>
      </c>
      <c r="D10008" s="3">
        <v>5.0</v>
      </c>
    </row>
    <row r="10009" ht="15.75" customHeight="1">
      <c r="A10009" s="1">
        <v>10662.0</v>
      </c>
      <c r="B10009" s="3" t="s">
        <v>9592</v>
      </c>
      <c r="C10009" s="3" t="str">
        <f>IFERROR(__xludf.DUMMYFUNCTION("GOOGLETRANSLATE(B10009,""id"",""en"")"),"['Searching', 'Google', 'balance', 'pulse', 'ilang', 'RB', 'quota', 'Ministry of Education and Culture', 'filled', 'pulses',' access', 'Google', ' quota ',' Ministry of Education and Culture ',' sucked ',' pulses', 'deh', 'buy', 'packetan']")</f>
        <v>['Searching', 'Google', 'balance', 'pulse', 'ilang', 'RB', 'quota', 'Ministry of Education and Culture', 'filled', 'pulses',' access', 'Google', ' quota ',' Ministry of Education and Culture ',' sucked ',' pulses', 'deh', 'buy', 'packetan']</v>
      </c>
      <c r="D10009" s="3">
        <v>1.0</v>
      </c>
    </row>
    <row r="10010" ht="15.75" customHeight="1">
      <c r="A10010" s="1">
        <v>10663.0</v>
      </c>
      <c r="B10010" s="3" t="s">
        <v>9593</v>
      </c>
      <c r="C10010" s="3" t="str">
        <f>IFERROR(__xludf.DUMMYFUNCTION("GOOGLETRANSLATE(B10010,""id"",""en"")"),"['prize', 'user', 'loyal', 'Telkomsel']")</f>
        <v>['prize', 'user', 'loyal', 'Telkomsel']</v>
      </c>
      <c r="D10010" s="3">
        <v>5.0</v>
      </c>
    </row>
    <row r="10011" ht="15.75" customHeight="1">
      <c r="A10011" s="1">
        <v>10664.0</v>
      </c>
      <c r="B10011" s="3" t="s">
        <v>9594</v>
      </c>
      <c r="C10011" s="3" t="str">
        <f>IFERROR(__xludf.DUMMYFUNCTION("GOOGLETRANSLATE(B10011,""id"",""en"")"),"['Busy', 'tros', 'kau', 'bangse']")</f>
        <v>['Busy', 'tros', 'kau', 'bangse']</v>
      </c>
      <c r="D10011" s="3">
        <v>1.0</v>
      </c>
    </row>
    <row r="10012" ht="15.75" customHeight="1">
      <c r="A10012" s="1">
        <v>10665.0</v>
      </c>
      <c r="B10012" s="3" t="s">
        <v>9595</v>
      </c>
      <c r="C10012" s="3" t="str">
        <f>IFERROR(__xludf.DUMMYFUNCTION("GOOGLETRANSLATE(B10012,""id"",""en"")"),"['', 'pulse', 'truncated', 'package', 'internet', 'yesterday', 'returned', 'hope', 'in the future', 'SPT', 'Success', ""]")</f>
        <v>['', 'pulse', 'truncated', 'package', 'internet', 'yesterday', 'returned', 'hope', 'in the future', 'SPT', 'Success', "]</v>
      </c>
      <c r="D10012" s="3">
        <v>1.0</v>
      </c>
    </row>
    <row r="10013" ht="15.75" customHeight="1">
      <c r="A10013" s="1">
        <v>10666.0</v>
      </c>
      <c r="B10013" s="3" t="s">
        <v>9596</v>
      </c>
      <c r="C10013" s="3" t="str">
        <f>IFERROR(__xludf.DUMMYFUNCTION("GOOGLETRANSLATE(B10013,""id"",""en"")"),"['Gabisa', 'Open', 'App']")</f>
        <v>['Gabisa', 'Open', 'App']</v>
      </c>
      <c r="D10013" s="3">
        <v>1.0</v>
      </c>
    </row>
    <row r="10014" ht="15.75" customHeight="1">
      <c r="A10014" s="1">
        <v>10667.0</v>
      </c>
      <c r="B10014" s="3" t="s">
        <v>9597</v>
      </c>
      <c r="C10014" s="3" t="str">
        <f>IFERROR(__xludf.DUMMYFUNCTION("GOOGLETRANSLATE(B10014,""id"",""en"")"),"['Signal', 'Setabil', 'Sometimes', 'Lost', 'Signal', 'Cause', 'Learning', 'Learning']")</f>
        <v>['Signal', 'Setabil', 'Sometimes', 'Lost', 'Signal', 'Cause', 'Learning', 'Learning']</v>
      </c>
      <c r="D10014" s="3">
        <v>2.0</v>
      </c>
    </row>
    <row r="10015" ht="15.75" customHeight="1">
      <c r="A10015" s="1">
        <v>10668.0</v>
      </c>
      <c r="B10015" s="3" t="s">
        <v>9598</v>
      </c>
      <c r="C10015" s="3" t="str">
        <f>IFERROR(__xludf.DUMMYFUNCTION("GOOGLETRANSLATE(B10015,""id"",""en"")"),"['Application', 'strange', 'buy', 'package', 'pulse', 'sufficient', 'pulse', 'sufficient', 'action', 'continue', ""]")</f>
        <v>['Application', 'strange', 'buy', 'package', 'pulse', 'sufficient', 'pulse', 'sufficient', 'action', 'continue', "]</v>
      </c>
      <c r="D10015" s="3">
        <v>1.0</v>
      </c>
    </row>
    <row r="10016" ht="15.75" customHeight="1">
      <c r="A10016" s="1">
        <v>10669.0</v>
      </c>
      <c r="B10016" s="3" t="s">
        <v>9599</v>
      </c>
      <c r="C10016" s="3" t="str">
        <f>IFERROR(__xludf.DUMMYFUNCTION("GOOGLETRANSLATE(B10016,""id"",""en"")"),"['signal', 'in the area', 'calculated', 'repair', '']")</f>
        <v>['signal', 'in the area', 'calculated', 'repair', '']</v>
      </c>
      <c r="D10016" s="3">
        <v>1.0</v>
      </c>
    </row>
    <row r="10017" ht="15.75" customHeight="1">
      <c r="A10017" s="1">
        <v>10670.0</v>
      </c>
      <c r="B10017" s="3" t="s">
        <v>9600</v>
      </c>
      <c r="C10017" s="3" t="str">
        <f>IFERROR(__xludf.DUMMYFUNCTION("GOOGLETRANSLATE(B10017,""id"",""en"")"),"['Speed', 'network', 'good', 'doubt', 'because', 'users', 'Telkomsel']")</f>
        <v>['Speed', 'network', 'good', 'doubt', 'because', 'users', 'Telkomsel']</v>
      </c>
      <c r="D10017" s="3">
        <v>5.0</v>
      </c>
    </row>
    <row r="10018" ht="15.75" customHeight="1">
      <c r="A10018" s="1">
        <v>10671.0</v>
      </c>
      <c r="B10018" s="3" t="s">
        <v>9601</v>
      </c>
      <c r="C10018" s="3" t="str">
        <f>IFERROR(__xludf.DUMMYFUNCTION("GOOGLETRANSLATE(B10018,""id"",""en"")"),"['APK', 'Useful', 'Bangettt', '']")</f>
        <v>['APK', 'Useful', 'Bangettt', '']</v>
      </c>
      <c r="D10018" s="3">
        <v>5.0</v>
      </c>
    </row>
    <row r="10019" ht="15.75" customHeight="1">
      <c r="A10019" s="1">
        <v>10672.0</v>
      </c>
      <c r="B10019" s="3" t="s">
        <v>9602</v>
      </c>
      <c r="C10019" s="3" t="str">
        <f>IFERROR(__xludf.DUMMYFUNCTION("GOOGLETRANSLATE(B10019,""id"",""en"")"),"['Good', 'APK's', '']")</f>
        <v>['Good', 'APK's', '']</v>
      </c>
      <c r="D10019" s="3">
        <v>5.0</v>
      </c>
    </row>
    <row r="10020" ht="15.75" customHeight="1">
      <c r="A10020" s="1">
        <v>10673.0</v>
      </c>
      <c r="B10020" s="3" t="s">
        <v>9603</v>
      </c>
      <c r="C10020" s="3" t="str">
        <f>IFERROR(__xludf.DUMMYFUNCTION("GOOGLETRANSLATE(B10020,""id"",""en"")"),"['Use', 'Telkomsel', 'Telkomsel', 'Yag', 'Best']")</f>
        <v>['Use', 'Telkomsel', 'Telkomsel', 'Yag', 'Best']</v>
      </c>
      <c r="D10020" s="3">
        <v>5.0</v>
      </c>
    </row>
    <row r="10021" ht="15.75" customHeight="1">
      <c r="A10021" s="1">
        <v>10674.0</v>
      </c>
      <c r="B10021" s="3" t="s">
        <v>9604</v>
      </c>
      <c r="C10021" s="3" t="str">
        <f>IFERROR(__xludf.DUMMYFUNCTION("GOOGLETRANSLATE(B10021,""id"",""en"")"),"['pulse', 'salora', 'home', 'useful']")</f>
        <v>['pulse', 'salora', 'home', 'useful']</v>
      </c>
      <c r="D10021" s="3">
        <v>3.0</v>
      </c>
    </row>
    <row r="10022" ht="15.75" customHeight="1">
      <c r="A10022" s="1">
        <v>10675.0</v>
      </c>
      <c r="B10022" s="3" t="s">
        <v>9605</v>
      </c>
      <c r="C10022" s="3" t="str">
        <f>IFERROR(__xludf.DUMMYFUNCTION("GOOGLETRANSLATE(B10022,""id"",""en"")"),"['Severe', 'blank', 'white']")</f>
        <v>['Severe', 'blank', 'white']</v>
      </c>
      <c r="D10022" s="3">
        <v>1.0</v>
      </c>
    </row>
    <row r="10023" ht="15.75" customHeight="1">
      <c r="A10023" s="1">
        <v>10676.0</v>
      </c>
      <c r="B10023" s="3" t="s">
        <v>9606</v>
      </c>
      <c r="C10023" s="3" t="str">
        <f>IFERROR(__xludf.DUMMYFUNCTION("GOOGLETRANSLATE(B10023,""id"",""en"")"),"['Purchase', 'as fast', 'light']")</f>
        <v>['Purchase', 'as fast', 'light']</v>
      </c>
      <c r="D10023" s="3">
        <v>5.0</v>
      </c>
    </row>
    <row r="10024" ht="15.75" customHeight="1">
      <c r="A10024" s="1">
        <v>10677.0</v>
      </c>
      <c r="B10024" s="3" t="s">
        <v>9607</v>
      </c>
      <c r="C10024" s="3" t="str">
        <f>IFERROR(__xludf.DUMMYFUNCTION("GOOGLETRANSLATE(B10024,""id"",""en"")"),"['Hopefully']")</f>
        <v>['Hopefully']</v>
      </c>
      <c r="D10024" s="3">
        <v>5.0</v>
      </c>
    </row>
    <row r="10025" ht="15.75" customHeight="1">
      <c r="A10025" s="1">
        <v>10678.0</v>
      </c>
      <c r="B10025" s="3" t="s">
        <v>9608</v>
      </c>
      <c r="C10025" s="3" t="str">
        <f>IFERROR(__xludf.DUMMYFUNCTION("GOOGLETRANSLATE(B10025,""id"",""en"")"),"['Hopefully', 'Win', 'Car', 'Amin']")</f>
        <v>['Hopefully', 'Win', 'Car', 'Amin']</v>
      </c>
      <c r="D10025" s="3">
        <v>5.0</v>
      </c>
    </row>
    <row r="10026" ht="15.75" customHeight="1">
      <c r="A10026" s="1">
        <v>10679.0</v>
      </c>
      <c r="B10026" s="3" t="s">
        <v>1530</v>
      </c>
      <c r="C10026" s="3" t="str">
        <f>IFERROR(__xludf.DUMMYFUNCTION("GOOGLETRANSLATE(B10026,""id"",""en"")"),"['try']")</f>
        <v>['try']</v>
      </c>
      <c r="D10026" s="3">
        <v>5.0</v>
      </c>
    </row>
    <row r="10027" ht="15.75" customHeight="1">
      <c r="A10027" s="1">
        <v>10680.0</v>
      </c>
      <c r="B10027" s="3" t="s">
        <v>9609</v>
      </c>
      <c r="C10027" s="3" t="str">
        <f>IFERROR(__xludf.DUMMYFUNCTION("GOOGLETRANSLATE(B10027,""id"",""en"")"),"['application', 'good', 'ngeblank', 'slow', 'really', 'please', 'fix', 'love', 'star', 'udh', 'good', 'love', ' ']")</f>
        <v>['application', 'good', 'ngeblank', 'slow', 'really', 'please', 'fix', 'love', 'star', 'udh', 'good', 'love', ' ']</v>
      </c>
      <c r="D10027" s="3">
        <v>2.0</v>
      </c>
    </row>
    <row r="10028" ht="15.75" customHeight="1">
      <c r="A10028" s="1">
        <v>10681.0</v>
      </c>
      <c r="B10028" s="3" t="s">
        <v>9610</v>
      </c>
      <c r="C10028" s="3" t="str">
        <f>IFERROR(__xludf.DUMMYFUNCTION("GOOGLETRANSLATE(B10028,""id"",""en"")"),"['fill', 'tip', 'foresthings']")</f>
        <v>['fill', 'tip', 'foresthings']</v>
      </c>
      <c r="D10028" s="3">
        <v>4.0</v>
      </c>
    </row>
    <row r="10029" ht="15.75" customHeight="1">
      <c r="A10029" s="1">
        <v>10682.0</v>
      </c>
      <c r="B10029" s="3" t="s">
        <v>9611</v>
      </c>
      <c r="C10029" s="3" t="str">
        <f>IFERROR(__xludf.DUMMYFUNCTION("GOOGLETRANSLATE(B10029,""id"",""en"")"),"['waww', 'promo', 'steady']")</f>
        <v>['waww', 'promo', 'steady']</v>
      </c>
      <c r="D10029" s="3">
        <v>5.0</v>
      </c>
    </row>
    <row r="10030" ht="15.75" customHeight="1">
      <c r="A10030" s="1">
        <v>10683.0</v>
      </c>
      <c r="B10030" s="3" t="s">
        <v>6319</v>
      </c>
      <c r="C10030" s="3" t="str">
        <f>IFERROR(__xludf.DUMMYFUNCTION("GOOGLETRANSLATE(B10030,""id"",""en"")"),"['', 'enter']")</f>
        <v>['', 'enter']</v>
      </c>
      <c r="D10030" s="3">
        <v>3.0</v>
      </c>
    </row>
    <row r="10031" ht="15.75" customHeight="1">
      <c r="A10031" s="1">
        <v>10684.0</v>
      </c>
      <c r="B10031" s="3" t="s">
        <v>9612</v>
      </c>
      <c r="C10031" s="3" t="str">
        <f>IFERROR(__xludf.DUMMYFUNCTION("GOOGLETRANSLATE(B10031,""id"",""en"")"),"['Update', 'App', 'Opened']")</f>
        <v>['Update', 'App', 'Opened']</v>
      </c>
      <c r="D10031" s="3">
        <v>1.0</v>
      </c>
    </row>
    <row r="10032" ht="15.75" customHeight="1">
      <c r="A10032" s="1">
        <v>10686.0</v>
      </c>
      <c r="B10032" s="3" t="s">
        <v>9613</v>
      </c>
      <c r="C10032" s="3" t="str">
        <f>IFERROR(__xludf.DUMMYFUNCTION("GOOGLETRANSLATE(B10032,""id"",""en"")"),"['Update', 'opened', 'screen', 'white']")</f>
        <v>['Update', 'opened', 'screen', 'white']</v>
      </c>
      <c r="D10032" s="3">
        <v>1.0</v>
      </c>
    </row>
    <row r="10033" ht="15.75" customHeight="1">
      <c r="A10033" s="1">
        <v>10687.0</v>
      </c>
      <c r="B10033" s="3" t="s">
        <v>9614</v>
      </c>
      <c r="C10033" s="3" t="str">
        <f>IFERROR(__xludf.DUMMYFUNCTION("GOOGLETRANSLATE(B10033,""id"",""en"")"),"['Application', 'Juelek', 'Donload', 'Playstore', 'Kokgak', 'Open', '']")</f>
        <v>['Application', 'Juelek', 'Donload', 'Playstore', 'Kokgak', 'Open', '']</v>
      </c>
      <c r="D10033" s="3">
        <v>1.0</v>
      </c>
    </row>
    <row r="10034" ht="15.75" customHeight="1">
      <c r="A10034" s="1">
        <v>10688.0</v>
      </c>
      <c r="B10034" s="3" t="s">
        <v>9615</v>
      </c>
      <c r="C10034" s="3" t="str">
        <f>IFERROR(__xludf.DUMMYFUNCTION("GOOGLETRANSLATE(B10034,""id"",""en"")"),"['Install', 'Delete', 'Install', 'Delete', 'Install', 'Delete', 'Change', 'Sategi', 'Auto', 'Delete', 'Application', ""]")</f>
        <v>['Install', 'Delete', 'Install', 'Delete', 'Install', 'Delete', 'Change', 'Sategi', 'Auto', 'Delete', 'Application', "]</v>
      </c>
      <c r="D10034" s="3">
        <v>1.0</v>
      </c>
    </row>
    <row r="10035" ht="15.75" customHeight="1">
      <c r="A10035" s="1">
        <v>10689.0</v>
      </c>
      <c r="B10035" s="3" t="s">
        <v>9616</v>
      </c>
      <c r="C10035" s="3" t="str">
        <f>IFERROR(__xludf.DUMMYFUNCTION("GOOGLETRANSLATE(B10035,""id"",""en"")"),"['Good', 'Increase', 'Network']")</f>
        <v>['Good', 'Increase', 'Network']</v>
      </c>
      <c r="D10035" s="3">
        <v>5.0</v>
      </c>
    </row>
    <row r="10036" ht="15.75" customHeight="1">
      <c r="A10036" s="1">
        <v>10690.0</v>
      </c>
      <c r="B10036" s="3" t="s">
        <v>9617</v>
      </c>
      <c r="C10036" s="3" t="str">
        <f>IFERROR(__xludf.DUMMYFUNCTION("GOOGLETRANSLATE(B10036,""id"",""en"")"),"['Woy', 'Network', 'lost']")</f>
        <v>['Woy', 'Network', 'lost']</v>
      </c>
      <c r="D10036" s="3">
        <v>1.0</v>
      </c>
    </row>
    <row r="10037" ht="15.75" customHeight="1">
      <c r="A10037" s="1">
        <v>10693.0</v>
      </c>
      <c r="B10037" s="3" t="s">
        <v>9618</v>
      </c>
      <c r="C10037" s="3" t="str">
        <f>IFERROR(__xludf.DUMMYFUNCTION("GOOGLETRANSLATE(B10037,""id"",""en"")"),"['signal', 'Telkomsel', 'good', 'a day', 'his day', 'smooth', 'fast', 'sliding', 'meter', 'direct', 'signal']")</f>
        <v>['signal', 'Telkomsel', 'good', 'a day', 'his day', 'smooth', 'fast', 'sliding', 'meter', 'direct', 'signal']</v>
      </c>
      <c r="D10037" s="3">
        <v>3.0</v>
      </c>
    </row>
    <row r="10038" ht="15.75" customHeight="1">
      <c r="A10038" s="1">
        <v>10694.0</v>
      </c>
      <c r="B10038" s="3" t="s">
        <v>9619</v>
      </c>
      <c r="C10038" s="3" t="str">
        <f>IFERROR(__xludf.DUMMYFUNCTION("GOOGLETRANSLATE(B10038,""id"",""en"")"),"['Fun', 'really', 'okay']")</f>
        <v>['Fun', 'really', 'okay']</v>
      </c>
      <c r="D10038" s="3">
        <v>5.0</v>
      </c>
    </row>
    <row r="10039" ht="15.75" customHeight="1">
      <c r="A10039" s="1">
        <v>10695.0</v>
      </c>
      <c r="B10039" s="3" t="s">
        <v>9620</v>
      </c>
      <c r="C10039" s="3" t="str">
        <f>IFERROR(__xludf.DUMMYFUNCTION("GOOGLETRANSLATE(B10039,""id"",""en"")"),"['Telkomsel', 'Provider', 'Price', 'Sultan', 'Quality', 'Poor', 'Uninstall', 'Permanent', ""]")</f>
        <v>['Telkomsel', 'Provider', 'Price', 'Sultan', 'Quality', 'Poor', 'Uninstall', 'Permanent', "]</v>
      </c>
      <c r="D10039" s="3">
        <v>1.0</v>
      </c>
    </row>
    <row r="10040" ht="15.75" customHeight="1">
      <c r="A10040" s="1">
        <v>10696.0</v>
      </c>
      <c r="B10040" s="3" t="s">
        <v>9621</v>
      </c>
      <c r="C10040" s="3" t="str">
        <f>IFERROR(__xludf.DUMMYFUNCTION("GOOGLETRANSLATE(B10040,""id"",""en"")"),"['mantaf', 'times', 'mantaf']")</f>
        <v>['mantaf', 'times', 'mantaf']</v>
      </c>
      <c r="D10040" s="3">
        <v>5.0</v>
      </c>
    </row>
    <row r="10041" ht="15.75" customHeight="1">
      <c r="A10041" s="1">
        <v>10697.0</v>
      </c>
      <c r="B10041" s="3" t="s">
        <v>9622</v>
      </c>
      <c r="C10041" s="3" t="str">
        <f>IFERROR(__xludf.DUMMYFUNCTION("GOOGLETRANSLATE(B10041,""id"",""en"")"),"['Points', 'tidk', 'exchange']")</f>
        <v>['Points', 'tidk', 'exchange']</v>
      </c>
      <c r="D10041" s="3">
        <v>1.0</v>
      </c>
    </row>
    <row r="10042" ht="15.75" customHeight="1">
      <c r="A10042" s="1">
        <v>10698.0</v>
      </c>
      <c r="B10042" s="3" t="s">
        <v>9623</v>
      </c>
      <c r="C10042" s="3" t="str">
        <f>IFERROR(__xludf.DUMMYFUNCTION("GOOGLETRANSLATE(B10042,""id"",""en"")"),"['Funny', 'Review', 'account', 'Google', 'next door', 'Delete', 'Kasi', 'Goodbye', 'Telkomsel', ""]")</f>
        <v>['Funny', 'Review', 'account', 'Google', 'next door', 'Delete', 'Kasi', 'Goodbye', 'Telkomsel', "]</v>
      </c>
      <c r="D10042" s="3">
        <v>1.0</v>
      </c>
    </row>
    <row r="10043" ht="15.75" customHeight="1">
      <c r="A10043" s="1">
        <v>10699.0</v>
      </c>
      <c r="B10043" s="3" t="s">
        <v>9624</v>
      </c>
      <c r="C10043" s="3" t="str">
        <f>IFERROR(__xludf.DUMMYFUNCTION("GOOGLETRANSLATE(B10043,""id"",""en"")"),"['Telkomsel', 'good', 'advanced', 'Indonesia', '']")</f>
        <v>['Telkomsel', 'good', 'advanced', 'Indonesia', '']</v>
      </c>
      <c r="D10043" s="3">
        <v>5.0</v>
      </c>
    </row>
    <row r="10044" ht="15.75" customHeight="1">
      <c r="A10044" s="1">
        <v>10700.0</v>
      </c>
      <c r="B10044" s="3" t="s">
        <v>9625</v>
      </c>
      <c r="C10044" s="3" t="str">
        <f>IFERROR(__xludf.DUMMYFUNCTION("GOOGLETRANSLATE(B10044,""id"",""en"")"),"['Out', 'update', 'Nge', 'blank', 'opened', 'application']")</f>
        <v>['Out', 'update', 'Nge', 'blank', 'opened', 'application']</v>
      </c>
      <c r="D10044" s="3">
        <v>2.0</v>
      </c>
    </row>
    <row r="10045" ht="15.75" customHeight="1">
      <c r="A10045" s="1">
        <v>10701.0</v>
      </c>
      <c r="B10045" s="3" t="s">
        <v>9626</v>
      </c>
      <c r="C10045" s="3" t="str">
        <f>IFERROR(__xludf.DUMMYFUNCTION("GOOGLETRANSLATE(B10045,""id"",""en"")"),"['', 'KNP', 'Ngupdate', 'Game', 'Game', 'Direct', 'Out', 'Quota', 'Bonus',' Quota ',' Ministry of Education and Culture ',' Reduced ',' Open ',' quota ',' Ministry of Education and Culture ',' Kekeake ',' UDH ',' complain ',' answer ',' SREG ',' HOLDA ','"&amp;" Telkomsel ']")</f>
        <v>['', 'KNP', 'Ngupdate', 'Game', 'Game', 'Direct', 'Out', 'Quota', 'Bonus',' Quota ',' Ministry of Education and Culture ',' Reduced ',' Open ',' quota ',' Ministry of Education and Culture ',' Kekeake ',' UDH ',' complain ',' answer ',' SREG ',' HOLDA ',' Telkomsel ']</v>
      </c>
      <c r="D10045" s="3">
        <v>1.0</v>
      </c>
    </row>
    <row r="10046" ht="15.75" customHeight="1">
      <c r="A10046" s="1">
        <v>10702.0</v>
      </c>
      <c r="B10046" s="3" t="s">
        <v>9627</v>
      </c>
      <c r="C10046" s="3" t="str">
        <f>IFERROR(__xludf.DUMMYFUNCTION("GOOGLETRANSLATE(B10046,""id"",""en"")"),"['like', 'crazy', 'ilang', 'signal', 'use', 'weather', 'bright', 'disappointing', '']")</f>
        <v>['like', 'crazy', 'ilang', 'signal', 'use', 'weather', 'bright', 'disappointing', '']</v>
      </c>
      <c r="D10046" s="3">
        <v>1.0</v>
      </c>
    </row>
    <row r="10047" ht="15.75" customHeight="1">
      <c r="A10047" s="1">
        <v>10704.0</v>
      </c>
      <c r="B10047" s="3" t="s">
        <v>9628</v>
      </c>
      <c r="C10047" s="3" t="str">
        <f>IFERROR(__xludf.DUMMYFUNCTION("GOOGLETRANSLATE(B10047,""id"",""en"")"),"['Sinyal', 'lag', 'bagusan', 'axis']")</f>
        <v>['Sinyal', 'lag', 'bagusan', 'axis']</v>
      </c>
      <c r="D10047" s="3">
        <v>1.0</v>
      </c>
    </row>
    <row r="10048" ht="15.75" customHeight="1">
      <c r="A10048" s="1">
        <v>10705.0</v>
      </c>
      <c r="B10048" s="3" t="s">
        <v>9629</v>
      </c>
      <c r="C10048" s="3" t="str">
        <f>IFERROR(__xludf.DUMMYFUNCTION("GOOGLETRANSLATE(B10048,""id"",""en"")"),"['hope', 'Reziki', 'gift', 'amiin']")</f>
        <v>['hope', 'Reziki', 'gift', 'amiin']</v>
      </c>
      <c r="D10048" s="3">
        <v>5.0</v>
      </c>
    </row>
    <row r="10049" ht="15.75" customHeight="1">
      <c r="A10049" s="1">
        <v>10706.0</v>
      </c>
      <c r="B10049" s="3" t="s">
        <v>9630</v>
      </c>
      <c r="C10049" s="3" t="str">
        <f>IFERROR(__xludf.DUMMYFUNCTION("GOOGLETRANSLATE(B10049,""id"",""en"")"),"['Application', 'Ngbeleng', 'Bagu', 'Application']")</f>
        <v>['Application', 'Ngbeleng', 'Bagu', 'Application']</v>
      </c>
      <c r="D10049" s="3">
        <v>1.0</v>
      </c>
    </row>
    <row r="10050" ht="15.75" customHeight="1">
      <c r="A10050" s="1">
        <v>10707.0</v>
      </c>
      <c r="B10050" s="3" t="s">
        <v>9631</v>
      </c>
      <c r="C10050" s="3" t="str">
        <f>IFERROR(__xludf.DUMMYFUNCTION("GOOGLETRANSLATE(B10050,""id"",""en"")"),"['Telkomsel', 'internet', 'broke', 'already', 'boiled', 'Tlvon', 'operator', 'results',' location ',' nusa ',' penida ',' bali ',' ']")</f>
        <v>['Telkomsel', 'internet', 'broke', 'already', 'boiled', 'Tlvon', 'operator', 'results',' location ',' nusa ',' penida ',' bali ',' ']</v>
      </c>
      <c r="D10050" s="3">
        <v>1.0</v>
      </c>
    </row>
    <row r="10051" ht="15.75" customHeight="1">
      <c r="A10051" s="1">
        <v>10708.0</v>
      </c>
      <c r="B10051" s="3" t="s">
        <v>9632</v>
      </c>
      <c r="C10051" s="3" t="str">
        <f>IFERROR(__xludf.DUMMYFUNCTION("GOOGLETRANSLATE(B10051,""id"",""en"")"),"['Sis', 'Update', 'Application', 'Telkomsel', 'Opened', 'Blank', 'White', 'Loading', 'Network', 'Internet', 'Normal', 'Application']")</f>
        <v>['Sis', 'Update', 'Application', 'Telkomsel', 'Opened', 'Blank', 'White', 'Loading', 'Network', 'Internet', 'Normal', 'Application']</v>
      </c>
      <c r="D10051" s="3">
        <v>3.0</v>
      </c>
    </row>
    <row r="10052" ht="15.75" customHeight="1">
      <c r="A10052" s="1">
        <v>10709.0</v>
      </c>
      <c r="B10052" s="3" t="s">
        <v>9633</v>
      </c>
      <c r="C10052" s="3" t="str">
        <f>IFERROR(__xludf.DUMMYFUNCTION("GOOGLETRANSLATE(B10052,""id"",""en"")"),"['Telkom', 'buy', 'quota', 'games', 'silver', 'diamond', 'mobile', 'legends', 'diamond', 'satisfied', '']")</f>
        <v>['Telkom', 'buy', 'quota', 'games', 'silver', 'diamond', 'mobile', 'legends', 'diamond', 'satisfied', '']</v>
      </c>
      <c r="D10052" s="3">
        <v>1.0</v>
      </c>
    </row>
    <row r="10053" ht="15.75" customHeight="1">
      <c r="A10053" s="1">
        <v>10710.0</v>
      </c>
      <c r="B10053" s="3" t="s">
        <v>9634</v>
      </c>
      <c r="C10053" s="3" t="str">
        <f>IFERROR(__xludf.DUMMYFUNCTION("GOOGLETRANSLATE(B10053,""id"",""en"")"),"['Benerin', 'signal', 'bang']")</f>
        <v>['Benerin', 'signal', 'bang']</v>
      </c>
      <c r="D10053" s="3">
        <v>1.0</v>
      </c>
    </row>
    <row r="10054" ht="15.75" customHeight="1">
      <c r="A10054" s="1">
        <v>10711.0</v>
      </c>
      <c r="B10054" s="3" t="s">
        <v>9635</v>
      </c>
      <c r="C10054" s="3" t="str">
        <f>IFERROR(__xludf.DUMMYFUNCTION("GOOGLETRANSLATE(B10054,""id"",""en"")"),"['signal', 'Telkomsel', 'here', 'maik', 'ngaco', 'see', 'video', 'lag', 'kaga', 'road', 'please', 'fix', ' The network is', 'Region', 'Putok', 'Cook', 'Telkomsel', 'Provider', 'Lost', 'Provider', ""]")</f>
        <v>['signal', 'Telkomsel', 'here', 'maik', 'ngaco', 'see', 'video', 'lag', 'kaga', 'road', 'please', 'fix', ' The network is', 'Region', 'Putok', 'Cook', 'Telkomsel', 'Provider', 'Lost', 'Provider', "]</v>
      </c>
      <c r="D10054" s="3">
        <v>1.0</v>
      </c>
    </row>
    <row r="10055" ht="15.75" customHeight="1">
      <c r="A10055" s="1">
        <v>10713.0</v>
      </c>
      <c r="B10055" s="3" t="s">
        <v>9636</v>
      </c>
      <c r="C10055" s="3" t="str">
        <f>IFERROR(__xludf.DUMMYFUNCTION("GOOGLETRANSLATE(B10055,""id"",""en"")"),"['application', 'fast', 'please', 'innovation', 'creative', 'feature', 'redeem', 'point', 'point', 'customer', 'collected', 'was used', ' ']")</f>
        <v>['application', 'fast', 'please', 'innovation', 'creative', 'feature', 'redeem', 'point', 'point', 'customer', 'collected', 'was used', ' ']</v>
      </c>
      <c r="D10055" s="3">
        <v>5.0</v>
      </c>
    </row>
    <row r="10056" ht="15.75" customHeight="1">
      <c r="A10056" s="1">
        <v>10714.0</v>
      </c>
      <c r="B10056" s="3" t="s">
        <v>9637</v>
      </c>
      <c r="C10056" s="3" t="str">
        <f>IFERROR(__xludf.DUMMYFUNCTION("GOOGLETRANSLATE(B10056,""id"",""en"")"),"['Price', 'cheap', 'steady', 'love', 'price', 'best', 'boss']")</f>
        <v>['Price', 'cheap', 'steady', 'love', 'price', 'best', 'boss']</v>
      </c>
      <c r="D10056" s="3">
        <v>5.0</v>
      </c>
    </row>
    <row r="10057" ht="15.75" customHeight="1">
      <c r="A10057" s="1">
        <v>10715.0</v>
      </c>
      <c r="B10057" s="3" t="s">
        <v>659</v>
      </c>
      <c r="C10057" s="3" t="str">
        <f>IFERROR(__xludf.DUMMYFUNCTION("GOOGLETRANSLATE(B10057,""id"",""en"")"),"['Application', 'Help']")</f>
        <v>['Application', 'Help']</v>
      </c>
      <c r="D10057" s="3">
        <v>5.0</v>
      </c>
    </row>
    <row r="10058" ht="15.75" customHeight="1">
      <c r="A10058" s="1">
        <v>10716.0</v>
      </c>
      <c r="B10058" s="3" t="s">
        <v>9638</v>
      </c>
      <c r="C10058" s="3" t="str">
        <f>IFERROR(__xludf.DUMMYFUNCTION("GOOGLETRANSLATE(B10058,""id"",""en"")"),"['ask', 'kak', 'quota', 'viu', 'walking', 'quota', 'maxstream', 'Basic', 'access',' Viu ',' run out ',' quota ',' The main ',' spent ',' quota ',' main ',' quota ',' maxstream ',' Basic ', ""]")</f>
        <v>['ask', 'kak', 'quota', 'viu', 'walking', 'quota', 'maxstream', 'Basic', 'access',' Viu ',' run out ',' quota ',' The main ',' spent ',' quota ',' main ',' quota ',' maxstream ',' Basic ', "]</v>
      </c>
      <c r="D10058" s="3">
        <v>2.0</v>
      </c>
    </row>
    <row r="10059" ht="15.75" customHeight="1">
      <c r="A10059" s="1">
        <v>10717.0</v>
      </c>
      <c r="B10059" s="3" t="s">
        <v>9639</v>
      </c>
      <c r="C10059" s="3" t="str">
        <f>IFERROR(__xludf.DUMMYFUNCTION("GOOGLETRANSLATE(B10059,""id"",""en"")"),"['Package', 'call', 'please', 'he age', 'short', 'cook', 'week', 'buy', 'package', 'telephone', 'please', 'attention', ' ']")</f>
        <v>['Package', 'call', 'please', 'he age', 'short', 'cook', 'week', 'buy', 'package', 'telephone', 'please', 'attention', ' ']</v>
      </c>
      <c r="D10059" s="3">
        <v>3.0</v>
      </c>
    </row>
    <row r="10060" ht="15.75" customHeight="1">
      <c r="A10060" s="1">
        <v>10718.0</v>
      </c>
      <c r="B10060" s="3" t="s">
        <v>9640</v>
      </c>
      <c r="C10060" s="3" t="str">
        <f>IFERROR(__xludf.DUMMYFUNCTION("GOOGLETRANSLATE(B10060,""id"",""en"")"),"['application', 'ugly', 'appears', 'option', 'buy', 'package', 'data', 'internet', 'package', 'expensive', 'operator', '']")</f>
        <v>['application', 'ugly', 'appears', 'option', 'buy', 'package', 'data', 'internet', 'package', 'expensive', 'operator', '']</v>
      </c>
      <c r="D10060" s="3">
        <v>1.0</v>
      </c>
    </row>
    <row r="10061" ht="15.75" customHeight="1">
      <c r="A10061" s="1">
        <v>10719.0</v>
      </c>
      <c r="B10061" s="3" t="s">
        <v>9641</v>
      </c>
      <c r="C10061" s="3" t="str">
        <f>IFERROR(__xludf.DUMMYFUNCTION("GOOGLETRANSLATE(B10061,""id"",""en"")"),"['updated', 'version', 'the latest', 'entry', 'application', 'screen', 'white']")</f>
        <v>['updated', 'version', 'the latest', 'entry', 'application', 'screen', 'white']</v>
      </c>
      <c r="D10061" s="3">
        <v>1.0</v>
      </c>
    </row>
    <row r="10062" ht="15.75" customHeight="1">
      <c r="A10062" s="1">
        <v>10720.0</v>
      </c>
      <c r="B10062" s="3" t="s">
        <v>9642</v>
      </c>
      <c r="C10062" s="3" t="str">
        <f>IFERROR(__xludf.DUMMYFUNCTION("GOOGLETRANSLATE(B10062,""id"",""en"")"),"['Package', 'data', 'cheap', 'bnyak', 'promo', '']")</f>
        <v>['Package', 'data', 'cheap', 'bnyak', 'promo', '']</v>
      </c>
      <c r="D10062" s="3">
        <v>5.0</v>
      </c>
    </row>
    <row r="10063" ht="15.75" customHeight="1">
      <c r="A10063" s="1">
        <v>10721.0</v>
      </c>
      <c r="B10063" s="3" t="s">
        <v>9643</v>
      </c>
      <c r="C10063" s="3" t="str">
        <f>IFERROR(__xludf.DUMMYFUNCTION("GOOGLETRANSLATE(B10063,""id"",""en"")"),"['Want', 'Update', 'TPI', 'Forgot', 'User', 'Msih', 'Use', 'Android', 'Version', 'Ngeblank', 'Stlah', 'Update', ' Please ',' deleted ',' Download ',' Telkomsel ',' version ',' Download ',' Via ',' Google ',' Chrome ',' SDAH ',' Trying ',' Hopefully ',' Ev"&amp;"aluation ' , 'Telkomsel', 'wrong', 'user', 'trmasuk', 'disappointed', 'update', '']")</f>
        <v>['Want', 'Update', 'TPI', 'Forgot', 'User', 'Msih', 'Use', 'Android', 'Version', 'Ngeblank', 'Stlah', 'Update', ' Please ',' deleted ',' Download ',' Telkomsel ',' version ',' Download ',' Via ',' Google ',' Chrome ',' SDAH ',' Trying ',' Hopefully ',' Evaluation ' , 'Telkomsel', 'wrong', 'user', 'trmasuk', 'disappointed', 'update', '']</v>
      </c>
      <c r="D10063" s="3">
        <v>3.0</v>
      </c>
    </row>
    <row r="10064" ht="15.75" customHeight="1">
      <c r="A10064" s="1">
        <v>10722.0</v>
      </c>
      <c r="B10064" s="3" t="s">
        <v>9644</v>
      </c>
      <c r="C10064" s="3" t="str">
        <f>IFERROR(__xludf.DUMMYFUNCTION("GOOGLETRANSLATE(B10064,""id"",""en"")"),"['Liki', 'APK']")</f>
        <v>['Liki', 'APK']</v>
      </c>
      <c r="D10064" s="3">
        <v>5.0</v>
      </c>
    </row>
    <row r="10065" ht="15.75" customHeight="1">
      <c r="A10065" s="1">
        <v>10723.0</v>
      </c>
      <c r="B10065" s="3" t="s">
        <v>9645</v>
      </c>
      <c r="C10065" s="3" t="str">
        <f>IFERROR(__xludf.DUMMYFUNCTION("GOOGLETRANSLATE(B10065,""id"",""en"")"),"['experience', 'trouble', 'naruk', 'Points']")</f>
        <v>['experience', 'trouble', 'naruk', 'Points']</v>
      </c>
      <c r="D10065" s="3">
        <v>1.0</v>
      </c>
    </row>
    <row r="10066" ht="15.75" customHeight="1">
      <c r="A10066" s="1">
        <v>10724.0</v>
      </c>
      <c r="B10066" s="3" t="s">
        <v>9646</v>
      </c>
      <c r="C10066" s="3" t="str">
        <f>IFERROR(__xludf.DUMMYFUNCTION("GOOGLETRANSLATE(B10066,""id"",""en"")"),"['Gift', 'Donk']")</f>
        <v>['Gift', 'Donk']</v>
      </c>
      <c r="D10066" s="3">
        <v>5.0</v>
      </c>
    </row>
    <row r="10067" ht="15.75" customHeight="1">
      <c r="A10067" s="1">
        <v>10726.0</v>
      </c>
      <c r="B10067" s="3" t="s">
        <v>2591</v>
      </c>
      <c r="C10067" s="3" t="str">
        <f>IFERROR(__xludf.DUMMYFUNCTION("GOOGLETRANSLATE(B10067,""id"",""en"")"),"['Good', 'APK', '']")</f>
        <v>['Good', 'APK', '']</v>
      </c>
      <c r="D10067" s="3">
        <v>5.0</v>
      </c>
    </row>
    <row r="10068" ht="15.75" customHeight="1">
      <c r="A10068" s="1">
        <v>10727.0</v>
      </c>
      <c r="B10068" s="3" t="s">
        <v>9647</v>
      </c>
      <c r="C10068" s="3" t="str">
        <f>IFERROR(__xludf.DUMMYFUNCTION("GOOGLETRANSLATE(B10068,""id"",""en"")"),"['Sorry', 'knp', 'signal', 'no', 'pdhl', 'already', 'tried', 'no', 'changed']")</f>
        <v>['Sorry', 'knp', 'signal', 'no', 'pdhl', 'already', 'tried', 'no', 'changed']</v>
      </c>
      <c r="D10068" s="3">
        <v>2.0</v>
      </c>
    </row>
    <row r="10069" ht="15.75" customHeight="1">
      <c r="A10069" s="1">
        <v>10728.0</v>
      </c>
      <c r="B10069" s="3" t="s">
        <v>9648</v>
      </c>
      <c r="C10069" s="3" t="str">
        <f>IFERROR(__xludf.DUMMYFUNCTION("GOOGLETRANSLATE(B10069,""id"",""en"")"),"['Government', 'Price', 'Package']")</f>
        <v>['Government', 'Price', 'Package']</v>
      </c>
      <c r="D10069" s="3">
        <v>5.0</v>
      </c>
    </row>
    <row r="10070" ht="15.75" customHeight="1">
      <c r="A10070" s="1">
        <v>10729.0</v>
      </c>
      <c r="B10070" s="3" t="s">
        <v>9649</v>
      </c>
      <c r="C10070" s="3" t="str">
        <f>IFERROR(__xludf.DUMMYFUNCTION("GOOGLETRANSLATE(B10070,""id"",""en"")"),"['APK', 'Heng', 'send', 'package', 'data', 'number', 'buy', 'package', 'sms',' mgkn ',' stlh ',' repair ',' Increased ',' star ',' telephone ',' overcome ',' told ',' Install ',' reset ', ""]")</f>
        <v>['APK', 'Heng', 'send', 'package', 'data', 'number', 'buy', 'package', 'sms',' mgkn ',' stlh ',' repair ',' Increased ',' star ',' telephone ',' overcome ',' told ',' Install ',' reset ', "]</v>
      </c>
      <c r="D10070" s="3">
        <v>1.0</v>
      </c>
    </row>
    <row r="10071" ht="15.75" customHeight="1">
      <c r="A10071" s="1">
        <v>10730.0</v>
      </c>
      <c r="B10071" s="3" t="s">
        <v>9650</v>
      </c>
      <c r="C10071" s="3" t="str">
        <f>IFERROR(__xludf.DUMMYFUNCTION("GOOGLETRANSLATE(B10071,""id"",""en"")"),"['The network', 'ilang', 'ex']")</f>
        <v>['The network', 'ilang', 'ex']</v>
      </c>
      <c r="D10071" s="3">
        <v>1.0</v>
      </c>
    </row>
    <row r="10072" ht="15.75" customHeight="1">
      <c r="A10072" s="1">
        <v>10731.0</v>
      </c>
      <c r="B10072" s="3" t="s">
        <v>9651</v>
      </c>
      <c r="C10072" s="3" t="str">
        <f>IFERROR(__xludf.DUMMYFUNCTION("GOOGLETRANSLATE(B10072,""id"",""en"")"),"['funny thingly', 'quota', 'sosmed', 'youtube', 'just', 'kbps',' helow ',' era ',' skrg ',' era ',' speed ',' that way ',' slow ',' woy ',' quota ']")</f>
        <v>['funny thingly', 'quota', 'sosmed', 'youtube', 'just', 'kbps',' helow ',' era ',' skrg ',' era ',' speed ',' that way ',' slow ',' woy ',' quota ']</v>
      </c>
      <c r="D10072" s="3">
        <v>1.0</v>
      </c>
    </row>
    <row r="10073" ht="15.75" customHeight="1">
      <c r="A10073" s="1">
        <v>10732.0</v>
      </c>
      <c r="B10073" s="3" t="s">
        <v>9652</v>
      </c>
      <c r="C10073" s="3" t="str">
        <f>IFERROR(__xludf.DUMMYFUNCTION("GOOGLETRANSLATE(B10073,""id"",""en"")"),"['Telkomsel', 'Orgil']")</f>
        <v>['Telkomsel', 'Orgil']</v>
      </c>
      <c r="D10073" s="3">
        <v>1.0</v>
      </c>
    </row>
    <row r="10074" ht="15.75" customHeight="1">
      <c r="A10074" s="1">
        <v>10733.0</v>
      </c>
      <c r="B10074" s="3" t="s">
        <v>9653</v>
      </c>
      <c r="C10074" s="3" t="str">
        <f>IFERROR(__xludf.DUMMYFUNCTION("GOOGLETRANSLATE(B10074,""id"",""en"")"),"['Difficult', 'Search', 'Signal', 'KBB', 'Telkomsel', 'Hmpir', 'friend', 'Ngeluh']")</f>
        <v>['Difficult', 'Search', 'Signal', 'KBB', 'Telkomsel', 'Hmpir', 'friend', 'Ngeluh']</v>
      </c>
      <c r="D10074" s="3">
        <v>1.0</v>
      </c>
    </row>
    <row r="10075" ht="15.75" customHeight="1">
      <c r="A10075" s="1">
        <v>10734.0</v>
      </c>
      <c r="B10075" s="3" t="s">
        <v>9654</v>
      </c>
      <c r="C10075" s="3" t="str">
        <f>IFERROR(__xludf.DUMMYFUNCTION("GOOGLETRANSLATE(B10075,""id"",""en"")"),"['already', 'nggk', 'opened', 'install', 'uninstall', 'then', 'nggk', 'change', 'please', 'fast', 'repair']")</f>
        <v>['already', 'nggk', 'opened', 'install', 'uninstall', 'then', 'nggk', 'change', 'please', 'fast', 'repair']</v>
      </c>
      <c r="D10075" s="3">
        <v>1.0</v>
      </c>
    </row>
    <row r="10076" ht="15.75" customHeight="1">
      <c r="A10076" s="1">
        <v>10735.0</v>
      </c>
      <c r="B10076" s="3" t="s">
        <v>9655</v>
      </c>
      <c r="C10076" s="3" t="str">
        <f>IFERROR(__xludf.DUMMYFUNCTION("GOOGLETRANSLATE(B10076,""id"",""en"")"),"['Date', 'Application', 'Connect', 'Mobile', 'Samsung', 'Date', 'Try', 'Download', 'Honor', 'Connect', 'Please']")</f>
        <v>['Date', 'Application', 'Connect', 'Mobile', 'Samsung', 'Date', 'Try', 'Download', 'Honor', 'Connect', 'Please']</v>
      </c>
      <c r="D10076" s="3">
        <v>1.0</v>
      </c>
    </row>
    <row r="10077" ht="15.75" customHeight="1">
      <c r="A10077" s="1">
        <v>10736.0</v>
      </c>
      <c r="B10077" s="3" t="s">
        <v>9656</v>
      </c>
      <c r="C10077" s="3" t="str">
        <f>IFERROR(__xludf.DUMMYFUNCTION("GOOGLETRANSLATE(B10077,""id"",""en"")"),"['min', 'honest', 'knp', 'card', 'sympathy', 'difficult', 'network', 'network', 'stay', 'jakarta', 'knp', 'difficult', ' Signal ',' Kek ',' Forest ',' ']")</f>
        <v>['min', 'honest', 'knp', 'card', 'sympathy', 'difficult', 'network', 'network', 'stay', 'jakarta', 'knp', 'difficult', ' Signal ',' Kek ',' Forest ',' ']</v>
      </c>
      <c r="D10077" s="3">
        <v>2.0</v>
      </c>
    </row>
    <row r="10078" ht="15.75" customHeight="1">
      <c r="A10078" s="1">
        <v>10737.0</v>
      </c>
      <c r="B10078" s="3" t="s">
        <v>9657</v>
      </c>
      <c r="C10078" s="3" t="str">
        <f>IFERROR(__xludf.DUMMYFUNCTION("GOOGLETRANSLATE(B10078,""id"",""en"")"),"['screen', 'white', 'open']")</f>
        <v>['screen', 'white', 'open']</v>
      </c>
      <c r="D10078" s="3">
        <v>1.0</v>
      </c>
    </row>
    <row r="10079" ht="15.75" customHeight="1">
      <c r="A10079" s="1">
        <v>10738.0</v>
      </c>
      <c r="B10079" s="3" t="s">
        <v>9658</v>
      </c>
      <c r="C10079" s="3" t="str">
        <f>IFERROR(__xludf.DUMMYFUNCTION("GOOGLETRANSLATE(B10079,""id"",""en"")"),"['apk', 'error', 'business', 'work', 'use', 'card', 'Telkomsel', ""]")</f>
        <v>['apk', 'error', 'business', 'work', 'use', 'card', 'Telkomsel', "]</v>
      </c>
      <c r="D10079" s="3">
        <v>1.0</v>
      </c>
    </row>
    <row r="10080" ht="15.75" customHeight="1">
      <c r="A10080" s="1">
        <v>10739.0</v>
      </c>
      <c r="B10080" s="3" t="s">
        <v>9659</v>
      </c>
      <c r="C10080" s="3" t="str">
        <f>IFERROR(__xludf.DUMMYFUNCTION("GOOGLETRANSLATE(B10080,""id"",""en"")"),"['Mantull', 'BNGET', 'OCCCCCCC']")</f>
        <v>['Mantull', 'BNGET', 'OCCCCCCC']</v>
      </c>
      <c r="D10080" s="3">
        <v>5.0</v>
      </c>
    </row>
    <row r="10081" ht="15.75" customHeight="1">
      <c r="A10081" s="1">
        <v>10740.0</v>
      </c>
      <c r="B10081" s="3" t="s">
        <v>9660</v>
      </c>
      <c r="C10081" s="3" t="str">
        <f>IFERROR(__xludf.DUMMYFUNCTION("GOOGLETRANSLATE(B10081,""id"",""en"")"),"['Congratulations', 'Morning', 'Open', 'Telkomsel', 'Min', ""]")</f>
        <v>['Congratulations', 'Morning', 'Open', 'Telkomsel', 'Min', "]</v>
      </c>
      <c r="D10081" s="3">
        <v>5.0</v>
      </c>
    </row>
    <row r="10082" ht="15.75" customHeight="1">
      <c r="A10082" s="1">
        <v>10741.0</v>
      </c>
      <c r="B10082" s="3" t="s">
        <v>9661</v>
      </c>
      <c r="C10082" s="3" t="str">
        <f>IFERROR(__xludf.DUMMYFUNCTION("GOOGLETRANSLATE(B10082,""id"",""en"")"),"['', 'Telkomsel', 'trusted', 'forward', 'reach', 'ideal']")</f>
        <v>['', 'Telkomsel', 'trusted', 'forward', 'reach', 'ideal']</v>
      </c>
      <c r="D10082" s="3">
        <v>4.0</v>
      </c>
    </row>
    <row r="10083" ht="15.75" customHeight="1">
      <c r="A10083" s="1">
        <v>10742.0</v>
      </c>
      <c r="B10083" s="3" t="s">
        <v>9662</v>
      </c>
      <c r="C10083" s="3" t="str">
        <f>IFERROR(__xludf.DUMMYFUNCTION("GOOGLETRANSLATE(B10083,""id"",""en"")"),"['Credit', 'Sumpot', 'Yesterday', 'Rb', 'Rb', 'Doang', 'Anjayy', 'Corruption', 'Allah', 'Azabnya', 'Hancur', 'Destroyed' victim']")</f>
        <v>['Credit', 'Sumpot', 'Yesterday', 'Rb', 'Rb', 'Doang', 'Anjayy', 'Corruption', 'Allah', 'Azabnya', 'Hancur', 'Destroyed' victim']</v>
      </c>
      <c r="D10083" s="3">
        <v>1.0</v>
      </c>
    </row>
    <row r="10084" ht="15.75" customHeight="1">
      <c r="A10084" s="1">
        <v>10743.0</v>
      </c>
      <c r="B10084" s="3" t="s">
        <v>9663</v>
      </c>
      <c r="C10084" s="3" t="str">
        <f>IFERROR(__xludf.DUMMYFUNCTION("GOOGLETRANSLATE(B10084,""id"",""en"")"),"['', 'Telkomsel', 'opened', 'chat', 'Twitter', 'Official', 'response', 'telegram', 'Veronica']")</f>
        <v>['', 'Telkomsel', 'opened', 'chat', 'Twitter', 'Official', 'response', 'telegram', 'Veronica']</v>
      </c>
      <c r="D10084" s="3">
        <v>5.0</v>
      </c>
    </row>
    <row r="10085" ht="15.75" customHeight="1">
      <c r="A10085" s="1">
        <v>10744.0</v>
      </c>
      <c r="B10085" s="3" t="s">
        <v>9664</v>
      </c>
      <c r="C10085" s="3" t="str">
        <f>IFERROR(__xludf.DUMMYFUNCTION("GOOGLETRANSLATE(B10085,""id"",""en"")"),"['UDH', 'Telkomsel', 'Sampe', 'Skrng', 'Package', 'Slalu', 'Price', 'Nyaa', 'UDH', 'Customer', 'loyal', 'a little', ' little ',' emg ',' hill ',' speed ',' internet ',' ajaa ']")</f>
        <v>['UDH', 'Telkomsel', 'Sampe', 'Skrng', 'Package', 'Slalu', 'Price', 'Nyaa', 'UDH', 'Customer', 'loyal', 'a little', ' little ',' emg ',' hill ',' speed ',' internet ',' ajaa ']</v>
      </c>
      <c r="D10085" s="3">
        <v>2.0</v>
      </c>
    </row>
    <row r="10086" ht="15.75" customHeight="1">
      <c r="A10086" s="1">
        <v>10745.0</v>
      </c>
      <c r="B10086" s="3" t="s">
        <v>9665</v>
      </c>
      <c r="C10086" s="3" t="str">
        <f>IFERROR(__xludf.DUMMYFUNCTION("GOOGLETRANSLATE(B10086,""id"",""en"")"),"['a week', 'blank']")</f>
        <v>['a week', 'blank']</v>
      </c>
      <c r="D10086" s="3">
        <v>1.0</v>
      </c>
    </row>
    <row r="10087" ht="15.75" customHeight="1">
      <c r="A10087" s="1">
        <v>10746.0</v>
      </c>
      <c r="B10087" s="3" t="s">
        <v>9666</v>
      </c>
      <c r="C10087" s="3" t="str">
        <f>IFERROR(__xludf.DUMMYFUNCTION("GOOGLETRANSLATE(B10087,""id"",""en"")"),"['The application', 'simple', 'tasty', 'network', 'like', 'ilang', 'like', 'naek', 'the network']")</f>
        <v>['The application', 'simple', 'tasty', 'network', 'like', 'ilang', 'like', 'naek', 'the network']</v>
      </c>
      <c r="D10087" s="3">
        <v>1.0</v>
      </c>
    </row>
    <row r="10088" ht="15.75" customHeight="1">
      <c r="A10088" s="1">
        <v>10747.0</v>
      </c>
      <c r="B10088" s="3" t="s">
        <v>9667</v>
      </c>
      <c r="C10088" s="3" t="str">
        <f>IFERROR(__xludf.DUMMYFUNCTION("GOOGLETRANSLATE(B10088,""id"",""en"")"),"['Telkom', 'LGI', 'Kenpa', 'Kya', 'signal', 'then']")</f>
        <v>['Telkom', 'LGI', 'Kenpa', 'Kya', 'signal', 'then']</v>
      </c>
      <c r="D10088" s="3">
        <v>1.0</v>
      </c>
    </row>
    <row r="10089" ht="15.75" customHeight="1">
      <c r="A10089" s="1">
        <v>10748.0</v>
      </c>
      <c r="B10089" s="3" t="s">
        <v>9668</v>
      </c>
      <c r="C10089" s="3" t="str">
        <f>IFERROR(__xludf.DUMMYFUNCTION("GOOGLETRANSLATE(B10089,""id"",""en"")"),"['forward', 'apk', 'comfortable', 'looks',' nggk ',' kayak ',' open ',' pngen ',' uninstall ',' mulu ',' thank you ',' mytelkomsel ',' ']")</f>
        <v>['forward', 'apk', 'comfortable', 'looks',' nggk ',' kayak ',' open ',' pngen ',' uninstall ',' mulu ',' thank you ',' mytelkomsel ',' ']</v>
      </c>
      <c r="D10089" s="3">
        <v>5.0</v>
      </c>
    </row>
    <row r="10090" ht="15.75" customHeight="1">
      <c r="A10090" s="1">
        <v>10749.0</v>
      </c>
      <c r="B10090" s="3" t="s">
        <v>9669</v>
      </c>
      <c r="C10090" s="3" t="str">
        <f>IFERROR(__xludf.DUMMYFUNCTION("GOOGLETRANSLATE(B10090,""id"",""en"")"),"['Application', 'Telkomsel', 'Accessible', 'Screen', 'White', 'Try', 'Uninstall', 'Install', 'Please', 'Repaired', 'The Network', 'Bad', ' Plus', 'Application', 'Telkomsel', 'Bad', '']")</f>
        <v>['Application', 'Telkomsel', 'Accessible', 'Screen', 'White', 'Try', 'Uninstall', 'Install', 'Please', 'Repaired', 'The Network', 'Bad', ' Plus', 'Application', 'Telkomsel', 'Bad', '']</v>
      </c>
      <c r="D10090" s="3">
        <v>2.0</v>
      </c>
    </row>
    <row r="10091" ht="15.75" customHeight="1">
      <c r="A10091" s="1">
        <v>10750.0</v>
      </c>
      <c r="B10091" s="3" t="s">
        <v>9670</v>
      </c>
      <c r="C10091" s="3" t="str">
        <f>IFERROR(__xludf.DUMMYFUNCTION("GOOGLETRANSLATE(B10091,""id"",""en"")"),"['Thank God', 'Telkomsel', 'Suitable']")</f>
        <v>['Thank God', 'Telkomsel', 'Suitable']</v>
      </c>
      <c r="D10091" s="3">
        <v>5.0</v>
      </c>
    </row>
    <row r="10092" ht="15.75" customHeight="1">
      <c r="A10092" s="1">
        <v>10751.0</v>
      </c>
      <c r="B10092" s="3" t="s">
        <v>9671</v>
      </c>
      <c r="C10092" s="3" t="str">
        <f>IFERROR(__xludf.DUMMYFUNCTION("GOOGLETRANSLATE(B10092,""id"",""en"")"),"['Min', 'knp', 'application', 'screen', 'white', 'mulu']")</f>
        <v>['Min', 'knp', 'application', 'screen', 'white', 'mulu']</v>
      </c>
      <c r="D10092" s="3">
        <v>2.0</v>
      </c>
    </row>
    <row r="10093" ht="15.75" customHeight="1">
      <c r="A10093" s="1">
        <v>10752.0</v>
      </c>
      <c r="B10093" s="3" t="s">
        <v>9672</v>
      </c>
      <c r="C10093" s="3" t="str">
        <f>IFERROR(__xludf.DUMMYFUNCTION("GOOGLETRANSLATE(B10093,""id"",""en"")"),"['Network', 'good', 'Kga', 'entered', 'enter', '']")</f>
        <v>['Network', 'good', 'Kga', 'entered', 'enter', '']</v>
      </c>
      <c r="D10093" s="3">
        <v>1.0</v>
      </c>
    </row>
    <row r="10094" ht="15.75" customHeight="1">
      <c r="A10094" s="1">
        <v>10753.0</v>
      </c>
      <c r="B10094" s="3" t="s">
        <v>9673</v>
      </c>
      <c r="C10094" s="3" t="str">
        <f>IFERROR(__xludf.DUMMYFUNCTION("GOOGLETRANSLATE(B10094,""id"",""en"")"),"['Help', 'needed', 'user', 'Telkomsel']")</f>
        <v>['Help', 'needed', 'user', 'Telkomsel']</v>
      </c>
      <c r="D10094" s="3">
        <v>5.0</v>
      </c>
    </row>
    <row r="10095" ht="15.75" customHeight="1">
      <c r="A10095" s="1">
        <v>10754.0</v>
      </c>
      <c r="B10095" s="3" t="s">
        <v>2004</v>
      </c>
      <c r="C10095" s="3" t="str">
        <f>IFERROR(__xludf.DUMMYFUNCTION("GOOGLETRANSLATE(B10095,""id"",""en"")"),"['login']")</f>
        <v>['login']</v>
      </c>
      <c r="D10095" s="3">
        <v>2.0</v>
      </c>
    </row>
    <row r="10096" ht="15.75" customHeight="1">
      <c r="A10096" s="1">
        <v>10755.0</v>
      </c>
      <c r="B10096" s="3" t="s">
        <v>9674</v>
      </c>
      <c r="C10096" s="3" t="str">
        <f>IFERROR(__xludf.DUMMYFUNCTION("GOOGLETRANSLATE(B10096,""id"",""en"")"),"['Already', 'Uninstall', 'Screen', 'Tetep', 'White', 'Telkomsel', ""]")</f>
        <v>['Already', 'Uninstall', 'Screen', 'Tetep', 'White', 'Telkomsel', "]</v>
      </c>
      <c r="D10096" s="3">
        <v>1.0</v>
      </c>
    </row>
    <row r="10097" ht="15.75" customHeight="1">
      <c r="A10097" s="1">
        <v>10756.0</v>
      </c>
      <c r="B10097" s="3" t="s">
        <v>9675</v>
      </c>
      <c r="C10097" s="3" t="str">
        <f>IFERROR(__xludf.DUMMYFUNCTION("GOOGLETRANSLATE(B10097,""id"",""en"")"),"['easy', 'cheap', 'basically', 'cool', 'Telkomsel', 'hope', 'service', 'best', 'users', 'thank you']")</f>
        <v>['easy', 'cheap', 'basically', 'cool', 'Telkomsel', 'hope', 'service', 'best', 'users', 'thank you']</v>
      </c>
      <c r="D10097" s="3">
        <v>5.0</v>
      </c>
    </row>
    <row r="10098" ht="15.75" customHeight="1">
      <c r="A10098" s="1">
        <v>10757.0</v>
      </c>
      <c r="B10098" s="3" t="s">
        <v>9676</v>
      </c>
      <c r="C10098" s="3" t="str">
        <f>IFERROR(__xludf.DUMMYFUNCTION("GOOGLETRANSLATE(B10098,""id"",""en"")"),"['update', 'no', 'open', 'contact', 'admin', 'blm', 'open', 'what']")</f>
        <v>['update', 'no', 'open', 'contact', 'admin', 'blm', 'open', 'what']</v>
      </c>
      <c r="D10098" s="3">
        <v>1.0</v>
      </c>
    </row>
    <row r="10099" ht="15.75" customHeight="1">
      <c r="A10099" s="1">
        <v>10758.0</v>
      </c>
      <c r="B10099" s="3" t="s">
        <v>9677</v>
      </c>
      <c r="C10099" s="3" t="str">
        <f>IFERROR(__xludf.DUMMYFUNCTION("GOOGLETRANSLATE(B10099,""id"",""en"")"),"['Cool', 'can', 'piece']")</f>
        <v>['Cool', 'can', 'piece']</v>
      </c>
      <c r="D10099" s="3">
        <v>5.0</v>
      </c>
    </row>
    <row r="10100" ht="15.75" customHeight="1">
      <c r="A10100" s="1">
        <v>10759.0</v>
      </c>
      <c r="B10100" s="3" t="s">
        <v>9678</v>
      </c>
      <c r="C10100" s="3" t="str">
        <f>IFERROR(__xludf.DUMMYFUNCTION("GOOGLETRANSLATE(B10100,""id"",""en"")"),"['Not bad', 'help', 'open', '']")</f>
        <v>['Not bad', 'help', 'open', '']</v>
      </c>
      <c r="D10100" s="3">
        <v>4.0</v>
      </c>
    </row>
    <row r="10101" ht="15.75" customHeight="1">
      <c r="A10101" s="1">
        <v>10760.0</v>
      </c>
      <c r="B10101" s="3" t="s">
        <v>9679</v>
      </c>
      <c r="C10101" s="3" t="str">
        <f>IFERROR(__xludf.DUMMYFUNCTION("GOOGLETRANSLATE(B10101,""id"",""en"")"),"['Version', 'Delete', 'Data', 'Uninstall', 'Install', 'Reset', 'Tetep', 'Enter', 'Update', 'Application', 'Disight', 'Wrong', ' ']")</f>
        <v>['Version', 'Delete', 'Data', 'Uninstall', 'Install', 'Reset', 'Tetep', 'Enter', 'Update', 'Application', 'Disight', 'Wrong', ' ']</v>
      </c>
      <c r="D10101" s="3">
        <v>1.0</v>
      </c>
    </row>
    <row r="10102" ht="15.75" customHeight="1">
      <c r="A10102" s="1">
        <v>10761.0</v>
      </c>
      <c r="B10102" s="3" t="s">
        <v>9680</v>
      </c>
      <c r="C10102" s="3" t="str">
        <f>IFERROR(__xludf.DUMMYFUNCTION("GOOGLETRANSLATE(B10102,""id"",""en"")"),"['blank', 'white', 'access', 'error', 'buy', 'package', 'quota', 'complicated', 'for weeks', 'error', 'fix']")</f>
        <v>['blank', 'white', 'access', 'error', 'buy', 'package', 'quota', 'complicated', 'for weeks', 'error', 'fix']</v>
      </c>
      <c r="D10102" s="3">
        <v>1.0</v>
      </c>
    </row>
    <row r="10103" ht="15.75" customHeight="1">
      <c r="A10103" s="1">
        <v>10762.0</v>
      </c>
      <c r="B10103" s="3" t="s">
        <v>9681</v>
      </c>
      <c r="C10103" s="3" t="str">
        <f>IFERROR(__xludf.DUMMYFUNCTION("GOOGLETRANSLATE(B10103,""id"",""en"")"),"['Woy', 'min', 'application', 'ngeblank', 'abis', 'update', 'date', 'des', '']")</f>
        <v>['Woy', 'min', 'application', 'ngeblank', 'abis', 'update', 'date', 'des', '']</v>
      </c>
      <c r="D10103" s="3">
        <v>3.0</v>
      </c>
    </row>
    <row r="10104" ht="15.75" customHeight="1">
      <c r="A10104" s="1">
        <v>10763.0</v>
      </c>
      <c r="B10104" s="3" t="s">
        <v>1367</v>
      </c>
      <c r="C10104" s="3" t="str">
        <f>IFERROR(__xludf.DUMMYFUNCTION("GOOGLETRANSLATE(B10104,""id"",""en"")"),"['good']")</f>
        <v>['good']</v>
      </c>
      <c r="D10104" s="3">
        <v>5.0</v>
      </c>
    </row>
    <row r="10105" ht="15.75" customHeight="1">
      <c r="A10105" s="1">
        <v>10764.0</v>
      </c>
      <c r="B10105" s="3" t="s">
        <v>9682</v>
      </c>
      <c r="C10105" s="3" t="str">
        <f>IFERROR(__xludf.DUMMYFUNCTION("GOOGLETRANSLATE(B10105,""id"",""en"")"),"['Help', 'Application', 'Thank', 'Love']")</f>
        <v>['Help', 'Application', 'Thank', 'Love']</v>
      </c>
      <c r="D10105" s="3">
        <v>1.0</v>
      </c>
    </row>
    <row r="10106" ht="15.75" customHeight="1">
      <c r="A10106" s="1">
        <v>10765.0</v>
      </c>
      <c r="B10106" s="3" t="s">
        <v>9683</v>
      </c>
      <c r="C10106" s="3" t="str">
        <f>IFERROR(__xludf.DUMMYFUNCTION("GOOGLETRANSLATE(B10106,""id"",""en"")"),"['My APK', 'Bangss', 'Bangettt', '']")</f>
        <v>['My APK', 'Bangss', 'Bangettt', '']</v>
      </c>
      <c r="D10106" s="3">
        <v>5.0</v>
      </c>
    </row>
    <row r="10107" ht="15.75" customHeight="1">
      <c r="A10107" s="1">
        <v>10766.0</v>
      </c>
      <c r="B10107" s="3" t="s">
        <v>9684</v>
      </c>
      <c r="C10107" s="3" t="str">
        <f>IFERROR(__xludf.DUMMYFUNCTION("GOOGLETRANSLATE(B10107,""id"",""en"")"),"['Kren', 'Application']")</f>
        <v>['Kren', 'Application']</v>
      </c>
      <c r="D10107" s="3">
        <v>3.0</v>
      </c>
    </row>
    <row r="10108" ht="15.75" customHeight="1">
      <c r="A10108" s="1">
        <v>10767.0</v>
      </c>
      <c r="B10108" s="3" t="s">
        <v>9685</v>
      </c>
      <c r="C10108" s="3" t="str">
        <f>IFERROR(__xludf.DUMMYFUNCTION("GOOGLETRANSLATE(B10108,""id"",""en"")"),"['Application', 'Telkomse', 'Aplud', 'Open', 'Samsung', ""]")</f>
        <v>['Application', 'Telkomse', 'Aplud', 'Open', 'Samsung', "]</v>
      </c>
      <c r="D10108" s="3">
        <v>1.0</v>
      </c>
    </row>
    <row r="10109" ht="15.75" customHeight="1">
      <c r="A10109" s="1">
        <v>10769.0</v>
      </c>
      <c r="B10109" s="3" t="s">
        <v>9686</v>
      </c>
      <c r="C10109" s="3" t="str">
        <f>IFERROR(__xludf.DUMMYFUNCTION("GOOGLETRANSLATE(B10109,""id"",""en"")"),"['Telkomsel', 'existence', 'spread', 'throughout', 'remote', 'remote', 'educational', 'literacy', 'Technology', 'internet', ""]")</f>
        <v>['Telkomsel', 'existence', 'spread', 'throughout', 'remote', 'remote', 'educational', 'literacy', 'Technology', 'internet', "]</v>
      </c>
      <c r="D10109" s="3">
        <v>5.0</v>
      </c>
    </row>
    <row r="10110" ht="15.75" customHeight="1">
      <c r="A10110" s="1">
        <v>10770.0</v>
      </c>
      <c r="B10110" s="3" t="s">
        <v>9687</v>
      </c>
      <c r="C10110" s="3" t="str">
        <f>IFERROR(__xludf.DUMMYFUNCTION("GOOGLETRANSLATE(B10110,""id"",""en"")"),"['Please', 'Telkomsel', 'Towerll', 'Vitur', 'Suck', 'Credit', 'Eliminate', 'Easy', 'Look', 'Money', 'Data', 'Life', ' Naturally ',' suck ',' I ',' UDH ',' list ',' package ',' suck ',' idiot ',' card ',' right ',' ngeta ',' already ',' comment ' , 'commen"&amp;"t', 'like', 'gini', 'kalok', 'fix', 'idiot']")</f>
        <v>['Please', 'Telkomsel', 'Towerll', 'Vitur', 'Suck', 'Credit', 'Eliminate', 'Easy', 'Look', 'Money', 'Data', 'Life', ' Naturally ',' suck ',' I ',' UDH ',' list ',' package ',' suck ',' idiot ',' card ',' right ',' ngeta ',' already ',' comment ' , 'comment', 'like', 'gini', 'kalok', 'fix', 'idiot']</v>
      </c>
      <c r="D10110" s="3">
        <v>1.0</v>
      </c>
    </row>
    <row r="10111" ht="15.75" customHeight="1">
      <c r="A10111" s="1">
        <v>10771.0</v>
      </c>
      <c r="B10111" s="3" t="s">
        <v>9688</v>
      </c>
      <c r="C10111" s="3" t="str">
        <f>IFERROR(__xludf.DUMMYFUNCTION("GOOGLETRANSLATE(B10111,""id"",""en"")"),"['Screen', 'White', 'Ouch', 'How', 'Apain', 'Ouch', 'Dizziness', 'Nutmeg', 'Gue', 'Telkomsel', ""]")</f>
        <v>['Screen', 'White', 'Ouch', 'How', 'Apain', 'Ouch', 'Dizziness', 'Nutmeg', 'Gue', 'Telkomsel', "]</v>
      </c>
      <c r="D10111" s="3">
        <v>1.0</v>
      </c>
    </row>
    <row r="10112" ht="15.75" customHeight="1">
      <c r="A10112" s="1">
        <v>10772.0</v>
      </c>
      <c r="B10112" s="3" t="s">
        <v>9689</v>
      </c>
      <c r="C10112" s="3" t="str">
        <f>IFERROR(__xludf.DUMMYFUNCTION("GOOGLETRANSLATE(B10112,""id"",""en"")"),"['cmn', 'white', 'plus',' rented ',' cave ',' signal ',' strong ',' cmn ',' lucky ',' card ',' axis', 'cave', ' Msh ']")</f>
        <v>['cmn', 'white', 'plus',' rented ',' cave ',' signal ',' strong ',' cmn ',' lucky ',' card ',' axis', 'cave', ' Msh ']</v>
      </c>
      <c r="D10112" s="3">
        <v>1.0</v>
      </c>
    </row>
    <row r="10113" ht="15.75" customHeight="1">
      <c r="A10113" s="1">
        <v>10773.0</v>
      </c>
      <c r="B10113" s="3" t="s">
        <v>9690</v>
      </c>
      <c r="C10113" s="3" t="str">
        <f>IFERROR(__xludf.DUMMYFUNCTION("GOOGLETRANSLATE(B10113,""id"",""en"")"),"['promo', 'cheap']")</f>
        <v>['promo', 'cheap']</v>
      </c>
      <c r="D10113" s="3">
        <v>2.0</v>
      </c>
    </row>
    <row r="10114" ht="15.75" customHeight="1">
      <c r="A10114" s="1">
        <v>10774.0</v>
      </c>
      <c r="B10114" s="3" t="s">
        <v>9691</v>
      </c>
      <c r="C10114" s="3" t="str">
        <f>IFERROR(__xludf.DUMMYFUNCTION("GOOGLETRANSLATE(B10114,""id"",""en"")"),"['Forcing']")</f>
        <v>['Forcing']</v>
      </c>
      <c r="D10114" s="3">
        <v>5.0</v>
      </c>
    </row>
    <row r="10115" ht="15.75" customHeight="1">
      <c r="A10115" s="1">
        <v>10775.0</v>
      </c>
      <c r="B10115" s="3" t="s">
        <v>9692</v>
      </c>
      <c r="C10115" s="3" t="str">
        <f>IFERROR(__xludf.DUMMYFUNCTION("GOOGLETRANSLATE(B10115,""id"",""en"")"),"['PKE', 'Telkomsel', 'Signal', 'Strong', 'Region', 'Compare', 'Propaidider', '']")</f>
        <v>['PKE', 'Telkomsel', 'Signal', 'Strong', 'Region', 'Compare', 'Propaidider', '']</v>
      </c>
      <c r="D10115" s="3">
        <v>5.0</v>
      </c>
    </row>
    <row r="10116" ht="15.75" customHeight="1">
      <c r="A10116" s="1">
        <v>10776.0</v>
      </c>
      <c r="B10116" s="3" t="s">
        <v>9693</v>
      </c>
      <c r="C10116" s="3" t="str">
        <f>IFERROR(__xludf.DUMMYFUNCTION("GOOGLETRANSLATE(B10116,""id"",""en"")"),"['Application', 'Bangkeee', 'expensive', 'Playananan', 'bad', ""]")</f>
        <v>['Application', 'Bangkeee', 'expensive', 'Playananan', 'bad', "]</v>
      </c>
      <c r="D10116" s="3">
        <v>1.0</v>
      </c>
    </row>
    <row r="10117" ht="15.75" customHeight="1">
      <c r="A10117" s="1">
        <v>10777.0</v>
      </c>
      <c r="B10117" s="3" t="s">
        <v>9694</v>
      </c>
      <c r="C10117" s="3" t="str">
        <f>IFERROR(__xludf.DUMMYFUNCTION("GOOGLETRANSLATE(B10117,""id"",""en"")"),"['response', 'complaints', 'Customer']")</f>
        <v>['response', 'complaints', 'Customer']</v>
      </c>
      <c r="D10117" s="3">
        <v>1.0</v>
      </c>
    </row>
    <row r="10118" ht="15.75" customHeight="1">
      <c r="A10118" s="1">
        <v>10778.0</v>
      </c>
      <c r="B10118" s="3" t="s">
        <v>3421</v>
      </c>
      <c r="C10118" s="3" t="str">
        <f>IFERROR(__xludf.DUMMYFUNCTION("GOOGLETRANSLATE(B10118,""id"",""en"")"),"['Application', 'Open']")</f>
        <v>['Application', 'Open']</v>
      </c>
      <c r="D10118" s="3">
        <v>1.0</v>
      </c>
    </row>
    <row r="10119" ht="15.75" customHeight="1">
      <c r="A10119" s="1">
        <v>10779.0</v>
      </c>
      <c r="B10119" s="3" t="s">
        <v>9695</v>
      </c>
      <c r="C10119" s="3" t="str">
        <f>IFERROR(__xludf.DUMMYFUNCTION("GOOGLETRANSLATE(B10119,""id"",""en"")"),"['Update', 'blank', 'screen', 'white', '']")</f>
        <v>['Update', 'blank', 'screen', 'white', '']</v>
      </c>
      <c r="D10119" s="3">
        <v>1.0</v>
      </c>
    </row>
    <row r="10120" ht="15.75" customHeight="1">
      <c r="A10120" s="1">
        <v>10780.0</v>
      </c>
      <c r="B10120" s="3" t="s">
        <v>9696</v>
      </c>
      <c r="C10120" s="3" t="str">
        <f>IFERROR(__xludf.DUMMYFUNCTION("GOOGLETRANSLATE(B10120,""id"",""en"")"),"['Sorry', 'Sis', 'already', 'range', 'Application', 'Telkomsel', 'No', 'opened', 'appears', 'screen', 'white']")</f>
        <v>['Sorry', 'Sis', 'already', 'range', 'Application', 'Telkomsel', 'No', 'opened', 'appears', 'screen', 'white']</v>
      </c>
      <c r="D10120" s="3">
        <v>5.0</v>
      </c>
    </row>
    <row r="10121" ht="15.75" customHeight="1">
      <c r="A10121" s="1">
        <v>10781.0</v>
      </c>
      <c r="B10121" s="3" t="s">
        <v>9697</v>
      </c>
      <c r="C10121" s="3" t="str">
        <f>IFERROR(__xludf.DUMMYFUNCTION("GOOGLETRANSLATE(B10121,""id"",""en"")"),"['Severe', 'satisfying', 'Sulusion', 'Wait', 'The answer', 'clock', 'Waiting', 'company', 'plate', 'red', 'profit', 'clean', ' Trillion ',' Luat ',' Serve ',' Negeri ',' Kometmen ',' ']")</f>
        <v>['Severe', 'satisfying', 'Sulusion', 'Wait', 'The answer', 'clock', 'Waiting', 'company', 'plate', 'red', 'profit', 'clean', ' Trillion ',' Luat ',' Serve ',' Negeri ',' Kometmen ',' ']</v>
      </c>
      <c r="D10121" s="3">
        <v>1.0</v>
      </c>
    </row>
    <row r="10122" ht="15.75" customHeight="1">
      <c r="A10122" s="1">
        <v>10782.0</v>
      </c>
      <c r="B10122" s="3" t="s">
        <v>9698</v>
      </c>
      <c r="C10122" s="3" t="str">
        <f>IFERROR(__xludf.DUMMYFUNCTION("GOOGLETRANSLATE(B10122,""id"",""en"")"),"['application', 'error', 'opened', 'tlong', 'assisted', 'application', 'mytelkomsel', 'open', 'knp', 'yes',' knp ',' opened ',' The date ',' contents', 'puksa', 'quota', 'difficult', 'knp', 'tlong', 'assisted', 'doonngg', ""]")</f>
        <v>['application', 'error', 'opened', 'tlong', 'assisted', 'application', 'mytelkomsel', 'open', 'knp', 'yes',' knp ',' opened ',' The date ',' contents', 'puksa', 'quota', 'difficult', 'knp', 'tlong', 'assisted', 'doonngg', "]</v>
      </c>
      <c r="D10122" s="3">
        <v>4.0</v>
      </c>
    </row>
    <row r="10123" ht="15.75" customHeight="1">
      <c r="A10123" s="1">
        <v>10783.0</v>
      </c>
      <c r="B10123" s="3" t="s">
        <v>9699</v>
      </c>
      <c r="C10123" s="3" t="str">
        <f>IFERROR(__xludf.DUMMYFUNCTION("GOOGLETRANSLATE(B10123,""id"",""en"")"),"['Alhamdulillah', 'fun']")</f>
        <v>['Alhamdulillah', 'fun']</v>
      </c>
      <c r="D10123" s="3">
        <v>5.0</v>
      </c>
    </row>
    <row r="10124" ht="15.75" customHeight="1">
      <c r="A10124" s="1">
        <v>10784.0</v>
      </c>
      <c r="B10124" s="3" t="s">
        <v>9700</v>
      </c>
      <c r="C10124" s="3" t="str">
        <f>IFERROR(__xludf.DUMMYFUNCTION("GOOGLETRANSLATE(B10124,""id"",""en"")"),"['Help', 'usha', 'bother', 'counter', 'fill', 'data', 'staple', 'manteep', ""]")</f>
        <v>['Help', 'usha', 'bother', 'counter', 'fill', 'data', 'staple', 'manteep', "]</v>
      </c>
      <c r="D10124" s="3">
        <v>5.0</v>
      </c>
    </row>
    <row r="10125" ht="15.75" customHeight="1">
      <c r="A10125" s="1">
        <v>10785.0</v>
      </c>
      <c r="B10125" s="3" t="s">
        <v>9701</v>
      </c>
      <c r="C10125" s="3" t="str">
        <f>IFERROR(__xludf.DUMMYFUNCTION("GOOGLETRANSLATE(B10125,""id"",""en"")"),"['best', '']")</f>
        <v>['best', '']</v>
      </c>
      <c r="D10125" s="3">
        <v>5.0</v>
      </c>
    </row>
    <row r="10126" ht="15.75" customHeight="1">
      <c r="A10126" s="1">
        <v>10786.0</v>
      </c>
      <c r="B10126" s="3" t="s">
        <v>9702</v>
      </c>
      <c r="C10126" s="3" t="str">
        <f>IFERROR(__xludf.DUMMYFUNCTION("GOOGLETRANSLATE(B10126,""id"",""en"")"),"['APK', 'Sangan', 'simple']")</f>
        <v>['APK', 'Sangan', 'simple']</v>
      </c>
      <c r="D10126" s="3">
        <v>5.0</v>
      </c>
    </row>
    <row r="10127" ht="15.75" customHeight="1">
      <c r="A10127" s="1">
        <v>10787.0</v>
      </c>
      <c r="B10127" s="3" t="s">
        <v>9703</v>
      </c>
      <c r="C10127" s="3" t="str">
        <f>IFERROR(__xludf.DUMMYFUNCTION("GOOGLETRANSLATE(B10127,""id"",""en"")"),"['Buy', 'Package', 'Internet', 'Easy', 'Choice']")</f>
        <v>['Buy', 'Package', 'Internet', 'Easy', 'Choice']</v>
      </c>
      <c r="D10127" s="3">
        <v>4.0</v>
      </c>
    </row>
    <row r="10128" ht="15.75" customHeight="1">
      <c r="A10128" s="1">
        <v>10788.0</v>
      </c>
      <c r="B10128" s="3" t="s">
        <v>9704</v>
      </c>
      <c r="C10128" s="3" t="str">
        <f>IFERROR(__xludf.DUMMYFUNCTION("GOOGLETRANSLATE(B10128,""id"",""en"")"),"['easy', 'understandable', 'response', 'fast', 'app', 'leading', 'suggestion', 'buy', 'pulse', 'package', 'data', 'shopee', ' SpayLater ',' Method ',' Pay ', ""]")</f>
        <v>['easy', 'understandable', 'response', 'fast', 'app', 'leading', 'suggestion', 'buy', 'pulse', 'package', 'data', 'shopee', ' SpayLater ',' Method ',' Pay ', "]</v>
      </c>
      <c r="D10128" s="3">
        <v>5.0</v>
      </c>
    </row>
    <row r="10129" ht="15.75" customHeight="1">
      <c r="A10129" s="1">
        <v>10789.0</v>
      </c>
      <c r="B10129" s="3" t="s">
        <v>9705</v>
      </c>
      <c r="C10129" s="3" t="str">
        <f>IFERROR(__xludf.DUMMYFUNCTION("GOOGLETRANSLATE(B10129,""id"",""en"")"),"['Application', 'Telkomsel', 'Please', 'Features',' Limit ',' Use ',' Naturally ',' Karna ',' Work ',' Via ',' Zoom ',' Call ',' Because ',' exceeds', 'usage', 'Fair', 'FUP', 'Internet', 'Slow', 'Zoom', 'Call', 'Disconnect', 'Zoom', 'Call']")</f>
        <v>['Application', 'Telkomsel', 'Please', 'Features',' Limit ',' Use ',' Naturally ',' Karna ',' Work ',' Via ',' Zoom ',' Call ',' Because ',' exceeds', 'usage', 'Fair', 'FUP', 'Internet', 'Slow', 'Zoom', 'Call', 'Disconnect', 'Zoom', 'Call']</v>
      </c>
      <c r="D10129" s="3">
        <v>1.0</v>
      </c>
    </row>
    <row r="10130" ht="15.75" customHeight="1">
      <c r="A10130" s="1">
        <v>10790.0</v>
      </c>
      <c r="B10130" s="3" t="s">
        <v>9706</v>
      </c>
      <c r="C10130" s="3" t="str">
        <f>IFERROR(__xludf.DUMMYFUNCTION("GOOGLETRANSLATE(B10130,""id"",""en"")"),"['Network', 'Lemot', 'Coyy', 'Location', 'Aceh']")</f>
        <v>['Network', 'Lemot', 'Coyy', 'Location', 'Aceh']</v>
      </c>
      <c r="D10130" s="3">
        <v>1.0</v>
      </c>
    </row>
    <row r="10131" ht="15.75" customHeight="1">
      <c r="A10131" s="1">
        <v>10791.0</v>
      </c>
      <c r="B10131" s="3" t="s">
        <v>9707</v>
      </c>
      <c r="C10131" s="3" t="str">
        <f>IFERROR(__xludf.DUMMYFUNCTION("GOOGLETRANSLATE(B10131,""id"",""en"")"),"['Current', 'Sobbbbbb']")</f>
        <v>['Current', 'Sobbbbbb']</v>
      </c>
      <c r="D10131" s="3">
        <v>5.0</v>
      </c>
    </row>
    <row r="10132" ht="15.75" customHeight="1">
      <c r="A10132" s="1">
        <v>10792.0</v>
      </c>
      <c r="B10132" s="3" t="s">
        <v>9708</v>
      </c>
      <c r="C10132" s="3" t="str">
        <f>IFERROR(__xludf.DUMMYFUNCTION("GOOGLETRANSLATE(B10132,""id"",""en"")"),"['quota', 'expensive', 'signal', 'ugly', 'quota', 'run', 'train', 'fire', 'operator', 'good', 'mending', 'replace']")</f>
        <v>['quota', 'expensive', 'signal', 'ugly', 'quota', 'run', 'train', 'fire', 'operator', 'good', 'mending', 'replace']</v>
      </c>
      <c r="D10132" s="3">
        <v>1.0</v>
      </c>
    </row>
    <row r="10133" ht="15.75" customHeight="1">
      <c r="A10133" s="1">
        <v>10793.0</v>
      </c>
      <c r="B10133" s="3" t="s">
        <v>9709</v>
      </c>
      <c r="C10133" s="3" t="str">
        <f>IFERROR(__xludf.DUMMYFUNCTION("GOOGLETRANSLATE(B10133,""id"",""en"")"),"['Sinyal', 'already', 'stable', 'quota', 'pakek', 'signal', 'rare', 'rotten', 'area', 'cook', 'buffb', 'waiting', ' night ',' waste ',' repair ']")</f>
        <v>['Sinyal', 'already', 'stable', 'quota', 'pakek', 'signal', 'rare', 'rotten', 'area', 'cook', 'buffb', 'waiting', ' night ',' waste ',' repair ']</v>
      </c>
      <c r="D10133" s="3">
        <v>1.0</v>
      </c>
    </row>
    <row r="10134" ht="15.75" customHeight="1">
      <c r="A10134" s="1">
        <v>10794.0</v>
      </c>
      <c r="B10134" s="3" t="s">
        <v>567</v>
      </c>
      <c r="C10134" s="3" t="str">
        <f>IFERROR(__xludf.DUMMYFUNCTION("GOOGLETRANSLATE(B10134,""id"",""en"")"),"['application']")</f>
        <v>['application']</v>
      </c>
      <c r="D10134" s="3">
        <v>1.0</v>
      </c>
    </row>
    <row r="10135" ht="15.75" customHeight="1">
      <c r="A10135" s="1">
        <v>10795.0</v>
      </c>
      <c r="B10135" s="3" t="s">
        <v>9710</v>
      </c>
      <c r="C10135" s="3" t="str">
        <f>IFERROR(__xludf.DUMMYFUNCTION("GOOGLETRANSLATE(B10135,""id"",""en"")"),"['Sngat', 'Bgus', 'Sngat', 'Help']")</f>
        <v>['Sngat', 'Bgus', 'Sngat', 'Help']</v>
      </c>
      <c r="D10135" s="3">
        <v>5.0</v>
      </c>
    </row>
    <row r="10136" ht="15.75" customHeight="1">
      <c r="A10136" s="1">
        <v>10796.0</v>
      </c>
      <c r="B10136" s="3" t="s">
        <v>9711</v>
      </c>
      <c r="C10136" s="3" t="str">
        <f>IFERROR(__xludf.DUMMYFUNCTION("GOOGLETRANSLATE(B10136,""id"",""en"")"),"['easy', 'complicated', 'run out', 'quota', 'confused', 'active', 'abis',' apk ',' open ',' owe ',' quota ',' the ',' Best ']")</f>
        <v>['easy', 'complicated', 'run out', 'quota', 'confused', 'active', 'abis',' apk ',' open ',' owe ',' quota ',' the ',' Best ']</v>
      </c>
      <c r="D10136" s="3">
        <v>4.0</v>
      </c>
    </row>
    <row r="10137" ht="15.75" customHeight="1">
      <c r="A10137" s="1">
        <v>10797.0</v>
      </c>
      <c r="B10137" s="3" t="s">
        <v>9712</v>
      </c>
      <c r="C10137" s="3" t="str">
        <f>IFERROR(__xludf.DUMMYFUNCTION("GOOGLETRANSLATE(B10137,""id"",""en"")"),"['application', 'Open', 'device', 'Samsung', '']")</f>
        <v>['application', 'Open', 'device', 'Samsung', '']</v>
      </c>
      <c r="D10137" s="3">
        <v>1.0</v>
      </c>
    </row>
    <row r="10138" ht="15.75" customHeight="1">
      <c r="A10138" s="1">
        <v>10798.0</v>
      </c>
      <c r="B10138" s="3" t="s">
        <v>9713</v>
      </c>
      <c r="C10138" s="3" t="str">
        <f>IFERROR(__xludf.DUMMYFUNCTION("GOOGLETRANSLATE(B10138,""id"",""en"")"),"['Terbimah', 'love', 'work', 'weapon']")</f>
        <v>['Terbimah', 'love', 'work', 'weapon']</v>
      </c>
      <c r="D10138" s="3">
        <v>5.0</v>
      </c>
    </row>
    <row r="10139" ht="15.75" customHeight="1">
      <c r="A10139" s="1">
        <v>10799.0</v>
      </c>
      <c r="B10139" s="3" t="s">
        <v>9714</v>
      </c>
      <c r="C10139" s="3" t="str">
        <f>IFERROR(__xludf.DUMMYFUNCTION("GOOGLETRANSLATE(B10139,""id"",""en"")"),"['Tight', 'Service', 'Exchange', 'Points', 'Package', 'Call', 'Easy', 'run out', 'Package', 'Call', 'Emergency']")</f>
        <v>['Tight', 'Service', 'Exchange', 'Points', 'Package', 'Call', 'Easy', 'run out', 'Package', 'Call', 'Emergency']</v>
      </c>
      <c r="D10139" s="3">
        <v>5.0</v>
      </c>
    </row>
    <row r="10140" ht="15.75" customHeight="1">
      <c r="A10140" s="1">
        <v>10800.0</v>
      </c>
      <c r="B10140" s="3" t="s">
        <v>737</v>
      </c>
      <c r="C10140" s="3" t="str">
        <f>IFERROR(__xludf.DUMMYFUNCTION("GOOGLETRANSLATE(B10140,""id"",""en"")"),"['Good', 'application']")</f>
        <v>['Good', 'application']</v>
      </c>
      <c r="D10140" s="3">
        <v>5.0</v>
      </c>
    </row>
    <row r="10141" ht="15.75" customHeight="1">
      <c r="A10141" s="1">
        <v>10801.0</v>
      </c>
      <c r="B10141" s="3" t="s">
        <v>9715</v>
      </c>
      <c r="C10141" s="3" t="str">
        <f>IFERROR(__xludf.DUMMYFUNCTION("GOOGLETRANSLATE(B10141,""id"",""en"")"),"['Ngga', 'use', 'package', 'call', 'for a while', 'pulse', 'kna', 'brush']")</f>
        <v>['Ngga', 'use', 'package', 'call', 'for a while', 'pulse', 'kna', 'brush']</v>
      </c>
      <c r="D10141" s="3">
        <v>2.0</v>
      </c>
    </row>
    <row r="10142" ht="15.75" customHeight="1">
      <c r="A10142" s="1">
        <v>10802.0</v>
      </c>
      <c r="B10142" s="3" t="s">
        <v>9716</v>
      </c>
      <c r="C10142" s="3" t="str">
        <f>IFERROR(__xludf.DUMMYFUNCTION("GOOGLETRANSLATE(B10142,""id"",""en"")"),"['Likes',' Application ',' Missing ',' Tuk ',' Network ',' Kab ',' Keerom ',' Please ',' Noted ',' Network ',' Slow ',' Sekli ',' ']")</f>
        <v>['Likes',' Application ',' Missing ',' Tuk ',' Network ',' Kab ',' Keerom ',' Please ',' Noted ',' Network ',' Slow ',' Sekli ',' ']</v>
      </c>
      <c r="D10142" s="3">
        <v>5.0</v>
      </c>
    </row>
    <row r="10143" ht="15.75" customHeight="1">
      <c r="A10143" s="1">
        <v>10803.0</v>
      </c>
      <c r="B10143" s="3" t="s">
        <v>9717</v>
      </c>
      <c r="C10143" s="3" t="str">
        <f>IFERROR(__xludf.DUMMYFUNCTION("GOOGLETRANSLATE(B10143,""id"",""en"")"),"['NGK', 'go']")</f>
        <v>['NGK', 'go']</v>
      </c>
      <c r="D10143" s="3">
        <v>1.0</v>
      </c>
    </row>
    <row r="10144" ht="15.75" customHeight="1">
      <c r="A10144" s="1">
        <v>10804.0</v>
      </c>
      <c r="B10144" s="3" t="s">
        <v>9718</v>
      </c>
      <c r="C10144" s="3" t="str">
        <f>IFERROR(__xludf.DUMMYFUNCTION("GOOGLETRANSLATE(B10144,""id"",""en"")"),"['application', 'Nge', 'blank', 'screen', 'white', 'doang', 'appears', ""]")</f>
        <v>['application', 'Nge', 'blank', 'screen', 'white', 'doang', 'appears', "]</v>
      </c>
      <c r="D10144" s="3">
        <v>1.0</v>
      </c>
    </row>
    <row r="10145" ht="15.75" customHeight="1">
      <c r="A10145" s="1">
        <v>10805.0</v>
      </c>
      <c r="B10145" s="3" t="s">
        <v>934</v>
      </c>
      <c r="C10145" s="3" t="str">
        <f>IFERROR(__xludf.DUMMYFUNCTION("GOOGLETRANSLATE(B10145,""id"",""en"")"),"['interesting', '']")</f>
        <v>['interesting', '']</v>
      </c>
      <c r="D10145" s="3">
        <v>5.0</v>
      </c>
    </row>
    <row r="10146" ht="15.75" customHeight="1">
      <c r="A10146" s="1">
        <v>10807.0</v>
      </c>
      <c r="B10146" s="3" t="s">
        <v>9719</v>
      </c>
      <c r="C10146" s="3" t="str">
        <f>IFERROR(__xludf.DUMMYFUNCTION("GOOGLETRANSLATE(B10146,""id"",""en"")"),"['pulse', 'keuang', 'vain', 'vain', 'package', 'pulse', 'keuang', 'vain', 'vain', ""]")</f>
        <v>['pulse', 'keuang', 'vain', 'vain', 'package', 'pulse', 'keuang', 'vain', 'vain', "]</v>
      </c>
      <c r="D10146" s="3">
        <v>1.0</v>
      </c>
    </row>
    <row r="10147" ht="15.75" customHeight="1">
      <c r="A10147" s="1">
        <v>10808.0</v>
      </c>
      <c r="B10147" s="3" t="s">
        <v>9720</v>
      </c>
      <c r="C10147" s="3" t="str">
        <f>IFERROR(__xludf.DUMMYFUNCTION("GOOGLETRANSLATE(B10147,""id"",""en"")"),"['AFK', 'Help', 'Honey', 'level', 'security', 'pulses',' rich ',' AFK ',' card ',' next door ',' locked ',' TKUT ',' Sumpot ',' Sia ', ""]")</f>
        <v>['AFK', 'Help', 'Honey', 'level', 'security', 'pulses',' rich ',' AFK ',' card ',' next door ',' locked ',' TKUT ',' Sumpot ',' Sia ', "]</v>
      </c>
      <c r="D10147" s="3">
        <v>3.0</v>
      </c>
    </row>
    <row r="10148" ht="15.75" customHeight="1">
      <c r="A10148" s="1">
        <v>10809.0</v>
      </c>
      <c r="B10148" s="3" t="s">
        <v>9721</v>
      </c>
      <c r="C10148" s="3" t="str">
        <f>IFERROR(__xludf.DUMMYFUNCTION("GOOGLETRANSLATE(B10148,""id"",""en"")"),"['Help', 'okay']")</f>
        <v>['Help', 'okay']</v>
      </c>
      <c r="D10148" s="3">
        <v>5.0</v>
      </c>
    </row>
    <row r="10149" ht="15.75" customHeight="1">
      <c r="A10149" s="1">
        <v>10811.0</v>
      </c>
      <c r="B10149" s="3" t="s">
        <v>5230</v>
      </c>
      <c r="C10149" s="3" t="str">
        <f>IFERROR(__xludf.DUMMYFUNCTION("GOOGLETRANSLATE(B10149,""id"",""en"")"),"['Love', 'Star']")</f>
        <v>['Love', 'Star']</v>
      </c>
      <c r="D10149" s="3">
        <v>5.0</v>
      </c>
    </row>
    <row r="10150" ht="15.75" customHeight="1">
      <c r="A10150" s="1">
        <v>10812.0</v>
      </c>
      <c r="B10150" s="3" t="s">
        <v>9722</v>
      </c>
      <c r="C10150" s="3" t="str">
        <f>IFERROR(__xludf.DUMMYFUNCTION("GOOGLETRANSLATE(B10150,""id"",""en"")"),"['Good', 'boss', '']")</f>
        <v>['Good', 'boss', '']</v>
      </c>
      <c r="D10150" s="3">
        <v>4.0</v>
      </c>
    </row>
    <row r="10151" ht="15.75" customHeight="1">
      <c r="A10151" s="1">
        <v>10813.0</v>
      </c>
      <c r="B10151" s="3" t="s">
        <v>9723</v>
      </c>
      <c r="C10151" s="3" t="str">
        <f>IFERROR(__xludf.DUMMYFUNCTION("GOOGLETRANSLATE(B10151,""id"",""en"")"),"['Nyesel', 'Update', 'Liat', 'Review', 'Liat', 'Liat', 'Disappointed', 'Application', 'Update', 'You', 'Telkomsel', 'Package', ' good ',' application ',' Telkomsel ',' just ',' screen ',' white ',' please ',' fix ',' please ',' already ',' package ',' exp"&amp;"ensive ',' expensive ' , 'open', 'already', 'try', 'delete', 'install', 'repeat', 'many', 'times', 'try', 'send', 'shareit', 'telkomsel']")</f>
        <v>['Nyesel', 'Update', 'Liat', 'Review', 'Liat', 'Liat', 'Disappointed', 'Application', 'Update', 'You', 'Telkomsel', 'Package', ' good ',' application ',' Telkomsel ',' just ',' screen ',' white ',' please ',' fix ',' please ',' already ',' package ',' expensive ',' expensive ' , 'open', 'already', 'try', 'delete', 'install', 'repeat', 'many', 'times', 'try', 'send', 'shareit', 'telkomsel']</v>
      </c>
      <c r="D10151" s="3">
        <v>1.0</v>
      </c>
    </row>
    <row r="10152" ht="15.75" customHeight="1">
      <c r="A10152" s="1">
        <v>10814.0</v>
      </c>
      <c r="B10152" s="3" t="s">
        <v>9724</v>
      </c>
      <c r="C10152" s="3" t="str">
        <f>IFERROR(__xludf.DUMMYFUNCTION("GOOGLETRANSLATE(B10152,""id"",""en"")"),"['Please', 'Increase', 'Quality', 'The Network', 'Crowd', 'Job', 'Work', 'Thank you', ""]")</f>
        <v>['Please', 'Increase', 'Quality', 'The Network', 'Crowd', 'Job', 'Work', 'Thank you', "]</v>
      </c>
      <c r="D10152" s="3">
        <v>3.0</v>
      </c>
    </row>
    <row r="10153" ht="15.75" customHeight="1">
      <c r="A10153" s="1">
        <v>10815.0</v>
      </c>
      <c r="B10153" s="3" t="s">
        <v>9725</v>
      </c>
      <c r="C10153" s="3" t="str">
        <f>IFERROR(__xludf.DUMMYFUNCTION("GOOGLETRANSLATE(B10153,""id"",""en"")"),"['slow', 'network', 'minus', 'expensive', 'kah', 'solution', 'mngatasnya']")</f>
        <v>['slow', 'network', 'minus', 'expensive', 'kah', 'solution', 'mngatasnya']</v>
      </c>
      <c r="D10153" s="3">
        <v>1.0</v>
      </c>
    </row>
    <row r="10154" ht="15.75" customHeight="1">
      <c r="A10154" s="1">
        <v>10816.0</v>
      </c>
      <c r="B10154" s="3" t="s">
        <v>9726</v>
      </c>
      <c r="C10154" s="3" t="str">
        <f>IFERROR(__xludf.DUMMYFUNCTION("GOOGLETRANSLATE(B10154,""id"",""en"")"),"['Get', 'Package', 'Free']")</f>
        <v>['Get', 'Package', 'Free']</v>
      </c>
      <c r="D10154" s="3">
        <v>5.0</v>
      </c>
    </row>
    <row r="10155" ht="15.75" customHeight="1">
      <c r="A10155" s="1">
        <v>10817.0</v>
      </c>
      <c r="B10155" s="3" t="s">
        <v>9727</v>
      </c>
      <c r="C10155" s="3" t="str">
        <f>IFERROR(__xludf.DUMMYFUNCTION("GOOGLETRANSLATE(B10155,""id"",""en"")"),"['application', 'bad', 'open', 'Sanhat', 'bad', 'open', 'lose', 'application', 'bima', 'tri']")</f>
        <v>['application', 'bad', 'open', 'Sanhat', 'bad', 'open', 'lose', 'application', 'bima', 'tri']</v>
      </c>
      <c r="D10155" s="3">
        <v>1.0</v>
      </c>
    </row>
    <row r="10156" ht="15.75" customHeight="1">
      <c r="A10156" s="1">
        <v>10818.0</v>
      </c>
      <c r="B10156" s="3" t="s">
        <v>9728</v>
      </c>
      <c r="C10156" s="3" t="str">
        <f>IFERROR(__xludf.DUMMYFUNCTION("GOOGLETRANSLATE(B10156,""id"",""en"")"),"['', 'His name', 'Life', 'on the road', 'stopped', ""]")</f>
        <v>['', 'His name', 'Life', 'on the road', 'stopped', "]</v>
      </c>
      <c r="D10156" s="3">
        <v>4.0</v>
      </c>
    </row>
    <row r="10157" ht="15.75" customHeight="1">
      <c r="A10157" s="1">
        <v>10819.0</v>
      </c>
      <c r="B10157" s="3" t="s">
        <v>9729</v>
      </c>
      <c r="C10157" s="3" t="str">
        <f>IFERROR(__xludf.DUMMYFUNCTION("GOOGLETRANSLATE(B10157,""id"",""en"")"),"['', 'Telkomsel', 'cellphone', 'displays', 'screen', 'white', 'open', 'beg', 'solution', ""]")</f>
        <v>['', 'Telkomsel', 'cellphone', 'displays', 'screen', 'white', 'open', 'beg', 'solution', "]</v>
      </c>
      <c r="D10157" s="3">
        <v>3.0</v>
      </c>
    </row>
    <row r="10158" ht="15.75" customHeight="1">
      <c r="A10158" s="1">
        <v>10820.0</v>
      </c>
      <c r="B10158" s="3" t="s">
        <v>9730</v>
      </c>
      <c r="C10158" s="3" t="str">
        <f>IFERROR(__xludf.DUMMYFUNCTION("GOOGLETRANSLATE(B10158,""id"",""en"")"),"['Assalamualaikum', 'application', 'good', 'emang', 'fit', 'entry', 'application', 'error', 'already', 'enter']")</f>
        <v>['Assalamualaikum', 'application', 'good', 'emang', 'fit', 'entry', 'application', 'error', 'already', 'enter']</v>
      </c>
      <c r="D10158" s="3">
        <v>5.0</v>
      </c>
    </row>
    <row r="10159" ht="15.75" customHeight="1">
      <c r="A10159" s="1">
        <v>10821.0</v>
      </c>
      <c r="B10159" s="3" t="s">
        <v>9731</v>
      </c>
      <c r="C10159" s="3" t="str">
        <f>IFERROR(__xludf.DUMMYFUNCTION("GOOGLETRANSLATE(B10159,""id"",""en"")"),"['Card', 'Best', 'APK', 'Card', 'Best', 'Telkomsel', 'Main', 'Game', 'Internet', 'Ngelag']")</f>
        <v>['Card', 'Best', 'APK', 'Card', 'Best', 'Telkomsel', 'Main', 'Game', 'Internet', 'Ngelag']</v>
      </c>
      <c r="D10159" s="3">
        <v>5.0</v>
      </c>
    </row>
    <row r="10160" ht="15.75" customHeight="1">
      <c r="A10160" s="1">
        <v>10822.0</v>
      </c>
      <c r="B10160" s="3" t="s">
        <v>9732</v>
      </c>
      <c r="C10160" s="3" t="str">
        <f>IFERROR(__xludf.DUMMYFUNCTION("GOOGLETRANSLATE(B10160,""id"",""en"")"),"['Telkomsel', 'network', 'quality', 'technology', 'quality', 'lose', 'application', 'mushroom', 'price', 'according to', 'quality', 'user', ' Promotions', 'people', 'switch', 'application', 'make it easy', 'communicate', 'country', 'world', 'thanks',' Tel"&amp;"komsel ',' pride ',' belongs', 'nation' , 'Indonesia', 'Just', ""]")</f>
        <v>['Telkomsel', 'network', 'quality', 'technology', 'quality', 'lose', 'application', 'mushroom', 'price', 'according to', 'quality', 'user', ' Promotions', 'people', 'switch', 'application', 'make it easy', 'communicate', 'country', 'world', 'thanks',' Telkomsel ',' pride ',' belongs', 'nation' , 'Indonesia', 'Just', "]</v>
      </c>
      <c r="D10160" s="3">
        <v>5.0</v>
      </c>
    </row>
    <row r="10161" ht="15.75" customHeight="1">
      <c r="A10161" s="1">
        <v>10823.0</v>
      </c>
      <c r="B10161" s="3" t="s">
        <v>9733</v>
      </c>
      <c r="C10161" s="3" t="str">
        <f>IFERROR(__xludf.DUMMYFUNCTION("GOOGLETRANSLATE(B10161,""id"",""en"")"),"['application', 'open', 'just', 'blank', 'white', 'min', 'dri', 'date', 'yesterday', 'open', 'open', ' Min ',' Notice ',' Application ',' Disorders', 'What', 'Min', 'Please', 'Really', 'Min', 'Application', ""]")</f>
        <v>['application', 'open', 'just', 'blank', 'white', 'min', 'dri', 'date', 'yesterday', 'open', 'open', ' Min ',' Notice ',' Application ',' Disorders', 'What', 'Min', 'Please', 'Really', 'Min', 'Application', "]</v>
      </c>
      <c r="D10161" s="3">
        <v>1.0</v>
      </c>
    </row>
    <row r="10162" ht="15.75" customHeight="1">
      <c r="A10162" s="1">
        <v>10824.0</v>
      </c>
      <c r="B10162" s="3" t="s">
        <v>471</v>
      </c>
      <c r="C10162" s="3" t="str">
        <f>IFERROR(__xludf.DUMMYFUNCTION("GOOGLETRANSLATE(B10162,""id"",""en"")"),"['']")</f>
        <v>['']</v>
      </c>
      <c r="D10162" s="3">
        <v>4.0</v>
      </c>
    </row>
    <row r="10163" ht="15.75" customHeight="1">
      <c r="A10163" s="1">
        <v>10825.0</v>
      </c>
      <c r="B10163" s="3" t="s">
        <v>9734</v>
      </c>
      <c r="C10163" s="3" t="str">
        <f>IFERROR(__xludf.DUMMYFUNCTION("GOOGLETRANSLATE(B10163,""id"",""en"")"),"['Sorry', 'down', 'star', 'check', 'quota', 'no', 'open', 'screen', 'white', 'doank', 'regret', 'Yesterday', ' Update ',' expensive ',' expensive ',' napa ',' package ',' ']")</f>
        <v>['Sorry', 'down', 'star', 'check', 'quota', 'no', 'open', 'screen', 'white', 'doank', 'regret', 'Yesterday', ' Update ',' expensive ',' expensive ',' napa ',' package ',' ']</v>
      </c>
      <c r="D10163" s="3">
        <v>2.0</v>
      </c>
    </row>
    <row r="10164" ht="15.75" customHeight="1">
      <c r="A10164" s="1">
        <v>10826.0</v>
      </c>
      <c r="B10164" s="3" t="s">
        <v>9735</v>
      </c>
      <c r="C10164" s="3" t="str">
        <f>IFERROR(__xludf.DUMMYFUNCTION("GOOGLETRANSLATE(B10164,""id"",""en"")"),"['ZS', 'Easy', 'Easy', 'Search', 'Information', 'Besifat', 'Direct', 'Direct', 'Easy', 'User', 'Account', 'Getting', ' find ',' idea ',' inspiration ',' world ',' work ',' write ',' picture ',' photo ',' video ',' source ',' power ',' nature ',' source ' "&amp;", 'power', 'humanity', 'country', 'country', 'because', 'info', 'account', 'account', 'account', 'help', 'field', ' fields', 'need', 'need', ""]")</f>
        <v>['ZS', 'Easy', 'Easy', 'Search', 'Information', 'Besifat', 'Direct', 'Direct', 'Easy', 'User', 'Account', 'Getting', ' find ',' idea ',' inspiration ',' world ',' work ',' write ',' picture ',' photo ',' video ',' source ',' power ',' nature ',' source ' , 'power', 'humanity', 'country', 'country', 'because', 'info', 'account', 'account', 'account', 'help', 'field', ' fields', 'need', 'need', "]</v>
      </c>
      <c r="D10164" s="3">
        <v>5.0</v>
      </c>
    </row>
    <row r="10165" ht="15.75" customHeight="1">
      <c r="A10165" s="1">
        <v>10827.0</v>
      </c>
      <c r="B10165" s="3" t="s">
        <v>9736</v>
      </c>
      <c r="C10165" s="3" t="str">
        <f>IFERROR(__xludf.DUMMYFUNCTION("GOOGLETRANSLATE(B10165,""id"",""en"")"),"['application', 'opened', 'color', 'white', '']")</f>
        <v>['application', 'opened', 'color', 'white', '']</v>
      </c>
      <c r="D10165" s="3">
        <v>1.0</v>
      </c>
    </row>
    <row r="10166" ht="15.75" customHeight="1">
      <c r="A10166" s="1">
        <v>10828.0</v>
      </c>
      <c r="B10166" s="3" t="s">
        <v>9737</v>
      </c>
      <c r="C10166" s="3" t="str">
        <f>IFERROR(__xludf.DUMMYFUNCTION("GOOGLETRANSLATE(B10166,""id"",""en"")"),"['Telkomsel', 'opened', ""]")</f>
        <v>['Telkomsel', 'opened', "]</v>
      </c>
      <c r="D10166" s="3">
        <v>1.0</v>
      </c>
    </row>
    <row r="10167" ht="15.75" customHeight="1">
      <c r="A10167" s="1">
        <v>10829.0</v>
      </c>
      <c r="B10167" s="3" t="s">
        <v>9738</v>
      </c>
      <c r="C10167" s="3" t="str">
        <f>IFERROR(__xludf.DUMMYFUNCTION("GOOGLETRANSLATE(B10167,""id"",""en"")"),"['Telkomsel', 'communication']")</f>
        <v>['Telkomsel', 'communication']</v>
      </c>
      <c r="D10167" s="3">
        <v>5.0</v>
      </c>
    </row>
    <row r="10168" ht="15.75" customHeight="1">
      <c r="A10168" s="1">
        <v>10830.0</v>
      </c>
      <c r="B10168" s="3" t="s">
        <v>9739</v>
      </c>
      <c r="C10168" s="3" t="str">
        <f>IFERROR(__xludf.DUMMYFUNCTION("GOOGLETRANSLATE(B10168,""id"",""en"")"),"['Open', 'account']")</f>
        <v>['Open', 'account']</v>
      </c>
      <c r="D10168" s="3">
        <v>1.0</v>
      </c>
    </row>
    <row r="10169" ht="15.75" customHeight="1">
      <c r="A10169" s="1">
        <v>10831.0</v>
      </c>
      <c r="B10169" s="3" t="s">
        <v>9740</v>
      </c>
      <c r="C10169" s="3" t="str">
        <f>IFERROR(__xludf.DUMMYFUNCTION("GOOGLETRANSLATE(B10169,""id"",""en"")"),"['The application', 'Nge', 'Blanks', 'White', 'Virtual', 'Assistant', 'Response']")</f>
        <v>['The application', 'Nge', 'Blanks', 'White', 'Virtual', 'Assistant', 'Response']</v>
      </c>
      <c r="D10169" s="3">
        <v>1.0</v>
      </c>
    </row>
    <row r="10170" ht="15.75" customHeight="1">
      <c r="A10170" s="1">
        <v>10832.0</v>
      </c>
      <c r="B10170" s="3" t="s">
        <v>9741</v>
      </c>
      <c r="C10170" s="3" t="str">
        <f>IFERROR(__xludf.DUMMYFUNCTION("GOOGLETRANSLATE(B10170,""id"",""en"")"),"['easy', 'signal', 'good']")</f>
        <v>['easy', 'signal', 'good']</v>
      </c>
      <c r="D10170" s="3">
        <v>5.0</v>
      </c>
    </row>
    <row r="10171" ht="15.75" customHeight="1">
      <c r="A10171" s="1">
        <v>10833.0</v>
      </c>
      <c r="B10171" s="3" t="s">
        <v>9742</v>
      </c>
      <c r="C10171" s="3" t="str">
        <f>IFERROR(__xludf.DUMMYFUNCTION("GOOGLETRANSLATE(B10171,""id"",""en"")"),"['Ouch', 'gymna', 'Telkomsel', 'update', 'open', 'blank', 'white']")</f>
        <v>['Ouch', 'gymna', 'Telkomsel', 'update', 'open', 'blank', 'white']</v>
      </c>
      <c r="D10171" s="3">
        <v>1.0</v>
      </c>
    </row>
    <row r="10172" ht="15.75" customHeight="1">
      <c r="A10172" s="1">
        <v>10834.0</v>
      </c>
      <c r="B10172" s="3" t="s">
        <v>9743</v>
      </c>
      <c r="C10172" s="3" t="str">
        <f>IFERROR(__xludf.DUMMYFUNCTION("GOOGLETRANSLATE(B10172,""id"",""en"")"),"['Haloo', 'Telkomsel', 'opened', 'already', 'Try', 'Install', 'reset', 'times', 'opened']")</f>
        <v>['Haloo', 'Telkomsel', 'opened', 'already', 'Try', 'Install', 'reset', 'times', 'opened']</v>
      </c>
      <c r="D10172" s="3">
        <v>1.0</v>
      </c>
    </row>
    <row r="10173" ht="15.75" customHeight="1">
      <c r="A10173" s="1">
        <v>10835.0</v>
      </c>
      <c r="B10173" s="3" t="s">
        <v>9744</v>
      </c>
      <c r="C10173" s="3" t="str">
        <f>IFERROR(__xludf.DUMMYFUNCTION("GOOGLETRANSLATE(B10173,""id"",""en"")"),"['Opened', 'kaka']")</f>
        <v>['Opened', 'kaka']</v>
      </c>
      <c r="D10173" s="3">
        <v>3.0</v>
      </c>
    </row>
    <row r="10174" ht="15.75" customHeight="1">
      <c r="A10174" s="1">
        <v>10836.0</v>
      </c>
      <c r="B10174" s="3" t="s">
        <v>9745</v>
      </c>
      <c r="C10174" s="3" t="str">
        <f>IFERROR(__xludf.DUMMYFUNCTION("GOOGLETRANSLATE(B10174,""id"",""en"")"),"['Help', 'transact', 'easy', 'use', 'free']")</f>
        <v>['Help', 'transact', 'easy', 'use', 'free']</v>
      </c>
      <c r="D10174" s="3">
        <v>5.0</v>
      </c>
    </row>
    <row r="10175" ht="15.75" customHeight="1">
      <c r="A10175" s="1">
        <v>10837.0</v>
      </c>
      <c r="B10175" s="3" t="s">
        <v>9746</v>
      </c>
      <c r="C10175" s="3" t="str">
        <f>IFERROR(__xludf.DUMMYFUNCTION("GOOGLETRANSLATE(B10175,""id"",""en"")"),"['', 'Telkomsel', 'Perna', 'promo', 'friend', 'get', 'promo', 'package', 'data', 'cheap', 'thank you']")</f>
        <v>['', 'Telkomsel', 'Perna', 'promo', 'friend', 'get', 'promo', 'package', 'data', 'cheap', 'thank you']</v>
      </c>
      <c r="D10175" s="3">
        <v>4.0</v>
      </c>
    </row>
    <row r="10176" ht="15.75" customHeight="1">
      <c r="A10176" s="1">
        <v>10839.0</v>
      </c>
      <c r="B10176" s="3" t="s">
        <v>9747</v>
      </c>
      <c r="C10176" s="3" t="str">
        <f>IFERROR(__xludf.DUMMYFUNCTION("GOOGLETRANSLATE(B10176,""id"",""en"")"),"['Register', 'Easy', 'Good']")</f>
        <v>['Register', 'Easy', 'Good']</v>
      </c>
      <c r="D10176" s="3">
        <v>5.0</v>
      </c>
    </row>
    <row r="10177" ht="15.75" customHeight="1">
      <c r="A10177" s="1">
        <v>10840.0</v>
      </c>
      <c r="B10177" s="3" t="s">
        <v>9748</v>
      </c>
      <c r="C10177" s="3" t="str">
        <f>IFERROR(__xludf.DUMMYFUNCTION("GOOGLETRANSLATE(B10177,""id"",""en"")"),"['Telkomsel', 'signal', 'strong', 'anywhere']")</f>
        <v>['Telkomsel', 'signal', 'strong', 'anywhere']</v>
      </c>
      <c r="D10177" s="3">
        <v>5.0</v>
      </c>
    </row>
    <row r="10178" ht="15.75" customHeight="1">
      <c r="A10178" s="1">
        <v>10841.0</v>
      </c>
      <c r="B10178" s="3" t="s">
        <v>9749</v>
      </c>
      <c r="C10178" s="3" t="str">
        <f>IFERROR(__xludf.DUMMYFUNCTION("GOOGLETRANSLATE(B10178,""id"",""en"")"),"['Level', 'free', 'BLM', 'Affordable', 'Feel', 'Easy', 'Communicate', 'Telkomsel', 'Greetings', 'Healthy']")</f>
        <v>['Level', 'free', 'BLM', 'Affordable', 'Feel', 'Easy', 'Communicate', 'Telkomsel', 'Greetings', 'Healthy']</v>
      </c>
      <c r="D10178" s="3">
        <v>5.0</v>
      </c>
    </row>
    <row r="10179" ht="15.75" customHeight="1">
      <c r="A10179" s="1">
        <v>10842.0</v>
      </c>
      <c r="B10179" s="3" t="s">
        <v>9750</v>
      </c>
      <c r="C10179" s="3" t="str">
        <f>IFERROR(__xludf.DUMMYFUNCTION("GOOGLETRANSLATE(B10179,""id"",""en"")"),"['Gabisa', 'open', 'ihh', 'parahhh', 'already', 'a week']")</f>
        <v>['Gabisa', 'open', 'ihh', 'parahhh', 'already', 'a week']</v>
      </c>
      <c r="D10179" s="3">
        <v>2.0</v>
      </c>
    </row>
    <row r="10180" ht="15.75" customHeight="1">
      <c r="A10180" s="1">
        <v>10843.0</v>
      </c>
      <c r="B10180" s="3" t="s">
        <v>9751</v>
      </c>
      <c r="C10180" s="3" t="str">
        <f>IFERROR(__xludf.DUMMYFUNCTION("GOOGLETRANSLATE(B10180,""id"",""en"")"),"['Out', 'update', 'blank', 'white', 'smart']")</f>
        <v>['Out', 'update', 'blank', 'white', 'smart']</v>
      </c>
      <c r="D10180" s="3">
        <v>1.0</v>
      </c>
    </row>
    <row r="10181" ht="15.75" customHeight="1">
      <c r="A10181" s="1">
        <v>10844.0</v>
      </c>
      <c r="B10181" s="3" t="s">
        <v>1367</v>
      </c>
      <c r="C10181" s="3" t="str">
        <f>IFERROR(__xludf.DUMMYFUNCTION("GOOGLETRANSLATE(B10181,""id"",""en"")"),"['good']")</f>
        <v>['good']</v>
      </c>
      <c r="D10181" s="3">
        <v>5.0</v>
      </c>
    </row>
    <row r="10182" ht="15.75" customHeight="1">
      <c r="A10182" s="1">
        <v>10845.0</v>
      </c>
      <c r="B10182" s="3" t="s">
        <v>9752</v>
      </c>
      <c r="C10182" s="3" t="str">
        <f>IFERROR(__xludf.DUMMYFUNCTION("GOOGLETRANSLATE(B10182,""id"",""en"")"),"['Good', 'good']")</f>
        <v>['Good', 'good']</v>
      </c>
      <c r="D10182" s="3">
        <v>5.0</v>
      </c>
    </row>
    <row r="10183" ht="15.75" customHeight="1">
      <c r="A10183" s="1">
        <v>10846.0</v>
      </c>
      <c r="B10183" s="3" t="s">
        <v>9753</v>
      </c>
      <c r="C10183" s="3" t="str">
        <f>IFERROR(__xludf.DUMMYFUNCTION("GOOGLETRANSLATE(B10183,""id"",""en"")"),"['Good', 'service']")</f>
        <v>['Good', 'service']</v>
      </c>
      <c r="D10183" s="3">
        <v>5.0</v>
      </c>
    </row>
    <row r="10184" ht="15.75" customHeight="1">
      <c r="A10184" s="1">
        <v>10847.0</v>
      </c>
      <c r="B10184" s="3" t="s">
        <v>9754</v>
      </c>
      <c r="C10184" s="3" t="str">
        <f>IFERROR(__xludf.DUMMYFUNCTION("GOOGLETRANSLATE(B10184,""id"",""en"")"),"['Nyak', 'complained', 'Karna', 'Open', 'Application', 'Opened', 'LGI', 'Delete', 'Dri', 'Playstore']")</f>
        <v>['Nyak', 'complained', 'Karna', 'Open', 'Application', 'Opened', 'LGI', 'Delete', 'Dri', 'Playstore']</v>
      </c>
      <c r="D10184" s="3">
        <v>1.0</v>
      </c>
    </row>
    <row r="10185" ht="15.75" customHeight="1">
      <c r="A10185" s="1">
        <v>10849.0</v>
      </c>
      <c r="B10185" s="3" t="s">
        <v>9755</v>
      </c>
      <c r="C10185" s="3" t="str">
        <f>IFERROR(__xludf.DUMMYFUNCTION("GOOGLETRANSLATE(B10185,""id"",""en"")"),"['The application', 'error', 'open']")</f>
        <v>['The application', 'error', 'open']</v>
      </c>
      <c r="D10185" s="3">
        <v>1.0</v>
      </c>
    </row>
    <row r="10186" ht="15.75" customHeight="1">
      <c r="A10186" s="1">
        <v>10850.0</v>
      </c>
      <c r="B10186" s="3" t="s">
        <v>9756</v>
      </c>
      <c r="C10186" s="3" t="str">
        <f>IFERROR(__xludf.DUMMYFUNCTION("GOOGLETRANSLATE(B10186,""id"",""en"")"),"['Synity', 'Jel', 'Ragunan']")</f>
        <v>['Synity', 'Jel', 'Ragunan']</v>
      </c>
      <c r="D10186" s="3">
        <v>3.0</v>
      </c>
    </row>
    <row r="10187" ht="15.75" customHeight="1">
      <c r="A10187" s="1">
        <v>10851.0</v>
      </c>
      <c r="B10187" s="3" t="s">
        <v>9757</v>
      </c>
      <c r="C10187" s="3" t="str">
        <f>IFERROR(__xludf.DUMMYFUNCTION("GOOGLETRANSLATE(B10187,""id"",""en"")"),"['expensive', 'all-round', 'expensive']")</f>
        <v>['expensive', 'all-round', 'expensive']</v>
      </c>
      <c r="D10187" s="3">
        <v>1.0</v>
      </c>
    </row>
    <row r="10188" ht="15.75" customHeight="1">
      <c r="A10188" s="1">
        <v>10852.0</v>
      </c>
      <c r="B10188" s="3" t="s">
        <v>9758</v>
      </c>
      <c r="C10188" s="3" t="str">
        <f>IFERROR(__xludf.DUMMYFUNCTION("GOOGLETRANSLATE(B10188,""id"",""en"")"),"['look', 'attractive', 'contains']")</f>
        <v>['look', 'attractive', 'contains']</v>
      </c>
      <c r="D10188" s="3">
        <v>5.0</v>
      </c>
    </row>
    <row r="10189" ht="15.75" customHeight="1">
      <c r="A10189" s="1">
        <v>10853.0</v>
      </c>
      <c r="B10189" s="3" t="s">
        <v>9759</v>
      </c>
      <c r="C10189" s="3" t="str">
        <f>IFERROR(__xludf.DUMMYFUNCTION("GOOGLETRANSLATE(B10189,""id"",""en"")"),"['', 'love', 'binta', 'bonus',' pulse ',' thousand ',' apply ',' clock ',' bonus', 'entry', 'sense', 'use', 'Telepan ',' Share ',' please ',' bonus', 'Rbu', '']")</f>
        <v>['', 'love', 'binta', 'bonus',' pulse ',' thousand ',' apply ',' clock ',' bonus', 'entry', 'sense', 'use', 'Telepan ',' Share ',' please ',' bonus', 'Rbu', '']</v>
      </c>
      <c r="D10189" s="3">
        <v>2.0</v>
      </c>
    </row>
    <row r="10190" ht="15.75" customHeight="1">
      <c r="A10190" s="1">
        <v>10854.0</v>
      </c>
      <c r="B10190" s="3" t="s">
        <v>9760</v>
      </c>
      <c r="C10190" s="3" t="str">
        <f>IFERROR(__xludf.DUMMYFUNCTION("GOOGLETRANSLATE(B10190,""id"",""en"")"),"['card', 'expensive', 'signal', 'cheap', 'udh', 'compete', 'card']")</f>
        <v>['card', 'expensive', 'signal', 'cheap', 'udh', 'compete', 'card']</v>
      </c>
      <c r="D10190" s="3">
        <v>1.0</v>
      </c>
    </row>
    <row r="10191" ht="15.75" customHeight="1">
      <c r="A10191" s="1">
        <v>10855.0</v>
      </c>
      <c r="B10191" s="3" t="s">
        <v>9761</v>
      </c>
      <c r="C10191" s="3" t="str">
        <f>IFERROR(__xludf.DUMMYFUNCTION("GOOGLETRANSLATE(B10191,""id"",""en"")"),"['Star', 'Down', 'Bintang', 'Disappointed', 'Bener', 'Application', 'Upgrade', 'Screen', 'Main', 'Color', 'White', 'Ngga', ' appears', 'page', 'main', 'alternating', 'uninstall', 'reset', 'tetep', 'like', 'that's',' protest ',' no ',' action ',' continue "&amp;"' , 'Gini', 'Story', 'Move', 'Provider', 'SERBA', 'Expensive', 'Package', 'Combo', 'Sakti', 'Expensive', 'Ouch', 'Disappointed', ' really ',' Telkomsel ']")</f>
        <v>['Star', 'Down', 'Bintang', 'Disappointed', 'Bener', 'Application', 'Upgrade', 'Screen', 'Main', 'Color', 'White', 'Ngga', ' appears', 'page', 'main', 'alternating', 'uninstall', 'reset', 'tetep', 'like', 'that's',' protest ',' no ',' action ',' continue ' , 'Gini', 'Story', 'Move', 'Provider', 'SERBA', 'Expensive', 'Package', 'Combo', 'Sakti', 'Expensive', 'Ouch', 'Disappointed', ' really ',' Telkomsel ']</v>
      </c>
      <c r="D10191" s="3">
        <v>1.0</v>
      </c>
    </row>
    <row r="10192" ht="15.75" customHeight="1">
      <c r="A10192" s="1">
        <v>10856.0</v>
      </c>
      <c r="B10192" s="3" t="s">
        <v>9762</v>
      </c>
      <c r="C10192" s="3" t="str">
        <f>IFERROR(__xludf.DUMMYFUNCTION("GOOGLETRANSLATE(B10192,""id"",""en"")"),"['intention', 'corrected', 'the application', 'opened', 'screen', 'white', 'signal', 'difficult', ""]")</f>
        <v>['intention', 'corrected', 'the application', 'opened', 'screen', 'white', 'signal', 'difficult', "]</v>
      </c>
      <c r="D10192" s="3">
        <v>1.0</v>
      </c>
    </row>
    <row r="10193" ht="15.75" customHeight="1">
      <c r="A10193" s="1">
        <v>10857.0</v>
      </c>
      <c r="B10193" s="3" t="s">
        <v>9763</v>
      </c>
      <c r="C10193" s="3" t="str">
        <f>IFERROR(__xludf.DUMMYFUNCTION("GOOGLETRANSLATE(B10193,""id"",""en"")"),"['change']")</f>
        <v>['change']</v>
      </c>
      <c r="D10193" s="3">
        <v>4.0</v>
      </c>
    </row>
    <row r="10194" ht="15.75" customHeight="1">
      <c r="A10194" s="1">
        <v>10858.0</v>
      </c>
      <c r="B10194" s="3" t="s">
        <v>9764</v>
      </c>
      <c r="C10194" s="3" t="str">
        <f>IFERROR(__xludf.DUMMYFUNCTION("GOOGLETRANSLATE(B10194,""id"",""en"")"),"['Please', 'Sorry', 'How', 'Enter', 'Application', 'UDH', 'Delete', 'Dowload', 'Tetep', 'Enter', 'Screen', 'White', ' ']")</f>
        <v>['Please', 'Sorry', 'How', 'Enter', 'Application', 'UDH', 'Delete', 'Dowload', 'Tetep', 'Enter', 'Screen', 'White', ' ']</v>
      </c>
      <c r="D10194" s="3">
        <v>4.0</v>
      </c>
    </row>
    <row r="10195" ht="15.75" customHeight="1">
      <c r="A10195" s="1">
        <v>10859.0</v>
      </c>
      <c r="B10195" s="3" t="s">
        <v>9765</v>
      </c>
      <c r="C10195" s="3" t="str">
        <f>IFERROR(__xludf.DUMMYFUNCTION("GOOGLETRANSLATE(B10195,""id"",""en"")"),"['open']")</f>
        <v>['open']</v>
      </c>
      <c r="D10195" s="3">
        <v>1.0</v>
      </c>
    </row>
    <row r="10196" ht="15.75" customHeight="1">
      <c r="A10196" s="1">
        <v>10860.0</v>
      </c>
      <c r="B10196" s="3" t="s">
        <v>9766</v>
      </c>
      <c r="C10196" s="3" t="str">
        <f>IFERROR(__xludf.DUMMYFUNCTION("GOOGLETRANSLATE(B10196,""id"",""en"")"),"['', 'Date', 'des',' application ',' no ',' opened ',' blank ',' white ',' already ',' install ',' healin ',' cache ',' etc. ']")</f>
        <v>['', 'Date', 'des',' application ',' no ',' opened ',' blank ',' white ',' already ',' install ',' healin ',' cache ',' etc. ']</v>
      </c>
      <c r="D10196" s="3">
        <v>1.0</v>
      </c>
    </row>
    <row r="10197" ht="15.75" customHeight="1">
      <c r="A10197" s="1">
        <v>10861.0</v>
      </c>
      <c r="B10197" s="3" t="s">
        <v>9767</v>
      </c>
      <c r="C10197" s="3" t="str">
        <f>IFERROR(__xludf.DUMMYFUNCTION("GOOGLETRANSLATE(B10197,""id"",""en"")"),"['blank', 'weekly', 'price', 'star', 'quality', 'garbage', 'mending', 'move', 'provaider', 'affordable', 'price', 'package', ' ']")</f>
        <v>['blank', 'weekly', 'price', 'star', 'quality', 'garbage', 'mending', 'move', 'provaider', 'affordable', 'price', 'package', ' ']</v>
      </c>
      <c r="D10197" s="3">
        <v>1.0</v>
      </c>
    </row>
    <row r="10198" ht="15.75" customHeight="1">
      <c r="A10198" s="1">
        <v>10862.0</v>
      </c>
      <c r="B10198" s="3" t="s">
        <v>9768</v>
      </c>
      <c r="C10198" s="3" t="str">
        <f>IFERROR(__xludf.DUMMYFUNCTION("GOOGLETRANSLATE(B10198,""id"",""en"")"),"['Provider', 'Contest', 'You', 'Bagusin', 'Network', 'Ta', 'Jngan', 'Package', 'Expensive']")</f>
        <v>['Provider', 'Contest', 'You', 'Bagusin', 'Network', 'Ta', 'Jngan', 'Package', 'Expensive']</v>
      </c>
      <c r="D10198" s="3">
        <v>1.0</v>
      </c>
    </row>
    <row r="10199" ht="15.75" customHeight="1">
      <c r="A10199" s="1">
        <v>10863.0</v>
      </c>
      <c r="B10199" s="3" t="s">
        <v>9769</v>
      </c>
      <c r="C10199" s="3" t="str">
        <f>IFERROR(__xludf.DUMMYFUNCTION("GOOGLETRANSLATE(B10199,""id"",""en"")"),"['Telkomsel', 'best', 'tlg', 'kouta', 'trs', 'expensive', 'tlg', 'considered']")</f>
        <v>['Telkomsel', 'best', 'tlg', 'kouta', 'trs', 'expensive', 'tlg', 'considered']</v>
      </c>
      <c r="D10199" s="3">
        <v>5.0</v>
      </c>
    </row>
    <row r="10200" ht="15.75" customHeight="1">
      <c r="A10200" s="1">
        <v>10864.0</v>
      </c>
      <c r="B10200" s="3" t="s">
        <v>9770</v>
      </c>
      <c r="C10200" s="3" t="str">
        <f>IFERROR(__xludf.DUMMYFUNCTION("GOOGLETRANSLATE(B10200,""id"",""en"")"),"['Hopefully', 'Win', 'Lottery']")</f>
        <v>['Hopefully', 'Win', 'Lottery']</v>
      </c>
      <c r="D10200" s="3">
        <v>5.0</v>
      </c>
    </row>
    <row r="10201" ht="15.75" customHeight="1">
      <c r="A10201" s="1">
        <v>10865.0</v>
      </c>
      <c r="B10201" s="3" t="s">
        <v>9771</v>
      </c>
      <c r="C10201" s="3" t="str">
        <f>IFERROR(__xludf.DUMMYFUNCTION("GOOGLETRANSLATE(B10201,""id"",""en"")"),"['application', 'opened', 'uda', 'opened']")</f>
        <v>['application', 'opened', 'uda', 'opened']</v>
      </c>
      <c r="D10201" s="3">
        <v>1.0</v>
      </c>
    </row>
    <row r="10202" ht="15.75" customHeight="1">
      <c r="A10202" s="1">
        <v>10866.0</v>
      </c>
      <c r="B10202" s="3" t="s">
        <v>9772</v>
      </c>
      <c r="C10202" s="3" t="str">
        <f>IFERROR(__xludf.DUMMYFUNCTION("GOOGLETRANSLATE(B10202,""id"",""en"")"),"['Exchange', 'Points', 'Telkomsel', 'FAIL']")</f>
        <v>['Exchange', 'Points', 'Telkomsel', 'FAIL']</v>
      </c>
      <c r="D10202" s="3">
        <v>3.0</v>
      </c>
    </row>
    <row r="10203" ht="15.75" customHeight="1">
      <c r="A10203" s="1">
        <v>10867.0</v>
      </c>
      <c r="B10203" s="3" t="s">
        <v>9773</v>
      </c>
      <c r="C10203" s="3" t="str">
        <f>IFERROR(__xludf.DUMMYFUNCTION("GOOGLETRANSLATE(B10203,""id"",""en"")"),"['Experience', 'fun', 'just', 'price', 'packagex']")</f>
        <v>['Experience', 'fun', 'just', 'price', 'packagex']</v>
      </c>
      <c r="D10203" s="3">
        <v>3.0</v>
      </c>
    </row>
    <row r="10204" ht="15.75" customHeight="1">
      <c r="A10204" s="1">
        <v>10868.0</v>
      </c>
      <c r="B10204" s="3" t="s">
        <v>9774</v>
      </c>
      <c r="C10204" s="3" t="str">
        <f>IFERROR(__xludf.DUMMYFUNCTION("GOOGLETRANSLATE(B10204,""id"",""en"")"),"['Steady', 'usage', 'controlled']")</f>
        <v>['Steady', 'usage', 'controlled']</v>
      </c>
      <c r="D10204" s="3">
        <v>4.0</v>
      </c>
    </row>
    <row r="10205" ht="15.75" customHeight="1">
      <c r="A10205" s="1">
        <v>10870.0</v>
      </c>
      <c r="B10205" s="3" t="s">
        <v>9775</v>
      </c>
      <c r="C10205" s="3" t="str">
        <f>IFERROR(__xludf.DUMMYFUNCTION("GOOGLETRANSLATE(B10205,""id"",""en"")"),"['getapa', 'login', 'please', 'YTH', 'Telkomsel']")</f>
        <v>['getapa', 'login', 'please', 'YTH', 'Telkomsel']</v>
      </c>
      <c r="D10205" s="3">
        <v>5.0</v>
      </c>
    </row>
    <row r="10206" ht="15.75" customHeight="1">
      <c r="A10206" s="1">
        <v>10871.0</v>
      </c>
      <c r="B10206" s="3" t="s">
        <v>9776</v>
      </c>
      <c r="C10206" s="3" t="str">
        <f>IFERROR(__xludf.DUMMYFUNCTION("GOOGLETRANSLATE(B10206,""id"",""en"")"),"['knp', 'right', 'update', 'the application', 'entry', 'Please', 'repaired', 'apk', 'sgt', 'good', 'make it easy', ' Check ',' data ',' pulse ',' etc. ',' Please ',' repair ']")</f>
        <v>['knp', 'right', 'update', 'the application', 'entry', 'Please', 'repaired', 'apk', 'sgt', 'good', 'make it easy', ' Check ',' data ',' pulse ',' etc. ',' Please ',' repair ']</v>
      </c>
      <c r="D10206" s="3">
        <v>1.0</v>
      </c>
    </row>
    <row r="10207" ht="15.75" customHeight="1">
      <c r="A10207" s="1">
        <v>10872.0</v>
      </c>
      <c r="B10207" s="3" t="s">
        <v>9777</v>
      </c>
      <c r="C10207" s="3" t="str">
        <f>IFERROR(__xludf.DUMMYFUNCTION("GOOGLETRANSLATE(B10207,""id"",""en"")"),"['Okee', 'really']")</f>
        <v>['Okee', 'really']</v>
      </c>
      <c r="D10207" s="3">
        <v>5.0</v>
      </c>
    </row>
    <row r="10208" ht="15.75" customHeight="1">
      <c r="A10208" s="1">
        <v>10873.0</v>
      </c>
      <c r="B10208" s="3" t="s">
        <v>9778</v>
      </c>
      <c r="C10208" s="3" t="str">
        <f>IFERROR(__xludf.DUMMYFUNCTION("GOOGLETRANSLATE(B10208,""id"",""en"")"),"['Support', 'application', 'keep', 'serve', 'customer', 'wholehole', 'heart', 'hope', 'experience', 'error', 'obstacles',' harm ',' Use ',' application ',' ']")</f>
        <v>['Support', 'application', 'keep', 'serve', 'customer', 'wholehole', 'heart', 'hope', 'experience', 'error', 'obstacles',' harm ',' Use ',' application ',' ']</v>
      </c>
      <c r="D10208" s="3">
        <v>5.0</v>
      </c>
    </row>
    <row r="10209" ht="15.75" customHeight="1">
      <c r="A10209" s="1">
        <v>10874.0</v>
      </c>
      <c r="B10209" s="3" t="s">
        <v>2127</v>
      </c>
      <c r="C10209" s="3" t="str">
        <f>IFERROR(__xludf.DUMMYFUNCTION("GOOGLETRANSLATE(B10209,""id"",""en"")"),"['easy']")</f>
        <v>['easy']</v>
      </c>
      <c r="D10209" s="3">
        <v>4.0</v>
      </c>
    </row>
    <row r="10210" ht="15.75" customHeight="1">
      <c r="A10210" s="1">
        <v>10875.0</v>
      </c>
      <c r="B10210" s="3" t="s">
        <v>9779</v>
      </c>
      <c r="C10210" s="3" t="str">
        <f>IFERROR(__xludf.DUMMYFUNCTION("GOOGLETRANSLATE(B10210,""id"",""en"")"),"['package', 'data', 'expensive', '']")</f>
        <v>['package', 'data', 'expensive', '']</v>
      </c>
      <c r="D10210" s="3">
        <v>3.0</v>
      </c>
    </row>
    <row r="10211" ht="15.75" customHeight="1">
      <c r="A10211" s="1">
        <v>10876.0</v>
      </c>
      <c r="B10211" s="3" t="s">
        <v>9780</v>
      </c>
      <c r="C10211" s="3" t="str">
        <f>IFERROR(__xludf.DUMMYFUNCTION("GOOGLETRANSLATE(B10211,""id"",""en"")"),"['easy', 'fast', 'operational', 'buy', 'package', 'run out', 'cheap']")</f>
        <v>['easy', 'fast', 'operational', 'buy', 'package', 'run out', 'cheap']</v>
      </c>
      <c r="D10211" s="3">
        <v>5.0</v>
      </c>
    </row>
    <row r="10212" ht="15.75" customHeight="1">
      <c r="A10212" s="1">
        <v>10877.0</v>
      </c>
      <c r="B10212" s="3" t="s">
        <v>9781</v>
      </c>
      <c r="C10212" s="3" t="str">
        <f>IFERROR(__xludf.DUMMYFUNCTION("GOOGLETRANSLATE(B10212,""id"",""en"")"),"['buy', 'quota', 'to' youtube ',' unlimited ',' quota ',' main ',' reduced ',' buy ',' quota ',' lap ',' Telkomsel ',' Feel ',' Thank you ', ""]")</f>
        <v>['buy', 'quota', 'to' youtube ',' unlimited ',' quota ',' main ',' reduced ',' buy ',' quota ',' lap ',' Telkomsel ',' Feel ',' Thank you ', "]</v>
      </c>
      <c r="D10212" s="3">
        <v>1.0</v>
      </c>
    </row>
    <row r="10213" ht="15.75" customHeight="1">
      <c r="A10213" s="1">
        <v>10878.0</v>
      </c>
      <c r="B10213" s="3" t="s">
        <v>9782</v>
      </c>
      <c r="C10213" s="3" t="str">
        <f>IFERROR(__xludf.DUMMYFUNCTION("GOOGLETRANSLATE(B10213,""id"",""en"")"),"['Tips', 'good', 'signal', 'Cibiru', 'Cipadati', '']")</f>
        <v>['Tips', 'good', 'signal', 'Cibiru', 'Cipadati', '']</v>
      </c>
      <c r="D10213" s="3">
        <v>5.0</v>
      </c>
    </row>
    <row r="10214" ht="15.75" customHeight="1">
      <c r="A10214" s="1">
        <v>10881.0</v>
      </c>
      <c r="B10214" s="3" t="s">
        <v>659</v>
      </c>
      <c r="C10214" s="3" t="str">
        <f>IFERROR(__xludf.DUMMYFUNCTION("GOOGLETRANSLATE(B10214,""id"",""en"")"),"['Application', 'Help']")</f>
        <v>['Application', 'Help']</v>
      </c>
      <c r="D10214" s="3">
        <v>5.0</v>
      </c>
    </row>
    <row r="10215" ht="15.75" customHeight="1">
      <c r="A10215" s="1">
        <v>10882.0</v>
      </c>
      <c r="B10215" s="3" t="s">
        <v>9783</v>
      </c>
      <c r="C10215" s="3" t="str">
        <f>IFERROR(__xludf.DUMMYFUNCTION("GOOGLETRANSLATE(B10215,""id"",""en"")"),"['Dri', 'afternoon', 'opened', 'the application']")</f>
        <v>['Dri', 'afternoon', 'opened', 'the application']</v>
      </c>
      <c r="D10215" s="3">
        <v>1.0</v>
      </c>
    </row>
    <row r="10216" ht="15.75" customHeight="1">
      <c r="A10216" s="1">
        <v>10883.0</v>
      </c>
      <c r="B10216" s="3" t="s">
        <v>9784</v>
      </c>
      <c r="C10216" s="3" t="str">
        <f>IFERROR(__xludf.DUMMYFUNCTION("GOOGLETRANSLATE(B10216,""id"",""en"")"),"['download', 'application', 'open', 'appear', 'screen', 'white', 'wait', 'menu', 'appear', ""]")</f>
        <v>['download', 'application', 'open', 'appear', 'screen', 'white', 'wait', 'menu', 'appear', "]</v>
      </c>
      <c r="D10216" s="3">
        <v>1.0</v>
      </c>
    </row>
    <row r="10217" ht="15.75" customHeight="1">
      <c r="A10217" s="1">
        <v>10885.0</v>
      </c>
      <c r="B10217" s="3" t="s">
        <v>9785</v>
      </c>
      <c r="C10217" s="3" t="str">
        <f>IFERROR(__xludf.DUMMYFUNCTION("GOOGLETRANSLATE(B10217,""id"",""en"")"),"['My APK', 'good', 'really', 'customer', 'happy', 'bnyak', 'bnget', 'gift']")</f>
        <v>['My APK', 'good', 'really', 'customer', 'happy', 'bnyak', 'bnget', 'gift']</v>
      </c>
      <c r="D10217" s="3">
        <v>5.0</v>
      </c>
    </row>
    <row r="10218" ht="15.75" customHeight="1">
      <c r="A10218" s="1">
        <v>10887.0</v>
      </c>
      <c r="B10218" s="3" t="s">
        <v>9786</v>
      </c>
      <c r="C10218" s="3" t="str">
        <f>IFERROR(__xludf.DUMMYFUNCTION("GOOGLETRANSLATE(B10218,""id"",""en"")"),"['Application', 'Open', 'TLP', 'Call', 'Center', 'Change', 'Provider', 'Class', 'Telkomsel', 'Application', 'Down', ""]")</f>
        <v>['Application', 'Open', 'TLP', 'Call', 'Center', 'Change', 'Provider', 'Class', 'Telkomsel', 'Application', 'Down', "]</v>
      </c>
      <c r="D10218" s="3">
        <v>1.0</v>
      </c>
    </row>
    <row r="10219" ht="15.75" customHeight="1">
      <c r="A10219" s="1">
        <v>10888.0</v>
      </c>
      <c r="B10219" s="3" t="s">
        <v>9787</v>
      </c>
      <c r="C10219" s="3" t="str">
        <f>IFERROR(__xludf.DUMMYFUNCTION("GOOGLETRANSLATE(B10219,""id"",""en"")"),"['update', 'apk', 'blank', 'white', 'opened', 'annoying', 'APK', '']")</f>
        <v>['update', 'apk', 'blank', 'white', 'opened', 'annoying', 'APK', '']</v>
      </c>
      <c r="D10219" s="3">
        <v>1.0</v>
      </c>
    </row>
    <row r="10220" ht="15.75" customHeight="1">
      <c r="A10220" s="1">
        <v>10889.0</v>
      </c>
      <c r="B10220" s="3" t="s">
        <v>1601</v>
      </c>
      <c r="C10220" s="3" t="str">
        <f>IFERROR(__xludf.DUMMYFUNCTION("GOOGLETRANSLATE(B10220,""id"",""en"")"),"['open']")</f>
        <v>['open']</v>
      </c>
      <c r="D10220" s="3">
        <v>1.0</v>
      </c>
    </row>
    <row r="10221" ht="15.75" customHeight="1">
      <c r="A10221" s="1">
        <v>10890.0</v>
      </c>
      <c r="B10221" s="3" t="s">
        <v>9788</v>
      </c>
      <c r="C10221" s="3" t="str">
        <f>IFERROR(__xludf.DUMMYFUNCTION("GOOGLETRANSLATE(B10221,""id"",""en"")"),"['Steady', 'Djiwa', 'Network', 'kal', 'bar']")</f>
        <v>['Steady', 'Djiwa', 'Network', 'kal', 'bar']</v>
      </c>
      <c r="D10221" s="3">
        <v>5.0</v>
      </c>
    </row>
    <row r="10222" ht="15.75" customHeight="1">
      <c r="A10222" s="1">
        <v>10891.0</v>
      </c>
      <c r="B10222" s="3" t="s">
        <v>9789</v>
      </c>
      <c r="C10222" s="3" t="str">
        <f>IFERROR(__xludf.DUMMYFUNCTION("GOOGLETRANSLATE(B10222,""id"",""en"")"),"['network', 'sympathy', 'akhrir', 'super', 'bad', 'gini', 'sympathy', 'migration', '']")</f>
        <v>['network', 'sympathy', 'akhrir', 'super', 'bad', 'gini', 'sympathy', 'migration', '']</v>
      </c>
      <c r="D10222" s="3">
        <v>1.0</v>
      </c>
    </row>
    <row r="10223" ht="15.75" customHeight="1">
      <c r="A10223" s="1">
        <v>10892.0</v>
      </c>
      <c r="B10223" s="3" t="s">
        <v>9790</v>
      </c>
      <c r="C10223" s="3" t="str">
        <f>IFERROR(__xludf.DUMMYFUNCTION("GOOGLETRANSLATE(B10223,""id"",""en"")"),"['update', 'kog', 'no', 'open', 'disappointing']")</f>
        <v>['update', 'kog', 'no', 'open', 'disappointing']</v>
      </c>
      <c r="D10223" s="3">
        <v>1.0</v>
      </c>
    </row>
    <row r="10224" ht="15.75" customHeight="1">
      <c r="A10224" s="1">
        <v>10894.0</v>
      </c>
      <c r="B10224" s="3" t="s">
        <v>9791</v>
      </c>
      <c r="C10224" s="3" t="str">
        <f>IFERROR(__xludf.DUMMYFUNCTION("GOOGLETRANSLATE(B10224,""id"",""en"")"),"['price', 'package', 'expensive', 'quota', 'package', '']")</f>
        <v>['price', 'package', 'expensive', 'quota', 'package', '']</v>
      </c>
      <c r="D10224" s="3">
        <v>4.0</v>
      </c>
    </row>
    <row r="10225" ht="15.75" customHeight="1">
      <c r="A10225" s="1">
        <v>10895.0</v>
      </c>
      <c r="B10225" s="3" t="s">
        <v>9792</v>
      </c>
      <c r="C10225" s="3" t="str">
        <f>IFERROR(__xludf.DUMMYFUNCTION("GOOGLETRANSLATE(B10225,""id"",""en"")"),"['Good', 'buy', 'package', 'internet']")</f>
        <v>['Good', 'buy', 'package', 'internet']</v>
      </c>
      <c r="D10225" s="3">
        <v>5.0</v>
      </c>
    </row>
    <row r="10226" ht="15.75" customHeight="1">
      <c r="A10226" s="1">
        <v>10896.0</v>
      </c>
      <c r="B10226" s="3" t="s">
        <v>9793</v>
      </c>
      <c r="C10226" s="3" t="str">
        <f>IFERROR(__xludf.DUMMYFUNCTION("GOOGLETRANSLATE(B10226,""id"",""en"")"),"['Males',' really ',' network ',' Telkomsel ',' lag ',' pakek ',' good ',' good ',' ugly ',' network ',' play ',' game ',' Stable ',' network ',' pakek ',' Telkomsel ',' disappointing ',' price ',' package ',' quota ',' pretty ',' above ',' card ',' signa"&amp;"l ',' according to ' , 'price', '']")</f>
        <v>['Males',' really ',' network ',' Telkomsel ',' lag ',' pakek ',' good ',' good ',' ugly ',' network ',' play ',' game ',' Stable ',' network ',' pakek ',' Telkomsel ',' disappointing ',' price ',' package ',' quota ',' pretty ',' above ',' card ',' signal ',' according to ' , 'price', '']</v>
      </c>
      <c r="D10226" s="3">
        <v>1.0</v>
      </c>
    </row>
    <row r="10227" ht="15.75" customHeight="1">
      <c r="A10227" s="1">
        <v>10897.0</v>
      </c>
      <c r="B10227" s="3" t="s">
        <v>9413</v>
      </c>
      <c r="C10227" s="3" t="str">
        <f>IFERROR(__xludf.DUMMYFUNCTION("GOOGLETRANSLATE(B10227,""id"",""en"")"),"['Application', 'Open']")</f>
        <v>['Application', 'Open']</v>
      </c>
      <c r="D10227" s="3">
        <v>5.0</v>
      </c>
    </row>
    <row r="10228" ht="15.75" customHeight="1">
      <c r="A10228" s="1">
        <v>10898.0</v>
      </c>
      <c r="B10228" s="3" t="s">
        <v>9794</v>
      </c>
      <c r="C10228" s="3" t="str">
        <f>IFERROR(__xludf.DUMMYFUNCTION("GOOGLETRANSLATE(B10228,""id"",""en"")"),"['Telkomsel', 'home', 'Medan', 'tired', 'go home', 'Langkat', 'Medan', 'Looking', 'Liva', 'Taxi', 'Online', 'money', ' work ',' collected ',' married ',' hope ',' Points', 'Lucky', 'Draw', 'Exchange', 'Fall', 'Allah', 'achieved', 'justify', 'woman' , 'Lov"&amp;"e', 'Amin', '']")</f>
        <v>['Telkomsel', 'home', 'Medan', 'tired', 'go home', 'Langkat', 'Medan', 'Looking', 'Liva', 'Taxi', 'Online', 'money', ' work ',' collected ',' married ',' hope ',' Points', 'Lucky', 'Draw', 'Exchange', 'Fall', 'Allah', 'achieved', 'justify', 'woman' , 'Love', 'Amin', '']</v>
      </c>
      <c r="D10228" s="3">
        <v>5.0</v>
      </c>
    </row>
    <row r="10229" ht="15.75" customHeight="1">
      <c r="A10229" s="1">
        <v>10899.0</v>
      </c>
      <c r="B10229" s="3" t="s">
        <v>9795</v>
      </c>
      <c r="C10229" s="3" t="str">
        <f>IFERROR(__xludf.DUMMYFUNCTION("GOOGLETRANSLATE(B10229,""id"",""en"")"),"['Understand', 'Understand']")</f>
        <v>['Understand', 'Understand']</v>
      </c>
      <c r="D10229" s="3">
        <v>5.0</v>
      </c>
    </row>
    <row r="10230" ht="15.75" customHeight="1">
      <c r="A10230" s="1">
        <v>10900.0</v>
      </c>
      <c r="B10230" s="3" t="s">
        <v>9796</v>
      </c>
      <c r="C10230" s="3" t="str">
        <f>IFERROR(__xludf.DUMMYFUNCTION("GOOGLETRANSLATE(B10230,""id"",""en"")"),"['strange', 'opened', 'already', 'a month', 'call', 'center', 'Telkomsel', 'Turuti', 'opened']")</f>
        <v>['strange', 'opened', 'already', 'a month', 'call', 'center', 'Telkomsel', 'Turuti', 'opened']</v>
      </c>
      <c r="D10230" s="3">
        <v>1.0</v>
      </c>
    </row>
    <row r="10231" ht="15.75" customHeight="1">
      <c r="A10231" s="1">
        <v>10901.0</v>
      </c>
      <c r="B10231" s="3" t="s">
        <v>9797</v>
      </c>
      <c r="C10231" s="3" t="str">
        <f>IFERROR(__xludf.DUMMYFUNCTION("GOOGLETRANSLATE(B10231,""id"",""en"")"),"['already', 'updated', 'version', 'newest', 'Perlalah', 'just', 'White', 'Screen', 'Paketan', 'Government', 'Sumpot', 'Out', ' Pulsely ']")</f>
        <v>['already', 'updated', 'version', 'newest', 'Perlalah', 'just', 'White', 'Screen', 'Paketan', 'Government', 'Sumpot', 'Out', ' Pulsely ']</v>
      </c>
      <c r="D10231" s="3">
        <v>1.0</v>
      </c>
    </row>
    <row r="10232" ht="15.75" customHeight="1">
      <c r="A10232" s="1">
        <v>10902.0</v>
      </c>
      <c r="B10232" s="3" t="s">
        <v>9798</v>
      </c>
      <c r="C10232" s="3" t="str">
        <f>IFERROR(__xludf.DUMMYFUNCTION("GOOGLETRANSLATE(B10232,""id"",""en"")"),"['Star', 'Min', 'Application', 'Install', 'No', 'Open', 'Star', 'Entar', 'The Application', 'Already', 'Open', ""]")</f>
        <v>['Star', 'Min', 'Application', 'Install', 'No', 'Open', 'Star', 'Entar', 'The Application', 'Already', 'Open', "]</v>
      </c>
      <c r="D10232" s="3">
        <v>1.0</v>
      </c>
    </row>
    <row r="10233" ht="15.75" customHeight="1">
      <c r="A10233" s="1">
        <v>10904.0</v>
      </c>
      <c r="B10233" s="3" t="s">
        <v>983</v>
      </c>
      <c r="C10233" s="3" t="str">
        <f>IFERROR(__xludf.DUMMYFUNCTION("GOOGLETRANSLATE(B10233,""id"",""en"")"),"['', 'Telkomsel', 'help']")</f>
        <v>['', 'Telkomsel', 'help']</v>
      </c>
      <c r="D10233" s="3">
        <v>5.0</v>
      </c>
    </row>
    <row r="10234" ht="15.75" customHeight="1">
      <c r="A10234" s="1">
        <v>10905.0</v>
      </c>
      <c r="B10234" s="3" t="s">
        <v>9799</v>
      </c>
      <c r="C10234" s="3" t="str">
        <f>IFERROR(__xludf.DUMMYFUNCTION("GOOGLETRANSLATE(B10234,""id"",""en"")"),"['Service', 'bad', 'no', 'good', '']")</f>
        <v>['Service', 'bad', 'no', 'good', '']</v>
      </c>
      <c r="D10234" s="3">
        <v>1.0</v>
      </c>
    </row>
    <row r="10235" ht="15.75" customHeight="1">
      <c r="A10235" s="1">
        <v>10906.0</v>
      </c>
      <c r="B10235" s="3" t="s">
        <v>9800</v>
      </c>
      <c r="C10235" s="3" t="str">
        <f>IFERROR(__xludf.DUMMYFUNCTION("GOOGLETRANSLATE(B10235,""id"",""en"")"),"['Application', 'NOT', 'HELP', 'Dizziness', 'updateether', 'MLH', 'Jelex', ""]")</f>
        <v>['Application', 'NOT', 'HELP', 'Dizziness', 'updateether', 'MLH', 'Jelex', "]</v>
      </c>
      <c r="D10235" s="3">
        <v>1.0</v>
      </c>
    </row>
    <row r="10236" ht="15.75" customHeight="1">
      <c r="A10236" s="1">
        <v>10907.0</v>
      </c>
      <c r="B10236" s="3" t="s">
        <v>9801</v>
      </c>
      <c r="C10236" s="3" t="str">
        <f>IFERROR(__xludf.DUMMYFUNCTION("GOOGLETRANSLATE(B10236,""id"",""en"")"),"['Napa', 'enter', 'please', 'repair', 'Telkom', ""]")</f>
        <v>['Napa', 'enter', 'please', 'repair', 'Telkom', "]</v>
      </c>
      <c r="D10236" s="3">
        <v>1.0</v>
      </c>
    </row>
    <row r="10237" ht="15.75" customHeight="1">
      <c r="A10237" s="1">
        <v>10908.0</v>
      </c>
      <c r="B10237" s="3" t="s">
        <v>2727</v>
      </c>
      <c r="C10237" s="3" t="str">
        <f>IFERROR(__xludf.DUMMYFUNCTION("GOOGLETRANSLATE(B10237,""id"",""en"")"),"['Opened', '']")</f>
        <v>['Opened', '']</v>
      </c>
      <c r="D10237" s="3">
        <v>1.0</v>
      </c>
    </row>
    <row r="10238" ht="15.75" customHeight="1">
      <c r="A10238" s="1">
        <v>10909.0</v>
      </c>
      <c r="B10238" s="3" t="s">
        <v>9802</v>
      </c>
      <c r="C10238" s="3" t="str">
        <f>IFERROR(__xludf.DUMMYFUNCTION("GOOGLETRANSLATE(B10238,""id"",""en"")"),"['Gosh', 'Open', 'Telkomcrot']")</f>
        <v>['Gosh', 'Open', 'Telkomcrot']</v>
      </c>
      <c r="D10238" s="3">
        <v>1.0</v>
      </c>
    </row>
    <row r="10239" ht="15.75" customHeight="1">
      <c r="A10239" s="1">
        <v>10910.0</v>
      </c>
      <c r="B10239" s="3" t="s">
        <v>9803</v>
      </c>
      <c r="C10239" s="3" t="str">
        <f>IFERROR(__xludf.DUMMYFUNCTION("GOOGLETRANSLATE(B10239,""id"",""en"")"),"['', 'update', 'jdi', 'kaga', 'open', 'then', 'tell', 'update', 'benefits', 'tlng', 'prbaik', '']")</f>
        <v>['', 'update', 'jdi', 'kaga', 'open', 'then', 'tell', 'update', 'benefits', 'tlng', 'prbaik', '']</v>
      </c>
      <c r="D10239" s="3">
        <v>1.0</v>
      </c>
    </row>
    <row r="10240" ht="15.75" customHeight="1">
      <c r="A10240" s="1">
        <v>10912.0</v>
      </c>
      <c r="B10240" s="3" t="s">
        <v>9804</v>
      </c>
      <c r="C10240" s="3" t="str">
        <f>IFERROR(__xludf.DUMMYFUNCTION("GOOGLETRANSLATE(B10240,""id"",""en"")"),"['muantapppp', 'darling', 'signal', 'like', 'ilang', '']")</f>
        <v>['muantapppp', 'darling', 'signal', 'like', 'ilang', '']</v>
      </c>
      <c r="D10240" s="3">
        <v>5.0</v>
      </c>
    </row>
    <row r="10241" ht="15.75" customHeight="1">
      <c r="A10241" s="1">
        <v>10913.0</v>
      </c>
      <c r="B10241" s="3" t="s">
        <v>9805</v>
      </c>
      <c r="C10241" s="3" t="str">
        <f>IFERROR(__xludf.DUMMYFUNCTION("GOOGLETRANSLATE(B10241,""id"",""en"")"),"['NGK', 'Open', 'appears', 'screen', 'white', '']")</f>
        <v>['NGK', 'Open', 'appears', 'screen', 'white', '']</v>
      </c>
      <c r="D10241" s="3">
        <v>5.0</v>
      </c>
    </row>
    <row r="10242" ht="15.75" customHeight="1">
      <c r="A10242" s="1">
        <v>10914.0</v>
      </c>
      <c r="B10242" s="3" t="s">
        <v>9806</v>
      </c>
      <c r="C10242" s="3" t="str">
        <f>IFERROR(__xludf.DUMMYFUNCTION("GOOGLETRANSLATE(B10242,""id"",""en"")"),"['', 'Lahh', 'Lots', 'promo']")</f>
        <v>['', 'Lahh', 'Lots', 'promo']</v>
      </c>
      <c r="D10242" s="3">
        <v>5.0</v>
      </c>
    </row>
    <row r="10243" ht="15.75" customHeight="1">
      <c r="A10243" s="1">
        <v>10915.0</v>
      </c>
      <c r="B10243" s="3" t="s">
        <v>9807</v>
      </c>
      <c r="C10243" s="3" t="str">
        <f>IFERROR(__xludf.DUMMYFUNCTION("GOOGLETRANSLATE(B10243,""id"",""en"")"),"['Open', 'MyTelkomsel', 'UDH', 'Delete', 'then' downlod ',' open ',' ']")</f>
        <v>['Open', 'MyTelkomsel', 'UDH', 'Delete', 'then' downlod ',' open ',' ']</v>
      </c>
      <c r="D10243" s="3">
        <v>1.0</v>
      </c>
    </row>
    <row r="10244" ht="15.75" customHeight="1">
      <c r="A10244" s="1">
        <v>10916.0</v>
      </c>
      <c r="B10244" s="3" t="s">
        <v>9808</v>
      </c>
      <c r="C10244" s="3" t="str">
        <f>IFERROR(__xludf.DUMMYFUNCTION("GOOGLETRANSLATE(B10244,""id"",""en"")"),"['package', 'trial', 'expensive', 'naekin', 'behavior', 'udh', 'good', 'rb', 'sgala', 'naek', 'org', 'skrg', ' HRUS ',' BLI ',' PULSA ',' BRPA ',' NEWS ',' SGTU ',' PLIS ',' ']")</f>
        <v>['package', 'trial', 'expensive', 'naekin', 'behavior', 'udh', 'good', 'rb', 'sgala', 'naek', 'org', 'skrg', ' HRUS ',' BLI ',' PULSA ',' BRPA ',' NEWS ',' SGTU ',' PLIS ',' ']</v>
      </c>
      <c r="D10244" s="3">
        <v>1.0</v>
      </c>
    </row>
    <row r="10245" ht="15.75" customHeight="1">
      <c r="A10245" s="1">
        <v>10917.0</v>
      </c>
      <c r="B10245" s="3" t="s">
        <v>9809</v>
      </c>
      <c r="C10245" s="3" t="str">
        <f>IFERROR(__xludf.DUMMYFUNCTION("GOOGLETRANSLATE(B10245,""id"",""en"")"),"['Network', 'no']")</f>
        <v>['Network', 'no']</v>
      </c>
      <c r="D10245" s="3">
        <v>1.0</v>
      </c>
    </row>
    <row r="10246" ht="15.75" customHeight="1">
      <c r="A10246" s="1">
        <v>10918.0</v>
      </c>
      <c r="B10246" s="3" t="s">
        <v>9810</v>
      </c>
      <c r="C10246" s="3" t="str">
        <f>IFERROR(__xludf.DUMMYFUNCTION("GOOGLETRANSLATE(B10246,""id"",""en"")"),"['application', 'error', 'gajelas',' connection ',' smooth ',' smooth ',' mean ',' try ',' serious', 'fix', 'application', 'kek', ' Pulp ',' gini ', ""]")</f>
        <v>['application', 'error', 'gajelas',' connection ',' smooth ',' smooth ',' mean ',' try ',' serious', 'fix', 'application', 'kek', ' Pulp ',' gini ', "]</v>
      </c>
      <c r="D10246" s="3">
        <v>5.0</v>
      </c>
    </row>
    <row r="10247" ht="15.75" customHeight="1">
      <c r="A10247" s="1">
        <v>10919.0</v>
      </c>
      <c r="B10247" s="3" t="s">
        <v>9811</v>
      </c>
      <c r="C10247" s="3" t="str">
        <f>IFERROR(__xludf.DUMMYFUNCTION("GOOGLETRANSLATE(B10247,""id"",""en"")"),"['Telkomsel', 'ugly', 'lights', 'go out', 'direct', 'dead', 'network', 'yesterday', 'disappointed', 'Telkomsel']")</f>
        <v>['Telkomsel', 'ugly', 'lights', 'go out', 'direct', 'dead', 'network', 'yesterday', 'disappointed', 'Telkomsel']</v>
      </c>
      <c r="D10247" s="3">
        <v>1.0</v>
      </c>
    </row>
    <row r="10248" ht="15.75" customHeight="1">
      <c r="A10248" s="1">
        <v>10920.0</v>
      </c>
      <c r="B10248" s="3" t="s">
        <v>9812</v>
      </c>
      <c r="C10248" s="3" t="str">
        <f>IFERROR(__xludf.DUMMYFUNCTION("GOOGLETRANSLATE(B10248,""id"",""en"")"),"['Credit', 'entry', 'directly', 'Ludes',' Package ',' NGGA ',' Auto ',' Buy ',' Package ',' subscription ',' quota ',' Gede ',' What are you doing ',' buy ',' Telkomsel ',' sucked ',' Credit ',' Confirm ',' Send ',' Package ',' Data ']")</f>
        <v>['Credit', 'entry', 'directly', 'Ludes',' Package ',' NGGA ',' Auto ',' Buy ',' Package ',' subscription ',' quota ',' Gede ',' What are you doing ',' buy ',' Telkomsel ',' sucked ',' Credit ',' Confirm ',' Send ',' Package ',' Data ']</v>
      </c>
      <c r="D10248" s="3">
        <v>1.0</v>
      </c>
    </row>
    <row r="10249" ht="15.75" customHeight="1">
      <c r="A10249" s="1">
        <v>10921.0</v>
      </c>
      <c r="B10249" s="3" t="s">
        <v>9813</v>
      </c>
      <c r="C10249" s="3" t="str">
        <f>IFERROR(__xludf.DUMMYFUNCTION("GOOGLETRANSLATE(B10249,""id"",""en"")"),"['card', 'active', 'please', 'given', 'price', 'quota', 'special', 'like', 'quota', 'internet', 'GB', 'RB', ' Promo ',' omitted ',' careless', 'Wait', 'response', 'star', ""]")</f>
        <v>['card', 'active', 'please', 'given', 'price', 'quota', 'special', 'like', 'quota', 'internet', 'GB', 'RB', ' Promo ',' omitted ',' careless', 'Wait', 'response', 'star', "]</v>
      </c>
      <c r="D10249" s="3">
        <v>3.0</v>
      </c>
    </row>
    <row r="10250" ht="15.75" customHeight="1">
      <c r="A10250" s="1">
        <v>10922.0</v>
      </c>
      <c r="B10250" s="3" t="s">
        <v>9814</v>
      </c>
      <c r="C10250" s="3" t="str">
        <f>IFERROR(__xludf.DUMMYFUNCTION("GOOGLETRANSLATE(B10250,""id"",""en"")"),"['Wow', 'cool', 'package', 'cheap', 'hot', 'promo', 'emng', 'cheap', 'thank', 'love']")</f>
        <v>['Wow', 'cool', 'package', 'cheap', 'hot', 'promo', 'emng', 'cheap', 'thank', 'love']</v>
      </c>
      <c r="D10250" s="3">
        <v>5.0</v>
      </c>
    </row>
    <row r="10251" ht="15.75" customHeight="1">
      <c r="A10251" s="1">
        <v>10923.0</v>
      </c>
      <c r="B10251" s="3" t="s">
        <v>9815</v>
      </c>
      <c r="C10251" s="3" t="str">
        <f>IFERROR(__xludf.DUMMYFUNCTION("GOOGLETRANSLATE(B10251,""id"",""en"")"),"['', 'Points',' Telkomsel ',' GB ',' Bang ',' Success', 'Out', 'Active', 'Pas',' Register ',' Having ',' Access', 'Open ',' Page ',' Doang ',' bang ', ""]")</f>
        <v>['', 'Points',' Telkomsel ',' GB ',' Bang ',' Success', 'Out', 'Active', 'Pas',' Register ',' Having ',' Access', 'Open ',' Page ',' Doang ',' bang ', "]</v>
      </c>
      <c r="D10251" s="3">
        <v>4.0</v>
      </c>
    </row>
    <row r="10252" ht="15.75" customHeight="1">
      <c r="A10252" s="1">
        <v>10926.0</v>
      </c>
      <c r="B10252" s="3" t="s">
        <v>9816</v>
      </c>
      <c r="C10252" s="3" t="str">
        <f>IFERROR(__xludf.DUMMYFUNCTION("GOOGLETRANSLATE(B10252,""id"",""en"")"),"['card', 'no', 'signal', 'missing', 'right', 'maen', 'game', 'then', 'point', 'no', 'tuker', 'apk', ' No ',' Open ']")</f>
        <v>['card', 'no', 'signal', 'missing', 'right', 'maen', 'game', 'then', 'point', 'no', 'tuker', 'apk', ' No ',' Open ']</v>
      </c>
      <c r="D10252" s="3">
        <v>1.0</v>
      </c>
    </row>
    <row r="10253" ht="15.75" customHeight="1">
      <c r="A10253" s="1">
        <v>10927.0</v>
      </c>
      <c r="B10253" s="3" t="s">
        <v>9817</v>
      </c>
      <c r="C10253" s="3" t="str">
        <f>IFERROR(__xludf.DUMMYFUNCTION("GOOGLETRANSLATE(B10253,""id"",""en"")"),"['Network', 'evenly', 'thumb', '']")</f>
        <v>['Network', 'evenly', 'thumb', '']</v>
      </c>
      <c r="D10253" s="3">
        <v>5.0</v>
      </c>
    </row>
    <row r="10254" ht="15.75" customHeight="1">
      <c r="A10254" s="1">
        <v>10928.0</v>
      </c>
      <c r="B10254" s="3" t="s">
        <v>9818</v>
      </c>
      <c r="C10254" s="3" t="str">
        <f>IFERROR(__xludf.DUMMYFUNCTION("GOOGLETRANSLATE(B10254,""id"",""en"")"),"['Steady', 'help', ""]")</f>
        <v>['Steady', 'help', "]</v>
      </c>
      <c r="D10254" s="3">
        <v>5.0</v>
      </c>
    </row>
    <row r="10255" ht="15.75" customHeight="1">
      <c r="A10255" s="1">
        <v>10929.0</v>
      </c>
      <c r="B10255" s="3" t="s">
        <v>9819</v>
      </c>
      <c r="C10255" s="3" t="str">
        <f>IFERROR(__xludf.DUMMYFUNCTION("GOOGLETRANSLATE(B10255,""id"",""en"")"),"['Network', 'missing', 'slow', 'moved', 'Krt', 'next door', 'Kouta', 'expensive', 'network', 'slow']")</f>
        <v>['Network', 'missing', 'slow', 'moved', 'Krt', 'next door', 'Kouta', 'expensive', 'network', 'slow']</v>
      </c>
      <c r="D10255" s="3">
        <v>1.0</v>
      </c>
    </row>
    <row r="10256" ht="15.75" customHeight="1">
      <c r="A10256" s="1">
        <v>10930.0</v>
      </c>
      <c r="B10256" s="3" t="s">
        <v>9820</v>
      </c>
      <c r="C10256" s="3" t="str">
        <f>IFERROR(__xludf.DUMMYFUNCTION("GOOGLETRANSLATE(B10256,""id"",""en"")"),"['Application', 'official', 'application', 'open', 'already', 'unistal', 'install', 'time', 'open', 'strange', 'telkomsel', 'here', ' ']")</f>
        <v>['Application', 'official', 'application', 'open', 'already', 'unistal', 'install', 'time', 'open', 'strange', 'telkomsel', 'here', ' ']</v>
      </c>
      <c r="D10256" s="3">
        <v>1.0</v>
      </c>
    </row>
    <row r="10257" ht="15.75" customHeight="1">
      <c r="A10257" s="1">
        <v>10931.0</v>
      </c>
      <c r="B10257" s="3" t="s">
        <v>9821</v>
      </c>
      <c r="C10257" s="3" t="str">
        <f>IFERROR(__xludf.DUMMYFUNCTION("GOOGLETRANSLATE(B10257,""id"",""en"")"),"['slow connection']")</f>
        <v>['slow connection']</v>
      </c>
      <c r="D10257" s="3">
        <v>4.0</v>
      </c>
    </row>
    <row r="10258" ht="15.75" customHeight="1">
      <c r="A10258" s="1">
        <v>10932.0</v>
      </c>
      <c r="B10258" s="3" t="s">
        <v>9822</v>
      </c>
      <c r="C10258" s="3" t="str">
        <f>IFERROR(__xludf.DUMMYFUNCTION("GOOGLETRANSLATE(B10258,""id"",""en"")"),"['People', 'loyal', 'Telkomse', 'disappointed', 'service', 'bad', 'internet', 'here', 'slow', 'service', 'custamer', 'bot', ' ']")</f>
        <v>['People', 'loyal', 'Telkomse', 'disappointed', 'service', 'bad', 'internet', 'here', 'slow', 'service', 'custamer', 'bot', ' ']</v>
      </c>
      <c r="D10258" s="3">
        <v>1.0</v>
      </c>
    </row>
    <row r="10259" ht="15.75" customHeight="1">
      <c r="A10259" s="1">
        <v>10933.0</v>
      </c>
      <c r="B10259" s="3" t="s">
        <v>9823</v>
      </c>
      <c r="C10259" s="3" t="str">
        <f>IFERROR(__xludf.DUMMYFUNCTION("GOOGLETRANSLATE(B10259,""id"",""en"")"),"['chaotic', 'really', 'veranda', 'written', 'package', 'price', 'right', 'pay', 'maling', 'money', 'trust', 'lost', ' Signal ',' Mending ',' Change ',' Smartfren ',' ']")</f>
        <v>['chaotic', 'really', 'veranda', 'written', 'package', 'price', 'right', 'pay', 'maling', 'money', 'trust', 'lost', ' Signal ',' Mending ',' Change ',' Smartfren ',' ']</v>
      </c>
      <c r="D10259" s="3">
        <v>1.0</v>
      </c>
    </row>
    <row r="10260" ht="15.75" customHeight="1">
      <c r="A10260" s="1">
        <v>10934.0</v>
      </c>
      <c r="B10260" s="3" t="s">
        <v>9824</v>
      </c>
      <c r="C10260" s="3" t="str">
        <f>IFERROR(__xludf.DUMMYFUNCTION("GOOGLETRANSLATE(B10260,""id"",""en"")"),"['area', 'Batuaji', 'stone', 'sukawati', 'klw', 'rain', 'network', 'beam', 'stable']")</f>
        <v>['area', 'Batuaji', 'stone', 'sukawati', 'klw', 'rain', 'network', 'beam', 'stable']</v>
      </c>
      <c r="D10260" s="3">
        <v>3.0</v>
      </c>
    </row>
    <row r="10261" ht="15.75" customHeight="1">
      <c r="A10261" s="1">
        <v>10935.0</v>
      </c>
      <c r="B10261" s="3" t="s">
        <v>9825</v>
      </c>
      <c r="C10261" s="3" t="str">
        <f>IFERROR(__xludf.DUMMYFUNCTION("GOOGLETRANSLATE(B10261,""id"",""en"")"),"['app', 'heavy', 'signal', 'in the area', 'slow']")</f>
        <v>['app', 'heavy', 'signal', 'in the area', 'slow']</v>
      </c>
      <c r="D10261" s="3">
        <v>3.0</v>
      </c>
    </row>
    <row r="10262" ht="15.75" customHeight="1">
      <c r="A10262" s="1">
        <v>10936.0</v>
      </c>
      <c r="B10262" s="3" t="s">
        <v>9826</v>
      </c>
      <c r="C10262" s="3" t="str">
        <f>IFERROR(__xludf.DUMMYFUNCTION("GOOGLETRANSLATE(B10262,""id"",""en"")"),"['Serve', 'Bai', 'really']")</f>
        <v>['Serve', 'Bai', 'really']</v>
      </c>
      <c r="D10262" s="3">
        <v>5.0</v>
      </c>
    </row>
    <row r="10263" ht="15.75" customHeight="1">
      <c r="A10263" s="1">
        <v>10938.0</v>
      </c>
      <c r="B10263" s="3" t="s">
        <v>9827</v>
      </c>
      <c r="C10263" s="3" t="str">
        <f>IFERROR(__xludf.DUMMYFUNCTION("GOOGLETRANSLATE(B10263,""id"",""en"")"),"['dummary', 'Customer', 'Hello', 'BLM', 'DPT', 'Gift']")</f>
        <v>['dummary', 'Customer', 'Hello', 'BLM', 'DPT', 'Gift']</v>
      </c>
      <c r="D10263" s="3">
        <v>5.0</v>
      </c>
    </row>
    <row r="10264" ht="15.75" customHeight="1">
      <c r="A10264" s="1">
        <v>10939.0</v>
      </c>
      <c r="B10264" s="3" t="s">
        <v>9828</v>
      </c>
      <c r="C10264" s="3" t="str">
        <f>IFERROR(__xludf.DUMMYFUNCTION("GOOGLETRANSLATE(B10264,""id"",""en"")"),"['package', 'network', 'masya', 'Allah', 'please', 'fix', 'please', 'fair']")</f>
        <v>['package', 'network', 'masya', 'Allah', 'please', 'fix', 'please', 'fair']</v>
      </c>
      <c r="D10264" s="3">
        <v>1.0</v>
      </c>
    </row>
    <row r="10265" ht="15.75" customHeight="1">
      <c r="A10265" s="1">
        <v>10940.0</v>
      </c>
      <c r="B10265" s="3" t="s">
        <v>9829</v>
      </c>
      <c r="C10265" s="3" t="str">
        <f>IFERROR(__xludf.DUMMYFUNCTION("GOOGLETRANSLATE(B10265,""id"",""en"")"),"['buy', 'package', 'transaction', 'failed', 'system', 'disorder', 'dtggu', 'minute', 'ttp', 'bsa', 'tlonglah', 'fix', ' Times', 'Longkomsel', 'Customers',' Disappointed ',' ']")</f>
        <v>['buy', 'package', 'transaction', 'failed', 'system', 'disorder', 'dtggu', 'minute', 'ttp', 'bsa', 'tlonglah', 'fix', ' Times', 'Longkomsel', 'Customers',' Disappointed ',' ']</v>
      </c>
      <c r="D10265" s="3">
        <v>1.0</v>
      </c>
    </row>
    <row r="10266" ht="15.75" customHeight="1">
      <c r="A10266" s="1">
        <v>10942.0</v>
      </c>
      <c r="B10266" s="3" t="s">
        <v>9830</v>
      </c>
      <c r="C10266" s="3" t="str">
        <f>IFERROR(__xludf.DUMMYFUNCTION("GOOGLETRANSLATE(B10266,""id"",""en"")"),"['', 'Gabisa', 'opened', '']")</f>
        <v>['', 'Gabisa', 'opened', '']</v>
      </c>
      <c r="D10266" s="3">
        <v>4.0</v>
      </c>
    </row>
    <row r="10267" ht="15.75" customHeight="1">
      <c r="A10267" s="1">
        <v>10943.0</v>
      </c>
      <c r="B10267" s="3" t="s">
        <v>9831</v>
      </c>
      <c r="C10267" s="3" t="str">
        <f>IFERROR(__xludf.DUMMYFUNCTION("GOOGLETRANSLATE(B10267,""id"",""en"")"),"['Divide', 'city', 'Sinyall', 'ugly', 'forgiveness',' Telkomsel ',' signal ',' bgus', 'Where', 'TPI', 'proof', 'Ngk', ' Bngsat ',' disappointing ']")</f>
        <v>['Divide', 'city', 'Sinyall', 'ugly', 'forgiveness',' Telkomsel ',' signal ',' bgus', 'Where', 'TPI', 'proof', 'Ngk', ' Bngsat ',' disappointing ']</v>
      </c>
      <c r="D10267" s="3">
        <v>1.0</v>
      </c>
    </row>
    <row r="10268" ht="15.75" customHeight="1">
      <c r="A10268" s="1">
        <v>10944.0</v>
      </c>
      <c r="B10268" s="3" t="s">
        <v>31</v>
      </c>
      <c r="C10268" s="3" t="str">
        <f>IFERROR(__xludf.DUMMYFUNCTION("GOOGLETRANSLATE(B10268,""id"",""en"")"),"['Application', 'Open', '']")</f>
        <v>['Application', 'Open', '']</v>
      </c>
      <c r="D10268" s="3">
        <v>1.0</v>
      </c>
    </row>
    <row r="10269" ht="15.75" customHeight="1">
      <c r="A10269" s="1">
        <v>10945.0</v>
      </c>
      <c r="B10269" s="3" t="s">
        <v>9832</v>
      </c>
      <c r="C10269" s="3" t="str">
        <f>IFERROR(__xludf.DUMMYFUNCTION("GOOGLETRANSLATE(B10269,""id"",""en"")"),"['Basic', 'capitalist', 'signal', 'price', 'package', 'expensive', 'user', 'gini', 'wkwkwk']")</f>
        <v>['Basic', 'capitalist', 'signal', 'price', 'package', 'expensive', 'user', 'gini', 'wkwkwk']</v>
      </c>
      <c r="D10269" s="3">
        <v>1.0</v>
      </c>
    </row>
    <row r="10270" ht="15.75" customHeight="1">
      <c r="A10270" s="1">
        <v>10947.0</v>
      </c>
      <c r="B10270" s="3" t="s">
        <v>9833</v>
      </c>
      <c r="C10270" s="3" t="str">
        <f>IFERROR(__xludf.DUMMYFUNCTION("GOOGLETRANSLATE(B10270,""id"",""en"")"),"['Steady', 'Easy', 'Telkomsel']")</f>
        <v>['Steady', 'Easy', 'Telkomsel']</v>
      </c>
      <c r="D10270" s="3">
        <v>5.0</v>
      </c>
    </row>
    <row r="10271" ht="15.75" customHeight="1">
      <c r="A10271" s="1">
        <v>10948.0</v>
      </c>
      <c r="B10271" s="3" t="s">
        <v>9834</v>
      </c>
      <c r="C10271" s="3" t="str">
        <f>IFERROR(__xludf.DUMMYFUNCTION("GOOGLETRANSLATE(B10271,""id"",""en"")"),"['apps', 'tdak', 'opened', 'solution', 'emotion']")</f>
        <v>['apps', 'tdak', 'opened', 'solution', 'emotion']</v>
      </c>
      <c r="D10271" s="3">
        <v>5.0</v>
      </c>
    </row>
    <row r="10272" ht="15.75" customHeight="1">
      <c r="A10272" s="1">
        <v>10949.0</v>
      </c>
      <c r="B10272" s="3" t="s">
        <v>9835</v>
      </c>
      <c r="C10272" s="3" t="str">
        <f>IFERROR(__xludf.DUMMYFUNCTION("GOOGLETRANSLATE(B10272,""id"",""en"")"),"['Thank you', 'Telkomsel', 'Karyawam', 'Telkomsel', 'Efforts',' Developing ',' Network ',' Strong ',' Please ',' Sorry ',' The Network ',' Error ',' Online ',' sosmed ',' game ',' online ',' ']")</f>
        <v>['Thank you', 'Telkomsel', 'Karyawam', 'Telkomsel', 'Efforts',' Developing ',' Network ',' Strong ',' Please ',' Sorry ',' The Network ',' Error ',' Online ',' sosmed ',' game ',' online ',' ']</v>
      </c>
      <c r="D10272" s="3">
        <v>1.0</v>
      </c>
    </row>
    <row r="10273" ht="15.75" customHeight="1">
      <c r="A10273" s="1">
        <v>10950.0</v>
      </c>
      <c r="B10273" s="3" t="s">
        <v>9836</v>
      </c>
      <c r="C10273" s="3" t="str">
        <f>IFERROR(__xludf.DUMMYFUNCTION("GOOGLETRANSLATE(B10273,""id"",""en"")"),"['apk', 'koq', 'open', '']")</f>
        <v>['apk', 'koq', 'open', '']</v>
      </c>
      <c r="D10273" s="3">
        <v>3.0</v>
      </c>
    </row>
    <row r="10274" ht="15.75" customHeight="1">
      <c r="A10274" s="1">
        <v>10951.0</v>
      </c>
      <c r="B10274" s="3" t="s">
        <v>478</v>
      </c>
      <c r="C10274" s="3" t="str">
        <f>IFERROR(__xludf.DUMMYFUNCTION("GOOGLETRANSLATE(B10274,""id"",""en"")"),"Of course")</f>
        <v>Of course</v>
      </c>
      <c r="D10274" s="3">
        <v>4.0</v>
      </c>
    </row>
    <row r="10275" ht="15.75" customHeight="1">
      <c r="A10275" s="1">
        <v>10952.0</v>
      </c>
      <c r="B10275" s="3" t="s">
        <v>9837</v>
      </c>
      <c r="C10275" s="3" t="str">
        <f>IFERROR(__xludf.DUMMYFUNCTION("GOOGLETRANSLATE(B10275,""id"",""en"")"),"['The application', 'no', 'open']")</f>
        <v>['The application', 'no', 'open']</v>
      </c>
      <c r="D10275" s="3">
        <v>1.0</v>
      </c>
    </row>
    <row r="10276" ht="15.75" customHeight="1">
      <c r="A10276" s="1">
        <v>10953.0</v>
      </c>
      <c r="B10276" s="3" t="s">
        <v>9838</v>
      </c>
      <c r="C10276" s="3" t="str">
        <f>IFERROR(__xludf.DUMMYFUNCTION("GOOGLETRANSLATE(B10276,""id"",""en"")"),"['here', 'difficult', 'enter', 'the application', 'now', 'rare', 'Gunain', 'MyTelkomsel', 'Karna', 'buy', 'Package', 'Kyk', ' Like ',' Ngeblank ',' GTU ',' Forced ',' Continuous', 'Buy', 'Voucher', 'Quota']")</f>
        <v>['here', 'difficult', 'enter', 'the application', 'now', 'rare', 'Gunain', 'MyTelkomsel', 'Karna', 'buy', 'Package', 'Kyk', ' Like ',' Ngeblank ',' GTU ',' Forced ',' Continuous', 'Buy', 'Voucher', 'Quota']</v>
      </c>
      <c r="D10276" s="3">
        <v>4.0</v>
      </c>
    </row>
    <row r="10277" ht="15.75" customHeight="1">
      <c r="A10277" s="1">
        <v>10954.0</v>
      </c>
      <c r="B10277" s="3" t="s">
        <v>9839</v>
      </c>
      <c r="C10277" s="3" t="str">
        <f>IFERROR(__xludf.DUMMYFUNCTION("GOOGLETRANSLATE(B10277,""id"",""en"")"),"['easy', 'check', 'pulse', 'quota']")</f>
        <v>['easy', 'check', 'pulse', 'quota']</v>
      </c>
      <c r="D10277" s="3">
        <v>5.0</v>
      </c>
    </row>
    <row r="10278" ht="15.75" customHeight="1">
      <c r="A10278" s="1">
        <v>10955.0</v>
      </c>
      <c r="B10278" s="3" t="s">
        <v>9840</v>
      </c>
      <c r="C10278" s="3" t="str">
        <f>IFERROR(__xludf.DUMMYFUNCTION("GOOGLETRANSLATE(B10278,""id"",""en"")"),"['Telkomsel', 'bad', 'unfortunate', 'pulses', 'reduced', 'transaction', 'buy', 'package', 'anything']")</f>
        <v>['Telkomsel', 'bad', 'unfortunate', 'pulses', 'reduced', 'transaction', 'buy', 'package', 'anything']</v>
      </c>
      <c r="D10278" s="3">
        <v>1.0</v>
      </c>
    </row>
    <row r="10279" ht="15.75" customHeight="1">
      <c r="A10279" s="1">
        <v>10956.0</v>
      </c>
      <c r="B10279" s="3" t="s">
        <v>9841</v>
      </c>
      <c r="C10279" s="3" t="str">
        <f>IFERROR(__xludf.DUMMYFUNCTION("GOOGLETRANSLATE(B10279,""id"",""en"")"),"['', 'system', 'payment', 'merchant', 'failed', 'many', 'admin', 'slow', 'response', 'bot', 'process', 'complaint']")</f>
        <v>['', 'system', 'payment', 'merchant', 'failed', 'many', 'admin', 'slow', 'response', 'bot', 'process', 'complaint']</v>
      </c>
      <c r="D10279" s="3">
        <v>3.0</v>
      </c>
    </row>
    <row r="10280" ht="15.75" customHeight="1">
      <c r="A10280" s="1">
        <v>10957.0</v>
      </c>
      <c r="B10280" s="3" t="s">
        <v>9842</v>
      </c>
      <c r="C10280" s="3" t="str">
        <f>IFERROR(__xludf.DUMMYFUNCTION("GOOGLETRANSLATE(B10280,""id"",""en"")"),"['Please', 'Help', 'Sunday', 'Open', 'Application', 'Telkomsel', 'Application', 'Disruption', 'fix', 'bug', 'tks']")</f>
        <v>['Please', 'Help', 'Sunday', 'Open', 'Application', 'Telkomsel', 'Application', 'Disruption', 'fix', 'bug', 'tks']</v>
      </c>
      <c r="D10280" s="3">
        <v>3.0</v>
      </c>
    </row>
    <row r="10281" ht="15.75" customHeight="1">
      <c r="A10281" s="1">
        <v>10958.0</v>
      </c>
      <c r="B10281" s="3" t="s">
        <v>312</v>
      </c>
      <c r="C10281" s="3" t="str">
        <f>IFERROR(__xludf.DUMMYFUNCTION("GOOGLETRANSLATE(B10281,""id"",""en"")"),"['best']")</f>
        <v>['best']</v>
      </c>
      <c r="D10281" s="3">
        <v>5.0</v>
      </c>
    </row>
    <row r="10282" ht="15.75" customHeight="1">
      <c r="A10282" s="1">
        <v>10959.0</v>
      </c>
      <c r="B10282" s="3" t="s">
        <v>9843</v>
      </c>
      <c r="C10282" s="3" t="str">
        <f>IFERROR(__xludf.DUMMYFUNCTION("GOOGLETRANSLATE(B10282,""id"",""en"")"),"['Lemot', 'Naudzubillaaaaaaaahhhhhh', '']")</f>
        <v>['Lemot', 'Naudzubillaaaaaaaahhhhhh', '']</v>
      </c>
      <c r="D10282" s="3">
        <v>1.0</v>
      </c>
    </row>
    <row r="10283" ht="15.75" customHeight="1">
      <c r="A10283" s="1">
        <v>10960.0</v>
      </c>
      <c r="B10283" s="3" t="s">
        <v>9844</v>
      </c>
      <c r="C10283" s="3" t="str">
        <f>IFERROR(__xludf.DUMMYFUNCTION("GOOGLETRANSLATE(B10283,""id"",""en"")"),"['application', 'cheap', 'already', 'slow', 'appears', 'sell', 'application', 'Telkomsel', 'market', '']")</f>
        <v>['application', 'cheap', 'already', 'slow', 'appears', 'sell', 'application', 'Telkomsel', 'market', '']</v>
      </c>
      <c r="D10283" s="3">
        <v>1.0</v>
      </c>
    </row>
    <row r="10284" ht="15.75" customHeight="1">
      <c r="A10284" s="1">
        <v>10961.0</v>
      </c>
      <c r="B10284" s="3" t="s">
        <v>9845</v>
      </c>
      <c r="C10284" s="3" t="str">
        <f>IFERROR(__xludf.DUMMYFUNCTION("GOOGLETRANSLATE(B10284,""id"",""en"")"),"['Try', 'Telkomsel', 'Bnr', 'bngsat', 'network', 'pig']")</f>
        <v>['Try', 'Telkomsel', 'Bnr', 'bngsat', 'network', 'pig']</v>
      </c>
      <c r="D10284" s="3">
        <v>1.0</v>
      </c>
    </row>
    <row r="10285" ht="15.75" customHeight="1">
      <c r="A10285" s="1">
        <v>10962.0</v>
      </c>
      <c r="B10285" s="3" t="s">
        <v>9846</v>
      </c>
      <c r="C10285" s="3" t="str">
        <f>IFERROR(__xludf.DUMMYFUNCTION("GOOGLETRANSLATE(B10285,""id"",""en"")"),"['Come on', 'Telkomsel', 'internet', 'Kenceng', 'Gacor', 'satisfying']")</f>
        <v>['Come on', 'Telkomsel', 'internet', 'Kenceng', 'Gacor', 'satisfying']</v>
      </c>
      <c r="D10285" s="3">
        <v>4.0</v>
      </c>
    </row>
    <row r="10286" ht="15.75" customHeight="1">
      <c r="A10286" s="1">
        <v>10963.0</v>
      </c>
      <c r="B10286" s="3" t="s">
        <v>9847</v>
      </c>
      <c r="C10286" s="3" t="str">
        <f>IFERROR(__xludf.DUMMYFUNCTION("GOOGLETRANSLATE(B10286,""id"",""en"")"),"['Difficult', 'Login', ""]")</f>
        <v>['Difficult', 'Login', "]</v>
      </c>
      <c r="D10286" s="3">
        <v>1.0</v>
      </c>
    </row>
    <row r="10287" ht="15.75" customHeight="1">
      <c r="A10287" s="1">
        <v>10964.0</v>
      </c>
      <c r="B10287" s="3" t="s">
        <v>1555</v>
      </c>
      <c r="C10287" s="3" t="str">
        <f>IFERROR(__xludf.DUMMYFUNCTION("GOOGLETRANSLATE(B10287,""id"",""en"")"),"['application', 'open', '']")</f>
        <v>['application', 'open', '']</v>
      </c>
      <c r="D10287" s="3">
        <v>1.0</v>
      </c>
    </row>
    <row r="10288" ht="15.75" customHeight="1">
      <c r="A10288" s="1">
        <v>10965.0</v>
      </c>
      <c r="B10288" s="3" t="s">
        <v>9848</v>
      </c>
      <c r="C10288" s="3" t="str">
        <f>IFERROR(__xludf.DUMMYFUNCTION("GOOGLETRANSLATE(B10288,""id"",""en"")"),"['Quality', 'Network', 'Ancurrr', 'Forgiveness', '']")</f>
        <v>['Quality', 'Network', 'Ancurrr', 'Forgiveness', '']</v>
      </c>
      <c r="D10288" s="3">
        <v>1.0</v>
      </c>
    </row>
    <row r="10289" ht="15.75" customHeight="1">
      <c r="A10289" s="1">
        <v>10966.0</v>
      </c>
      <c r="B10289" s="3" t="s">
        <v>9849</v>
      </c>
      <c r="C10289" s="3" t="str">
        <f>IFERROR(__xludf.DUMMYFUNCTION("GOOGLETRANSLATE(B10289,""id"",""en"")"),"['Network', 'bad', 'then', '']")</f>
        <v>['Network', 'bad', 'then', '']</v>
      </c>
      <c r="D10289" s="3">
        <v>1.0</v>
      </c>
    </row>
    <row r="10290" ht="15.75" customHeight="1">
      <c r="A10290" s="1">
        <v>10967.0</v>
      </c>
      <c r="B10290" s="3" t="s">
        <v>9850</v>
      </c>
      <c r="C10290" s="3" t="str">
        <f>IFERROR(__xludf.DUMMYFUNCTION("GOOGLETRANSLATE(B10290,""id"",""en"")"),"['Please', 'repaired', 'the application']")</f>
        <v>['Please', 'repaired', 'the application']</v>
      </c>
      <c r="D10290" s="3">
        <v>3.0</v>
      </c>
    </row>
    <row r="10291" ht="15.75" customHeight="1">
      <c r="A10291" s="1">
        <v>10968.0</v>
      </c>
      <c r="B10291" s="3" t="s">
        <v>9851</v>
      </c>
      <c r="C10291" s="3" t="str">
        <f>IFERROR(__xludf.DUMMYFUNCTION("GOOGLETRANSLATE(B10291,""id"",""en"")"),"['Network', 'bad', 'difficult', 'signal', 'city', 'Kebayoran', 'jakarta', 'south', 'please', 'fix']")</f>
        <v>['Network', 'bad', 'difficult', 'signal', 'city', 'Kebayoran', 'jakarta', 'south', 'please', 'fix']</v>
      </c>
      <c r="D10291" s="3">
        <v>1.0</v>
      </c>
    </row>
    <row r="10292" ht="15.75" customHeight="1">
      <c r="A10292" s="1">
        <v>10969.0</v>
      </c>
      <c r="B10292" s="3" t="s">
        <v>9852</v>
      </c>
      <c r="C10292" s="3" t="str">
        <f>IFERROR(__xludf.DUMMYFUNCTION("GOOGLETRANSLATE(B10292,""id"",""en"")"),"['please', 'network', 'fix', 'difficult', 'signal', 'cok', 'in the city', 'anjink']")</f>
        <v>['please', 'network', 'fix', 'difficult', 'signal', 'cok', 'in the city', 'anjink']</v>
      </c>
      <c r="D10292" s="3">
        <v>1.0</v>
      </c>
    </row>
    <row r="10293" ht="15.75" customHeight="1">
      <c r="A10293" s="1">
        <v>10971.0</v>
      </c>
      <c r="B10293" s="3" t="s">
        <v>9853</v>
      </c>
      <c r="C10293" s="3" t="str">
        <f>IFERROR(__xludf.DUMMYFUNCTION("GOOGLETRANSLATE(B10293,""id"",""en"")"),"['', 'prah', 'can', 'point', 'ntahlah', 'point', 'chat', 'veronika', 'Mulu', 'told', 'waiting', 'smpe', 'for days ',' response ',' pkok ',' bad ',' Bener ',' service ',' Males', 'Lahhhh']")</f>
        <v>['', 'prah', 'can', 'point', 'ntahlah', 'point', 'chat', 'veronika', 'Mulu', 'told', 'waiting', 'smpe', 'for days ',' response ',' pkok ',' bad ',' Bener ',' service ',' Males', 'Lahhhh']</v>
      </c>
      <c r="D10293" s="3">
        <v>1.0</v>
      </c>
    </row>
    <row r="10294" ht="15.75" customHeight="1">
      <c r="A10294" s="1">
        <v>10972.0</v>
      </c>
      <c r="B10294" s="3" t="s">
        <v>9854</v>
      </c>
      <c r="C10294" s="3" t="str">
        <f>IFERROR(__xludf.DUMMYFUNCTION("GOOGLETRANSLATE(B10294,""id"",""en"")"),"['already', 'week', 'app', 'Telkomsel', 'access', 'check', 'tmn', 'normal', '']")</f>
        <v>['already', 'week', 'app', 'Telkomsel', 'access', 'check', 'tmn', 'normal', '']</v>
      </c>
      <c r="D10294" s="3">
        <v>1.0</v>
      </c>
    </row>
    <row r="10295" ht="15.75" customHeight="1">
      <c r="A10295" s="1">
        <v>10973.0</v>
      </c>
      <c r="B10295" s="3" t="s">
        <v>9855</v>
      </c>
      <c r="C10295" s="3" t="str">
        <f>IFERROR(__xludf.DUMMYFUNCTION("GOOGLETRANSLATE(B10295,""id"",""en"")"),"['Okay', 'package', 'expensive', 'then', 'said', 'cunning', 'package', 'multimedia', 'getting down', 'package', 'open', 'sosmed', ' Eat ',' quota ',' main ',' cheat ',' no ',' ']")</f>
        <v>['Okay', 'package', 'expensive', 'then', 'said', 'cunning', 'package', 'multimedia', 'getting down', 'package', 'open', 'sosmed', ' Eat ',' quota ',' main ',' cheat ',' no ',' ']</v>
      </c>
      <c r="D10295" s="3">
        <v>4.0</v>
      </c>
    </row>
    <row r="10296" ht="15.75" customHeight="1">
      <c r="A10296" s="1">
        <v>10974.0</v>
      </c>
      <c r="B10296" s="3" t="s">
        <v>9856</v>
      </c>
      <c r="C10296" s="3" t="str">
        <f>IFERROR(__xludf.DUMMYFUNCTION("GOOGLETRANSLATE(B10296,""id"",""en"")"),"['Install', 'uninstall', 'already', 'times', 'open', 'severe', 'application']")</f>
        <v>['Install', 'uninstall', 'already', 'times', 'open', 'severe', 'application']</v>
      </c>
      <c r="D10296" s="3">
        <v>1.0</v>
      </c>
    </row>
    <row r="10297" ht="15.75" customHeight="1">
      <c r="A10297" s="1">
        <v>10975.0</v>
      </c>
      <c r="B10297" s="3" t="s">
        <v>9857</v>
      </c>
      <c r="C10297" s="3" t="str">
        <f>IFERROR(__xludf.DUMMYFUNCTION("GOOGLETRANSLATE(B10297,""id"",""en"")"),"['Ngellag', 'bngt', 'bkn', 'orng', 'ksel', 'doang', 'emng', 'snya', 'gush', 'jdiin', 'krtu', ' Bkin ',' Orng ',' Mke ',' Krtu ',' Tlkom ',' ksel ',' Doang ']")</f>
        <v>['Ngellag', 'bngt', 'bkn', 'orng', 'ksel', 'doang', 'emng', 'snya', 'gush', 'jdiin', 'krtu', ' Bkin ',' Orng ',' Mke ',' Krtu ',' Tlkom ',' ksel ',' Doang ']</v>
      </c>
      <c r="D10297" s="3">
        <v>1.0</v>
      </c>
    </row>
    <row r="10298" ht="15.75" customHeight="1">
      <c r="A10298" s="1">
        <v>10976.0</v>
      </c>
      <c r="B10298" s="3" t="s">
        <v>9858</v>
      </c>
      <c r="C10298" s="3" t="str">
        <f>IFERROR(__xludf.DUMMYFUNCTION("GOOGLETRANSLATE(B10298,""id"",""en"")"),"['expensive', 'expensive', 'price', 'package', 'boss']")</f>
        <v>['expensive', 'expensive', 'price', 'package', 'boss']</v>
      </c>
      <c r="D10298" s="3">
        <v>2.0</v>
      </c>
    </row>
    <row r="10299" ht="15.75" customHeight="1">
      <c r="A10299" s="1">
        <v>10977.0</v>
      </c>
      <c r="B10299" s="3" t="s">
        <v>9859</v>
      </c>
      <c r="C10299" s="3" t="str">
        <f>IFERROR(__xludf.DUMMYFUNCTION("GOOGLETRANSLATE(B10299,""id"",""en"")"),"['slow']")</f>
        <v>['slow']</v>
      </c>
      <c r="D10299" s="3">
        <v>1.0</v>
      </c>
    </row>
    <row r="10300" ht="15.75" customHeight="1">
      <c r="A10300" s="1">
        <v>10978.0</v>
      </c>
      <c r="B10300" s="3" t="s">
        <v>9860</v>
      </c>
      <c r="C10300" s="3" t="str">
        <f>IFERROR(__xludf.DUMMYFUNCTION("GOOGLETRANSLATE(B10300,""id"",""en"")"),"['garbage', 'system', 'quota', 'lose', 'card', 'people', 'tri', 'ntah', 'pulse', 'drift', 'quota', 'a day', ' Prioritize ',' quota ',' regular ',' ntah ',' ngotak ',' kagak ',' card ',' mentang ',' package ',' promo ',' ngotak ',' animal ']")</f>
        <v>['garbage', 'system', 'quota', 'lose', 'card', 'people', 'tri', 'ntah', 'pulse', 'drift', 'quota', 'a day', ' Prioritize ',' quota ',' regular ',' ntah ',' ngotak ',' kagak ',' card ',' mentang ',' package ',' promo ',' ngotak ',' animal ']</v>
      </c>
      <c r="D10300" s="3">
        <v>1.0</v>
      </c>
    </row>
    <row r="10301" ht="15.75" customHeight="1">
      <c r="A10301" s="1">
        <v>10979.0</v>
      </c>
      <c r="B10301" s="3" t="s">
        <v>9861</v>
      </c>
      <c r="C10301" s="3" t="str">
        <f>IFERROR(__xludf.DUMMYFUNCTION("GOOGLETRANSLATE(B10301,""id"",""en"")"),"['want', 'gift']")</f>
        <v>['want', 'gift']</v>
      </c>
      <c r="D10301" s="3">
        <v>5.0</v>
      </c>
    </row>
    <row r="10302" ht="15.75" customHeight="1">
      <c r="A10302" s="1">
        <v>10980.0</v>
      </c>
      <c r="B10302" s="3" t="s">
        <v>9862</v>
      </c>
      <c r="C10302" s="3" t="str">
        <f>IFERROR(__xludf.DUMMYFUNCTION("GOOGLETRANSLATE(B10302,""id"",""en"")"),"['Woyy', 'admin', 'application', 'Telkomsel', 'screen', 'white', 'how', 'buy', 'package', 'internet', 'use', 'ewallet', ' Payment ',' please ',' repay ',' application ',' ']")</f>
        <v>['Woyy', 'admin', 'application', 'Telkomsel', 'screen', 'white', 'how', 'buy', 'package', 'internet', 'use', 'ewallet', ' Payment ',' please ',' repay ',' application ',' ']</v>
      </c>
      <c r="D10302" s="3">
        <v>1.0</v>
      </c>
    </row>
    <row r="10303" ht="15.75" customHeight="1">
      <c r="A10303" s="1">
        <v>10981.0</v>
      </c>
      <c r="B10303" s="3" t="s">
        <v>9863</v>
      </c>
      <c r="C10303" s="3" t="str">
        <f>IFERROR(__xludf.DUMMYFUNCTION("GOOGLETRANSLATE(B10303,""id"",""en"")"),"['Log', 'application', 'times', 'Install', 'reset', '']")</f>
        <v>['Log', 'application', 'times', 'Install', 'reset', '']</v>
      </c>
      <c r="D10303" s="3">
        <v>1.0</v>
      </c>
    </row>
    <row r="10304" ht="15.75" customHeight="1">
      <c r="A10304" s="1">
        <v>10982.0</v>
      </c>
      <c r="B10304" s="3" t="s">
        <v>9864</v>
      </c>
      <c r="C10304" s="3" t="str">
        <f>IFERROR(__xludf.DUMMYFUNCTION("GOOGLETRANSLATE(B10304,""id"",""en"")"),"['Males', 'Telkomsel', 'open', 'troublesome', 'contact', 'call', 'center', 'rich', 'next door', 'please', 'fix', 'thanks']")</f>
        <v>['Males', 'Telkomsel', 'open', 'troublesome', 'contact', 'call', 'center', 'rich', 'next door', 'please', 'fix', 'thanks']</v>
      </c>
      <c r="D10304" s="3">
        <v>1.0</v>
      </c>
    </row>
    <row r="10305" ht="15.75" customHeight="1">
      <c r="A10305" s="1">
        <v>10983.0</v>
      </c>
      <c r="B10305" s="3" t="s">
        <v>9865</v>
      </c>
      <c r="C10305" s="3" t="str">
        <f>IFERROR(__xludf.DUMMYFUNCTION("GOOGLETRANSLATE(B10305,""id"",""en"")"),"['Simple', 'Thanks']")</f>
        <v>['Simple', 'Thanks']</v>
      </c>
      <c r="D10305" s="3">
        <v>3.0</v>
      </c>
    </row>
    <row r="10306" ht="15.75" customHeight="1">
      <c r="A10306" s="1">
        <v>10984.0</v>
      </c>
      <c r="B10306" s="3" t="s">
        <v>9866</v>
      </c>
      <c r="C10306" s="3" t="str">
        <f>IFERROR(__xludf.DUMMYFUNCTION("GOOGLETRANSLATE(B10306,""id"",""en"")"),"['Network', 'internet', 'Increases',' play ',' game ',' Nge ',' lag ',' game ',' mobile ',' legend ',' please ',' fix ',' thank you']")</f>
        <v>['Network', 'internet', 'Increases',' play ',' game ',' Nge ',' lag ',' game ',' mobile ',' legend ',' please ',' fix ',' thank you']</v>
      </c>
      <c r="D10306" s="3">
        <v>3.0</v>
      </c>
    </row>
    <row r="10307" ht="15.75" customHeight="1">
      <c r="A10307" s="1">
        <v>10985.0</v>
      </c>
      <c r="B10307" s="3" t="s">
        <v>9867</v>
      </c>
      <c r="C10307" s="3" t="str">
        <f>IFERROR(__xludf.DUMMYFUNCTION("GOOGLETRANSLATE(B10307,""id"",""en"")"),"['Since', 'cable', 'sea', 'broke', 'since' Since ',' Telkomsel ',' stable ',' cable ',' sea ',' broken ',' internet ',' use ',' Sympathy ',' smooth ',' Jaya ',' know ',' limit ',' little ',' little ',' ilang ',' inetnya ',' drop ',' signal ',' LTE ' , 'de"&amp;"liberate', 'cross', 'data', 'Telkomsel', 'watch', '']")</f>
        <v>['Since', 'cable', 'sea', 'broke', 'since' Since ',' Telkomsel ',' stable ',' cable ',' sea ',' broken ',' internet ',' use ',' Sympathy ',' smooth ',' Jaya ',' know ',' limit ',' little ',' little ',' ilang ',' inetnya ',' drop ',' signal ',' LTE ' , 'deliberate', 'cross', 'data', 'Telkomsel', 'watch', '']</v>
      </c>
      <c r="D10307" s="3">
        <v>3.0</v>
      </c>
    </row>
    <row r="10308" ht="15.75" customHeight="1">
      <c r="A10308" s="1">
        <v>10986.0</v>
      </c>
      <c r="B10308" s="3" t="s">
        <v>9868</v>
      </c>
      <c r="C10308" s="3" t="str">
        <f>IFERROR(__xludf.DUMMYFUNCTION("GOOGLETRANSLATE(B10308,""id"",""en"")"),"['Sorry', 'love', 'star', 'area', 'Telkomsel', 'slow', 'bgd', ""]")</f>
        <v>['Sorry', 'love', 'star', 'area', 'Telkomsel', 'slow', 'bgd', "]</v>
      </c>
      <c r="D10308" s="3">
        <v>1.0</v>
      </c>
    </row>
    <row r="10309" ht="15.75" customHeight="1">
      <c r="A10309" s="1">
        <v>10988.0</v>
      </c>
      <c r="B10309" s="3" t="s">
        <v>9869</v>
      </c>
      <c r="C10309" s="3" t="str">
        <f>IFERROR(__xludf.DUMMYFUNCTION("GOOGLETRANSLATE(B10309,""id"",""en"")"),"['mmng', 'already', 'can', 'serve', 'customer', 'lbih', 'roll', 'mat', 'uda', 'buy', 'package', 'expensive', ' TPI ',' Jaringangx ',' Kayak ',' ']")</f>
        <v>['mmng', 'already', 'can', 'serve', 'customer', 'lbih', 'roll', 'mat', 'uda', 'buy', 'package', 'expensive', ' TPI ',' Jaringangx ',' Kayak ',' ']</v>
      </c>
      <c r="D10309" s="3">
        <v>1.0</v>
      </c>
    </row>
    <row r="10310" ht="15.75" customHeight="1">
      <c r="A10310" s="1">
        <v>10989.0</v>
      </c>
      <c r="B10310" s="3" t="s">
        <v>1191</v>
      </c>
      <c r="C10310" s="3" t="str">
        <f>IFERROR(__xludf.DUMMYFUNCTION("GOOGLETRANSLATE(B10310,""id"",""en"")"),"['APK']")</f>
        <v>['APK']</v>
      </c>
      <c r="D10310" s="3">
        <v>5.0</v>
      </c>
    </row>
    <row r="10311" ht="15.75" customHeight="1">
      <c r="A10311" s="1">
        <v>10990.0</v>
      </c>
      <c r="B10311" s="3" t="s">
        <v>9870</v>
      </c>
      <c r="C10311" s="3" t="str">
        <f>IFERROR(__xludf.DUMMYFUNCTION("GOOGLETRANSLATE(B10311,""id"",""en"")"),"['ask', 'Open', 'Application', 'Telkomsel', 'appears',' screen ',' white ',' open ',' yesterday ',' Please ',' Help ',' Open ',' ']")</f>
        <v>['ask', 'Open', 'Application', 'Telkomsel', 'appears',' screen ',' white ',' open ',' yesterday ',' Please ',' Help ',' Open ',' ']</v>
      </c>
      <c r="D10311" s="3">
        <v>2.0</v>
      </c>
    </row>
    <row r="10312" ht="15.75" customHeight="1">
      <c r="A10312" s="1">
        <v>10991.0</v>
      </c>
      <c r="B10312" s="3" t="s">
        <v>9871</v>
      </c>
      <c r="C10312" s="3" t="str">
        <f>IFERROR(__xludf.DUMMYFUNCTION("GOOGLETRANSLATE(B10312,""id"",""en"")"),"['update', 'bad', 'open', 'blank', 'white']")</f>
        <v>['update', 'bad', 'open', 'blank', 'white']</v>
      </c>
      <c r="D10312" s="3">
        <v>1.0</v>
      </c>
    </row>
    <row r="10313" ht="15.75" customHeight="1">
      <c r="A10313" s="1">
        <v>10992.0</v>
      </c>
      <c r="B10313" s="3" t="s">
        <v>9872</v>
      </c>
      <c r="C10313" s="3" t="str">
        <f>IFERROR(__xludf.DUMMYFUNCTION("GOOGLETRANSLATE(B10313,""id"",""en"")"),"['Steady', 'signal', 'good']")</f>
        <v>['Steady', 'signal', 'good']</v>
      </c>
      <c r="D10313" s="3">
        <v>5.0</v>
      </c>
    </row>
    <row r="10314" ht="15.75" customHeight="1">
      <c r="A10314" s="1">
        <v>10993.0</v>
      </c>
      <c r="B10314" s="3" t="s">
        <v>9873</v>
      </c>
      <c r="C10314" s="3" t="str">
        <f>IFERROR(__xludf.DUMMYFUNCTION("GOOGLETRANSLATE(B10314,""id"",""en"")"),"['buy', 'Kouta', 'already', 'expensive', 'network', 'kek', '']")</f>
        <v>['buy', 'Kouta', 'already', 'expensive', 'network', 'kek', '']</v>
      </c>
      <c r="D10314" s="3">
        <v>1.0</v>
      </c>
    </row>
    <row r="10315" ht="15.75" customHeight="1">
      <c r="A10315" s="1">
        <v>10994.0</v>
      </c>
      <c r="B10315" s="3" t="s">
        <v>9874</v>
      </c>
      <c r="C10315" s="3" t="str">
        <f>IFERROR(__xludf.DUMMYFUNCTION("GOOGLETRANSLATE(B10315,""id"",""en"")"),"['Okeh', 'get', 'Toyota', 'Yariss']")</f>
        <v>['Okeh', 'get', 'Toyota', 'Yariss']</v>
      </c>
      <c r="D10315" s="3">
        <v>5.0</v>
      </c>
    </row>
    <row r="10316" ht="15.75" customHeight="1">
      <c r="A10316" s="1">
        <v>10995.0</v>
      </c>
      <c r="B10316" s="3" t="s">
        <v>9875</v>
      </c>
      <c r="C10316" s="3" t="str">
        <f>IFERROR(__xludf.DUMMYFUNCTION("GOOGLETRANSLATE(B10316,""id"",""en"")"),"['Install', 'opened', 'empty', 'gada', 'picture', 'complicated', 'klu', 'buy', 'quota', 'disney', 'hotstar', 'telkom', ' Response ',' Donk ',' Nihh ', ""]")</f>
        <v>['Install', 'opened', 'empty', 'gada', 'picture', 'complicated', 'klu', 'buy', 'quota', 'disney', 'hotstar', 'telkom', ' Response ',' Donk ',' Nihh ', "]</v>
      </c>
      <c r="D10316" s="3">
        <v>1.0</v>
      </c>
    </row>
    <row r="10317" ht="15.75" customHeight="1">
      <c r="A10317" s="1">
        <v>10996.0</v>
      </c>
      <c r="B10317" s="3" t="s">
        <v>9876</v>
      </c>
      <c r="C10317" s="3" t="str">
        <f>IFERROR(__xludf.DUMMYFUNCTION("GOOGLETRANSLATE(B10317,""id"",""en"")"),"['apk', 'sangaaat']")</f>
        <v>['apk', 'sangaaat']</v>
      </c>
      <c r="D10317" s="3">
        <v>5.0</v>
      </c>
    </row>
    <row r="10318" ht="15.75" customHeight="1">
      <c r="A10318" s="1">
        <v>10997.0</v>
      </c>
      <c r="B10318" s="3" t="s">
        <v>9877</v>
      </c>
      <c r="C10318" s="3" t="str">
        <f>IFERROR(__xludf.DUMMYFUNCTION("GOOGLETRANSLATE(B10318,""id"",""en"")"),"['Please', 'Telkomsel', 'related', 'signal', 'condition', 'signal', 'Telkomsel', 'the property', 'bad', 'please', 'fix', 'thank you']")</f>
        <v>['Please', 'Telkomsel', 'related', 'signal', 'condition', 'signal', 'Telkomsel', 'the property', 'bad', 'please', 'fix', 'thank you']</v>
      </c>
      <c r="D10318" s="3">
        <v>4.0</v>
      </c>
    </row>
    <row r="10319" ht="15.75" customHeight="1">
      <c r="A10319" s="1">
        <v>10998.0</v>
      </c>
      <c r="B10319" s="3" t="s">
        <v>9878</v>
      </c>
      <c r="C10319" s="3" t="str">
        <f>IFERROR(__xludf.DUMMYFUNCTION("GOOGLETRANSLATE(B10319,""id"",""en"")"),"['', 'Telkomsel', 'Date', 'Kemren', 'Lho', 'Try', 'Open', 'No', 'Screen', 'Whitehh', 'Diemin', 'An hour', 'Tetep ',' White ',' no ',' nampilin ',' Telkomsel ',' JDI ',' no ',' list ',' package ',' GNI ',' then ',' replace ',' operator ', 'deh']")</f>
        <v>['', 'Telkomsel', 'Date', 'Kemren', 'Lho', 'Try', 'Open', 'No', 'Screen', 'Whitehh', 'Diemin', 'An hour', 'Tetep ',' White ',' no ',' nampilin ',' Telkomsel ',' JDI ',' no ',' list ',' package ',' GNI ',' then ',' replace ',' operator ', 'deh']</v>
      </c>
      <c r="D10319" s="3">
        <v>1.0</v>
      </c>
    </row>
    <row r="10320" ht="15.75" customHeight="1">
      <c r="A10320" s="1">
        <v>10999.0</v>
      </c>
      <c r="B10320" s="3" t="s">
        <v>9879</v>
      </c>
      <c r="C10320" s="3" t="str">
        <f>IFERROR(__xludf.DUMMYFUNCTION("GOOGLETRANSLATE(B10320,""id"",""en"")"),"['Stay', 'in the city', 'network', 'rich', 'disconcerant', 'little', 'urgent', 'lazy', 'sympathy']")</f>
        <v>['Stay', 'in the city', 'network', 'rich', 'disconcerant', 'little', 'urgent', 'lazy', 'sympathy']</v>
      </c>
      <c r="D10320" s="3">
        <v>1.0</v>
      </c>
    </row>
    <row r="10321" ht="15.75" customHeight="1">
      <c r="A10321" s="1">
        <v>11000.0</v>
      </c>
      <c r="B10321" s="3" t="s">
        <v>9880</v>
      </c>
      <c r="C10321" s="3" t="str">
        <f>IFERROR(__xludf.DUMMYFUNCTION("GOOGLETRANSLATE(B10321,""id"",""en"")"),"['skrg', 'open', 'blank', 'white', '']")</f>
        <v>['skrg', 'open', 'blank', 'white', '']</v>
      </c>
      <c r="D10321" s="3">
        <v>1.0</v>
      </c>
    </row>
    <row r="10322" ht="15.75" customHeight="1">
      <c r="A10322" s="1">
        <v>11001.0</v>
      </c>
      <c r="B10322" s="3" t="s">
        <v>9881</v>
      </c>
      <c r="C10322" s="3" t="str">
        <f>IFERROR(__xludf.DUMMYFUNCTION("GOOGLETRANSLATE(B10322,""id"",""en"")"),"['times', 'contents', 'pulse', 'chick', 'rebu', 'base', 'asuuuu']")</f>
        <v>['times', 'contents', 'pulse', 'chick', 'rebu', 'base', 'asuuuu']</v>
      </c>
      <c r="D10322" s="3">
        <v>1.0</v>
      </c>
    </row>
    <row r="10323" ht="15.75" customHeight="1">
      <c r="A10323" s="1">
        <v>11002.0</v>
      </c>
      <c r="B10323" s="3" t="s">
        <v>9882</v>
      </c>
      <c r="C10323" s="3" t="str">
        <f>IFERROR(__xludf.DUMMYFUNCTION("GOOGLETRANSLATE(B10323,""id"",""en"")"),"['Like', 'The network', 'Ngegame', 'Down', 'The Network']")</f>
        <v>['Like', 'The network', 'Ngegame', 'Down', 'The Network']</v>
      </c>
      <c r="D10323" s="3">
        <v>1.0</v>
      </c>
    </row>
    <row r="10324" ht="15.75" customHeight="1">
      <c r="A10324" s="1">
        <v>11003.0</v>
      </c>
      <c r="B10324" s="3" t="s">
        <v>9883</v>
      </c>
      <c r="C10324" s="3" t="str">
        <f>IFERROR(__xludf.DUMMYFUNCTION("GOOGLETRANSLATE(B10324,""id"",""en"")"),"['Price', 'quota', 'signal', 'ugly']")</f>
        <v>['Price', 'quota', 'signal', 'ugly']</v>
      </c>
      <c r="D10324" s="3">
        <v>1.0</v>
      </c>
    </row>
    <row r="10325" ht="15.75" customHeight="1">
      <c r="A10325" s="1">
        <v>11005.0</v>
      </c>
      <c r="B10325" s="3" t="s">
        <v>9884</v>
      </c>
      <c r="C10325" s="3" t="str">
        <f>IFERROR(__xludf.DUMMYFUNCTION("GOOGLETRANSLATE(B10325,""id"",""en"")"),"['Min', 'the application', 'look', 'white']")</f>
        <v>['Min', 'the application', 'look', 'white']</v>
      </c>
      <c r="D10325" s="3">
        <v>3.0</v>
      </c>
    </row>
    <row r="10326" ht="15.75" customHeight="1">
      <c r="A10326" s="1">
        <v>11006.0</v>
      </c>
      <c r="B10326" s="3" t="s">
        <v>9885</v>
      </c>
      <c r="C10326" s="3" t="str">
        <f>IFERROR(__xludf.DUMMYFUNCTION("GOOGLETRANSLATE(B10326,""id"",""en"")"),"['buy', 'package', 'bought', 'felt', 'disorder', 'bot', 'mending', 'switch']")</f>
        <v>['buy', 'package', 'bought', 'felt', 'disorder', 'bot', 'mending', 'switch']</v>
      </c>
      <c r="D10326" s="3">
        <v>1.0</v>
      </c>
    </row>
    <row r="10327" ht="15.75" customHeight="1">
      <c r="A10327" s="1">
        <v>11007.0</v>
      </c>
      <c r="B10327" s="3" t="s">
        <v>9886</v>
      </c>
      <c r="C10327" s="3" t="str">
        <f>IFERROR(__xludf.DUMMYFUNCTION("GOOGLETRANSLATE(B10327,""id"",""en"")"),"['Lotten', 'Banula "",' Telkomsel ',' ']")</f>
        <v>['Lotten', 'Banula ",' Telkomsel ',' ']</v>
      </c>
      <c r="D10327" s="3">
        <v>5.0</v>
      </c>
    </row>
    <row r="10328" ht="15.75" customHeight="1">
      <c r="A10328" s="1">
        <v>11008.0</v>
      </c>
      <c r="B10328" s="3" t="s">
        <v>9887</v>
      </c>
      <c r="C10328" s="3" t="str">
        <f>IFERROR(__xludf.DUMMYFUNCTION("GOOGLETRANSLATE(B10328,""id"",""en"")"),"['Sinyalll', 'Juancokkk', 'Ngelagh']")</f>
        <v>['Sinyalll', 'Juancokkk', 'Ngelagh']</v>
      </c>
      <c r="D10328" s="3">
        <v>1.0</v>
      </c>
    </row>
    <row r="10329" ht="15.75" customHeight="1">
      <c r="A10329" s="1">
        <v>11009.0</v>
      </c>
      <c r="B10329" s="3" t="s">
        <v>9888</v>
      </c>
      <c r="C10329" s="3" t="str">
        <f>IFERROR(__xludf.DUMMYFUNCTION("GOOGLETRANSLATE(B10329,""id"",""en"")"),"['Try', 'Blm', 'Understand', 'BTL']")</f>
        <v>['Try', 'Blm', 'Understand', 'BTL']</v>
      </c>
      <c r="D10329" s="3">
        <v>5.0</v>
      </c>
    </row>
    <row r="10330" ht="15.75" customHeight="1">
      <c r="A10330" s="1">
        <v>11010.0</v>
      </c>
      <c r="B10330" s="3" t="s">
        <v>9889</v>
      </c>
      <c r="C10330" s="3" t="str">
        <f>IFERROR(__xludf.DUMMYFUNCTION("GOOGLETRANSLATE(B10330,""id"",""en"")"),"['Hang', 'Win', 'Car']")</f>
        <v>['Hang', 'Win', 'Car']</v>
      </c>
      <c r="D10330" s="3">
        <v>5.0</v>
      </c>
    </row>
    <row r="10331" ht="15.75" customHeight="1">
      <c r="A10331" s="1">
        <v>11011.0</v>
      </c>
      <c r="B10331" s="3" t="s">
        <v>9890</v>
      </c>
      <c r="C10331" s="3" t="str">
        <f>IFERROR(__xludf.DUMMYFUNCTION("GOOGLETRANSLATE(B10331,""id"",""en"")"),"['Good', 'heheheh']")</f>
        <v>['Good', 'heheheh']</v>
      </c>
      <c r="D10331" s="3">
        <v>5.0</v>
      </c>
    </row>
    <row r="10332" ht="15.75" customHeight="1">
      <c r="A10332" s="1">
        <v>11012.0</v>
      </c>
      <c r="B10332" s="3" t="s">
        <v>9891</v>
      </c>
      <c r="C10332" s="3" t="str">
        <f>IFERROR(__xludf.DUMMYFUNCTION("GOOGLETRANSLATE(B10332,""id"",""en"")"),"['Telkom', 'signal', 'down', 'the difference', 'buy', 'Telkom', 'expensive', 'quality', 'best', 'ugly', 'service', 'signal', ' It seems like ',' already ',' make ',' telkom ']")</f>
        <v>['Telkom', 'signal', 'down', 'the difference', 'buy', 'Telkom', 'expensive', 'quality', 'best', 'ugly', 'service', 'signal', ' It seems like ',' already ',' make ',' telkom ']</v>
      </c>
      <c r="D10332" s="3">
        <v>1.0</v>
      </c>
    </row>
    <row r="10333" ht="15.75" customHeight="1">
      <c r="A10333" s="1">
        <v>11013.0</v>
      </c>
      <c r="B10333" s="3" t="s">
        <v>92</v>
      </c>
      <c r="C10333" s="3" t="str">
        <f>IFERROR(__xludf.DUMMYFUNCTION("GOOGLETRANSLATE(B10333,""id"",""en"")"),"['Application', 'Open']")</f>
        <v>['Application', 'Open']</v>
      </c>
      <c r="D10333" s="3">
        <v>1.0</v>
      </c>
    </row>
    <row r="10334" ht="15.75" customHeight="1">
      <c r="A10334" s="1">
        <v>11014.0</v>
      </c>
      <c r="B10334" s="3" t="s">
        <v>9892</v>
      </c>
      <c r="C10334" s="3" t="str">
        <f>IFERROR(__xludf.DUMMYFUNCTION("GOOGLETRANSLATE(B10334,""id"",""en"")"),"['Jaringn', 'Telkomsel', 'Region', 'Lost', ""]")</f>
        <v>['Jaringn', 'Telkomsel', 'Region', 'Lost', "]</v>
      </c>
      <c r="D10334" s="3">
        <v>1.0</v>
      </c>
    </row>
    <row r="10335" ht="15.75" customHeight="1">
      <c r="A10335" s="1">
        <v>11015.0</v>
      </c>
      <c r="B10335" s="3" t="s">
        <v>9893</v>
      </c>
      <c r="C10335" s="3" t="str">
        <f>IFERROR(__xludf.DUMMYFUNCTION("GOOGLETRANSLATE(B10335,""id"",""en"")"),"['hope', 'prize', 'real', 'Telkomsel', ""]")</f>
        <v>['hope', 'prize', 'real', 'Telkomsel', "]</v>
      </c>
      <c r="D10335" s="3">
        <v>5.0</v>
      </c>
    </row>
    <row r="10336" ht="15.75" customHeight="1">
      <c r="A10336" s="1">
        <v>11016.0</v>
      </c>
      <c r="B10336" s="3" t="s">
        <v>9894</v>
      </c>
      <c r="C10336" s="3" t="str">
        <f>IFERROR(__xludf.DUMMYFUNCTION("GOOGLETRANSLATE(B10336,""id"",""en"")"),"['bad signal', '']")</f>
        <v>['bad signal', '']</v>
      </c>
      <c r="D10336" s="3">
        <v>1.0</v>
      </c>
    </row>
    <row r="10337" ht="15.75" customHeight="1">
      <c r="A10337" s="1">
        <v>11017.0</v>
      </c>
      <c r="B10337" s="3" t="s">
        <v>9895</v>
      </c>
      <c r="C10337" s="3" t="str">
        <f>IFERROR(__xludf.DUMMYFUNCTION("GOOGLETRANSLATE(B10337,""id"",""en"")"),"['Telkomsel', 'Please', 'Fix', 'Network', 'Tlp', 'Video', 'Call', 'WhatsApp', 'Disconnect', 'Network', 'Stable', 'Communication', ' TLP ',' Video ',' Call ',' Jdi ',' Gara ',' Signal ',' Stable ']")</f>
        <v>['Telkomsel', 'Please', 'Fix', 'Network', 'Tlp', 'Video', 'Call', 'WhatsApp', 'Disconnect', 'Network', 'Stable', 'Communication', ' TLP ',' Video ',' Call ',' Jdi ',' Gara ',' Signal ',' Stable ']</v>
      </c>
      <c r="D10337" s="3">
        <v>1.0</v>
      </c>
    </row>
    <row r="10338" ht="15.75" customHeight="1">
      <c r="A10338" s="1">
        <v>11018.0</v>
      </c>
      <c r="B10338" s="3" t="s">
        <v>92</v>
      </c>
      <c r="C10338" s="3" t="str">
        <f>IFERROR(__xludf.DUMMYFUNCTION("GOOGLETRANSLATE(B10338,""id"",""en"")"),"['Application', 'Open']")</f>
        <v>['Application', 'Open']</v>
      </c>
      <c r="D10338" s="3">
        <v>5.0</v>
      </c>
    </row>
    <row r="10339" ht="15.75" customHeight="1">
      <c r="A10339" s="1">
        <v>11019.0</v>
      </c>
      <c r="B10339" s="3" t="s">
        <v>9896</v>
      </c>
      <c r="C10339" s="3" t="str">
        <f>IFERROR(__xludf.DUMMYFUNCTION("GOOGLETRANSLATE(B10339,""id"",""en"")"),"['hope', 'Ukasinya', 'No "",' opened ',' now ',' open ',' CMA ',' White ',' Doang ',' Telkom ',' Benerin ',' Udh ',' ']")</f>
        <v>['hope', 'Ukasinya', 'No ",' opened ',' now ',' open ',' CMA ',' White ',' Doang ',' Telkom ',' Benerin ',' Udh ',' ']</v>
      </c>
      <c r="D10339" s="3">
        <v>1.0</v>
      </c>
    </row>
    <row r="10340" ht="15.75" customHeight="1">
      <c r="A10340" s="1">
        <v>11020.0</v>
      </c>
      <c r="B10340" s="3" t="s">
        <v>9897</v>
      </c>
      <c r="C10340" s="3" t="str">
        <f>IFERROR(__xludf.DUMMYFUNCTION("GOOGLETRANSLATE(B10340,""id"",""en"")"),"['Telkomsel', 'Kayak', 'Taik', 'Network', 'Bad', 'night', 'night']")</f>
        <v>['Telkomsel', 'Kayak', 'Taik', 'Network', 'Bad', 'night', 'night']</v>
      </c>
      <c r="D10340" s="3">
        <v>1.0</v>
      </c>
    </row>
    <row r="10341" ht="15.75" customHeight="1">
      <c r="A10341" s="1">
        <v>11021.0</v>
      </c>
      <c r="B10341" s="3" t="s">
        <v>9898</v>
      </c>
      <c r="C10341" s="3" t="str">
        <f>IFERROR(__xludf.DUMMYFUNCTION("GOOGLETRANSLATE(B10341,""id"",""en"")"),"['application', 'bad', 'promo', 'wkwkwkw']")</f>
        <v>['application', 'bad', 'promo', 'wkwkwkw']</v>
      </c>
      <c r="D10341" s="3">
        <v>5.0</v>
      </c>
    </row>
    <row r="10342" ht="15.75" customHeight="1">
      <c r="A10342" s="1">
        <v>11022.0</v>
      </c>
      <c r="B10342" s="3" t="s">
        <v>9899</v>
      </c>
      <c r="C10342" s="3" t="str">
        <f>IFERROR(__xludf.DUMMYFUNCTION("GOOGLETRANSLATE(B10342,""id"",""en"")"),"['', 'application', 'opened', 'knpaaaa', 'mmmm', '']")</f>
        <v>['', 'application', 'opened', 'knpaaaa', 'mmmm', '']</v>
      </c>
      <c r="D10342" s="3">
        <v>1.0</v>
      </c>
    </row>
    <row r="10343" ht="15.75" customHeight="1">
      <c r="A10343" s="1">
        <v>11023.0</v>
      </c>
      <c r="B10343" s="3" t="s">
        <v>9900</v>
      </c>
      <c r="C10343" s="3" t="str">
        <f>IFERROR(__xludf.DUMMYFUNCTION("GOOGLETRANSLATE(B10343,""id"",""en"")"),"['Doang', 'Gabisa', 'Open', 'Telkomsel', 'Since', 'Enter', 'December', 'Telkomsel', 'Gabisa', 'Open']")</f>
        <v>['Doang', 'Gabisa', 'Open', 'Telkomsel', 'Since', 'Enter', 'December', 'Telkomsel', 'Gabisa', 'Open']</v>
      </c>
      <c r="D10343" s="3">
        <v>1.0</v>
      </c>
    </row>
    <row r="10344" ht="15.75" customHeight="1">
      <c r="A10344" s="1">
        <v>11025.0</v>
      </c>
      <c r="B10344" s="3" t="s">
        <v>9901</v>
      </c>
      <c r="C10344" s="3" t="str">
        <f>IFERROR(__xludf.DUMMYFUNCTION("GOOGLETRANSLATE(B10344,""id"",""en"")"),"['Operator', 'AJG', 'Warasin', 'Signal', 'Delicious', 'Eat', 'Salary', 'Blind']")</f>
        <v>['Operator', 'AJG', 'Warasin', 'Signal', 'Delicious', 'Eat', 'Salary', 'Blind']</v>
      </c>
      <c r="D10344" s="3">
        <v>2.0</v>
      </c>
    </row>
    <row r="10345" ht="15.75" customHeight="1">
      <c r="A10345" s="1">
        <v>11026.0</v>
      </c>
      <c r="B10345" s="3" t="s">
        <v>9902</v>
      </c>
      <c r="C10345" s="3" t="str">
        <f>IFERROR(__xludf.DUMMYFUNCTION("GOOGLETRANSLATE(B10345,""id"",""en"")"),"['Siknyal', 'Comfortable', 'Play', 'Gem', 'Over', 'Subscribe', 'Telkom']")</f>
        <v>['Siknyal', 'Comfortable', 'Play', 'Gem', 'Over', 'Subscribe', 'Telkom']</v>
      </c>
      <c r="D10345" s="3">
        <v>1.0</v>
      </c>
    </row>
    <row r="10346" ht="15.75" customHeight="1">
      <c r="A10346" s="1">
        <v>11027.0</v>
      </c>
      <c r="B10346" s="3" t="s">
        <v>9903</v>
      </c>
      <c r="C10346" s="3" t="str">
        <f>IFERROR(__xludf.DUMMYFUNCTION("GOOGLETRANSLATE(B10346,""id"",""en"")"),"['Knp', 'pulse', 'truncated', 'until', 'times',' pulse ',' truncated ',' until ',' name ',' love ',' details', 'costs',' ']")</f>
        <v>['Knp', 'pulse', 'truncated', 'until', 'times',' pulse ',' truncated ',' until ',' name ',' love ',' details', 'costs',' ']</v>
      </c>
      <c r="D10346" s="3">
        <v>1.0</v>
      </c>
    </row>
    <row r="10347" ht="15.75" customHeight="1">
      <c r="A10347" s="1">
        <v>11028.0</v>
      </c>
      <c r="B10347" s="3" t="s">
        <v>9904</v>
      </c>
      <c r="C10347" s="3" t="str">
        <f>IFERROR(__xludf.DUMMYFUNCTION("GOOGLETRANSLATE(B10347,""id"",""en"")"),"['Hopefully', 'interested']")</f>
        <v>['Hopefully', 'interested']</v>
      </c>
      <c r="D10347" s="3">
        <v>5.0</v>
      </c>
    </row>
    <row r="10348" ht="15.75" customHeight="1">
      <c r="A10348" s="1">
        <v>11029.0</v>
      </c>
      <c r="B10348" s="3" t="s">
        <v>9905</v>
      </c>
      <c r="C10348" s="3" t="str">
        <f>IFERROR(__xludf.DUMMYFUNCTION("GOOGLETRANSLATE(B10348,""id"",""en"")"),"['Rain', 'Network', 'Drop', 'Severe', '']")</f>
        <v>['Rain', 'Network', 'Drop', 'Severe', '']</v>
      </c>
      <c r="D10348" s="3">
        <v>2.0</v>
      </c>
    </row>
    <row r="10349" ht="15.75" customHeight="1">
      <c r="A10349" s="1">
        <v>11030.0</v>
      </c>
      <c r="B10349" s="3" t="s">
        <v>5137</v>
      </c>
      <c r="C10349" s="3" t="str">
        <f>IFERROR(__xludf.DUMMYFUNCTION("GOOGLETRANSLATE(B10349,""id"",""en"")"),"['Telkomsel', 'TOP']")</f>
        <v>['Telkomsel', 'TOP']</v>
      </c>
      <c r="D10349" s="3">
        <v>5.0</v>
      </c>
    </row>
    <row r="10350" ht="15.75" customHeight="1">
      <c r="A10350" s="1">
        <v>11031.0</v>
      </c>
      <c r="B10350" s="3" t="s">
        <v>9906</v>
      </c>
      <c r="C10350" s="3" t="str">
        <f>IFERROR(__xludf.DUMMYFUNCTION("GOOGLETRANSLATE(B10350,""id"",""en"")"),"['expensive', 'palagi', 'package', 'msuk', 'sense', 'price', 'children', 'pajak', 'package', 'stupid', 'community', 'Anjai', ' ']")</f>
        <v>['expensive', 'palagi', 'package', 'msuk', 'sense', 'price', 'children', 'pajak', 'package', 'stupid', 'community', 'Anjai', ' ']</v>
      </c>
      <c r="D10350" s="3">
        <v>4.0</v>
      </c>
    </row>
    <row r="10351" ht="15.75" customHeight="1">
      <c r="A10351" s="1">
        <v>11032.0</v>
      </c>
      <c r="B10351" s="3" t="s">
        <v>9907</v>
      </c>
      <c r="C10351" s="3" t="str">
        <f>IFERROR(__xludf.DUMMYFUNCTION("GOOGLETRANSLATE(B10351,""id"",""en"")"),"['update', 'send', 'pulse', 'APK', 'code', 'Please', 'explanationua']")</f>
        <v>['update', 'send', 'pulse', 'APK', 'code', 'Please', 'explanationua']</v>
      </c>
      <c r="D10351" s="3">
        <v>3.0</v>
      </c>
    </row>
    <row r="10352" ht="15.75" customHeight="1">
      <c r="A10352" s="1">
        <v>11033.0</v>
      </c>
      <c r="B10352" s="3" t="s">
        <v>180</v>
      </c>
      <c r="C10352" s="3" t="str">
        <f>IFERROR(__xludf.DUMMYFUNCTION("GOOGLETRANSLATE(B10352,""id"",""en"")"),"['hopefully']")</f>
        <v>['hopefully']</v>
      </c>
      <c r="D10352" s="3">
        <v>5.0</v>
      </c>
    </row>
    <row r="10353" ht="15.75" customHeight="1">
      <c r="A10353" s="1">
        <v>11034.0</v>
      </c>
      <c r="B10353" s="3" t="s">
        <v>9908</v>
      </c>
      <c r="C10353" s="3" t="str">
        <f>IFERROR(__xludf.DUMMYFUNCTION("GOOGLETRANSLATE(B10353,""id"",""en"")"),"['SERBA', 'Gampang', 'Oood']")</f>
        <v>['SERBA', 'Gampang', 'Oood']</v>
      </c>
      <c r="D10353" s="3">
        <v>5.0</v>
      </c>
    </row>
    <row r="10354" ht="15.75" customHeight="1">
      <c r="A10354" s="1">
        <v>11035.0</v>
      </c>
      <c r="B10354" s="3" t="s">
        <v>9909</v>
      </c>
      <c r="C10354" s="3" t="str">
        <f>IFERROR(__xludf.DUMMYFUNCTION("GOOGLETRANSLATE(B10354,""id"",""en"")"),"['knp', 'application', 'Telkomsel', 'opened', 'already', 'uninstall', 'uninstall', 'install', 'reset', 'tetep', 'open', 'screen', ' White ',' appears', ""]")</f>
        <v>['knp', 'application', 'Telkomsel', 'opened', 'already', 'uninstall', 'uninstall', 'install', 'reset', 'tetep', 'open', 'screen', ' White ',' appears', "]</v>
      </c>
      <c r="D10354" s="3">
        <v>1.0</v>
      </c>
    </row>
    <row r="10355" ht="15.75" customHeight="1">
      <c r="A10355" s="1">
        <v>11036.0</v>
      </c>
      <c r="B10355" s="3" t="s">
        <v>9910</v>
      </c>
      <c r="C10355" s="3" t="str">
        <f>IFERROR(__xludf.DUMMYFUNCTION("GOOGLETRANSLATE(B10355,""id"",""en"")"),"['quota', 'game', 'gajelas']")</f>
        <v>['quota', 'game', 'gajelas']</v>
      </c>
      <c r="D10355" s="3">
        <v>1.0</v>
      </c>
    </row>
    <row r="10356" ht="15.75" customHeight="1">
      <c r="A10356" s="1">
        <v>11037.0</v>
      </c>
      <c r="B10356" s="3" t="s">
        <v>9911</v>
      </c>
      <c r="C10356" s="3" t="str">
        <f>IFERROR(__xludf.DUMMYFUNCTION("GOOGLETRANSLATE(B10356,""id"",""en"")"),"['chaotic', 'app', 'provider']")</f>
        <v>['chaotic', 'app', 'provider']</v>
      </c>
      <c r="D10356" s="3">
        <v>1.0</v>
      </c>
    </row>
    <row r="10357" ht="15.75" customHeight="1">
      <c r="A10357" s="1">
        <v>11038.0</v>
      </c>
      <c r="B10357" s="3" t="s">
        <v>9912</v>
      </c>
      <c r="C10357" s="3" t="str">
        <f>IFERROR(__xludf.DUMMYFUNCTION("GOOGLETRANSLATE(B10357,""id"",""en"")"),"['', 'send', 'gift', 'trasfer', 'pulse', 'NMR', 'pdahal', 'pulse', 'send', 'pulse', 'TFR', 'pulse', 'send ',' Gift ',' PDAH ',' Credit ',' For example ',' Credit ',' Send ',' No ',' Credit ',' Adequate ',' Nominal ',' JLS ',' Plsa ', 'Oban', 'Disappointed"&amp;"', 'PDAH', 'LANDING']")</f>
        <v>['', 'send', 'gift', 'trasfer', 'pulse', 'NMR', 'pdahal', 'pulse', 'send', 'pulse', 'TFR', 'pulse', 'send ',' Gift ',' PDAH ',' Credit ',' For example ',' Credit ',' Send ',' No ',' Credit ',' Adequate ',' Nominal ',' JLS ',' Plsa ', 'Oban', 'Disappointed', 'PDAH', 'LANDING']</v>
      </c>
      <c r="D10357" s="3">
        <v>2.0</v>
      </c>
    </row>
    <row r="10358" ht="15.75" customHeight="1">
      <c r="A10358" s="1">
        <v>11039.0</v>
      </c>
      <c r="B10358" s="3" t="s">
        <v>9913</v>
      </c>
      <c r="C10358" s="3" t="str">
        <f>IFERROR(__xludf.DUMMYFUNCTION("GOOGLETRANSLATE(B10358,""id"",""en"")"),"['already', 'buy', 'expensive', 'expensive', 'kouta', 'telkomsel', 'just', 'right', 'sosmed', 'smooth', 'bet', 'right', ' play ',' games', 'wild', 'rift', 'ms',' kouta ',' expensive ',' network ',' kek ',' era ',' ancient ',' buy ',' kouta ' , 'Telkom', '"&amp;"expensive', 'Doang', 'Network', 'Kek', 'era', 'ancient', 'cih']")</f>
        <v>['already', 'buy', 'expensive', 'expensive', 'kouta', 'telkomsel', 'just', 'right', 'sosmed', 'smooth', 'bet', 'right', ' play ',' games', 'wild', 'rift', 'ms',' kouta ',' expensive ',' network ',' kek ',' era ',' ancient ',' buy ',' kouta ' , 'Telkom', 'expensive', 'Doang', 'Network', 'Kek', 'era', 'ancient', 'cih']</v>
      </c>
      <c r="D10358" s="3">
        <v>1.0</v>
      </c>
    </row>
    <row r="10359" ht="15.75" customHeight="1">
      <c r="A10359" s="1">
        <v>11040.0</v>
      </c>
      <c r="B10359" s="3" t="s">
        <v>9914</v>
      </c>
      <c r="C10359" s="3" t="str">
        <f>IFERROR(__xludf.DUMMYFUNCTION("GOOGLETRANSLATE(B10359,""id"",""en"")"),"['gabisa', 'enter', 'page', 'buy', 'package', 'internet', '']")</f>
        <v>['gabisa', 'enter', 'page', 'buy', 'package', 'internet', '']</v>
      </c>
      <c r="D10359" s="3">
        <v>4.0</v>
      </c>
    </row>
    <row r="10360" ht="15.75" customHeight="1">
      <c r="A10360" s="1">
        <v>11041.0</v>
      </c>
      <c r="B10360" s="3" t="s">
        <v>9915</v>
      </c>
      <c r="C10360" s="3" t="str">
        <f>IFERROR(__xludf.DUMMYFUNCTION("GOOGLETRANSLATE(B10360,""id"",""en"")"),"['faket', 'GB', 'rates', 'rates', 'disappointed', 'really', 'subscription', 'faket']")</f>
        <v>['faket', 'GB', 'rates', 'rates', 'disappointed', 'really', 'subscription', 'faket']</v>
      </c>
      <c r="D10360" s="3">
        <v>3.0</v>
      </c>
    </row>
    <row r="10361" ht="15.75" customHeight="1">
      <c r="A10361" s="1">
        <v>11042.0</v>
      </c>
      <c r="B10361" s="3" t="s">
        <v>9916</v>
      </c>
      <c r="C10361" s="3" t="str">
        <f>IFERROR(__xludf.DUMMYFUNCTION("GOOGLETRANSLATE(B10361,""id"",""en"")"),"['Application', 'Install', 'Open', '']")</f>
        <v>['Application', 'Install', 'Open', '']</v>
      </c>
      <c r="D10361" s="3">
        <v>1.0</v>
      </c>
    </row>
    <row r="10362" ht="15.75" customHeight="1">
      <c r="A10362" s="1">
        <v>11043.0</v>
      </c>
      <c r="B10362" s="3" t="s">
        <v>9917</v>
      </c>
      <c r="C10362" s="3" t="str">
        <f>IFERROR(__xludf.DUMMYFUNCTION("GOOGLETRANSLATE(B10362,""id"",""en"")"),"['Please', 'repaired', 'network', 'threat']")</f>
        <v>['Please', 'repaired', 'network', 'threat']</v>
      </c>
      <c r="D10362" s="3">
        <v>1.0</v>
      </c>
    </row>
    <row r="10363" ht="15.75" customHeight="1">
      <c r="A10363" s="1">
        <v>11044.0</v>
      </c>
      <c r="B10363" s="3" t="s">
        <v>9918</v>
      </c>
      <c r="C10363" s="3" t="str">
        <f>IFERROR(__xludf.DUMMYFUNCTION("GOOGLETRANSLATE(B10363,""id"",""en"")"),"['App', 'Open', 'Ngeblank', 'White', 'Tok', 'All Day', 'Enter', 'Application']")</f>
        <v>['App', 'Open', 'Ngeblank', 'White', 'Tok', 'All Day', 'Enter', 'Application']</v>
      </c>
      <c r="D10363" s="3">
        <v>1.0</v>
      </c>
    </row>
    <row r="10364" ht="15.75" customHeight="1">
      <c r="A10364" s="1">
        <v>11045.0</v>
      </c>
      <c r="B10364" s="3" t="s">
        <v>9919</v>
      </c>
      <c r="C10364" s="3" t="str">
        <f>IFERROR(__xludf.DUMMYFUNCTION("GOOGLETRANSLATE(B10364,""id"",""en"")"),"['operator']")</f>
        <v>['operator']</v>
      </c>
      <c r="D10364" s="3">
        <v>5.0</v>
      </c>
    </row>
    <row r="10365" ht="15.75" customHeight="1">
      <c r="A10365" s="1">
        <v>11046.0</v>
      </c>
      <c r="B10365" s="3" t="s">
        <v>9920</v>
      </c>
      <c r="C10365" s="3" t="str">
        <f>IFERROR(__xludf.DUMMYFUNCTION("GOOGLETRANSLATE(B10365,""id"",""en"")"),"['sympathy', 'network', 'slow', 'all-round', 'fast', 'slow', 'please', 'fix', 'network', 'internet', 'sympathy', ""]")</f>
        <v>['sympathy', 'network', 'slow', 'all-round', 'fast', 'slow', 'please', 'fix', 'network', 'internet', 'sympathy', "]</v>
      </c>
      <c r="D10365" s="3">
        <v>2.0</v>
      </c>
    </row>
    <row r="10366" ht="15.75" customHeight="1">
      <c r="A10366" s="1">
        <v>11047.0</v>
      </c>
      <c r="B10366" s="3" t="s">
        <v>9921</v>
      </c>
      <c r="C10366" s="3" t="str">
        <f>IFERROR(__xludf.DUMMYFUNCTION("GOOGLETRANSLATE(B10366,""id"",""en"")"),"['opened', 'screen', 'colored', 'white', 'tok']")</f>
        <v>['opened', 'screen', 'colored', 'white', 'tok']</v>
      </c>
      <c r="D10366" s="3">
        <v>1.0</v>
      </c>
    </row>
    <row r="10367" ht="15.75" customHeight="1">
      <c r="A10367" s="1">
        <v>11048.0</v>
      </c>
      <c r="B10367" s="3" t="s">
        <v>9922</v>
      </c>
      <c r="C10367" s="3" t="str">
        <f>IFERROR(__xludf.DUMMYFUNCTION("GOOGLETRANSLATE(B10367,""id"",""en"")"),"['', 'upgrade', 'open', 'smooth', 'error']")</f>
        <v>['', 'upgrade', 'open', 'smooth', 'error']</v>
      </c>
      <c r="D10367" s="3">
        <v>1.0</v>
      </c>
    </row>
    <row r="10368" ht="15.75" customHeight="1">
      <c r="A10368" s="1">
        <v>11049.0</v>
      </c>
      <c r="B10368" s="3" t="s">
        <v>9923</v>
      </c>
      <c r="C10368" s="3" t="str">
        <f>IFERROR(__xludf.DUMMYFUNCTION("GOOGLETRANSLATE(B10368,""id"",""en"")"),"['signal', 'bad', 'please', 'Telkomsel', 'fix it', 'price', 'package', 'expensive']")</f>
        <v>['signal', 'bad', 'please', 'Telkomsel', 'fix it', 'price', 'package', 'expensive']</v>
      </c>
      <c r="D10368" s="3">
        <v>1.0</v>
      </c>
    </row>
    <row r="10369" ht="15.75" customHeight="1">
      <c r="A10369" s="1">
        <v>11050.0</v>
      </c>
      <c r="B10369" s="3" t="s">
        <v>9924</v>
      </c>
      <c r="C10369" s="3" t="str">
        <f>IFERROR(__xludf.DUMMYFUNCTION("GOOGLETRANSLATE(B10369,""id"",""en"")"),"['satisfying', 'Telkomsel', 'Dri', 'mpe', 'skrg', 'msh', 'loyal']")</f>
        <v>['satisfying', 'Telkomsel', 'Dri', 'mpe', 'skrg', 'msh', 'loyal']</v>
      </c>
      <c r="D10369" s="3">
        <v>5.0</v>
      </c>
    </row>
    <row r="10370" ht="15.75" customHeight="1">
      <c r="A10370" s="1">
        <v>11051.0</v>
      </c>
      <c r="B10370" s="3" t="s">
        <v>9925</v>
      </c>
      <c r="C10370" s="3" t="str">
        <f>IFERROR(__xludf.DUMMYFUNCTION("GOOGLETRANSLATE(B10370,""id"",""en"")"),"['Sya', 'admin', 'area', 'garden', 'oranges',' jakarta ',' west ',' network ',' telkomsel ',' bad ',' sya ',' lived ',' The garden ',' orange ',' Jakarta ',' West ',' destroyed ',' signal ',' around ',' Sya ',' complex ',' DPR ',' Komplean ',' signal ',' "&amp;"bad ' , 'please', 'donk', 'admin', 'fix', 'signal', 'bad', 'telkomsel', 'sya', 'experience', 'area', 'garden', 'orange', ' Jakarta ',' West ',' location ',' destroyed ',' signal ',' Telkomsel ']")</f>
        <v>['Sya', 'admin', 'area', 'garden', 'oranges',' jakarta ',' west ',' network ',' telkomsel ',' bad ',' sya ',' lived ',' The garden ',' orange ',' Jakarta ',' West ',' destroyed ',' signal ',' around ',' Sya ',' complex ',' DPR ',' Komplean ',' signal ',' bad ' , 'please', 'donk', 'admin', 'fix', 'signal', 'bad', 'telkomsel', 'sya', 'experience', 'area', 'garden', 'orange', ' Jakarta ',' West ',' location ',' destroyed ',' signal ',' Telkomsel ']</v>
      </c>
      <c r="D10370" s="3">
        <v>1.0</v>
      </c>
    </row>
    <row r="10371" ht="15.75" customHeight="1">
      <c r="A10371" s="1">
        <v>11052.0</v>
      </c>
      <c r="B10371" s="3" t="s">
        <v>9926</v>
      </c>
      <c r="C10371" s="3" t="str">
        <f>IFERROR(__xludf.DUMMYFUNCTION("GOOGLETRANSLATE(B10371,""id"",""en"")"),"['', 'Telkomsel', 'please', 'complicated', 'buy', 'package', 'pulse', 'buy', 'package', 'failed', 'buy', 'please', 'Complete ',' Problems', 'Comfortable']")</f>
        <v>['', 'Telkomsel', 'please', 'complicated', 'buy', 'package', 'pulse', 'buy', 'package', 'failed', 'buy', 'please', 'Complete ',' Problems', 'Comfortable']</v>
      </c>
      <c r="D10371" s="3">
        <v>2.0</v>
      </c>
    </row>
    <row r="10372" ht="15.75" customHeight="1">
      <c r="A10372" s="1">
        <v>11053.0</v>
      </c>
      <c r="B10372" s="3" t="s">
        <v>9927</v>
      </c>
      <c r="C10372" s="3" t="str">
        <f>IFERROR(__xludf.DUMMYFUNCTION("GOOGLETRANSLATE(B10372,""id"",""en"")"),"['', 'Telkomsel', 'Media', 'Sarana', 'Communication']")</f>
        <v>['', 'Telkomsel', 'Media', 'Sarana', 'Communication']</v>
      </c>
      <c r="D10372" s="3">
        <v>5.0</v>
      </c>
    </row>
    <row r="10373" ht="15.75" customHeight="1">
      <c r="A10373" s="1">
        <v>11054.0</v>
      </c>
      <c r="B10373" s="3" t="s">
        <v>3801</v>
      </c>
      <c r="C10373" s="3" t="str">
        <f>IFERROR(__xludf.DUMMYFUNCTION("GOOGLETRANSLATE(B10373,""id"",""en"")"),"['Convenience', 'transact']")</f>
        <v>['Convenience', 'transact']</v>
      </c>
      <c r="D10373" s="3">
        <v>5.0</v>
      </c>
    </row>
    <row r="10374" ht="15.75" customHeight="1">
      <c r="A10374" s="1">
        <v>11056.0</v>
      </c>
      <c r="B10374" s="3" t="s">
        <v>1787</v>
      </c>
      <c r="C10374" s="3" t="str">
        <f>IFERROR(__xludf.DUMMYFUNCTION("GOOGLETRANSLATE(B10374,""id"",""en"")"),"['Hope it is useful']")</f>
        <v>['Hope it is useful']</v>
      </c>
      <c r="D10374" s="3">
        <v>5.0</v>
      </c>
    </row>
    <row r="10375" ht="15.75" customHeight="1">
      <c r="A10375" s="1">
        <v>11057.0</v>
      </c>
      <c r="B10375" s="3" t="s">
        <v>9928</v>
      </c>
      <c r="C10375" s="3" t="str">
        <f>IFERROR(__xludf.DUMMYFUNCTION("GOOGLETRANSLATE(B10375,""id"",""en"")"),"['steady', 'single', 'good', 'color', 'red', 'color', 'love', 'meimei', 'des', ""]")</f>
        <v>['steady', 'single', 'good', 'color', 'red', 'color', 'love', 'meimei', 'des', "]</v>
      </c>
      <c r="D10375" s="3">
        <v>5.0</v>
      </c>
    </row>
    <row r="10376" ht="15.75" customHeight="1">
      <c r="A10376" s="1">
        <v>11058.0</v>
      </c>
      <c r="B10376" s="3" t="s">
        <v>9929</v>
      </c>
      <c r="C10376" s="3" t="str">
        <f>IFERROR(__xludf.DUMMYFUNCTION("GOOGLETRANSLATE(B10376,""id"",""en"")"),"['The application', 'White', 'Screen', 'Please', 'Fix', 'Help', 'The Application']")</f>
        <v>['The application', 'White', 'Screen', 'Please', 'Fix', 'Help', 'The Application']</v>
      </c>
      <c r="D10376" s="3">
        <v>3.0</v>
      </c>
    </row>
    <row r="10377" ht="15.75" customHeight="1">
      <c r="A10377" s="1">
        <v>11059.0</v>
      </c>
      <c r="B10377" s="3" t="s">
        <v>9930</v>
      </c>
      <c r="C10377" s="3" t="str">
        <f>IFERROR(__xludf.DUMMYFUNCTION("GOOGLETRANSLATE(B10377,""id"",""en"")"),"['The application', 'good', 'steady', 'staple', 'love', 'star', '']")</f>
        <v>['The application', 'good', 'steady', 'staple', 'love', 'star', '']</v>
      </c>
      <c r="D10377" s="3">
        <v>5.0</v>
      </c>
    </row>
    <row r="10378" ht="15.75" customHeight="1">
      <c r="A10378" s="1">
        <v>11060.0</v>
      </c>
      <c r="B10378" s="3" t="s">
        <v>9931</v>
      </c>
      <c r="C10378" s="3" t="str">
        <f>IFERROR(__xludf.DUMMYFUNCTION("GOOGLETRANSLATE(B10378,""id"",""en"")"),"['Alhamdulillah', 'signal', 'strong']")</f>
        <v>['Alhamdulillah', 'signal', 'strong']</v>
      </c>
      <c r="D10378" s="3">
        <v>4.0</v>
      </c>
    </row>
    <row r="10379" ht="15.75" customHeight="1">
      <c r="A10379" s="1">
        <v>11062.0</v>
      </c>
      <c r="B10379" s="3" t="s">
        <v>9932</v>
      </c>
      <c r="C10379" s="3" t="str">
        <f>IFERROR(__xludf.DUMMYFUNCTION("GOOGLETRANSLATE(B10379,""id"",""en"")"),"['Open', 'Application', 'Force', 'Close', '']")</f>
        <v>['Open', 'Application', 'Force', 'Close', '']</v>
      </c>
      <c r="D10379" s="3">
        <v>1.0</v>
      </c>
    </row>
    <row r="10380" ht="15.75" customHeight="1">
      <c r="A10380" s="1">
        <v>11063.0</v>
      </c>
      <c r="B10380" s="3" t="s">
        <v>9933</v>
      </c>
      <c r="C10380" s="3" t="str">
        <f>IFERROR(__xludf.DUMMYFUNCTION("GOOGLETRANSLATE(B10380,""id"",""en"")"),"['sophisticated', 'good', 'fast', 'internet', 'slow', 'difficult', 'network', 'bring', 'where', 'Telkomsel']")</f>
        <v>['sophisticated', 'good', 'fast', 'internet', 'slow', 'difficult', 'network', 'bring', 'where', 'Telkomsel']</v>
      </c>
      <c r="D10380" s="3">
        <v>5.0</v>
      </c>
    </row>
    <row r="10381" ht="15.75" customHeight="1">
      <c r="A10381" s="1">
        <v>11064.0</v>
      </c>
      <c r="B10381" s="3" t="s">
        <v>9934</v>
      </c>
      <c r="C10381" s="3" t="str">
        <f>IFERROR(__xludf.DUMMYFUNCTION("GOOGLETRANSLATE(B10381,""id"",""en"")"),"['Please', 'fix', 'connection', 'network', 'bad', 'disappointed', 'user', 'loyal', 'Telkomsel']")</f>
        <v>['Please', 'fix', 'connection', 'network', 'bad', 'disappointed', 'user', 'loyal', 'Telkomsel']</v>
      </c>
      <c r="D10381" s="3">
        <v>1.0</v>
      </c>
    </row>
    <row r="10382" ht="15.75" customHeight="1">
      <c r="A10382" s="1">
        <v>11065.0</v>
      </c>
      <c r="B10382" s="3" t="s">
        <v>9935</v>
      </c>
      <c r="C10382" s="3" t="str">
        <f>IFERROR(__xludf.DUMMYFUNCTION("GOOGLETRANSLATE(B10382,""id"",""en"")"),"['Update', 'screen', 'white', 'used']")</f>
        <v>['Update', 'screen', 'white', 'used']</v>
      </c>
      <c r="D10382" s="3">
        <v>1.0</v>
      </c>
    </row>
    <row r="10383" ht="15.75" customHeight="1">
      <c r="A10383" s="1">
        <v>11066.0</v>
      </c>
      <c r="B10383" s="3" t="s">
        <v>9936</v>
      </c>
      <c r="C10383" s="3" t="str">
        <f>IFERROR(__xludf.DUMMYFUNCTION("GOOGLETRANSLATE(B10383,""id"",""en"")"),"['price', 'height', 'quality', 'destructionin', 'brain', 'brain', ""]")</f>
        <v>['price', 'height', 'quality', 'destructionin', 'brain', 'brain', "]</v>
      </c>
      <c r="D10383" s="3">
        <v>1.0</v>
      </c>
    </row>
    <row r="10384" ht="15.75" customHeight="1">
      <c r="A10384" s="1">
        <v>11067.0</v>
      </c>
      <c r="B10384" s="3" t="s">
        <v>9937</v>
      </c>
      <c r="C10384" s="3" t="str">
        <f>IFERROR(__xludf.DUMMYFUNCTION("GOOGLETRANSLATE(B10384,""id"",""en"")"),"['App', 'help', 'skli']")</f>
        <v>['App', 'help', 'skli']</v>
      </c>
      <c r="D10384" s="3">
        <v>5.0</v>
      </c>
    </row>
    <row r="10385" ht="15.75" customHeight="1">
      <c r="A10385" s="1">
        <v>11068.0</v>
      </c>
      <c r="B10385" s="3" t="s">
        <v>9938</v>
      </c>
      <c r="C10385" s="3" t="str">
        <f>IFERROR(__xludf.DUMMYFUNCTION("GOOGLETRANSLATE(B10385,""id"",""en"")"),"['application', 'Telkomsel', 'kog', 'open', 'kak']")</f>
        <v>['application', 'Telkomsel', 'kog', 'open', 'kak']</v>
      </c>
      <c r="D10385" s="3">
        <v>2.0</v>
      </c>
    </row>
    <row r="10386" ht="15.75" customHeight="1">
      <c r="A10386" s="1">
        <v>11069.0</v>
      </c>
      <c r="B10386" s="3" t="s">
        <v>9939</v>
      </c>
      <c r="C10386" s="3" t="str">
        <f>IFERROR(__xludf.DUMMYFUNCTION("GOOGLETRANSLATE(B10386,""id"",""en"")"),"['aaaaa', 'already', 'download', 'reset', 'tetep', 'white', 'all' all ']")</f>
        <v>['aaaaa', 'already', 'download', 'reset', 'tetep', 'white', 'all' all ']</v>
      </c>
      <c r="D10386" s="3">
        <v>2.0</v>
      </c>
    </row>
    <row r="10387" ht="15.75" customHeight="1">
      <c r="A10387" s="1">
        <v>11071.0</v>
      </c>
      <c r="B10387" s="3" t="s">
        <v>9940</v>
      </c>
      <c r="C10387" s="3" t="str">
        <f>IFERROR(__xludf.DUMMYFUNCTION("GOOGLETRANSLATE(B10387,""id"",""en"")"),"['Tlkomsel', 'good', 'nyelyal', 'ktika', 'play', 'games',' like ',' melengk ',' happy ',' tlkomsel ',' jdi ',' annoyed ',' Ktika ',' Maien ',' Game ',' ']")</f>
        <v>['Tlkomsel', 'good', 'nyelyal', 'ktika', 'play', 'games',' like ',' melengk ',' happy ',' tlkomsel ',' jdi ',' annoyed ',' Ktika ',' Maien ',' Game ',' ']</v>
      </c>
      <c r="D10387" s="3">
        <v>1.0</v>
      </c>
    </row>
    <row r="10388" ht="15.75" customHeight="1">
      <c r="A10388" s="1">
        <v>11072.0</v>
      </c>
      <c r="B10388" s="3" t="s">
        <v>9941</v>
      </c>
      <c r="C10388" s="3" t="str">
        <f>IFERROR(__xludf.DUMMYFUNCTION("GOOGLETRANSLATE(B10388,""id"",""en"")"),"['Useful', 'annoyed']")</f>
        <v>['Useful', 'annoyed']</v>
      </c>
      <c r="D10388" s="3">
        <v>1.0</v>
      </c>
    </row>
    <row r="10389" ht="15.75" customHeight="1">
      <c r="A10389" s="1">
        <v>11073.0</v>
      </c>
      <c r="B10389" s="3" t="s">
        <v>9942</v>
      </c>
      <c r="C10389" s="3" t="str">
        <f>IFERROR(__xludf.DUMMYFUNCTION("GOOGLETRANSLATE(B10389,""id"",""en"")"),"['Cheap', 'package', 'data']")</f>
        <v>['Cheap', 'package', 'data']</v>
      </c>
      <c r="D10389" s="3">
        <v>4.0</v>
      </c>
    </row>
    <row r="10390" ht="15.75" customHeight="1">
      <c r="A10390" s="1">
        <v>11075.0</v>
      </c>
      <c r="B10390" s="3" t="s">
        <v>9943</v>
      </c>
      <c r="C10390" s="3" t="str">
        <f>IFERROR(__xludf.DUMMYFUNCTION("GOOGLETRANSLATE(B10390,""id"",""en"")"),"['quota', 'doang', 'expensive', 'signal', 'given', 'rain', 'slow', 'asuk']")</f>
        <v>['quota', 'doang', 'expensive', 'signal', 'given', 'rain', 'slow', 'asuk']</v>
      </c>
      <c r="D10390" s="3">
        <v>1.0</v>
      </c>
    </row>
    <row r="10391" ht="15.75" customHeight="1">
      <c r="A10391" s="1">
        <v>11076.0</v>
      </c>
      <c r="B10391" s="3" t="s">
        <v>9944</v>
      </c>
      <c r="C10391" s="3" t="str">
        <f>IFERROR(__xludf.DUMMYFUNCTION("GOOGLETRANSLATE(B10391,""id"",""en"")"),"['UNEK', 'UNEK', 'Network', 'Telkomsel', 'Slow', 'Asik', 'Scrol', 'Home', 'Suggested', 'Free', 'Data', 'Image', ' Home ',' White ',' Upload ',' YouTube ',' uploaded ',' Clock ',' Network ',' Snail ',' Overcome ',' Choosing ',' Card ',' Telkomsel ',' Move "&amp;"' , '']")</f>
        <v>['UNEK', 'UNEK', 'Network', 'Telkomsel', 'Slow', 'Asik', 'Scrol', 'Home', 'Suggested', 'Free', 'Data', 'Image', ' Home ',' White ',' Upload ',' YouTube ',' uploaded ',' Clock ',' Network ',' Snail ',' Overcome ',' Choosing ',' Card ',' Telkomsel ',' Move ' , '']</v>
      </c>
      <c r="D10391" s="3">
        <v>1.0</v>
      </c>
    </row>
    <row r="10392" ht="15.75" customHeight="1">
      <c r="A10392" s="1">
        <v>11077.0</v>
      </c>
      <c r="B10392" s="3" t="s">
        <v>9945</v>
      </c>
      <c r="C10392" s="3" t="str">
        <f>IFERROR(__xludf.DUMMYFUNCTION("GOOGLETRANSLATE(B10392,""id"",""en"")"),"['', 'Please', 'Nge', 'Leg', 'lag', 'Severe', 'right', 'play', 'Rank', 'signal', 'down', 'Mulu', 'Paketan ',' buy ',' gini ',' please ',' response ',' fast ',' conditionin ']")</f>
        <v>['', 'Please', 'Nge', 'Leg', 'lag', 'Severe', 'right', 'play', 'Rank', 'signal', 'down', 'Mulu', 'Paketan ',' buy ',' gini ',' please ',' response ',' fast ',' conditionin ']</v>
      </c>
      <c r="D10392" s="3">
        <v>2.0</v>
      </c>
    </row>
    <row r="10393" ht="15.75" customHeight="1">
      <c r="A10393" s="1">
        <v>11078.0</v>
      </c>
      <c r="B10393" s="3" t="s">
        <v>9946</v>
      </c>
      <c r="C10393" s="3" t="str">
        <f>IFERROR(__xludf.DUMMYFUNCTION("GOOGLETRANSLATE(B10393,""id"",""en"")"),"['Ngeblank', 'walking', 'the application', 'screen', 'white', 'fast', 'fix', '']")</f>
        <v>['Ngeblank', 'walking', 'the application', 'screen', 'white', 'fast', 'fix', '']</v>
      </c>
      <c r="D10393" s="3">
        <v>1.0</v>
      </c>
    </row>
    <row r="10394" ht="15.75" customHeight="1">
      <c r="A10394" s="1">
        <v>11079.0</v>
      </c>
      <c r="B10394" s="3" t="s">
        <v>9947</v>
      </c>
      <c r="C10394" s="3" t="str">
        <f>IFERROR(__xludf.DUMMYFUNCTION("GOOGLETRANSLATE(B10394,""id"",""en"")"),"['price', 'quota', 'expensive', 'network', 'slow', 'expensive', 'slow', 'according to', 'price', 'quota', ""]")</f>
        <v>['price', 'quota', 'expensive', 'network', 'slow', 'expensive', 'slow', 'according to', 'price', 'quota', "]</v>
      </c>
      <c r="D10394" s="3">
        <v>1.0</v>
      </c>
    </row>
    <row r="10395" ht="15.75" customHeight="1">
      <c r="A10395" s="1">
        <v>11080.0</v>
      </c>
      <c r="B10395" s="3" t="s">
        <v>9948</v>
      </c>
      <c r="C10395" s="3" t="str">
        <f>IFERROR(__xludf.DUMMYFUNCTION("GOOGLETRANSLATE(B10395,""id"",""en"")"),"['use', 'card', 'Telkomsel', 'Axis',' Telkomsel ',' fast ',' network ',' slow ',' the network ',' want ',' stop ',' use ',' Telkomsel ',' dear ',' number ',' internet ',' Sya ',' help ',' axis', 'already', 'report', 'telomsel', 'so', 'so', '']")</f>
        <v>['use', 'card', 'Telkomsel', 'Axis',' Telkomsel ',' fast ',' network ',' slow ',' the network ',' want ',' stop ',' use ',' Telkomsel ',' dear ',' number ',' internet ',' Sya ',' help ',' axis', 'already', 'report', 'telomsel', 'so', 'so', '']</v>
      </c>
      <c r="D10395" s="3">
        <v>1.0</v>
      </c>
    </row>
    <row r="10396" ht="15.75" customHeight="1">
      <c r="A10396" s="1">
        <v>11081.0</v>
      </c>
      <c r="B10396" s="3" t="s">
        <v>9949</v>
      </c>
      <c r="C10396" s="3" t="str">
        <f>IFERROR(__xludf.DUMMYFUNCTION("GOOGLETRANSLATE(B10396,""id"",""en"")"),"['expensive', 'doang', 'signal', 'slow', 'anjg']")</f>
        <v>['expensive', 'doang', 'signal', 'slow', 'anjg']</v>
      </c>
      <c r="D10396" s="3">
        <v>1.0</v>
      </c>
    </row>
    <row r="10397" ht="15.75" customHeight="1">
      <c r="A10397" s="1">
        <v>11082.0</v>
      </c>
      <c r="B10397" s="3" t="s">
        <v>9950</v>
      </c>
      <c r="C10397" s="3" t="str">
        <f>IFERROR(__xludf.DUMMYFUNCTION("GOOGLETRANSLATE(B10397,""id"",""en"")"),"['Unfortunately', 'Signal', 'Good']")</f>
        <v>['Unfortunately', 'Signal', 'Good']</v>
      </c>
      <c r="D10397" s="3">
        <v>5.0</v>
      </c>
    </row>
    <row r="10398" ht="15.75" customHeight="1">
      <c r="A10398" s="1">
        <v>11083.0</v>
      </c>
      <c r="B10398" s="3" t="s">
        <v>9951</v>
      </c>
      <c r="C10398" s="3" t="str">
        <f>IFERROR(__xludf.DUMMYFUNCTION("GOOGLETRANSLATE(B10398,""id"",""en"")"),"['Nemaid']")</f>
        <v>['Nemaid']</v>
      </c>
      <c r="D10398" s="3">
        <v>5.0</v>
      </c>
    </row>
    <row r="10399" ht="15.75" customHeight="1">
      <c r="A10399" s="1">
        <v>11084.0</v>
      </c>
      <c r="B10399" s="3" t="s">
        <v>9952</v>
      </c>
      <c r="C10399" s="3" t="str">
        <f>IFERROR(__xludf.DUMMYFUNCTION("GOOGLETRANSLATE(B10399,""id"",""en"")"),"['Kenpa', 'network', 'Telkomsl', 'bngt', 'error', 'rich', 'expensive', 'sires']")</f>
        <v>['Kenpa', 'network', 'Telkomsl', 'bngt', 'error', 'rich', 'expensive', 'sires']</v>
      </c>
      <c r="D10399" s="3">
        <v>2.0</v>
      </c>
    </row>
    <row r="10400" ht="15.75" customHeight="1">
      <c r="A10400" s="1">
        <v>11085.0</v>
      </c>
      <c r="B10400" s="3" t="s">
        <v>9953</v>
      </c>
      <c r="C10400" s="3" t="str">
        <f>IFERROR(__xludf.DUMMYFUNCTION("GOOGLETRANSLATE(B10400,""id"",""en"")"),"['service', 'emergency', 'debt', 'pulses']")</f>
        <v>['service', 'emergency', 'debt', 'pulses']</v>
      </c>
      <c r="D10400" s="3">
        <v>5.0</v>
      </c>
    </row>
    <row r="10401" ht="15.75" customHeight="1">
      <c r="A10401" s="1">
        <v>11086.0</v>
      </c>
      <c r="B10401" s="3" t="s">
        <v>9954</v>
      </c>
      <c r="C10401" s="3" t="str">
        <f>IFERROR(__xludf.DUMMYFUNCTION("GOOGLETRANSLATE(B10401,""id"",""en"")"),"['Please', 'KNPA', 'Network', 'Telkomsel', 'Severe', 'Sktran', 'Clock', 'Clock', 'SGTU', 'Region', 'Jakarta', 'West', ' KNPA ',' signal ',' get ',' signal ',' strange ',' SKLI ',' Telkomsel ',' network ',' speeding ',' Indonesia ',' TPI ',' hope ',' spiri"&amp;"t ' , 'Problems', 'signal', 'finish', '']")</f>
        <v>['Please', 'KNPA', 'Network', 'Telkomsel', 'Severe', 'Sktran', 'Clock', 'Clock', 'SGTU', 'Region', 'Jakarta', 'West', ' KNPA ',' signal ',' get ',' signal ',' strange ',' SKLI ',' Telkomsel ',' network ',' speeding ',' Indonesia ',' TPI ',' hope ',' spirit ' , 'Problems', 'signal', 'finish', '']</v>
      </c>
      <c r="D10401" s="3">
        <v>1.0</v>
      </c>
    </row>
    <row r="10402" ht="15.75" customHeight="1">
      <c r="A10402" s="1">
        <v>11087.0</v>
      </c>
      <c r="B10402" s="3" t="s">
        <v>9955</v>
      </c>
      <c r="C10402" s="3" t="str">
        <f>IFERROR(__xludf.DUMMYFUNCTION("GOOGLETRANSLATE(B10402,""id"",""en"")"),"['easy', 'use', 'Telkomsel', '']")</f>
        <v>['easy', 'use', 'Telkomsel', '']</v>
      </c>
      <c r="D10402" s="3">
        <v>5.0</v>
      </c>
    </row>
    <row r="10403" ht="15.75" customHeight="1">
      <c r="A10403" s="1">
        <v>11088.0</v>
      </c>
      <c r="B10403" s="3" t="s">
        <v>9956</v>
      </c>
      <c r="C10403" s="3" t="str">
        <f>IFERROR(__xludf.DUMMYFUNCTION("GOOGLETRANSLATE(B10403,""id"",""en"")"),"['Network', 'Telkomsel', 'already', 'slow', ""]")</f>
        <v>['Network', 'Telkomsel', 'already', 'slow', "]</v>
      </c>
      <c r="D10403" s="3">
        <v>1.0</v>
      </c>
    </row>
    <row r="10404" ht="15.75" customHeight="1">
      <c r="A10404" s="1">
        <v>11089.0</v>
      </c>
      <c r="B10404" s="3" t="s">
        <v>9957</v>
      </c>
      <c r="C10404" s="3" t="str">
        <f>IFERROR(__xludf.DUMMYFUNCTION("GOOGLETRANSLATE(B10404,""id"",""en"")"),"['person', 'quota', 'Telkomsel', 'GB', 'RB', 'already', 'make', 'card', '']")</f>
        <v>['person', 'quota', 'Telkomsel', 'GB', 'RB', 'already', 'make', 'card', '']</v>
      </c>
      <c r="D10404" s="3">
        <v>1.0</v>
      </c>
    </row>
    <row r="10405" ht="15.75" customHeight="1">
      <c r="A10405" s="1">
        <v>11090.0</v>
      </c>
      <c r="B10405" s="3" t="s">
        <v>9958</v>
      </c>
      <c r="C10405" s="3" t="str">
        <f>IFERROR(__xludf.DUMMYFUNCTION("GOOGLETRANSLATE(B10405,""id"",""en"")"),"['KNPA', 'Application', 'Telkomsel', 'enter', 'Nge', 'Stuck', 'color', 'white', 'already', 'Cobain', 'data', 'cellular', ' WiFi ',' Entered ',' Please ',' Help ',' Enter ',' ']")</f>
        <v>['KNPA', 'Application', 'Telkomsel', 'enter', 'Nge', 'Stuck', 'color', 'white', 'already', 'Cobain', 'data', 'cellular', ' WiFi ',' Entered ',' Please ',' Help ',' Enter ',' ']</v>
      </c>
      <c r="D10405" s="3">
        <v>5.0</v>
      </c>
    </row>
    <row r="10406" ht="15.75" customHeight="1">
      <c r="A10406" s="1">
        <v>11091.0</v>
      </c>
      <c r="B10406" s="3" t="s">
        <v>9959</v>
      </c>
      <c r="C10406" s="3" t="str">
        <f>IFERROR(__xludf.DUMMYFUNCTION("GOOGLETRANSLATE(B10406,""id"",""en"")"),"['Ngak', 'Open', 'APK', '']")</f>
        <v>['Ngak', 'Open', 'APK', '']</v>
      </c>
      <c r="D10406" s="3">
        <v>1.0</v>
      </c>
    </row>
    <row r="10407" ht="15.75" customHeight="1">
      <c r="A10407" s="1">
        <v>11092.0</v>
      </c>
      <c r="B10407" s="3" t="s">
        <v>3287</v>
      </c>
      <c r="C10407" s="3" t="str">
        <f>IFERROR(__xludf.DUMMYFUNCTION("GOOGLETRANSLATE(B10407,""id"",""en"")"),"['', 'open', '']")</f>
        <v>['', 'open', '']</v>
      </c>
      <c r="D10407" s="3">
        <v>1.0</v>
      </c>
    </row>
    <row r="10408" ht="15.75" customHeight="1">
      <c r="A10408" s="1">
        <v>11093.0</v>
      </c>
      <c r="B10408" s="3" t="s">
        <v>9960</v>
      </c>
      <c r="C10408" s="3" t="str">
        <f>IFERROR(__xludf.DUMMYFUNCTION("GOOGLETRANSLATE(B10408,""id"",""en"")"),"['application', 'access', 'already', 'award', 'blank', 'white', 'already', 'many', 'times', 'install', 'ttp']")</f>
        <v>['application', 'access', 'already', 'award', 'blank', 'white', 'already', 'many', 'times', 'install', 'ttp']</v>
      </c>
      <c r="D10408" s="3">
        <v>1.0</v>
      </c>
    </row>
    <row r="10409" ht="15.75" customHeight="1">
      <c r="A10409" s="1">
        <v>11094.0</v>
      </c>
      <c r="B10409" s="3" t="s">
        <v>9961</v>
      </c>
      <c r="C10409" s="3" t="str">
        <f>IFERROR(__xludf.DUMMYFUNCTION("GOOGLETRANSLATE(B10409,""id"",""en"")"),"['Choice', 'promo', 'quota', 'internet']")</f>
        <v>['Choice', 'promo', 'quota', 'internet']</v>
      </c>
      <c r="D10409" s="3">
        <v>5.0</v>
      </c>
    </row>
    <row r="10410" ht="15.75" customHeight="1">
      <c r="A10410" s="1">
        <v>11095.0</v>
      </c>
      <c r="B10410" s="3" t="s">
        <v>9962</v>
      </c>
      <c r="C10410" s="3" t="str">
        <f>IFERROR(__xludf.DUMMYFUNCTION("GOOGLETRANSLATE(B10410,""id"",""en"")"),"['signal', 'Telkomsel', 'card', 'Hello', 'ugly', 'disappointing', 'pay', 'quota', 'expensive', 'comparable']")</f>
        <v>['signal', 'Telkomsel', 'card', 'Hello', 'ugly', 'disappointing', 'pay', 'quota', 'expensive', 'comparable']</v>
      </c>
      <c r="D10410" s="3">
        <v>1.0</v>
      </c>
    </row>
    <row r="10411" ht="15.75" customHeight="1">
      <c r="A10411" s="1">
        <v>11096.0</v>
      </c>
      <c r="B10411" s="3" t="s">
        <v>9963</v>
      </c>
      <c r="C10411" s="3" t="str">
        <f>IFERROR(__xludf.DUMMYFUNCTION("GOOGLETRANSLATE(B10411,""id"",""en"")"),"['skrg', 'signal', 'Telkomsel', 'slow', 'subscription', 'family']")</f>
        <v>['skrg', 'signal', 'Telkomsel', 'slow', 'subscription', 'family']</v>
      </c>
      <c r="D10411" s="3">
        <v>3.0</v>
      </c>
    </row>
    <row r="10412" ht="15.75" customHeight="1">
      <c r="A10412" s="1">
        <v>11097.0</v>
      </c>
      <c r="B10412" s="3" t="s">
        <v>9964</v>
      </c>
      <c r="C10412" s="3" t="str">
        <f>IFERROR(__xludf.DUMMYFUNCTION("GOOGLETRANSLATE(B10412,""id"",""en"")"),"['Disappointed', 'opened', 'Samsung', 'Galaxy', 'Please', 'repaired', 'Donk']")</f>
        <v>['Disappointed', 'opened', 'Samsung', 'Galaxy', 'Please', 'repaired', 'Donk']</v>
      </c>
      <c r="D10412" s="3">
        <v>1.0</v>
      </c>
    </row>
    <row r="10413" ht="15.75" customHeight="1">
      <c r="A10413" s="1">
        <v>11098.0</v>
      </c>
      <c r="B10413" s="3" t="s">
        <v>9965</v>
      </c>
      <c r="C10413" s="3" t="str">
        <f>IFERROR(__xludf.DUMMYFUNCTION("GOOGLETRANSLATE(B10413,""id"",""en"")"),"['mantul', 'help', 'easy', 'promo', 'increase', 'network', 'active', 'package', 'according to', 'recommanded', 'Telkomsel']")</f>
        <v>['mantul', 'help', 'easy', 'promo', 'increase', 'network', 'active', 'package', 'according to', 'recommanded', 'Telkomsel']</v>
      </c>
      <c r="D10413" s="3">
        <v>5.0</v>
      </c>
    </row>
    <row r="10414" ht="15.75" customHeight="1">
      <c r="A10414" s="1">
        <v>11100.0</v>
      </c>
      <c r="B10414" s="3" t="s">
        <v>9966</v>
      </c>
      <c r="C10414" s="3" t="str">
        <f>IFERROR(__xludf.DUMMYFUNCTION("GOOGLETRANSLATE(B10414,""id"",""en"")"),"['Easy', 'really', 'checked', 'quota', '']")</f>
        <v>['Easy', 'really', 'checked', 'quota', '']</v>
      </c>
      <c r="D10414" s="3">
        <v>5.0</v>
      </c>
    </row>
    <row r="10415" ht="15.75" customHeight="1">
      <c r="A10415" s="1">
        <v>11101.0</v>
      </c>
      <c r="B10415" s="3" t="s">
        <v>3801</v>
      </c>
      <c r="C10415" s="3" t="str">
        <f>IFERROR(__xludf.DUMMYFUNCTION("GOOGLETRANSLATE(B10415,""id"",""en"")"),"['Convenience', 'transact']")</f>
        <v>['Convenience', 'transact']</v>
      </c>
      <c r="D10415" s="3">
        <v>5.0</v>
      </c>
    </row>
    <row r="10416" ht="15.75" customHeight="1">
      <c r="A10416" s="1">
        <v>11102.0</v>
      </c>
      <c r="B10416" s="3" t="s">
        <v>9967</v>
      </c>
      <c r="C10416" s="3" t="str">
        <f>IFERROR(__xludf.DUMMYFUNCTION("GOOGLETRANSLATE(B10416,""id"",""en"")"),"['Save', 'buy', 'package', 'data']")</f>
        <v>['Save', 'buy', 'package', 'data']</v>
      </c>
      <c r="D10416" s="3">
        <v>5.0</v>
      </c>
    </row>
    <row r="10417" ht="15.75" customHeight="1">
      <c r="A10417" s="1">
        <v>11104.0</v>
      </c>
      <c r="B10417" s="3" t="s">
        <v>9968</v>
      </c>
      <c r="C10417" s="3" t="str">
        <f>IFERROR(__xludf.DUMMYFUNCTION("GOOGLETRANSLATE(B10417,""id"",""en"")"),"['knapa', 'sya', 'entry', 'page']")</f>
        <v>['knapa', 'sya', 'entry', 'page']</v>
      </c>
      <c r="D10417" s="3">
        <v>4.0</v>
      </c>
    </row>
    <row r="10418" ht="15.75" customHeight="1">
      <c r="A10418" s="1">
        <v>11105.0</v>
      </c>
      <c r="B10418" s="3" t="s">
        <v>9969</v>
      </c>
      <c r="C10418" s="3" t="str">
        <f>IFERROR(__xludf.DUMMYFUNCTION("GOOGLETRANSLATE(B10418,""id"",""en"")"),"['applicationx', 'good', 'hope', 'promanta']")</f>
        <v>['applicationx', 'good', 'hope', 'promanta']</v>
      </c>
      <c r="D10418" s="3">
        <v>4.0</v>
      </c>
    </row>
    <row r="10419" ht="15.75" customHeight="1">
      <c r="A10419" s="1">
        <v>11106.0</v>
      </c>
      <c r="B10419" s="3" t="s">
        <v>471</v>
      </c>
      <c r="C10419" s="3" t="str">
        <f>IFERROR(__xludf.DUMMYFUNCTION("GOOGLETRANSLATE(B10419,""id"",""en"")"),"['']")</f>
        <v>['']</v>
      </c>
      <c r="D10419" s="3">
        <v>4.0</v>
      </c>
    </row>
    <row r="10420" ht="15.75" customHeight="1">
      <c r="A10420" s="1">
        <v>11107.0</v>
      </c>
      <c r="B10420" s="3" t="s">
        <v>9970</v>
      </c>
      <c r="C10420" s="3" t="str">
        <f>IFERROR(__xludf.DUMMYFUNCTION("GOOGLETRANSLATE(B10420,""id"",""en"")"),"['', 'Sorry', 'Disruption', 'System', 'Check', 'Connection', 'Repeat', 'Transaction', 'Minutes',' Transaction ',' Buy ',' Package ',' Kouta ',' Litu ',' response ',' pulse ',' already ',' exceed ',' pulses', 'what', '']")</f>
        <v>['', 'Sorry', 'Disruption', 'System', 'Check', 'Connection', 'Repeat', 'Transaction', 'Minutes',' Transaction ',' Buy ',' Package ',' Kouta ',' Litu ',' response ',' pulse ',' already ',' exceed ',' pulses', 'what', '']</v>
      </c>
      <c r="D10420" s="3">
        <v>2.0</v>
      </c>
    </row>
    <row r="10421" ht="15.75" customHeight="1">
      <c r="A10421" s="1">
        <v>11108.0</v>
      </c>
      <c r="B10421" s="3" t="s">
        <v>9971</v>
      </c>
      <c r="C10421" s="3" t="str">
        <f>IFERROR(__xludf.DUMMYFUNCTION("GOOGLETRANSLATE(B10421,""id"",""en"")"),"['', 'open', 'buy', 'City', 'severe', 'service', 'expensive', 'yes', 'number', '']")</f>
        <v>['', 'open', 'buy', 'City', 'severe', 'service', 'expensive', 'yes', 'number', '']</v>
      </c>
      <c r="D10421" s="3">
        <v>1.0</v>
      </c>
    </row>
    <row r="10422" ht="15.75" customHeight="1">
      <c r="A10422" s="1">
        <v>11109.0</v>
      </c>
      <c r="B10422" s="3" t="s">
        <v>9413</v>
      </c>
      <c r="C10422" s="3" t="str">
        <f>IFERROR(__xludf.DUMMYFUNCTION("GOOGLETRANSLATE(B10422,""id"",""en"")"),"['Application', 'Open']")</f>
        <v>['Application', 'Open']</v>
      </c>
      <c r="D10422" s="3">
        <v>2.0</v>
      </c>
    </row>
    <row r="10423" ht="15.75" customHeight="1">
      <c r="A10423" s="1">
        <v>11110.0</v>
      </c>
      <c r="B10423" s="3" t="s">
        <v>9972</v>
      </c>
      <c r="C10423" s="3" t="str">
        <f>IFERROR(__xludf.DUMMYFUNCTION("GOOGLETRANSLATE(B10423,""id"",""en"")"),"['The network', 'slow', 'already', 'use', 'Telkomsel']")</f>
        <v>['The network', 'slow', 'already', 'use', 'Telkomsel']</v>
      </c>
      <c r="D10423" s="3">
        <v>1.0</v>
      </c>
    </row>
    <row r="10424" ht="15.75" customHeight="1">
      <c r="A10424" s="1">
        <v>11111.0</v>
      </c>
      <c r="B10424" s="3" t="s">
        <v>9973</v>
      </c>
      <c r="C10424" s="3" t="str">
        <f>IFERROR(__xludf.DUMMYFUNCTION("GOOGLETRANSLATE(B10424,""id"",""en"")"),"['Opened', 'The application', '']")</f>
        <v>['Opened', 'The application', '']</v>
      </c>
      <c r="D10424" s="3">
        <v>1.0</v>
      </c>
    </row>
    <row r="10425" ht="15.75" customHeight="1">
      <c r="A10425" s="1">
        <v>11112.0</v>
      </c>
      <c r="B10425" s="3" t="s">
        <v>9974</v>
      </c>
      <c r="C10425" s="3" t="str">
        <f>IFERROR(__xludf.DUMMYFUNCTION("GOOGLETRANSLATE(B10425,""id"",""en"")"),"['Buy', 'Package', 'Onternet']")</f>
        <v>['Buy', 'Package', 'Onternet']</v>
      </c>
      <c r="D10425" s="3">
        <v>5.0</v>
      </c>
    </row>
    <row r="10426" ht="15.75" customHeight="1">
      <c r="A10426" s="1">
        <v>11113.0</v>
      </c>
      <c r="B10426" s="3" t="s">
        <v>9975</v>
      </c>
      <c r="C10426" s="3" t="str">
        <f>IFERROR(__xludf.DUMMYFUNCTION("GOOGLETRANSLATE(B10426,""id"",""en"")"),"['Telkomsel', 'slow', 'really', 'use', 'unlimited', 'smooth', 'really', 'aqu', 'already', 'Telkomsel', 'times',' disappointed ',' really ',' send ',' mail ',' cook ',' usually ',' doang ',' smooth ',' plis', 'fix', 'kayak', 'version', 'latest', 'slow' ]")</f>
        <v>['Telkomsel', 'slow', 'really', 'use', 'unlimited', 'smooth', 'really', 'aqu', 'already', 'Telkomsel', 'times',' disappointed ',' really ',' send ',' mail ',' cook ',' usually ',' doang ',' smooth ',' plis', 'fix', 'kayak', 'version', 'latest', 'slow' ]</v>
      </c>
      <c r="D10426" s="3">
        <v>2.0</v>
      </c>
    </row>
    <row r="10427" ht="15.75" customHeight="1">
      <c r="A10427" s="1">
        <v>11115.0</v>
      </c>
      <c r="B10427" s="3" t="s">
        <v>9976</v>
      </c>
      <c r="C10427" s="3" t="str">
        <f>IFERROR(__xludf.DUMMYFUNCTION("GOOGLETRANSLATE(B10427,""id"",""en"")"),"['ngeleg', 'stupid', 'push', 'error', 'anjg', 'emang', 'card', 'dajjal']")</f>
        <v>['ngeleg', 'stupid', 'push', 'error', 'anjg', 'emang', 'card', 'dajjal']</v>
      </c>
      <c r="D10427" s="3">
        <v>1.0</v>
      </c>
    </row>
    <row r="10428" ht="15.75" customHeight="1">
      <c r="A10428" s="1">
        <v>11116.0</v>
      </c>
      <c r="B10428" s="3" t="s">
        <v>9977</v>
      </c>
      <c r="C10428" s="3" t="str">
        <f>IFERROR(__xludf.DUMMYFUNCTION("GOOGLETRANSLATE(B10428,""id"",""en"")"),"['Good', 'mantep']")</f>
        <v>['Good', 'mantep']</v>
      </c>
      <c r="D10428" s="3">
        <v>5.0</v>
      </c>
    </row>
    <row r="10429" ht="15.75" customHeight="1">
      <c r="A10429" s="1">
        <v>11117.0</v>
      </c>
      <c r="B10429" s="3" t="s">
        <v>9978</v>
      </c>
      <c r="C10429" s="3" t="str">
        <f>IFERROR(__xludf.DUMMYFUNCTION("GOOGLETRANSLATE(B10429,""id"",""en"")"),"['Network', 'Telkomsel', 'Threat', 'Banget', 'City', 'Sukabumi', 'Cisaat']")</f>
        <v>['Network', 'Telkomsel', 'Threat', 'Banget', 'City', 'Sukabumi', 'Cisaat']</v>
      </c>
      <c r="D10429" s="3">
        <v>1.0</v>
      </c>
    </row>
    <row r="10430" ht="15.75" customHeight="1">
      <c r="A10430" s="1">
        <v>11118.0</v>
      </c>
      <c r="B10430" s="3" t="s">
        <v>9979</v>
      </c>
      <c r="C10430" s="3" t="str">
        <f>IFERROR(__xludf.DUMMYFUNCTION("GOOGLETRANSLATE(B10430,""id"",""en"")"),"['Telkomsel', 'signal', 'threat', 'play', 'game', 'already', 'consistent', 'kayak', 'profeder', 'good', 'signal', 'internet']")</f>
        <v>['Telkomsel', 'signal', 'threat', 'play', 'game', 'already', 'consistent', 'kayak', 'profeder', 'good', 'signal', 'internet']</v>
      </c>
      <c r="D10430" s="3">
        <v>1.0</v>
      </c>
    </row>
    <row r="10431" ht="15.75" customHeight="1">
      <c r="A10431" s="1">
        <v>11119.0</v>
      </c>
      <c r="B10431" s="3" t="s">
        <v>9980</v>
      </c>
      <c r="C10431" s="3" t="str">
        <f>IFERROR(__xludf.DUMMYFUNCTION("GOOGLETRANSLATE(B10431,""id"",""en"")"),"['slow', 'times', 'bah', '']")</f>
        <v>['slow', 'times', 'bah', '']</v>
      </c>
      <c r="D10431" s="3">
        <v>1.0</v>
      </c>
    </row>
    <row r="10432" ht="15.75" customHeight="1">
      <c r="A10432" s="1">
        <v>11120.0</v>
      </c>
      <c r="B10432" s="3" t="s">
        <v>9981</v>
      </c>
      <c r="C10432" s="3" t="str">
        <f>IFERROR(__xludf.DUMMYFUNCTION("GOOGLETRANSLATE(B10432,""id"",""en"")"),"['Application', 'Heavy', 'Samsung', 'RAM', 'GB', 'Kebuka', 'Screen', 'White', 'Doang', ""]")</f>
        <v>['Application', 'Heavy', 'Samsung', 'RAM', 'GB', 'Kebuka', 'Screen', 'White', 'Doang', "]</v>
      </c>
      <c r="D10432" s="3">
        <v>1.0</v>
      </c>
    </row>
    <row r="10433" ht="15.75" customHeight="1">
      <c r="A10433" s="1">
        <v>11121.0</v>
      </c>
      <c r="B10433" s="3" t="s">
        <v>9982</v>
      </c>
      <c r="C10433" s="3" t="str">
        <f>IFERROR(__xludf.DUMMYFUNCTION("GOOGLETRANSLATE(B10433,""id"",""en"")"),"['difficult', 'redeem', 'point', 'direct', 'cellphone', 'overheat', 'thank', 'love', 'his attention', '']")</f>
        <v>['difficult', 'redeem', 'point', 'direct', 'cellphone', 'overheat', 'thank', 'love', 'his attention', '']</v>
      </c>
      <c r="D10433" s="3">
        <v>4.0</v>
      </c>
    </row>
    <row r="10434" ht="15.75" customHeight="1">
      <c r="A10434" s="1">
        <v>11122.0</v>
      </c>
      <c r="B10434" s="3" t="s">
        <v>9983</v>
      </c>
      <c r="C10434" s="3" t="str">
        <f>IFERROR(__xludf.DUMMYFUNCTION("GOOGLETRANSLATE(B10434,""id"",""en"")"),"['seberna', 'network', 'padahl', 'quota', 'bnyak', 'slow', 'really', 'padahl', 'smooth', 'yeah', 'annoyed', 'What's',' wrong ',' please ',' work ',' hampered ',' already ',' normal ',' network ',' love ',' star ',' love ']")</f>
        <v>['seberna', 'network', 'padahl', 'quota', 'bnyak', 'slow', 'really', 'padahl', 'smooth', 'yeah', 'annoyed', 'What's',' wrong ',' please ',' work ',' hampered ',' already ',' normal ',' network ',' love ',' star ',' love ']</v>
      </c>
      <c r="D10434" s="3">
        <v>3.0</v>
      </c>
    </row>
    <row r="10435" ht="15.75" customHeight="1">
      <c r="A10435" s="1">
        <v>11123.0</v>
      </c>
      <c r="B10435" s="3" t="s">
        <v>9984</v>
      </c>
      <c r="C10435" s="3" t="str">
        <f>IFERROR(__xludf.DUMMYFUNCTION("GOOGLETRANSLATE(B10435,""id"",""en"")"),"['Gini', 'min', 'application', 'tidk', 'open', 'please', 'obviously', 'knp', 'min', '']")</f>
        <v>['Gini', 'min', 'application', 'tidk', 'open', 'please', 'obviously', 'knp', 'min', '']</v>
      </c>
      <c r="D10435" s="3">
        <v>1.0</v>
      </c>
    </row>
    <row r="10436" ht="15.75" customHeight="1">
      <c r="A10436" s="1">
        <v>11124.0</v>
      </c>
      <c r="B10436" s="3" t="s">
        <v>9985</v>
      </c>
      <c r="C10436" s="3" t="str">
        <f>IFERROR(__xludf.DUMMYFUNCTION("GOOGLETRANSLATE(B10436,""id"",""en"")"),"['', 'BSA', 'opened', 'can', 'update', 'bsa']")</f>
        <v>['', 'BSA', 'opened', 'can', 'update', 'bsa']</v>
      </c>
      <c r="D10436" s="3">
        <v>1.0</v>
      </c>
    </row>
    <row r="10437" ht="15.75" customHeight="1">
      <c r="A10437" s="1">
        <v>11125.0</v>
      </c>
      <c r="B10437" s="3" t="s">
        <v>9986</v>
      </c>
      <c r="C10437" s="3" t="str">
        <f>IFERROR(__xludf.DUMMYFUNCTION("GOOGLETRANSLATE(B10437,""id"",""en"")"),"['Card', 'expensive', 'don't', 'difficult', 'open', 'Tight', 'ugly', 'don't work', 'beg', 'repaired', 'good', 'love', ' star', '']")</f>
        <v>['Card', 'expensive', 'don't', 'difficult', 'open', 'Tight', 'ugly', 'don't work', 'beg', 'repaired', 'good', 'love', ' star', '']</v>
      </c>
      <c r="D10437" s="3">
        <v>1.0</v>
      </c>
    </row>
    <row r="10438" ht="15.75" customHeight="1">
      <c r="A10438" s="1">
        <v>11126.0</v>
      </c>
      <c r="B10438" s="3" t="s">
        <v>9987</v>
      </c>
      <c r="C10438" s="3" t="str">
        <f>IFERROR(__xludf.DUMMYFUNCTION("GOOGLETRANSLATE(B10438,""id"",""en"")"),"['Bagus', 'skali']")</f>
        <v>['Bagus', 'skali']</v>
      </c>
      <c r="D10438" s="3">
        <v>5.0</v>
      </c>
    </row>
    <row r="10439" ht="15.75" customHeight="1">
      <c r="A10439" s="1">
        <v>11127.0</v>
      </c>
      <c r="B10439" s="3" t="s">
        <v>9988</v>
      </c>
      <c r="C10439" s="3" t="str">
        <f>IFERROR(__xludf.DUMMYFUNCTION("GOOGLETRANSLATE(B10439,""id"",""en"")"),"['Hadeeuuhhh', 'application', 'knpaa', 'jdii', 'rich', 'ginii', 'udhh', 'brpa', 'hari', 'entry', 'application', 'Telkomsel', ' SLLU ',' appears', 'screen', 'white', 'please', 'fast', 'repair']")</f>
        <v>['Hadeeuuhhh', 'application', 'knpaa', 'jdii', 'rich', 'ginii', 'udhh', 'brpa', 'hari', 'entry', 'application', 'Telkomsel', ' SLLU ',' appears', 'screen', 'white', 'please', 'fast', 'repair']</v>
      </c>
      <c r="D10439" s="3">
        <v>3.0</v>
      </c>
    </row>
    <row r="10440" ht="15.75" customHeight="1">
      <c r="A10440" s="1">
        <v>11128.0</v>
      </c>
      <c r="B10440" s="3" t="s">
        <v>9989</v>
      </c>
      <c r="C10440" s="3" t="str">
        <f>IFERROR(__xludf.DUMMYFUNCTION("GOOGLETRANSLATE(B10440,""id"",""en"")"),"['Network', 'internet', 'used', 'quota', 'then', 'quota', 'emergency', 'Nisa', 'loss', 'Deeeh', 'Hufff', 'Telkomsel']")</f>
        <v>['Network', 'internet', 'used', 'quota', 'then', 'quota', 'emergency', 'Nisa', 'loss', 'Deeeh', 'Hufff', 'Telkomsel']</v>
      </c>
      <c r="D10440" s="3">
        <v>1.0</v>
      </c>
    </row>
    <row r="10441" ht="15.75" customHeight="1">
      <c r="A10441" s="1">
        <v>11129.0</v>
      </c>
      <c r="B10441" s="3" t="s">
        <v>9990</v>
      </c>
      <c r="C10441" s="3" t="str">
        <f>IFERROR(__xludf.DUMMYFUNCTION("GOOGLETRANSLATE(B10441,""id"",""en"")"),"['Good', 'Feature', 'Lock', 'pulse', 'keuang', 'vain', 'vain']")</f>
        <v>['Good', 'Feature', 'Lock', 'pulse', 'keuang', 'vain', 'vain']</v>
      </c>
      <c r="D10441" s="3">
        <v>3.0</v>
      </c>
    </row>
    <row r="10442" ht="15.75" customHeight="1">
      <c r="A10442" s="1">
        <v>11130.0</v>
      </c>
      <c r="B10442" s="3" t="s">
        <v>9991</v>
      </c>
      <c r="C10442" s="3" t="str">
        <f>IFERROR(__xludf.DUMMYFUNCTION("GOOGLETRANSLATE(B10442,""id"",""en"")"),"['application', 'Telkomsel', 'operation', 'open', 'screen', 'white', 'SJA', 'appears', 'check', 'quota', 'difficult', '']")</f>
        <v>['application', 'Telkomsel', 'operation', 'open', 'screen', 'white', 'SJA', 'appears', 'check', 'quota', 'difficult', '']</v>
      </c>
      <c r="D10442" s="3">
        <v>2.0</v>
      </c>
    </row>
    <row r="10443" ht="15.75" customHeight="1">
      <c r="A10443" s="1">
        <v>11131.0</v>
      </c>
      <c r="B10443" s="3" t="s">
        <v>9992</v>
      </c>
      <c r="C10443" s="3" t="str">
        <f>IFERROR(__xludf.DUMMYFUNCTION("GOOGLETRANSLATE(B10443,""id"",""en"")"),"['network', 'Telkomsel', 'slow', 'severe', 'expensive', 'buy', 'package', 'network', 'kayak', 'that's', 'severe']")</f>
        <v>['network', 'Telkomsel', 'slow', 'severe', 'expensive', 'buy', 'package', 'network', 'kayak', 'that's', 'severe']</v>
      </c>
      <c r="D10443" s="3">
        <v>1.0</v>
      </c>
    </row>
    <row r="10444" ht="15.75" customHeight="1">
      <c r="A10444" s="1">
        <v>11132.0</v>
      </c>
      <c r="B10444" s="3" t="s">
        <v>9993</v>
      </c>
      <c r="C10444" s="3" t="str">
        <f>IFERROR(__xludf.DUMMYFUNCTION("GOOGLETRANSLATE(B10444,""id"",""en"")"),"['signal', 'internet', 'good', 'tutun', 'fast', 'hot', 'please', 'fix']")</f>
        <v>['signal', 'internet', 'good', 'tutun', 'fast', 'hot', 'please', 'fix']</v>
      </c>
      <c r="D10444" s="3">
        <v>4.0</v>
      </c>
    </row>
    <row r="10445" ht="15.75" customHeight="1">
      <c r="A10445" s="1">
        <v>11133.0</v>
      </c>
      <c r="B10445" s="3" t="s">
        <v>5741</v>
      </c>
      <c r="C10445" s="3" t="str">
        <f>IFERROR(__xludf.DUMMYFUNCTION("GOOGLETRANSLATE(B10445,""id"",""en"")"),"['Open', 'Application', 'Telkomsel']")</f>
        <v>['Open', 'Application', 'Telkomsel']</v>
      </c>
      <c r="D10445" s="3">
        <v>5.0</v>
      </c>
    </row>
    <row r="10446" ht="15.75" customHeight="1">
      <c r="A10446" s="1">
        <v>11134.0</v>
      </c>
      <c r="B10446" s="3" t="s">
        <v>9994</v>
      </c>
      <c r="C10446" s="3" t="str">
        <f>IFERROR(__xludf.DUMMYFUNCTION("GOOGLETRANSLATE(B10446,""id"",""en"")"),"['like', 'disorder', 'system', 'use', 'list', 'package']")</f>
        <v>['like', 'disorder', 'system', 'use', 'list', 'package']</v>
      </c>
      <c r="D10446" s="3">
        <v>2.0</v>
      </c>
    </row>
    <row r="10447" ht="15.75" customHeight="1">
      <c r="A10447" s="1">
        <v>11135.0</v>
      </c>
      <c r="B10447" s="3" t="s">
        <v>9995</v>
      </c>
      <c r="C10447" s="3" t="str">
        <f>IFERROR(__xludf.DUMMYFUNCTION("GOOGLETRANSLATE(B10447,""id"",""en"")"),"['signal', 'good', 'like', 'ilang', 'ilang', 'signal', 'please', 'fix', 'as soon as possible,' min ']")</f>
        <v>['signal', 'good', 'like', 'ilang', 'ilang', 'signal', 'please', 'fix', 'as soon as possible,' min ']</v>
      </c>
      <c r="D10447" s="3">
        <v>1.0</v>
      </c>
    </row>
    <row r="10448" ht="15.75" customHeight="1">
      <c r="A10448" s="1">
        <v>11136.0</v>
      </c>
      <c r="B10448" s="3" t="s">
        <v>9996</v>
      </c>
      <c r="C10448" s="3" t="str">
        <f>IFERROR(__xludf.DUMMYFUNCTION("GOOGLETRANSLATE(B10448,""id"",""en"")"),"['speed', 'mantaf', '']")</f>
        <v>['speed', 'mantaf', '']</v>
      </c>
      <c r="D10448" s="3">
        <v>5.0</v>
      </c>
    </row>
    <row r="10449" ht="15.75" customHeight="1">
      <c r="A10449" s="1">
        <v>11137.0</v>
      </c>
      <c r="B10449" s="3" t="s">
        <v>9997</v>
      </c>
      <c r="C10449" s="3" t="str">
        <f>IFERROR(__xludf.DUMMYFUNCTION("GOOGLETRANSLATE(B10449,""id"",""en"")"),"['Application', 'Open', 'Download', 'brp', 'Try', 'Uninstall', 'Download', 'Open']")</f>
        <v>['Application', 'Open', 'Download', 'brp', 'Try', 'Uninstall', 'Download', 'Open']</v>
      </c>
      <c r="D10449" s="3">
        <v>1.0</v>
      </c>
    </row>
    <row r="10450" ht="15.75" customHeight="1">
      <c r="A10450" s="1">
        <v>11138.0</v>
      </c>
      <c r="B10450" s="3" t="s">
        <v>9998</v>
      </c>
      <c r="C10450" s="3" t="str">
        <f>IFERROR(__xludf.DUMMYFUNCTION("GOOGLETRANSLATE(B10450,""id"",""en"")"),"['unclean', 'expensive', 'really', 'cuihhhhh', 'monopoly', 'base', 'devil']")</f>
        <v>['unclean', 'expensive', 'really', 'cuihhhhh', 'monopoly', 'base', 'devil']</v>
      </c>
      <c r="D10450" s="3">
        <v>1.0</v>
      </c>
    </row>
    <row r="10451" ht="15.75" customHeight="1">
      <c r="A10451" s="1">
        <v>11139.0</v>
      </c>
      <c r="B10451" s="3" t="s">
        <v>9999</v>
      </c>
      <c r="C10451" s="3" t="str">
        <f>IFERROR(__xludf.DUMMYFUNCTION("GOOGLETRANSLATE(B10451,""id"",""en"")"),"['Min', 'Date', 'Yesterday', 'Application', 'Luka', 'Open', 'Make', 'Quota', 'Internet', 'Please', 'Fast', 'Benerin', ' Application ',' Nyaa ',' so ',' thank ',' love ',' heuhh ',' disappointed ', ""]")</f>
        <v>['Min', 'Date', 'Yesterday', 'Application', 'Luka', 'Open', 'Make', 'Quota', 'Internet', 'Please', 'Fast', 'Benerin', ' Application ',' Nyaa ',' so ',' thank ',' love ',' heuhh ',' disappointed ', "]</v>
      </c>
      <c r="D10451" s="3">
        <v>1.0</v>
      </c>
    </row>
    <row r="10452" ht="15.75" customHeight="1">
      <c r="A10452" s="1">
        <v>11140.0</v>
      </c>
      <c r="B10452" s="3" t="s">
        <v>10000</v>
      </c>
      <c r="C10452" s="3" t="str">
        <f>IFERROR(__xludf.DUMMYFUNCTION("GOOGLETRANSLATE(B10452,""id"",""en"")"),"['Cepet', 'really', 'entry', 'complicated']")</f>
        <v>['Cepet', 'really', 'entry', 'complicated']</v>
      </c>
      <c r="D10452" s="3">
        <v>5.0</v>
      </c>
    </row>
    <row r="10453" ht="15.75" customHeight="1">
      <c r="A10453" s="1">
        <v>11141.0</v>
      </c>
      <c r="B10453" s="3" t="s">
        <v>10001</v>
      </c>
      <c r="C10453" s="3" t="str">
        <f>IFERROR(__xludf.DUMMYFUNCTION("GOOGLETRANSLATE(B10453,""id"",""en"")"),"['silly', 'signal', 'full', 'play', 'ngk', 'strong', 'ping', 'ms', 'apputin', 'tower']")</f>
        <v>['silly', 'signal', 'full', 'play', 'ngk', 'strong', 'ping', 'ms', 'apputin', 'tower']</v>
      </c>
      <c r="D10453" s="3">
        <v>1.0</v>
      </c>
    </row>
    <row r="10454" ht="15.75" customHeight="1">
      <c r="A10454" s="1">
        <v>11142.0</v>
      </c>
      <c r="B10454" s="3" t="s">
        <v>644</v>
      </c>
      <c r="C10454" s="3" t="str">
        <f>IFERROR(__xludf.DUMMYFUNCTION("GOOGLETRANSLATE(B10454,""id"",""en"")"),"['Promo']")</f>
        <v>['Promo']</v>
      </c>
      <c r="D10454" s="3">
        <v>5.0</v>
      </c>
    </row>
    <row r="10455" ht="15.75" customHeight="1">
      <c r="A10455" s="1">
        <v>11143.0</v>
      </c>
      <c r="B10455" s="3" t="s">
        <v>10002</v>
      </c>
      <c r="C10455" s="3" t="str">
        <f>IFERROR(__xludf.DUMMYFUNCTION("GOOGLETRANSLATE(B10455,""id"",""en"")"),"['level', 'quality', 'signal', 'subscribe', 'Telkomsel', 'lose', 'network', ""]")</f>
        <v>['level', 'quality', 'signal', 'subscribe', 'Telkomsel', 'lose', 'network', "]</v>
      </c>
      <c r="D10455" s="3">
        <v>5.0</v>
      </c>
    </row>
    <row r="10456" ht="15.75" customHeight="1">
      <c r="A10456" s="1">
        <v>11144.0</v>
      </c>
      <c r="B10456" s="3" t="s">
        <v>10003</v>
      </c>
      <c r="C10456" s="3" t="str">
        <f>IFERROR(__xludf.DUMMYFUNCTION("GOOGLETRANSLATE(B10456,""id"",""en"")"),"['Blm', 'opened', 'application', '']")</f>
        <v>['Blm', 'opened', 'application', '']</v>
      </c>
      <c r="D10456" s="3">
        <v>3.0</v>
      </c>
    </row>
    <row r="10457" ht="15.75" customHeight="1">
      <c r="A10457" s="1">
        <v>11145.0</v>
      </c>
      <c r="B10457" s="3" t="s">
        <v>10004</v>
      </c>
      <c r="C10457" s="3" t="str">
        <f>IFERROR(__xludf.DUMMYFUNCTION("GOOGLETRANSLATE(B10457,""id"",""en"")"),"['knp', 'application', 'open']")</f>
        <v>['knp', 'application', 'open']</v>
      </c>
      <c r="D10457" s="3">
        <v>3.0</v>
      </c>
    </row>
    <row r="10458" ht="15.75" customHeight="1">
      <c r="A10458" s="1">
        <v>11146.0</v>
      </c>
      <c r="B10458" s="3" t="s">
        <v>10005</v>
      </c>
      <c r="C10458" s="3" t="str">
        <f>IFERROR(__xludf.DUMMYFUNCTION("GOOGLETRANSLATE(B10458,""id"",""en"")"),"['Want', 'gave', 'star', 'forced', 'love', 'Telkomsel', 'disappointing', 'buy', 'package', 'pulse', 'sumps',' quota ',' Enter ',' era ',' pulse ',' sumps', 'system', 'fix', 'then', 'ignore', ""]")</f>
        <v>['Want', 'gave', 'star', 'forced', 'love', 'Telkomsel', 'disappointing', 'buy', 'package', 'pulse', 'sumps',' quota ',' Enter ',' era ',' pulse ',' sumps', 'system', 'fix', 'then', 'ignore', "]</v>
      </c>
      <c r="D10458" s="3">
        <v>1.0</v>
      </c>
    </row>
    <row r="10459" ht="15.75" customHeight="1">
      <c r="A10459" s="1">
        <v>11148.0</v>
      </c>
      <c r="B10459" s="3" t="s">
        <v>10006</v>
      </c>
      <c r="C10459" s="3" t="str">
        <f>IFERROR(__xludf.DUMMYFUNCTION("GOOGLETRANSLATE(B10459,""id"",""en"")"),"['', 'customers', 'Telkomsel', 'SLM', 'Brthn', 'Sygx', 'suspiciously', 'system', 'lottery', 'point', 'byk', 'mnukar', 'points' ',' Hundreds', 'SMP', 'Many', 'Time', 'TTP', 'Lottery', 'As if', 'Hnylah', 'SBUAH', 'HAYAN', 'SKR', 'tired', 'Melet', 'cut', 'si"&amp;"tu', 'hny', 'sbuah', 'lottery', 'hny', 'dream', 'disiang', 'bolong', 'skr', 'apk', 'Telkomsel ',' Sailing ',' White ',' TNP ',' Mgk ',' Kbykan ',' Points', 'Screen', 'White', ""]")</f>
        <v>['', 'customers', 'Telkomsel', 'SLM', 'Brthn', 'Sygx', 'suspiciously', 'system', 'lottery', 'point', 'byk', 'mnukar', 'points' ',' Hundreds', 'SMP', 'Many', 'Time', 'TTP', 'Lottery', 'As if', 'Hnylah', 'SBUAH', 'HAYAN', 'SKR', 'tired', 'Melet', 'cut', 'situ', 'hny', 'sbuah', 'lottery', 'hny', 'dream', 'disiang', 'bolong', 'skr', 'apk', 'Telkomsel ',' Sailing ',' White ',' TNP ',' Mgk ',' Kbykan ',' Points', 'Screen', 'White', "]</v>
      </c>
      <c r="D10459" s="3">
        <v>1.0</v>
      </c>
    </row>
    <row r="10460" ht="15.75" customHeight="1">
      <c r="A10460" s="1">
        <v>11149.0</v>
      </c>
      <c r="B10460" s="3" t="s">
        <v>4308</v>
      </c>
      <c r="C10460" s="3" t="str">
        <f>IFERROR(__xludf.DUMMYFUNCTION("GOOGLETRANSLATE(B10460,""id"",""en"")"),"['like']")</f>
        <v>['like']</v>
      </c>
      <c r="D10460" s="3">
        <v>5.0</v>
      </c>
    </row>
    <row r="10461" ht="15.75" customHeight="1">
      <c r="A10461" s="1">
        <v>11150.0</v>
      </c>
      <c r="B10461" s="3" t="s">
        <v>10007</v>
      </c>
      <c r="C10461" s="3" t="str">
        <f>IFERROR(__xludf.DUMMYFUNCTION("GOOGLETRANSLATE(B10461,""id"",""en"")"),"['signal', 'clear', 'weather', 'bad', 'choice', 'promo', 'need', 'phone', 'medsos', '']")</f>
        <v>['signal', 'clear', 'weather', 'bad', 'choice', 'promo', 'need', 'phone', 'medsos', '']</v>
      </c>
      <c r="D10461" s="3">
        <v>5.0</v>
      </c>
    </row>
    <row r="10462" ht="15.75" customHeight="1">
      <c r="A10462" s="1">
        <v>11151.0</v>
      </c>
      <c r="B10462" s="3" t="s">
        <v>10008</v>
      </c>
      <c r="C10462" s="3" t="str">
        <f>IFERROR(__xludf.DUMMYFUNCTION("GOOGLETRANSLATE(B10462,""id"",""en"")"),"['Derah', 'Kawang', 'Lemot']")</f>
        <v>['Derah', 'Kawang', 'Lemot']</v>
      </c>
      <c r="D10462" s="3">
        <v>5.0</v>
      </c>
    </row>
    <row r="10463" ht="15.75" customHeight="1">
      <c r="A10463" s="1">
        <v>11152.0</v>
      </c>
      <c r="B10463" s="3" t="s">
        <v>10009</v>
      </c>
      <c r="C10463" s="3" t="str">
        <f>IFERROR(__xludf.DUMMYFUNCTION("GOOGLETRANSLATE(B10463,""id"",""en"")"),"['application', 'bgus',' network ',' Telkomsel ',' Telkomsel ',' card ',' cellular ',' class', 'Telkomsel', 'keep', 'Quality', 'decline', ' because ',' kluarga ',' all ',' use ',' Telkomsel ',' UDH ',' Tempurn ',' Telkomsel ',' Switch ',' card ', ""]")</f>
        <v>['application', 'bgus',' network ',' Telkomsel ',' Telkomsel ',' card ',' cellular ',' class', 'Telkomsel', 'keep', 'Quality', 'decline', ' because ',' kluarga ',' all ',' use ',' Telkomsel ',' UDH ',' Tempurn ',' Telkomsel ',' Switch ',' card ', "]</v>
      </c>
      <c r="D10463" s="3">
        <v>1.0</v>
      </c>
    </row>
    <row r="10464" ht="15.75" customHeight="1">
      <c r="A10464" s="1">
        <v>11153.0</v>
      </c>
      <c r="B10464" s="3" t="s">
        <v>10010</v>
      </c>
      <c r="C10464" s="3" t="str">
        <f>IFERROR(__xludf.DUMMYFUNCTION("GOOGLETRANSLATE(B10464,""id"",""en"")"),"['Opened', 'Samsung', ""]")</f>
        <v>['Opened', 'Samsung', "]</v>
      </c>
      <c r="D10464" s="3">
        <v>1.0</v>
      </c>
    </row>
    <row r="10465" ht="15.75" customHeight="1">
      <c r="A10465" s="1">
        <v>11155.0</v>
      </c>
      <c r="B10465" s="3" t="s">
        <v>10011</v>
      </c>
      <c r="C10465" s="3" t="str">
        <f>IFERROR(__xludf.DUMMYFUNCTION("GOOGLETRANSLATE(B10465,""id"",""en"")"),"['Contents', 'Package', 'Package', 'Multimedia', 'Nga', 'Use', 'Mubazir', 'Please', 'Fix', 'Donk']")</f>
        <v>['Contents', 'Package', 'Package', 'Multimedia', 'Nga', 'Use', 'Mubazir', 'Please', 'Fix', 'Donk']</v>
      </c>
      <c r="D10465" s="3">
        <v>1.0</v>
      </c>
    </row>
    <row r="10466" ht="15.75" customHeight="1">
      <c r="A10466" s="1">
        <v>11156.0</v>
      </c>
      <c r="B10466" s="3" t="s">
        <v>10012</v>
      </c>
      <c r="C10466" s="3" t="str">
        <f>IFERROR(__xludf.DUMMYFUNCTION("GOOGLETRANSLATE(B10466,""id"",""en"")"),"['application', 'difficult', 'open', 'network', 'cell', ""]")</f>
        <v>['application', 'difficult', 'open', 'network', 'cell', "]</v>
      </c>
      <c r="D10466" s="3">
        <v>1.0</v>
      </c>
    </row>
    <row r="10467" ht="15.75" customHeight="1">
      <c r="A10467" s="1">
        <v>11157.0</v>
      </c>
      <c r="B10467" s="3" t="s">
        <v>10013</v>
      </c>
      <c r="C10467" s="3" t="str">
        <f>IFERROR(__xludf.DUMMYFUNCTION("GOOGLETRANSLATE(B10467,""id"",""en"")"),"['', 'given', 'feature', 'key', 'pulse', 'already', 'fill in', 'buy', 'package', 'enter', 'apk', 'doang', 'a minute ',' Credit ',' already ',' Bobol ',' ']")</f>
        <v>['', 'given', 'feature', 'key', 'pulse', 'already', 'fill in', 'buy', 'package', 'enter', 'apk', 'doang', 'a minute ',' Credit ',' already ',' Bobol ',' ']</v>
      </c>
      <c r="D10467" s="3">
        <v>1.0</v>
      </c>
    </row>
    <row r="10468" ht="15.75" customHeight="1">
      <c r="A10468" s="1">
        <v>11158.0</v>
      </c>
      <c r="B10468" s="3" t="s">
        <v>10014</v>
      </c>
      <c r="C10468" s="3" t="str">
        <f>IFERROR(__xludf.DUMMYFUNCTION("GOOGLETRANSLATE(B10468,""id"",""en"")"),"['card', 'sympathy', 'loop', 'little', 'promo', 'package', 'magic', 'different', 'card', 'sympathy', 'promo', 'cheap', ' please ',' multiply ',' promo ',' sympathy ',' loop ']")</f>
        <v>['card', 'sympathy', 'loop', 'little', 'promo', 'package', 'magic', 'different', 'card', 'sympathy', 'promo', 'cheap', ' please ',' multiply ',' promo ',' sympathy ',' loop ']</v>
      </c>
      <c r="D10468" s="3">
        <v>3.0</v>
      </c>
    </row>
    <row r="10469" ht="15.75" customHeight="1">
      <c r="A10469" s="1">
        <v>11159.0</v>
      </c>
      <c r="B10469" s="3" t="s">
        <v>10015</v>
      </c>
      <c r="C10469" s="3" t="str">
        <f>IFERROR(__xludf.DUMMYFUNCTION("GOOGLETRANSLATE(B10469,""id"",""en"")"),"['Good', 'Young']")</f>
        <v>['Good', 'Young']</v>
      </c>
      <c r="D10469" s="3">
        <v>5.0</v>
      </c>
    </row>
    <row r="10470" ht="15.75" customHeight="1">
      <c r="A10470" s="1">
        <v>11160.0</v>
      </c>
      <c r="B10470" s="3" t="s">
        <v>4106</v>
      </c>
      <c r="C10470" s="3" t="str">
        <f>IFERROR(__xludf.DUMMYFUNCTION("GOOGLETRANSLATE(B10470,""id"",""en"")"),"['application', '']")</f>
        <v>['application', '']</v>
      </c>
      <c r="D10470" s="3">
        <v>1.0</v>
      </c>
    </row>
    <row r="10471" ht="15.75" customHeight="1">
      <c r="A10471" s="1">
        <v>11161.0</v>
      </c>
      <c r="B10471" s="3" t="s">
        <v>10016</v>
      </c>
      <c r="C10471" s="3" t="str">
        <f>IFERROR(__xludf.DUMMYFUNCTION("GOOGLETRANSLATE(B10471,""id"",""en"")"),"['Signal', 'Zonk', 'Slalu', 'Full', 'Rain', 'Storm', 'Severe', 'Beut', 'Roll', 'Mat', 'You', 'Best', ' Fast ',' Fix ',' You ',' Loss', 'Customer']")</f>
        <v>['Signal', 'Zonk', 'Slalu', 'Full', 'Rain', 'Storm', 'Severe', 'Beut', 'Roll', 'Mat', 'You', 'Best', ' Fast ',' Fix ',' You ',' Loss', 'Customer']</v>
      </c>
      <c r="D10471" s="3">
        <v>1.0</v>
      </c>
    </row>
    <row r="10472" ht="15.75" customHeight="1">
      <c r="A10472" s="1">
        <v>11162.0</v>
      </c>
      <c r="B10472" s="3" t="s">
        <v>10017</v>
      </c>
      <c r="C10472" s="3" t="str">
        <f>IFERROR(__xludf.DUMMYFUNCTION("GOOGLETRANSLATE(B10472,""id"",""en"")"),"['Good', 'fraud', 'believe', 'application', 'Telkomsel']")</f>
        <v>['Good', 'fraud', 'believe', 'application', 'Telkomsel']</v>
      </c>
      <c r="D10472" s="3">
        <v>5.0</v>
      </c>
    </row>
    <row r="10473" ht="15.75" customHeight="1">
      <c r="A10473" s="1">
        <v>11163.0</v>
      </c>
      <c r="B10473" s="3" t="s">
        <v>10018</v>
      </c>
      <c r="C10473" s="3" t="str">
        <f>IFERROR(__xludf.DUMMYFUNCTION("GOOGLETRANSLATE(B10473,""id"",""en"")"),"['Kasi', 'star', 'beginners', 'try', 'use', 'results', 'good', 'star', '']")</f>
        <v>['Kasi', 'star', 'beginners', 'try', 'use', 'results', 'good', 'star', '']</v>
      </c>
      <c r="D10473" s="3">
        <v>1.0</v>
      </c>
    </row>
    <row r="10474" ht="15.75" customHeight="1">
      <c r="A10474" s="1">
        <v>11164.0</v>
      </c>
      <c r="B10474" s="3" t="s">
        <v>10019</v>
      </c>
      <c r="C10474" s="3" t="str">
        <f>IFERROR(__xludf.DUMMYFUNCTION("GOOGLETRANSLATE(B10474,""id"",""en"")"),"['Threat', 'Severe', 'Network']")</f>
        <v>['Threat', 'Severe', 'Network']</v>
      </c>
      <c r="D10474" s="3">
        <v>1.0</v>
      </c>
    </row>
    <row r="10475" ht="15.75" customHeight="1">
      <c r="A10475" s="1">
        <v>11165.0</v>
      </c>
      <c r="B10475" s="3" t="s">
        <v>10020</v>
      </c>
      <c r="C10475" s="3" t="str">
        <f>IFERROR(__xludf.DUMMYFUNCTION("GOOGLETRANSLATE(B10475,""id"",""en"")"),"['Sometimes', 'difficult', 'NOT', 'Many', 'times', 'Gabisa', 'Open', 'Open', 'Buy', 'Credit', 'Telkomsel', ""]")</f>
        <v>['Sometimes', 'difficult', 'NOT', 'Many', 'times', 'Gabisa', 'Open', 'Open', 'Buy', 'Credit', 'Telkomsel', "]</v>
      </c>
      <c r="D10475" s="3">
        <v>1.0</v>
      </c>
    </row>
    <row r="10476" ht="15.75" customHeight="1">
      <c r="A10476" s="1">
        <v>11166.0</v>
      </c>
      <c r="B10476" s="3" t="s">
        <v>10021</v>
      </c>
      <c r="C10476" s="3" t="str">
        <f>IFERROR(__xludf.DUMMYFUNCTION("GOOGLETRANSLATE(B10476,""id"",""en"")"),"['Cape', 'Telkomsel', 'Cape', 'network', 'ilang', 'card', 'experienced', 'understand', 'needs',' consumer ',' network ',' slow ',' Like ',' ilang ',' quality ',' Telkomsel ',' bad ',' ugly ',' please ',' expand ',' network ',' maximum ']")</f>
        <v>['Cape', 'Telkomsel', 'Cape', 'network', 'ilang', 'card', 'experienced', 'understand', 'needs',' consumer ',' network ',' slow ',' Like ',' ilang ',' quality ',' Telkomsel ',' bad ',' ugly ',' please ',' expand ',' network ',' maximum ']</v>
      </c>
      <c r="D10476" s="3">
        <v>1.0</v>
      </c>
    </row>
    <row r="10477" ht="15.75" customHeight="1">
      <c r="A10477" s="1">
        <v>11167.0</v>
      </c>
      <c r="B10477" s="3" t="s">
        <v>10022</v>
      </c>
      <c r="C10477" s="3" t="str">
        <f>IFERROR(__xludf.DUMMYFUNCTION("GOOGLETRANSLATE(B10477,""id"",""en"")"),"['Package', 'Tipu', 'Multimedia', 'Bejibun', 'Use', 'Signal', 'Red', 'Meeting', 'Game', 'Fill', 'Balance', 'Gopay', ' Cashback ',' Bohongan ',' ']")</f>
        <v>['Package', 'Tipu', 'Multimedia', 'Bejibun', 'Use', 'Signal', 'Red', 'Meeting', 'Game', 'Fill', 'Balance', 'Gopay', ' Cashback ',' Bohongan ',' ']</v>
      </c>
      <c r="D10477" s="3">
        <v>1.0</v>
      </c>
    </row>
    <row r="10478" ht="15.75" customHeight="1">
      <c r="A10478" s="1">
        <v>11168.0</v>
      </c>
      <c r="B10478" s="3" t="s">
        <v>10023</v>
      </c>
      <c r="C10478" s="3" t="str">
        <f>IFERROR(__xludf.DUMMYFUNCTION("GOOGLETRANSLATE(B10478,""id"",""en"")"),"['opened', 'poor', 'the application']")</f>
        <v>['opened', 'poor', 'the application']</v>
      </c>
      <c r="D10478" s="3">
        <v>1.0</v>
      </c>
    </row>
    <row r="10479" ht="15.75" customHeight="1">
      <c r="A10479" s="1">
        <v>11169.0</v>
      </c>
      <c r="B10479" s="3" t="s">
        <v>10024</v>
      </c>
      <c r="C10479" s="3" t="str">
        <f>IFERROR(__xludf.DUMMYFUNCTION("GOOGLETRANSLATE(B10479,""id"",""en"")"),"['application', 'cook', 'company', 'plate', 'red', 'kayak', 'gini', 'open', 'hard', 'eat', 'salary', 'blind', ' time', '']")</f>
        <v>['application', 'cook', 'company', 'plate', 'red', 'kayak', 'gini', 'open', 'hard', 'eat', 'salary', 'blind', ' time', '']</v>
      </c>
      <c r="D10479" s="3">
        <v>1.0</v>
      </c>
    </row>
    <row r="10480" ht="15.75" customHeight="1">
      <c r="A10480" s="1">
        <v>11170.0</v>
      </c>
      <c r="B10480" s="3" t="s">
        <v>10025</v>
      </c>
      <c r="C10480" s="3" t="str">
        <f>IFERROR(__xludf.DUMMYFUNCTION("GOOGLETRANSLATE(B10480,""id"",""en"")"),"['Disappointed', 'Telkomsel', 'STLH', 'Update', 'opened', 'Kirain', 'Damaged', 'Telkomsel', 'Error', 'Fast', 'Repaired', 'Donk', ' how']")</f>
        <v>['Disappointed', 'Telkomsel', 'STLH', 'Update', 'opened', 'Kirain', 'Damaged', 'Telkomsel', 'Error', 'Fast', 'Repaired', 'Donk', ' how']</v>
      </c>
      <c r="D10480" s="3">
        <v>1.0</v>
      </c>
    </row>
    <row r="10481" ht="15.75" customHeight="1">
      <c r="A10481" s="1">
        <v>11171.0</v>
      </c>
      <c r="B10481" s="3" t="s">
        <v>10026</v>
      </c>
      <c r="C10481" s="3" t="str">
        <f>IFERROR(__xludf.DUMMYFUNCTION("GOOGLETRANSLATE(B10481,""id"",""en"")"),"['Telkomsel', 'network', 'stable', 'network', 'switch', 'as a result', 'connection', 'internet', 'disturbed', 'play', 'game', 'online', ' Dying ',' Network ',' ']")</f>
        <v>['Telkomsel', 'network', 'stable', 'network', 'switch', 'as a result', 'connection', 'internet', 'disturbed', 'play', 'game', 'online', ' Dying ',' Network ',' ']</v>
      </c>
      <c r="D10481" s="3">
        <v>2.0</v>
      </c>
    </row>
    <row r="10482" ht="15.75" customHeight="1">
      <c r="A10482" s="1">
        <v>11172.0</v>
      </c>
      <c r="B10482" s="3" t="s">
        <v>478</v>
      </c>
      <c r="C10482" s="3" t="str">
        <f>IFERROR(__xludf.DUMMYFUNCTION("GOOGLETRANSLATE(B10482,""id"",""en"")"),"Of course")</f>
        <v>Of course</v>
      </c>
      <c r="D10482" s="3">
        <v>5.0</v>
      </c>
    </row>
    <row r="10483" ht="15.75" customHeight="1">
      <c r="A10483" s="1">
        <v>11173.0</v>
      </c>
      <c r="B10483" s="3" t="s">
        <v>10027</v>
      </c>
      <c r="C10483" s="3" t="str">
        <f>IFERROR(__xludf.DUMMYFUNCTION("GOOGLETRANSLATE(B10483,""id"",""en"")"),"['updated', 'the application', 'no', 'opened', 'disappointed', 'SIH', '']")</f>
        <v>['updated', 'the application', 'no', 'opened', 'disappointed', 'SIH', '']</v>
      </c>
      <c r="D10483" s="3">
        <v>3.0</v>
      </c>
    </row>
    <row r="10484" ht="15.75" customHeight="1">
      <c r="A10484" s="1">
        <v>11174.0</v>
      </c>
      <c r="B10484" s="3" t="s">
        <v>10028</v>
      </c>
      <c r="C10484" s="3" t="str">
        <f>IFERROR(__xludf.DUMMYFUNCTION("GOOGLETRANSLATE(B10484,""id"",""en"")"),"['Cuman', 'Provider', 'Kang', 'PHP', 'The writing', 'Package', 'Unlimited', 'Internet', 'Lemot', 'Until', 'Ubun', 'Sweet', ' Inta ',' surprised ',' emang ',' no ',' unlimited ',' per day ',' giga ',' php ',' aso ']")</f>
        <v>['Cuman', 'Provider', 'Kang', 'PHP', 'The writing', 'Package', 'Unlimited', 'Internet', 'Lemot', 'Until', 'Ubun', 'Sweet', ' Inta ',' surprised ',' emang ',' no ',' unlimited ',' per day ',' giga ',' php ',' aso ']</v>
      </c>
      <c r="D10484" s="3">
        <v>1.0</v>
      </c>
    </row>
    <row r="10485" ht="15.75" customHeight="1">
      <c r="A10485" s="1">
        <v>11175.0</v>
      </c>
      <c r="B10485" s="3" t="s">
        <v>10029</v>
      </c>
      <c r="C10485" s="3" t="str">
        <f>IFERROR(__xludf.DUMMYFUNCTION("GOOGLETRANSLATE(B10485,""id"",""en"")"),"['Kenpa', 'Telkomsel', 'Leg', 'Bangat', 'Kek', 'Open', 'Sosmet', 'Leg', 'Main', 'Game', 'Leg', 'Move', ' Operator ',' so ',' terbimah ',' love ']")</f>
        <v>['Kenpa', 'Telkomsel', 'Leg', 'Bangat', 'Kek', 'Open', 'Sosmet', 'Leg', 'Main', 'Game', 'Leg', 'Move', ' Operator ',' so ',' terbimah ',' love ']</v>
      </c>
      <c r="D10485" s="3">
        <v>1.0</v>
      </c>
    </row>
    <row r="10486" ht="15.75" customHeight="1">
      <c r="A10486" s="1">
        <v>11176.0</v>
      </c>
      <c r="B10486" s="3" t="s">
        <v>10030</v>
      </c>
      <c r="C10486" s="3" t="str">
        <f>IFERROR(__xludf.DUMMYFUNCTION("GOOGLETRANSLATE(B10486,""id"",""en"")"),"['ugly', 'pulses', 'drained', 'thousand', 'sudh', 'hotspot', 'disappointed', 'really']")</f>
        <v>['ugly', 'pulses', 'drained', 'thousand', 'sudh', 'hotspot', 'disappointed', 'really']</v>
      </c>
      <c r="D10486" s="3">
        <v>1.0</v>
      </c>
    </row>
    <row r="10487" ht="15.75" customHeight="1">
      <c r="A10487" s="1">
        <v>11177.0</v>
      </c>
      <c r="B10487" s="3" t="s">
        <v>10031</v>
      </c>
      <c r="C10487" s="3" t="str">
        <f>IFERROR(__xludf.DUMMYFUNCTION("GOOGLETRANSLATE(B10487,""id"",""en"")"),"['Since', 'Updet', 'Latest', 'APK', 'Telkomsel', 'Open']")</f>
        <v>['Since', 'Updet', 'Latest', 'APK', 'Telkomsel', 'Open']</v>
      </c>
      <c r="D10487" s="3">
        <v>1.0</v>
      </c>
    </row>
    <row r="10488" ht="15.75" customHeight="1">
      <c r="A10488" s="1">
        <v>11179.0</v>
      </c>
      <c r="B10488" s="3" t="s">
        <v>10032</v>
      </c>
      <c r="C10488" s="3" t="str">
        <f>IFERROR(__xludf.DUMMYFUNCTION("GOOGLETRANSLATE(B10488,""id"",""en"")"),"['Banted', 'Signal', 'Severe', 'Affairs', 'Signal', 'Where', 'Disappointing', 'Good', 'Telkomsel', 'Please', 'Notice', ""]")</f>
        <v>['Banted', 'Signal', 'Severe', 'Affairs', 'Signal', 'Where', 'Disappointing', 'Good', 'Telkomsel', 'Please', 'Notice', "]</v>
      </c>
      <c r="D10488" s="3">
        <v>1.0</v>
      </c>
    </row>
    <row r="10489" ht="15.75" customHeight="1">
      <c r="A10489" s="1">
        <v>11180.0</v>
      </c>
      <c r="B10489" s="3" t="s">
        <v>10033</v>
      </c>
      <c r="C10489" s="3" t="str">
        <f>IFERROR(__xludf.DUMMYFUNCTION("GOOGLETRANSLATE(B10489,""id"",""en"")"),"['', 'Telkomsel', 'choice', 'love', 'full', 'star']")</f>
        <v>['', 'Telkomsel', 'choice', 'love', 'full', 'star']</v>
      </c>
      <c r="D10489" s="3">
        <v>5.0</v>
      </c>
    </row>
    <row r="10490" ht="15.75" customHeight="1">
      <c r="A10490" s="1">
        <v>11181.0</v>
      </c>
      <c r="B10490" s="3" t="s">
        <v>10034</v>
      </c>
      <c r="C10490" s="3" t="str">
        <f>IFERROR(__xludf.DUMMYFUNCTION("GOOGLETRANSLATE(B10490,""id"",""en"")"),"['application', 'good', 'like']")</f>
        <v>['application', 'good', 'like']</v>
      </c>
      <c r="D10490" s="3">
        <v>5.0</v>
      </c>
    </row>
    <row r="10491" ht="15.75" customHeight="1">
      <c r="A10491" s="1">
        <v>11182.0</v>
      </c>
      <c r="B10491" s="3" t="s">
        <v>10035</v>
      </c>
      <c r="C10491" s="3" t="str">
        <f>IFERROR(__xludf.DUMMYFUNCTION("GOOGLETRANSLATE(B10491,""id"",""en"")"),"['blank', 'how', 'buy', 'package', 'checked', 'pulses', 'poor', ""]")</f>
        <v>['blank', 'how', 'buy', 'package', 'checked', 'pulses', 'poor', "]</v>
      </c>
      <c r="D10491" s="3">
        <v>1.0</v>
      </c>
    </row>
    <row r="10492" ht="15.75" customHeight="1">
      <c r="A10492" s="1">
        <v>11183.0</v>
      </c>
      <c r="B10492" s="3" t="s">
        <v>10036</v>
      </c>
      <c r="C10492" s="3" t="str">
        <f>IFERROR(__xludf.DUMMYFUNCTION("GOOGLETRANSLATE(B10492,""id"",""en"")"),"['Application', 'opened', 'Blank', 'White', 'Doang', 'Delete', 'Playstore', 'Bener', 'Kampreeett', ""]")</f>
        <v>['Application', 'opened', 'Blank', 'White', 'Doang', 'Delete', 'Playstore', 'Bener', 'Kampreeett', "]</v>
      </c>
      <c r="D10492" s="3">
        <v>1.0</v>
      </c>
    </row>
    <row r="10493" ht="15.75" customHeight="1">
      <c r="A10493" s="1">
        <v>11184.0</v>
      </c>
      <c r="B10493" s="3" t="s">
        <v>10037</v>
      </c>
      <c r="C10493" s="3" t="str">
        <f>IFERROR(__xludf.DUMMYFUNCTION("GOOGLETRANSLATE(B10493,""id"",""en"")"),"['', 'Thanks', 'cheap', 'really']")</f>
        <v>['', 'Thanks', 'cheap', 'really']</v>
      </c>
      <c r="D10493" s="3">
        <v>5.0</v>
      </c>
    </row>
    <row r="10494" ht="15.75" customHeight="1">
      <c r="A10494" s="1">
        <v>11185.0</v>
      </c>
      <c r="B10494" s="3" t="s">
        <v>10038</v>
      </c>
      <c r="C10494" s="3" t="str">
        <f>IFERROR(__xludf.DUMMYFUNCTION("GOOGLETRANSLATE(B10494,""id"",""en"")"),"['Nipu', 'Woy', 'Telkomsel', 'Signal', 'Elu', 'Bapuk', 'Kaga', 'Solution', 'Quota', 'Main', 'Sumpot', 'Mulu', ' quota ',' omg ',' kaga ',' becus', 'gave', 'solution', ""]")</f>
        <v>['Nipu', 'Woy', 'Telkomsel', 'Signal', 'Elu', 'Bapuk', 'Kaga', 'Solution', 'Quota', 'Main', 'Sumpot', 'Mulu', ' quota ',' omg ',' kaga ',' becus', 'gave', 'solution', "]</v>
      </c>
      <c r="D10494" s="3">
        <v>1.0</v>
      </c>
    </row>
    <row r="10495" ht="15.75" customHeight="1">
      <c r="A10495" s="1">
        <v>11186.0</v>
      </c>
      <c r="B10495" s="3" t="s">
        <v>10039</v>
      </c>
      <c r="C10495" s="3" t="str">
        <f>IFERROR(__xludf.DUMMYFUNCTION("GOOGLETRANSLATE(B10495,""id"",""en"")"),"['ugly', 'skrg', 'the application', 'difficult', 'open']")</f>
        <v>['ugly', 'skrg', 'the application', 'difficult', 'open']</v>
      </c>
      <c r="D10495" s="3">
        <v>4.0</v>
      </c>
    </row>
    <row r="10496" ht="15.75" customHeight="1">
      <c r="A10496" s="1">
        <v>11187.0</v>
      </c>
      <c r="B10496" s="3" t="s">
        <v>10040</v>
      </c>
      <c r="C10496" s="3" t="str">
        <f>IFERROR(__xludf.DUMMYFUNCTION("GOOGLETRANSLATE(B10496,""id"",""en"")"),"['knpa', 'nambh', 'expensive', 'package', '']")</f>
        <v>['knpa', 'nambh', 'expensive', 'package', '']</v>
      </c>
      <c r="D10496" s="3">
        <v>5.0</v>
      </c>
    </row>
    <row r="10497" ht="15.75" customHeight="1">
      <c r="A10497" s="1">
        <v>11188.0</v>
      </c>
      <c r="B10497" s="3" t="s">
        <v>10041</v>
      </c>
      <c r="C10497" s="3" t="str">
        <f>IFERROR(__xludf.DUMMYFUNCTION("GOOGLETRANSLATE(B10497,""id"",""en"")"),"['Prmission', 'the application', 'pressure', 'stuck', 'white', 'trooos',' knpa ',' wrong ',' kah ',' please ',' response ',' kaka ',' Trima ']")</f>
        <v>['Prmission', 'the application', 'pressure', 'stuck', 'white', 'trooos',' knpa ',' wrong ',' kah ',' please ',' response ',' kaka ',' Trima ']</v>
      </c>
      <c r="D10497" s="3">
        <v>2.0</v>
      </c>
    </row>
    <row r="10498" ht="15.75" customHeight="1">
      <c r="A10498" s="1">
        <v>11189.0</v>
      </c>
      <c r="B10498" s="3" t="s">
        <v>10042</v>
      </c>
      <c r="C10498" s="3" t="str">
        <f>IFERROR(__xludf.DUMMYFUNCTION("GOOGLETRANSLATE(B10498,""id"",""en"")"),"['regret', 'Package', 'Telkomtol', 'RB', 'oath', 'expensive', 'doang', 'quality', 'internet', 'burig', 'slow', 'uda', ' So ',' signal ',' down ',' sometimes', 'until', 'missing', 'asuuuuuuuuu', '']")</f>
        <v>['regret', 'Package', 'Telkomtol', 'RB', 'oath', 'expensive', 'doang', 'quality', 'internet', 'burig', 'slow', 'uda', ' So ',' signal ',' down ',' sometimes', 'until', 'missing', 'asuuuuuuuuu', '']</v>
      </c>
      <c r="D10498" s="3">
        <v>1.0</v>
      </c>
    </row>
    <row r="10499" ht="15.75" customHeight="1">
      <c r="A10499" s="1">
        <v>11190.0</v>
      </c>
      <c r="B10499" s="3" t="s">
        <v>10043</v>
      </c>
      <c r="C10499" s="3" t="str">
        <f>IFERROR(__xludf.DUMMYFUNCTION("GOOGLETRANSLATE(B10499,""id"",""en"")"),"['good', 'network', 'bad', 'cook', 'game', 'network', 'direct', 'lost', 'veronica', 'that's',' help ',' user ',' Fix ',' Network ',' Quality ',' Jngan ',' Disappointing ',' Customer ',' Jngan ',' Search ',' Untung ',' Quality ',' Network ',' Disappointing"&amp;" ']")</f>
        <v>['good', 'network', 'bad', 'cook', 'game', 'network', 'direct', 'lost', 'veronica', 'that's',' help ',' user ',' Fix ',' Network ',' Quality ',' Jngan ',' Disappointing ',' Customer ',' Jngan ',' Search ',' Untung ',' Quality ',' Network ',' Disappointing ']</v>
      </c>
      <c r="D10499" s="3">
        <v>1.0</v>
      </c>
    </row>
    <row r="10500" ht="15.75" customHeight="1">
      <c r="A10500" s="1">
        <v>11191.0</v>
      </c>
      <c r="B10500" s="3" t="s">
        <v>10044</v>
      </c>
      <c r="C10500" s="3" t="str">
        <f>IFERROR(__xludf.DUMMYFUNCTION("GOOGLETRANSLATE(B10500,""id"",""en"")"),"['signal', 'Telkomsel', 'ugly', 'signal', 'stay', 'in the city', 'GraPARI', 'Telkomsel', 'signal']")</f>
        <v>['signal', 'Telkomsel', 'ugly', 'signal', 'stay', 'in the city', 'GraPARI', 'Telkomsel', 'signal']</v>
      </c>
      <c r="D10500" s="3">
        <v>1.0</v>
      </c>
    </row>
    <row r="10501" ht="15.75" customHeight="1">
      <c r="A10501" s="1">
        <v>11192.0</v>
      </c>
      <c r="B10501" s="3" t="s">
        <v>10045</v>
      </c>
      <c r="C10501" s="3" t="str">
        <f>IFERROR(__xludf.DUMMYFUNCTION("GOOGLETRANSLATE(B10501,""id"",""en"")"),"['Bad', 'Main', 'Game']")</f>
        <v>['Bad', 'Main', 'Game']</v>
      </c>
      <c r="D10501" s="3">
        <v>1.0</v>
      </c>
    </row>
    <row r="10502" ht="15.75" customHeight="1">
      <c r="A10502" s="1">
        <v>11193.0</v>
      </c>
      <c r="B10502" s="3" t="s">
        <v>10046</v>
      </c>
      <c r="C10502" s="3" t="str">
        <f>IFERROR(__xludf.DUMMYFUNCTION("GOOGLETRANSLATE(B10502,""id"",""en"")"),"['hope', 'network', 'internet', 'klu', 'season', 'rain', 'disorder']")</f>
        <v>['hope', 'network', 'internet', 'klu', 'season', 'rain', 'disorder']</v>
      </c>
      <c r="D10502" s="3">
        <v>4.0</v>
      </c>
    </row>
    <row r="10503" ht="15.75" customHeight="1">
      <c r="A10503" s="1">
        <v>11194.0</v>
      </c>
      <c r="B10503" s="3" t="s">
        <v>10047</v>
      </c>
      <c r="C10503" s="3" t="str">
        <f>IFERROR(__xludf.DUMMYFUNCTION("GOOGLETRANSLATE(B10503,""id"",""en"")"),"['right', 'clock', 'night', 'dawn', 'package', 'main', 'truncated', 'package', 'night', 'try', 'fix', ""]")</f>
        <v>['right', 'clock', 'night', 'dawn', 'package', 'main', 'truncated', 'package', 'night', 'try', 'fix', "]</v>
      </c>
      <c r="D10503" s="3">
        <v>1.0</v>
      </c>
    </row>
    <row r="10504" ht="15.75" customHeight="1">
      <c r="A10504" s="1">
        <v>11195.0</v>
      </c>
      <c r="B10504" s="3" t="s">
        <v>10048</v>
      </c>
      <c r="C10504" s="3" t="str">
        <f>IFERROR(__xludf.DUMMYFUNCTION("GOOGLETRANSLATE(B10504,""id"",""en"")"),"['Application', 'Hang', 'already', 'restart', 'reinstall']")</f>
        <v>['Application', 'Hang', 'already', 'restart', 'reinstall']</v>
      </c>
      <c r="D10504" s="3">
        <v>1.0</v>
      </c>
    </row>
    <row r="10505" ht="15.75" customHeight="1">
      <c r="A10505" s="1">
        <v>11196.0</v>
      </c>
      <c r="B10505" s="3" t="s">
        <v>10049</v>
      </c>
      <c r="C10505" s="3" t="str">
        <f>IFERROR(__xludf.DUMMYFUNCTION("GOOGLETRANSLATE(B10505,""id"",""en"")"),"['Application', 'Open', 'Delete', 'Download', 'Open', '']")</f>
        <v>['Application', 'Open', 'Delete', 'Download', 'Open', '']</v>
      </c>
      <c r="D10505" s="3">
        <v>1.0</v>
      </c>
    </row>
    <row r="10506" ht="15.75" customHeight="1">
      <c r="A10506" s="1">
        <v>11197.0</v>
      </c>
      <c r="B10506" s="3" t="s">
        <v>10050</v>
      </c>
      <c r="C10506" s="3" t="str">
        <f>IFERROR(__xludf.DUMMYFUNCTION("GOOGLETRANSLATE(B10506,""id"",""en"")"),"['knpa', 'apk', 'open', 'difficult', 'check', 'quota', 'telkomsel']")</f>
        <v>['knpa', 'apk', 'open', 'difficult', 'check', 'quota', 'telkomsel']</v>
      </c>
      <c r="D10506" s="3">
        <v>5.0</v>
      </c>
    </row>
    <row r="10507" ht="15.75" customHeight="1">
      <c r="A10507" s="1">
        <v>11198.0</v>
      </c>
      <c r="B10507" s="3" t="s">
        <v>10051</v>
      </c>
      <c r="C10507" s="3" t="str">
        <f>IFERROR(__xludf.DUMMYFUNCTION("GOOGLETRANSLATE(B10507,""id"",""en"")"),"['signal', 'ugly', 'data', 'expensive', 'worse', 'application', 'Telkomsel', 'open', 'opened', 'look', 'white', 'broken', ' Application ',' Normal ',' Application ',' Damn ',' Telkomsel ',' Damaged ',' Severe ',' Class', 'Telkomsel', 'Company', 'BUMN', 'S"&amp;"ignal', 'Monopoly' , 'Telkomsel', 'Switch', '']")</f>
        <v>['signal', 'ugly', 'data', 'expensive', 'worse', 'application', 'Telkomsel', 'open', 'opened', 'look', 'white', 'broken', ' Application ',' Normal ',' Application ',' Damn ',' Telkomsel ',' Damaged ',' Severe ',' Class', 'Telkomsel', 'Company', 'BUMN', 'Signal', 'Monopoly' , 'Telkomsel', 'Switch', '']</v>
      </c>
      <c r="D10507" s="3">
        <v>1.0</v>
      </c>
    </row>
    <row r="10508" ht="15.75" customHeight="1">
      <c r="A10508" s="1">
        <v>11199.0</v>
      </c>
      <c r="B10508" s="3" t="s">
        <v>10052</v>
      </c>
      <c r="C10508" s="3" t="str">
        <f>IFERROR(__xludf.DUMMYFUNCTION("GOOGLETRANSLATE(B10508,""id"",""en"")"),"['Knpa', 'Telkomsel', 'tdak', 'opened']")</f>
        <v>['Knpa', 'Telkomsel', 'tdak', 'opened']</v>
      </c>
      <c r="D10508" s="3">
        <v>1.0</v>
      </c>
    </row>
    <row r="10509" ht="15.75" customHeight="1">
      <c r="A10509" s="1">
        <v>11200.0</v>
      </c>
      <c r="B10509" s="3" t="s">
        <v>10053</v>
      </c>
      <c r="C10509" s="3" t="str">
        <f>IFERROR(__xludf.DUMMYFUNCTION("GOOGLETRANSLATE(B10509,""id"",""en"")"),"['Telkomsel', 'here', 'severe', 'network', 'UDH', 'expensive']")</f>
        <v>['Telkomsel', 'here', 'severe', 'network', 'UDH', 'expensive']</v>
      </c>
      <c r="D10509" s="3">
        <v>1.0</v>
      </c>
    </row>
    <row r="10510" ht="15.75" customHeight="1">
      <c r="A10510" s="1">
        <v>11201.0</v>
      </c>
      <c r="B10510" s="3" t="s">
        <v>10054</v>
      </c>
      <c r="C10510" s="3" t="str">
        <f>IFERROR(__xludf.DUMMYFUNCTION("GOOGLETRANSLATE(B10510,""id"",""en"")"),"['Cheap', 'cheap', 'package', 'cooyyy']")</f>
        <v>['Cheap', 'cheap', 'package', 'cooyyy']</v>
      </c>
      <c r="D10510" s="3">
        <v>5.0</v>
      </c>
    </row>
    <row r="10511" ht="15.75" customHeight="1">
      <c r="A10511" s="1">
        <v>11202.0</v>
      </c>
      <c r="B10511" s="3" t="s">
        <v>10055</v>
      </c>
      <c r="C10511" s="3" t="str">
        <f>IFERROR(__xludf.DUMMYFUNCTION("GOOGLETRANSLATE(B10511,""id"",""en"")"),"['Price', 'Expensive', 'Please', 'Reduce', 'Customer', 'Switch', 'SIM']")</f>
        <v>['Price', 'Expensive', 'Please', 'Reduce', 'Customer', 'Switch', 'SIM']</v>
      </c>
      <c r="D10511" s="3">
        <v>1.0</v>
      </c>
    </row>
    <row r="10512" ht="15.75" customHeight="1">
      <c r="A10512" s="1">
        <v>11203.0</v>
      </c>
      <c r="B10512" s="3" t="s">
        <v>10056</v>
      </c>
      <c r="C10512" s="3" t="str">
        <f>IFERROR(__xludf.DUMMYFUNCTION("GOOGLETRANSLATE(B10512,""id"",""en"")"),"['Update', 'The application', 'Ngeblank', ""]")</f>
        <v>['Update', 'The application', 'Ngeblank', "]</v>
      </c>
      <c r="D10512" s="3">
        <v>2.0</v>
      </c>
    </row>
    <row r="10513" ht="15.75" customHeight="1">
      <c r="A10513" s="1">
        <v>11204.0</v>
      </c>
      <c r="B10513" s="3" t="s">
        <v>10057</v>
      </c>
      <c r="C10513" s="3" t="str">
        <f>IFERROR(__xludf.DUMMYFUNCTION("GOOGLETRANSLATE(B10513,""id"",""en"")"),"['non', 'active', 'package', 'non', 'active', 'gmna', 'oath', 'gedek', 'really', 'pulse', 'jdi', 'sumps',' Udh ',' That's', 'Sumpot', '']")</f>
        <v>['non', 'active', 'package', 'non', 'active', 'gmna', 'oath', 'gedek', 'really', 'pulse', 'jdi', 'sumps',' Udh ',' That's', 'Sumpot', '']</v>
      </c>
      <c r="D10513" s="3">
        <v>1.0</v>
      </c>
    </row>
    <row r="10514" ht="15.75" customHeight="1">
      <c r="A10514" s="1">
        <v>11205.0</v>
      </c>
      <c r="B10514" s="3" t="s">
        <v>10058</v>
      </c>
      <c r="C10514" s="3" t="str">
        <f>IFERROR(__xludf.DUMMYFUNCTION("GOOGLETRANSLATE(B10514,""id"",""en"")"),"['First', 'Good', 'ugly', 'Damn', 'Unistal']")</f>
        <v>['First', 'Good', 'ugly', 'Damn', 'Unistal']</v>
      </c>
      <c r="D10514" s="3">
        <v>1.0</v>
      </c>
    </row>
    <row r="10515" ht="15.75" customHeight="1">
      <c r="A10515" s="1">
        <v>11206.0</v>
      </c>
      <c r="B10515" s="3" t="s">
        <v>10059</v>
      </c>
      <c r="C10515" s="3" t="str">
        <f>IFERROR(__xludf.DUMMYFUNCTION("GOOGLETRANSLATE(B10515,""id"",""en"")"),"['No', 'Open', 'The application', 'Yesterday', 'Current', ""]")</f>
        <v>['No', 'Open', 'The application', 'Yesterday', 'Current', "]</v>
      </c>
      <c r="D10515" s="3">
        <v>1.0</v>
      </c>
    </row>
    <row r="10516" ht="15.75" customHeight="1">
      <c r="A10516" s="1">
        <v>11207.0</v>
      </c>
      <c r="B10516" s="3" t="s">
        <v>10060</v>
      </c>
      <c r="C10516" s="3" t="str">
        <f>IFERROR(__xludf.DUMMYFUNCTION("GOOGLETRANSLATE(B10516,""id"",""en"")"),"['', 'Telkomsel', 'makes it easy', 'medsos']")</f>
        <v>['', 'Telkomsel', 'makes it easy', 'medsos']</v>
      </c>
      <c r="D10516" s="3">
        <v>5.0</v>
      </c>
    </row>
    <row r="10517" ht="15.75" customHeight="1">
      <c r="A10517" s="1">
        <v>11208.0</v>
      </c>
      <c r="B10517" s="3" t="s">
        <v>10061</v>
      </c>
      <c r="C10517" s="3" t="str">
        <f>IFERROR(__xludf.DUMMYFUNCTION("GOOGLETRANSLATE(B10517,""id"",""en"")"),"['Telkomsel', 'blank', 'white', 'opened', 'update', 'please', 'fix', 'price', 'package', 'internet', 'expensive', 'thank', ' love', '']")</f>
        <v>['Telkomsel', 'blank', 'white', 'opened', 'update', 'please', 'fix', 'price', 'package', 'internet', 'expensive', 'thank', ' love', '']</v>
      </c>
      <c r="D10517" s="3">
        <v>1.0</v>
      </c>
    </row>
    <row r="10518" ht="15.75" customHeight="1">
      <c r="A10518" s="1">
        <v>11209.0</v>
      </c>
      <c r="B10518" s="3" t="s">
        <v>10062</v>
      </c>
      <c r="C10518" s="3" t="str">
        <f>IFERROR(__xludf.DUMMYFUNCTION("GOOGLETRANSLATE(B10518,""id"",""en"")"),"['signal', 'good', 'iki']")</f>
        <v>['signal', 'good', 'iki']</v>
      </c>
      <c r="D10518" s="3">
        <v>3.0</v>
      </c>
    </row>
    <row r="10519" ht="15.75" customHeight="1">
      <c r="A10519" s="1">
        <v>11210.0</v>
      </c>
      <c r="B10519" s="3" t="s">
        <v>10063</v>
      </c>
      <c r="C10519" s="3" t="str">
        <f>IFERROR(__xludf.DUMMYFUNCTION("GOOGLETRANSLATE(B10519,""id"",""en"")"),"['Telkomsel', 'Network', 'Kek', 'Taik']")</f>
        <v>['Telkomsel', 'Network', 'Kek', 'Taik']</v>
      </c>
      <c r="D10519" s="3">
        <v>1.0</v>
      </c>
    </row>
    <row r="10520" ht="15.75" customHeight="1">
      <c r="A10520" s="1">
        <v>11211.0</v>
      </c>
      <c r="B10520" s="3" t="s">
        <v>10064</v>
      </c>
      <c r="C10520" s="3" t="str">
        <f>IFERROR(__xludf.DUMMYFUNCTION("GOOGLETRANSLATE(B10520,""id"",""en"")"),"['Good', 'direct', 'enter']")</f>
        <v>['Good', 'direct', 'enter']</v>
      </c>
      <c r="D10520" s="3">
        <v>5.0</v>
      </c>
    </row>
    <row r="10521" ht="15.75" customHeight="1">
      <c r="A10521" s="1">
        <v>11212.0</v>
      </c>
      <c r="B10521" s="3" t="s">
        <v>10065</v>
      </c>
      <c r="C10521" s="3" t="str">
        <f>IFERROR(__xludf.DUMMYFUNCTION("GOOGLETRANSLATE(B10521,""id"",""en"")"),"['knp', 'Hbis', 'update', 'open', '']")</f>
        <v>['knp', 'Hbis', 'update', 'open', '']</v>
      </c>
      <c r="D10521" s="3">
        <v>2.0</v>
      </c>
    </row>
    <row r="10522" ht="15.75" customHeight="1">
      <c r="A10522" s="1">
        <v>11213.0</v>
      </c>
      <c r="B10522" s="3" t="s">
        <v>10066</v>
      </c>
      <c r="C10522" s="3" t="str">
        <f>IFERROR(__xludf.DUMMYFUNCTION("GOOGLETRANSLATE(B10522,""id"",""en"")"),"['application', 'Telkomsel', 'open', 'already', 'uninstall', 'install']")</f>
        <v>['application', 'Telkomsel', 'open', 'already', 'uninstall', 'install']</v>
      </c>
      <c r="D10522" s="3">
        <v>2.0</v>
      </c>
    </row>
    <row r="10523" ht="15.75" customHeight="1">
      <c r="A10523" s="1">
        <v>11214.0</v>
      </c>
      <c r="B10523" s="3" t="s">
        <v>10067</v>
      </c>
      <c r="C10523" s="3" t="str">
        <f>IFERROR(__xludf.DUMMYFUNCTION("GOOGLETRANSLATE(B10523,""id"",""en"")"),"['application', 'error', 'right', 'opened', '']")</f>
        <v>['application', 'error', 'right', 'opened', '']</v>
      </c>
      <c r="D10523" s="3">
        <v>3.0</v>
      </c>
    </row>
    <row r="10524" ht="15.75" customHeight="1">
      <c r="A10524" s="1">
        <v>11215.0</v>
      </c>
      <c r="B10524" s="3" t="s">
        <v>10068</v>
      </c>
      <c r="C10524" s="3" t="str">
        <f>IFERROR(__xludf.DUMMYFUNCTION("GOOGLETRANSLATE(B10524,""id"",""en"")"),"['chaotic', 'Telkomsel', 'disease', 'difficult', 'times', 'enter', 'liquid', 'development', 'setback', '']")</f>
        <v>['chaotic', 'Telkomsel', 'disease', 'difficult', 'times', 'enter', 'liquid', 'development', 'setback', '']</v>
      </c>
      <c r="D10524" s="3">
        <v>1.0</v>
      </c>
    </row>
    <row r="10525" ht="15.75" customHeight="1">
      <c r="A10525" s="1">
        <v>11217.0</v>
      </c>
      <c r="B10525" s="3" t="s">
        <v>10069</v>
      </c>
      <c r="C10525" s="3" t="str">
        <f>IFERROR(__xludf.DUMMYFUNCTION("GOOGLETRANSLATE(B10525,""id"",""en"")"),"['Display', 'Apllation', 'blank']")</f>
        <v>['Display', 'Apllation', 'blank']</v>
      </c>
      <c r="D10525" s="3">
        <v>1.0</v>
      </c>
    </row>
    <row r="10526" ht="15.75" customHeight="1">
      <c r="A10526" s="1">
        <v>11218.0</v>
      </c>
      <c r="B10526" s="3" t="s">
        <v>10070</v>
      </c>
      <c r="C10526" s="3" t="str">
        <f>IFERROR(__xludf.DUMMYFUNCTION("GOOGLETRANSLATE(B10526,""id"",""en"")"),"['expensive', 'expensive', 'expensive', 'expensive', 'rampok', 'lag']")</f>
        <v>['expensive', 'expensive', 'expensive', 'expensive', 'rampok', 'lag']</v>
      </c>
      <c r="D10526" s="3">
        <v>1.0</v>
      </c>
    </row>
    <row r="10527" ht="15.75" customHeight="1">
      <c r="A10527" s="1">
        <v>11219.0</v>
      </c>
      <c r="B10527" s="3" t="s">
        <v>10071</v>
      </c>
      <c r="C10527" s="3" t="str">
        <f>IFERROR(__xludf.DUMMYFUNCTION("GOOGLETRANSLATE(B10527,""id"",""en"")"),"['quota', 'quota', 'pulse', 'point', 'appears',' sorry ',' reach ',' boundary ',' exchange ',' point ',' maximum ',' times', ' Please ',' Try ',' Opportunity ',' Thank "", 'Kasih', 'Powdem', 'Package', 'Please', 'The Info']")</f>
        <v>['quota', 'quota', 'pulse', 'point', 'appears',' sorry ',' reach ',' boundary ',' exchange ',' point ',' maximum ',' times', ' Please ',' Try ',' Opportunity ',' Thank ", 'Kasih', 'Powdem', 'Package', 'Please', 'The Info']</v>
      </c>
      <c r="D10527" s="3">
        <v>3.0</v>
      </c>
    </row>
    <row r="10528" ht="15.75" customHeight="1">
      <c r="A10528" s="1">
        <v>11221.0</v>
      </c>
      <c r="B10528" s="3" t="s">
        <v>471</v>
      </c>
      <c r="C10528" s="3" t="str">
        <f>IFERROR(__xludf.DUMMYFUNCTION("GOOGLETRANSLATE(B10528,""id"",""en"")"),"['']")</f>
        <v>['']</v>
      </c>
      <c r="D10528" s="3">
        <v>5.0</v>
      </c>
    </row>
    <row r="10529" ht="15.75" customHeight="1">
      <c r="A10529" s="1">
        <v>11222.0</v>
      </c>
      <c r="B10529" s="3" t="s">
        <v>10072</v>
      </c>
      <c r="C10529" s="3" t="str">
        <f>IFERROR(__xludf.DUMMYFUNCTION("GOOGLETRANSLATE(B10529,""id"",""en"")"),"['', 'Telkomsel', 'makes it easy', 'customers', 'Telkomsel', 'buy', 'pulses', 'data', 'cheap', 'price']")</f>
        <v>['', 'Telkomsel', 'makes it easy', 'customers', 'Telkomsel', 'buy', 'pulses', 'data', 'cheap', 'price']</v>
      </c>
      <c r="D10529" s="3">
        <v>4.0</v>
      </c>
    </row>
    <row r="10530" ht="15.75" customHeight="1">
      <c r="A10530" s="1">
        <v>11223.0</v>
      </c>
      <c r="B10530" s="3" t="s">
        <v>10073</v>
      </c>
      <c r="C10530" s="3" t="str">
        <f>IFERROR(__xludf.DUMMYFUNCTION("GOOGLETRANSLATE(B10530,""id"",""en"")"),"['application', 'open', 'install', 'application', 'access', '']")</f>
        <v>['application', 'open', 'install', 'application', 'access', '']</v>
      </c>
      <c r="D10530" s="3">
        <v>2.0</v>
      </c>
    </row>
    <row r="10531" ht="15.75" customHeight="1">
      <c r="A10531" s="1">
        <v>11224.0</v>
      </c>
      <c r="B10531" s="3" t="s">
        <v>4551</v>
      </c>
      <c r="C10531" s="3" t="str">
        <f>IFERROR(__xludf.DUMMYFUNCTION("GOOGLETRANSLATE(B10531,""id"",""en"")"),"['Increase', 'Quality', 'Sousal']")</f>
        <v>['Increase', 'Quality', 'Sousal']</v>
      </c>
      <c r="D10531" s="3">
        <v>5.0</v>
      </c>
    </row>
    <row r="10532" ht="15.75" customHeight="1">
      <c r="A10532" s="1">
        <v>11225.0</v>
      </c>
      <c r="B10532" s="3" t="s">
        <v>9252</v>
      </c>
      <c r="C10532" s="3" t="str">
        <f>IFERROR(__xludf.DUMMYFUNCTION("GOOGLETRANSLATE(B10532,""id"",""en"")"),"['expensive', '']")</f>
        <v>['expensive', '']</v>
      </c>
      <c r="D10532" s="3">
        <v>4.0</v>
      </c>
    </row>
    <row r="10533" ht="15.75" customHeight="1">
      <c r="A10533" s="1">
        <v>11226.0</v>
      </c>
      <c r="B10533" s="3" t="s">
        <v>10074</v>
      </c>
      <c r="C10533" s="3" t="str">
        <f>IFERROR(__xludf.DUMMYFUNCTION("GOOGLETRANSLATE(B10533,""id"",""en"")"),"['Perdana', 'Bad', 'Package', 'Internet', 'Out', 'Direct', 'Credit', 'Habisi']")</f>
        <v>['Perdana', 'Bad', 'Package', 'Internet', 'Out', 'Direct', 'Credit', 'Habisi']</v>
      </c>
      <c r="D10533" s="3">
        <v>1.0</v>
      </c>
    </row>
    <row r="10534" ht="15.75" customHeight="1">
      <c r="A10534" s="1">
        <v>11227.0</v>
      </c>
      <c r="B10534" s="3" t="s">
        <v>4359</v>
      </c>
      <c r="C10534" s="3" t="str">
        <f>IFERROR(__xludf.DUMMYFUNCTION("GOOGLETRANSLATE(B10534,""id"",""en"")"),"['fast', 'easy']")</f>
        <v>['fast', 'easy']</v>
      </c>
      <c r="D10534" s="3">
        <v>5.0</v>
      </c>
    </row>
    <row r="10535" ht="15.75" customHeight="1">
      <c r="A10535" s="1">
        <v>11228.0</v>
      </c>
      <c r="B10535" s="3" t="s">
        <v>10075</v>
      </c>
      <c r="C10535" s="3" t="str">
        <f>IFERROR(__xludf.DUMMYFUNCTION("GOOGLETRANSLATE(B10535,""id"",""en"")"),"['Login', 'Ouch', 'SMS', 'Code']")</f>
        <v>['Login', 'Ouch', 'SMS', 'Code']</v>
      </c>
      <c r="D10535" s="3">
        <v>1.0</v>
      </c>
    </row>
    <row r="10536" ht="15.75" customHeight="1">
      <c r="A10536" s="1">
        <v>11229.0</v>
      </c>
      <c r="B10536" s="3" t="s">
        <v>644</v>
      </c>
      <c r="C10536" s="3" t="str">
        <f>IFERROR(__xludf.DUMMYFUNCTION("GOOGLETRANSLATE(B10536,""id"",""en"")"),"['Promo']")</f>
        <v>['Promo']</v>
      </c>
      <c r="D10536" s="3">
        <v>3.0</v>
      </c>
    </row>
    <row r="10537" ht="15.75" customHeight="1">
      <c r="A10537" s="1">
        <v>11230.0</v>
      </c>
      <c r="B10537" s="3" t="s">
        <v>10076</v>
      </c>
      <c r="C10537" s="3" t="str">
        <f>IFERROR(__xludf.DUMMYFUNCTION("GOOGLETRANSLATE(B10537,""id"",""en"")"),"['pulse', 'right', 'buy', 'package', 'SMS', 'leftover', 'pulse', 'sufficient', 'buy', 'package', 'internet', 'please', ' Fill ',' reset ',' contact ',' activate ',' package ',' emergency ',' knp ',' so ',' ajg ',' gajelas', 'telkomsel', 'package', 'expens"&amp;"ive' , 'Bug', 'kntle']")</f>
        <v>['pulse', 'right', 'buy', 'package', 'SMS', 'leftover', 'pulse', 'sufficient', 'buy', 'package', 'internet', 'please', ' Fill ',' reset ',' contact ',' activate ',' package ',' emergency ',' knp ',' so ',' ajg ',' gajelas', 'telkomsel', 'package', 'expensive' , 'Bug', 'kntle']</v>
      </c>
      <c r="D10537" s="3">
        <v>1.0</v>
      </c>
    </row>
    <row r="10538" ht="15.75" customHeight="1">
      <c r="A10538" s="1">
        <v>11231.0</v>
      </c>
      <c r="B10538" s="3" t="s">
        <v>10077</v>
      </c>
      <c r="C10538" s="3" t="str">
        <f>IFERROR(__xludf.DUMMYFUNCTION("GOOGLETRANSLATE(B10538,""id"",""en"")"),"['Hopefully', 'fixtest']")</f>
        <v>['Hopefully', 'fixtest']</v>
      </c>
      <c r="D10538" s="3">
        <v>3.0</v>
      </c>
    </row>
    <row r="10539" ht="15.75" customHeight="1">
      <c r="A10539" s="1">
        <v>11232.0</v>
      </c>
      <c r="B10539" s="3" t="s">
        <v>10078</v>
      </c>
      <c r="C10539" s="3" t="str">
        <f>IFERROR(__xludf.DUMMYFUNCTION("GOOGLETRANSLATE(B10539,""id"",""en"")"),"['ask', 'times', 'Install', 'the application', 'open', 'quota', 'pulse', 'Please', 'instructions']")</f>
        <v>['ask', 'times', 'Install', 'the application', 'open', 'quota', 'pulse', 'Please', 'instructions']</v>
      </c>
      <c r="D10539" s="3">
        <v>1.0</v>
      </c>
    </row>
    <row r="10540" ht="15.75" customHeight="1">
      <c r="A10540" s="1">
        <v>11233.0</v>
      </c>
      <c r="B10540" s="3" t="s">
        <v>10079</v>
      </c>
      <c r="C10540" s="3" t="str">
        <f>IFERROR(__xludf.DUMMYFUNCTION("GOOGLETRANSLATE(B10540,""id"",""en"")"),"['Telkomsel', 'many years', 'lottery', 'prize', 'Kringeria', 'gift', 'God willing', 'dapt']")</f>
        <v>['Telkomsel', 'many years', 'lottery', 'prize', 'Kringeria', 'gift', 'God willing', 'dapt']</v>
      </c>
      <c r="D10540" s="3">
        <v>4.0</v>
      </c>
    </row>
    <row r="10541" ht="15.75" customHeight="1">
      <c r="A10541" s="1">
        <v>11234.0</v>
      </c>
      <c r="B10541" s="3" t="s">
        <v>10080</v>
      </c>
      <c r="C10541" s="3" t="str">
        <f>IFERROR(__xludf.DUMMYFUNCTION("GOOGLETRANSLATE(B10541,""id"",""en"")"),"['Already', 'Install', 'BBR', 'Times', 'Opened']")</f>
        <v>['Already', 'Install', 'BBR', 'Times', 'Opened']</v>
      </c>
      <c r="D10541" s="3">
        <v>1.0</v>
      </c>
    </row>
    <row r="10542" ht="15.75" customHeight="1">
      <c r="A10542" s="1">
        <v>11235.0</v>
      </c>
      <c r="B10542" s="3" t="s">
        <v>10081</v>
      </c>
      <c r="C10542" s="3" t="str">
        <f>IFERROR(__xludf.DUMMYFUNCTION("GOOGLETRANSLATE(B10542,""id"",""en"")"),"['The application', 'slow', 'really', 'tends', 'opened', 'Telkomsel', 'hny', 'fortunately', 'Think', ""]")</f>
        <v>['The application', 'slow', 'really', 'tends', 'opened', 'Telkomsel', 'hny', 'fortunately', 'Think', "]</v>
      </c>
      <c r="D10542" s="3">
        <v>2.0</v>
      </c>
    </row>
    <row r="10543" ht="15.75" customHeight="1">
      <c r="A10543" s="1">
        <v>11236.0</v>
      </c>
      <c r="B10543" s="3" t="s">
        <v>10082</v>
      </c>
      <c r="C10543" s="3" t="str">
        <f>IFERROR(__xludf.DUMMYFUNCTION("GOOGLETRANSLATE(B10543,""id"",""en"")"),"['package', 'expensive', 'expensive', 'cheap', 'special', 'talk']]")</f>
        <v>['package', 'expensive', 'expensive', 'cheap', 'special', 'talk']]</v>
      </c>
      <c r="D10543" s="3">
        <v>1.0</v>
      </c>
    </row>
    <row r="10544" ht="15.75" customHeight="1">
      <c r="A10544" s="1">
        <v>11237.0</v>
      </c>
      <c r="B10544" s="3" t="s">
        <v>10083</v>
      </c>
      <c r="C10544" s="3" t="str">
        <f>IFERROR(__xludf.DUMMYFUNCTION("GOOGLETRANSLATE(B10544,""id"",""en"")"),"['woi', 'Telkomsel', 'network', 'difficult', 'times', 'play', 'game', 'network', '']")</f>
        <v>['woi', 'Telkomsel', 'network', 'difficult', 'times', 'play', 'game', 'network', '']</v>
      </c>
      <c r="D10544" s="3">
        <v>1.0</v>
      </c>
    </row>
    <row r="10545" ht="15.75" customHeight="1">
      <c r="A10545" s="1">
        <v>11238.0</v>
      </c>
      <c r="B10545" s="3" t="s">
        <v>7509</v>
      </c>
      <c r="C10545" s="3" t="str">
        <f>IFERROR(__xludf.DUMMYFUNCTION("GOOGLETRANSLATE(B10545,""id"",""en"")"),"['The network', 'good']")</f>
        <v>['The network', 'good']</v>
      </c>
      <c r="D10545" s="3">
        <v>1.0</v>
      </c>
    </row>
    <row r="10546" ht="15.75" customHeight="1">
      <c r="A10546" s="1">
        <v>11239.0</v>
      </c>
      <c r="B10546" s="3" t="s">
        <v>10084</v>
      </c>
      <c r="C10546" s="3" t="str">
        <f>IFERROR(__xludf.DUMMYFUNCTION("GOOGLETRANSLATE(B10546,""id"",""en"")"),"['Try', 'friendly', 'price', 'package', 'kouta', 'price', 'compete', 'cheap', 'please', 'pay attention', 'Telkomsel']")</f>
        <v>['Try', 'friendly', 'price', 'package', 'kouta', 'price', 'compete', 'cheap', 'please', 'pay attention', 'Telkomsel']</v>
      </c>
      <c r="D10546" s="3">
        <v>1.0</v>
      </c>
    </row>
    <row r="10547" ht="15.75" customHeight="1">
      <c r="A10547" s="1">
        <v>11240.0</v>
      </c>
      <c r="B10547" s="3" t="s">
        <v>10085</v>
      </c>
      <c r="C10547" s="3" t="str">
        <f>IFERROR(__xludf.DUMMYFUNCTION("GOOGLETRANSLATE(B10547,""id"",""en"")"),"['Application', 'good', 'help']")</f>
        <v>['Application', 'good', 'help']</v>
      </c>
      <c r="D10547" s="3">
        <v>5.0</v>
      </c>
    </row>
    <row r="10548" ht="15.75" customHeight="1">
      <c r="A10548" s="1">
        <v>11241.0</v>
      </c>
      <c r="B10548" s="3" t="s">
        <v>6680</v>
      </c>
      <c r="C10548" s="3" t="str">
        <f>IFERROR(__xludf.DUMMYFUNCTION("GOOGLETRANSLATE(B10548,""id"",""en"")"),"['bad']")</f>
        <v>['bad']</v>
      </c>
      <c r="D10548" s="3">
        <v>1.0</v>
      </c>
    </row>
    <row r="10549" ht="15.75" customHeight="1">
      <c r="A10549" s="1">
        <v>11242.0</v>
      </c>
      <c r="B10549" s="3" t="s">
        <v>10086</v>
      </c>
      <c r="C10549" s="3" t="str">
        <f>IFERROR(__xludf.DUMMYFUNCTION("GOOGLETRANSLATE(B10549,""id"",""en"")"),"['Signal', 'Severe', 'repairs',' buy ',' quota ',' use ',' obstacle ',' signal ',' bad ',' pantes', 'nge', 'moved', ' card ',' signal ',' difficult ',' kek ',' gini ']")</f>
        <v>['Signal', 'Severe', 'repairs',' buy ',' quota ',' use ',' obstacle ',' signal ',' bad ',' pantes', 'nge', 'moved', ' card ',' signal ',' difficult ',' kek ',' gini ']</v>
      </c>
      <c r="D10549" s="3">
        <v>1.0</v>
      </c>
    </row>
    <row r="10550" ht="15.75" customHeight="1">
      <c r="A10550" s="1">
        <v>11243.0</v>
      </c>
      <c r="B10550" s="3" t="s">
        <v>10087</v>
      </c>
      <c r="C10550" s="3" t="str">
        <f>IFERROR(__xludf.DUMMYFUNCTION("GOOGLETRANSLATE(B10550,""id"",""en"")"),"['', 'telecom', 'error', 'week', 'screen', 'white', 'cellphone', 'confusion', ""]")</f>
        <v>['', 'telecom', 'error', 'week', 'screen', 'white', 'cellphone', 'confusion', "]</v>
      </c>
      <c r="D10550" s="3">
        <v>5.0</v>
      </c>
    </row>
    <row r="10551" ht="15.75" customHeight="1">
      <c r="A10551" s="1">
        <v>11244.0</v>
      </c>
      <c r="B10551" s="3" t="s">
        <v>10088</v>
      </c>
      <c r="C10551" s="3" t="str">
        <f>IFERROR(__xludf.DUMMYFUNCTION("GOOGLETRANSLATE(B10551,""id"",""en"")"),"['love', 'star', 'dlu', 'network', 'slow', 'bet', 'ntah', 'knp', 'kouta', 'GB', 'chat', 'right', ' Play ',' Game ',' Bet ',' Lobby ',' Turn ',' Game ',' Current ',' Download ',' MB ',' SEC ',' KB ',' SEC ',' Repair ' , 'again']")</f>
        <v>['love', 'star', 'dlu', 'network', 'slow', 'bet', 'ntah', 'knp', 'kouta', 'GB', 'chat', 'right', ' Play ',' Game ',' Bet ',' Lobby ',' Turn ',' Game ',' Current ',' Download ',' MB ',' SEC ',' KB ',' SEC ',' Repair ' , 'again']</v>
      </c>
      <c r="D10551" s="3">
        <v>3.0</v>
      </c>
    </row>
    <row r="10552" ht="15.75" customHeight="1">
      <c r="A10552" s="1">
        <v>11245.0</v>
      </c>
      <c r="B10552" s="3" t="s">
        <v>10089</v>
      </c>
      <c r="C10552" s="3" t="str">
        <f>IFERROR(__xludf.DUMMYFUNCTION("GOOGLETRANSLATE(B10552,""id"",""en"")"),"['Severe', 'buy', 'quota', 'enter', 'contac', 'blz', 'abis',' ksi ',' solution ',' diemin ',' thousand ',' apes', ' ']")</f>
        <v>['Severe', 'buy', 'quota', 'enter', 'contac', 'blz', 'abis',' ksi ',' solution ',' diemin ',' thousand ',' apes', ' ']</v>
      </c>
      <c r="D10552" s="3">
        <v>1.0</v>
      </c>
    </row>
    <row r="10553" ht="15.75" customHeight="1">
      <c r="A10553" s="1">
        <v>11246.0</v>
      </c>
      <c r="B10553" s="3" t="s">
        <v>10090</v>
      </c>
      <c r="C10553" s="3" t="str">
        <f>IFERROR(__xludf.DUMMYFUNCTION("GOOGLETRANSLATE(B10553,""id"",""en"")"),"['Trimakaasih', 'buy', 'PULASA', 'TEMAPA', 'LAHI']")</f>
        <v>['Trimakaasih', 'buy', 'PULASA', 'TEMAPA', 'LAHI']</v>
      </c>
      <c r="D10553" s="3">
        <v>5.0</v>
      </c>
    </row>
    <row r="10554" ht="15.75" customHeight="1">
      <c r="A10554" s="1">
        <v>11247.0</v>
      </c>
      <c r="B10554" s="3" t="s">
        <v>10091</v>
      </c>
      <c r="C10554" s="3" t="str">
        <f>IFERROR(__xludf.DUMMYFUNCTION("GOOGLETRANSLATE(B10554,""id"",""en"")"),"['Need', 'money', 'fill', 'package', 'network', 'dead', 'buy', 'package', 'expensive', 'expensive', 'the network', 'cheap', ' according to ',' price ',' what ',' Indonesia ',' advanced ',' company ',' menting ',' money ',' satisfaction ',' customer ',' fi"&amp;"lling ',' pulses', 'run out' , 'Padaha', 'pulses',' pulses', 'run out', 'sumps',' how ',' Telkomsel ',' network ',' difficult ',' rain ',' signal ',' missing ',' emang ',' network ',' cheap ',' that's', 'emang']")</f>
        <v>['Need', 'money', 'fill', 'package', 'network', 'dead', 'buy', 'package', 'expensive', 'expensive', 'the network', 'cheap', ' according to ',' price ',' what ',' Indonesia ',' advanced ',' company ',' menting ',' money ',' satisfaction ',' customer ',' filling ',' pulses', 'run out' , 'Padaha', 'pulses',' pulses', 'run out', 'sumps',' how ',' Telkomsel ',' network ',' difficult ',' rain ',' signal ',' missing ',' emang ',' network ',' cheap ',' that's', 'emang']</v>
      </c>
      <c r="D10554" s="3">
        <v>1.0</v>
      </c>
    </row>
    <row r="10555" ht="15.75" customHeight="1">
      <c r="A10555" s="1">
        <v>11248.0</v>
      </c>
      <c r="B10555" s="3" t="s">
        <v>10092</v>
      </c>
      <c r="C10555" s="3" t="str">
        <f>IFERROR(__xludf.DUMMYFUNCTION("GOOGLETRANSLATE(B10555,""id"",""en"")"),"['Update', 'screen', 'colored', 'white', 'a week', 'Reinstall', 'Tetep', 'Changed', 'Please', 'Aceated', 'Samsung', ""]")</f>
        <v>['Update', 'screen', 'colored', 'white', 'a week', 'Reinstall', 'Tetep', 'Changed', 'Please', 'Aceated', 'Samsung', "]</v>
      </c>
      <c r="D10555" s="3">
        <v>3.0</v>
      </c>
    </row>
    <row r="10556" ht="15.75" customHeight="1">
      <c r="A10556" s="1">
        <v>11249.0</v>
      </c>
      <c r="B10556" s="3" t="s">
        <v>10093</v>
      </c>
      <c r="C10556" s="3" t="str">
        <f>IFERROR(__xludf.DUMMYFUNCTION("GOOGLETRANSLATE(B10556,""id"",""en"")"),"['Open', 'screen', 'white', ""]")</f>
        <v>['Open', 'screen', 'white', "]</v>
      </c>
      <c r="D10556" s="3">
        <v>5.0</v>
      </c>
    </row>
    <row r="10557" ht="15.75" customHeight="1">
      <c r="A10557" s="1">
        <v>11250.0</v>
      </c>
      <c r="B10557" s="3" t="s">
        <v>10094</v>
      </c>
      <c r="C10557" s="3" t="str">
        <f>IFERROR(__xludf.DUMMYFUNCTION("GOOGLETRANSLATE(B10557,""id"",""en"")"),"['Network', 'Good', 'Package', 'Quota', 'Expensive', 'Since', 'Tri', 'Network', 'Telkomsel', 'Quality', 'Network', 'Decline', ' Suppose ',' Check ',' SMS ',' Enter ',' APK ',' Telkomsel ',' Buay ',' Card ',' Pairs', 'Modem', 'Siipp', 'Application', 'APK' "&amp;"]")</f>
        <v>['Network', 'Good', 'Package', 'Quota', 'Expensive', 'Since', 'Tri', 'Network', 'Telkomsel', 'Quality', 'Network', 'Decline', ' Suppose ',' Check ',' SMS ',' Enter ',' APK ',' Telkomsel ',' Buay ',' Card ',' Pairs', 'Modem', 'Siipp', 'Application', 'APK' ]</v>
      </c>
      <c r="D10557" s="3">
        <v>4.0</v>
      </c>
    </row>
    <row r="10558" ht="15.75" customHeight="1">
      <c r="A10558" s="1">
        <v>11251.0</v>
      </c>
      <c r="B10558" s="3" t="s">
        <v>10095</v>
      </c>
      <c r="C10558" s="3" t="str">
        <f>IFERROR(__xludf.DUMMYFUNCTION("GOOGLETRANSLATE(B10558,""id"",""en"")"),"['promo', 'steady', '']")</f>
        <v>['promo', 'steady', '']</v>
      </c>
      <c r="D10558" s="3">
        <v>5.0</v>
      </c>
    </row>
    <row r="10559" ht="15.75" customHeight="1">
      <c r="A10559" s="1">
        <v>11252.0</v>
      </c>
      <c r="B10559" s="3" t="s">
        <v>10096</v>
      </c>
      <c r="C10559" s="3" t="str">
        <f>IFERROR(__xludf.DUMMYFUNCTION("GOOGLETRANSLATE(B10559,""id"",""en"")"),"['Update', 'No', 'opened', 'how', 'Bagusan', 'APK']")</f>
        <v>['Update', 'No', 'opened', 'how', 'Bagusan', 'APK']</v>
      </c>
      <c r="D10559" s="3">
        <v>1.0</v>
      </c>
    </row>
    <row r="10560" ht="15.75" customHeight="1">
      <c r="A10560" s="1">
        <v>11253.0</v>
      </c>
      <c r="B10560" s="3" t="s">
        <v>10097</v>
      </c>
      <c r="C10560" s="3" t="str">
        <f>IFERROR(__xludf.DUMMYFUNCTION("GOOGLETRANSLATE(B10560,""id"",""en"")"),"['pulse', 'lost', 'package', 'firmness',' Telkomsel ',' individual ',' emang ',' policy ',' Telkomsel ',' policy ',' policy ',' take it ',' Credit ',' person ']")</f>
        <v>['pulse', 'lost', 'package', 'firmness',' Telkomsel ',' individual ',' emang ',' policy ',' Telkomsel ',' policy ',' policy ',' take it ',' Credit ',' person ']</v>
      </c>
      <c r="D10560" s="3">
        <v>1.0</v>
      </c>
    </row>
    <row r="10561" ht="15.75" customHeight="1">
      <c r="A10561" s="1">
        <v>11254.0</v>
      </c>
      <c r="B10561" s="3" t="s">
        <v>4434</v>
      </c>
      <c r="C10561" s="3" t="str">
        <f>IFERROR(__xludf.DUMMYFUNCTION("GOOGLETRANSLATE(B10561,""id"",""en"")"),"['Application', 'opened', '']")</f>
        <v>['Application', 'opened', '']</v>
      </c>
      <c r="D10561" s="3">
        <v>1.0</v>
      </c>
    </row>
    <row r="10562" ht="15.75" customHeight="1">
      <c r="A10562" s="1">
        <v>11255.0</v>
      </c>
      <c r="B10562" s="3" t="s">
        <v>10098</v>
      </c>
      <c r="C10562" s="3" t="str">
        <f>IFERROR(__xludf.DUMMYFUNCTION("GOOGLETRANSLATE(B10562,""id"",""en"")"),"['Sis', 'stuck', 'screen', 'white', 'right', 'enter', 'Telkomsel', 'child', 'safe', 'stuck', 'screen', 'white']")</f>
        <v>['Sis', 'stuck', 'screen', 'white', 'right', 'enter', 'Telkomsel', 'child', 'safe', 'stuck', 'screen', 'white']</v>
      </c>
      <c r="D10562" s="3">
        <v>1.0</v>
      </c>
    </row>
    <row r="10563" ht="15.75" customHeight="1">
      <c r="A10563" s="1">
        <v>11256.0</v>
      </c>
      <c r="B10563" s="3" t="s">
        <v>10099</v>
      </c>
      <c r="C10563" s="3" t="str">
        <f>IFERROR(__xludf.DUMMYFUNCTION("GOOGLETRANSLATE(B10563,""id"",""en"")"),"['Telkomsel', 'like', 'mkan', 'pulse', 'package', 'run out', 'date', 'pdhal', 'gada', 'open', 'application', 'udh', ' Sumpot ',' pulse ',' pko ',' sincere ', ""]")</f>
        <v>['Telkomsel', 'like', 'mkan', 'pulse', 'package', 'run out', 'date', 'pdhal', 'gada', 'open', 'application', 'udh', ' Sumpot ',' pulse ',' pko ',' sincere ', "]</v>
      </c>
      <c r="D10563" s="3">
        <v>1.0</v>
      </c>
    </row>
    <row r="10564" ht="15.75" customHeight="1">
      <c r="A10564" s="1">
        <v>11257.0</v>
      </c>
      <c r="B10564" s="3" t="s">
        <v>10100</v>
      </c>
      <c r="C10564" s="3" t="str">
        <f>IFERROR(__xludf.DUMMYFUNCTION("GOOGLETRANSLATE(B10564,""id"",""en"")"),"['credit', 'Telkomsel', 'truncated', 'usage', 'internet', 'internet', 'turned off', 'use', 'internet', 'Telkomsel', 'Genesis',' card ',' Telkomsel ',' wife ',' notice ',' cutting ',' pulse ',' usage ',' internet ',' clock ',' run out ',' pulse ',' truncat"&amp;"ed ',' tlg ',' clarified ' , 'Telkomsel', 'Thanks']")</f>
        <v>['credit', 'Telkomsel', 'truncated', 'usage', 'internet', 'internet', 'turned off', 'use', 'internet', 'Telkomsel', 'Genesis',' card ',' Telkomsel ',' wife ',' notice ',' cutting ',' pulse ',' usage ',' internet ',' clock ',' run out ',' pulse ',' truncated ',' tlg ',' clarified ' , 'Telkomsel', 'Thanks']</v>
      </c>
      <c r="D10564" s="3">
        <v>1.0</v>
      </c>
    </row>
    <row r="10565" ht="15.75" customHeight="1">
      <c r="A10565" s="1">
        <v>11258.0</v>
      </c>
      <c r="B10565" s="3" t="s">
        <v>10101</v>
      </c>
      <c r="C10565" s="3" t="str">
        <f>IFERROR(__xludf.DUMMYFUNCTION("GOOGLETRANSLATE(B10565,""id"",""en"")"),"['Telkomsel', 'poor', 'price', 'quota', 'already', 'expensive', 'like', 'suck', 'pulse', 'mulu', 'job', 'gift', ' people']")</f>
        <v>['Telkomsel', 'poor', 'price', 'quota', 'already', 'expensive', 'like', 'suck', 'pulse', 'mulu', 'job', 'gift', ' people']</v>
      </c>
      <c r="D10565" s="3">
        <v>1.0</v>
      </c>
    </row>
    <row r="10566" ht="15.75" customHeight="1">
      <c r="A10566" s="1">
        <v>11259.0</v>
      </c>
      <c r="B10566" s="3" t="s">
        <v>10102</v>
      </c>
      <c r="C10566" s="3" t="str">
        <f>IFERROR(__xludf.DUMMYFUNCTION("GOOGLETRANSLATE(B10566,""id"",""en"")"),"['Open']")</f>
        <v>['Open']</v>
      </c>
      <c r="D10566" s="3">
        <v>1.0</v>
      </c>
    </row>
    <row r="10567" ht="15.75" customHeight="1">
      <c r="A10567" s="1">
        <v>11260.0</v>
      </c>
      <c r="B10567" s="3" t="s">
        <v>10103</v>
      </c>
      <c r="C10567" s="3" t="str">
        <f>IFERROR(__xludf.DUMMYFUNCTION("GOOGLETRANSLATE(B10567,""id"",""en"")"),"['makes it easier', 'service', 'good', 'bother']")</f>
        <v>['makes it easier', 'service', 'good', 'bother']</v>
      </c>
      <c r="D10567" s="3">
        <v>5.0</v>
      </c>
    </row>
    <row r="10568" ht="15.75" customHeight="1">
      <c r="A10568" s="1">
        <v>11261.0</v>
      </c>
      <c r="B10568" s="3" t="s">
        <v>10104</v>
      </c>
      <c r="C10568" s="3" t="str">
        <f>IFERROR(__xludf.DUMMYFUNCTION("GOOGLETRANSLATE(B10568,""id"",""en"")"),"['already', 'mah', 'application', 'gabisa', 'opened', 'price', 'package', 'men']")</f>
        <v>['already', 'mah', 'application', 'gabisa', 'opened', 'price', 'package', 'men']</v>
      </c>
      <c r="D10568" s="3">
        <v>1.0</v>
      </c>
    </row>
    <row r="10569" ht="15.75" customHeight="1">
      <c r="A10569" s="1">
        <v>11262.0</v>
      </c>
      <c r="B10569" s="3" t="s">
        <v>10105</v>
      </c>
      <c r="C10569" s="3" t="str">
        <f>IFERROR(__xludf.DUMMYFUNCTION("GOOGLETRANSLATE(B10569,""id"",""en"")"),"['', 'MNA', 'fast', 'enter', 'application', 'Dri', 'Telkomsel', '']")</f>
        <v>['', 'MNA', 'fast', 'enter', 'application', 'Dri', 'Telkomsel', '']</v>
      </c>
      <c r="D10569" s="3">
        <v>1.0</v>
      </c>
    </row>
    <row r="10570" ht="15.75" customHeight="1">
      <c r="A10570" s="1">
        <v>11263.0</v>
      </c>
      <c r="B10570" s="3" t="s">
        <v>4750</v>
      </c>
      <c r="C10570" s="3" t="str">
        <f>IFERROR(__xludf.DUMMYFUNCTION("GOOGLETRANSLATE(B10570,""id"",""en"")"),"['The application', 'opened']")</f>
        <v>['The application', 'opened']</v>
      </c>
      <c r="D10570" s="3">
        <v>5.0</v>
      </c>
    </row>
    <row r="10571" ht="15.75" customHeight="1">
      <c r="A10571" s="1">
        <v>11264.0</v>
      </c>
      <c r="B10571" s="3" t="s">
        <v>10106</v>
      </c>
      <c r="C10571" s="3" t="str">
        <f>IFERROR(__xludf.DUMMYFUNCTION("GOOGLETRANSLATE(B10571,""id"",""en"")"),"['The application', 'quality', 'network', 'balanced', 'price', 'price', 'expensive', 'quality', 'joblok', '']")</f>
        <v>['The application', 'quality', 'network', 'balanced', 'price', 'price', 'expensive', 'quality', 'joblok', '']</v>
      </c>
      <c r="D10571" s="3">
        <v>1.0</v>
      </c>
    </row>
    <row r="10572" ht="15.75" customHeight="1">
      <c r="A10572" s="1">
        <v>11265.0</v>
      </c>
      <c r="B10572" s="3" t="s">
        <v>10107</v>
      </c>
      <c r="C10572" s="3" t="str">
        <f>IFERROR(__xludf.DUMMYFUNCTION("GOOGLETRANSLATE(B10572,""id"",""en"")"),"['', 'iPhone', 'open', 'download', 'android', 'ngk', 'open', 'mentally', 'mentally', 'mulu', 'yaaa', ""]")</f>
        <v>['', 'iPhone', 'open', 'download', 'android', 'ngk', 'open', 'mentally', 'mentally', 'mulu', 'yaaa', "]</v>
      </c>
      <c r="D10572" s="3">
        <v>1.0</v>
      </c>
    </row>
    <row r="10573" ht="15.75" customHeight="1">
      <c r="A10573" s="1">
        <v>11266.0</v>
      </c>
      <c r="B10573" s="3" t="s">
        <v>10108</v>
      </c>
      <c r="C10573" s="3" t="str">
        <f>IFERROR(__xludf.DUMMYFUNCTION("GOOGLETRANSLATE(B10573,""id"",""en"")"),"['okay']")</f>
        <v>['okay']</v>
      </c>
      <c r="D10573" s="3">
        <v>4.0</v>
      </c>
    </row>
    <row r="10574" ht="15.75" customHeight="1">
      <c r="A10574" s="1">
        <v>11267.0</v>
      </c>
      <c r="B10574" s="3" t="s">
        <v>10109</v>
      </c>
      <c r="C10574" s="3" t="str">
        <f>IFERROR(__xludf.DUMMYFUNCTION("GOOGLETRANSLATE(B10574,""id"",""en"")"),"['Cheap', 'donk', 'min']")</f>
        <v>['Cheap', 'donk', 'min']</v>
      </c>
      <c r="D10574" s="3">
        <v>4.0</v>
      </c>
    </row>
    <row r="10575" ht="15.75" customHeight="1">
      <c r="A10575" s="1">
        <v>11268.0</v>
      </c>
      <c r="B10575" s="3" t="s">
        <v>10110</v>
      </c>
      <c r="C10575" s="3" t="str">
        <f>IFERROR(__xludf.DUMMYFUNCTION("GOOGLETRANSLATE(B10575,""id"",""en"")"),"['Min', 'please', 'Telkomsel', 'open', 'contents', 'quota']")</f>
        <v>['Min', 'please', 'Telkomsel', 'open', 'contents', 'quota']</v>
      </c>
      <c r="D10575" s="3">
        <v>5.0</v>
      </c>
    </row>
    <row r="10576" ht="15.75" customHeight="1">
      <c r="A10576" s="1">
        <v>11269.0</v>
      </c>
      <c r="B10576" s="3" t="s">
        <v>10111</v>
      </c>
      <c r="C10576" s="3" t="str">
        <f>IFERROR(__xludf.DUMMYFUNCTION("GOOGLETRANSLATE(B10576,""id"",""en"")"),"['Telkomsel', 'emang', 'Different', 'no' secondly ',' diamana ', ""]")</f>
        <v>['Telkomsel', 'emang', 'Different', 'no' secondly ',' diamana ', "]</v>
      </c>
      <c r="D10576" s="3">
        <v>5.0</v>
      </c>
    </row>
    <row r="10577" ht="15.75" customHeight="1">
      <c r="A10577" s="1">
        <v>11270.0</v>
      </c>
      <c r="B10577" s="3" t="s">
        <v>10112</v>
      </c>
      <c r="C10577" s="3" t="str">
        <f>IFERROR(__xludf.DUMMYFUNCTION("GOOGLETRANSLATE(B10577,""id"",""en"")"),"['buy', 'Fulsa', 'buy', 'package', 'application', 'Ammpuuun', '']")</f>
        <v>['buy', 'Fulsa', 'buy', 'package', 'application', 'Ammpuuun', '']</v>
      </c>
      <c r="D10577" s="3">
        <v>1.0</v>
      </c>
    </row>
    <row r="10578" ht="15.75" customHeight="1">
      <c r="A10578" s="1">
        <v>11271.0</v>
      </c>
      <c r="B10578" s="3" t="s">
        <v>10113</v>
      </c>
      <c r="C10578" s="3" t="str">
        <f>IFERROR(__xludf.DUMMYFUNCTION("GOOGLETRANSLATE(B10578,""id"",""en"")"),"['Please', 'Love', 'Paketan', 'Internet', 'YYY']")</f>
        <v>['Please', 'Love', 'Paketan', 'Internet', 'YYY']</v>
      </c>
      <c r="D10578" s="3">
        <v>5.0</v>
      </c>
    </row>
    <row r="10579" ht="15.75" customHeight="1">
      <c r="A10579" s="1">
        <v>11272.0</v>
      </c>
      <c r="B10579" s="3" t="s">
        <v>10114</v>
      </c>
      <c r="C10579" s="3" t="str">
        <f>IFERROR(__xludf.DUMMYFUNCTION("GOOGLETRANSLATE(B10579,""id"",""en"")"),"['Network', 'ngeedown', 'play', 'game']")</f>
        <v>['Network', 'ngeedown', 'play', 'game']</v>
      </c>
      <c r="D10579" s="3">
        <v>1.0</v>
      </c>
    </row>
    <row r="10580" ht="15.75" customHeight="1">
      <c r="A10580" s="1">
        <v>11273.0</v>
      </c>
      <c r="B10580" s="3" t="s">
        <v>10115</v>
      </c>
      <c r="C10580" s="3" t="str">
        <f>IFERROR(__xludf.DUMMYFUNCTION("GOOGLETRANSLATE(B10580,""id"",""en"")"),"['okehhhh', 'trimakasih', 'network', 'boost', 'quality']")</f>
        <v>['okehhhh', 'trimakasih', 'network', 'boost', 'quality']</v>
      </c>
      <c r="D10580" s="3">
        <v>1.0</v>
      </c>
    </row>
    <row r="10581" ht="15.75" customHeight="1">
      <c r="A10581" s="1">
        <v>11274.0</v>
      </c>
      <c r="B10581" s="3" t="s">
        <v>10116</v>
      </c>
      <c r="C10581" s="3" t="str">
        <f>IFERROR(__xludf.DUMMYFUNCTION("GOOGLETRANSLATE(B10581,""id"",""en"")"),"['Developer', 'Dear', 'kah', 'you', 'fix', 'bug', 'open', 'right', 'login', 'white', 'anything', 'press',' button ',' back ',' hope ',' developer ',' respond ',' comment ',' fix it ',' ']")</f>
        <v>['Developer', 'Dear', 'kah', 'you', 'fix', 'bug', 'open', 'right', 'login', 'white', 'anything', 'press',' button ',' back ',' hope ',' developer ',' respond ',' comment ',' fix it ',' ']</v>
      </c>
      <c r="D10581" s="3">
        <v>2.0</v>
      </c>
    </row>
    <row r="10582" ht="15.75" customHeight="1">
      <c r="A10582" s="1">
        <v>11275.0</v>
      </c>
      <c r="B10582" s="3" t="s">
        <v>10117</v>
      </c>
      <c r="C10582" s="3" t="str">
        <f>IFERROR(__xludf.DUMMYFUNCTION("GOOGLETRANSLATE(B10582,""id"",""en"")"),"['people', 'fool', 'lied to', 'application', 'loss',' download ',' service ',' dizziness', 'head', 'great', 'price', 'expensive', ' Compared to ',' Operator ',' Congratulations', 'Merugi', ""]")</f>
        <v>['people', 'fool', 'lied to', 'application', 'loss',' download ',' service ',' dizziness', 'head', 'great', 'price', 'expensive', ' Compared to ',' Operator ',' Congratulations', 'Merugi', "]</v>
      </c>
      <c r="D10582" s="3">
        <v>1.0</v>
      </c>
    </row>
    <row r="10583" ht="15.75" customHeight="1">
      <c r="A10583" s="1">
        <v>11276.0</v>
      </c>
      <c r="B10583" s="3" t="s">
        <v>10118</v>
      </c>
      <c r="C10583" s="3" t="str">
        <f>IFERROR(__xludf.DUMMYFUNCTION("GOOGLETRANSLATE(B10583,""id"",""en"")"),"['Application', 'Telkomsel', 'Application', 'Good', 'Believe']")</f>
        <v>['Application', 'Telkomsel', 'Application', 'Good', 'Believe']</v>
      </c>
      <c r="D10583" s="3">
        <v>5.0</v>
      </c>
    </row>
    <row r="10584" ht="15.75" customHeight="1">
      <c r="A10584" s="1">
        <v>11277.0</v>
      </c>
      <c r="B10584" s="3" t="s">
        <v>10119</v>
      </c>
      <c r="C10584" s="3" t="str">
        <f>IFERROR(__xludf.DUMMYFUNCTION("GOOGLETRANSLATE(B10584,""id"",""en"")"),"['already', 'APK', 'MyTelkomsel', 'KNPA', 'Open', 'APK']")</f>
        <v>['already', 'APK', 'MyTelkomsel', 'KNPA', 'Open', 'APK']</v>
      </c>
      <c r="D10584" s="3">
        <v>2.0</v>
      </c>
    </row>
    <row r="10585" ht="15.75" customHeight="1">
      <c r="A10585" s="1">
        <v>11278.0</v>
      </c>
      <c r="B10585" s="3" t="s">
        <v>10120</v>
      </c>
      <c r="C10585" s="3" t="str">
        <f>IFERROR(__xludf.DUMMYFUNCTION("GOOGLETRANSLATE(B10585,""id"",""en"")"),"['Congratulations',' Afternoon ',' Telkomel ',' Knp ',' App ',' Telkomsel ',' Open ',' Greet ',' Color ',' White ',' Samsung ',' Telkomsel ',' Person ',' ']")</f>
        <v>['Congratulations',' Afternoon ',' Telkomel ',' Knp ',' App ',' Telkomsel ',' Open ',' Greet ',' Color ',' White ',' Samsung ',' Telkomsel ',' Person ',' ']</v>
      </c>
      <c r="D10585" s="3">
        <v>2.0</v>
      </c>
    </row>
    <row r="10586" ht="15.75" customHeight="1">
      <c r="A10586" s="1">
        <v>11279.0</v>
      </c>
      <c r="B10586" s="3" t="s">
        <v>10121</v>
      </c>
      <c r="C10586" s="3" t="str">
        <f>IFERROR(__xludf.DUMMYFUNCTION("GOOGLETRANSLATE(B10586,""id"",""en"")"),"['enter', 'the application', 'picture', 'white', 'picture', 'check', 'pulse', 'kouta', '']")</f>
        <v>['enter', 'the application', 'picture', 'white', 'picture', 'check', 'pulse', 'kouta', '']</v>
      </c>
      <c r="D10586" s="3">
        <v>1.0</v>
      </c>
    </row>
    <row r="10587" ht="15.75" customHeight="1">
      <c r="A10587" s="1">
        <v>11280.0</v>
      </c>
      <c r="B10587" s="3" t="s">
        <v>10122</v>
      </c>
      <c r="C10587" s="3" t="str">
        <f>IFERROR(__xludf.DUMMYFUNCTION("GOOGLETRANSLATE(B10587,""id"",""en"")"),"['Enter', 'APL', 'TELKOM', 'APL', 'SSTER']")</f>
        <v>['Enter', 'APL', 'TELKOM', 'APL', 'SSTER']</v>
      </c>
      <c r="D10587" s="3">
        <v>1.0</v>
      </c>
    </row>
    <row r="10588" ht="15.75" customHeight="1">
      <c r="A10588" s="1">
        <v>11281.0</v>
      </c>
      <c r="B10588" s="3" t="s">
        <v>10123</v>
      </c>
      <c r="C10588" s="3" t="str">
        <f>IFERROR(__xludf.DUMMYFUNCTION("GOOGLETRANSLATE(B10588,""id"",""en"")"),"['Network', 'ilang']")</f>
        <v>['Network', 'ilang']</v>
      </c>
      <c r="D10588" s="3">
        <v>1.0</v>
      </c>
    </row>
    <row r="10589" ht="15.75" customHeight="1">
      <c r="A10589" s="1">
        <v>11282.0</v>
      </c>
      <c r="B10589" s="3" t="s">
        <v>10124</v>
      </c>
      <c r="C10589" s="3" t="str">
        <f>IFERROR(__xludf.DUMMYFUNCTION("GOOGLETRANSLATE(B10589,""id"",""en"")"),"['Nukr', 'coin', 'failed', 'bang']")</f>
        <v>['Nukr', 'coin', 'failed', 'bang']</v>
      </c>
      <c r="D10589" s="3">
        <v>4.0</v>
      </c>
    </row>
    <row r="10590" ht="15.75" customHeight="1">
      <c r="A10590" s="1">
        <v>11283.0</v>
      </c>
      <c r="B10590" s="3" t="s">
        <v>10125</v>
      </c>
      <c r="C10590" s="3" t="str">
        <f>IFERROR(__xludf.DUMMYFUNCTION("GOOGLETRANSLATE(B10590,""id"",""en"")"),"['fill', 'pulse', 'fill out', 'sms',' loopers', 'thank', 'contents',' reset ',' activate ',' package ',' your special ',' Price ',' RB ',' activates', 'TSB', 'above', 'Sorry', 'Package', 'Available', 'Please', 'Package', 'Please', 'Explanation', 'Telkomse"&amp;"l' , 'SMS', 'TSB', '']")</f>
        <v>['fill', 'pulse', 'fill out', 'sms',' loopers', 'thank', 'contents',' reset ',' activate ',' package ',' your special ',' Price ',' RB ',' activates', 'TSB', 'above', 'Sorry', 'Package', 'Available', 'Please', 'Package', 'Please', 'Explanation', 'Telkomsel' , 'SMS', 'TSB', '']</v>
      </c>
      <c r="D10590" s="3">
        <v>1.0</v>
      </c>
    </row>
    <row r="10591" ht="15.75" customHeight="1">
      <c r="A10591" s="1">
        <v>11284.0</v>
      </c>
      <c r="B10591" s="3" t="s">
        <v>10126</v>
      </c>
      <c r="C10591" s="3" t="str">
        <f>IFERROR(__xludf.DUMMYFUNCTION("GOOGLETRANSLATE(B10591,""id"",""en"")"),"['Price', 'Sultan', 'Network', 'Severe']")</f>
        <v>['Price', 'Sultan', 'Network', 'Severe']</v>
      </c>
      <c r="D10591" s="3">
        <v>1.0</v>
      </c>
    </row>
    <row r="10592" ht="15.75" customHeight="1">
      <c r="A10592" s="1">
        <v>11285.0</v>
      </c>
      <c r="B10592" s="3" t="s">
        <v>10127</v>
      </c>
      <c r="C10592" s="3" t="str">
        <f>IFERROR(__xludf.DUMMYFUNCTION("GOOGLETRANSLATE(B10592,""id"",""en"")"),"['application', 'heavy', 'ngak', 'tempo', 'dupgread', 'easy', 'check', 'pulse', 'difficult', 'what', 'admin', 'Telkomsel', ' disappointed ',' customers', 'yes',' open ',' telkomsel ',' blank ',' white ',' signs', 'life']")</f>
        <v>['application', 'heavy', 'ngak', 'tempo', 'dupgread', 'easy', 'check', 'pulse', 'difficult', 'what', 'admin', 'Telkomsel', ' disappointed ',' customers', 'yes',' open ',' telkomsel ',' blank ',' white ',' signs', 'life']</v>
      </c>
      <c r="D10592" s="3">
        <v>1.0</v>
      </c>
    </row>
    <row r="10593" ht="15.75" customHeight="1">
      <c r="A10593" s="1">
        <v>11287.0</v>
      </c>
      <c r="B10593" s="3" t="s">
        <v>10128</v>
      </c>
      <c r="C10593" s="3" t="str">
        <f>IFERROR(__xludf.DUMMYFUNCTION("GOOGLETRANSLATE(B10593,""id"",""en"")"),"['Knpa', 'buy', 'quota', 'pdhl', 'pulse', 'sya', 'brlbih', 'answer', 'application', 'blo', 'sring', 'kli', ' Disappointed ',' Tlkomsl ',' Sya ',' Tercca ',' Mmkai ',' card ',' Tlkomsl ',' friend ',' byk ',' use ',' krtu ',' mdah ',' sya ' , 'AKN', 'Move',"&amp;" 'CPT', 'Tlkksl', '']")</f>
        <v>['Knpa', 'buy', 'quota', 'pdhl', 'pulse', 'sya', 'brlbih', 'answer', 'application', 'blo', 'sring', 'kli', ' Disappointed ',' Tlkomsl ',' Sya ',' Tercca ',' Mmkai ',' card ',' Tlkomsl ',' friend ',' byk ',' use ',' krtu ',' mdah ',' sya ' , 'AKN', 'Move', 'CPT', 'Tlkksl', '']</v>
      </c>
      <c r="D10593" s="3">
        <v>1.0</v>
      </c>
    </row>
    <row r="10594" ht="15.75" customHeight="1">
      <c r="A10594" s="1">
        <v>11288.0</v>
      </c>
      <c r="B10594" s="3" t="s">
        <v>10129</v>
      </c>
      <c r="C10594" s="3" t="str">
        <f>IFERROR(__xludf.DUMMYFUNCTION("GOOGLETRANSLATE(B10594,""id"",""en"")"),"['Telkomsel', 'opened', 'Uninstall', 'Download', 'alternating', 'open']")</f>
        <v>['Telkomsel', 'opened', 'Uninstall', 'Download', 'alternating', 'open']</v>
      </c>
      <c r="D10594" s="3">
        <v>1.0</v>
      </c>
    </row>
    <row r="10595" ht="15.75" customHeight="1">
      <c r="A10595" s="1">
        <v>11289.0</v>
      </c>
      <c r="B10595" s="3" t="s">
        <v>10130</v>
      </c>
      <c r="C10595" s="3" t="str">
        <f>IFERROR(__xludf.DUMMYFUNCTION("GOOGLETRANSLATE(B10595,""id"",""en"")"),"['user', 'Fiendly', 'please', 'cheap', 'little', 'Lahh', 'package', 'internet']")</f>
        <v>['user', 'Fiendly', 'please', 'cheap', 'little', 'Lahh', 'package', 'internet']</v>
      </c>
      <c r="D10595" s="3">
        <v>5.0</v>
      </c>
    </row>
    <row r="10596" ht="15.75" customHeight="1">
      <c r="A10596" s="1">
        <v>11290.0</v>
      </c>
      <c r="B10596" s="3" t="s">
        <v>10131</v>
      </c>
      <c r="C10596" s="3" t="str">
        <f>IFERROR(__xludf.DUMMYFUNCTION("GOOGLETRANSLATE(B10596,""id"",""en"")"),"['promo', 'signal', 'rich', 'BURIK']")</f>
        <v>['promo', 'signal', 'rich', 'BURIK']</v>
      </c>
      <c r="D10596" s="3">
        <v>1.0</v>
      </c>
    </row>
    <row r="10597" ht="15.75" customHeight="1">
      <c r="A10597" s="1">
        <v>11291.0</v>
      </c>
      <c r="B10597" s="3" t="s">
        <v>10132</v>
      </c>
      <c r="C10597" s="3" t="str">
        <f>IFERROR(__xludf.DUMMYFUNCTION("GOOGLETRANSLATE(B10597,""id"",""en"")"),"['Paketan', 'Tel', 'Pay', 'Rb', 'haha']")</f>
        <v>['Paketan', 'Tel', 'Pay', 'Rb', 'haha']</v>
      </c>
      <c r="D10597" s="3">
        <v>1.0</v>
      </c>
    </row>
    <row r="10598" ht="15.75" customHeight="1">
      <c r="A10598" s="1">
        <v>11292.0</v>
      </c>
      <c r="B10598" s="3" t="s">
        <v>10133</v>
      </c>
      <c r="C10598" s="3" t="str">
        <f>IFERROR(__xludf.DUMMYFUNCTION("GOOGLETRANSLATE(B10598,""id"",""en"")"),"['Paketan', 'Combo', 'Sakti', 'Fire', 'price', 'thousand', 'thousand', 'wow', 'yaa', 'hope', 'fast', ' Move ',' provider ',' package ',' price ',' thousand ',' and above ',' expensive ',' really ']")</f>
        <v>['Paketan', 'Combo', 'Sakti', 'Fire', 'price', 'thousand', 'thousand', 'wow', 'yaa', 'hope', 'fast', ' Move ',' provider ',' package ',' price ',' thousand ',' and above ',' expensive ',' really ']</v>
      </c>
      <c r="D10598" s="3">
        <v>1.0</v>
      </c>
    </row>
    <row r="10599" ht="15.75" customHeight="1">
      <c r="A10599" s="1">
        <v>11293.0</v>
      </c>
      <c r="B10599" s="3" t="s">
        <v>10134</v>
      </c>
      <c r="C10599" s="3" t="str">
        <f>IFERROR(__xludf.DUMMYFUNCTION("GOOGLETRANSLATE(B10599,""id"",""en"")"),"['application', 'difficult', 'open', 'kasi', 'star', 'service', 'comfortable', 'really']")</f>
        <v>['application', 'difficult', 'open', 'kasi', 'star', 'service', 'comfortable', 'really']</v>
      </c>
      <c r="D10599" s="3">
        <v>1.0</v>
      </c>
    </row>
    <row r="10600" ht="15.75" customHeight="1">
      <c r="A10600" s="1">
        <v>11294.0</v>
      </c>
      <c r="B10600" s="3" t="s">
        <v>10135</v>
      </c>
      <c r="C10600" s="3" t="str">
        <f>IFERROR(__xludf.DUMMYFUNCTION("GOOGLETRANSLATE(B10600,""id"",""en"")"),"['MLH', 'Ngak', 'Gunain', 'APL']")</f>
        <v>['MLH', 'Ngak', 'Gunain', 'APL']</v>
      </c>
      <c r="D10600" s="3">
        <v>1.0</v>
      </c>
    </row>
    <row r="10601" ht="15.75" customHeight="1">
      <c r="A10601" s="1">
        <v>11295.0</v>
      </c>
      <c r="B10601" s="3" t="s">
        <v>10136</v>
      </c>
      <c r="C10601" s="3" t="str">
        <f>IFERROR(__xludf.DUMMYFUNCTION("GOOGLETRANSLATE(B10601,""id"",""en"")"),"['strange', 'application']")</f>
        <v>['strange', 'application']</v>
      </c>
      <c r="D10601" s="3">
        <v>1.0</v>
      </c>
    </row>
    <row r="10602" ht="15.75" customHeight="1">
      <c r="A10602" s="1">
        <v>11296.0</v>
      </c>
      <c r="B10602" s="3" t="s">
        <v>10137</v>
      </c>
      <c r="C10602" s="3" t="str">
        <f>IFERROR(__xludf.DUMMYFUNCTION("GOOGLETRANSLATE(B10602,""id"",""en"")"),"['Telkomsel', 'Points', 'Young', 'Buy', 'Package', 'Internet', '']")</f>
        <v>['Telkomsel', 'Points', 'Young', 'Buy', 'Package', 'Internet', '']</v>
      </c>
      <c r="D10602" s="3">
        <v>5.0</v>
      </c>
    </row>
    <row r="10603" ht="15.75" customHeight="1">
      <c r="A10603" s="1">
        <v>11297.0</v>
      </c>
      <c r="B10603" s="3" t="s">
        <v>10138</v>
      </c>
      <c r="C10603" s="3" t="str">
        <f>IFERROR(__xludf.DUMMYFUNCTION("GOOGLETRANSLATE(B10603,""id"",""en"")"),"['Telkomsel', 'ugly', 'network', 'game', 'mobile', 'Legend', 'lag', 'severe', '']")</f>
        <v>['Telkomsel', 'ugly', 'network', 'game', 'mobile', 'Legend', 'lag', 'severe', '']</v>
      </c>
      <c r="D10603" s="3">
        <v>1.0</v>
      </c>
    </row>
    <row r="10604" ht="15.75" customHeight="1">
      <c r="A10604" s="1">
        <v>11298.0</v>
      </c>
      <c r="B10604" s="3" t="s">
        <v>10139</v>
      </c>
      <c r="C10604" s="3" t="str">
        <f>IFERROR(__xludf.DUMMYFUNCTION("GOOGLETRANSLATE(B10604,""id"",""en"")"),"['Sorry', 'application', 'White', 'Doang', 'Kaga', 'writing', 'Gara', 'season', 'Ujan', 'his writing', 'Kebawa', 'water', ' ']")</f>
        <v>['Sorry', 'application', 'White', 'Doang', 'Kaga', 'writing', 'Gara', 'season', 'Ujan', 'his writing', 'Kebawa', 'water', ' ']</v>
      </c>
      <c r="D10604" s="3">
        <v>1.0</v>
      </c>
    </row>
    <row r="10605" ht="15.75" customHeight="1">
      <c r="A10605" s="1">
        <v>11300.0</v>
      </c>
      <c r="B10605" s="3" t="s">
        <v>10140</v>
      </c>
      <c r="C10605" s="3" t="str">
        <f>IFERROR(__xludf.DUMMYFUNCTION("GOOGLETRANSLATE(B10605,""id"",""en"")"),"['Love', 'Bintang', 'Cook', 'Abis', 'Udate', 'Bukak', 'Please', 'Fix', 'Karna', 'Like', 'Application']")</f>
        <v>['Love', 'Bintang', 'Cook', 'Abis', 'Udate', 'Bukak', 'Please', 'Fix', 'Karna', 'Like', 'Application']</v>
      </c>
      <c r="D10605" s="3">
        <v>1.0</v>
      </c>
    </row>
    <row r="10606" ht="15.75" customHeight="1">
      <c r="A10606" s="1">
        <v>11302.0</v>
      </c>
      <c r="B10606" s="3" t="s">
        <v>10141</v>
      </c>
      <c r="C10606" s="3" t="str">
        <f>IFERROR(__xludf.DUMMYFUNCTION("GOOGLETRANSLATE(B10606,""id"",""en"")"),"['update', 'already', 'no', 'open', 'please']")</f>
        <v>['update', 'already', 'no', 'open', 'please']</v>
      </c>
      <c r="D10606" s="3">
        <v>1.0</v>
      </c>
    </row>
    <row r="10607" ht="15.75" customHeight="1">
      <c r="A10607" s="1">
        <v>11303.0</v>
      </c>
      <c r="B10607" s="3" t="s">
        <v>10142</v>
      </c>
      <c r="C10607" s="3" t="str">
        <f>IFERROR(__xludf.DUMMYFUNCTION("GOOGLETRANSLATE(B10607,""id"",""en"")"),"['Love', 'star', 'SDAH', 'Network', 'Telkomsel', 'Combosakti', 'Good']")</f>
        <v>['Love', 'star', 'SDAH', 'Network', 'Telkomsel', 'Combosakti', 'Good']</v>
      </c>
      <c r="D10607" s="3">
        <v>4.0</v>
      </c>
    </row>
    <row r="10608" ht="15.75" customHeight="1">
      <c r="A10608" s="1">
        <v>11304.0</v>
      </c>
      <c r="B10608" s="3" t="s">
        <v>10143</v>
      </c>
      <c r="C10608" s="3" t="str">
        <f>IFERROR(__xludf.DUMMYFUNCTION("GOOGLETRANSLATE(B10608,""id"",""en"")"),"['week', 'open', 'APK', 'updated', 'uninstall', 'install', 'open', 'display', 'white', 'check', 'quota', 'etc.', ' manual ',' request ',' solution ', ""]")</f>
        <v>['week', 'open', 'APK', 'updated', 'uninstall', 'install', 'open', 'display', 'white', 'check', 'quota', 'etc.', ' manual ',' request ',' solution ', "]</v>
      </c>
      <c r="D10608" s="3">
        <v>1.0</v>
      </c>
    </row>
    <row r="10609" ht="15.75" customHeight="1">
      <c r="A10609" s="1">
        <v>11305.0</v>
      </c>
      <c r="B10609" s="3" t="s">
        <v>10144</v>
      </c>
      <c r="C10609" s="3" t="str">
        <f>IFERROR(__xludf.DUMMYFUNCTION("GOOGLETRANSLATE(B10609,""id"",""en"")"),"['Ngak', 'Useful']")</f>
        <v>['Ngak', 'Useful']</v>
      </c>
      <c r="D10609" s="3">
        <v>2.0</v>
      </c>
    </row>
    <row r="10610" ht="15.75" customHeight="1">
      <c r="A10610" s="1">
        <v>11306.0</v>
      </c>
      <c r="B10610" s="3" t="s">
        <v>10145</v>
      </c>
      <c r="C10610" s="3" t="str">
        <f>IFERROR(__xludf.DUMMYFUNCTION("GOOGLETRANSLATE(B10610,""id"",""en"")"),"['Please', 'repaired', 'run', 'Error', 'Android', 'Oppo', '']")</f>
        <v>['Please', 'repaired', 'run', 'Error', 'Android', 'Oppo', '']</v>
      </c>
      <c r="D10610" s="3">
        <v>4.0</v>
      </c>
    </row>
    <row r="10611" ht="15.75" customHeight="1">
      <c r="A10611" s="1">
        <v>11307.0</v>
      </c>
      <c r="B10611" s="3" t="s">
        <v>4269</v>
      </c>
      <c r="C10611" s="3" t="str">
        <f>IFERROR(__xludf.DUMMYFUNCTION("GOOGLETRANSLATE(B10611,""id"",""en"")"),"['Telkomsel', 'satisfying']")</f>
        <v>['Telkomsel', 'satisfying']</v>
      </c>
      <c r="D10611" s="3">
        <v>5.0</v>
      </c>
    </row>
    <row r="10612" ht="15.75" customHeight="1">
      <c r="A10612" s="1">
        <v>11308.0</v>
      </c>
      <c r="B10612" s="3" t="s">
        <v>10146</v>
      </c>
      <c r="C10612" s="3" t="str">
        <f>IFERROR(__xludf.DUMMYFUNCTION("GOOGLETRANSLATE(B10612,""id"",""en"")"),"['Application', 'Open', 'blank']")</f>
        <v>['Application', 'Open', 'blank']</v>
      </c>
      <c r="D10612" s="3">
        <v>1.0</v>
      </c>
    </row>
    <row r="10613" ht="15.75" customHeight="1">
      <c r="A10613" s="1">
        <v>11309.0</v>
      </c>
      <c r="B10613" s="3" t="s">
        <v>10147</v>
      </c>
      <c r="C10613" s="3" t="str">
        <f>IFERROR(__xludf.DUMMYFUNCTION("GOOGLETRANSLATE(B10613,""id"",""en"")"),"['Gosh', 'Telkomsel', 'knapa', 'Package', 'Game', 'Changed']")</f>
        <v>['Gosh', 'Telkomsel', 'knapa', 'Package', 'Game', 'Changed']</v>
      </c>
      <c r="D10613" s="3">
        <v>3.0</v>
      </c>
    </row>
    <row r="10614" ht="15.75" customHeight="1">
      <c r="A10614" s="1">
        <v>11310.0</v>
      </c>
      <c r="B10614" s="3" t="s">
        <v>10148</v>
      </c>
      <c r="C10614" s="3" t="str">
        <f>IFERROR(__xludf.DUMMYFUNCTION("GOOGLETRANSLATE(B10614,""id"",""en"")"),"['Telkomsel', 'tida', 'open']")</f>
        <v>['Telkomsel', 'tida', 'open']</v>
      </c>
      <c r="D10614" s="3">
        <v>5.0</v>
      </c>
    </row>
    <row r="10615" ht="15.75" customHeight="1">
      <c r="A10615" s="1">
        <v>11311.0</v>
      </c>
      <c r="B10615" s="3" t="s">
        <v>10149</v>
      </c>
      <c r="C10615" s="3" t="str">
        <f>IFERROR(__xludf.DUMMYFUNCTION("GOOGLETRANSLATE(B10615,""id"",""en"")"),"['Login', 'Verification', 'Nga', 'Send', 'Send', 'What', 'Enter', 'APK', 'Nga']")</f>
        <v>['Login', 'Verification', 'Nga', 'Send', 'Send', 'What', 'Enter', 'APK', 'Nga']</v>
      </c>
      <c r="D10615" s="3">
        <v>1.0</v>
      </c>
    </row>
    <row r="10616" ht="15.75" customHeight="1">
      <c r="A10616" s="1">
        <v>11312.0</v>
      </c>
      <c r="B10616" s="3" t="s">
        <v>10150</v>
      </c>
      <c r="C10616" s="3" t="str">
        <f>IFERROR(__xludf.DUMMYFUNCTION("GOOGLETRANSLATE(B10616,""id"",""en"")"),"['Telkomsel', 'open', 'should', 'road', 'quota', 'multimedia', 'mah', 'road', 'quota', 'regular', 'nnti', 'pulses',' run out ',' quota ',' run out ',' road ',' quota ',' multimedia ',' provider ',' sanas', ""]")</f>
        <v>['Telkomsel', 'open', 'should', 'road', 'quota', 'multimedia', 'mah', 'road', 'quota', 'regular', 'nnti', 'pulses',' run out ',' quota ',' run out ',' road ',' quota ',' multimedia ',' provider ',' sanas', "]</v>
      </c>
      <c r="D10616" s="3">
        <v>1.0</v>
      </c>
    </row>
    <row r="10617" ht="15.75" customHeight="1">
      <c r="A10617" s="1">
        <v>11313.0</v>
      </c>
      <c r="B10617" s="3" t="s">
        <v>10151</v>
      </c>
      <c r="C10617" s="3" t="str">
        <f>IFERROR(__xludf.DUMMYFUNCTION("GOOGLETRANSLATE(B10617,""id"",""en"")"),"['hope', 'blessing', 'Telkomsel', ""]")</f>
        <v>['hope', 'blessing', 'Telkomsel', "]</v>
      </c>
      <c r="D10617" s="3">
        <v>5.0</v>
      </c>
    </row>
    <row r="10618" ht="15.75" customHeight="1">
      <c r="A10618" s="1">
        <v>11314.0</v>
      </c>
      <c r="B10618" s="3" t="s">
        <v>10152</v>
      </c>
      <c r="C10618" s="3" t="str">
        <f>IFERROR(__xludf.DUMMYFUNCTION("GOOGLETRANSLATE(B10618,""id"",""en"")"),"['The application', 'problematic', 'how', 'opened', 'direct']")</f>
        <v>['The application', 'problematic', 'how', 'opened', 'direct']</v>
      </c>
      <c r="D10618" s="3">
        <v>3.0</v>
      </c>
    </row>
    <row r="10619" ht="15.75" customHeight="1">
      <c r="A10619" s="1">
        <v>11315.0</v>
      </c>
      <c r="B10619" s="3" t="s">
        <v>859</v>
      </c>
      <c r="C10619" s="3" t="str">
        <f>IFERROR(__xludf.DUMMYFUNCTION("GOOGLETRANSLATE(B10619,""id"",""en"")"),"['help', '']")</f>
        <v>['help', '']</v>
      </c>
      <c r="D10619" s="3">
        <v>5.0</v>
      </c>
    </row>
    <row r="10620" ht="15.75" customHeight="1">
      <c r="A10620" s="1">
        <v>11316.0</v>
      </c>
      <c r="B10620" s="3" t="s">
        <v>10153</v>
      </c>
      <c r="C10620" s="3" t="str">
        <f>IFERROR(__xludf.DUMMYFUNCTION("GOOGLETRANSLATE(B10620,""id"",""en"")"),"['Soforger', 'easy']")</f>
        <v>['Soforger', 'easy']</v>
      </c>
      <c r="D10620" s="3">
        <v>5.0</v>
      </c>
    </row>
    <row r="10621" ht="15.75" customHeight="1">
      <c r="A10621" s="1">
        <v>11317.0</v>
      </c>
      <c r="B10621" s="3" t="s">
        <v>10154</v>
      </c>
      <c r="C10621" s="3" t="str">
        <f>IFERROR(__xludf.DUMMYFUNCTION("GOOGLETRANSLATE(B10621,""id"",""en"")"),"['JMBT', 'Rain', 'little', 'lag']")</f>
        <v>['JMBT', 'Rain', 'little', 'lag']</v>
      </c>
      <c r="D10621" s="3">
        <v>1.0</v>
      </c>
    </row>
    <row r="10622" ht="15.75" customHeight="1">
      <c r="A10622" s="1">
        <v>11318.0</v>
      </c>
      <c r="B10622" s="3" t="s">
        <v>10155</v>
      </c>
      <c r="C10622" s="3" t="str">
        <f>IFERROR(__xludf.DUMMYFUNCTION("GOOGLETRANSLATE(B10622,""id"",""en"")"),"['Quality', 'Network', 'Increase', '']")</f>
        <v>['Quality', 'Network', 'Increase', '']</v>
      </c>
      <c r="D10622" s="3">
        <v>5.0</v>
      </c>
    </row>
    <row r="10623" ht="15.75" customHeight="1">
      <c r="A10623" s="1">
        <v>11319.0</v>
      </c>
      <c r="B10623" s="3" t="s">
        <v>10156</v>
      </c>
      <c r="C10623" s="3" t="str">
        <f>IFERROR(__xludf.DUMMYFUNCTION("GOOGLETRANSLATE(B10623,""id"",""en"")"),"['Please', 'evaluated', 'package']")</f>
        <v>['Please', 'evaluated', 'package']</v>
      </c>
      <c r="D10623" s="3">
        <v>5.0</v>
      </c>
    </row>
    <row r="10624" ht="15.75" customHeight="1">
      <c r="A10624" s="1">
        <v>11320.0</v>
      </c>
      <c r="B10624" s="3" t="s">
        <v>10157</v>
      </c>
      <c r="C10624" s="3" t="str">
        <f>IFERROR(__xludf.DUMMYFUNCTION("GOOGLETRANSLATE(B10624,""id"",""en"")"),"['buy', 'package', 'disorder', 'tetuss']")</f>
        <v>['buy', 'package', 'disorder', 'tetuss']</v>
      </c>
      <c r="D10624" s="3">
        <v>1.0</v>
      </c>
    </row>
    <row r="10625" ht="15.75" customHeight="1">
      <c r="A10625" s="1">
        <v>11321.0</v>
      </c>
      <c r="B10625" s="3" t="s">
        <v>10158</v>
      </c>
      <c r="C10625" s="3" t="str">
        <f>IFERROR(__xludf.DUMMYFUNCTION("GOOGLETRANSLATE(B10625,""id"",""en"")"),"['Try', 'hope', ""]")</f>
        <v>['Try', 'hope', "]</v>
      </c>
      <c r="D10625" s="3">
        <v>5.0</v>
      </c>
    </row>
    <row r="10626" ht="15.75" customHeight="1">
      <c r="A10626" s="1">
        <v>11322.0</v>
      </c>
      <c r="B10626" s="3" t="s">
        <v>10159</v>
      </c>
      <c r="C10626" s="3" t="str">
        <f>IFERROR(__xludf.DUMMYFUNCTION("GOOGLETRANSLATE(B10626,""id"",""en"")"),"['Telkomsel', 'White', 'blank', 'Mulu', 'Yesterday']")</f>
        <v>['Telkomsel', 'White', 'blank', 'Mulu', 'Yesterday']</v>
      </c>
      <c r="D10626" s="3">
        <v>1.0</v>
      </c>
    </row>
    <row r="10627" ht="15.75" customHeight="1">
      <c r="A10627" s="1">
        <v>11323.0</v>
      </c>
      <c r="B10627" s="3" t="s">
        <v>10160</v>
      </c>
      <c r="C10627" s="3" t="str">
        <f>IFERROR(__xludf.DUMMYFUNCTION("GOOGLETRANSLATE(B10627,""id"",""en"")"),"['signal', 'City', 'Jabodetabek', 'ugly', 'because', 'DPT', 'quota', 'special', 'Corporate', ""]")</f>
        <v>['signal', 'City', 'Jabodetabek', 'ugly', 'because', 'DPT', 'quota', 'special', 'Corporate', "]</v>
      </c>
      <c r="D10627" s="3">
        <v>1.0</v>
      </c>
    </row>
    <row r="10628" ht="15.75" customHeight="1">
      <c r="A10628" s="1">
        <v>11325.0</v>
      </c>
      <c r="B10628" s="3" t="s">
        <v>10161</v>
      </c>
      <c r="C10628" s="3" t="str">
        <f>IFERROR(__xludf.DUMMYFUNCTION("GOOGLETRANSLATE(B10628,""id"",""en"")"),"['Upgrade', 'Performance', 'crazy']")</f>
        <v>['Upgrade', 'Performance', 'crazy']</v>
      </c>
      <c r="D10628" s="3">
        <v>1.0</v>
      </c>
    </row>
    <row r="10629" ht="15.75" customHeight="1">
      <c r="A10629" s="1">
        <v>11326.0</v>
      </c>
      <c r="B10629" s="3" t="s">
        <v>10162</v>
      </c>
      <c r="C10629" s="3" t="str">
        <f>IFERROR(__xludf.DUMMYFUNCTION("GOOGLETRANSLATE(B10629,""id"",""en"")"),"['Sorry', 'replace', 'star', 'a week', 'the application', 'opened', 'screen', 'white', 'opened', ""]")</f>
        <v>['Sorry', 'replace', 'star', 'a week', 'the application', 'opened', 'screen', 'white', 'opened', "]</v>
      </c>
      <c r="D10629" s="3">
        <v>1.0</v>
      </c>
    </row>
    <row r="10630" ht="15.75" customHeight="1">
      <c r="A10630" s="1">
        <v>11327.0</v>
      </c>
      <c r="B10630" s="3" t="s">
        <v>10163</v>
      </c>
      <c r="C10630" s="3" t="str">
        <f>IFERROR(__xludf.DUMMYFUNCTION("GOOGLETRANSLATE(B10630,""id"",""en"")"),"['Come', 'ugly', 'App', 'Telkomsel', 'Login', 'Ajja', 'enter', 'SMS', 'Verification', 'truss',' NMR ',' SMS ',' verification ',' msuk ',' right ',' click ',' link ',' brhsil ',' enter ',' gmn ',' fix ',' donk ',' ttgga ',' sblh ',' bnyk ' , 'offer', 'feat"&amp;"ures', 'mnrik', 'all', 'pldah', 'provider', '']")</f>
        <v>['Come', 'ugly', 'App', 'Telkomsel', 'Login', 'Ajja', 'enter', 'SMS', 'Verification', 'truss',' NMR ',' SMS ',' verification ',' msuk ',' right ',' click ',' link ',' brhsil ',' enter ',' gmn ',' fix ',' donk ',' ttgga ',' sblh ',' bnyk ' , 'offer', 'features', 'mnrik', 'all', 'pldah', 'provider', '']</v>
      </c>
      <c r="D10630" s="3">
        <v>1.0</v>
      </c>
    </row>
    <row r="10631" ht="15.75" customHeight="1">
      <c r="A10631" s="1">
        <v>11328.0</v>
      </c>
      <c r="B10631" s="3" t="s">
        <v>10164</v>
      </c>
      <c r="C10631" s="3" t="str">
        <f>IFERROR(__xludf.DUMMYFUNCTION("GOOGLETRANSLATE(B10631,""id"",""en"")"),"['Please', 'card', 'love', 'discount']")</f>
        <v>['Please', 'card', 'love', 'discount']</v>
      </c>
      <c r="D10631" s="3">
        <v>5.0</v>
      </c>
    </row>
    <row r="10632" ht="15.75" customHeight="1">
      <c r="A10632" s="1">
        <v>11329.0</v>
      </c>
      <c r="B10632" s="3" t="s">
        <v>10165</v>
      </c>
      <c r="C10632" s="3" t="str">
        <f>IFERROR(__xludf.DUMMYFUNCTION("GOOGLETRANSLATE(B10632,""id"",""en"")"),"['Make', 'Telkomsel', 'UDH', 'bonus',' user ',' loyal ',' price ',' package ',' naek ',' mulu ',' expensive ',' signal ',' slow ',' gmn ']")</f>
        <v>['Make', 'Telkomsel', 'UDH', 'bonus',' user ',' loyal ',' price ',' package ',' naek ',' mulu ',' expensive ',' signal ',' slow ',' gmn ']</v>
      </c>
      <c r="D10632" s="3">
        <v>1.0</v>
      </c>
    </row>
    <row r="10633" ht="15.75" customHeight="1">
      <c r="A10633" s="1">
        <v>11330.0</v>
      </c>
      <c r="B10633" s="3" t="s">
        <v>10166</v>
      </c>
      <c r="C10633" s="3" t="str">
        <f>IFERROR(__xludf.DUMMYFUNCTION("GOOGLETRANSLATE(B10633,""id"",""en"")"),"['Telkomsel', 'Network', 'Fastest', 'The Widest', 'Republic', 'Indonesia', 'Disruption', 'Slow', 'Difficult', 'Signal', 'System', 'Telkomsel', ' How far, 'good', 'follow up', 'Harm', 'Hopefully', 'Application', 'Best', 'Type', 'Type', 'Loss', 'Accurate', "&amp;"'Determination', 'Violation' , '']")</f>
        <v>['Telkomsel', 'Network', 'Fastest', 'The Widest', 'Republic', 'Indonesia', 'Disruption', 'Slow', 'Difficult', 'Signal', 'System', 'Telkomsel', ' How far, 'good', 'follow up', 'Harm', 'Hopefully', 'Application', 'Best', 'Type', 'Type', 'Loss', 'Accurate', 'Determination', 'Violation' , '']</v>
      </c>
      <c r="D10633" s="3">
        <v>5.0</v>
      </c>
    </row>
    <row r="10634" ht="15.75" customHeight="1">
      <c r="A10634" s="1">
        <v>11331.0</v>
      </c>
      <c r="B10634" s="3" t="s">
        <v>10167</v>
      </c>
      <c r="C10634" s="3" t="str">
        <f>IFERROR(__xludf.DUMMYFUNCTION("GOOGLETRANSLATE(B10634,""id"",""en"")"),"['pulse', 'wasted', 'drained', 'run out', 'activates', 'package', 'anything']")</f>
        <v>['pulse', 'wasted', 'drained', 'run out', 'activates', 'package', 'anything']</v>
      </c>
      <c r="D10634" s="3">
        <v>2.0</v>
      </c>
    </row>
    <row r="10635" ht="15.75" customHeight="1">
      <c r="A10635" s="1">
        <v>11332.0</v>
      </c>
      <c r="B10635" s="3" t="s">
        <v>10168</v>
      </c>
      <c r="C10635" s="3" t="str">
        <f>IFERROR(__xludf.DUMMYFUNCTION("GOOGLETRANSLATE(B10635,""id"",""en"")"),"['Telkomsel', 'habits',' subscribers', 'data', 'rise', 'price', 'price', 'sleep', 'pulse', 'Cut', 'fill', 'fill', ' Pay ',' Credit ',' RB ',' Doubt ',' Rebu ',' Debt ',' Credit ',' Ato ',' Clarity ',' Credit ',' Reduced ',' A second ',' Filled ' , 'he mea"&amp;"n', 'corruption', 'hah', ""]")</f>
        <v>['Telkomsel', 'habits',' subscribers', 'data', 'rise', 'price', 'price', 'sleep', 'pulse', 'Cut', 'fill', 'fill', ' Pay ',' Credit ',' RB ',' Doubt ',' Rebu ',' Debt ',' Credit ',' Ato ',' Clarity ',' Credit ',' Reduced ',' A second ',' Filled ' , 'he mean', 'corruption', 'hah', "]</v>
      </c>
      <c r="D10635" s="3">
        <v>1.0</v>
      </c>
    </row>
    <row r="10636" ht="15.75" customHeight="1">
      <c r="A10636" s="1">
        <v>11333.0</v>
      </c>
      <c r="B10636" s="3" t="s">
        <v>10169</v>
      </c>
      <c r="C10636" s="3" t="str">
        <f>IFERROR(__xludf.DUMMYFUNCTION("GOOGLETRANSLATE(B10636,""id"",""en"")"),"['dapet', 'car', 'application', 'bismillah', 'easy', 'hopefully', '']")</f>
        <v>['dapet', 'car', 'application', 'bismillah', 'easy', 'hopefully', '']</v>
      </c>
      <c r="D10636" s="3">
        <v>5.0</v>
      </c>
    </row>
    <row r="10637" ht="15.75" customHeight="1">
      <c r="A10637" s="1">
        <v>11334.0</v>
      </c>
      <c r="B10637" s="3" t="s">
        <v>10170</v>
      </c>
      <c r="C10637" s="3" t="str">
        <f>IFERROR(__xludf.DUMMYFUNCTION("GOOGLETRANSLATE(B10637,""id"",""en"")"),"['user', 'disappointed', 'signal', 'Telkomsel', 'tried', 'already', 'ngelag', 'oath', 'regret', 'really', 'buy', 'card']")</f>
        <v>['user', 'disappointed', 'signal', 'Telkomsel', 'tried', 'already', 'ngelag', 'oath', 'regret', 'really', 'buy', 'card']</v>
      </c>
      <c r="D10637" s="3">
        <v>1.0</v>
      </c>
    </row>
    <row r="10638" ht="15.75" customHeight="1">
      <c r="A10638" s="1">
        <v>11335.0</v>
      </c>
      <c r="B10638" s="3" t="s">
        <v>10171</v>
      </c>
      <c r="C10638" s="3" t="str">
        <f>IFERROR(__xludf.DUMMYFUNCTION("GOOGLETRANSLATE(B10638,""id"",""en"")"),"['Package', 'Combo', 'Sakti', 'Cheap', '']")</f>
        <v>['Package', 'Combo', 'Sakti', 'Cheap', '']</v>
      </c>
      <c r="D10638" s="3">
        <v>5.0</v>
      </c>
    </row>
    <row r="10639" ht="15.75" customHeight="1">
      <c r="A10639" s="1">
        <v>11336.0</v>
      </c>
      <c r="B10639" s="3" t="s">
        <v>10172</v>
      </c>
      <c r="C10639" s="3" t="str">
        <f>IFERROR(__xludf.DUMMYFUNCTION("GOOGLETRANSLATE(B10639,""id"",""en"")"),"['', 'Application', 'Telkomsel', 'Open', 'yaa']")</f>
        <v>['', 'Application', 'Telkomsel', 'Open', 'yaa']</v>
      </c>
      <c r="D10639" s="3">
        <v>2.0</v>
      </c>
    </row>
    <row r="10640" ht="15.75" customHeight="1">
      <c r="A10640" s="1">
        <v>11337.0</v>
      </c>
      <c r="B10640" s="3" t="s">
        <v>10173</v>
      </c>
      <c r="C10640" s="3" t="str">
        <f>IFERROR(__xludf.DUMMYFUNCTION("GOOGLETRANSLATE(B10640,""id"",""en"")"),"['Application', 'updated', 'heavy', 'responsive']")</f>
        <v>['Application', 'updated', 'heavy', 'responsive']</v>
      </c>
      <c r="D10640" s="3">
        <v>2.0</v>
      </c>
    </row>
    <row r="10641" ht="15.75" customHeight="1">
      <c r="A10641" s="1">
        <v>11338.0</v>
      </c>
      <c r="B10641" s="3" t="s">
        <v>10174</v>
      </c>
      <c r="C10641" s="3" t="str">
        <f>IFERROR(__xludf.DUMMYFUNCTION("GOOGLETRANSLATE(B10641,""id"",""en"")"),"['Disappointed', 'Telkomsel', 'update', 'Telkomsel', 'open', 'screen', 'white', 'that's',' update ',' already ',' tetep ',' solution ',' ']")</f>
        <v>['Disappointed', 'Telkomsel', 'update', 'Telkomsel', 'open', 'screen', 'white', 'that's',' update ',' already ',' tetep ',' solution ',' ']</v>
      </c>
      <c r="D10641" s="3">
        <v>1.0</v>
      </c>
    </row>
    <row r="10642" ht="15.75" customHeight="1">
      <c r="A10642" s="1">
        <v>11340.0</v>
      </c>
      <c r="B10642" s="3" t="s">
        <v>10175</v>
      </c>
      <c r="C10642" s="3" t="str">
        <f>IFERROR(__xludf.DUMMYFUNCTION("GOOGLETRANSLATE(B10642,""id"",""en"")"),"['Network', 'Batang', 'Doang', 'Provider', 'Gakjelas']")</f>
        <v>['Network', 'Batang', 'Doang', 'Provider', 'Gakjelas']</v>
      </c>
      <c r="D10642" s="3">
        <v>1.0</v>
      </c>
    </row>
    <row r="10643" ht="15.75" customHeight="1">
      <c r="A10643" s="1">
        <v>11341.0</v>
      </c>
      <c r="B10643" s="3" t="s">
        <v>10176</v>
      </c>
      <c r="C10643" s="3" t="str">
        <f>IFERROR(__xludf.DUMMYFUNCTION("GOOGLETRANSLATE(B10643,""id"",""en"")"),"['update', 'enter', 'APK', 'all', 'screen', 'white', 'pdahal', 'network', 'good', 'beg', 'info', 'kak']")</f>
        <v>['update', 'enter', 'APK', 'all', 'screen', 'white', 'pdahal', 'network', 'good', 'beg', 'info', 'kak']</v>
      </c>
      <c r="D10643" s="3">
        <v>2.0</v>
      </c>
    </row>
    <row r="10644" ht="15.75" customHeight="1">
      <c r="A10644" s="1">
        <v>11342.0</v>
      </c>
      <c r="B10644" s="3" t="s">
        <v>10177</v>
      </c>
      <c r="C10644" s="3" t="str">
        <f>IFERROR(__xludf.DUMMYFUNCTION("GOOGLETRANSLATE(B10644,""id"",""en"")"),"['oath', 'Nge', 'lag', 'severe', 'quota', 'stay', 'haddehhh']")</f>
        <v>['oath', 'Nge', 'lag', 'severe', 'quota', 'stay', 'haddehhh']</v>
      </c>
      <c r="D10644" s="3">
        <v>1.0</v>
      </c>
    </row>
    <row r="10645" ht="15.75" customHeight="1">
      <c r="A10645" s="1">
        <v>11343.0</v>
      </c>
      <c r="B10645" s="3" t="s">
        <v>10178</v>
      </c>
      <c r="C10645" s="3" t="str">
        <f>IFERROR(__xludf.DUMMYFUNCTION("GOOGLETRANSLATE(B10645,""id"",""en"")"),"['', 'Allah', 'Network', 'Telkomsel', 'Data', 'already', 'fill', 'Tetep', 'Nga', 'Install', 'APK', 'Duh', 'replace ',' Wae ',' Telam "", 'Telkomsel', 'Liyeur']")</f>
        <v>['', 'Allah', 'Network', 'Telkomsel', 'Data', 'already', 'fill', 'Tetep', 'Nga', 'Install', 'APK', 'Duh', 'replace ',' Wae ',' Telam ", 'Telkomsel', 'Liyeur']</v>
      </c>
      <c r="D10645" s="3">
        <v>1.0</v>
      </c>
    </row>
    <row r="10646" ht="15.75" customHeight="1">
      <c r="A10646" s="1">
        <v>11344.0</v>
      </c>
      <c r="B10646" s="3" t="s">
        <v>10179</v>
      </c>
      <c r="C10646" s="3" t="str">
        <f>IFERROR(__xludf.DUMMYFUNCTION("GOOGLETRANSLATE(B10646,""id"",""en"")"),"['Telkomsel', 'Ohhh', 'Telkomsel', 'complaints', 'Telkomsel', 'Blank', 'White', 'Action', 'Please', 'Fix', 'Your Customer', 'blur']")</f>
        <v>['Telkomsel', 'Ohhh', 'Telkomsel', 'complaints', 'Telkomsel', 'Blank', 'White', 'Action', 'Please', 'Fix', 'Your Customer', 'blur']</v>
      </c>
      <c r="D10646" s="3">
        <v>1.0</v>
      </c>
    </row>
    <row r="10647" ht="15.75" customHeight="1">
      <c r="A10647" s="1">
        <v>11345.0</v>
      </c>
      <c r="B10647" s="3" t="s">
        <v>10180</v>
      </c>
      <c r="C10647" s="3" t="str">
        <f>IFERROR(__xludf.DUMMYFUNCTION("GOOGLETRANSLATE(B10647,""id"",""en"")"),"['brave', 'recommend', 'friend', 'login', 'use', 'Telkomsel', 'Telkomsel', 'slow', 'Sebel', 'Customer', 'Telkomsel', 'Quality', ' Fisted ',' Increase ',' Quality ',' Service ',' Customer ',' Moving ',' ']")</f>
        <v>['brave', 'recommend', 'friend', 'login', 'use', 'Telkomsel', 'Telkomsel', 'slow', 'Sebel', 'Customer', 'Telkomsel', 'Quality', ' Fisted ',' Increase ',' Quality ',' Service ',' Customer ',' Moving ',' ']</v>
      </c>
      <c r="D10647" s="3">
        <v>2.0</v>
      </c>
    </row>
    <row r="10648" ht="15.75" customHeight="1">
      <c r="A10648" s="1">
        <v>11346.0</v>
      </c>
      <c r="B10648" s="3" t="s">
        <v>10181</v>
      </c>
      <c r="C10648" s="3" t="str">
        <f>IFERROR(__xludf.DUMMYFUNCTION("GOOGLETRANSLATE(B10648,""id"",""en"")"),"['Severe', 'really', 'signal', 'internet', 'Fuel', 'Signal', 'Klau', 'see', 'YouTube', 'Tiktok', 'loading', 'exorbitant', ' Severe ',' bnget ',' Telkomsel ']")</f>
        <v>['Severe', 'really', 'signal', 'internet', 'Fuel', 'Signal', 'Klau', 'see', 'YouTube', 'Tiktok', 'loading', 'exorbitant', ' Severe ',' bnget ',' Telkomsel ']</v>
      </c>
      <c r="D10648" s="3">
        <v>1.0</v>
      </c>
    </row>
    <row r="10649" ht="15.75" customHeight="1">
      <c r="A10649" s="1">
        <v>11347.0</v>
      </c>
      <c r="B10649" s="3" t="s">
        <v>10182</v>
      </c>
      <c r="C10649" s="3" t="str">
        <f>IFERROR(__xludf.DUMMYFUNCTION("GOOGLETRANSLATE(B10649,""id"",""en"")"),"['Telkomsel', 'BSA', 'then', 'Nuker', 'Points',' Disorders', 'then', 'MSA', 'then', 'disorder', 'petma', 'rich', ' Gini ',' JDI ',' Gini ',' Disappointed ',' ']")</f>
        <v>['Telkomsel', 'BSA', 'then', 'Nuker', 'Points',' Disorders', 'then', 'MSA', 'then', 'disorder', 'petma', 'rich', ' Gini ',' JDI ',' Gini ',' Disappointed ',' ']</v>
      </c>
      <c r="D10649" s="3">
        <v>1.0</v>
      </c>
    </row>
    <row r="10650" ht="15.75" customHeight="1">
      <c r="A10650" s="1">
        <v>11348.0</v>
      </c>
      <c r="B10650" s="3" t="s">
        <v>10183</v>
      </c>
      <c r="C10650" s="3" t="str">
        <f>IFERROR(__xludf.DUMMYFUNCTION("GOOGLETRANSLATE(B10650,""id"",""en"")"),"['satisfying', 'users', 'Telkomsel']")</f>
        <v>['satisfying', 'users', 'Telkomsel']</v>
      </c>
      <c r="D10650" s="3">
        <v>5.0</v>
      </c>
    </row>
    <row r="10651" ht="15.75" customHeight="1">
      <c r="A10651" s="1">
        <v>11349.0</v>
      </c>
      <c r="B10651" s="3" t="s">
        <v>10184</v>
      </c>
      <c r="C10651" s="3" t="str">
        <f>IFERROR(__xludf.DUMMYFUNCTION("GOOGLETRANSLATE(B10651,""id"",""en"")"),"['easy', 'access']")</f>
        <v>['easy', 'access']</v>
      </c>
      <c r="D10651" s="3">
        <v>5.0</v>
      </c>
    </row>
    <row r="10652" ht="15.75" customHeight="1">
      <c r="A10652" s="1">
        <v>11350.0</v>
      </c>
      <c r="B10652" s="3" t="s">
        <v>10185</v>
      </c>
      <c r="C10652" s="3" t="str">
        <f>IFERROR(__xludf.DUMMYFUNCTION("GOOGLETRANSLATE(B10652,""id"",""en"")"),"['Package', 'special', 'interesting']")</f>
        <v>['Package', 'special', 'interesting']</v>
      </c>
      <c r="D10652" s="3">
        <v>5.0</v>
      </c>
    </row>
    <row r="10653" ht="15.75" customHeight="1">
      <c r="A10653" s="1">
        <v>11351.0</v>
      </c>
      <c r="B10653" s="3" t="s">
        <v>10186</v>
      </c>
      <c r="C10653" s="3" t="str">
        <f>IFERROR(__xludf.DUMMYFUNCTION("GOOGLETRANSLATE(B10653,""id"",""en"")"),"['Cheap', 'contents', 'package', 'Telkomsel', 'thank you', '']")</f>
        <v>['Cheap', 'contents', 'package', 'Telkomsel', 'thank you', '']</v>
      </c>
      <c r="D10653" s="3">
        <v>5.0</v>
      </c>
    </row>
    <row r="10654" ht="15.75" customHeight="1">
      <c r="A10654" s="1">
        <v>11352.0</v>
      </c>
      <c r="B10654" s="3" t="s">
        <v>10187</v>
      </c>
      <c r="C10654" s="3" t="str">
        <f>IFERROR(__xludf.DUMMYFUNCTION("GOOGLETRANSLATE(B10654,""id"",""en"")"),"['easy', 'used', 'unfortunately', 'problematic', 'right', 'needed', 'function', ""]")</f>
        <v>['easy', 'used', 'unfortunately', 'problematic', 'right', 'needed', 'function', "]</v>
      </c>
      <c r="D10654" s="3">
        <v>5.0</v>
      </c>
    </row>
    <row r="10655" ht="15.75" customHeight="1">
      <c r="A10655" s="1">
        <v>11353.0</v>
      </c>
      <c r="B10655" s="3" t="s">
        <v>10188</v>
      </c>
      <c r="C10655" s="3" t="str">
        <f>IFERROR(__xludf.DUMMYFUNCTION("GOOGLETRANSLATE(B10655,""id"",""en"")"),"['Come here', 'network', 'destroyed', 'price', 'expensive', 'quality', 'destroyed', 'ajg', ""]")</f>
        <v>['Come here', 'network', 'destroyed', 'price', 'expensive', 'quality', 'destroyed', 'ajg', "]</v>
      </c>
      <c r="D10655" s="3">
        <v>1.0</v>
      </c>
    </row>
    <row r="10656" ht="15.75" customHeight="1">
      <c r="A10656" s="1">
        <v>11354.0</v>
      </c>
      <c r="B10656" s="3" t="s">
        <v>10189</v>
      </c>
      <c r="C10656" s="3" t="str">
        <f>IFERROR(__xludf.DUMMYFUNCTION("GOOGLETRANSLATE(B10656,""id"",""en"")"),"['Update', 'Blank', 'White', 'Open', 'Already', 'BBR', 'Times', 'Uninstall', 'Install', 'Blank', 'White']")</f>
        <v>['Update', 'Blank', 'White', 'Open', 'Already', 'BBR', 'Times', 'Uninstall', 'Install', 'Blank', 'White']</v>
      </c>
      <c r="D10656" s="3">
        <v>1.0</v>
      </c>
    </row>
    <row r="10657" ht="15.75" customHeight="1">
      <c r="A10657" s="1">
        <v>11355.0</v>
      </c>
      <c r="B10657" s="3" t="s">
        <v>10190</v>
      </c>
      <c r="C10657" s="3" t="str">
        <f>IFERROR(__xludf.DUMMYFUNCTION("GOOGLETRANSLATE(B10657,""id"",""en"")"),"['Telkomsel', 'Taik', 'buy', 'package', 'for', 'thousand', 'entry', 'app', 'bins']")</f>
        <v>['Telkomsel', 'Taik', 'buy', 'package', 'for', 'thousand', 'entry', 'app', 'bins']</v>
      </c>
      <c r="D10657" s="3">
        <v>1.0</v>
      </c>
    </row>
    <row r="10658" ht="15.75" customHeight="1">
      <c r="A10658" s="1">
        <v>11356.0</v>
      </c>
      <c r="B10658" s="3" t="s">
        <v>10191</v>
      </c>
      <c r="C10658" s="3" t="str">
        <f>IFERROR(__xludf.DUMMYFUNCTION("GOOGLETRANSLATE(B10658,""id"",""en"")"),"['signal', 'bad', 'until', 'strong', 'doang', 'play', 'game', 'exposed', 'disorder']")</f>
        <v>['signal', 'bad', 'until', 'strong', 'doang', 'play', 'game', 'exposed', 'disorder']</v>
      </c>
      <c r="D10658" s="3">
        <v>1.0</v>
      </c>
    </row>
    <row r="10659" ht="15.75" customHeight="1">
      <c r="A10659" s="1">
        <v>11357.0</v>
      </c>
      <c r="B10659" s="3" t="s">
        <v>10192</v>
      </c>
      <c r="C10659" s="3" t="str">
        <f>IFERROR(__xludf.DUMMYFUNCTION("GOOGLETRANSLATE(B10659,""id"",""en"")"),"['Credit', 'used', 'Out', 'Internet', 'Bener', 'Harm', 'Content', 'Credit', 'Out', 'Puguh', 'Please', 'Love', ' Disable ',' access', '']")</f>
        <v>['Credit', 'used', 'Out', 'Internet', 'Bener', 'Harm', 'Content', 'Credit', 'Out', 'Puguh', 'Please', 'Love', ' Disable ',' access', '']</v>
      </c>
      <c r="D10659" s="3">
        <v>1.0</v>
      </c>
    </row>
    <row r="10660" ht="15.75" customHeight="1">
      <c r="A10660" s="1">
        <v>11358.0</v>
      </c>
      <c r="B10660" s="3" t="s">
        <v>10193</v>
      </c>
      <c r="C10660" s="3" t="str">
        <f>IFERROR(__xludf.DUMMYFUNCTION("GOOGLETRANSLATE(B10660,""id"",""en"")"),"['Knpa', 'Applksiny', 'Opened', '']")</f>
        <v>['Knpa', 'Applksiny', 'Opened', '']</v>
      </c>
      <c r="D10660" s="3">
        <v>1.0</v>
      </c>
    </row>
    <row r="10661" ht="15.75" customHeight="1">
      <c r="A10661" s="1">
        <v>11359.0</v>
      </c>
      <c r="B10661" s="3" t="s">
        <v>10194</v>
      </c>
      <c r="C10661" s="3" t="str">
        <f>IFERROR(__xludf.DUMMYFUNCTION("GOOGLETRANSLATE(B10661,""id"",""en"")"),"['Telkomsel', 'gymna', 'provide', 'purchase', 'package', 'right', 'buy', 'strange', 'ajig', 'cave', 'sia', 'fill', ' balances', 'feels',' cheated ',' trs', 'cave', 'kyk', 'gtu', 'bukn', 'times']")</f>
        <v>['Telkomsel', 'gymna', 'provide', 'purchase', 'package', 'right', 'buy', 'strange', 'ajig', 'cave', 'sia', 'fill', ' balances', 'feels',' cheated ',' trs', 'cave', 'kyk', 'gtu', 'bukn', 'times']</v>
      </c>
      <c r="D10661" s="3">
        <v>1.0</v>
      </c>
    </row>
    <row r="10662" ht="15.75" customHeight="1">
      <c r="A10662" s="1">
        <v>11360.0</v>
      </c>
      <c r="B10662" s="3" t="s">
        <v>10195</v>
      </c>
      <c r="C10662" s="3" t="str">
        <f>IFERROR(__xludf.DUMMYFUNCTION("GOOGLETRANSLATE(B10662,""id"",""en"")"),"['Mantep', 'really', 'NGK', 'CAPEKK', 'KLUAR', 'FIXING', 'BENDER']")</f>
        <v>['Mantep', 'really', 'NGK', 'CAPEKK', 'KLUAR', 'FIXING', 'BENDER']</v>
      </c>
      <c r="D10662" s="3">
        <v>5.0</v>
      </c>
    </row>
    <row r="10663" ht="15.75" customHeight="1">
      <c r="A10663" s="1">
        <v>11362.0</v>
      </c>
      <c r="B10663" s="3" t="s">
        <v>10196</v>
      </c>
      <c r="C10663" s="3" t="str">
        <f>IFERROR(__xludf.DUMMYFUNCTION("GOOGLETRANSLATE(B10663,""id"",""en"")"),"['Veronika', 'ugly', 'Divity', 'Help', 'Signal', 'Telkomsel', 'ugly']")</f>
        <v>['Veronika', 'ugly', 'Divity', 'Help', 'Signal', 'Telkomsel', 'ugly']</v>
      </c>
      <c r="D10663" s="3">
        <v>1.0</v>
      </c>
    </row>
    <row r="10664" ht="15.75" customHeight="1">
      <c r="A10664" s="1">
        <v>11363.0</v>
      </c>
      <c r="B10664" s="3" t="s">
        <v>10197</v>
      </c>
      <c r="C10664" s="3" t="str">
        <f>IFERROR(__xludf.DUMMYFUNCTION("GOOGLETRANSLATE(B10664,""id"",""en"")"),"['Signal', 'Kayak', 'NT', 'LLL']")</f>
        <v>['Signal', 'Kayak', 'NT', 'LLL']</v>
      </c>
      <c r="D10664" s="3">
        <v>1.0</v>
      </c>
    </row>
    <row r="10665" ht="15.75" customHeight="1">
      <c r="A10665" s="1">
        <v>11364.0</v>
      </c>
      <c r="B10665" s="3" t="s">
        <v>10198</v>
      </c>
      <c r="C10665" s="3" t="str">
        <f>IFERROR(__xludf.DUMMYFUNCTION("GOOGLETRANSLATE(B10665,""id"",""en"")"),"['The application', 'good', 'fix', 'buy', 'quota', 'coin', 'gabisa', 'hmm']")</f>
        <v>['The application', 'good', 'fix', 'buy', 'quota', 'coin', 'gabisa', 'hmm']</v>
      </c>
      <c r="D10665" s="3">
        <v>2.0</v>
      </c>
    </row>
    <row r="10666" ht="15.75" customHeight="1">
      <c r="A10666" s="1">
        <v>11365.0</v>
      </c>
      <c r="B10666" s="3" t="s">
        <v>10199</v>
      </c>
      <c r="C10666" s="3" t="str">
        <f>IFERROR(__xludf.DUMMYFUNCTION("GOOGLETRANSLATE(B10666,""id"",""en"")"),"['buy', 'package', 'expensive']")</f>
        <v>['buy', 'package', 'expensive']</v>
      </c>
      <c r="D10666" s="3">
        <v>1.0</v>
      </c>
    </row>
    <row r="10667" ht="15.75" customHeight="1">
      <c r="A10667" s="1">
        <v>11366.0</v>
      </c>
      <c r="B10667" s="3" t="s">
        <v>5230</v>
      </c>
      <c r="C10667" s="3" t="str">
        <f>IFERROR(__xludf.DUMMYFUNCTION("GOOGLETRANSLATE(B10667,""id"",""en"")"),"['Love', 'Star']")</f>
        <v>['Love', 'Star']</v>
      </c>
      <c r="D10667" s="3">
        <v>5.0</v>
      </c>
    </row>
    <row r="10668" ht="15.75" customHeight="1">
      <c r="A10668" s="1">
        <v>11367.0</v>
      </c>
      <c r="B10668" s="3" t="s">
        <v>10200</v>
      </c>
      <c r="C10668" s="3" t="str">
        <f>IFERROR(__xludf.DUMMYFUNCTION("GOOGLETRANSLATE(B10668,""id"",""en"")"),"['contents', 'pulse', 'suck', 'purpose', 'right']")</f>
        <v>['contents', 'pulse', 'suck', 'purpose', 'right']</v>
      </c>
      <c r="D10668" s="3">
        <v>1.0</v>
      </c>
    </row>
    <row r="10669" ht="15.75" customHeight="1">
      <c r="A10669" s="1">
        <v>11368.0</v>
      </c>
      <c r="B10669" s="3" t="s">
        <v>10201</v>
      </c>
      <c r="C10669" s="3" t="str">
        <f>IFERROR(__xludf.DUMMYFUNCTION("GOOGLETRANSLATE(B10669,""id"",""en"")"),"['APK', 'Open', 'Update', 'Latest', 'Open']")</f>
        <v>['APK', 'Open', 'Update', 'Latest', 'Open']</v>
      </c>
      <c r="D10669" s="3">
        <v>1.0</v>
      </c>
    </row>
    <row r="10670" ht="15.75" customHeight="1">
      <c r="A10670" s="1">
        <v>11369.0</v>
      </c>
      <c r="B10670" s="3" t="s">
        <v>10202</v>
      </c>
      <c r="C10670" s="3" t="str">
        <f>IFERROR(__xludf.DUMMYFUNCTION("GOOGLETRANSLATE(B10670,""id"",""en"")"),"['Telkomsel', 'gajelas',' fill in ',' credit ',' cut ',' RB ',' TELKOMN ',' KEK ',' GTU ',' sell ',' card ',' disappointed ',' Basic ',' Telkomn ',' ']")</f>
        <v>['Telkomsel', 'gajelas',' fill in ',' credit ',' cut ',' RB ',' TELKOMN ',' KEK ',' GTU ',' sell ',' card ',' disappointed ',' Basic ',' Telkomn ',' ']</v>
      </c>
      <c r="D10670" s="3">
        <v>1.0</v>
      </c>
    </row>
    <row r="10671" ht="15.75" customHeight="1">
      <c r="A10671" s="1">
        <v>11370.0</v>
      </c>
      <c r="B10671" s="3" t="s">
        <v>10203</v>
      </c>
      <c r="C10671" s="3" t="str">
        <f>IFERROR(__xludf.DUMMYFUNCTION("GOOGLETRANSLATE(B10671,""id"",""en"")"),"['thank you', 'followup']")</f>
        <v>['thank you', 'followup']</v>
      </c>
      <c r="D10671" s="3">
        <v>4.0</v>
      </c>
    </row>
    <row r="10672" ht="15.75" customHeight="1">
      <c r="A10672" s="1">
        <v>11371.0</v>
      </c>
      <c r="B10672" s="3" t="s">
        <v>10204</v>
      </c>
      <c r="C10672" s="3" t="str">
        <f>IFERROR(__xludf.DUMMYFUNCTION("GOOGLETRANSLATE(B10672,""id"",""en"")"),"[ 'Apkikasi', 'quality', 'hanmamamamamammamamammamammamamamammamamsmmamamammamamamammsmsbdhdjdjjdjdjdjjdkdmdmdmmdmdmdmmdmdmdmdmmdmdmdmndndndndndndnmdmdmdmdmmdmdmdmdkdkkdkdmdmdmdmmdmdmdmmkdmdmdmdmmdmdmmdmdmdmmdmdmdmmdm']")</f>
        <v>[ 'Apkikasi', 'quality', 'hanmamamamamammamamammamammamamamammamamsmmamamammamamamammsmsbdhdjdjjdjdjdjjdkdmdmdmmdmdmdmmdmdmdmdmmdmdmdmndndndndndndnmdmdmdmdmmdmdmdmdkdkkdkdmdmdmdmmdmdmdmmkdmdmdmdmmdmdmmdmdmdmmdmdmdmmdm']</v>
      </c>
      <c r="D10672" s="3">
        <v>1.0</v>
      </c>
    </row>
    <row r="10673" ht="15.75" customHeight="1">
      <c r="A10673" s="1">
        <v>11372.0</v>
      </c>
      <c r="B10673" s="3" t="s">
        <v>10205</v>
      </c>
      <c r="C10673" s="3" t="str">
        <f>IFERROR(__xludf.DUMMYFUNCTION("GOOGLETRANSLATE(B10673,""id"",""en"")"),"['Buy', 'pulse', 'nominal', 'pay', 'via', 'Gopay']")</f>
        <v>['Buy', 'pulse', 'nominal', 'pay', 'via', 'Gopay']</v>
      </c>
      <c r="D10673" s="3">
        <v>3.0</v>
      </c>
    </row>
    <row r="10674" ht="15.75" customHeight="1">
      <c r="A10674" s="1">
        <v>11373.0</v>
      </c>
      <c r="B10674" s="3" t="s">
        <v>10206</v>
      </c>
      <c r="C10674" s="3" t="str">
        <f>IFERROR(__xludf.DUMMYFUNCTION("GOOGLETRANSLATE(B10674,""id"",""en"")"),"['complaints', 'The network', 'Please', 'Increase', 'Abis', 'Ujan', 'The Network', 'Difficult', ""]")</f>
        <v>['complaints', 'The network', 'Please', 'Increase', 'Abis', 'Ujan', 'The Network', 'Difficult', "]</v>
      </c>
      <c r="D10674" s="3">
        <v>2.0</v>
      </c>
    </row>
    <row r="10675" ht="15.75" customHeight="1">
      <c r="A10675" s="1">
        <v>11374.0</v>
      </c>
      <c r="B10675" s="3" t="s">
        <v>10207</v>
      </c>
      <c r="C10675" s="3" t="str">
        <f>IFERROR(__xludf.DUMMYFUNCTION("GOOGLETRANSLATE(B10675,""id"",""en"")"),"['quota', 'giga', 'internet']")</f>
        <v>['quota', 'giga', 'internet']</v>
      </c>
      <c r="D10675" s="3">
        <v>5.0</v>
      </c>
    </row>
    <row r="10676" ht="15.75" customHeight="1">
      <c r="A10676" s="1">
        <v>11375.0</v>
      </c>
      <c r="B10676" s="3" t="s">
        <v>10208</v>
      </c>
      <c r="C10676" s="3" t="str">
        <f>IFERROR(__xludf.DUMMYFUNCTION("GOOGLETRANSLATE(B10676,""id"",""en"")"),"['Good', 'benefit']")</f>
        <v>['Good', 'benefit']</v>
      </c>
      <c r="D10676" s="3">
        <v>5.0</v>
      </c>
    </row>
    <row r="10677" ht="15.75" customHeight="1">
      <c r="A10677" s="1">
        <v>11376.0</v>
      </c>
      <c r="B10677" s="3" t="s">
        <v>10209</v>
      </c>
      <c r="C10677" s="3" t="str">
        <f>IFERROR(__xludf.DUMMYFUNCTION("GOOGLETRANSLATE(B10677,""id"",""en"")"),"['upgrate', 'the latest', 'opened', 'tried', 'fix', 'the application', 'thank', 'love']")</f>
        <v>['upgrate', 'the latest', 'opened', 'tried', 'fix', 'the application', 'thank', 'love']</v>
      </c>
      <c r="D10677" s="3">
        <v>1.0</v>
      </c>
    </row>
    <row r="10678" ht="15.75" customHeight="1">
      <c r="A10678" s="1">
        <v>11377.0</v>
      </c>
      <c r="B10678" s="3" t="s">
        <v>10210</v>
      </c>
      <c r="C10678" s="3" t="str">
        <f>IFERROR(__xludf.DUMMYFUNCTION("GOOGLETRANSLATE(B10678,""id"",""en"")"),"['Please', 'use', 'quota', 'internet', 'repaired', 'on', 'use', 'main', 'quota', 'date', 'expiration', 'quota', ' Date ',' expiration ',' used ',' loss', 'quota', 'internet']")</f>
        <v>['Please', 'use', 'quota', 'internet', 'repaired', 'on', 'use', 'main', 'quota', 'date', 'expiration', 'quota', ' Date ',' expiration ',' used ',' loss', 'quota', 'internet']</v>
      </c>
      <c r="D10678" s="3">
        <v>1.0</v>
      </c>
    </row>
    <row r="10679" ht="15.75" customHeight="1">
      <c r="A10679" s="1">
        <v>11378.0</v>
      </c>
      <c r="B10679" s="3" t="s">
        <v>10211</v>
      </c>
      <c r="C10679" s="3" t="str">
        <f>IFERROR(__xludf.DUMMYFUNCTION("GOOGLETRANSLATE(B10679,""id"",""en"")"),"['The application', 'Good', 'Package', 'Detailed', 'Give', 'Suggestions',' Want ',' Litu ',' Feature ',' Protection ',' Credit ',' Package ',' The internet ',' finished ',' sucked ',' pulses', 'yes',' sihih ',' already ',' dapet ',' notif ',' sms', 'comfo"&amp;"rtable', 'features',' trimakasih ' ]")</f>
        <v>['The application', 'Good', 'Package', 'Detailed', 'Give', 'Suggestions',' Want ',' Litu ',' Feature ',' Protection ',' Credit ',' Package ',' The internet ',' finished ',' sucked ',' pulses', 'yes',' sihih ',' already ',' dapet ',' notif ',' sms', 'comfortable', 'features',' trimakasih ' ]</v>
      </c>
      <c r="D10679" s="3">
        <v>4.0</v>
      </c>
    </row>
    <row r="10680" ht="15.75" customHeight="1">
      <c r="A10680" s="1">
        <v>11379.0</v>
      </c>
      <c r="B10680" s="3" t="s">
        <v>10212</v>
      </c>
      <c r="C10680" s="3" t="str">
        <f>IFERROR(__xludf.DUMMYFUNCTION("GOOGLETRANSLATE(B10680,""id"",""en"")"),"['difficult', 'enter', 'application', 'enter', 'download', 'reset', 'login', 'please', 'fix']")</f>
        <v>['difficult', 'enter', 'application', 'enter', 'download', 'reset', 'login', 'please', 'fix']</v>
      </c>
      <c r="D10680" s="3">
        <v>2.0</v>
      </c>
    </row>
    <row r="10681" ht="15.75" customHeight="1">
      <c r="A10681" s="1">
        <v>11380.0</v>
      </c>
      <c r="B10681" s="3" t="s">
        <v>10213</v>
      </c>
      <c r="C10681" s="3" t="str">
        <f>IFERROR(__xludf.DUMMYFUNCTION("GOOGLETRANSLATE(B10681,""id"",""en"")"),"['', 'Asked']")</f>
        <v>['', 'Asked']</v>
      </c>
      <c r="D10681" s="3">
        <v>5.0</v>
      </c>
    </row>
    <row r="10682" ht="15.75" customHeight="1">
      <c r="A10682" s="1">
        <v>11381.0</v>
      </c>
      <c r="B10682" s="3" t="s">
        <v>567</v>
      </c>
      <c r="C10682" s="3" t="str">
        <f>IFERROR(__xludf.DUMMYFUNCTION("GOOGLETRANSLATE(B10682,""id"",""en"")"),"['application']")</f>
        <v>['application']</v>
      </c>
      <c r="D10682" s="3">
        <v>5.0</v>
      </c>
    </row>
    <row r="10683" ht="15.75" customHeight="1">
      <c r="A10683" s="1">
        <v>11382.0</v>
      </c>
      <c r="B10683" s="3" t="s">
        <v>10214</v>
      </c>
      <c r="C10683" s="3" t="str">
        <f>IFERROR(__xludf.DUMMYFUNCTION("GOOGLETRANSLATE(B10683,""id"",""en"")"),"['signal', 'ugly', 'really', '']")</f>
        <v>['signal', 'ugly', 'really', '']</v>
      </c>
      <c r="D10683" s="3">
        <v>1.0</v>
      </c>
    </row>
    <row r="10684" ht="15.75" customHeight="1">
      <c r="A10684" s="1">
        <v>11383.0</v>
      </c>
      <c r="B10684" s="3" t="s">
        <v>2116</v>
      </c>
      <c r="C10684" s="3" t="str">
        <f>IFERROR(__xludf.DUMMYFUNCTION("GOOGLETRANSLATE(B10684,""id"",""en"")"),"['Use', 'easy']")</f>
        <v>['Use', 'easy']</v>
      </c>
      <c r="D10684" s="3">
        <v>5.0</v>
      </c>
    </row>
    <row r="10685" ht="15.75" customHeight="1">
      <c r="A10685" s="1">
        <v>11384.0</v>
      </c>
      <c r="B10685" s="3" t="s">
        <v>10215</v>
      </c>
      <c r="C10685" s="3" t="str">
        <f>IFERROR(__xludf.DUMMYFUNCTION("GOOGLETRANSLATE(B10685,""id"",""en"")"),"['alternating', 'download', 'opened', 'application', 'regret', 'me', 'download', 'quota', 'sampe', 'abizzzz', 'what', 'policy', ' Telkomsel ',' deliberate ',' made ',' that's', 'eat', 'quota', 'customer', '']")</f>
        <v>['alternating', 'download', 'opened', 'application', 'regret', 'me', 'download', 'quota', 'sampe', 'abizzzz', 'what', 'policy', ' Telkomsel ',' deliberate ',' made ',' that's', 'eat', 'quota', 'customer', '']</v>
      </c>
      <c r="D10685" s="3">
        <v>1.0</v>
      </c>
    </row>
    <row r="10686" ht="15.75" customHeight="1">
      <c r="A10686" s="1">
        <v>11385.0</v>
      </c>
      <c r="B10686" s="3" t="s">
        <v>10216</v>
      </c>
      <c r="C10686" s="3" t="str">
        <f>IFERROR(__xludf.DUMMYFUNCTION("GOOGLETRANSLATE(B10686,""id"",""en"")"),"['Okay', 'sip', 'steady']")</f>
        <v>['Okay', 'sip', 'steady']</v>
      </c>
      <c r="D10686" s="3">
        <v>5.0</v>
      </c>
    </row>
    <row r="10687" ht="15.75" customHeight="1">
      <c r="A10687" s="1">
        <v>11386.0</v>
      </c>
      <c r="B10687" s="3" t="s">
        <v>10217</v>
      </c>
      <c r="C10687" s="3" t="str">
        <f>IFERROR(__xludf.DUMMYFUNCTION("GOOGLETRANSLATE(B10687,""id"",""en"")"),"['Package', 'Data', 'Price', 'Sousal', 'Severe', ""]")</f>
        <v>['Package', 'Data', 'Price', 'Sousal', 'Severe', "]</v>
      </c>
      <c r="D10687" s="3">
        <v>1.0</v>
      </c>
    </row>
    <row r="10688" ht="15.75" customHeight="1">
      <c r="A10688" s="1">
        <v>11387.0</v>
      </c>
      <c r="B10688" s="3" t="s">
        <v>10218</v>
      </c>
      <c r="C10688" s="3" t="str">
        <f>IFERROR(__xludf.DUMMYFUNCTION("GOOGLETRANSLATE(B10688,""id"",""en"")"),"['Chek', 'usage', 'quota']")</f>
        <v>['Chek', 'usage', 'quota']</v>
      </c>
      <c r="D10688" s="3">
        <v>1.0</v>
      </c>
    </row>
    <row r="10689" ht="15.75" customHeight="1">
      <c r="A10689" s="1">
        <v>11388.0</v>
      </c>
      <c r="B10689" s="3" t="s">
        <v>10219</v>
      </c>
      <c r="C10689" s="3" t="str">
        <f>IFERROR(__xludf.DUMMYFUNCTION("GOOGLETRANSLATE(B10689,""id"",""en"")"),"['Signal', 'ugly', 'really']")</f>
        <v>['Signal', 'ugly', 'really']</v>
      </c>
      <c r="D10689" s="3">
        <v>1.0</v>
      </c>
    </row>
    <row r="10690" ht="15.75" customHeight="1">
      <c r="A10690" s="1">
        <v>11389.0</v>
      </c>
      <c r="B10690" s="3" t="s">
        <v>10220</v>
      </c>
      <c r="C10690" s="3" t="str">
        <f>IFERROR(__xludf.DUMMYFUNCTION("GOOGLETRANSLATE(B10690,""id"",""en"")"),"['pulse', 'disappear', 'rebu', 'woi', 'rebuu', 'disappear', 'mantabbbn', 'crazy', 'brushed', 'rebuu', 'thief', 'Emank', ' Deliberately ',' KUSISAIN ',' DEFEH ',' MALINK ',' TODAY ',' RAIB ',' Jozzzzz ']")</f>
        <v>['pulse', 'disappear', 'rebu', 'woi', 'rebuu', 'disappear', 'mantabbbn', 'crazy', 'brushed', 'rebuu', 'thief', 'Emank', ' Deliberately ',' KUSISAIN ',' DEFEH ',' MALINK ',' TODAY ',' RAIB ',' Jozzzzz ']</v>
      </c>
      <c r="D10690" s="3">
        <v>1.0</v>
      </c>
    </row>
    <row r="10691" ht="15.75" customHeight="1">
      <c r="A10691" s="1">
        <v>11390.0</v>
      </c>
      <c r="B10691" s="3" t="s">
        <v>10221</v>
      </c>
      <c r="C10691" s="3" t="str">
        <f>IFERROR(__xludf.DUMMYFUNCTION("GOOGLETRANSLATE(B10691,""id"",""en"")"),"['Buy', 'Package', 'Internet', 'Bonus', 'Call', 'SMS', 'Lost', 'Severe', 'Nihh']")</f>
        <v>['Buy', 'Package', 'Internet', 'Bonus', 'Call', 'SMS', 'Lost', 'Severe', 'Nihh']</v>
      </c>
      <c r="D10691" s="3">
        <v>1.0</v>
      </c>
    </row>
    <row r="10692" ht="15.75" customHeight="1">
      <c r="A10692" s="1">
        <v>11391.0</v>
      </c>
      <c r="B10692" s="3" t="s">
        <v>10222</v>
      </c>
      <c r="C10692" s="3" t="str">
        <f>IFERROR(__xludf.DUMMYFUNCTION("GOOGLETRANSLATE(B10692,""id"",""en"")"),"['Following', 'Suggestion', 'Admin', 'Clear', 'Cache', 'Clear', 'Data', 'Force', 'Stop', 'Application', 'Used', 'My APK', ' White', '']")</f>
        <v>['Following', 'Suggestion', 'Admin', 'Clear', 'Cache', 'Clear', 'Data', 'Force', 'Stop', 'Application', 'Used', 'My APK', ' White', '']</v>
      </c>
      <c r="D10692" s="3">
        <v>1.0</v>
      </c>
    </row>
    <row r="10693" ht="15.75" customHeight="1">
      <c r="A10693" s="1">
        <v>11392.0</v>
      </c>
      <c r="B10693" s="3" t="s">
        <v>10223</v>
      </c>
      <c r="C10693" s="3" t="str">
        <f>IFERROR(__xludf.DUMMYFUNCTION("GOOGLETRANSLATE(B10693,""id"",""en"")"),"['Network', 'good', 'internet', 'super', 'fast']")</f>
        <v>['Network', 'good', 'internet', 'super', 'fast']</v>
      </c>
      <c r="D10693" s="3">
        <v>5.0</v>
      </c>
    </row>
    <row r="10694" ht="15.75" customHeight="1">
      <c r="A10694" s="1">
        <v>11393.0</v>
      </c>
      <c r="B10694" s="3" t="s">
        <v>10224</v>
      </c>
      <c r="C10694" s="3" t="str">
        <f>IFERROR(__xludf.DUMMYFUNCTION("GOOGLETRANSLATE(B10694,""id"",""en"")"),"['Thank you', 'Kuata', 'Geratis']")</f>
        <v>['Thank you', 'Kuata', 'Geratis']</v>
      </c>
      <c r="D10694" s="3">
        <v>5.0</v>
      </c>
    </row>
    <row r="10695" ht="15.75" customHeight="1">
      <c r="A10695" s="1">
        <v>11394.0</v>
      </c>
      <c r="B10695" s="3" t="s">
        <v>10225</v>
      </c>
      <c r="C10695" s="3" t="str">
        <f>IFERROR(__xludf.DUMMYFUNCTION("GOOGLETRANSLATE(B10695,""id"",""en"")"),"['min', 'fix', 'try', 'knp', 'UDH', 'fill', 'pulse', 'packagein', 'combo', 'saktii', 'thousand', 'pdhl', ' pulses', 'udh', 'thousand', 'please', 'disappointed', 'mah']")</f>
        <v>['min', 'fix', 'try', 'knp', 'UDH', 'fill', 'pulse', 'packagein', 'combo', 'saktii', 'thousand', 'pdhl', ' pulses', 'udh', 'thousand', 'please', 'disappointed', 'mah']</v>
      </c>
      <c r="D10695" s="3">
        <v>1.0</v>
      </c>
    </row>
    <row r="10696" ht="15.75" customHeight="1">
      <c r="A10696" s="1">
        <v>11395.0</v>
      </c>
      <c r="B10696" s="3" t="s">
        <v>10226</v>
      </c>
      <c r="C10696" s="3" t="str">
        <f>IFERROR(__xludf.DUMMYFUNCTION("GOOGLETRANSLATE(B10696,""id"",""en"")"),"['Good', 'buy', 'package', 'cheap']")</f>
        <v>['Good', 'buy', 'package', 'cheap']</v>
      </c>
      <c r="D10696" s="3">
        <v>5.0</v>
      </c>
    </row>
    <row r="10697" ht="15.75" customHeight="1">
      <c r="A10697" s="1">
        <v>11396.0</v>
      </c>
      <c r="B10697" s="3" t="s">
        <v>10227</v>
      </c>
      <c r="C10697" s="3" t="str">
        <f>IFERROR(__xludf.DUMMYFUNCTION("GOOGLETRANSLATE(B10697,""id"",""en"")"),"['Astaghfirullahalazim', 'Mbak', 'Telkom', 'White', 'screen', 'pls', 'Telkom', 'Mbak', ""]")</f>
        <v>['Astaghfirullahalazim', 'Mbak', 'Telkom', 'White', 'screen', 'pls', 'Telkom', 'Mbak', "]</v>
      </c>
      <c r="D10697" s="3">
        <v>1.0</v>
      </c>
    </row>
    <row r="10698" ht="15.75" customHeight="1">
      <c r="A10698" s="1">
        <v>11398.0</v>
      </c>
      <c r="B10698" s="3" t="s">
        <v>10228</v>
      </c>
      <c r="C10698" s="3" t="str">
        <f>IFERROR(__xludf.DUMMYFUNCTION("GOOGLETRANSLATE(B10698,""id"",""en"")"),"['a week', 'open', 'application', 'email', 'call', 'center', 'msh', 'blom', 'solution', 'msh', 'tetep', 'click', ' application ',' blank ',' color ',' white ',' doang ',' uninstall ', ""]")</f>
        <v>['a week', 'open', 'application', 'email', 'call', 'center', 'msh', 'blom', 'solution', 'msh', 'tetep', 'click', ' application ',' blank ',' color ',' white ',' doang ',' uninstall ', "]</v>
      </c>
      <c r="D10698" s="3">
        <v>1.0</v>
      </c>
    </row>
    <row r="10699" ht="15.75" customHeight="1">
      <c r="A10699" s="1">
        <v>11399.0</v>
      </c>
      <c r="B10699" s="3" t="s">
        <v>10229</v>
      </c>
      <c r="C10699" s="3" t="str">
        <f>IFERROR(__xludf.DUMMYFUNCTION("GOOGLETRANSLATE(B10699,""id"",""en"")"),"['Out', 'update', 'ngeblank', 'how', 'likes',' poor ',' solution ',' pikak ',' telkomsel ',' subscription ',' already ',' open ',' Gini ',' please ',' repay ',' Ngeblank ']")</f>
        <v>['Out', 'update', 'ngeblank', 'how', 'likes',' poor ',' solution ',' pikak ',' telkomsel ',' subscription ',' already ',' open ',' Gini ',' please ',' repay ',' Ngeblank ']</v>
      </c>
      <c r="D10699" s="3">
        <v>1.0</v>
      </c>
    </row>
    <row r="10700" ht="15.75" customHeight="1">
      <c r="A10700" s="1">
        <v>11400.0</v>
      </c>
      <c r="B10700" s="3" t="s">
        <v>10230</v>
      </c>
      <c r="C10700" s="3" t="str">
        <f>IFERROR(__xludf.DUMMYFUNCTION("GOOGLETRANSLATE(B10700,""id"",""en"")"),"['Restore', 'Package', 'Extra', 'Unlimited', '']")</f>
        <v>['Restore', 'Package', 'Extra', 'Unlimited', '']</v>
      </c>
      <c r="D10700" s="3">
        <v>1.0</v>
      </c>
    </row>
    <row r="10701" ht="15.75" customHeight="1">
      <c r="A10701" s="1">
        <v>11401.0</v>
      </c>
      <c r="B10701" s="3" t="s">
        <v>10231</v>
      </c>
      <c r="C10701" s="3" t="str">
        <f>IFERROR(__xludf.DUMMYFUNCTION("GOOGLETRANSLATE(B10701,""id"",""en"")"),"['Fast', 'Target']")</f>
        <v>['Fast', 'Target']</v>
      </c>
      <c r="D10701" s="3">
        <v>5.0</v>
      </c>
    </row>
    <row r="10702" ht="15.75" customHeight="1">
      <c r="A10702" s="1">
        <v>11402.0</v>
      </c>
      <c r="B10702" s="3" t="s">
        <v>10232</v>
      </c>
      <c r="C10702" s="3" t="str">
        <f>IFERROR(__xludf.DUMMYFUNCTION("GOOGLETRANSLATE(B10702,""id"",""en"")"),"['The application', 'White', 'Screen', 'Doang', 'Screen', 'Dead', 'Turn on', 'Display', 'Home', 'What', 'Version', 'Rich', ' Gini ',' mah ',' no ',' gini ',' mah ',' ride ',' version ',' mending ',' version ',' ']")</f>
        <v>['The application', 'White', 'Screen', 'Doang', 'Screen', 'Dead', 'Turn on', 'Display', 'Home', 'What', 'Version', 'Rich', ' Gini ',' mah ',' no ',' gini ',' mah ',' ride ',' version ',' mending ',' version ',' ']</v>
      </c>
      <c r="D10702" s="3">
        <v>1.0</v>
      </c>
    </row>
    <row r="10703" ht="15.75" customHeight="1">
      <c r="A10703" s="1">
        <v>11403.0</v>
      </c>
      <c r="B10703" s="3" t="s">
        <v>10233</v>
      </c>
      <c r="C10703" s="3" t="str">
        <f>IFERROR(__xludf.DUMMYFUNCTION("GOOGLETRANSLATE(B10703,""id"",""en"")"),"['', 'DBuka', 'The application', '']")</f>
        <v>['', 'DBuka', 'The application', '']</v>
      </c>
      <c r="D10703" s="3">
        <v>5.0</v>
      </c>
    </row>
    <row r="10704" ht="15.75" customHeight="1">
      <c r="A10704" s="1">
        <v>11404.0</v>
      </c>
      <c r="B10704" s="3" t="s">
        <v>10234</v>
      </c>
      <c r="C10704" s="3" t="str">
        <f>IFERROR(__xludf.DUMMYFUNCTION("GOOGLETRANSLATE(B10704,""id"",""en"")"),"['Update', 'blank', 'white', 'week', 'open', 'users',' Telkomsel ',' disappointed ',' hope ',' repair ',' spoil ',' Telkomsel ',' ']")</f>
        <v>['Update', 'blank', 'white', 'week', 'open', 'users',' Telkomsel ',' disappointed ',' hope ',' repair ',' spoil ',' Telkomsel ',' ']</v>
      </c>
      <c r="D10704" s="3">
        <v>1.0</v>
      </c>
    </row>
    <row r="10705" ht="15.75" customHeight="1">
      <c r="A10705" s="1">
        <v>11405.0</v>
      </c>
      <c r="B10705" s="3" t="s">
        <v>10235</v>
      </c>
      <c r="C10705" s="3" t="str">
        <f>IFERROR(__xludf.DUMMYFUNCTION("GOOGLETRANSLATE(B10705,""id"",""en"")"),"['MyTelkomsel', 'right', 'opened', 'screen', 'white', 'yaa', 'Please', 'response', ""]")</f>
        <v>['MyTelkomsel', 'right', 'opened', 'screen', 'white', 'yaa', 'Please', 'response', "]</v>
      </c>
      <c r="D10705" s="3">
        <v>1.0</v>
      </c>
    </row>
    <row r="10706" ht="15.75" customHeight="1">
      <c r="A10706" s="1">
        <v>11406.0</v>
      </c>
      <c r="B10706" s="3" t="s">
        <v>10236</v>
      </c>
      <c r="C10706" s="3" t="str">
        <f>IFERROR(__xludf.DUMMYFUNCTION("GOOGLETRANSLATE(B10706,""id"",""en"")"),"['quality', 'network', 'price', 'expensive', 'operator', 'Indonesia', '']")</f>
        <v>['quality', 'network', 'price', 'expensive', 'operator', 'Indonesia', '']</v>
      </c>
      <c r="D10706" s="3">
        <v>3.0</v>
      </c>
    </row>
    <row r="10707" ht="15.75" customHeight="1">
      <c r="A10707" s="1">
        <v>11407.0</v>
      </c>
      <c r="B10707" s="3" t="s">
        <v>10237</v>
      </c>
      <c r="C10707" s="3" t="str">
        <f>IFERROR(__xludf.DUMMYFUNCTION("GOOGLETRANSLATE(B10707,""id"",""en"")"),"['quota', 'unlimited', 'slow']")</f>
        <v>['quota', 'unlimited', 'slow']</v>
      </c>
      <c r="D10707" s="3">
        <v>1.0</v>
      </c>
    </row>
    <row r="10708" ht="15.75" customHeight="1">
      <c r="A10708" s="1">
        <v>11408.0</v>
      </c>
      <c r="B10708" s="3" t="s">
        <v>10238</v>
      </c>
      <c r="C10708" s="3" t="str">
        <f>IFERROR(__xludf.DUMMYFUNCTION("GOOGLETRANSLATE(B10708,""id"",""en"")"),"['disappointing', 'customer', 'application', 'blank', 'opened', 'already', 'complained', 'rich', 'how', 'development', 'update', 'gausah', ' Located ',' Network ',' like ',' ilang ',' stay ',' City ',' Gini ',' Burik ',' The network ',' quota ',' difficul"&amp;"t ',' spent ',' Gara ' , 'difficult', 'signal', 'buy', 'expensive', 'already', 'feasible', 'fought', '']")</f>
        <v>['disappointing', 'customer', 'application', 'blank', 'opened', 'already', 'complained', 'rich', 'how', 'development', 'update', 'gausah', ' Located ',' Network ',' like ',' ilang ',' stay ',' City ',' Gini ',' Burik ',' The network ',' quota ',' difficult ',' spent ',' Gara ' , 'difficult', 'signal', 'buy', 'expensive', 'already', 'feasible', 'fought', '']</v>
      </c>
      <c r="D10708" s="3">
        <v>1.0</v>
      </c>
    </row>
    <row r="10709" ht="15.75" customHeight="1">
      <c r="A10709" s="1">
        <v>11409.0</v>
      </c>
      <c r="B10709" s="3" t="s">
        <v>10239</v>
      </c>
      <c r="C10709" s="3" t="str">
        <f>IFERROR(__xludf.DUMMYFUNCTION("GOOGLETRANSLATE(B10709,""id"",""en"")"),"['updated', 'application', 'Telkomsel', 'appears']")</f>
        <v>['updated', 'application', 'Telkomsel', 'appears']</v>
      </c>
      <c r="D10709" s="3">
        <v>4.0</v>
      </c>
    </row>
    <row r="10710" ht="15.75" customHeight="1">
      <c r="A10710" s="1">
        <v>11410.0</v>
      </c>
      <c r="B10710" s="3" t="s">
        <v>10240</v>
      </c>
      <c r="C10710" s="3" t="str">
        <f>IFERROR(__xludf.DUMMYFUNCTION("GOOGLETRANSLATE(B10710,""id"",""en"")"),"['enhanced', 'power', 'network', 'internet', 'center', 'city', 'sinynya', 'good', 'win', 'city', 'rich', 'district', ' Radius', 'district', 'patent', 'signal', 'mbul', 'ugly']")</f>
        <v>['enhanced', 'power', 'network', 'internet', 'center', 'city', 'sinynya', 'good', 'win', 'city', 'rich', 'district', ' Radius', 'district', 'patent', 'signal', 'mbul', 'ugly']</v>
      </c>
      <c r="D10710" s="3">
        <v>4.0</v>
      </c>
    </row>
    <row r="10711" ht="15.75" customHeight="1">
      <c r="A10711" s="1">
        <v>11411.0</v>
      </c>
      <c r="B10711" s="3" t="s">
        <v>10241</v>
      </c>
      <c r="C10711" s="3" t="str">
        <f>IFERROR(__xludf.DUMMYFUNCTION("GOOGLETRANSLATE(B10711,""id"",""en"")"),"['use']")</f>
        <v>['use']</v>
      </c>
      <c r="D10711" s="3">
        <v>4.0</v>
      </c>
    </row>
    <row r="10712" ht="15.75" customHeight="1">
      <c r="A10712" s="1">
        <v>11412.0</v>
      </c>
      <c r="B10712" s="3" t="s">
        <v>10242</v>
      </c>
      <c r="C10712" s="3" t="str">
        <f>IFERROR(__xludf.DUMMYFUNCTION("GOOGLETRANSLATE(B10712,""id"",""en"")"),"['Hallo', 'Please', 'Sorry', 'Application', 'Open', 'Screen', 'White', ""]")</f>
        <v>['Hallo', 'Please', 'Sorry', 'Application', 'Open', 'Screen', 'White', "]</v>
      </c>
      <c r="D10712" s="3">
        <v>5.0</v>
      </c>
    </row>
    <row r="10713" ht="15.75" customHeight="1">
      <c r="A10713" s="1">
        <v>11413.0</v>
      </c>
      <c r="B10713" s="3" t="s">
        <v>10243</v>
      </c>
      <c r="C10713" s="3" t="str">
        <f>IFERROR(__xludf.DUMMYFUNCTION("GOOGLETRANSLATE(B10713,""id"",""en"")"),"['NPA', 'open', 'application', 'please', 'repay', 'thank', 'love']")</f>
        <v>['NPA', 'open', 'application', 'please', 'repay', 'thank', 'love']</v>
      </c>
      <c r="D10713" s="3">
        <v>1.0</v>
      </c>
    </row>
    <row r="10714" ht="15.75" customHeight="1">
      <c r="A10714" s="1">
        <v>11414.0</v>
      </c>
      <c r="B10714" s="3" t="s">
        <v>10244</v>
      </c>
      <c r="C10714" s="3" t="str">
        <f>IFERROR(__xludf.DUMMYFUNCTION("GOOGLETRANSLATE(B10714,""id"",""en"")"),"['Network', 'Telkomsel', 'Severe', 'Raying', 'Pakenya']")</f>
        <v>['Network', 'Telkomsel', 'Severe', 'Raying', 'Pakenya']</v>
      </c>
      <c r="D10714" s="3">
        <v>1.0</v>
      </c>
    </row>
    <row r="10715" ht="15.75" customHeight="1">
      <c r="A10715" s="1">
        <v>11415.0</v>
      </c>
      <c r="B10715" s="3" t="s">
        <v>10245</v>
      </c>
      <c r="C10715" s="3" t="str">
        <f>IFERROR(__xludf.DUMMYFUNCTION("GOOGLETRANSLATE(B10715,""id"",""en"")"),"['Help', 'Satisfied']")</f>
        <v>['Help', 'Satisfied']</v>
      </c>
      <c r="D10715" s="3">
        <v>5.0</v>
      </c>
    </row>
    <row r="10716" ht="15.75" customHeight="1">
      <c r="A10716" s="1">
        <v>11416.0</v>
      </c>
      <c r="B10716" s="3" t="s">
        <v>10246</v>
      </c>
      <c r="C10716" s="3" t="str">
        <f>IFERROR(__xludf.DUMMYFUNCTION("GOOGLETRANSLATE(B10716,""id"",""en"")"),"['Bener', 'network', 'really', 'slow', 'price', 'package', 'expensive', 'expensive', 'suits', 'service', ""]")</f>
        <v>['Bener', 'network', 'really', 'slow', 'price', 'package', 'expensive', 'expensive', 'suits', 'service', "]</v>
      </c>
      <c r="D10716" s="3">
        <v>1.0</v>
      </c>
    </row>
    <row r="10717" ht="15.75" customHeight="1">
      <c r="A10717" s="1">
        <v>11417.0</v>
      </c>
      <c r="B10717" s="3" t="s">
        <v>10247</v>
      </c>
      <c r="C10717" s="3" t="str">
        <f>IFERROR(__xludf.DUMMYFUNCTION("GOOGLETRANSLATE(B10717,""id"",""en"")"),"['easy', 'instructions', '']")</f>
        <v>['easy', 'instructions', '']</v>
      </c>
      <c r="D10717" s="3">
        <v>5.0</v>
      </c>
    </row>
    <row r="10718" ht="15.75" customHeight="1">
      <c r="A10718" s="1">
        <v>11418.0</v>
      </c>
      <c r="B10718" s="3" t="s">
        <v>10248</v>
      </c>
      <c r="C10718" s="3" t="str">
        <f>IFERROR(__xludf.DUMMYFUNCTION("GOOGLETRANSLATE(B10718,""id"",""en"")"),"['Ouch', 'Application', 'Open', 'How', 'Service', 'Telkomsel']")</f>
        <v>['Ouch', 'Application', 'Open', 'How', 'Service', 'Telkomsel']</v>
      </c>
      <c r="D10718" s="3">
        <v>1.0</v>
      </c>
    </row>
    <row r="10719" ht="15.75" customHeight="1">
      <c r="A10719" s="1">
        <v>11419.0</v>
      </c>
      <c r="B10719" s="3" t="s">
        <v>10249</v>
      </c>
      <c r="C10719" s="3" t="str">
        <f>IFERROR(__xludf.DUMMYFUNCTION("GOOGLETRANSLATE(B10719,""id"",""en"")"),"['Disappointed', 'MaxStream', 'Used', 'Reduces',' Quota ',' Data ',' Internet ',' Loss', 'Buy', 'Package', 'MaxStream', 'Quota', ' Internet ',' fast ',' run out ',' email ',' solution ',' useful ',' person ',' stupid ',' said ',' application ',' maxstream"&amp;" ',' login ',' account ' , 'Registered', 'heelloooo', 'disappointed', 'heavy', '']")</f>
        <v>['Disappointed', 'MaxStream', 'Used', 'Reduces',' Quota ',' Data ',' Internet ',' Loss', 'Buy', 'Package', 'MaxStream', 'Quota', ' Internet ',' fast ',' run out ',' email ',' solution ',' useful ',' person ',' stupid ',' said ',' application ',' maxstream ',' login ',' account ' , 'Registered', 'heelloooo', 'disappointed', 'heavy', '']</v>
      </c>
      <c r="D10719" s="3">
        <v>1.0</v>
      </c>
    </row>
    <row r="10720" ht="15.75" customHeight="1">
      <c r="A10720" s="1">
        <v>11420.0</v>
      </c>
      <c r="B10720" s="3" t="s">
        <v>10250</v>
      </c>
      <c r="C10720" s="3" t="str">
        <f>IFERROR(__xludf.DUMMYFUNCTION("GOOGLETRANSLATE(B10720,""id"",""en"")"),"['swear', 'Telkomsel', 'problematic', 'noon', 'afternoon', 'please', 'improvement', 'gini', 'gini', 'lazy', 'buy', 'telkomsel']")</f>
        <v>['swear', 'Telkomsel', 'problematic', 'noon', 'afternoon', 'please', 'improvement', 'gini', 'gini', 'lazy', 'buy', 'telkomsel']</v>
      </c>
      <c r="D10720" s="3">
        <v>5.0</v>
      </c>
    </row>
    <row r="10721" ht="15.75" customHeight="1">
      <c r="A10721" s="1">
        <v>11421.0</v>
      </c>
      <c r="B10721" s="3" t="s">
        <v>7508</v>
      </c>
      <c r="C10721" s="3" t="str">
        <f>IFERROR(__xludf.DUMMYFUNCTION("GOOGLETRANSLATE(B10721,""id"",""en"")"),"['Easy', 'Telkomsel']")</f>
        <v>['Easy', 'Telkomsel']</v>
      </c>
      <c r="D10721" s="3">
        <v>5.0</v>
      </c>
    </row>
    <row r="10722" ht="15.75" customHeight="1">
      <c r="A10722" s="1">
        <v>11422.0</v>
      </c>
      <c r="B10722" s="3" t="s">
        <v>10251</v>
      </c>
      <c r="C10722" s="3" t="str">
        <f>IFERROR(__xludf.DUMMYFUNCTION("GOOGLETRANSLATE(B10722,""id"",""en"")"),"['Open', 'color', 'white', 'appears']")</f>
        <v>['Open', 'color', 'white', 'appears']</v>
      </c>
      <c r="D10722" s="3">
        <v>1.0</v>
      </c>
    </row>
    <row r="10723" ht="15.75" customHeight="1">
      <c r="A10723" s="1">
        <v>11423.0</v>
      </c>
      <c r="B10723" s="3" t="s">
        <v>10252</v>
      </c>
      <c r="C10723" s="3" t="str">
        <f>IFERROR(__xludf.DUMMYFUNCTION("GOOGLETRANSLATE(B10723,""id"",""en"")"),"['Package', 'Internet', 'Credit', 'Reduced']")</f>
        <v>['Package', 'Internet', 'Credit', 'Reduced']</v>
      </c>
      <c r="D10723" s="3">
        <v>2.0</v>
      </c>
    </row>
    <row r="10724" ht="15.75" customHeight="1">
      <c r="A10724" s="1">
        <v>11425.0</v>
      </c>
      <c r="B10724" s="3" t="s">
        <v>10253</v>
      </c>
      <c r="C10724" s="3" t="str">
        <f>IFERROR(__xludf.DUMMYFUNCTION("GOOGLETRANSLATE(B10724,""id"",""en"")"),"['Good', 'really', 'I think', '']")</f>
        <v>['Good', 'really', 'I think', '']</v>
      </c>
      <c r="D10724" s="3">
        <v>4.0</v>
      </c>
    </row>
    <row r="10725" ht="15.75" customHeight="1">
      <c r="A10725" s="1">
        <v>11426.0</v>
      </c>
      <c r="B10725" s="3" t="s">
        <v>10254</v>
      </c>
      <c r="C10725" s="3" t="str">
        <f>IFERROR(__xludf.DUMMYFUNCTION("GOOGLETRANSLATE(B10725,""id"",""en"")"),"['Sometimes', 'stable', 'clock', 'busy']")</f>
        <v>['Sometimes', 'stable', 'clock', 'busy']</v>
      </c>
      <c r="D10725" s="3">
        <v>4.0</v>
      </c>
    </row>
    <row r="10726" ht="15.75" customHeight="1">
      <c r="A10726" s="1">
        <v>11427.0</v>
      </c>
      <c r="B10726" s="3" t="s">
        <v>10255</v>
      </c>
      <c r="C10726" s="3" t="str">
        <f>IFERROR(__xludf.DUMMYFUNCTION("GOOGLETRANSLATE(B10726,""id"",""en"")"),"['', 'Telkomsel', 'steady', 'the application', '']")</f>
        <v>['', 'Telkomsel', 'steady', 'the application', '']</v>
      </c>
      <c r="D10726" s="3">
        <v>5.0</v>
      </c>
    </row>
    <row r="10727" ht="15.75" customHeight="1">
      <c r="A10727" s="1">
        <v>11429.0</v>
      </c>
      <c r="B10727" s="3" t="s">
        <v>10256</v>
      </c>
      <c r="C10727" s="3" t="str">
        <f>IFERROR(__xludf.DUMMYFUNCTION("GOOGLETRANSLATE(B10727,""id"",""en"")"),"['Maap', 'TPI', 'Network', 'garbage']")</f>
        <v>['Maap', 'TPI', 'Network', 'garbage']</v>
      </c>
      <c r="D10727" s="3">
        <v>1.0</v>
      </c>
    </row>
    <row r="10728" ht="15.75" customHeight="1">
      <c r="A10728" s="1">
        <v>11430.0</v>
      </c>
      <c r="B10728" s="3" t="s">
        <v>10257</v>
      </c>
      <c r="C10728" s="3" t="str">
        <f>IFERROR(__xludf.DUMMYFUNCTION("GOOGLETRANSLATE(B10728,""id"",""en"")"),"['Love', 'Bintang', 'because', 'Exchange', 'Point', 'Gift', 'Min', 'Hopefully', 'Number', 'Win', 'Gift', ""]")</f>
        <v>['Love', 'Bintang', 'because', 'Exchange', 'Point', 'Gift', 'Min', 'Hopefully', 'Number', 'Win', 'Gift', "]</v>
      </c>
      <c r="D10728" s="3">
        <v>5.0</v>
      </c>
    </row>
    <row r="10729" ht="15.75" customHeight="1">
      <c r="A10729" s="1">
        <v>11431.0</v>
      </c>
      <c r="B10729" s="3" t="s">
        <v>10258</v>
      </c>
      <c r="C10729" s="3" t="str">
        <f>IFERROR(__xludf.DUMMYFUNCTION("GOOGLETRANSLATE(B10729,""id"",""en"")"),"['Astaghfirullah', 'signal', 'Telkomsel', 'bad', 'South Jakarta', ""]")</f>
        <v>['Astaghfirullah', 'signal', 'Telkomsel', 'bad', 'South Jakarta', "]</v>
      </c>
      <c r="D10729" s="3">
        <v>1.0</v>
      </c>
    </row>
    <row r="10730" ht="15.75" customHeight="1">
      <c r="A10730" s="1">
        <v>11432.0</v>
      </c>
      <c r="B10730" s="3" t="s">
        <v>10259</v>
      </c>
      <c r="C10730" s="3" t="str">
        <f>IFERROR(__xludf.DUMMYFUNCTION("GOOGLETRANSLATE(B10730,""id"",""en"")"),"['Application', 'Telkomsel', 'appears', '']")</f>
        <v>['Application', 'Telkomsel', 'appears', '']</v>
      </c>
      <c r="D10730" s="3">
        <v>5.0</v>
      </c>
    </row>
    <row r="10731" ht="15.75" customHeight="1">
      <c r="A10731" s="1">
        <v>11433.0</v>
      </c>
      <c r="B10731" s="3" t="s">
        <v>10260</v>
      </c>
      <c r="C10731" s="3" t="str">
        <f>IFERROR(__xludf.DUMMYFUNCTION("GOOGLETRANSLATE(B10731,""id"",""en"")"),"['It's easy', 'confused']")</f>
        <v>['It's easy', 'confused']</v>
      </c>
      <c r="D10731" s="3">
        <v>4.0</v>
      </c>
    </row>
    <row r="10732" ht="15.75" customHeight="1">
      <c r="A10732" s="1">
        <v>11434.0</v>
      </c>
      <c r="B10732" s="3" t="s">
        <v>10261</v>
      </c>
      <c r="C10732" s="3" t="str">
        <f>IFERROR(__xludf.DUMMYFUNCTION("GOOGLETRANSLATE(B10732,""id"",""en"")"),"['Bermanfa', '']")</f>
        <v>['Bermanfa', '']</v>
      </c>
      <c r="D10732" s="3">
        <v>5.0</v>
      </c>
    </row>
    <row r="10733" ht="15.75" customHeight="1">
      <c r="A10733" s="1">
        <v>11435.0</v>
      </c>
      <c r="B10733" s="3" t="s">
        <v>10262</v>
      </c>
      <c r="C10733" s="3" t="str">
        <f>IFERROR(__xludf.DUMMYFUNCTION("GOOGLETRANSLATE(B10733,""id"",""en"")"),"['loss', 'use', 'application', 'open']")</f>
        <v>['loss', 'use', 'application', 'open']</v>
      </c>
      <c r="D10733" s="3">
        <v>1.0</v>
      </c>
    </row>
    <row r="10734" ht="15.75" customHeight="1">
      <c r="A10734" s="1">
        <v>11436.0</v>
      </c>
      <c r="B10734" s="3" t="s">
        <v>10263</v>
      </c>
      <c r="C10734" s="3" t="str">
        <f>IFERROR(__xludf.DUMMYFUNCTION("GOOGLETRANSLATE(B10734,""id"",""en"")"),"['application', 'Telkomsel', 'opened', 'screen', 'white', 'nge', 'blank', 'that's',' checked ',' quota ',' leftover ',' pulses', ' Constraints', 'Gue', 'Bakar', ""]")</f>
        <v>['application', 'Telkomsel', 'opened', 'screen', 'white', 'nge', 'blank', 'that's',' checked ',' quota ',' leftover ',' pulses', ' Constraints', 'Gue', 'Bakar', "]</v>
      </c>
      <c r="D10734" s="3">
        <v>1.0</v>
      </c>
    </row>
    <row r="10735" ht="15.75" customHeight="1">
      <c r="A10735" s="1">
        <v>11437.0</v>
      </c>
      <c r="B10735" s="3" t="s">
        <v>10264</v>
      </c>
      <c r="C10735" s="3" t="str">
        <f>IFERROR(__xludf.DUMMYFUNCTION("GOOGLETRANSLATE(B10735,""id"",""en"")"),"['Threat', 'broken']")</f>
        <v>['Threat', 'broken']</v>
      </c>
      <c r="D10735" s="3">
        <v>1.0</v>
      </c>
    </row>
    <row r="10736" ht="15.75" customHeight="1">
      <c r="A10736" s="1">
        <v>11438.0</v>
      </c>
      <c r="B10736" s="3" t="s">
        <v>10265</v>
      </c>
      <c r="C10736" s="3" t="str">
        <f>IFERROR(__xludf.DUMMYFUNCTION("GOOGLETRANSLATE(B10736,""id"",""en"")"),"['Telkomsel', 'Please', 'Repaired', 'Cook', 'Package', 'Data']")</f>
        <v>['Telkomsel', 'Please', 'Repaired', 'Cook', 'Package', 'Data']</v>
      </c>
      <c r="D10736" s="3">
        <v>1.0</v>
      </c>
    </row>
    <row r="10737" ht="15.75" customHeight="1">
      <c r="A10737" s="1">
        <v>11439.0</v>
      </c>
      <c r="B10737" s="3" t="s">
        <v>10266</v>
      </c>
      <c r="C10737" s="3" t="str">
        <f>IFERROR(__xludf.DUMMYFUNCTION("GOOGLETRANSLATE(B10737,""id"",""en"")"),"['knp', 'network', 'down', 'sometimes', 'hadeeeeeh', 'poor']")</f>
        <v>['knp', 'network', 'down', 'sometimes', 'hadeeeeeh', 'poor']</v>
      </c>
      <c r="D10737" s="3">
        <v>1.0</v>
      </c>
    </row>
    <row r="10738" ht="15.75" customHeight="1">
      <c r="A10738" s="1">
        <v>11441.0</v>
      </c>
      <c r="B10738" s="3" t="s">
        <v>10267</v>
      </c>
      <c r="C10738" s="3" t="str">
        <f>IFERROR(__xludf.DUMMYFUNCTION("GOOGLETRANSLATE(B10738,""id"",""en"")"),"['Times', 'Install', 'Uninstall', 'Mengebuka', 'appears', 'screen', 'white', 'Please', 'solution', ""]")</f>
        <v>['Times', 'Install', 'Uninstall', 'Mengebuka', 'appears', 'screen', 'white', 'Please', 'solution', "]</v>
      </c>
      <c r="D10738" s="3">
        <v>4.0</v>
      </c>
    </row>
    <row r="10739" ht="15.75" customHeight="1">
      <c r="A10739" s="1">
        <v>11442.0</v>
      </c>
      <c r="B10739" s="3" t="s">
        <v>10268</v>
      </c>
      <c r="C10739" s="3" t="str">
        <f>IFERROR(__xludf.DUMMYFUNCTION("GOOGLETRANSLATE(B10739,""id"",""en"")"),"['complain', 'times',' buy ',' quota ',' cheerful ',' quota ',' times', 'pulse', 'leftover', 'buy', 'quota', 'take', ' run out ',' already ',' package ',' quota ',' sekwwwwwwwa ',' take ',' truz ',' pulses', 'package', 'quota', 'actip']")</f>
        <v>['complain', 'times',' buy ',' quota ',' cheerful ',' quota ',' times', 'pulse', 'leftover', 'buy', 'quota', 'take', ' run out ',' already ',' package ',' quota ',' sekwwwwwwwa ',' take ',' truz ',' pulses', 'package', 'quota', 'actip']</v>
      </c>
      <c r="D10739" s="3">
        <v>1.0</v>
      </c>
    </row>
    <row r="10740" ht="15.75" customHeight="1">
      <c r="A10740" s="1">
        <v>11443.0</v>
      </c>
      <c r="B10740" s="3" t="s">
        <v>10269</v>
      </c>
      <c r="C10740" s="3" t="str">
        <f>IFERROR(__xludf.DUMMYFUNCTION("GOOGLETRANSLATE(B10740,""id"",""en"")"),"['hope', 'application', 'useful', 'community']")</f>
        <v>['hope', 'application', 'useful', 'community']</v>
      </c>
      <c r="D10740" s="3">
        <v>5.0</v>
      </c>
    </row>
    <row r="10741" ht="15.75" customHeight="1">
      <c r="A10741" s="1">
        <v>11444.0</v>
      </c>
      <c r="B10741" s="3" t="s">
        <v>10270</v>
      </c>
      <c r="C10741" s="3" t="str">
        <f>IFERROR(__xludf.DUMMYFUNCTION("GOOGLETRANSLATE(B10741,""id"",""en"")"),"['', 'Open', 'Euy', 'Udh', '']")</f>
        <v>['', 'Open', 'Euy', 'Udh', '']</v>
      </c>
      <c r="D10741" s="3">
        <v>1.0</v>
      </c>
    </row>
    <row r="10742" ht="15.75" customHeight="1">
      <c r="A10742" s="1">
        <v>11445.0</v>
      </c>
      <c r="B10742" s="3" t="s">
        <v>10271</v>
      </c>
      <c r="C10742" s="3" t="str">
        <f>IFERROR(__xludf.DUMMYFUNCTION("GOOGLETRANSLATE(B10742,""id"",""en"")"),"['quantity', 'number', 'onein', 'quality', 'garbage', '']")</f>
        <v>['quantity', 'number', 'onein', 'quality', 'garbage', '']</v>
      </c>
      <c r="D10742" s="3">
        <v>1.0</v>
      </c>
    </row>
    <row r="10743" ht="15.75" customHeight="1">
      <c r="A10743" s="1">
        <v>11446.0</v>
      </c>
      <c r="B10743" s="3" t="s">
        <v>10272</v>
      </c>
      <c r="C10743" s="3" t="str">
        <f>IFERROR(__xludf.DUMMYFUNCTION("GOOGLETRANSLATE(B10743,""id"",""en"")"),"['Offers',' Kouta ',' Exchange ',' Use ',' Points', 'Pas',' Exchange ',' Reach ',' Limit ',' Exchange ',' Maximum ',' Times', ' change point']")</f>
        <v>['Offers',' Kouta ',' Exchange ',' Use ',' Points', 'Pas',' Exchange ',' Reach ',' Limit ',' Exchange ',' Maximum ',' Times', ' change point']</v>
      </c>
      <c r="D10743" s="3">
        <v>1.0</v>
      </c>
    </row>
    <row r="10744" ht="15.75" customHeight="1">
      <c r="A10744" s="1">
        <v>11447.0</v>
      </c>
      <c r="B10744" s="3" t="s">
        <v>10273</v>
      </c>
      <c r="C10744" s="3" t="str">
        <f>IFERROR(__xludf.DUMMYFUNCTION("GOOGLETRANSLATE(B10744,""id"",""en"")"),"['oath', 'package', 'package', 'expensive']")</f>
        <v>['oath', 'package', 'package', 'expensive']</v>
      </c>
      <c r="D10744" s="3">
        <v>2.0</v>
      </c>
    </row>
    <row r="10745" ht="15.75" customHeight="1">
      <c r="A10745" s="1">
        <v>11448.0</v>
      </c>
      <c r="B10745" s="3" t="s">
        <v>10274</v>
      </c>
      <c r="C10745" s="3" t="str">
        <f>IFERROR(__xludf.DUMMYFUNCTION("GOOGLETRANSLATE(B10745,""id"",""en"")"),"['Hi', 'Telkomsel', 'transaction', 'through', 'Fund', 'FAIL', 'LOADING']")</f>
        <v>['Hi', 'Telkomsel', 'transaction', 'through', 'Fund', 'FAIL', 'LOADING']</v>
      </c>
      <c r="D10745" s="3">
        <v>1.0</v>
      </c>
    </row>
    <row r="10746" ht="15.75" customHeight="1">
      <c r="A10746" s="1">
        <v>11449.0</v>
      </c>
      <c r="B10746" s="3" t="s">
        <v>10275</v>
      </c>
      <c r="C10746" s="3" t="str">
        <f>IFERROR(__xludf.DUMMYFUNCTION("GOOGLETRANSLATE(B10746,""id"",""en"")"),"['please', 'developer', 'fix', 'application', 'update', 'mlh', 'open', 'download', 'version', 'fix', 'already', 'really']")</f>
        <v>['please', 'developer', 'fix', 'application', 'update', 'mlh', 'open', 'download', 'version', 'fix', 'already', 'really']</v>
      </c>
      <c r="D10746" s="3">
        <v>1.0</v>
      </c>
    </row>
    <row r="10747" ht="15.75" customHeight="1">
      <c r="A10747" s="1">
        <v>11450.0</v>
      </c>
      <c r="B10747" s="3" t="s">
        <v>10276</v>
      </c>
      <c r="C10747" s="3" t="str">
        <f>IFERROR(__xludf.DUMMYFUNCTION("GOOGLETRANSLATE(B10747,""id"",""en"")"),"['open', 'application', 'difficult', 'fill', 'package']")</f>
        <v>['open', 'application', 'difficult', 'fill', 'package']</v>
      </c>
      <c r="D10747" s="3">
        <v>1.0</v>
      </c>
    </row>
    <row r="10748" ht="15.75" customHeight="1">
      <c r="A10748" s="1">
        <v>11451.0</v>
      </c>
      <c r="B10748" s="3" t="s">
        <v>10277</v>
      </c>
      <c r="C10748" s="3" t="str">
        <f>IFERROR(__xludf.DUMMYFUNCTION("GOOGLETRANSLATE(B10748,""id"",""en"")"),"['Signal', 'Internet', 'Slow', 'Exchange', 'Points', 'DPT', 'Gift', ""]")</f>
        <v>['Signal', 'Internet', 'Slow', 'Exchange', 'Points', 'DPT', 'Gift', "]</v>
      </c>
      <c r="D10748" s="3">
        <v>4.0</v>
      </c>
    </row>
    <row r="10749" ht="15.75" customHeight="1">
      <c r="A10749" s="1">
        <v>11452.0</v>
      </c>
      <c r="B10749" s="3" t="s">
        <v>10278</v>
      </c>
      <c r="C10749" s="3" t="str">
        <f>IFERROR(__xludf.DUMMYFUNCTION("GOOGLETRANSLATE(B10749,""id"",""en"")"),"['application', 'MyTelkomsel', 'have', 'function', 'complete', 'resposive']")</f>
        <v>['application', 'MyTelkomsel', 'have', 'function', 'complete', 'resposive']</v>
      </c>
      <c r="D10749" s="3">
        <v>5.0</v>
      </c>
    </row>
    <row r="10750" ht="15.75" customHeight="1">
      <c r="A10750" s="1">
        <v>11453.0</v>
      </c>
      <c r="B10750" s="3" t="s">
        <v>10279</v>
      </c>
      <c r="C10750" s="3" t="str">
        <f>IFERROR(__xludf.DUMMYFUNCTION("GOOGLETRANSLATE(B10750,""id"",""en"")"),"['Connection', 'Internet', 'Severe', 'Stable', 'Delay', 'really', 'because', 'Ngeluarin', 'slow', 'Gini', 'release', ' Leet ']")</f>
        <v>['Connection', 'Internet', 'Severe', 'Stable', 'Delay', 'really', 'because', 'Ngeluarin', 'slow', 'Gini', 'release', ' Leet ']</v>
      </c>
      <c r="D10750" s="3">
        <v>1.0</v>
      </c>
    </row>
    <row r="10751" ht="15.75" customHeight="1">
      <c r="A10751" s="1">
        <v>11454.0</v>
      </c>
      <c r="B10751" s="3" t="s">
        <v>10280</v>
      </c>
      <c r="C10751" s="3" t="str">
        <f>IFERROR(__xludf.DUMMYFUNCTION("GOOGLETRANSLATE(B10751,""id"",""en"")"),"['Download', 'many', 'times', 'opened', '']")</f>
        <v>['Download', 'many', 'times', 'opened', '']</v>
      </c>
      <c r="D10751" s="3">
        <v>1.0</v>
      </c>
    </row>
    <row r="10752" ht="15.75" customHeight="1">
      <c r="A10752" s="1">
        <v>11455.0</v>
      </c>
      <c r="B10752" s="3" t="s">
        <v>10281</v>
      </c>
      <c r="C10752" s="3" t="str">
        <f>IFERROR(__xludf.DUMMYFUNCTION("GOOGLETRANSLATE(B10752,""id"",""en"")"),"['application', 'screen', 'white', 'the application', 'problematic', 'broken', 'please', 'fix', '']")</f>
        <v>['application', 'screen', 'white', 'the application', 'problematic', 'broken', 'please', 'fix', '']</v>
      </c>
      <c r="D10752" s="3">
        <v>2.0</v>
      </c>
    </row>
    <row r="10753" ht="15.75" customHeight="1">
      <c r="A10753" s="1">
        <v>11456.0</v>
      </c>
      <c r="B10753" s="3" t="s">
        <v>10282</v>
      </c>
      <c r="C10753" s="3" t="str">
        <f>IFERROR(__xludf.DUMMYFUNCTION("GOOGLETRANSLATE(B10753,""id"",""en"")"),"['fast', 'check', 'data', 'pulse', 'believe']")</f>
        <v>['fast', 'check', 'data', 'pulse', 'believe']</v>
      </c>
      <c r="D10753" s="3">
        <v>5.0</v>
      </c>
    </row>
    <row r="10754" ht="15.75" customHeight="1">
      <c r="A10754" s="1">
        <v>11457.0</v>
      </c>
      <c r="B10754" s="3" t="s">
        <v>10283</v>
      </c>
      <c r="C10754" s="3" t="str">
        <f>IFERROR(__xludf.DUMMYFUNCTION("GOOGLETRANSLATE(B10754,""id"",""en"")"),"['Telokomsel', 'difficult', 'access', 'disappointed', '']")</f>
        <v>['Telokomsel', 'difficult', 'access', 'disappointed', '']</v>
      </c>
      <c r="D10754" s="3">
        <v>1.0</v>
      </c>
    </row>
    <row r="10755" ht="15.75" customHeight="1">
      <c r="A10755" s="1">
        <v>11458.0</v>
      </c>
      <c r="B10755" s="3" t="s">
        <v>10284</v>
      </c>
      <c r="C10755" s="3" t="str">
        <f>IFERROR(__xludf.DUMMYFUNCTION("GOOGLETRANSLATE(B10755,""id"",""en"")"),"['Claim', 'gift', 'quata', 'MB', 'check', 'worn', 'Costs',' Switch ',' Points', 'Kuata', 'Worn', 'Costs',' ']")</f>
        <v>['Claim', 'gift', 'quata', 'MB', 'check', 'worn', 'Costs',' Switch ',' Points', 'Kuata', 'Worn', 'Costs',' ']</v>
      </c>
      <c r="D10755" s="3">
        <v>1.0</v>
      </c>
    </row>
    <row r="10756" ht="15.75" customHeight="1">
      <c r="A10756" s="1">
        <v>11459.0</v>
      </c>
      <c r="B10756" s="3" t="s">
        <v>10285</v>
      </c>
      <c r="C10756" s="3" t="str">
        <f>IFERROR(__xludf.DUMMYFUNCTION("GOOGLETRANSLATE(B10756,""id"",""en"")"),"['semalem', 'Wait', 'clock', 'enter', 'windows',' how ',' check ',' quota ',' nyedot ',' yes', 'according to', 'tens',' surprise', '']")</f>
        <v>['semalem', 'Wait', 'clock', 'enter', 'windows',' how ',' check ',' quota ',' nyedot ',' yes', 'according to', 'tens',' surprise', '']</v>
      </c>
      <c r="D10756" s="3">
        <v>1.0</v>
      </c>
    </row>
    <row r="10757" ht="15.75" customHeight="1">
      <c r="A10757" s="1">
        <v>11460.0</v>
      </c>
      <c r="B10757" s="3" t="s">
        <v>10286</v>
      </c>
      <c r="C10757" s="3" t="str">
        <f>IFERROR(__xludf.DUMMYFUNCTION("GOOGLETRANSLATE(B10757,""id"",""en"")"),"['Okay', 'knp', 'Telkomsel', 'orbit', 'remove', 'expensive', 'can', 'can', ""]")</f>
        <v>['Okay', 'knp', 'Telkomsel', 'orbit', 'remove', 'expensive', 'can', 'can', "]</v>
      </c>
      <c r="D10757" s="3">
        <v>5.0</v>
      </c>
    </row>
    <row r="10758" ht="15.75" customHeight="1">
      <c r="A10758" s="1">
        <v>11461.0</v>
      </c>
      <c r="B10758" s="3" t="s">
        <v>10287</v>
      </c>
      <c r="C10758" s="3" t="str">
        <f>IFERROR(__xludf.DUMMYFUNCTION("GOOGLETRANSLATE(B10758,""id"",""en"")"),"['enter', 'screen', 'white']")</f>
        <v>['enter', 'screen', 'white']</v>
      </c>
      <c r="D10758" s="3">
        <v>1.0</v>
      </c>
    </row>
    <row r="10759" ht="15.75" customHeight="1">
      <c r="A10759" s="1">
        <v>11462.0</v>
      </c>
      <c r="B10759" s="3" t="s">
        <v>10288</v>
      </c>
      <c r="C10759" s="3" t="str">
        <f>IFERROR(__xludf.DUMMYFUNCTION("GOOGLETRANSLATE(B10759,""id"",""en"")"),"['try', 'love', 'star']")</f>
        <v>['try', 'love', 'star']</v>
      </c>
      <c r="D10759" s="3">
        <v>2.0</v>
      </c>
    </row>
    <row r="10760" ht="15.75" customHeight="1">
      <c r="A10760" s="1">
        <v>11463.0</v>
      </c>
      <c r="B10760" s="3" t="s">
        <v>10289</v>
      </c>
      <c r="C10760" s="3" t="str">
        <f>IFERROR(__xludf.DUMMYFUNCTION("GOOGLETRANSLATE(B10760,""id"",""en"")"),"['The application', 'road', 'right', 'opened', 'screen', 'white', 'doang', 'nugguin', 'please', 'fix', 'handle it', ""]")</f>
        <v>['The application', 'road', 'right', 'opened', 'screen', 'white', 'doang', 'nugguin', 'please', 'fix', 'handle it', "]</v>
      </c>
      <c r="D10760" s="3">
        <v>1.0</v>
      </c>
    </row>
    <row r="10761" ht="15.75" customHeight="1">
      <c r="A10761" s="1">
        <v>11464.0</v>
      </c>
      <c r="B10761" s="3" t="s">
        <v>10290</v>
      </c>
      <c r="C10761" s="3" t="str">
        <f>IFERROR(__xludf.DUMMYFUNCTION("GOOGLETRANSLATE(B10761,""id"",""en"")"),"['Good', 'really', 'ttttttt']")</f>
        <v>['Good', 'really', 'ttttttt']</v>
      </c>
      <c r="D10761" s="3">
        <v>5.0</v>
      </c>
    </row>
    <row r="10762" ht="15.75" customHeight="1">
      <c r="A10762" s="1">
        <v>11465.0</v>
      </c>
      <c r="B10762" s="3" t="s">
        <v>10291</v>
      </c>
      <c r="C10762" s="3" t="str">
        <f>IFERROR(__xludf.DUMMYFUNCTION("GOOGLETRANSLATE(B10762,""id"",""en"")"),"['fill', 'package', 'data', 'GBS', 'Uda', 'already', 'contents', 'pulses']")</f>
        <v>['fill', 'package', 'data', 'GBS', 'Uda', 'already', 'contents', 'pulses']</v>
      </c>
      <c r="D10762" s="3">
        <v>1.0</v>
      </c>
    </row>
    <row r="10763" ht="15.75" customHeight="1">
      <c r="A10763" s="1">
        <v>11466.0</v>
      </c>
      <c r="B10763" s="3" t="s">
        <v>10292</v>
      </c>
      <c r="C10763" s="3" t="str">
        <f>IFERROR(__xludf.DUMMYFUNCTION("GOOGLETRANSLATE(B10763,""id"",""en"")"),"['Buy', 'Package', 'Gabgguan']")</f>
        <v>['Buy', 'Package', 'Gabgguan']</v>
      </c>
      <c r="D10763" s="3">
        <v>5.0</v>
      </c>
    </row>
    <row r="10764" ht="15.75" customHeight="1">
      <c r="A10764" s="1">
        <v>11467.0</v>
      </c>
      <c r="B10764" s="3" t="s">
        <v>10293</v>
      </c>
      <c r="C10764" s="3" t="str">
        <f>IFERROR(__xludf.DUMMYFUNCTION("GOOGLETRANSLATE(B10764,""id"",""en"")"),"['Good', 'min', 'price', 'package', 'internet', 'slow', 'my computer', 'reduced', 'hey', 'kah', 'replace', 'name', ' The application ',' MyCapitalist ',' match ',' ']")</f>
        <v>['Good', 'min', 'price', 'package', 'internet', 'slow', 'my computer', 'reduced', 'hey', 'kah', 'replace', 'name', ' The application ',' MyCapitalist ',' match ',' ']</v>
      </c>
      <c r="D10764" s="3">
        <v>5.0</v>
      </c>
    </row>
    <row r="10765" ht="15.75" customHeight="1">
      <c r="A10765" s="1">
        <v>11468.0</v>
      </c>
      <c r="B10765" s="3" t="s">
        <v>10294</v>
      </c>
      <c r="C10765" s="3" t="str">
        <f>IFERROR(__xludf.DUMMYFUNCTION("GOOGLETRANSLATE(B10765,""id"",""en"")"),"['users', 'Telkomsel', 'Ahamdulillah', 'Telkomsel', 'signal', 'strong', 'proud', 'thank', 'love', 'Telkomsel']")</f>
        <v>['users', 'Telkomsel', 'Ahamdulillah', 'Telkomsel', 'signal', 'strong', 'proud', 'thank', 'love', 'Telkomsel']</v>
      </c>
      <c r="D10765" s="3">
        <v>5.0</v>
      </c>
    </row>
    <row r="10766" ht="15.75" customHeight="1">
      <c r="A10766" s="1">
        <v>11469.0</v>
      </c>
      <c r="B10766" s="3" t="s">
        <v>10295</v>
      </c>
      <c r="C10766" s="3" t="str">
        <f>IFERROR(__xludf.DUMMYFUNCTION("GOOGLETRANSLATE(B10766,""id"",""en"")"),"['Credit', 'truncated', 'account', 'understand', 'pulse', 'pasdi', 'check', 'please', 'fix', 'love', 'star']")</f>
        <v>['Credit', 'truncated', 'account', 'understand', 'pulse', 'pasdi', 'check', 'please', 'fix', 'love', 'star']</v>
      </c>
      <c r="D10766" s="3">
        <v>2.0</v>
      </c>
    </row>
    <row r="10767" ht="15.75" customHeight="1">
      <c r="A10767" s="1">
        <v>11470.0</v>
      </c>
      <c r="B10767" s="3" t="s">
        <v>10296</v>
      </c>
      <c r="C10767" s="3" t="str">
        <f>IFERROR(__xludf.DUMMYFUNCTION("GOOGLETRANSLATE(B10767,""id"",""en"")"),"['Good', 'practical']")</f>
        <v>['Good', 'practical']</v>
      </c>
      <c r="D10767" s="3">
        <v>5.0</v>
      </c>
    </row>
    <row r="10768" ht="15.75" customHeight="1">
      <c r="A10768" s="1">
        <v>11471.0</v>
      </c>
      <c r="B10768" s="3" t="s">
        <v>10297</v>
      </c>
      <c r="C10768" s="3" t="str">
        <f>IFERROR(__xludf.DUMMYFUNCTION("GOOGLETRANSLATE(B10768,""id"",""en"")"),"['Telkomsel', 'good', 'people', 'rich', 'sumps', 'pulses', 'TPI', 'ngeselin', 'njir']")</f>
        <v>['Telkomsel', 'good', 'people', 'rich', 'sumps', 'pulses', 'TPI', 'ngeselin', 'njir']</v>
      </c>
      <c r="D10768" s="3">
        <v>1.0</v>
      </c>
    </row>
    <row r="10769" ht="15.75" customHeight="1">
      <c r="A10769" s="1">
        <v>11472.0</v>
      </c>
      <c r="B10769" s="3" t="s">
        <v>10298</v>
      </c>
      <c r="C10769" s="3" t="str">
        <f>IFERROR(__xludf.DUMMYFUNCTION("GOOGLETRANSLATE(B10769,""id"",""en"")"),"['Change', 'smartfreen', 'price', 'already', 'expensive', 'signal', 'comparable', ""]")</f>
        <v>['Change', 'smartfreen', 'price', 'already', 'expensive', 'signal', 'comparable', "]</v>
      </c>
      <c r="D10769" s="3">
        <v>5.0</v>
      </c>
    </row>
    <row r="10770" ht="15.75" customHeight="1">
      <c r="A10770" s="1">
        <v>11473.0</v>
      </c>
      <c r="B10770" s="3" t="s">
        <v>10299</v>
      </c>
      <c r="C10770" s="3" t="str">
        <f>IFERROR(__xludf.DUMMYFUNCTION("GOOGLETRANSLATE(B10770,""id"",""en"")"),"['complement', 'content', 'pulse', 'sumps',' trs', 'knp', 'trs',' exchange ',' point ',' telkomsel ',' get ',' GB ',' husband ',' got ',' GB ',' GMNA ',' Different ',' gini ']")</f>
        <v>['complement', 'content', 'pulse', 'sumps',' trs', 'knp', 'trs',' exchange ',' point ',' telkomsel ',' get ',' GB ',' husband ',' got ',' GB ',' GMNA ',' Different ',' gini ']</v>
      </c>
      <c r="D10770" s="3">
        <v>1.0</v>
      </c>
    </row>
    <row r="10771" ht="15.75" customHeight="1">
      <c r="A10771" s="1">
        <v>11476.0</v>
      </c>
      <c r="B10771" s="3" t="s">
        <v>10300</v>
      </c>
      <c r="C10771" s="3" t="str">
        <f>IFERROR(__xludf.DUMMYFUNCTION("GOOGLETRANSLATE(B10771,""id"",""en"")"),"['week', 'app', 'opened', 'repaired', 'defend', 'star']")</f>
        <v>['week', 'app', 'opened', 'repaired', 'defend', 'star']</v>
      </c>
      <c r="D10771" s="3">
        <v>2.0</v>
      </c>
    </row>
    <row r="10772" ht="15.75" customHeight="1">
      <c r="A10772" s="1">
        <v>11477.0</v>
      </c>
      <c r="B10772" s="3" t="s">
        <v>355</v>
      </c>
      <c r="C10772" s="3" t="str">
        <f>IFERROR(__xludf.DUMMYFUNCTION("GOOGLETRANSLATE(B10772,""id"",""en"")"),"['open', '']")</f>
        <v>['open', '']</v>
      </c>
      <c r="D10772" s="3">
        <v>5.0</v>
      </c>
    </row>
    <row r="10773" ht="15.75" customHeight="1">
      <c r="A10773" s="1">
        <v>11478.0</v>
      </c>
      <c r="B10773" s="3" t="s">
        <v>10301</v>
      </c>
      <c r="C10773" s="3" t="str">
        <f>IFERROR(__xludf.DUMMYFUNCTION("GOOGLETRANSLATE(B10773,""id"",""en"")"),"['kaq', 'knp', 'open', 'apk', 'telkomsel', 'uda', 'download', 'delete', 'reset', 'ttp', 'open', 'picture', ' White ',' plain ',' screen ',' PDAH ',' SBLLM ',' ']")</f>
        <v>['kaq', 'knp', 'open', 'apk', 'telkomsel', 'uda', 'download', 'delete', 'reset', 'ttp', 'open', 'picture', ' White ',' plain ',' screen ',' PDAH ',' SBLLM ',' ']</v>
      </c>
      <c r="D10773" s="3">
        <v>3.0</v>
      </c>
    </row>
    <row r="10774" ht="15.75" customHeight="1">
      <c r="A10774" s="1">
        <v>11479.0</v>
      </c>
      <c r="B10774" s="3" t="s">
        <v>10302</v>
      </c>
      <c r="C10774" s="3" t="str">
        <f>IFERROR(__xludf.DUMMYFUNCTION("GOOGLETRANSLATE(B10774,""id"",""en"")"),"['disappointed', 'trauma', 'buy', 'package', 'via', 'application', 'MyTelkomsel', 'wastener', 'customer', 'service', 'response', 'slow', ' Balance ',' Ovo ',' Cutting ',' Quota ',' Enter ',' Notification ',' Purchase ',' SUCCESS ']")</f>
        <v>['disappointed', 'trauma', 'buy', 'package', 'via', 'application', 'MyTelkomsel', 'wastener', 'customer', 'service', 'response', 'slow', ' Balance ',' Ovo ',' Cutting ',' Quota ',' Enter ',' Notification ',' Purchase ',' SUCCESS ']</v>
      </c>
      <c r="D10774" s="3">
        <v>1.0</v>
      </c>
    </row>
    <row r="10775" ht="15.75" customHeight="1">
      <c r="A10775" s="1">
        <v>11480.0</v>
      </c>
      <c r="B10775" s="3" t="s">
        <v>10303</v>
      </c>
      <c r="C10775" s="3" t="str">
        <f>IFERROR(__xludf.DUMMYFUNCTION("GOOGLETRANSLATE(B10775,""id"",""en"")"),"['Change', 'Provider', 'Fixxx', 'Tens',' Telkomsel ',' Come ',' Severe ',' Android ',' Lemottt ',' Data ',' Telkomsel ',' Maen ',' Game ',' sosmed ',' open ',' Telkomsel ',' slow ',' point ',' column ',' comment ',' contact ',' twitter ',' deh ',' deh ','"&amp;" read ' , 'Comments', 'complaints', 'results', 'zero', 'bye', 'Telkomsel', '']")</f>
        <v>['Change', 'Provider', 'Fixxx', 'Tens',' Telkomsel ',' Come ',' Severe ',' Android ',' Lemottt ',' Data ',' Telkomsel ',' Maen ',' Game ',' sosmed ',' open ',' Telkomsel ',' slow ',' point ',' column ',' comment ',' contact ',' twitter ',' deh ',' deh ',' read ' , 'Comments', 'complaints', 'results', 'zero', 'bye', 'Telkomsel', '']</v>
      </c>
      <c r="D10775" s="3">
        <v>1.0</v>
      </c>
    </row>
    <row r="10776" ht="15.75" customHeight="1">
      <c r="A10776" s="1">
        <v>11481.0</v>
      </c>
      <c r="B10776" s="3" t="s">
        <v>10304</v>
      </c>
      <c r="C10776" s="3" t="str">
        <f>IFERROR(__xludf.DUMMYFUNCTION("GOOGLETRANSLATE(B10776,""id"",""en"")"),"['Network', 'ugly', 'really', 'comparable', 'price']")</f>
        <v>['Network', 'ugly', 'really', 'comparable', 'price']</v>
      </c>
      <c r="D10776" s="3">
        <v>1.0</v>
      </c>
    </row>
    <row r="10777" ht="15.75" customHeight="1">
      <c r="A10777" s="1">
        <v>11482.0</v>
      </c>
      <c r="B10777" s="3" t="s">
        <v>10305</v>
      </c>
      <c r="C10777" s="3" t="str">
        <f>IFERROR(__xludf.DUMMYFUNCTION("GOOGLETRANSLATE(B10777,""id"",""en"")"),"['Please', 'Fix', 'Network', 'Disorders', 'Change', 'Package', 'Internet', 'Iini', 'name', ""]")</f>
        <v>['Please', 'Fix', 'Network', 'Disorders', 'Change', 'Package', 'Internet', 'Iini', 'name', "]</v>
      </c>
      <c r="D10777" s="3">
        <v>1.0</v>
      </c>
    </row>
    <row r="10778" ht="15.75" customHeight="1">
      <c r="A10778" s="1">
        <v>11483.0</v>
      </c>
      <c r="B10778" s="3" t="s">
        <v>10306</v>
      </c>
      <c r="C10778" s="3" t="str">
        <f>IFERROR(__xludf.DUMMYFUNCTION("GOOGLETRANSLATE(B10778,""id"",""en"")"),"['Okay', 'information', 'promo']")</f>
        <v>['Okay', 'information', 'promo']</v>
      </c>
      <c r="D10778" s="3">
        <v>5.0</v>
      </c>
    </row>
    <row r="10779" ht="15.75" customHeight="1">
      <c r="A10779" s="1">
        <v>11484.0</v>
      </c>
      <c r="B10779" s="3" t="s">
        <v>10307</v>
      </c>
      <c r="C10779" s="3" t="str">
        <f>IFERROR(__xludf.DUMMYFUNCTION("GOOGLETRANSLATE(B10779,""id"",""en"")"),"['Lally', 'lgi', 'promo']")</f>
        <v>['Lally', 'lgi', 'promo']</v>
      </c>
      <c r="D10779" s="3">
        <v>5.0</v>
      </c>
    </row>
    <row r="10780" ht="15.75" customHeight="1">
      <c r="A10780" s="1">
        <v>11485.0</v>
      </c>
      <c r="B10780" s="3" t="s">
        <v>10308</v>
      </c>
      <c r="C10780" s="3" t="str">
        <f>IFERROR(__xludf.DUMMYFUNCTION("GOOGLETRANSLATE(B10780,""id"",""en"")"),"['feature', 'Matiin', 'Data', 'Kek', 'quota', 'run out', 'suck', 'pulse', 'luck', 'blessing', 'sucked', 'pulses',' Mulu ',' ']")</f>
        <v>['feature', 'Matiin', 'Data', 'Kek', 'quota', 'run out', 'suck', 'pulse', 'luck', 'blessing', 'sucked', 'pulses',' Mulu ',' ']</v>
      </c>
      <c r="D10780" s="3">
        <v>1.0</v>
      </c>
    </row>
    <row r="10781" ht="15.75" customHeight="1">
      <c r="A10781" s="1">
        <v>11486.0</v>
      </c>
      <c r="B10781" s="3" t="s">
        <v>10309</v>
      </c>
      <c r="C10781" s="3" t="str">
        <f>IFERROR(__xludf.DUMMYFUNCTION("GOOGLETRANSLATE(B10781,""id"",""en"")"),"['Steady', 'Changed', 'Change', 'ADM']")</f>
        <v>['Steady', 'Changed', 'Change', 'ADM']</v>
      </c>
      <c r="D10781" s="3">
        <v>5.0</v>
      </c>
    </row>
    <row r="10782" ht="15.75" customHeight="1">
      <c r="A10782" s="1">
        <v>11487.0</v>
      </c>
      <c r="B10782" s="3" t="s">
        <v>10310</v>
      </c>
      <c r="C10782" s="3" t="str">
        <f>IFERROR(__xludf.DUMMYFUNCTION("GOOGLETRANSLATE(B10782,""id"",""en"")"),"['Thn', 'card', 'Satisfied']")</f>
        <v>['Thn', 'card', 'Satisfied']</v>
      </c>
      <c r="D10782" s="3">
        <v>5.0</v>
      </c>
    </row>
    <row r="10783" ht="15.75" customHeight="1">
      <c r="A10783" s="1">
        <v>11488.0</v>
      </c>
      <c r="B10783" s="3" t="s">
        <v>10311</v>
      </c>
      <c r="C10783" s="3" t="str">
        <f>IFERROR(__xludf.DUMMYFUNCTION("GOOGLETRANSLATE(B10783,""id"",""en"")"),"['Telkomsel', 'opened']")</f>
        <v>['Telkomsel', 'opened']</v>
      </c>
      <c r="D10783" s="3">
        <v>2.0</v>
      </c>
    </row>
    <row r="10784" ht="15.75" customHeight="1">
      <c r="A10784" s="1">
        <v>11489.0</v>
      </c>
      <c r="B10784" s="3" t="s">
        <v>10312</v>
      </c>
      <c r="C10784" s="3" t="str">
        <f>IFERROR(__xludf.DUMMYFUNCTION("GOOGLETRANSLATE(B10784,""id"",""en"")"),"['Think', 'Sya', 'sndiri', 'or', 'blank', 'bnyak', 'bkin', 'p for', 'mah', 'jdas',' hbas', ' Update ',' APL ',' Auto ',' Dipake ',' LGI ',' BNER ',' MUST ',' KMBALI ',' LGI ',' KJAMAN ',' SBLM ',' INTRNET ',' SDAH ' , 'BBRAPA', 'TIME', 'BNTUAN', 'SRUH', '"&amp;"HPUS', 'DTA', 'HPUS', 'Psang', 'reset', 'TPI', 'TTEP', 'Kcewa', ' BNERR ',' PDHAL ',' already ',' Dri ',' Telokomsel ',' smga ',' sgera ',' dtangani ', ""]")</f>
        <v>['Think', 'Sya', 'sndiri', 'or', 'blank', 'bnyak', 'bkin', 'p for', 'mah', 'jdas',' hbas', ' Update ',' APL ',' Auto ',' Dipake ',' LGI ',' BNER ',' MUST ',' KMBALI ',' LGI ',' KJAMAN ',' SBLM ',' INTRNET ',' SDAH ' , 'BBRAPA', 'TIME', 'BNTUAN', 'SRUH', 'HPUS', 'DTA', 'HPUS', 'Psang', 'reset', 'TPI', 'TTEP', 'Kcewa', ' BNERR ',' PDHAL ',' already ',' Dri ',' Telokomsel ',' smga ',' sgera ',' dtangani ', "]</v>
      </c>
      <c r="D10784" s="3">
        <v>2.0</v>
      </c>
    </row>
    <row r="10785" ht="15.75" customHeight="1">
      <c r="A10785" s="1">
        <v>11490.0</v>
      </c>
      <c r="B10785" s="3" t="s">
        <v>10313</v>
      </c>
      <c r="C10785" s="3" t="str">
        <f>IFERROR(__xludf.DUMMYFUNCTION("GOOGLETRANSLATE(B10785,""id"",""en"")"),"['wadduh', 'nich', 'his applications', 'Abis', 'update', 'white', 'screen', ""]")</f>
        <v>['wadduh', 'nich', 'his applications', 'Abis', 'update', 'white', 'screen', "]</v>
      </c>
      <c r="D10785" s="3">
        <v>1.0</v>
      </c>
    </row>
    <row r="10786" ht="15.75" customHeight="1">
      <c r="A10786" s="1">
        <v>11491.0</v>
      </c>
      <c r="B10786" s="3" t="s">
        <v>10314</v>
      </c>
      <c r="C10786" s="3" t="str">
        <f>IFERROR(__xludf.DUMMYFUNCTION("GOOGLETRANSLATE(B10786,""id"",""en"")"),"['Please', 'APK', 'Telkomsel', 'Love', 'Feature', 'Log', 'Credit', 'Credit', 'Shame', 'Pas',' Quota ',' Out ',' Like ',' khilaap ',' package ',' already ',' run out ',' student ',' child ',' boarding ',' boarding ',' buy ',' pulse ',' expensive ',' sorry "&amp;"' , 'Curhat', 'serious', 'leader', 'Telkomsel', 'please', 'usein', 'feature', 'log']")</f>
        <v>['Please', 'APK', 'Telkomsel', 'Love', 'Feature', 'Log', 'Credit', 'Credit', 'Shame', 'Pas',' Quota ',' Out ',' Like ',' khilaap ',' package ',' already ',' run out ',' student ',' child ',' boarding ',' boarding ',' buy ',' pulse ',' expensive ',' sorry ' , 'Curhat', 'serious', 'leader', 'Telkomsel', 'please', 'usein', 'feature', 'log']</v>
      </c>
      <c r="D10786" s="3">
        <v>3.0</v>
      </c>
    </row>
    <row r="10787" ht="15.75" customHeight="1">
      <c r="A10787" s="1">
        <v>11492.0</v>
      </c>
      <c r="B10787" s="3" t="s">
        <v>10315</v>
      </c>
      <c r="C10787" s="3" t="str">
        <f>IFERROR(__xludf.DUMMYFUNCTION("GOOGLETRANSLATE(B10787,""id"",""en"")"),"['APK', 'BSA', 'Open']")</f>
        <v>['APK', 'BSA', 'Open']</v>
      </c>
      <c r="D10787" s="3">
        <v>2.0</v>
      </c>
    </row>
    <row r="10788" ht="15.75" customHeight="1">
      <c r="A10788" s="1">
        <v>11493.0</v>
      </c>
      <c r="B10788" s="3" t="s">
        <v>10316</v>
      </c>
      <c r="C10788" s="3" t="str">
        <f>IFERROR(__xludf.DUMMYFUNCTION("GOOGLETRANSLATE(B10788,""id"",""en"")"),"['Error', 'Malesin', 'Open', 'Application', 'Maketin', 'SLL', 'Error']")</f>
        <v>['Error', 'Malesin', 'Open', 'Application', 'Maketin', 'SLL', 'Error']</v>
      </c>
      <c r="D10788" s="3">
        <v>3.0</v>
      </c>
    </row>
    <row r="10789" ht="15.75" customHeight="1">
      <c r="A10789" s="1">
        <v>11494.0</v>
      </c>
      <c r="B10789" s="3" t="s">
        <v>10317</v>
      </c>
      <c r="C10789" s="3" t="str">
        <f>IFERROR(__xludf.DUMMYFUNCTION("GOOGLETRANSLATE(B10789,""id"",""en"")"),"['signal', 'throughout', 'region']")</f>
        <v>['signal', 'throughout', 'region']</v>
      </c>
      <c r="D10789" s="3">
        <v>5.0</v>
      </c>
    </row>
    <row r="10790" ht="15.75" customHeight="1">
      <c r="A10790" s="1">
        <v>11496.0</v>
      </c>
      <c r="B10790" s="3" t="s">
        <v>10318</v>
      </c>
      <c r="C10790" s="3" t="str">
        <f>IFERROR(__xludf.DUMMYFUNCTION("GOOGLETRANSLATE(B10790,""id"",""en"")"),"['use', 'in', 'transaction']")</f>
        <v>['use', 'in', 'transaction']</v>
      </c>
      <c r="D10790" s="3">
        <v>5.0</v>
      </c>
    </row>
    <row r="10791" ht="15.75" customHeight="1">
      <c r="A10791" s="1">
        <v>11497.0</v>
      </c>
      <c r="B10791" s="3" t="s">
        <v>10319</v>
      </c>
      <c r="C10791" s="3" t="str">
        <f>IFERROR(__xludf.DUMMYFUNCTION("GOOGLETRANSLATE(B10791,""id"",""en"")"),"['Application', 'Good', 'Install', 'reset', 'NGK', 'Open', 'application']")</f>
        <v>['Application', 'Good', 'Install', 'reset', 'NGK', 'Open', 'application']</v>
      </c>
      <c r="D10791" s="3">
        <v>2.0</v>
      </c>
    </row>
    <row r="10792" ht="15.75" customHeight="1">
      <c r="A10792" s="1">
        <v>11498.0</v>
      </c>
      <c r="B10792" s="3" t="s">
        <v>10320</v>
      </c>
      <c r="C10792" s="3" t="str">
        <f>IFERROR(__xludf.DUMMYFUNCTION("GOOGLETRANSLATE(B10792,""id"",""en"")"),"['Tissue', 'Telkomsel', 'rich', 'Kura', 'Kura', 'slow', 'really', 'package', 'expensive', 'quality', 'down', 'Telkomsel', ' poor ']")</f>
        <v>['Tissue', 'Telkomsel', 'rich', 'Kura', 'Kura', 'slow', 'really', 'package', 'expensive', 'quality', 'down', 'Telkomsel', ' poor ']</v>
      </c>
      <c r="D10792" s="3">
        <v>1.0</v>
      </c>
    </row>
    <row r="10793" ht="15.75" customHeight="1">
      <c r="A10793" s="1">
        <v>11499.0</v>
      </c>
      <c r="B10793" s="3" t="s">
        <v>10321</v>
      </c>
      <c r="C10793" s="3" t="str">
        <f>IFERROR(__xludf.DUMMYFUNCTION("GOOGLETRANSLATE(B10793,""id"",""en"")"),"['Signal', 'Internet', 'Village', 'Muncanglarang', 'Bumijawa', 'Kab', 'Tegel', 'Bad', 'Fix', ""]")</f>
        <v>['Signal', 'Internet', 'Village', 'Muncanglarang', 'Bumijawa', 'Kab', 'Tegel', 'Bad', 'Fix', "]</v>
      </c>
      <c r="D10793" s="3">
        <v>5.0</v>
      </c>
    </row>
    <row r="10794" ht="15.75" customHeight="1">
      <c r="A10794" s="1">
        <v>11500.0</v>
      </c>
      <c r="B10794" s="3" t="s">
        <v>10322</v>
      </c>
      <c r="C10794" s="3" t="str">
        <f>IFERROR(__xludf.DUMMYFUNCTION("GOOGLETRANSLATE(B10794,""id"",""en"")"),"['garment', 'strong']")</f>
        <v>['garment', 'strong']</v>
      </c>
      <c r="D10794" s="3">
        <v>5.0</v>
      </c>
    </row>
    <row r="10795" ht="15.75" customHeight="1">
      <c r="A10795" s="1">
        <v>11501.0</v>
      </c>
      <c r="B10795" s="3" t="s">
        <v>10323</v>
      </c>
      <c r="C10795" s="3" t="str">
        <f>IFERROR(__xludf.DUMMYFUNCTION("GOOGLETRANSLATE(B10795,""id"",""en"")"),"['Updated', 'opened', '']")</f>
        <v>['Updated', 'opened', '']</v>
      </c>
      <c r="D10795" s="3">
        <v>1.0</v>
      </c>
    </row>
    <row r="10796" ht="15.75" customHeight="1">
      <c r="A10796" s="1">
        <v>11502.0</v>
      </c>
      <c r="B10796" s="3" t="s">
        <v>10324</v>
      </c>
      <c r="C10796" s="3" t="str">
        <f>IFERROR(__xludf.DUMMYFUNCTION("GOOGLETRANSLATE(B10796,""id"",""en"")"),"['Card', 'Telkomsel', 'Fill', 'Credit', 'Cut', 'Package', 'Emergency', 'UDH', 'Pay', 'On', 'Borrow', 'Arrears',' Moving ',' card ',' UDH ',' Loss', 'DLU', 'Change', 'Slalu', 'Gini', ""]")</f>
        <v>['Card', 'Telkomsel', 'Fill', 'Credit', 'Cut', 'Package', 'Emergency', 'UDH', 'Pay', 'On', 'Borrow', 'Arrears',' Moving ',' card ',' UDH ',' Loss', 'DLU', 'Change', 'Slalu', 'Gini', "]</v>
      </c>
      <c r="D10796" s="3">
        <v>1.0</v>
      </c>
    </row>
    <row r="10797" ht="15.75" customHeight="1">
      <c r="A10797" s="1">
        <v>11503.0</v>
      </c>
      <c r="B10797" s="3" t="s">
        <v>10325</v>
      </c>
      <c r="C10797" s="3" t="str">
        <f>IFERROR(__xludf.DUMMYFUNCTION("GOOGLETRANSLATE(B10797,""id"",""en"")"),"['The application', 'opened', 'good']")</f>
        <v>['The application', 'opened', 'good']</v>
      </c>
      <c r="D10797" s="3">
        <v>1.0</v>
      </c>
    </row>
    <row r="10798" ht="15.75" customHeight="1">
      <c r="A10798" s="1">
        <v>11504.0</v>
      </c>
      <c r="B10798" s="3" t="s">
        <v>1367</v>
      </c>
      <c r="C10798" s="3" t="str">
        <f>IFERROR(__xludf.DUMMYFUNCTION("GOOGLETRANSLATE(B10798,""id"",""en"")"),"['good']")</f>
        <v>['good']</v>
      </c>
      <c r="D10798" s="3">
        <v>5.0</v>
      </c>
    </row>
    <row r="10799" ht="15.75" customHeight="1">
      <c r="A10799" s="1">
        <v>11505.0</v>
      </c>
      <c r="B10799" s="3" t="s">
        <v>10326</v>
      </c>
      <c r="C10799" s="3" t="str">
        <f>IFERROR(__xludf.DUMMYFUNCTION("GOOGLETRANSLATE(B10799,""id"",""en"")"),"['buy', 'package', 'application', 'open', 'already', 'uninstall', 'then', 'install', 'tetep']")</f>
        <v>['buy', 'package', 'application', 'open', 'already', 'uninstall', 'then', 'install', 'tetep']</v>
      </c>
      <c r="D10799" s="3">
        <v>1.0</v>
      </c>
    </row>
    <row r="10800" ht="15.75" customHeight="1">
      <c r="A10800" s="1">
        <v>11506.0</v>
      </c>
      <c r="B10800" s="3" t="s">
        <v>10327</v>
      </c>
      <c r="C10800" s="3" t="str">
        <f>IFERROR(__xludf.DUMMYFUNCTION("GOOGLETRANSLATE(B10800,""id"",""en"")"),"['Loading', 'APL']")</f>
        <v>['Loading', 'APL']</v>
      </c>
      <c r="D10800" s="3">
        <v>4.0</v>
      </c>
    </row>
    <row r="10801" ht="15.75" customHeight="1">
      <c r="A10801" s="1">
        <v>11507.0</v>
      </c>
      <c r="B10801" s="3" t="s">
        <v>10328</v>
      </c>
      <c r="C10801" s="3" t="str">
        <f>IFERROR(__xludf.DUMMYFUNCTION("GOOGLETRANSLATE(B10801,""id"",""en"")"),"['Severe', 'signal', 'me', 'postpaid', 'routine', 'pay', 'network', 'ugly', 'rich', 'gini', 'sensitive', 'Telkomsel', ' ']")</f>
        <v>['Severe', 'signal', 'me', 'postpaid', 'routine', 'pay', 'network', 'ugly', 'rich', 'gini', 'sensitive', 'Telkomsel', ' ']</v>
      </c>
      <c r="D10801" s="3">
        <v>1.0</v>
      </c>
    </row>
    <row r="10802" ht="15.75" customHeight="1">
      <c r="A10802" s="1">
        <v>11509.0</v>
      </c>
      <c r="B10802" s="3" t="s">
        <v>10329</v>
      </c>
      <c r="C10802" s="3" t="str">
        <f>IFERROR(__xludf.DUMMYFUNCTION("GOOGLETRANSLATE(B10802,""id"",""en"")"),"['Easy', 'Makeup', 'Transaction', 'Purchase', 'Package', '']")</f>
        <v>['Easy', 'Makeup', 'Transaction', 'Purchase', 'Package', '']</v>
      </c>
      <c r="D10802" s="3">
        <v>5.0</v>
      </c>
    </row>
    <row r="10803" ht="15.75" customHeight="1">
      <c r="A10803" s="1">
        <v>11510.0</v>
      </c>
      <c r="B10803" s="3" t="s">
        <v>10330</v>
      </c>
      <c r="C10803" s="3" t="str">
        <f>IFERROR(__xludf.DUMMYFUNCTION("GOOGLETRANSLATE(B10803,""id"",""en"")"),"['sick', 'head', 'Telkomsel', 'update', 'open', 'no', 'picture', 'polosan', 'doang', 'wait', 'tetep', 'plain', ' LEGE ',' NO'S, 'KETOLongan', 'Haadeeeh', '']")</f>
        <v>['sick', 'head', 'Telkomsel', 'update', 'open', 'no', 'picture', 'polosan', 'doang', 'wait', 'tetep', 'plain', ' LEGE ',' NO'S, 'KETOLongan', 'Haadeeeh', '']</v>
      </c>
      <c r="D10803" s="3">
        <v>1.0</v>
      </c>
    </row>
    <row r="10804" ht="15.75" customHeight="1">
      <c r="A10804" s="1">
        <v>11511.0</v>
      </c>
      <c r="B10804" s="3" t="s">
        <v>10331</v>
      </c>
      <c r="C10804" s="3" t="str">
        <f>IFERROR(__xludf.DUMMYFUNCTION("GOOGLETRANSLATE(B10804,""id"",""en"")"),"['application', 'useful', 'user', 'card', 'Telkomsel', 'thank you', 'Telkomsel']")</f>
        <v>['application', 'useful', 'user', 'card', 'Telkomsel', 'thank you', 'Telkomsel']</v>
      </c>
      <c r="D10804" s="3">
        <v>5.0</v>
      </c>
    </row>
    <row r="10805" ht="15.75" customHeight="1">
      <c r="A10805" s="1">
        <v>11512.0</v>
      </c>
      <c r="B10805" s="3" t="s">
        <v>10332</v>
      </c>
      <c r="C10805" s="3" t="str">
        <f>IFERROR(__xludf.DUMMYFUNCTION("GOOGLETRANSLATE(B10805,""id"",""en"")"),"['Telkomsel', 'ugly', 'in my place', 'application', 'Telkomsel', 'blank', 'white']")</f>
        <v>['Telkomsel', 'ugly', 'in my place', 'application', 'Telkomsel', 'blank', 'white']</v>
      </c>
      <c r="D10805" s="3">
        <v>3.0</v>
      </c>
    </row>
    <row r="10806" ht="15.75" customHeight="1">
      <c r="A10806" s="1">
        <v>11513.0</v>
      </c>
      <c r="B10806" s="3" t="s">
        <v>10333</v>
      </c>
      <c r="C10806" s="3" t="str">
        <f>IFERROR(__xludf.DUMMYFUNCTION("GOOGLETRANSLATE(B10806,""id"",""en"")"),"['APK', 'MyTelkomsel', 'opened', 'screen', 'just', 'white', 'breathe', 'solution', 'boz']")</f>
        <v>['APK', 'MyTelkomsel', 'opened', 'screen', 'just', 'white', 'breathe', 'solution', 'boz']</v>
      </c>
      <c r="D10806" s="3">
        <v>1.0</v>
      </c>
    </row>
    <row r="10807" ht="15.75" customHeight="1">
      <c r="A10807" s="1">
        <v>11514.0</v>
      </c>
      <c r="B10807" s="3" t="s">
        <v>2977</v>
      </c>
      <c r="C10807" s="3" t="str">
        <f>IFERROR(__xludf.DUMMYFUNCTION("GOOGLETRANSLATE(B10807,""id"",""en"")"),"['App', 'Open']")</f>
        <v>['App', 'Open']</v>
      </c>
      <c r="D10807" s="3">
        <v>1.0</v>
      </c>
    </row>
    <row r="10808" ht="15.75" customHeight="1">
      <c r="A10808" s="1">
        <v>11515.0</v>
      </c>
      <c r="B10808" s="3" t="s">
        <v>10334</v>
      </c>
      <c r="C10808" s="3" t="str">
        <f>IFERROR(__xludf.DUMMYFUNCTION("GOOGLETRANSLATE(B10808,""id"",""en"")"),"['Telkomsel', 'weak', 'lethargic', 'signal', 'card', 'already', 'upgrade', 'Wait', 'ketcher', 'run', 'defense', ""]")</f>
        <v>['Telkomsel', 'weak', 'lethargic', 'signal', 'card', 'already', 'upgrade', 'Wait', 'ketcher', 'run', 'defense', "]</v>
      </c>
      <c r="D10808" s="3">
        <v>5.0</v>
      </c>
    </row>
    <row r="10809" ht="15.75" customHeight="1">
      <c r="A10809" s="1">
        <v>11516.0</v>
      </c>
      <c r="B10809" s="3" t="s">
        <v>10335</v>
      </c>
      <c r="C10809" s="3" t="str">
        <f>IFERROR(__xludf.DUMMYFUNCTION("GOOGLETRANSLATE(B10809,""id"",""en"")"),"['Here', 'content', 'reset', 'pulse', 'muter', 'where', 'told', 'push', 'press',' until ',' screen ',' Signed ',' Please, 'Update', 'Bner', 'Update', 'Display', 'Display', 'mah', 'Ease']")</f>
        <v>['Here', 'content', 'reset', 'pulse', 'muter', 'where', 'told', 'push', 'press',' until ',' screen ',' Signed ',' Please, 'Update', 'Bner', 'Update', 'Display', 'Display', 'mah', 'Ease']</v>
      </c>
      <c r="D10809" s="3">
        <v>1.0</v>
      </c>
    </row>
    <row r="10810" ht="15.75" customHeight="1">
      <c r="A10810" s="1">
        <v>11517.0</v>
      </c>
      <c r="B10810" s="3" t="s">
        <v>10336</v>
      </c>
      <c r="C10810" s="3" t="str">
        <f>IFERROR(__xludf.DUMMYFUNCTION("GOOGLETRANSLATE(B10810,""id"",""en"")"),"['Help', 'BNGET', 'FATION', 'Strong', 'Kenceng', 'BNGET', 'BNYK', 'BONUS', 'FIXING', 'PLSA', 'DPET', 'Fig', ' package ',' data ',' get ',' bonus', 'pko', 'bnyk', 'bonus',' regret ',' pke ',' provider ',' telkomsel ',' dapet ',' pket ' , 'PLSA', 'emergency"&amp;"', 'just', 'acelan', 'complete', 'bnget', 'pko', 'top', 'deh', 'telkomsel', 'era', 'dlu', ' Ampe ',' skrng ',' emang ',' bgus', 'bnget', 'satisfied', 'high school', 'tlkomsel']")</f>
        <v>['Help', 'BNGET', 'FATION', 'Strong', 'Kenceng', 'BNGET', 'BNYK', 'BONUS', 'FIXING', 'PLSA', 'DPET', 'Fig', ' package ',' data ',' get ',' bonus', 'pko', 'bnyk', 'bonus',' regret ',' pke ',' provider ',' telkomsel ',' dapet ',' pket ' , 'PLSA', 'emergency', 'just', 'acelan', 'complete', 'bnget', 'pko', 'top', 'deh', 'telkomsel', 'era', 'dlu', ' Ampe ',' skrng ',' emang ',' bgus', 'bnget', 'satisfied', 'high school', 'tlkomsel']</v>
      </c>
      <c r="D10810" s="3">
        <v>5.0</v>
      </c>
    </row>
    <row r="10811" ht="15.75" customHeight="1">
      <c r="A10811" s="1">
        <v>11518.0</v>
      </c>
      <c r="B10811" s="3" t="s">
        <v>10337</v>
      </c>
      <c r="C10811" s="3" t="str">
        <f>IFERROR(__xludf.DUMMYFUNCTION("GOOGLETRANSLATE(B10811,""id"",""en"")"),"['Please', 'the application', 'Msih', 'blank', 'please', 'fix']")</f>
        <v>['Please', 'the application', 'Msih', 'blank', 'please', 'fix']</v>
      </c>
      <c r="D10811" s="3">
        <v>1.0</v>
      </c>
    </row>
    <row r="10812" ht="15.75" customHeight="1">
      <c r="A10812" s="1">
        <v>11519.0</v>
      </c>
      <c r="B10812" s="3" t="s">
        <v>10338</v>
      </c>
      <c r="C10812" s="3" t="str">
        <f>IFERROR(__xludf.DUMMYFUNCTION("GOOGLETRANSLATE(B10812,""id"",""en"")"),"['application', 'broken']")</f>
        <v>['application', 'broken']</v>
      </c>
      <c r="D10812" s="3">
        <v>1.0</v>
      </c>
    </row>
    <row r="10813" ht="15.75" customHeight="1">
      <c r="A10813" s="1">
        <v>11520.0</v>
      </c>
      <c r="B10813" s="3" t="s">
        <v>10339</v>
      </c>
      <c r="C10813" s="3" t="str">
        <f>IFERROR(__xludf.DUMMYFUNCTION("GOOGLETRANSLATE(B10813,""id"",""en"")"),"['', 'Telkomsel', 'it's easy', 'business', 'credit', 'content', 'pulse', 'just', 'okay', ""]")</f>
        <v>['', 'Telkomsel', 'it's easy', 'business', 'credit', 'content', 'pulse', 'just', 'okay', "]</v>
      </c>
      <c r="D10813" s="3">
        <v>4.0</v>
      </c>
    </row>
    <row r="10814" ht="15.75" customHeight="1">
      <c r="A10814" s="1">
        <v>11522.0</v>
      </c>
      <c r="B10814" s="3" t="s">
        <v>10340</v>
      </c>
      <c r="C10814" s="3" t="str">
        <f>IFERROR(__xludf.DUMMYFUNCTION("GOOGLETRANSLATE(B10814,""id"",""en"")"),"['waduuhh', 'capitalist', 'really', '']")</f>
        <v>['waduuhh', 'capitalist', 'really', '']</v>
      </c>
      <c r="D10814" s="3">
        <v>1.0</v>
      </c>
    </row>
    <row r="10815" ht="15.75" customHeight="1">
      <c r="A10815" s="1">
        <v>11523.0</v>
      </c>
      <c r="B10815" s="3" t="s">
        <v>10341</v>
      </c>
      <c r="C10815" s="3" t="str">
        <f>IFERROR(__xludf.DUMMYFUNCTION("GOOGLETRANSLATE(B10815,""id"",""en"")"),"['Install', 'disappointed', 'already', 'uninstall', 'application']")</f>
        <v>['Install', 'disappointed', 'already', 'uninstall', 'application']</v>
      </c>
      <c r="D10815" s="3">
        <v>2.0</v>
      </c>
    </row>
    <row r="10816" ht="15.75" customHeight="1">
      <c r="A10816" s="1">
        <v>11524.0</v>
      </c>
      <c r="B10816" s="3" t="s">
        <v>10342</v>
      </c>
      <c r="C10816" s="3" t="str">
        <f>IFERROR(__xludf.DUMMYFUNCTION("GOOGLETRANSLATE(B10816,""id"",""en"")"),"['Network', 'buk', 'maybe', 'good', 'skarang', 'tmbah', 'destroyed']")</f>
        <v>['Network', 'buk', 'maybe', 'good', 'skarang', 'tmbah', 'destroyed']</v>
      </c>
      <c r="D10816" s="3">
        <v>1.0</v>
      </c>
    </row>
    <row r="10817" ht="15.75" customHeight="1">
      <c r="A10817" s="1">
        <v>11525.0</v>
      </c>
      <c r="B10817" s="3" t="s">
        <v>10343</v>
      </c>
      <c r="C10817" s="3" t="str">
        <f>IFERROR(__xludf.DUMMYFUNCTION("GOOGLETRANSLATE(B10817,""id"",""en"")"),"['App', 'Help', 'Hopefully', 'multiptenizes', 'gift', 'perman', 'piece', 'price', 'package']")</f>
        <v>['App', 'Help', 'Hopefully', 'multiptenizes', 'gift', 'perman', 'piece', 'price', 'package']</v>
      </c>
      <c r="D10817" s="3">
        <v>5.0</v>
      </c>
    </row>
    <row r="10818" ht="15.75" customHeight="1">
      <c r="A10818" s="1">
        <v>11526.0</v>
      </c>
      <c r="B10818" s="3" t="s">
        <v>10344</v>
      </c>
      <c r="C10818" s="3" t="str">
        <f>IFERROR(__xludf.DUMMYFUNCTION("GOOGLETRANSLATE(B10818,""id"",""en"")"),"['Star', 'Increase', 'Network', 'Network', 'Slow', 'Sometimes', 'Tetiba', 'ilang']")</f>
        <v>['Star', 'Increase', 'Network', 'Network', 'Slow', 'Sometimes', 'Tetiba', 'ilang']</v>
      </c>
      <c r="D10818" s="3">
        <v>5.0</v>
      </c>
    </row>
    <row r="10819" ht="15.75" customHeight="1">
      <c r="A10819" s="1">
        <v>11527.0</v>
      </c>
      <c r="B10819" s="3" t="s">
        <v>10345</v>
      </c>
      <c r="C10819" s="3" t="str">
        <f>IFERROR(__xludf.DUMMYFUNCTION("GOOGLETRANSLATE(B10819,""id"",""en"")"),"['little', 'little', 'ngelag', 'bar', 'full', 'Telkomsel', 'expensive', 'package', 'annoyed', 'oath']")</f>
        <v>['little', 'little', 'ngelag', 'bar', 'full', 'Telkomsel', 'expensive', 'package', 'annoyed', 'oath']</v>
      </c>
      <c r="D10819" s="3">
        <v>1.0</v>
      </c>
    </row>
    <row r="10820" ht="15.75" customHeight="1">
      <c r="A10820" s="1">
        <v>11528.0</v>
      </c>
      <c r="B10820" s="3" t="s">
        <v>10346</v>
      </c>
      <c r="C10820" s="3" t="str">
        <f>IFERROR(__xludf.DUMMYFUNCTION("GOOGLETRANSLATE(B10820,""id"",""en"")"),"['Paketan', 'Dinurunin', 'Price', ""]")</f>
        <v>['Paketan', 'Dinurunin', 'Price', "]</v>
      </c>
      <c r="D10820" s="3">
        <v>5.0</v>
      </c>
    </row>
    <row r="10821" ht="15.75" customHeight="1">
      <c r="A10821" s="1">
        <v>11529.0</v>
      </c>
      <c r="B10821" s="3" t="s">
        <v>10347</v>
      </c>
      <c r="C10821" s="3" t="str">
        <f>IFERROR(__xludf.DUMMYFUNCTION("GOOGLETRANSLATE(B10821,""id"",""en"")"),"['Looking', 'Need', 'Fill', 'Vocer', 'Purchase', 'Telkomsel']")</f>
        <v>['Looking', 'Need', 'Fill', 'Vocer', 'Purchase', 'Telkomsel']</v>
      </c>
      <c r="D10821" s="3">
        <v>5.0</v>
      </c>
    </row>
    <row r="10822" ht="15.75" customHeight="1">
      <c r="A10822" s="1">
        <v>11530.0</v>
      </c>
      <c r="B10822" s="3" t="s">
        <v>10348</v>
      </c>
      <c r="C10822" s="3" t="str">
        <f>IFERROR(__xludf.DUMMYFUNCTION("GOOGLETRANSLATE(B10822,""id"",""en"")"),"['petrified', 'cheap', 'price', 'quota', 'level', 'contents', 'quota']")</f>
        <v>['petrified', 'cheap', 'price', 'quota', 'level', 'contents', 'quota']</v>
      </c>
      <c r="D10822" s="3">
        <v>5.0</v>
      </c>
    </row>
    <row r="10823" ht="15.75" customHeight="1">
      <c r="A10823" s="1">
        <v>11531.0</v>
      </c>
      <c r="B10823" s="3" t="s">
        <v>10349</v>
      </c>
      <c r="C10823" s="3" t="str">
        <f>IFERROR(__xludf.DUMMYFUNCTION("GOOGLETRANSLATE(B10823,""id"",""en"")"),"['application', 'May', 'Telkomsel', 'open', 'screen', 'white', 'repair', 'told', 'email', 'send', 'email', 'response', ' how ',' ""fix ',' customer ',' satisfied ',' ']")</f>
        <v>['application', 'May', 'Telkomsel', 'open', 'screen', 'white', 'repair', 'told', 'email', 'send', 'email', 'response', ' how ',' "fix ',' customer ',' satisfied ',' ']</v>
      </c>
      <c r="D10823" s="3">
        <v>1.0</v>
      </c>
    </row>
    <row r="10824" ht="15.75" customHeight="1">
      <c r="A10824" s="1">
        <v>11532.0</v>
      </c>
      <c r="B10824" s="3" t="s">
        <v>10350</v>
      </c>
      <c r="C10824" s="3" t="str">
        <f>IFERROR(__xludf.DUMMYFUNCTION("GOOGLETRANSLATE(B10824,""id"",""en"")"),"['apk', 'gabisa', 'opened', 'siiiiiiii']")</f>
        <v>['apk', 'gabisa', 'opened', 'siiiiiiii']</v>
      </c>
      <c r="D10824" s="3">
        <v>1.0</v>
      </c>
    </row>
    <row r="10825" ht="15.75" customHeight="1">
      <c r="A10825" s="1">
        <v>11533.0</v>
      </c>
      <c r="B10825" s="3" t="s">
        <v>10351</v>
      </c>
      <c r="C10825" s="3" t="str">
        <f>IFERROR(__xludf.DUMMYFUNCTION("GOOGLETRANSLATE(B10825,""id"",""en"")"),"['Haloo', 'already', 'Many', 'already', 'Try', 'enter', 'just', 'gabisaa', 'how', 'log', 'buy', 'pulses',' school ',' online ',' reinstall ',' uninstall ',' gabisa ',' please ',' fix ',' please ',' ']")</f>
        <v>['Haloo', 'already', 'Many', 'already', 'Try', 'enter', 'just', 'gabisaa', 'how', 'log', 'buy', 'pulses',' school ',' online ',' reinstall ',' uninstall ',' gabisa ',' please ',' fix ',' please ',' ']</v>
      </c>
      <c r="D10825" s="3">
        <v>1.0</v>
      </c>
    </row>
    <row r="10826" ht="15.75" customHeight="1">
      <c r="A10826" s="1">
        <v>11534.0</v>
      </c>
      <c r="B10826" s="3" t="s">
        <v>10352</v>
      </c>
      <c r="C10826" s="3" t="str">
        <f>IFERROR(__xludf.DUMMYFUNCTION("GOOGLETRANSLATE(B10826,""id"",""en"")"),"['Steady', 'big one']")</f>
        <v>['Steady', 'big one']</v>
      </c>
      <c r="D10826" s="3">
        <v>3.0</v>
      </c>
    </row>
    <row r="10827" ht="15.75" customHeight="1">
      <c r="A10827" s="1">
        <v>11535.0</v>
      </c>
      <c r="B10827" s="3" t="s">
        <v>10353</v>
      </c>
      <c r="C10827" s="3" t="str">
        <f>IFERROR(__xludf.DUMMYFUNCTION("GOOGLETRANSLATE(B10827,""id"",""en"")"),"['Open', 'Telkomsel', 'Click', 'Open', 'Application', 'Slalu', 'Screen', 'Blank', 'Knp', 'Enter', 'Why', ""]")</f>
        <v>['Open', 'Telkomsel', 'Click', 'Open', 'Application', 'Slalu', 'Screen', 'Blank', 'Knp', 'Enter', 'Why', "]</v>
      </c>
      <c r="D10827" s="3">
        <v>2.0</v>
      </c>
    </row>
    <row r="10828" ht="15.75" customHeight="1">
      <c r="A10828" s="1">
        <v>11536.0</v>
      </c>
      <c r="B10828" s="3" t="s">
        <v>10354</v>
      </c>
      <c r="C10828" s="3" t="str">
        <f>IFERROR(__xludf.DUMMYFUNCTION("GOOGLETRANSLATE(B10828,""id"",""en"")"),"['steady', 'times', 'application']")</f>
        <v>['steady', 'times', 'application']</v>
      </c>
      <c r="D10828" s="3">
        <v>5.0</v>
      </c>
    </row>
    <row r="10829" ht="15.75" customHeight="1">
      <c r="A10829" s="1">
        <v>11538.0</v>
      </c>
      <c r="B10829" s="3" t="s">
        <v>10355</v>
      </c>
      <c r="C10829" s="3" t="str">
        <f>IFERROR(__xludf.DUMMYFUNCTION("GOOGLETRANSLATE(B10829,""id"",""en"")"),"['package', 'fill in', 'go up', 'price', 'consistent', 'eneg', ""]")</f>
        <v>['package', 'fill in', 'go up', 'price', 'consistent', 'eneg', "]</v>
      </c>
      <c r="D10829" s="3">
        <v>1.0</v>
      </c>
    </row>
    <row r="10830" ht="15.75" customHeight="1">
      <c r="A10830" s="1">
        <v>11540.0</v>
      </c>
      <c r="B10830" s="3" t="s">
        <v>10356</v>
      </c>
      <c r="C10830" s="3" t="str">
        <f>IFERROR(__xludf.DUMMYFUNCTION("GOOGLETRANSLATE(B10830,""id"",""en"")"),"['Open', 'Application', 'Telkomsel', 'Please', 'Help']")</f>
        <v>['Open', 'Application', 'Telkomsel', 'Please', 'Help']</v>
      </c>
      <c r="D10830" s="3">
        <v>2.0</v>
      </c>
    </row>
    <row r="10831" ht="15.75" customHeight="1">
      <c r="A10831" s="1">
        <v>11541.0</v>
      </c>
      <c r="B10831" s="3" t="s">
        <v>10357</v>
      </c>
      <c r="C10831" s="3" t="str">
        <f>IFERROR(__xludf.DUMMYFUNCTION("GOOGLETRANSLATE(B10831,""id"",""en"")"),"['App', 'opened', 'December']")</f>
        <v>['App', 'opened', 'December']</v>
      </c>
      <c r="D10831" s="3">
        <v>1.0</v>
      </c>
    </row>
    <row r="10832" ht="15.75" customHeight="1">
      <c r="A10832" s="1">
        <v>11542.0</v>
      </c>
      <c r="B10832" s="3" t="s">
        <v>92</v>
      </c>
      <c r="C10832" s="3" t="str">
        <f>IFERROR(__xludf.DUMMYFUNCTION("GOOGLETRANSLATE(B10832,""id"",""en"")"),"['Application', 'Open']")</f>
        <v>['Application', 'Open']</v>
      </c>
      <c r="D10832" s="3">
        <v>3.0</v>
      </c>
    </row>
    <row r="10833" ht="15.75" customHeight="1">
      <c r="A10833" s="1">
        <v>11543.0</v>
      </c>
      <c r="B10833" s="3" t="s">
        <v>10358</v>
      </c>
      <c r="C10833" s="3" t="str">
        <f>IFERROR(__xludf.DUMMYFUNCTION("GOOGLETRANSLATE(B10833,""id"",""en"")"),"['spirit', 'Sampe', 'star', '']")</f>
        <v>['spirit', 'Sampe', 'star', '']</v>
      </c>
      <c r="D10833" s="3">
        <v>1.0</v>
      </c>
    </row>
    <row r="10834" ht="15.75" customHeight="1">
      <c r="A10834" s="1">
        <v>11544.0</v>
      </c>
      <c r="B10834" s="3" t="s">
        <v>10359</v>
      </c>
      <c r="C10834" s="3" t="str">
        <f>IFERROR(__xludf.DUMMYFUNCTION("GOOGLETRANSLATE(B10834,""id"",""en"")"),"['', 'deleted', 'Bae', 'rating', 'opened', 'ngeblank', 'white', 'screen', 'solution', 'uninstall', '']")</f>
        <v>['', 'deleted', 'Bae', 'rating', 'opened', 'ngeblank', 'white', 'screen', 'solution', 'uninstall', '']</v>
      </c>
      <c r="D10834" s="3">
        <v>1.0</v>
      </c>
    </row>
    <row r="10835" ht="15.75" customHeight="1">
      <c r="A10835" s="1">
        <v>11545.0</v>
      </c>
      <c r="B10835" s="3" t="s">
        <v>10360</v>
      </c>
      <c r="C10835" s="3" t="str">
        <f>IFERROR(__xludf.DUMMYFUNCTION("GOOGLETRANSLATE(B10835,""id"",""en"")"),"['buset', 'UDH', 'Install', 'reset', 'apk', 'tetep', 'just', 'just', 'blank', 'white', 'emang', 'your system', ' Eating ',' Memory ',' RAM ',' Wonder ',' APK ',' Sampe ',' MB ',' Lemot ',' APK ',' Game ',' Sampe ',' GB ', ""]")</f>
        <v>['buset', 'UDH', 'Install', 'reset', 'apk', 'tetep', 'just', 'just', 'blank', 'white', 'emang', 'your system', ' Eating ',' Memory ',' RAM ',' Wonder ',' APK ',' Sampe ',' MB ',' Lemot ',' APK ',' Game ',' Sampe ',' GB ', "]</v>
      </c>
      <c r="D10835" s="3">
        <v>1.0</v>
      </c>
    </row>
    <row r="10836" ht="15.75" customHeight="1">
      <c r="A10836" s="1">
        <v>11546.0</v>
      </c>
      <c r="B10836" s="3" t="s">
        <v>10361</v>
      </c>
      <c r="C10836" s="3" t="str">
        <f>IFERROR(__xludf.DUMMYFUNCTION("GOOGLETRANSLATE(B10836,""id"",""en"")"),"['Damaged', 'White', 'Blak']")</f>
        <v>['Damaged', 'White', 'Blak']</v>
      </c>
      <c r="D10836" s="3">
        <v>1.0</v>
      </c>
    </row>
    <row r="10837" ht="15.75" customHeight="1">
      <c r="A10837" s="1">
        <v>11547.0</v>
      </c>
      <c r="B10837" s="3" t="s">
        <v>10362</v>
      </c>
      <c r="C10837" s="3" t="str">
        <f>IFERROR(__xludf.DUMMYFUNCTION("GOOGLETRANSLATE(B10837,""id"",""en"")"),"['petrified', 'purchase', 'package', 'data']")</f>
        <v>['petrified', 'purchase', 'package', 'data']</v>
      </c>
      <c r="D10837" s="3">
        <v>5.0</v>
      </c>
    </row>
    <row r="10838" ht="15.75" customHeight="1">
      <c r="A10838" s="1">
        <v>11548.0</v>
      </c>
      <c r="B10838" s="3" t="s">
        <v>10363</v>
      </c>
      <c r="C10838" s="3" t="str">
        <f>IFERROR(__xludf.DUMMYFUNCTION("GOOGLETRANSLATE(B10838,""id"",""en"")"),"['Network', 'best', 'Indonesia', 'scattered', 'all', 'directions',' network ',' missing ',' missing ',' lalot ',' network ',' best ',' Buy ',' Data ',' already ',' expensive ',' expensive ',' network ',' lalot ']")</f>
        <v>['Network', 'best', 'Indonesia', 'scattered', 'all', 'directions',' network ',' missing ',' missing ',' lalot ',' network ',' best ',' Buy ',' Data ',' already ',' expensive ',' expensive ',' network ',' lalot ']</v>
      </c>
      <c r="D10838" s="3">
        <v>1.0</v>
      </c>
    </row>
    <row r="10839" ht="15.75" customHeight="1">
      <c r="A10839" s="1">
        <v>11549.0</v>
      </c>
      <c r="B10839" s="3" t="s">
        <v>10364</v>
      </c>
      <c r="C10839" s="3" t="str">
        <f>IFERROR(__xludf.DUMMYFUNCTION("GOOGLETRANSLATE(B10839,""id"",""en"")"),"['program', 'promo', 'package', 'internet', 'cheap', 'moved', 'heart']")</f>
        <v>['program', 'promo', 'package', 'internet', 'cheap', 'moved', 'heart']</v>
      </c>
      <c r="D10839" s="3">
        <v>5.0</v>
      </c>
    </row>
    <row r="10840" ht="15.75" customHeight="1">
      <c r="A10840" s="1">
        <v>11550.0</v>
      </c>
      <c r="B10840" s="3" t="s">
        <v>10365</v>
      </c>
      <c r="C10840" s="3" t="str">
        <f>IFERROR(__xludf.DUMMYFUNCTION("GOOGLETRANSLATE(B10840,""id"",""en"")"),"['', 'star', 'promo', 'star', '']")</f>
        <v>['', 'star', 'promo', 'star', '']</v>
      </c>
      <c r="D10840" s="3">
        <v>4.0</v>
      </c>
    </row>
    <row r="10841" ht="15.75" customHeight="1">
      <c r="A10841" s="1">
        <v>11551.0</v>
      </c>
      <c r="B10841" s="3" t="s">
        <v>10366</v>
      </c>
      <c r="C10841" s="3" t="str">
        <f>IFERROR(__xludf.DUMMYFUNCTION("GOOGLETRANSLATE(B10841,""id"",""en"")"),"['Update', 'The application', 'Nga', 'entered', 'Siih', 'Yesterday', 'Aneeeh', ""]")</f>
        <v>['Update', 'The application', 'Nga', 'entered', 'Siih', 'Yesterday', 'Aneeeh', "]</v>
      </c>
      <c r="D10841" s="3">
        <v>1.0</v>
      </c>
    </row>
    <row r="10842" ht="15.75" customHeight="1">
      <c r="A10842" s="1">
        <v>11552.0</v>
      </c>
      <c r="B10842" s="3" t="s">
        <v>10367</v>
      </c>
      <c r="C10842" s="3" t="str">
        <f>IFERROR(__xludf.DUMMYFUNCTION("GOOGLETRANSLATE(B10842,""id"",""en"")"),"['Please', 'fix', 'application']")</f>
        <v>['Please', 'fix', 'application']</v>
      </c>
      <c r="D10842" s="3">
        <v>1.0</v>
      </c>
    </row>
    <row r="10843" ht="15.75" customHeight="1">
      <c r="A10843" s="1">
        <v>11554.0</v>
      </c>
      <c r="B10843" s="3" t="s">
        <v>10368</v>
      </c>
      <c r="C10843" s="3" t="str">
        <f>IFERROR(__xludf.DUMMYFUNCTION("GOOGLETRANSLATE(B10843,""id"",""en"")"),"['Hello', 'Telkomsel', 'Sunday', 'Open', 'Application', 'Telkomsel', 'installed', 'updated', 'opened', 'disappointed', 'charging', 'data', ' Telkomsel ']")</f>
        <v>['Hello', 'Telkomsel', 'Sunday', 'Open', 'Application', 'Telkomsel', 'installed', 'updated', 'opened', 'disappointed', 'charging', 'data', ' Telkomsel ']</v>
      </c>
      <c r="D10843" s="3">
        <v>2.0</v>
      </c>
    </row>
    <row r="10844" ht="15.75" customHeight="1">
      <c r="A10844" s="1">
        <v>11555.0</v>
      </c>
      <c r="B10844" s="3" t="s">
        <v>10369</v>
      </c>
      <c r="C10844" s="3" t="str">
        <f>IFERROR(__xludf.DUMMYFUNCTION("GOOGLETRANSLATE(B10844,""id"",""en"")"),"['', 'price', '']")</f>
        <v>['', 'price', '']</v>
      </c>
      <c r="D10844" s="3">
        <v>4.0</v>
      </c>
    </row>
    <row r="10845" ht="15.75" customHeight="1">
      <c r="A10845" s="1">
        <v>11556.0</v>
      </c>
      <c r="B10845" s="3" t="s">
        <v>10370</v>
      </c>
      <c r="C10845" s="3" t="str">
        <f>IFERROR(__xludf.DUMMYFUNCTION("GOOGLETRANSLATE(B10845,""id"",""en"")"),"['huka', 'already', 'bln', 'check', 'quota', 'complicated', 'really']")</f>
        <v>['huka', 'already', 'bln', 'check', 'quota', 'complicated', 'really']</v>
      </c>
      <c r="D10845" s="3">
        <v>2.0</v>
      </c>
    </row>
    <row r="10846" ht="15.75" customHeight="1">
      <c r="A10846" s="1">
        <v>11557.0</v>
      </c>
      <c r="B10846" s="3" t="s">
        <v>10371</v>
      </c>
      <c r="C10846" s="3" t="str">
        <f>IFERROR(__xludf.DUMMYFUNCTION("GOOGLETRANSLATE(B10846,""id"",""en"")"),"['Update', 'Play', 'Store', 'APK', 'Tsel', 'Opened', 'Display', 'Screen', 'White', 'Try', 'Contact', 'The result', ' Nil ',' Uninstall ',' FYI ',' Mobile ',' Use ',' Samsung ',' My HP ',' old school ',' APK ',' Trouble ', ""]")</f>
        <v>['Update', 'Play', 'Store', 'APK', 'Tsel', 'Opened', 'Display', 'Screen', 'White', 'Try', 'Contact', 'The result', ' Nil ',' Uninstall ',' FYI ',' Mobile ',' Use ',' Samsung ',' My HP ',' old school ',' APK ',' Trouble ', "]</v>
      </c>
      <c r="D10846" s="3">
        <v>1.0</v>
      </c>
    </row>
    <row r="10847" ht="15.75" customHeight="1">
      <c r="A10847" s="1">
        <v>11559.0</v>
      </c>
      <c r="B10847" s="3" t="s">
        <v>10372</v>
      </c>
      <c r="C10847" s="3" t="str">
        <f>IFERROR(__xludf.DUMMYFUNCTION("GOOGLETRANSLATE(B10847,""id"",""en"")"),"['Service', 'satisfying', 'Greetings', 'country', '']")</f>
        <v>['Service', 'satisfying', 'Greetings', 'country', '']</v>
      </c>
      <c r="D10847" s="3">
        <v>5.0</v>
      </c>
    </row>
    <row r="10848" ht="15.75" customHeight="1">
      <c r="A10848" s="1">
        <v>11560.0</v>
      </c>
      <c r="B10848" s="3" t="s">
        <v>10373</v>
      </c>
      <c r="C10848" s="3" t="str">
        <f>IFERROR(__xludf.DUMMYFUNCTION("GOOGLETRANSLATE(B10848,""id"",""en"")"),"['White', 'Application', 'BSA', 'TRBAYA', 'GIDESTA', 'KNP', 'BSA', 'BGNI']")</f>
        <v>['White', 'Application', 'BSA', 'TRBAYA', 'GIDESTA', 'KNP', 'BSA', 'BGNI']</v>
      </c>
      <c r="D10848" s="3">
        <v>1.0</v>
      </c>
    </row>
    <row r="10849" ht="15.75" customHeight="1">
      <c r="A10849" s="1">
        <v>11561.0</v>
      </c>
      <c r="B10849" s="3" t="s">
        <v>10374</v>
      </c>
      <c r="C10849" s="3" t="str">
        <f>IFERROR(__xludf.DUMMYFUNCTION("GOOGLETRANSLATE(B10849,""id"",""en"")"),"['quota', 'expensive', 'appeal', 'provider']")</f>
        <v>['quota', 'expensive', 'appeal', 'provider']</v>
      </c>
      <c r="D10849" s="3">
        <v>4.0</v>
      </c>
    </row>
    <row r="10850" ht="15.75" customHeight="1">
      <c r="A10850" s="1">
        <v>11562.0</v>
      </c>
      <c r="B10850" s="3" t="s">
        <v>10375</v>
      </c>
      <c r="C10850" s="3" t="str">
        <f>IFERROR(__xludf.DUMMYFUNCTION("GOOGLETRANSLATE(B10850,""id"",""en"")"),"['bsa', 'open', 'apk', 'apdatte', 'please', 'min', 'user', 'loyal', 'telkomsel', 'bli', 'package', 'sllu', ' Telkomsel ',' ']")</f>
        <v>['bsa', 'open', 'apk', 'apdatte', 'please', 'min', 'user', 'loyal', 'telkomsel', 'bli', 'package', 'sllu', ' Telkomsel ',' ']</v>
      </c>
      <c r="D10850" s="3">
        <v>1.0</v>
      </c>
    </row>
    <row r="10851" ht="15.75" customHeight="1">
      <c r="A10851" s="1">
        <v>11563.0</v>
      </c>
      <c r="B10851" s="3" t="s">
        <v>10376</v>
      </c>
      <c r="C10851" s="3" t="str">
        <f>IFERROR(__xludf.DUMMYFUNCTION("GOOGLETRANSLATE(B10851,""id"",""en"")"),"['Help', 'Develop', 'Region', 'Blm', 'Affordable', 'Signal', 'Telkomsl']")</f>
        <v>['Help', 'Develop', 'Region', 'Blm', 'Affordable', 'Signal', 'Telkomsl']</v>
      </c>
      <c r="D10851" s="3">
        <v>5.0</v>
      </c>
    </row>
    <row r="10852" ht="15.75" customHeight="1">
      <c r="A10852" s="1">
        <v>11564.0</v>
      </c>
      <c r="B10852" s="3" t="s">
        <v>10377</v>
      </c>
      <c r="C10852" s="3" t="str">
        <f>IFERROR(__xludf.DUMMYFUNCTION("GOOGLETRANSLATE(B10852,""id"",""en"")"),"['dpet', 'discount']")</f>
        <v>['dpet', 'discount']</v>
      </c>
      <c r="D10852" s="3">
        <v>5.0</v>
      </c>
    </row>
    <row r="10853" ht="15.75" customHeight="1">
      <c r="A10853" s="1">
        <v>11565.0</v>
      </c>
      <c r="B10853" s="3" t="s">
        <v>10378</v>
      </c>
      <c r="C10853" s="3" t="str">
        <f>IFERROR(__xludf.DUMMYFUNCTION("GOOGLETRANSLATE(B10853,""id"",""en"")"),"['Alhamdulillah', 'Service']")</f>
        <v>['Alhamdulillah', 'Service']</v>
      </c>
      <c r="D10853" s="3">
        <v>4.0</v>
      </c>
    </row>
    <row r="10854" ht="15.75" customHeight="1">
      <c r="A10854" s="1">
        <v>11566.0</v>
      </c>
      <c r="B10854" s="3" t="s">
        <v>10379</v>
      </c>
      <c r="C10854" s="3" t="str">
        <f>IFERROR(__xludf.DUMMYFUNCTION("GOOGLETRANSLATE(B10854,""id"",""en"")"),"['People', 'Elderly', 'Ribet']")</f>
        <v>['People', 'Elderly', 'Ribet']</v>
      </c>
      <c r="D10854" s="3">
        <v>4.0</v>
      </c>
    </row>
    <row r="10855" ht="15.75" customHeight="1">
      <c r="A10855" s="1">
        <v>11567.0</v>
      </c>
      <c r="B10855" s="3" t="s">
        <v>10380</v>
      </c>
      <c r="C10855" s="3" t="str">
        <f>IFERROR(__xludf.DUMMYFUNCTION("GOOGLETRANSLATE(B10855,""id"",""en"")"),"['Cool', 'Abis', 'Anyway', ""]")</f>
        <v>['Cool', 'Abis', 'Anyway', "]</v>
      </c>
      <c r="D10855" s="3">
        <v>5.0</v>
      </c>
    </row>
    <row r="10856" ht="15.75" customHeight="1">
      <c r="A10856" s="1">
        <v>11568.0</v>
      </c>
      <c r="B10856" s="3" t="s">
        <v>10381</v>
      </c>
      <c r="C10856" s="3" t="str">
        <f>IFERROR(__xludf.DUMMYFUNCTION("GOOGLETRANSLATE(B10856,""id"",""en"")"),"['Telkomsel', 'no', 'open', ""]")</f>
        <v>['Telkomsel', 'no', 'open', "]</v>
      </c>
      <c r="D10856" s="3">
        <v>5.0</v>
      </c>
    </row>
    <row r="10857" ht="15.75" customHeight="1">
      <c r="A10857" s="1">
        <v>11569.0</v>
      </c>
      <c r="B10857" s="3" t="s">
        <v>10382</v>
      </c>
      <c r="C10857" s="3" t="str">
        <f>IFERROR(__xludf.DUMMYFUNCTION("GOOGLETRANSLATE(B10857,""id"",""en"")"),"['Quota', 'See', 'YouTube', 'Tiktok', 'Muter', 'Mulu', 'Please', 'Fix', 'Sinyal']")</f>
        <v>['Quota', 'See', 'YouTube', 'Tiktok', 'Muter', 'Mulu', 'Please', 'Fix', 'Sinyal']</v>
      </c>
      <c r="D10857" s="3">
        <v>1.0</v>
      </c>
    </row>
    <row r="10858" ht="15.75" customHeight="1">
      <c r="A10858" s="1">
        <v>11570.0</v>
      </c>
      <c r="B10858" s="3" t="s">
        <v>3507</v>
      </c>
      <c r="C10858" s="3" t="str">
        <f>IFERROR(__xludf.DUMMYFUNCTION("GOOGLETRANSLATE(B10858,""id"",""en"")"),"['like', 'application']")</f>
        <v>['like', 'application']</v>
      </c>
      <c r="D10858" s="3">
        <v>5.0</v>
      </c>
    </row>
    <row r="10859" ht="15.75" customHeight="1">
      <c r="A10859" s="1">
        <v>11571.0</v>
      </c>
      <c r="B10859" s="3" t="s">
        <v>10383</v>
      </c>
      <c r="C10859" s="3" t="str">
        <f>IFERROR(__xludf.DUMMYFUNCTION("GOOGLETRANSLATE(B10859,""id"",""en"")"),"['Help', 'MyTelkomsel', 'Bgus', 'bngettt']")</f>
        <v>['Help', 'MyTelkomsel', 'Bgus', 'bngettt']</v>
      </c>
      <c r="D10859" s="3">
        <v>5.0</v>
      </c>
    </row>
    <row r="10860" ht="15.75" customHeight="1">
      <c r="A10860" s="1">
        <v>11572.0</v>
      </c>
      <c r="B10860" s="3" t="s">
        <v>10384</v>
      </c>
      <c r="C10860" s="3" t="str">
        <f>IFERROR(__xludf.DUMMYFUNCTION("GOOGLETRANSLATE(B10860,""id"",""en"")"),"['Price', 'Package', 'Collapin']")</f>
        <v>['Price', 'Package', 'Collapin']</v>
      </c>
      <c r="D10860" s="3">
        <v>5.0</v>
      </c>
    </row>
    <row r="10861" ht="15.75" customHeight="1">
      <c r="A10861" s="1">
        <v>11575.0</v>
      </c>
      <c r="B10861" s="3" t="s">
        <v>10385</v>
      </c>
      <c r="C10861" s="3" t="str">
        <f>IFERROR(__xludf.DUMMYFUNCTION("GOOGLETRANSLATE(B10861,""id"",""en"")"),"['Telkomsel', 'rates', 'expensive', 'Sihhh', 'Dinurunin', 'rates', '']")</f>
        <v>['Telkomsel', 'rates', 'expensive', 'Sihhh', 'Dinurunin', 'rates', '']</v>
      </c>
      <c r="D10861" s="3">
        <v>1.0</v>
      </c>
    </row>
    <row r="10862" ht="15.75" customHeight="1">
      <c r="A10862" s="1">
        <v>11576.0</v>
      </c>
      <c r="B10862" s="3" t="s">
        <v>10386</v>
      </c>
      <c r="C10862" s="3" t="str">
        <f>IFERROR(__xludf.DUMMYFUNCTION("GOOGLETRANSLATE(B10862,""id"",""en"")"),"['Provider', 'Worst', 'World', 'Paketan', 'Expensive', 'TPI', 'Network', 'Slow', 'Kayak', 'Signal', 'Edge', 'Sorry', ' Use ',' Telkomsel ',' Promox ',' Anti ',' Slow ',' God ',' Lemot ', ""]")</f>
        <v>['Provider', 'Worst', 'World', 'Paketan', 'Expensive', 'TPI', 'Network', 'Slow', 'Kayak', 'Signal', 'Edge', 'Sorry', ' Use ',' Telkomsel ',' Promox ',' Anti ',' Slow ',' God ',' Lemot ', "]</v>
      </c>
      <c r="D10862" s="3">
        <v>1.0</v>
      </c>
    </row>
    <row r="10863" ht="15.75" customHeight="1">
      <c r="A10863" s="1">
        <v>11577.0</v>
      </c>
      <c r="B10863" s="3" t="s">
        <v>10387</v>
      </c>
      <c r="C10863" s="3" t="str">
        <f>IFERROR(__xludf.DUMMYFUNCTION("GOOGLETRANSLATE(B10863,""id"",""en"")"),"['Severe', 'quota', 'abis', 'sucked', 'pulse', 'lazy', '']")</f>
        <v>['Severe', 'quota', 'abis', 'sucked', 'pulse', 'lazy', '']</v>
      </c>
      <c r="D10863" s="3">
        <v>3.0</v>
      </c>
    </row>
    <row r="10864" ht="15.75" customHeight="1">
      <c r="A10864" s="1">
        <v>11578.0</v>
      </c>
      <c r="B10864" s="3" t="s">
        <v>10388</v>
      </c>
      <c r="C10864" s="3" t="str">
        <f>IFERROR(__xludf.DUMMYFUNCTION("GOOGLETRANSLATE(B10864,""id"",""en"")"),"['Woyy', 'Telkomsel', 'Fix', 'The network', 'already', 'expensive', 'slow']")</f>
        <v>['Woyy', 'Telkomsel', 'Fix', 'The network', 'already', 'expensive', 'slow']</v>
      </c>
      <c r="D10864" s="3">
        <v>1.0</v>
      </c>
    </row>
    <row r="10865" ht="15.75" customHeight="1">
      <c r="A10865" s="1">
        <v>11579.0</v>
      </c>
      <c r="B10865" s="3" t="s">
        <v>10389</v>
      </c>
      <c r="C10865" s="3" t="str">
        <f>IFERROR(__xludf.DUMMYFUNCTION("GOOGLETRANSLATE(B10865,""id"",""en"")"),"['Severe', 'Bru', 'Download', 'Opened', 'Maap', 'Uninstall']")</f>
        <v>['Severe', 'Bru', 'Download', 'Opened', 'Maap', 'Uninstall']</v>
      </c>
      <c r="D10865" s="3">
        <v>1.0</v>
      </c>
    </row>
    <row r="10866" ht="15.75" customHeight="1">
      <c r="A10866" s="1">
        <v>11580.0</v>
      </c>
      <c r="B10866" s="3" t="s">
        <v>10390</v>
      </c>
      <c r="C10866" s="3" t="str">
        <f>IFERROR(__xludf.DUMMYFUNCTION("GOOGLETRANSLATE(B10866,""id"",""en"")"),"['easy', 'check', 'data', 'purchase', 'package', 'inet', 'cheap']")</f>
        <v>['easy', 'check', 'data', 'purchase', 'package', 'inet', 'cheap']</v>
      </c>
      <c r="D10866" s="3">
        <v>5.0</v>
      </c>
    </row>
    <row r="10867" ht="15.75" customHeight="1">
      <c r="A10867" s="1">
        <v>11581.0</v>
      </c>
      <c r="B10867" s="3" t="s">
        <v>10391</v>
      </c>
      <c r="C10867" s="3" t="str">
        <f>IFERROR(__xludf.DUMMYFUNCTION("GOOGLETRANSLATE(B10867,""id"",""en"")"),"['Application', 'Gausah', 'Download', 'White', 'blank', 'already', 'a week', 'no', 'repairs',' buy ',' quota ',' difficult ',' checked ',' quota ',' active ',' complicated ',' moved ',' provider ',' ']")</f>
        <v>['Application', 'Gausah', 'Download', 'White', 'blank', 'already', 'a week', 'no', 'repairs',' buy ',' quota ',' difficult ',' checked ',' quota ',' active ',' complicated ',' moved ',' provider ',' ']</v>
      </c>
      <c r="D10867" s="3">
        <v>1.0</v>
      </c>
    </row>
    <row r="10868" ht="15.75" customHeight="1">
      <c r="A10868" s="1">
        <v>11583.0</v>
      </c>
      <c r="B10868" s="3" t="s">
        <v>10392</v>
      </c>
      <c r="C10868" s="3" t="str">
        <f>IFERROR(__xludf.DUMMYFUNCTION("GOOGLETRANSLATE(B10868,""id"",""en"")"),"['happy', 'use', 'application', 'it's easy', 'tariff', 'purchase', 'data', 'derived', 'expensive', '']")</f>
        <v>['happy', 'use', 'application', 'it's easy', 'tariff', 'purchase', 'data', 'derived', 'expensive', '']</v>
      </c>
      <c r="D10868" s="3">
        <v>5.0</v>
      </c>
    </row>
    <row r="10869" ht="15.75" customHeight="1">
      <c r="A10869" s="1">
        <v>11584.0</v>
      </c>
      <c r="B10869" s="3" t="s">
        <v>10393</v>
      </c>
      <c r="C10869" s="3" t="str">
        <f>IFERROR(__xludf.DUMMYFUNCTION("GOOGLETRANSLATE(B10869,""id"",""en"")"),"['Increase', 'quota', 'price', 'promo', 'cheap', 'festive']")</f>
        <v>['Increase', 'quota', 'price', 'promo', 'cheap', 'festive']</v>
      </c>
      <c r="D10869" s="3">
        <v>5.0</v>
      </c>
    </row>
    <row r="10870" ht="15.75" customHeight="1">
      <c r="A10870" s="1">
        <v>11585.0</v>
      </c>
      <c r="B10870" s="3" t="s">
        <v>10394</v>
      </c>
      <c r="C10870" s="3" t="str">
        <f>IFERROR(__xludf.DUMMYFUNCTION("GOOGLETRANSLATE(B10870,""id"",""en"")"),"['Stay', 'best']")</f>
        <v>['Stay', 'best']</v>
      </c>
      <c r="D10870" s="3">
        <v>5.0</v>
      </c>
    </row>
    <row r="10871" ht="15.75" customHeight="1">
      <c r="A10871" s="1">
        <v>11586.0</v>
      </c>
      <c r="B10871" s="3" t="s">
        <v>10395</v>
      </c>
      <c r="C10871" s="3" t="str">
        <f>IFERROR(__xludf.DUMMYFUNCTION("GOOGLETRANSLATE(B10871,""id"",""en"")"),"['Memberita', 'account']")</f>
        <v>['Memberita', 'account']</v>
      </c>
      <c r="D10871" s="3">
        <v>5.0</v>
      </c>
    </row>
    <row r="10872" ht="15.75" customHeight="1">
      <c r="A10872" s="1">
        <v>11587.0</v>
      </c>
      <c r="B10872" s="3" t="s">
        <v>10396</v>
      </c>
      <c r="C10872" s="3" t="str">
        <f>IFERROR(__xludf.DUMMYFUNCTION("GOOGLETRANSLATE(B10872,""id"",""en"")"),"['facilitate the work']")</f>
        <v>['facilitate the work']</v>
      </c>
      <c r="D10872" s="3">
        <v>5.0</v>
      </c>
    </row>
    <row r="10873" ht="15.75" customHeight="1">
      <c r="A10873" s="1">
        <v>11588.0</v>
      </c>
      <c r="B10873" s="3" t="s">
        <v>10397</v>
      </c>
      <c r="C10873" s="3" t="str">
        <f>IFERROR(__xludf.DUMMYFUNCTION("GOOGLETRANSLATE(B10873,""id"",""en"")"),"['application', 'update', 'accessed', 'please', 'repaired', 'week', 'gabisa', 'see', 'quota', ""]")</f>
        <v>['application', 'update', 'accessed', 'please', 'repaired', 'week', 'gabisa', 'see', 'quota', "]</v>
      </c>
      <c r="D10873" s="3">
        <v>1.0</v>
      </c>
    </row>
    <row r="10874" ht="15.75" customHeight="1">
      <c r="A10874" s="1">
        <v>11589.0</v>
      </c>
      <c r="B10874" s="3" t="s">
        <v>10398</v>
      </c>
      <c r="C10874" s="3" t="str">
        <f>IFERROR(__xludf.DUMMYFUNCTION("GOOGLETRANSLATE(B10874,""id"",""en"")"),"['Wear', 'application']")</f>
        <v>['Wear', 'application']</v>
      </c>
      <c r="D10874" s="3">
        <v>3.0</v>
      </c>
    </row>
    <row r="10875" ht="15.75" customHeight="1">
      <c r="A10875" s="1">
        <v>11590.0</v>
      </c>
      <c r="B10875" s="3" t="s">
        <v>10399</v>
      </c>
      <c r="C10875" s="3" t="str">
        <f>IFERROR(__xludf.DUMMYFUNCTION("GOOGLETRANSLATE(B10875,""id"",""en"")"),"['skrg', 'application', 'Telkomsel', 'difficult', 'open', '']")</f>
        <v>['skrg', 'application', 'Telkomsel', 'difficult', 'open', '']</v>
      </c>
      <c r="D10875" s="3">
        <v>5.0</v>
      </c>
    </row>
    <row r="10876" ht="15.75" customHeight="1">
      <c r="A10876" s="1">
        <v>11591.0</v>
      </c>
      <c r="B10876" s="3" t="s">
        <v>10400</v>
      </c>
      <c r="C10876" s="3" t="str">
        <f>IFERROR(__xludf.DUMMYFUNCTION("GOOGLETRANSLATE(B10876,""id"",""en"")"),"['application', 'detrimental', 'consumer', '']")</f>
        <v>['application', 'detrimental', 'consumer', '']</v>
      </c>
      <c r="D10876" s="3">
        <v>1.0</v>
      </c>
    </row>
    <row r="10877" ht="15.75" customHeight="1">
      <c r="A10877" s="1">
        <v>11592.0</v>
      </c>
      <c r="B10877" s="3" t="s">
        <v>10401</v>
      </c>
      <c r="C10877" s="3" t="str">
        <f>IFERROR(__xludf.DUMMYFUNCTION("GOOGLETRANSLATE(B10877,""id"",""en"")"),"['making easier', 'application', 'Thank you', 'Telkomsel', 'Level', 'yaa', 'discount', 'price', 'package', 'internet', 'yeah']")</f>
        <v>['making easier', 'application', 'Thank you', 'Telkomsel', 'Level', 'yaa', 'discount', 'price', 'package', 'internet', 'yeah']</v>
      </c>
      <c r="D10877" s="3">
        <v>5.0</v>
      </c>
    </row>
    <row r="10878" ht="15.75" customHeight="1">
      <c r="A10878" s="1">
        <v>11593.0</v>
      </c>
      <c r="B10878" s="3" t="s">
        <v>10402</v>
      </c>
      <c r="C10878" s="3" t="str">
        <f>IFERROR(__xludf.DUMMYFUNCTION("GOOGLETRANSLATE(B10878,""id"",""en"")"),"['a week', 'application', 'Telkomsel', 'opened', 'screen', 'white', 'appears', 'update', 'uninstall', 'install']")</f>
        <v>['a week', 'application', 'Telkomsel', 'opened', 'screen', 'white', 'appears', 'update', 'uninstall', 'install']</v>
      </c>
      <c r="D10878" s="3">
        <v>2.0</v>
      </c>
    </row>
    <row r="10879" ht="15.75" customHeight="1">
      <c r="A10879" s="1">
        <v>11594.0</v>
      </c>
      <c r="B10879" s="3" t="s">
        <v>10403</v>
      </c>
      <c r="C10879" s="3" t="str">
        <f>IFERROR(__xludf.DUMMYFUNCTION("GOOGLETRANSLATE(B10879,""id"",""en"")"),"['Applikasih', 'Open', 'Sudh', 'Update', 'Open', 'Uninstall', 'Download', 'Severe', '']")</f>
        <v>['Applikasih', 'Open', 'Sudh', 'Update', 'Open', 'Uninstall', 'Download', 'Severe', '']</v>
      </c>
      <c r="D10879" s="3">
        <v>1.0</v>
      </c>
    </row>
    <row r="10880" ht="15.75" customHeight="1">
      <c r="A10880" s="1">
        <v>11595.0</v>
      </c>
      <c r="B10880" s="3" t="s">
        <v>10404</v>
      </c>
      <c r="C10880" s="3" t="str">
        <f>IFERROR(__xludf.DUMMYFUNCTION("GOOGLETRANSLATE(B10880,""id"",""en"")"),"['No', 'opened', 'already', 'downloadlod', '']")</f>
        <v>['No', 'opened', 'already', 'downloadlod', '']</v>
      </c>
      <c r="D10880" s="3">
        <v>1.0</v>
      </c>
    </row>
    <row r="10881" ht="15.75" customHeight="1">
      <c r="A10881" s="1">
        <v>11596.0</v>
      </c>
      <c r="B10881" s="3" t="s">
        <v>10405</v>
      </c>
      <c r="C10881" s="3" t="str">
        <f>IFERROR(__xludf.DUMMYFUNCTION("GOOGLETRANSLATE(B10881,""id"",""en"")"),"['Sorry', 'min', 'pulse', 'right', 'contents', 'suck', 'please', 'help']")</f>
        <v>['Sorry', 'min', 'pulse', 'right', 'contents', 'suck', 'please', 'help']</v>
      </c>
      <c r="D10881" s="3">
        <v>4.0</v>
      </c>
    </row>
    <row r="10882" ht="15.75" customHeight="1">
      <c r="A10882" s="1">
        <v>11597.0</v>
      </c>
      <c r="B10882" s="3" t="s">
        <v>10406</v>
      </c>
      <c r="C10882" s="3" t="str">
        <f>IFERROR(__xludf.DUMMYFUNCTION("GOOGLETRANSLATE(B10882,""id"",""en"")"),"['Good', 'Forgotten', 'Layi', 'Gift', 'Points', '']")</f>
        <v>['Good', 'Forgotten', 'Layi', 'Gift', 'Points', '']</v>
      </c>
      <c r="D10882" s="3">
        <v>5.0</v>
      </c>
    </row>
    <row r="10883" ht="15.75" customHeight="1">
      <c r="A10883" s="1">
        <v>11598.0</v>
      </c>
      <c r="B10883" s="3" t="s">
        <v>10407</v>
      </c>
      <c r="C10883" s="3" t="str">
        <f>IFERROR(__xludf.DUMMYFUNCTION("GOOGLETRANSLATE(B10883,""id"",""en"")"),"['Cool', 'Help', 'Customer']")</f>
        <v>['Cool', 'Help', 'Customer']</v>
      </c>
      <c r="D10883" s="3">
        <v>5.0</v>
      </c>
    </row>
    <row r="10884" ht="15.75" customHeight="1">
      <c r="A10884" s="1">
        <v>11599.0</v>
      </c>
      <c r="B10884" s="3" t="s">
        <v>10408</v>
      </c>
      <c r="C10884" s="3" t="str">
        <f>IFERROR(__xludf.DUMMYFUNCTION("GOOGLETRANSLATE(B10884,""id"",""en"")"),"['buy', 'pulse', 'entered', 'pulses', 'tuyul', 'Telkomsel', '']")</f>
        <v>['buy', 'pulse', 'entered', 'pulses', 'tuyul', 'Telkomsel', '']</v>
      </c>
      <c r="D10884" s="3">
        <v>1.0</v>
      </c>
    </row>
    <row r="10885" ht="15.75" customHeight="1">
      <c r="A10885" s="1">
        <v>11600.0</v>
      </c>
      <c r="B10885" s="3" t="s">
        <v>10409</v>
      </c>
      <c r="C10885" s="3" t="str">
        <f>IFERROR(__xludf.DUMMYFUNCTION("GOOGLETRANSLATE(B10885,""id"",""en"")"),"['', 'Telkomsel', 'dead', 'quality', 'downhill']")</f>
        <v>['', 'Telkomsel', 'dead', 'quality', 'downhill']</v>
      </c>
      <c r="D10885" s="3">
        <v>1.0</v>
      </c>
    </row>
    <row r="10886" ht="15.75" customHeight="1">
      <c r="A10886" s="1">
        <v>11601.0</v>
      </c>
      <c r="B10886" s="3" t="s">
        <v>10410</v>
      </c>
      <c r="C10886" s="3" t="str">
        <f>IFERROR(__xludf.DUMMYFUNCTION("GOOGLETRANSLATE(B10886,""id"",""en"")"),"['Decrease', 'Quality', 'Signal', 'Nahi', 'Cell']")</f>
        <v>['Decrease', 'Quality', 'Signal', 'Nahi', 'Cell']</v>
      </c>
      <c r="D10886" s="3">
        <v>3.0</v>
      </c>
    </row>
    <row r="10887" ht="15.75" customHeight="1">
      <c r="A10887" s="1">
        <v>11602.0</v>
      </c>
      <c r="B10887" s="3" t="s">
        <v>10411</v>
      </c>
      <c r="C10887" s="3" t="str">
        <f>IFERROR(__xludf.DUMMYFUNCTION("GOOGLETRANSLATE(B10887,""id"",""en"")"),"['The application', 'Bad', 'Komplein', 'Dimari', 'told', 'Application', 'GMN', 'The story', 'Komplein', 'Application', 'The application', 'Ngebleng', ' open', '']")</f>
        <v>['The application', 'Bad', 'Komplein', 'Dimari', 'told', 'Application', 'GMN', 'The story', 'Komplein', 'Application', 'The application', 'Ngebleng', ' open', '']</v>
      </c>
      <c r="D10887" s="3">
        <v>1.0</v>
      </c>
    </row>
    <row r="10888" ht="15.75" customHeight="1">
      <c r="A10888" s="1">
        <v>11603.0</v>
      </c>
      <c r="B10888" s="3" t="s">
        <v>10412</v>
      </c>
      <c r="C10888" s="3" t="str">
        <f>IFERROR(__xludf.DUMMYFUNCTION("GOOGLETRANSLATE(B10888,""id"",""en"")"),"['', 'Strengthen', 'Network', 'Lampung', 'East', 'Marga']")</f>
        <v>['', 'Strengthen', 'Network', 'Lampung', 'East', 'Marga']</v>
      </c>
      <c r="D10888" s="3">
        <v>5.0</v>
      </c>
    </row>
    <row r="10889" ht="15.75" customHeight="1">
      <c r="A10889" s="1">
        <v>11604.0</v>
      </c>
      <c r="B10889" s="3" t="s">
        <v>10413</v>
      </c>
      <c r="C10889" s="3" t="str">
        <f>IFERROR(__xludf.DUMMYFUNCTION("GOOGLETRANSLATE(B10889,""id"",""en"")"),"['Times', 'Comment']")</f>
        <v>['Times', 'Comment']</v>
      </c>
      <c r="D10889" s="3">
        <v>3.0</v>
      </c>
    </row>
    <row r="10890" ht="15.75" customHeight="1">
      <c r="A10890" s="1">
        <v>11605.0</v>
      </c>
      <c r="B10890" s="3" t="s">
        <v>10414</v>
      </c>
      <c r="C10890" s="3" t="str">
        <f>IFERROR(__xludf.DUMMYFUNCTION("GOOGLETRANSLATE(B10890,""id"",""en"")"),"['update', 'application', 'opened', 'network', 'internet', 'region', 'slow']")</f>
        <v>['update', 'application', 'opened', 'network', 'internet', 'region', 'slow']</v>
      </c>
      <c r="D10890" s="3">
        <v>2.0</v>
      </c>
    </row>
    <row r="10891" ht="15.75" customHeight="1">
      <c r="A10891" s="1">
        <v>11606.0</v>
      </c>
      <c r="B10891" s="3" t="s">
        <v>10415</v>
      </c>
      <c r="C10891" s="3" t="str">
        <f>IFERROR(__xludf.DUMMYFUNCTION("GOOGLETRANSLATE(B10891,""id"",""en"")"),"['Downloaded', 'application', 'error', '']")</f>
        <v>['Downloaded', 'application', 'error', '']</v>
      </c>
      <c r="D10891" s="3">
        <v>2.0</v>
      </c>
    </row>
    <row r="10892" ht="15.75" customHeight="1">
      <c r="A10892" s="1">
        <v>11607.0</v>
      </c>
      <c r="B10892" s="3" t="s">
        <v>10416</v>
      </c>
      <c r="C10892" s="3" t="str">
        <f>IFERROR(__xludf.DUMMYFUNCTION("GOOGLETRANSLATE(B10892,""id"",""en"")"),"['Steady', 'Telkomsel', '']")</f>
        <v>['Steady', 'Telkomsel', '']</v>
      </c>
      <c r="D10892" s="3">
        <v>5.0</v>
      </c>
    </row>
    <row r="10893" ht="15.75" customHeight="1">
      <c r="A10893" s="1">
        <v>11608.0</v>
      </c>
      <c r="B10893" s="3" t="s">
        <v>10417</v>
      </c>
      <c r="C10893" s="3" t="str">
        <f>IFERROR(__xludf.DUMMYFUNCTION("GOOGLETRANSLATE(B10893,""id"",""en"")"),"['quota', 'difficult', 'loading', 'game', 'network', 'good', 'how', 'Telkomsel', 'then', 'right', 'opened', 'blank', ' White ',' Mulu ',' already ',' Minute ',' Loading ',' Rich ',' Gini ', ""]")</f>
        <v>['quota', 'difficult', 'loading', 'game', 'network', 'good', 'how', 'Telkomsel', 'then', 'right', 'opened', 'blank', ' White ',' Mulu ',' already ',' Minute ',' Loading ',' Rich ',' Gini ', "]</v>
      </c>
      <c r="D10893" s="3">
        <v>1.0</v>
      </c>
    </row>
    <row r="10894" ht="15.75" customHeight="1">
      <c r="A10894" s="1">
        <v>11609.0</v>
      </c>
      <c r="B10894" s="3" t="s">
        <v>10418</v>
      </c>
      <c r="C10894" s="3" t="str">
        <f>IFERROR(__xludf.DUMMYFUNCTION("GOOGLETRANSLATE(B10894,""id"",""en"")"),"['Good', 'smooth']")</f>
        <v>['Good', 'smooth']</v>
      </c>
      <c r="D10894" s="3">
        <v>4.0</v>
      </c>
    </row>
    <row r="10895" ht="15.75" customHeight="1">
      <c r="A10895" s="1">
        <v>11610.0</v>
      </c>
      <c r="B10895" s="3" t="s">
        <v>10419</v>
      </c>
      <c r="C10895" s="3" t="str">
        <f>IFERROR(__xludf.DUMMYFUNCTION("GOOGLETRANSLATE(B10895,""id"",""en"")"),"['Satisfied', 'Karna', 'Network']")</f>
        <v>['Satisfied', 'Karna', 'Network']</v>
      </c>
      <c r="D10895" s="3">
        <v>5.0</v>
      </c>
    </row>
    <row r="10896" ht="15.75" customHeight="1">
      <c r="A10896" s="1">
        <v>11611.0</v>
      </c>
      <c r="B10896" s="3" t="s">
        <v>10420</v>
      </c>
      <c r="C10896" s="3" t="str">
        <f>IFERROR(__xludf.DUMMYFUNCTION("GOOGLETRANSLATE(B10896,""id"",""en"")"),"['ugly', 'really', 'rich', 'right', 'click', 'lgsg', 'open', 'udh', 'awaited', 'many', 'white', 'screen', ' UDH ',' update ',' Telkomsel ',' now ',' as good ']")</f>
        <v>['ugly', 'really', 'rich', 'right', 'click', 'lgsg', 'open', 'udh', 'awaited', 'many', 'white', 'screen', ' UDH ',' update ',' Telkomsel ',' now ',' as good ']</v>
      </c>
      <c r="D10896" s="3">
        <v>1.0</v>
      </c>
    </row>
    <row r="10897" ht="15.75" customHeight="1">
      <c r="A10897" s="1">
        <v>11612.0</v>
      </c>
      <c r="B10897" s="3" t="s">
        <v>10421</v>
      </c>
      <c r="C10897" s="3" t="str">
        <f>IFERROR(__xludf.DUMMYFUNCTION("GOOGLETRANSLATE(B10897,""id"",""en"")"),"['application', 'opened', 'color', 'white', 'uninstall', 'many', 'times', ""]")</f>
        <v>['application', 'opened', 'color', 'white', 'uninstall', 'many', 'times', "]</v>
      </c>
      <c r="D10897" s="3">
        <v>1.0</v>
      </c>
    </row>
    <row r="10898" ht="15.75" customHeight="1">
      <c r="A10898" s="1">
        <v>11613.0</v>
      </c>
      <c r="B10898" s="3" t="s">
        <v>10422</v>
      </c>
      <c r="C10898" s="3" t="str">
        <f>IFERROR(__xludf.DUMMYFUNCTION("GOOGLETRANSLATE(B10898,""id"",""en"")"),"['useful']")</f>
        <v>['useful']</v>
      </c>
      <c r="D10898" s="3">
        <v>4.0</v>
      </c>
    </row>
    <row r="10899" ht="15.75" customHeight="1">
      <c r="A10899" s="1">
        <v>11614.0</v>
      </c>
      <c r="B10899" s="3" t="s">
        <v>10423</v>
      </c>
      <c r="C10899" s="3" t="str">
        <f>IFERROR(__xludf.DUMMYFUNCTION("GOOGLETRANSLATE(B10899,""id"",""en"")"),"['Open', 'application', 'strange', 'Telkomsel']")</f>
        <v>['Open', 'application', 'strange', 'Telkomsel']</v>
      </c>
      <c r="D10899" s="3">
        <v>1.0</v>
      </c>
    </row>
    <row r="10900" ht="15.75" customHeight="1">
      <c r="A10900" s="1">
        <v>11615.0</v>
      </c>
      <c r="B10900" s="3" t="s">
        <v>10424</v>
      </c>
      <c r="C10900" s="3" t="str">
        <f>IFERROR(__xludf.DUMMYFUNCTION("GOOGLETRANSLATE(B10900,""id"",""en"")"),"['Open', 'The application', 'like', 'really', 'Telkomsel', 'Open', 'Open', '']")</f>
        <v>['Open', 'The application', 'like', 'really', 'Telkomsel', 'Open', 'Open', '']</v>
      </c>
      <c r="D10900" s="3">
        <v>5.0</v>
      </c>
    </row>
    <row r="10901" ht="15.75" customHeight="1">
      <c r="A10901" s="1">
        <v>11616.0</v>
      </c>
      <c r="B10901" s="3" t="s">
        <v>10425</v>
      </c>
      <c r="C10901" s="3" t="str">
        <f>IFERROR(__xludf.DUMMYFUNCTION("GOOGLETRANSLATE(B10901,""id"",""en"")"),"['Knp', 'right', 'open', 'Telkomsel', 'blank', 'white', 'truss',' sek ',' hrs', 'replace', 'potato', 'ksh', ' star', '']")</f>
        <v>['Knp', 'right', 'open', 'Telkomsel', 'blank', 'white', 'truss',' sek ',' hrs', 'replace', 'potato', 'ksh', ' star', '']</v>
      </c>
      <c r="D10901" s="3">
        <v>1.0</v>
      </c>
    </row>
    <row r="10902" ht="15.75" customHeight="1">
      <c r="A10902" s="1">
        <v>11617.0</v>
      </c>
      <c r="B10902" s="3" t="s">
        <v>10426</v>
      </c>
      <c r="C10902" s="3" t="str">
        <f>IFERROR(__xludf.DUMMYFUNCTION("GOOGLETRANSLATE(B10902,""id"",""en"")"),"['save', 'good']")</f>
        <v>['save', 'good']</v>
      </c>
      <c r="D10902" s="3">
        <v>5.0</v>
      </c>
    </row>
    <row r="10903" ht="15.75" customHeight="1">
      <c r="A10903" s="1">
        <v>11618.0</v>
      </c>
      <c r="B10903" s="3" t="s">
        <v>10427</v>
      </c>
      <c r="C10903" s="3" t="str">
        <f>IFERROR(__xludf.DUMMYFUNCTION("GOOGLETRANSLATE(B10903,""id"",""en"")"),"['Download', 'opened', 'screen', 'white', 'look']")</f>
        <v>['Download', 'opened', 'screen', 'white', 'look']</v>
      </c>
      <c r="D10903" s="3">
        <v>1.0</v>
      </c>
    </row>
    <row r="10904" ht="15.75" customHeight="1">
      <c r="A10904" s="1">
        <v>11619.0</v>
      </c>
      <c r="B10904" s="3" t="s">
        <v>10428</v>
      </c>
      <c r="C10904" s="3" t="str">
        <f>IFERROR(__xludf.DUMMYFUNCTION("GOOGLETRANSLATE(B10904,""id"",""en"")"),"['Daily', 'check out', 'full', 'program', 'repeated']")</f>
        <v>['Daily', 'check out', 'full', 'program', 'repeated']</v>
      </c>
      <c r="D10904" s="3">
        <v>3.0</v>
      </c>
    </row>
    <row r="10905" ht="15.75" customHeight="1">
      <c r="A10905" s="1">
        <v>11620.0</v>
      </c>
      <c r="B10905" s="3" t="s">
        <v>10429</v>
      </c>
      <c r="C10905" s="3" t="str">
        <f>IFERROR(__xludf.DUMMYFUNCTION("GOOGLETRANSLATE(B10905,""id"",""en"")"),"['Register', 'number', 'Must', 'Posts', 'number', 'Please', 'Enter', 'Please', 'Improvement', 'Want', 'Register', 'Nomer']")</f>
        <v>['Register', 'number', 'Must', 'Posts', 'number', 'Please', 'Enter', 'Please', 'Improvement', 'Want', 'Register', 'Nomer']</v>
      </c>
      <c r="D10905" s="3">
        <v>4.0</v>
      </c>
    </row>
    <row r="10906" ht="15.75" customHeight="1">
      <c r="A10906" s="1">
        <v>11622.0</v>
      </c>
      <c r="B10906" s="3" t="s">
        <v>10430</v>
      </c>
      <c r="C10906" s="3" t="str">
        <f>IFERROR(__xludf.DUMMYFUNCTION("GOOGLETRANSLATE(B10906,""id"",""en"")"),"['expected', 'Telkomsel', 'open', 'service', 'migration', 'card', 'post', 'pay', 'card', 'prepaid', 'migration', 'card', ' Telkomsel ',' card ',' Hello ',' Sales', 'tell', 'card', 'Hello', 'do', 'migration', 'prepaid', 'Telkomsel', 'wise', 'customer' , 'c"&amp;"omfortable']")</f>
        <v>['expected', 'Telkomsel', 'open', 'service', 'migration', 'card', 'post', 'pay', 'card', 'prepaid', 'migration', 'card', ' Telkomsel ',' card ',' Hello ',' Sales', 'tell', 'card', 'Hello', 'do', 'migration', 'prepaid', 'Telkomsel', 'wise', 'customer' , 'comfortable']</v>
      </c>
      <c r="D10906" s="3">
        <v>5.0</v>
      </c>
    </row>
    <row r="10907" ht="15.75" customHeight="1">
      <c r="A10907" s="1">
        <v>11623.0</v>
      </c>
      <c r="B10907" s="3" t="s">
        <v>10431</v>
      </c>
      <c r="C10907" s="3" t="str">
        <f>IFERROR(__xludf.DUMMYFUNCTION("GOOGLETRANSLATE(B10907,""id"",""en"")"),"['Sya', 'love', 'star', 'spends',' money ',' plus', 'internet', 'ugly', 'please', 'repaired', 'thank', ' ']")</f>
        <v>['Sya', 'love', 'star', 'spends',' money ',' plus', 'internet', 'ugly', 'please', 'repaired', 'thank', ' ']</v>
      </c>
      <c r="D10907" s="3">
        <v>3.0</v>
      </c>
    </row>
    <row r="10908" ht="15.75" customHeight="1">
      <c r="A10908" s="1">
        <v>11624.0</v>
      </c>
      <c r="B10908" s="3" t="s">
        <v>10432</v>
      </c>
      <c r="C10908" s="3" t="str">
        <f>IFERROR(__xludf.DUMMYFUNCTION("GOOGLETRANSLATE(B10908,""id"",""en"")"),"['Telkomsel', 'semalem', 'signal', 'slow', 'really', 'gapernah', 'ever', 'disorder', 'please', 'repair', ""]")</f>
        <v>['Telkomsel', 'semalem', 'signal', 'slow', 'really', 'gapernah', 'ever', 'disorder', 'please', 'repair', "]</v>
      </c>
      <c r="D10908" s="3">
        <v>3.0</v>
      </c>
    </row>
    <row r="10909" ht="15.75" customHeight="1">
      <c r="A10909" s="1">
        <v>11625.0</v>
      </c>
      <c r="B10909" s="3" t="s">
        <v>10433</v>
      </c>
      <c r="C10909" s="3" t="str">
        <f>IFERROR(__xludf.DUMMYFUNCTION("GOOGLETRANSLATE(B10909,""id"",""en"")"),"['Telkomsel', 'smooth', 'Jaya', '']")</f>
        <v>['Telkomsel', 'smooth', 'Jaya', '']</v>
      </c>
      <c r="D10909" s="3">
        <v>5.0</v>
      </c>
    </row>
    <row r="10910" ht="15.75" customHeight="1">
      <c r="A10910" s="1">
        <v>11626.0</v>
      </c>
      <c r="B10910" s="3" t="s">
        <v>10434</v>
      </c>
      <c r="C10910" s="3" t="str">
        <f>IFERROR(__xludf.DUMMYFUNCTION("GOOGLETRANSLATE(B10910,""id"",""en"")"),"['run out', 'upgrade', 'the application', 'no', 'bsa', 'open', 'bngke', 'bnr', '']")</f>
        <v>['run out', 'upgrade', 'the application', 'no', 'bsa', 'open', 'bngke', 'bnr', '']</v>
      </c>
      <c r="D10910" s="3">
        <v>1.0</v>
      </c>
    </row>
    <row r="10911" ht="15.75" customHeight="1">
      <c r="A10911" s="1">
        <v>11628.0</v>
      </c>
      <c r="B10911" s="3" t="s">
        <v>10435</v>
      </c>
      <c r="C10911" s="3" t="str">
        <f>IFERROR(__xludf.DUMMYFUNCTION("GOOGLETRANSLATE(B10911,""id"",""en"")"),"['failed', 'login', 'no', 'already', 'delete', 'cache', 'tetep', 'updated', 'mulu', 'yes',' updated ',' the application ',' ',' Veronika ',' no ',' useful ',' chat ',' replied ',' template ',' Mulu ', ""]")</f>
        <v>['failed', 'login', 'no', 'already', 'delete', 'cache', 'tetep', 'updated', 'mulu', 'yes',' updated ',' the application ',' ',' Veronika ',' no ',' useful ',' chat ',' replied ',' template ',' Mulu ', "]</v>
      </c>
      <c r="D10911" s="3">
        <v>1.0</v>
      </c>
    </row>
    <row r="10912" ht="15.75" customHeight="1">
      <c r="A10912" s="1">
        <v>11629.0</v>
      </c>
      <c r="B10912" s="3" t="s">
        <v>10436</v>
      </c>
      <c r="C10912" s="3" t="str">
        <f>IFERROR(__xludf.DUMMYFUNCTION("GOOGLETRANSLATE(B10912,""id"",""en"")"),"['Knpa', 'Exchange', 'Points']")</f>
        <v>['Knpa', 'Exchange', 'Points']</v>
      </c>
      <c r="D10912" s="3">
        <v>1.0</v>
      </c>
    </row>
    <row r="10913" ht="15.75" customHeight="1">
      <c r="A10913" s="1">
        <v>11630.0</v>
      </c>
      <c r="B10913" s="3" t="s">
        <v>10437</v>
      </c>
      <c r="C10913" s="3" t="str">
        <f>IFERROR(__xludf.DUMMYFUNCTION("GOOGLETRANSLATE(B10913,""id"",""en"")"),"['Easy', 'Understand']")</f>
        <v>['Easy', 'Understand']</v>
      </c>
      <c r="D10913" s="3">
        <v>5.0</v>
      </c>
    </row>
    <row r="10914" ht="15.75" customHeight="1">
      <c r="A10914" s="1">
        <v>11631.0</v>
      </c>
      <c r="B10914" s="3" t="s">
        <v>10438</v>
      </c>
      <c r="C10914" s="3" t="str">
        <f>IFERROR(__xludf.DUMMYFUNCTION("GOOGLETRANSLATE(B10914,""id"",""en"")"),"['UDH', 'bbrpa', 'every time', 'open', 'appears',' screen ',' white ',' buy ',' package ',' difficult ',' bngt ',' brpa ',' Bgini ',' ']")</f>
        <v>['UDH', 'bbrpa', 'every time', 'open', 'appears',' screen ',' white ',' buy ',' package ',' difficult ',' bngt ',' brpa ',' Bgini ',' ']</v>
      </c>
      <c r="D10914" s="3">
        <v>1.0</v>
      </c>
    </row>
    <row r="10915" ht="15.75" customHeight="1">
      <c r="A10915" s="1">
        <v>11632.0</v>
      </c>
      <c r="B10915" s="3" t="s">
        <v>10439</v>
      </c>
      <c r="C10915" s="3" t="str">
        <f>IFERROR(__xludf.DUMMYFUNCTION("GOOGLETRANSLATE(B10915,""id"",""en"")"),"['variants', 'combo', 'byk']")</f>
        <v>['variants', 'combo', 'byk']</v>
      </c>
      <c r="D10915" s="3">
        <v>4.0</v>
      </c>
    </row>
    <row r="10916" ht="15.75" customHeight="1">
      <c r="A10916" s="1">
        <v>11633.0</v>
      </c>
      <c r="B10916" s="3" t="s">
        <v>10440</v>
      </c>
      <c r="C10916" s="3" t="str">
        <f>IFERROR(__xludf.DUMMYFUNCTION("GOOGLETRANSLATE(B10916,""id"",""en"")"),"['Try', 'okay', 'good', 'enhanced', 'APK', 'service']")</f>
        <v>['Try', 'okay', 'good', 'enhanced', 'APK', 'service']</v>
      </c>
      <c r="D10916" s="3">
        <v>3.0</v>
      </c>
    </row>
    <row r="10917" ht="15.75" customHeight="1">
      <c r="A10917" s="1">
        <v>11634.0</v>
      </c>
      <c r="B10917" s="3" t="s">
        <v>10441</v>
      </c>
      <c r="C10917" s="3" t="str">
        <f>IFERROR(__xludf.DUMMYFUNCTION("GOOGLETRANSLATE(B10917,""id"",""en"")"),"['Increase', 'Tuk', 'Region', 'Tasik', 'Malaya']")</f>
        <v>['Increase', 'Tuk', 'Region', 'Tasik', 'Malaya']</v>
      </c>
      <c r="D10917" s="3">
        <v>5.0</v>
      </c>
    </row>
    <row r="10918" ht="15.75" customHeight="1">
      <c r="A10918" s="1">
        <v>11635.0</v>
      </c>
      <c r="B10918" s="3" t="s">
        <v>10442</v>
      </c>
      <c r="C10918" s="3" t="str">
        <f>IFERROR(__xludf.DUMMYFUNCTION("GOOGLETRANSLATE(B10918,""id"",""en"")"),"['Happy']")</f>
        <v>['Happy']</v>
      </c>
      <c r="D10918" s="3">
        <v>5.0</v>
      </c>
    </row>
    <row r="10919" ht="15.75" customHeight="1">
      <c r="A10919" s="1">
        <v>11636.0</v>
      </c>
      <c r="B10919" s="3" t="s">
        <v>1294</v>
      </c>
      <c r="C10919" s="3" t="str">
        <f>IFERROR(__xludf.DUMMYFUNCTION("GOOGLETRANSLATE(B10919,""id"",""en"")"),"['APK', 'Help']")</f>
        <v>['APK', 'Help']</v>
      </c>
      <c r="D10919" s="3">
        <v>5.0</v>
      </c>
    </row>
    <row r="10920" ht="15.75" customHeight="1">
      <c r="A10920" s="1">
        <v>11637.0</v>
      </c>
      <c r="B10920" s="3" t="s">
        <v>10443</v>
      </c>
      <c r="C10920" s="3" t="str">
        <f>IFERROR(__xludf.DUMMYFUNCTION("GOOGLETRANSLATE(B10920,""id"",""en"")"),"['walk']")</f>
        <v>['walk']</v>
      </c>
      <c r="D10920" s="3">
        <v>5.0</v>
      </c>
    </row>
    <row r="10921" ht="15.75" customHeight="1">
      <c r="A10921" s="1">
        <v>11638.0</v>
      </c>
      <c r="B10921" s="3" t="s">
        <v>10444</v>
      </c>
      <c r="C10921" s="3" t="str">
        <f>IFERROR(__xludf.DUMMYFUNCTION("GOOGLETRANSLATE(B10921,""id"",""en"")"),"['Credit', 'Cut', 'Abis',' Use ',' WiFi ',' Please ',' Adin ',' Feature ',' Key ',' Credit ',' Min ',' Credit ',' Nastling ',' Lost ',' Next ',' Apps', 'Lock', 'Lock', 'Credit', 'Was',' Credit ',' Ngilan ', ""]")</f>
        <v>['Credit', 'Cut', 'Abis',' Use ',' WiFi ',' Please ',' Adin ',' Feature ',' Key ',' Credit ',' Min ',' Credit ',' Nastling ',' Lost ',' Next ',' Apps', 'Lock', 'Lock', 'Credit', 'Was',' Credit ',' Ngilan ', "]</v>
      </c>
      <c r="D10921" s="3">
        <v>1.0</v>
      </c>
    </row>
    <row r="10922" ht="15.75" customHeight="1">
      <c r="A10922" s="1">
        <v>11639.0</v>
      </c>
      <c r="B10922" s="3" t="s">
        <v>10445</v>
      </c>
      <c r="C10922" s="3" t="str">
        <f>IFERROR(__xludf.DUMMYFUNCTION("GOOGLETRANSLATE(B10922,""id"",""en"")"),"['Simple', 'easy']")</f>
        <v>['Simple', 'easy']</v>
      </c>
      <c r="D10922" s="3">
        <v>5.0</v>
      </c>
    </row>
    <row r="10923" ht="15.75" customHeight="1">
      <c r="A10923" s="1">
        <v>11640.0</v>
      </c>
      <c r="B10923" s="3" t="s">
        <v>10446</v>
      </c>
      <c r="C10923" s="3" t="str">
        <f>IFERROR(__xludf.DUMMYFUNCTION("GOOGLETRANSLATE(B10923,""id"",""en"")"),"['regret', 'buy', 'package', 'internet', 'night', 'balance', 'already', 'cheek', 'transaction', 'already', 'success',' printed ',' Package ',' internet ']")</f>
        <v>['regret', 'buy', 'package', 'internet', 'night', 'balance', 'already', 'cheek', 'transaction', 'already', 'success',' printed ',' Package ',' internet ']</v>
      </c>
      <c r="D10923" s="3">
        <v>1.0</v>
      </c>
    </row>
    <row r="10924" ht="15.75" customHeight="1">
      <c r="A10924" s="1">
        <v>11641.0</v>
      </c>
      <c r="B10924" s="3" t="s">
        <v>10447</v>
      </c>
      <c r="C10924" s="3" t="str">
        <f>IFERROR(__xludf.DUMMYFUNCTION("GOOGLETRANSLATE(B10924,""id"",""en"")"),"['steady', 'save', 'buy', 'data']")</f>
        <v>['steady', 'save', 'buy', 'data']</v>
      </c>
      <c r="D10924" s="3">
        <v>4.0</v>
      </c>
    </row>
    <row r="10925" ht="15.75" customHeight="1">
      <c r="A10925" s="1">
        <v>11642.0</v>
      </c>
      <c r="B10925" s="3" t="s">
        <v>10448</v>
      </c>
      <c r="C10925" s="3" t="str">
        <f>IFERROR(__xludf.DUMMYFUNCTION("GOOGLETRANSLATE(B10925,""id"",""en"")"),"['buy', 'package', 'data', 'quota', 'enter', 'money', 'reduced', 'complain', 'compliabet', 'return', 'money']")</f>
        <v>['buy', 'package', 'data', 'quota', 'enter', 'money', 'reduced', 'complain', 'compliabet', 'return', 'money']</v>
      </c>
      <c r="D10925" s="3">
        <v>1.0</v>
      </c>
    </row>
    <row r="10926" ht="15.75" customHeight="1">
      <c r="A10926" s="1">
        <v>11643.0</v>
      </c>
      <c r="B10926" s="3" t="s">
        <v>10449</v>
      </c>
      <c r="C10926" s="3" t="str">
        <f>IFERROR(__xludf.DUMMYFUNCTION("GOOGLETRANSLATE(B10926,""id"",""en"")"),"['Fast', 'comfortable']")</f>
        <v>['Fast', 'comfortable']</v>
      </c>
      <c r="D10926" s="3">
        <v>5.0</v>
      </c>
    </row>
    <row r="10927" ht="15.75" customHeight="1">
      <c r="A10927" s="1">
        <v>11644.0</v>
      </c>
      <c r="B10927" s="3" t="s">
        <v>10450</v>
      </c>
      <c r="C10927" s="3" t="str">
        <f>IFERROR(__xludf.DUMMYFUNCTION("GOOGLETRANSLATE(B10927,""id"",""en"")"),"['Telkomsel', 'help', 'finish', 'work', 'online', 'signal', 'strong', ""]")</f>
        <v>['Telkomsel', 'help', 'finish', 'work', 'online', 'signal', 'strong', "]</v>
      </c>
      <c r="D10927" s="3">
        <v>5.0</v>
      </c>
    </row>
    <row r="10928" ht="15.75" customHeight="1">
      <c r="A10928" s="1">
        <v>11645.0</v>
      </c>
      <c r="B10928" s="3" t="s">
        <v>10451</v>
      </c>
      <c r="C10928" s="3" t="str">
        <f>IFERROR(__xludf.DUMMYFUNCTION("GOOGLETRANSLATE(B10928,""id"",""en"")"),"['Good', 'makes it easy', 'manage', 'purchase', 'use', 'pulse', 'data']")</f>
        <v>['Good', 'makes it easy', 'manage', 'purchase', 'use', 'pulse', 'data']</v>
      </c>
      <c r="D10928" s="3">
        <v>5.0</v>
      </c>
    </row>
    <row r="10929" ht="15.75" customHeight="1">
      <c r="A10929" s="1">
        <v>11646.0</v>
      </c>
      <c r="B10929" s="3" t="s">
        <v>10452</v>
      </c>
      <c r="C10929" s="3" t="str">
        <f>IFERROR(__xludf.DUMMYFUNCTION("GOOGLETRANSLATE(B10929,""id"",""en"")"),"['please', 'Telkomsel', 'repaired', 'quality', 'network', 'bandrol', 'price', 'expensive', 'internet', 'slow', 'really', 'switch', ' operator']")</f>
        <v>['please', 'Telkomsel', 'repaired', 'quality', 'network', 'bandrol', 'price', 'expensive', 'internet', 'slow', 'really', 'switch', ' operator']</v>
      </c>
      <c r="D10929" s="3">
        <v>1.0</v>
      </c>
    </row>
    <row r="10930" ht="15.75" customHeight="1">
      <c r="A10930" s="1">
        <v>11647.0</v>
      </c>
      <c r="B10930" s="3" t="s">
        <v>10453</v>
      </c>
      <c r="C10930" s="3" t="str">
        <f>IFERROR(__xludf.DUMMYFUNCTION("GOOGLETRANSLATE(B10930,""id"",""en"")"),"['apdate', 'open']")</f>
        <v>['apdate', 'open']</v>
      </c>
      <c r="D10930" s="3">
        <v>5.0</v>
      </c>
    </row>
    <row r="10931" ht="15.75" customHeight="1">
      <c r="A10931" s="1">
        <v>11648.0</v>
      </c>
      <c r="B10931" s="3" t="s">
        <v>10454</v>
      </c>
      <c r="C10931" s="3" t="str">
        <f>IFERROR(__xludf.DUMMYFUNCTION("GOOGLETRANSLATE(B10931,""id"",""en"")"),"['accessed']")</f>
        <v>['accessed']</v>
      </c>
      <c r="D10931" s="3">
        <v>1.0</v>
      </c>
    </row>
    <row r="10932" ht="15.75" customHeight="1">
      <c r="A10932" s="1">
        <v>11649.0</v>
      </c>
      <c r="B10932" s="3" t="s">
        <v>10455</v>
      </c>
      <c r="C10932" s="3" t="str">
        <f>IFERROR(__xludf.DUMMYFUNCTION("GOOGLETRANSLATE(B10932,""id"",""en"")"),"['Fun', 'Wear', 'Application', 'Telkomsel']")</f>
        <v>['Fun', 'Wear', 'Application', 'Telkomsel']</v>
      </c>
      <c r="D10932" s="3">
        <v>5.0</v>
      </c>
    </row>
    <row r="10933" ht="15.75" customHeight="1">
      <c r="A10933" s="1">
        <v>11650.0</v>
      </c>
      <c r="B10933" s="3" t="s">
        <v>10456</v>
      </c>
      <c r="C10933" s="3" t="str">
        <f>IFERROR(__xludf.DUMMYFUNCTION("GOOGLETRANSLATE(B10933,""id"",""en"")"),"['signal', 'ngirit']")</f>
        <v>['signal', 'ngirit']</v>
      </c>
      <c r="D10933" s="3">
        <v>3.0</v>
      </c>
    </row>
    <row r="10934" ht="15.75" customHeight="1">
      <c r="A10934" s="1">
        <v>11651.0</v>
      </c>
      <c r="B10934" s="3" t="s">
        <v>10457</v>
      </c>
      <c r="C10934" s="3" t="str">
        <f>IFERROR(__xludf.DUMMYFUNCTION("GOOGLETRANSLATE(B10934,""id"",""en"")"),"['already', 'update', 'good', 'application', 'Thanks', 'Telkomsel', 'already', 'gave', 'quota', 'price', 'cheap', ""]")</f>
        <v>['already', 'update', 'good', 'application', 'Thanks', 'Telkomsel', 'already', 'gave', 'quota', 'price', 'cheap', "]</v>
      </c>
      <c r="D10934" s="3">
        <v>5.0</v>
      </c>
    </row>
    <row r="10935" ht="15.75" customHeight="1">
      <c r="A10935" s="1">
        <v>11652.0</v>
      </c>
      <c r="B10935" s="3" t="s">
        <v>10458</v>
      </c>
      <c r="C10935" s="3" t="str">
        <f>IFERROR(__xludf.DUMMYFUNCTION("GOOGLETRANSLATE(B10935,""id"",""en"")"),"['subscribe', 'Telkomsel', 'already', 'berun', 'Taun', 'Telkomsel', ""]")</f>
        <v>['subscribe', 'Telkomsel', 'already', 'berun', 'Taun', 'Telkomsel', "]</v>
      </c>
      <c r="D10935" s="3">
        <v>5.0</v>
      </c>
    </row>
    <row r="10936" ht="15.75" customHeight="1">
      <c r="A10936" s="1">
        <v>11653.0</v>
      </c>
      <c r="B10936" s="3" t="s">
        <v>10459</v>
      </c>
      <c r="C10936" s="3" t="str">
        <f>IFERROR(__xludf.DUMMYFUNCTION("GOOGLETRANSLATE(B10936,""id"",""en"")"),"['', 'Telkomsel', 'collapsed', 'star', 'application', 'open', 'reinstall', 'resolved', 'open', 'blank', 'white', 'gmn', "" ]")</f>
        <v>['', 'Telkomsel', 'collapsed', 'star', 'application', 'open', 'reinstall', 'resolved', 'open', 'blank', 'white', 'gmn', " ]</v>
      </c>
      <c r="D10936" s="3">
        <v>1.0</v>
      </c>
    </row>
    <row r="10937" ht="15.75" customHeight="1">
      <c r="A10937" s="1">
        <v>11654.0</v>
      </c>
      <c r="B10937" s="3" t="s">
        <v>10460</v>
      </c>
      <c r="C10937" s="3" t="str">
        <f>IFERROR(__xludf.DUMMYFUNCTION("GOOGLETRANSLATE(B10937,""id"",""en"")"),"['application', 'Telkomsel', 'help', 'sometimes', 'heavy', ""]")</f>
        <v>['application', 'Telkomsel', 'help', 'sometimes', 'heavy', "]</v>
      </c>
      <c r="D10937" s="3">
        <v>4.0</v>
      </c>
    </row>
    <row r="10938" ht="15.75" customHeight="1">
      <c r="A10938" s="1">
        <v>11655.0</v>
      </c>
      <c r="B10938" s="3" t="s">
        <v>10461</v>
      </c>
      <c r="C10938" s="3" t="str">
        <f>IFERROR(__xludf.DUMMYFUNCTION("GOOGLETRANSLATE(B10938,""id"",""en"")"),"['Network', 'ugly', 'please', 'repaired']")</f>
        <v>['Network', 'ugly', 'please', 'repaired']</v>
      </c>
      <c r="D10938" s="3">
        <v>1.0</v>
      </c>
    </row>
    <row r="10939" ht="15.75" customHeight="1">
      <c r="A10939" s="1">
        <v>11656.0</v>
      </c>
      <c r="B10939" s="3" t="s">
        <v>10462</v>
      </c>
      <c r="C10939" s="3" t="str">
        <f>IFERROR(__xludf.DUMMYFUNCTION("GOOGLETRANSLATE(B10939,""id"",""en"")"),"['disappointed', 'system', 'service', 'payment', 'package', 'data', 'Rp', 'payment', 'gopay', 'managed', 'package', 'data', ' entry ',' noon ',' min ',' payment ',' package ',' data ',' GB ',' IDR ',' Gopay ',' name ',' Muliono ',' balance ',' Gopay ' , '"&amp;"Cutting', 'PKET', 'Data', 'Msih', 'Msuk', 'Yesterday', 'Process', 'Wait', 'TLP', 'Whasap', 'Response', 'That's' Mulu ',' Sya ',' loss', 'money', 'other', 'APK', 'bad', 'System', 'Severe']")</f>
        <v>['disappointed', 'system', 'service', 'payment', 'package', 'data', 'Rp', 'payment', 'gopay', 'managed', 'package', 'data', ' entry ',' noon ',' min ',' payment ',' package ',' data ',' GB ',' IDR ',' Gopay ',' name ',' Muliono ',' balance ',' Gopay ' , 'Cutting', 'PKET', 'Data', 'Msih', 'Msuk', 'Yesterday', 'Process', 'Wait', 'TLP', 'Whasap', 'Response', 'That's' Mulu ',' Sya ',' loss', 'money', 'other', 'APK', 'bad', 'System', 'Severe']</v>
      </c>
      <c r="D10939" s="3">
        <v>1.0</v>
      </c>
    </row>
    <row r="10940" ht="15.75" customHeight="1">
      <c r="A10940" s="1">
        <v>11658.0</v>
      </c>
      <c r="B10940" s="3" t="s">
        <v>712</v>
      </c>
      <c r="C10940" s="3" t="str">
        <f>IFERROR(__xludf.DUMMYFUNCTION("GOOGLETRANSLATE(B10940,""id"",""en"")"),"['comfortable']")</f>
        <v>['comfortable']</v>
      </c>
      <c r="D10940" s="3">
        <v>4.0</v>
      </c>
    </row>
    <row r="10941" ht="15.75" customHeight="1">
      <c r="A10941" s="1">
        <v>11660.0</v>
      </c>
      <c r="B10941" s="3" t="s">
        <v>10463</v>
      </c>
      <c r="C10941" s="3" t="str">
        <f>IFERROR(__xludf.DUMMYFUNCTION("GOOGLETRANSLATE(B10941,""id"",""en"")"),"['Open', 'application', 'restart', 'then', 'unistal', 'run out', 'install', 'reset', 'nge', 'blank', 'white', 'udh', ' Wait ',' clock ',' ttp ',' blank ',' white ',' beg ',' info ',' ']")</f>
        <v>['Open', 'application', 'restart', 'then', 'unistal', 'run out', 'install', 'reset', 'nge', 'blank', 'white', 'udh', ' Wait ',' clock ',' ttp ',' blank ',' white ',' beg ',' info ',' ']</v>
      </c>
      <c r="D10941" s="3">
        <v>3.0</v>
      </c>
    </row>
    <row r="10942" ht="15.75" customHeight="1">
      <c r="A10942" s="1">
        <v>11662.0</v>
      </c>
      <c r="B10942" s="3" t="s">
        <v>10464</v>
      </c>
      <c r="C10942" s="3" t="str">
        <f>IFERROR(__xludf.DUMMYFUNCTION("GOOGLETRANSLATE(B10942,""id"",""en"")"),"['making easier', 'charging', 'Package', 'pulse']")</f>
        <v>['making easier', 'charging', 'Package', 'pulse']</v>
      </c>
      <c r="D10942" s="3">
        <v>5.0</v>
      </c>
    </row>
    <row r="10943" ht="15.75" customHeight="1">
      <c r="A10943" s="1">
        <v>11663.0</v>
      </c>
      <c r="B10943" s="3" t="s">
        <v>10465</v>
      </c>
      <c r="C10943" s="3" t="str">
        <f>IFERROR(__xludf.DUMMYFUNCTION("GOOGLETRANSLATE(B10943,""id"",""en"")"),"['Just', 'Update', 'Open', 'Display', 'Screen', 'White', 'Try', 'Uninstall', 'Install', 'Please', 'repair', 'THX']")</f>
        <v>['Just', 'Update', 'Open', 'Display', 'Screen', 'White', 'Try', 'Uninstall', 'Install', 'Please', 'repair', 'THX']</v>
      </c>
      <c r="D10943" s="3">
        <v>1.0</v>
      </c>
    </row>
    <row r="10944" ht="15.75" customHeight="1">
      <c r="A10944" s="1">
        <v>11664.0</v>
      </c>
      <c r="B10944" s="3" t="s">
        <v>10466</v>
      </c>
      <c r="C10944" s="3" t="str">
        <f>IFERROR(__xludf.DUMMYFUNCTION("GOOGLETRANSLATE(B10944,""id"",""en"")"),"['Direct', 'kluar']")</f>
        <v>['Direct', 'kluar']</v>
      </c>
      <c r="D10944" s="3">
        <v>1.0</v>
      </c>
    </row>
    <row r="10945" ht="15.75" customHeight="1">
      <c r="A10945" s="1">
        <v>11665.0</v>
      </c>
      <c r="B10945" s="3" t="s">
        <v>10467</v>
      </c>
      <c r="C10945" s="3" t="str">
        <f>IFERROR(__xludf.DUMMYFUNCTION("GOOGLETRANSLATE(B10945,""id"",""en"")"),"['slow network']")</f>
        <v>['slow network']</v>
      </c>
      <c r="D10945" s="3">
        <v>4.0</v>
      </c>
    </row>
    <row r="10946" ht="15.75" customHeight="1">
      <c r="A10946" s="1">
        <v>11666.0</v>
      </c>
      <c r="B10946" s="3" t="s">
        <v>10468</v>
      </c>
      <c r="C10946" s="3" t="str">
        <f>IFERROR(__xludf.DUMMYFUNCTION("GOOGLETRANSLATE(B10946,""id"",""en"")"),"['buy', 'pulse', 'package', 'jdi', 'lbih', 'easy', '']")</f>
        <v>['buy', 'pulse', 'package', 'jdi', 'lbih', 'easy', '']</v>
      </c>
      <c r="D10946" s="3">
        <v>5.0</v>
      </c>
    </row>
    <row r="10947" ht="15.75" customHeight="1">
      <c r="A10947" s="1">
        <v>11667.0</v>
      </c>
      <c r="B10947" s="3" t="s">
        <v>10469</v>
      </c>
      <c r="C10947" s="3" t="str">
        <f>IFERROR(__xludf.DUMMYFUNCTION("GOOGLETRANSLATE(B10947,""id"",""en"")"),"['Benefit', 'Love', 'You']")</f>
        <v>['Benefit', 'Love', 'You']</v>
      </c>
      <c r="D10947" s="3">
        <v>5.0</v>
      </c>
    </row>
    <row r="10948" ht="15.75" customHeight="1">
      <c r="A10948" s="1">
        <v>11668.0</v>
      </c>
      <c r="B10948" s="3" t="s">
        <v>10470</v>
      </c>
      <c r="C10948" s="3" t="str">
        <f>IFERROR(__xludf.DUMMYFUNCTION("GOOGLETRANSLATE(B10948,""id"",""en"")"),"['SKR', 'Open', 'Application', 'Telkomsel', 'BYK', 'PROMO', 'Quota']")</f>
        <v>['SKR', 'Open', 'Application', 'Telkomsel', 'BYK', 'PROMO', 'Quota']</v>
      </c>
      <c r="D10948" s="3">
        <v>5.0</v>
      </c>
    </row>
    <row r="10949" ht="15.75" customHeight="1">
      <c r="A10949" s="1">
        <v>11669.0</v>
      </c>
      <c r="B10949" s="3" t="s">
        <v>10471</v>
      </c>
      <c r="C10949" s="3" t="str">
        <f>IFERROR(__xludf.DUMMYFUNCTION("GOOGLETRANSLATE(B10949,""id"",""en"")"),"['Nga', 'opened', 'Application', 'a week', 'signal', 'lost', 'heavy', 'condition', 'gave', 'star']")</f>
        <v>['Nga', 'opened', 'Application', 'a week', 'signal', 'lost', 'heavy', 'condition', 'gave', 'star']</v>
      </c>
      <c r="D10949" s="3">
        <v>1.0</v>
      </c>
    </row>
    <row r="10950" ht="15.75" customHeight="1">
      <c r="A10950" s="1">
        <v>11670.0</v>
      </c>
      <c r="B10950" s="3" t="s">
        <v>10472</v>
      </c>
      <c r="C10950" s="3" t="str">
        <f>IFERROR(__xludf.DUMMYFUNCTION("GOOGLETRANSLATE(B10950,""id"",""en"")"),"['Bakus', 'SAGAT', 'HELP']")</f>
        <v>['Bakus', 'SAGAT', 'HELP']</v>
      </c>
      <c r="D10950" s="3">
        <v>3.0</v>
      </c>
    </row>
    <row r="10951" ht="15.75" customHeight="1">
      <c r="A10951" s="1">
        <v>11671.0</v>
      </c>
      <c r="B10951" s="3" t="s">
        <v>10473</v>
      </c>
      <c r="C10951" s="3" t="str">
        <f>IFERROR(__xludf.DUMMYFUNCTION("GOOGLETRANSLATE(B10951,""id"",""en"")"),"['already', 'Tepah', 'Telkomsel', 'opened', ""]")</f>
        <v>['already', 'Tepah', 'Telkomsel', 'opened', "]</v>
      </c>
      <c r="D10951" s="3">
        <v>4.0</v>
      </c>
    </row>
    <row r="10952" ht="15.75" customHeight="1">
      <c r="A10952" s="1">
        <v>11672.0</v>
      </c>
      <c r="B10952" s="3" t="s">
        <v>10474</v>
      </c>
      <c r="C10952" s="3" t="str">
        <f>IFERROR(__xludf.DUMMYFUNCTION("GOOGLETRANSLATE(B10952,""id"",""en"")"),"['fast', 'internet', '']")</f>
        <v>['fast', 'internet', '']</v>
      </c>
      <c r="D10952" s="3">
        <v>5.0</v>
      </c>
    </row>
    <row r="10953" ht="15.75" customHeight="1">
      <c r="A10953" s="1">
        <v>11673.0</v>
      </c>
      <c r="B10953" s="3" t="s">
        <v>10475</v>
      </c>
      <c r="C10953" s="3" t="str">
        <f>IFERROR(__xludf.DUMMYFUNCTION("GOOGLETRANSLATE(B10953,""id"",""en"")"),"['Out', 'Update', 'Jdi', 'Enter', 'The Application', 'PDAVY', 'CECTIVE', 'Quota']")</f>
        <v>['Out', 'Update', 'Jdi', 'Enter', 'The Application', 'PDAVY', 'CECTIVE', 'Quota']</v>
      </c>
      <c r="D10953" s="3">
        <v>1.0</v>
      </c>
    </row>
    <row r="10954" ht="15.75" customHeight="1">
      <c r="A10954" s="1">
        <v>11674.0</v>
      </c>
      <c r="B10954" s="3" t="s">
        <v>10476</v>
      </c>
      <c r="C10954" s="3" t="str">
        <f>IFERROR(__xludf.DUMMYFUNCTION("GOOGLETRANSLATE(B10954,""id"",""en"")"),"['Application', 'NOT', 'makes it easier', 'make it difficult', 'right', 'Abis',' update ',' screen ',' jdi ',' white ',' open ',' the application ',' Android ',' Apasih ',' Want ',' ']")</f>
        <v>['Application', 'NOT', 'makes it easier', 'make it difficult', 'right', 'Abis',' update ',' screen ',' jdi ',' white ',' open ',' the application ',' Android ',' Apasih ',' Want ',' ']</v>
      </c>
      <c r="D10954" s="3">
        <v>1.0</v>
      </c>
    </row>
    <row r="10955" ht="15.75" customHeight="1">
      <c r="A10955" s="1">
        <v>11675.0</v>
      </c>
      <c r="B10955" s="3" t="s">
        <v>10477</v>
      </c>
      <c r="C10955" s="3" t="str">
        <f>IFERROR(__xludf.DUMMYFUNCTION("GOOGLETRANSLATE(B10955,""id"",""en"")"),"['Open', 'The application', 'whitehhh', ""]")</f>
        <v>['Open', 'The application', 'whitehhh', "]</v>
      </c>
      <c r="D10955" s="3">
        <v>1.0</v>
      </c>
    </row>
    <row r="10956" ht="15.75" customHeight="1">
      <c r="A10956" s="1">
        <v>11676.0</v>
      </c>
      <c r="B10956" s="3" t="s">
        <v>10478</v>
      </c>
      <c r="C10956" s="3" t="str">
        <f>IFERROR(__xludf.DUMMYFUNCTION("GOOGLETRANSLATE(B10956,""id"",""en"")"),"['Login', 'Telkomsel', 'Lazy', 'Use', 'App', 'Telkomsel']")</f>
        <v>['Login', 'Telkomsel', 'Lazy', 'Use', 'App', 'Telkomsel']</v>
      </c>
      <c r="D10956" s="3">
        <v>5.0</v>
      </c>
    </row>
    <row r="10957" ht="15.75" customHeight="1">
      <c r="A10957" s="1">
        <v>11677.0</v>
      </c>
      <c r="B10957" s="3" t="s">
        <v>10479</v>
      </c>
      <c r="C10957" s="3" t="str">
        <f>IFERROR(__xludf.DUMMYFUNCTION("GOOGLETRANSLATE(B10957,""id"",""en"")"),"['Telkomsel', 'go', '']")</f>
        <v>['Telkomsel', 'go', '']</v>
      </c>
      <c r="D10957" s="3">
        <v>5.0</v>
      </c>
    </row>
    <row r="10958" ht="15.75" customHeight="1">
      <c r="A10958" s="1">
        <v>11678.0</v>
      </c>
      <c r="B10958" s="3" t="s">
        <v>10480</v>
      </c>
      <c r="C10958" s="3" t="str">
        <f>IFERROR(__xludf.DUMMYFUNCTION("GOOGLETRANSLATE(B10958,""id"",""en"")"),"['The application', 'UDH', 'Telkomsel', 'screen', 'white', 'Doank', 'UDH', 'updated', 'Install', 'reset', 'TTP', 'Gini', ' Disappointing ',' Nie ',' Need ',' Dipake ',' ']")</f>
        <v>['The application', 'UDH', 'Telkomsel', 'screen', 'white', 'Doank', 'UDH', 'updated', 'Install', 'reset', 'TTP', 'Gini', ' Disappointing ',' Nie ',' Need ',' Dipake ',' ']</v>
      </c>
      <c r="D10958" s="3">
        <v>1.0</v>
      </c>
    </row>
    <row r="10959" ht="15.75" customHeight="1">
      <c r="A10959" s="1">
        <v>11679.0</v>
      </c>
      <c r="B10959" s="3" t="s">
        <v>10481</v>
      </c>
      <c r="C10959" s="3" t="str">
        <f>IFERROR(__xludf.DUMMYFUNCTION("GOOGLETRANSLATE(B10959,""id"",""en"")"),"['application', 'opened', 'transaction']")</f>
        <v>['application', 'opened', 'transaction']</v>
      </c>
      <c r="D10959" s="3">
        <v>1.0</v>
      </c>
    </row>
    <row r="10960" ht="15.75" customHeight="1">
      <c r="A10960" s="1">
        <v>11680.0</v>
      </c>
      <c r="B10960" s="3" t="s">
        <v>10482</v>
      </c>
      <c r="C10960" s="3" t="str">
        <f>IFERROR(__xludf.DUMMYFUNCTION("GOOGLETRANSLATE(B10960,""id"",""en"")"),"['Please', 'donk', 'Telkomsel', 'already', 'daily', 'open', 'appears',' screen ',' white ',' already ',' uninstall ',' tetep ',' Screen ',' White ',' appears', 'Please', 'Help', ""]")</f>
        <v>['Please', 'donk', 'Telkomsel', 'already', 'daily', 'open', 'appears',' screen ',' white ',' already ',' uninstall ',' tetep ',' Screen ',' White ',' appears', 'Please', 'Help', "]</v>
      </c>
      <c r="D10960" s="3">
        <v>3.0</v>
      </c>
    </row>
    <row r="10961" ht="15.75" customHeight="1">
      <c r="A10961" s="1">
        <v>11681.0</v>
      </c>
      <c r="B10961" s="3" t="s">
        <v>10483</v>
      </c>
      <c r="C10961" s="3" t="str">
        <f>IFERROR(__xludf.DUMMYFUNCTION("GOOGLETRANSLATE(B10961,""id"",""en"")"),"['Plosok', 'country', 'your eyes', 'signal']")</f>
        <v>['Plosok', 'country', 'your eyes', 'signal']</v>
      </c>
      <c r="D10961" s="3">
        <v>1.0</v>
      </c>
    </row>
    <row r="10962" ht="15.75" customHeight="1">
      <c r="A10962" s="1">
        <v>11682.0</v>
      </c>
      <c r="B10962" s="3" t="s">
        <v>10484</v>
      </c>
      <c r="C10962" s="3" t="str">
        <f>IFERROR(__xludf.DUMMYFUNCTION("GOOGLETRANSLATE(B10962,""id"",""en"")"),"['Life', 'fun', 'Telkomsel']")</f>
        <v>['Life', 'fun', 'Telkomsel']</v>
      </c>
      <c r="D10962" s="3">
        <v>5.0</v>
      </c>
    </row>
    <row r="10963" ht="15.75" customHeight="1">
      <c r="A10963" s="1">
        <v>11683.0</v>
      </c>
      <c r="B10963" s="3" t="s">
        <v>10485</v>
      </c>
      <c r="C10963" s="3" t="str">
        <f>IFERROR(__xludf.DUMMYFUNCTION("GOOGLETRANSLATE(B10963,""id"",""en"")"),"['It's easy', 'access', 'information', 'anything', 'TNTG', 'World', 'Telkomsel']")</f>
        <v>['It's easy', 'access', 'information', 'anything', 'TNTG', 'World', 'Telkomsel']</v>
      </c>
      <c r="D10963" s="3">
        <v>5.0</v>
      </c>
    </row>
    <row r="10964" ht="15.75" customHeight="1">
      <c r="A10964" s="1">
        <v>11684.0</v>
      </c>
      <c r="B10964" s="3" t="s">
        <v>10486</v>
      </c>
      <c r="C10964" s="3" t="str">
        <f>IFERROR(__xludf.DUMMYFUNCTION("GOOGLETRANSLATE(B10964,""id"",""en"")"),"['Telkomsel', 'open', 'really', 'already', 'buy', 'pulse', 'package', 'internet', 'Telkomsel', 'open', 'please', 'quality', ' Enhanced ',' ']")</f>
        <v>['Telkomsel', 'open', 'really', 'already', 'buy', 'pulse', 'package', 'internet', 'Telkomsel', 'open', 'please', 'quality', ' Enhanced ',' ']</v>
      </c>
      <c r="D10964" s="3">
        <v>1.0</v>
      </c>
    </row>
    <row r="10965" ht="15.75" customHeight="1">
      <c r="A10965" s="1">
        <v>11685.0</v>
      </c>
      <c r="B10965" s="3" t="s">
        <v>10487</v>
      </c>
      <c r="C10965" s="3" t="str">
        <f>IFERROR(__xludf.DUMMYFUNCTION("GOOGLETRANSLATE(B10965,""id"",""en"")"),"['center', 'screen', 'white', 'please', 'check', 'compatible', 'application', 'type', 'Android', 'check', 'transaction', 'MyTelkomsel', ' ']")</f>
        <v>['center', 'screen', 'white', 'please', 'check', 'compatible', 'application', 'type', 'Android', 'check', 'transaction', 'MyTelkomsel', ' ']</v>
      </c>
      <c r="D10965" s="3">
        <v>1.0</v>
      </c>
    </row>
    <row r="10966" ht="15.75" customHeight="1">
      <c r="A10966" s="1">
        <v>11686.0</v>
      </c>
      <c r="B10966" s="3" t="s">
        <v>10488</v>
      </c>
      <c r="C10966" s="3" t="str">
        <f>IFERROR(__xludf.DUMMYFUNCTION("GOOGLETRANSLATE(B10966,""id"",""en"")"),"['application', 'gqk', 'open', 'open', 'blank', 'white', 'uda', 'try', 'delete', 'install', 'blank', 'white', ' Open ',' telephone ',' solution ']")</f>
        <v>['application', 'gqk', 'open', 'open', 'blank', 'white', 'uda', 'try', 'delete', 'install', 'blank', 'white', ' Open ',' telephone ',' solution ']</v>
      </c>
      <c r="D10966" s="3">
        <v>1.0</v>
      </c>
    </row>
    <row r="10967" ht="15.75" customHeight="1">
      <c r="A10967" s="1">
        <v>11687.0</v>
      </c>
      <c r="B10967" s="3" t="s">
        <v>10489</v>
      </c>
      <c r="C10967" s="3" t="str">
        <f>IFERROR(__xludf.DUMMYFUNCTION("GOOGLETRANSLATE(B10967,""id"",""en"")"),"['Application', 'Telkomsel', 'update', 'opened', 'purpose', 'use', 'application', 'makes it easy', 'troubles', ""]")</f>
        <v>['Application', 'Telkomsel', 'update', 'opened', 'purpose', 'use', 'application', 'makes it easy', 'troubles', "]</v>
      </c>
      <c r="D10967" s="3">
        <v>1.0</v>
      </c>
    </row>
    <row r="10968" ht="15.75" customHeight="1">
      <c r="A10968" s="1">
        <v>11688.0</v>
      </c>
      <c r="B10968" s="3" t="s">
        <v>10490</v>
      </c>
      <c r="C10968" s="3" t="str">
        <f>IFERROR(__xludf.DUMMYFUNCTION("GOOGLETRANSLATE(B10968,""id"",""en"")"),"['Good', 'Package', 'Unlimited', 'Open', 'Instagram', 'Min', '']")</f>
        <v>['Good', 'Package', 'Unlimited', 'Open', 'Instagram', 'Min', '']</v>
      </c>
      <c r="D10968" s="3">
        <v>5.0</v>
      </c>
    </row>
    <row r="10969" ht="15.75" customHeight="1">
      <c r="A10969" s="1">
        <v>11689.0</v>
      </c>
      <c r="B10969" s="3" t="s">
        <v>10491</v>
      </c>
      <c r="C10969" s="3" t="str">
        <f>IFERROR(__xludf.DUMMYFUNCTION("GOOGLETRANSLATE(B10969,""id"",""en"")"),"['Telkomsel', 'Please', 'Restore', 'Credit', 'Rb', 'Cut', 'Morning', 'Clock', 'Package', 'MB', 'Bener', 'Disappointed', ' ']")</f>
        <v>['Telkomsel', 'Please', 'Restore', 'Credit', 'Rb', 'Cut', 'Morning', 'Clock', 'Package', 'MB', 'Bener', 'Disappointed', ' ']</v>
      </c>
      <c r="D10969" s="3">
        <v>1.0</v>
      </c>
    </row>
    <row r="10970" ht="15.75" customHeight="1">
      <c r="A10970" s="1">
        <v>11690.0</v>
      </c>
      <c r="B10970" s="3" t="s">
        <v>10492</v>
      </c>
      <c r="C10970" s="3" t="str">
        <f>IFERROR(__xludf.DUMMYFUNCTION("GOOGLETRANSLATE(B10970,""id"",""en"")"),"['boss']")</f>
        <v>['boss']</v>
      </c>
      <c r="D10970" s="3">
        <v>5.0</v>
      </c>
    </row>
    <row r="10971" ht="15.75" customHeight="1">
      <c r="A10971" s="1">
        <v>11691.0</v>
      </c>
      <c r="B10971" s="3" t="s">
        <v>10493</v>
      </c>
      <c r="C10971" s="3" t="str">
        <f>IFERROR(__xludf.DUMMYFUNCTION("GOOGLETRANSLATE(B10971,""id"",""en"")"),"['', 'application']")</f>
        <v>['', 'application']</v>
      </c>
      <c r="D10971" s="3">
        <v>1.0</v>
      </c>
    </row>
    <row r="10972" ht="15.75" customHeight="1">
      <c r="A10972" s="1">
        <v>11692.0</v>
      </c>
      <c r="B10972" s="3" t="s">
        <v>10494</v>
      </c>
      <c r="C10972" s="3" t="str">
        <f>IFERROR(__xludf.DUMMYFUNCTION("GOOGLETRANSLATE(B10972,""id"",""en"")"),"['Network', 'anciuur', 'open', 'slow', 'ampunnnnnn', 'forgiveness']")</f>
        <v>['Network', 'anciuur', 'open', 'slow', 'ampunnnnnn', 'forgiveness']</v>
      </c>
      <c r="D10972" s="3">
        <v>3.0</v>
      </c>
    </row>
    <row r="10973" ht="15.75" customHeight="1">
      <c r="A10973" s="1">
        <v>11693.0</v>
      </c>
      <c r="B10973" s="3" t="s">
        <v>10495</v>
      </c>
      <c r="C10973" s="3" t="str">
        <f>IFERROR(__xludf.DUMMYFUNCTION("GOOGLETRANSLATE(B10973,""id"",""en"")"),"['', 'Telkomsel', 'really', 'darling', 'promo', 'package', 'app', '']")</f>
        <v>['', 'Telkomsel', 'really', 'darling', 'promo', 'package', 'app', '']</v>
      </c>
      <c r="D10973" s="3">
        <v>5.0</v>
      </c>
    </row>
    <row r="10974" ht="15.75" customHeight="1">
      <c r="A10974" s="1">
        <v>11694.0</v>
      </c>
      <c r="B10974" s="3" t="s">
        <v>10496</v>
      </c>
      <c r="C10974" s="3" t="str">
        <f>IFERROR(__xludf.DUMMYFUNCTION("GOOGLETRANSLATE(B10974,""id"",""en"")"),"['Please', 'Love', 'Win', 'Hadian', 'Telkomsel', 'Points', 'Yamaha', 'Nmax', ""]")</f>
        <v>['Please', 'Love', 'Win', 'Hadian', 'Telkomsel', 'Points', 'Yamaha', 'Nmax', "]</v>
      </c>
      <c r="D10974" s="3">
        <v>5.0</v>
      </c>
    </row>
    <row r="10975" ht="15.75" customHeight="1">
      <c r="A10975" s="1">
        <v>11695.0</v>
      </c>
      <c r="B10975" s="3" t="s">
        <v>10497</v>
      </c>
      <c r="C10975" s="3" t="str">
        <f>IFERROR(__xludf.DUMMYFUNCTION("GOOGLETRANSLATE(B10975,""id"",""en"")"),"['Telkomsel', 'Mantab', 'access']")</f>
        <v>['Telkomsel', 'Mantab', 'access']</v>
      </c>
      <c r="D10975" s="3">
        <v>5.0</v>
      </c>
    </row>
    <row r="10976" ht="15.75" customHeight="1">
      <c r="A10976" s="1">
        <v>11697.0</v>
      </c>
      <c r="B10976" s="3" t="s">
        <v>10498</v>
      </c>
      <c r="C10976" s="3" t="str">
        <f>IFERROR(__xludf.DUMMYFUNCTION("GOOGLETRANSLATE(B10976,""id"",""en"")"),"['display', 'trick', 'cheats',' ads', 'credit', 'free', 'redemption', 'point', 'gift', 'unique', 'Engineering', 'pulses',' system ',' busy ',' pokonya ',' satisfying ',' checks', 'pulse', 'fraud', 'public', '']")</f>
        <v>['display', 'trick', 'cheats',' ads', 'credit', 'free', 'redemption', 'point', 'gift', 'unique', 'Engineering', 'pulses',' system ',' busy ',' pokonya ',' satisfying ',' checks', 'pulse', 'fraud', 'public', '']</v>
      </c>
      <c r="D10976" s="3">
        <v>1.0</v>
      </c>
    </row>
    <row r="10977" ht="15.75" customHeight="1">
      <c r="A10977" s="1">
        <v>11699.0</v>
      </c>
      <c r="B10977" s="3" t="s">
        <v>10499</v>
      </c>
      <c r="C10977" s="3" t="str">
        <f>IFERROR(__xludf.DUMMYFUNCTION("GOOGLETRANSLATE(B10977,""id"",""en"")"),"['Price', 'Package', 'Service', 'Unlimited', 'Please', 'Donk', 'Service', 'Number', 'Satuku', ""]")</f>
        <v>['Price', 'Package', 'Service', 'Unlimited', 'Please', 'Donk', 'Service', 'Number', 'Satuku', "]</v>
      </c>
      <c r="D10977" s="3">
        <v>1.0</v>
      </c>
    </row>
    <row r="10978" ht="15.75" customHeight="1">
      <c r="A10978" s="1">
        <v>11700.0</v>
      </c>
      <c r="B10978" s="3" t="s">
        <v>10500</v>
      </c>
      <c r="C10978" s="3" t="str">
        <f>IFERROR(__xludf.DUMMYFUNCTION("GOOGLETRANSLATE(B10978,""id"",""en"")"),"['buy', 'pulse', 'sumps', 'then', 'pulse']")</f>
        <v>['buy', 'pulse', 'sumps', 'then', 'pulse']</v>
      </c>
      <c r="D10978" s="3">
        <v>1.0</v>
      </c>
    </row>
    <row r="10979" ht="15.75" customHeight="1">
      <c r="A10979" s="1">
        <v>11701.0</v>
      </c>
      <c r="B10979" s="3" t="s">
        <v>10501</v>
      </c>
      <c r="C10979" s="3" t="str">
        <f>IFERROR(__xludf.DUMMYFUNCTION("GOOGLETRANSLATE(B10979,""id"",""en"")"),"['complicated', '']")</f>
        <v>['complicated', '']</v>
      </c>
      <c r="D10979" s="3">
        <v>5.0</v>
      </c>
    </row>
    <row r="10980" ht="15.75" customHeight="1">
      <c r="A10980" s="1">
        <v>11702.0</v>
      </c>
      <c r="B10980" s="3" t="s">
        <v>10502</v>
      </c>
      <c r="C10980" s="3" t="str">
        <f>IFERROR(__xludf.DUMMYFUNCTION("GOOGLETRANSLATE(B10980,""id"",""en"")"),"['APPL', 'BSA', 'Opened', '']")</f>
        <v>['APPL', 'BSA', 'Opened', '']</v>
      </c>
      <c r="D10980" s="3">
        <v>5.0</v>
      </c>
    </row>
    <row r="10981" ht="15.75" customHeight="1">
      <c r="A10981" s="1">
        <v>11703.0</v>
      </c>
      <c r="B10981" s="3" t="s">
        <v>10503</v>
      </c>
      <c r="C10981" s="3" t="str">
        <f>IFERROR(__xludf.DUMMYFUNCTION("GOOGLETRANSLATE(B10981,""id"",""en"")"),"['Online', 'call', 'in', 'relative', 'connection', 'broke', 'quota', 'msh', 'sufficient']")</f>
        <v>['Online', 'call', 'in', 'relative', 'connection', 'broke', 'quota', 'msh', 'sufficient']</v>
      </c>
      <c r="D10981" s="3">
        <v>3.0</v>
      </c>
    </row>
    <row r="10982" ht="15.75" customHeight="1">
      <c r="A10982" s="1">
        <v>11704.0</v>
      </c>
      <c r="B10982" s="3" t="s">
        <v>10504</v>
      </c>
      <c r="C10982" s="3" t="str">
        <f>IFERROR(__xludf.DUMMYFUNCTION("GOOGLETRANSLATE(B10982,""id"",""en"")"),"['My APK', 'Help', 'run out', 'Package', 'right', 'night']")</f>
        <v>['My APK', 'Help', 'run out', 'Package', 'right', 'night']</v>
      </c>
      <c r="D10982" s="3">
        <v>5.0</v>
      </c>
    </row>
    <row r="10983" ht="15.75" customHeight="1">
      <c r="A10983" s="1">
        <v>11705.0</v>
      </c>
      <c r="B10983" s="3" t="s">
        <v>10505</v>
      </c>
      <c r="C10983" s="3" t="str">
        <f>IFERROR(__xludf.DUMMYFUNCTION("GOOGLETRANSLATE(B10983,""id"",""en"")"),"['ugly', 'the application', 'blank', 'color', 'pitih', 'screen', '']")</f>
        <v>['ugly', 'the application', 'blank', 'color', 'pitih', 'screen', '']</v>
      </c>
      <c r="D10983" s="3">
        <v>1.0</v>
      </c>
    </row>
    <row r="10984" ht="15.75" customHeight="1">
      <c r="A10984" s="1">
        <v>11706.0</v>
      </c>
      <c r="B10984" s="3" t="s">
        <v>10506</v>
      </c>
      <c r="C10984" s="3" t="str">
        <f>IFERROR(__xludf.DUMMYFUNCTION("GOOGLETRANSLATE(B10984,""id"",""en"")"),"['The application', 'opened', 'blank', 'white', 'disappointing', '']")</f>
        <v>['The application', 'opened', 'blank', 'white', 'disappointing', '']</v>
      </c>
      <c r="D10984" s="3">
        <v>1.0</v>
      </c>
    </row>
    <row r="10985" ht="15.75" customHeight="1">
      <c r="A10985" s="1">
        <v>11707.0</v>
      </c>
      <c r="B10985" s="3" t="s">
        <v>10507</v>
      </c>
      <c r="C10985" s="3" t="str">
        <f>IFERROR(__xludf.DUMMYFUNCTION("GOOGLETRANSLATE(B10985,""id"",""en"")"),"['application', 'open', 'color', 'white', 'plain', 'poor', 'Telkomsel', 'see']")</f>
        <v>['application', 'open', 'color', 'white', 'plain', 'poor', 'Telkomsel', 'see']</v>
      </c>
      <c r="D10985" s="3">
        <v>1.0</v>
      </c>
    </row>
    <row r="10986" ht="15.75" customHeight="1">
      <c r="A10986" s="1">
        <v>11708.0</v>
      </c>
      <c r="B10986" s="3" t="s">
        <v>10508</v>
      </c>
      <c r="C10986" s="3" t="str">
        <f>IFERROR(__xludf.DUMMYFUNCTION("GOOGLETRANSLATE(B10986,""id"",""en"")"),"['Until', 'Gini', 'Ari', 'Nukerin', 'Points', 'Can', 'Gift', 'Try', ""]")</f>
        <v>['Until', 'Gini', 'Ari', 'Nukerin', 'Points', 'Can', 'Gift', 'Try', "]</v>
      </c>
      <c r="D10986" s="3">
        <v>2.0</v>
      </c>
    </row>
    <row r="10987" ht="15.75" customHeight="1">
      <c r="A10987" s="1">
        <v>11710.0</v>
      </c>
      <c r="B10987" s="3" t="s">
        <v>10509</v>
      </c>
      <c r="C10987" s="3" t="str">
        <f>IFERROR(__xludf.DUMMYFUNCTION("GOOGLETRANSLATE(B10987,""id"",""en"")"),"['card', 'sympathy', 'easy', 'hopefully', 'Telkomsel', 'advanced', 'Inofativ', 'Telkomsel', 'kayak', 'era', 'call', 'Rupiah', ' Thanks', 'Love', 'Telkomsel', 'Tens',' ']")</f>
        <v>['card', 'sympathy', 'easy', 'hopefully', 'Telkomsel', 'advanced', 'Inofativ', 'Telkomsel', 'kayak', 'era', 'call', 'Rupiah', ' Thanks', 'Love', 'Telkomsel', 'Tens',' ']</v>
      </c>
      <c r="D10987" s="3">
        <v>5.0</v>
      </c>
    </row>
    <row r="10988" ht="15.75" customHeight="1">
      <c r="A10988" s="1">
        <v>11711.0</v>
      </c>
      <c r="B10988" s="3" t="s">
        <v>10510</v>
      </c>
      <c r="C10988" s="3" t="str">
        <f>IFERROR(__xludf.DUMMYFUNCTION("GOOGLETRANSLATE(B10988,""id"",""en"")"),"['Here', 'Gada', 'Signal', 'Application', 'Gabisa', 'Opened']")</f>
        <v>['Here', 'Gada', 'Signal', 'Application', 'Gabisa', 'Opened']</v>
      </c>
      <c r="D10988" s="3">
        <v>3.0</v>
      </c>
    </row>
    <row r="10989" ht="15.75" customHeight="1">
      <c r="A10989" s="1">
        <v>11712.0</v>
      </c>
      <c r="B10989" s="3" t="s">
        <v>10511</v>
      </c>
      <c r="C10989" s="3" t="str">
        <f>IFERROR(__xludf.DUMMYFUNCTION("GOOGLETRANSLATE(B10989,""id"",""en"")"),"['pulse', 'missing', 'thousand', 'already', 'chat', 'twitter', 'told', 'wait', 'signal', 'ilang', 'ngak', 'please', ' turning back ',' pulse ',' chat ',' ngak ',' bales', 'emotion', 'disappointed', 'quota', 'expensive', 'gara', 'buy', 'package']")</f>
        <v>['pulse', 'missing', 'thousand', 'already', 'chat', 'twitter', 'told', 'wait', 'signal', 'ilang', 'ngak', 'please', ' turning back ',' pulse ',' chat ',' ngak ',' bales', 'emotion', 'disappointed', 'quota', 'expensive', 'gara', 'buy', 'package']</v>
      </c>
      <c r="D10989" s="3">
        <v>1.0</v>
      </c>
    </row>
    <row r="10990" ht="15.75" customHeight="1">
      <c r="A10990" s="1">
        <v>11713.0</v>
      </c>
      <c r="B10990" s="3" t="s">
        <v>10512</v>
      </c>
      <c r="C10990" s="3" t="str">
        <f>IFERROR(__xludf.DUMMYFUNCTION("GOOGLETRANSLATE(B10990,""id"",""en"")"),"['Permbaruan', 'Application', 'Good', 'Bad']")</f>
        <v>['Permbaruan', 'Application', 'Good', 'Bad']</v>
      </c>
      <c r="D10990" s="3">
        <v>1.0</v>
      </c>
    </row>
    <row r="10991" ht="15.75" customHeight="1">
      <c r="A10991" s="1">
        <v>11714.0</v>
      </c>
      <c r="B10991" s="3" t="s">
        <v>10513</v>
      </c>
      <c r="C10991" s="3" t="str">
        <f>IFERROR(__xludf.DUMMYFUNCTION("GOOGLETRANSLATE(B10991,""id"",""en"")"),"['Okay', 'Telkomsel', 'steady']")</f>
        <v>['Okay', 'Telkomsel', 'steady']</v>
      </c>
      <c r="D10991" s="3">
        <v>5.0</v>
      </c>
    </row>
    <row r="10992" ht="15.75" customHeight="1">
      <c r="A10992" s="1">
        <v>11715.0</v>
      </c>
      <c r="B10992" s="3" t="s">
        <v>10514</v>
      </c>
      <c r="C10992" s="3" t="str">
        <f>IFERROR(__xludf.DUMMYFUNCTION("GOOGLETRANSLATE(B10992,""id"",""en"")"),"['Package', 'Twitter', 'Tetep', 'PKET', 'National', 'Take', 'weird']")</f>
        <v>['Package', 'Twitter', 'Tetep', 'PKET', 'National', 'Take', 'weird']</v>
      </c>
      <c r="D10992" s="3">
        <v>1.0</v>
      </c>
    </row>
    <row r="10993" ht="15.75" customHeight="1">
      <c r="A10993" s="1">
        <v>11716.0</v>
      </c>
      <c r="B10993" s="3" t="s">
        <v>10515</v>
      </c>
      <c r="C10993" s="3" t="str">
        <f>IFERROR(__xludf.DUMMYFUNCTION("GOOGLETRANSLATE(B10993,""id"",""en"")"),"['Please', 'work', 'Sis', 'Local', 'Purwakarta', ""]")</f>
        <v>['Please', 'work', 'Sis', 'Local', 'Purwakarta', "]</v>
      </c>
      <c r="D10993" s="3">
        <v>3.0</v>
      </c>
    </row>
    <row r="10994" ht="15.75" customHeight="1">
      <c r="A10994" s="1">
        <v>11717.0</v>
      </c>
      <c r="B10994" s="3" t="s">
        <v>4972</v>
      </c>
      <c r="C10994" s="3" t="str">
        <f>IFERROR(__xludf.DUMMYFUNCTION("GOOGLETRANSLATE(B10994,""id"",""en"")"),"['Network', 'Telkomsel', 'bad']")</f>
        <v>['Network', 'Telkomsel', 'bad']</v>
      </c>
      <c r="D10994" s="3">
        <v>1.0</v>
      </c>
    </row>
    <row r="10995" ht="15.75" customHeight="1">
      <c r="A10995" s="1">
        <v>11718.0</v>
      </c>
      <c r="B10995" s="3" t="s">
        <v>10516</v>
      </c>
      <c r="C10995" s="3" t="str">
        <f>IFERROR(__xludf.DUMMYFUNCTION("GOOGLETRANSLATE(B10995,""id"",""en"")"),"['Disappointed', 'knapa', 'number', 'login', 'application', 'MyTelkomsel', '']")</f>
        <v>['Disappointed', 'knapa', 'number', 'login', 'application', 'MyTelkomsel', '']</v>
      </c>
      <c r="D10995" s="3">
        <v>5.0</v>
      </c>
    </row>
    <row r="10996" ht="15.75" customHeight="1">
      <c r="A10996" s="1">
        <v>11719.0</v>
      </c>
      <c r="B10996" s="3" t="s">
        <v>10517</v>
      </c>
      <c r="C10996" s="3" t="str">
        <f>IFERROR(__xludf.DUMMYFUNCTION("GOOGLETRANSLATE(B10996,""id"",""en"")"),"['Signal', 'Sometimes',' LEG ',' KNP ',' PROMO ',' Surprise ',' Points', 'Different', 'GB', 'GB', 'GB', 'His name', ' Surprise ',' Points', 'Ngeprank', 'Points', ""]")</f>
        <v>['Signal', 'Sometimes',' LEG ',' KNP ',' PROMO ',' Surprise ',' Points', 'Different', 'GB', 'GB', 'GB', 'His name', ' Surprise ',' Points', 'Ngeprank', 'Points', "]</v>
      </c>
      <c r="D10996" s="3">
        <v>1.0</v>
      </c>
    </row>
    <row r="10997" ht="15.75" customHeight="1">
      <c r="A10997" s="1">
        <v>11720.0</v>
      </c>
      <c r="B10997" s="3" t="s">
        <v>10518</v>
      </c>
      <c r="C10997" s="3" t="str">
        <f>IFERROR(__xludf.DUMMYFUNCTION("GOOGLETRANSLATE(B10997,""id"",""en"")"),"['Watch out', 'Reting', 'Down', 'Need', 'Application', 'Please', 'Fix', 'Rinse', 'Upgred', 'Donn', 'Rich', 'Version', ' UPGRETE ',' Baek ',' ']")</f>
        <v>['Watch out', 'Reting', 'Down', 'Need', 'Application', 'Please', 'Fix', 'Rinse', 'Upgred', 'Donn', 'Rich', 'Version', ' UPGRETE ',' Baek ',' ']</v>
      </c>
      <c r="D10997" s="3">
        <v>1.0</v>
      </c>
    </row>
    <row r="10998" ht="15.75" customHeight="1">
      <c r="A10998" s="1">
        <v>11721.0</v>
      </c>
      <c r="B10998" s="3" t="s">
        <v>10519</v>
      </c>
      <c r="C10998" s="3" t="str">
        <f>IFERROR(__xludf.DUMMYFUNCTION("GOOGLETRANSLATE(B10998,""id"",""en"")"),"['Steady', 'hopefully', 'smooth', 'Terooss']")</f>
        <v>['Steady', 'hopefully', 'smooth', 'Terooss']</v>
      </c>
      <c r="D10998" s="3">
        <v>5.0</v>
      </c>
    </row>
    <row r="10999" ht="15.75" customHeight="1">
      <c r="A10999" s="1">
        <v>11722.0</v>
      </c>
      <c r="B10999" s="3" t="s">
        <v>10520</v>
      </c>
      <c r="C10999" s="3" t="str">
        <f>IFERROR(__xludf.DUMMYFUNCTION("GOOGLETRANSLATE(B10999,""id"",""en"")"),"['application', 'open', 'screen', 'putiih', 'idiot', 'application']")</f>
        <v>['application', 'open', 'screen', 'putiih', 'idiot', 'application']</v>
      </c>
      <c r="D10999" s="3">
        <v>1.0</v>
      </c>
    </row>
    <row r="11000" ht="15.75" customHeight="1">
      <c r="A11000" s="1">
        <v>11723.0</v>
      </c>
      <c r="B11000" s="3" t="s">
        <v>10521</v>
      </c>
      <c r="C11000" s="3" t="str">
        <f>IFERROR(__xludf.DUMMYFUNCTION("GOOGLETRANSLATE(B11000,""id"",""en"")"),"['', 'Telkomsel', 'benefits', 'application', 'Telkomsel', 'byk', 'information', 'package', 'pulse', 'sgt', 'fun', 'application']")</f>
        <v>['', 'Telkomsel', 'benefits', 'application', 'Telkomsel', 'byk', 'information', 'package', 'pulse', 'sgt', 'fun', 'application']</v>
      </c>
      <c r="D11000" s="3">
        <v>5.0</v>
      </c>
    </row>
    <row r="11001" ht="15.75" customHeight="1">
      <c r="A11001" s="1">
        <v>11724.0</v>
      </c>
      <c r="B11001" s="3" t="s">
        <v>10522</v>
      </c>
      <c r="C11001" s="3" t="str">
        <f>IFERROR(__xludf.DUMMYFUNCTION("GOOGLETRANSLATE(B11001,""id"",""en"")"),"['Price', 'Package', 'Bonus',' Just ',' Bonus', 'Mending', 'Tetep', 'That Sege', 'Price', 'Impossible', 'Down', 'Price', ' package', '']")</f>
        <v>['Price', 'Package', 'Bonus',' Just ',' Bonus', 'Mending', 'Tetep', 'That Sege', 'Price', 'Impossible', 'Down', 'Price', ' package', '']</v>
      </c>
      <c r="D11001" s="3">
        <v>1.0</v>
      </c>
    </row>
    <row r="11002" ht="15.75" customHeight="1">
      <c r="A11002" s="1">
        <v>11725.0</v>
      </c>
      <c r="B11002" s="3" t="s">
        <v>10523</v>
      </c>
      <c r="C11002" s="3" t="str">
        <f>IFERROR(__xludf.DUMMYFUNCTION("GOOGLETRANSLATE(B11002,""id"",""en"")"),"['FYI', 'downgrage', 'application', 'MyTelkomsel', 'version', 'newest', 'try', 'Search', 'version', 'complaint', 'application', 'blank', ' White ',' White ',' Screen ',' version ',' My place ',' Try ',' Hopefully ',' Help ',' Tks']")</f>
        <v>['FYI', 'downgrage', 'application', 'MyTelkomsel', 'version', 'newest', 'try', 'Search', 'version', 'complaint', 'application', 'blank', ' White ',' White ',' Screen ',' version ',' My place ',' Try ',' Hopefully ',' Help ',' Tks']</v>
      </c>
      <c r="D11002" s="3">
        <v>3.0</v>
      </c>
    </row>
    <row r="11003" ht="15.75" customHeight="1">
      <c r="A11003" s="1">
        <v>11726.0</v>
      </c>
      <c r="B11003" s="3" t="s">
        <v>10524</v>
      </c>
      <c r="C11003" s="3" t="str">
        <f>IFERROR(__xludf.DUMMYFUNCTION("GOOGLETRANSLATE(B11003,""id"",""en"")"),"['Ouch', 'service', 'super', 'bad', 'pulse', 'lost', 'unreg', 'the application', 'really', 'disappointing']")</f>
        <v>['Ouch', 'service', 'super', 'bad', 'pulse', 'lost', 'unreg', 'the application', 'really', 'disappointing']</v>
      </c>
      <c r="D11003" s="3">
        <v>1.0</v>
      </c>
    </row>
    <row r="11004" ht="15.75" customHeight="1">
      <c r="A11004" s="1">
        <v>11727.0</v>
      </c>
      <c r="B11004" s="3" t="s">
        <v>10525</v>
      </c>
      <c r="C11004" s="3" t="str">
        <f>IFERROR(__xludf.DUMMYFUNCTION("GOOGLETRANSLATE(B11004,""id"",""en"")"),"['blank', 'white', 'severe', 'Telkomsel', 'response', 'sorry', 'doang']")</f>
        <v>['blank', 'white', 'severe', 'Telkomsel', 'response', 'sorry', 'doang']</v>
      </c>
      <c r="D11004" s="3">
        <v>1.0</v>
      </c>
    </row>
    <row r="11005" ht="15.75" customHeight="1">
      <c r="A11005" s="1">
        <v>11728.0</v>
      </c>
      <c r="B11005" s="3" t="s">
        <v>10526</v>
      </c>
      <c r="C11005" s="3" t="str">
        <f>IFERROR(__xludf.DUMMYFUNCTION("GOOGLETRANSLATE(B11005,""id"",""en"")"),"['destroyed', 'signal', 'Telkomsel', 'garbage', 'slow', 'play', 'game', 'provider', 'garbage']")</f>
        <v>['destroyed', 'signal', 'Telkomsel', 'garbage', 'slow', 'play', 'game', 'provider', 'garbage']</v>
      </c>
      <c r="D11005" s="3">
        <v>1.0</v>
      </c>
    </row>
    <row r="11006" ht="15.75" customHeight="1">
      <c r="A11006" s="1">
        <v>11729.0</v>
      </c>
      <c r="B11006" s="3" t="s">
        <v>10527</v>
      </c>
      <c r="C11006" s="3" t="str">
        <f>IFERROR(__xludf.DUMMYFUNCTION("GOOGLETRANSLATE(B11006,""id"",""en"")"),"['', 'Understand', 'I', 'Telkomsel', 'already', 'package', 'expensive', 'signal', 'bapuk', 'ngecheck', 'quota', 'doang', 'caughthhh ',' really ',' alternating ',' uninstall ',' Install ',' open ',' wonder ',' I ',' please ',' repair ',' waterboom ',' men "&amp;"', ""]")</f>
        <v>['', 'Understand', 'I', 'Telkomsel', 'already', 'package', 'expensive', 'signal', 'bapuk', 'ngecheck', 'quota', 'doang', 'caughthhh ',' really ',' alternating ',' uninstall ',' Install ',' open ',' wonder ',' I ',' please ',' repair ',' waterboom ',' men ', "]</v>
      </c>
      <c r="D11006" s="3">
        <v>1.0</v>
      </c>
    </row>
    <row r="11007" ht="15.75" customHeight="1">
      <c r="A11007" s="1">
        <v>11730.0</v>
      </c>
      <c r="B11007" s="3" t="s">
        <v>10528</v>
      </c>
      <c r="C11007" s="3" t="str">
        <f>IFERROR(__xludf.DUMMYFUNCTION("GOOGLETRANSLATE(B11007,""id"",""en"")"),"['buy', 'package', 'contents',' pulse ',' already ',' contents', 'pulse', 'package', 'bought', 'price', 'pulse', 'right', ' purchased ',' Eeeh ',' package ',' replace ',' plus', 'pulse', 'fill in', 'sumps',' quota ',' msh ',' replace ',' provider ',' pric"&amp;"e ' , 'Package', 'internet', '']")</f>
        <v>['buy', 'package', 'contents',' pulse ',' already ',' contents', 'pulse', 'package', 'bought', 'price', 'pulse', 'right', ' purchased ',' Eeeh ',' package ',' replace ',' plus', 'pulse', 'fill in', 'sumps',' quota ',' msh ',' replace ',' provider ',' price ' , 'Package', 'internet', '']</v>
      </c>
      <c r="D11007" s="3">
        <v>1.0</v>
      </c>
    </row>
    <row r="11008" ht="15.75" customHeight="1">
      <c r="A11008" s="1">
        <v>11731.0</v>
      </c>
      <c r="B11008" s="3" t="s">
        <v>10529</v>
      </c>
      <c r="C11008" s="3" t="str">
        <f>IFERROR(__xludf.DUMMYFUNCTION("GOOGLETRANSLATE(B11008,""id"",""en"")"),"['Paulsa', 'ilang', 'then', 'service', 'UDH', 'rich', 'satisfying', 'mah', 'star', ""]")</f>
        <v>['Paulsa', 'ilang', 'then', 'service', 'UDH', 'rich', 'satisfying', 'mah', 'star', "]</v>
      </c>
      <c r="D11008" s="3">
        <v>1.0</v>
      </c>
    </row>
    <row r="11009" ht="15.75" customHeight="1">
      <c r="A11009" s="1">
        <v>11732.0</v>
      </c>
      <c r="B11009" s="3" t="s">
        <v>10530</v>
      </c>
      <c r="C11009" s="3" t="str">
        <f>IFERROR(__xludf.DUMMYFUNCTION("GOOGLETRANSLATE(B11009,""id"",""en"")"),"['Knp', 'Feel', 'Signal', 'Telkomsel', 'Weak', ""]")</f>
        <v>['Knp', 'Feel', 'Signal', 'Telkomsel', 'Weak', "]</v>
      </c>
      <c r="D11009" s="3">
        <v>5.0</v>
      </c>
    </row>
    <row r="11010" ht="15.75" customHeight="1">
      <c r="A11010" s="1">
        <v>11733.0</v>
      </c>
      <c r="B11010" s="3" t="s">
        <v>10531</v>
      </c>
      <c r="C11010" s="3" t="str">
        <f>IFERROR(__xludf.DUMMYFUNCTION("GOOGLETRANSLATE(B11010,""id"",""en"")"),"['Knpa', 'card', 'me', 'transfer', 'pulse']")</f>
        <v>['Knpa', 'card', 'me', 'transfer', 'pulse']</v>
      </c>
      <c r="D11010" s="3">
        <v>1.0</v>
      </c>
    </row>
    <row r="11011" ht="15.75" customHeight="1">
      <c r="A11011" s="1">
        <v>11734.0</v>
      </c>
      <c r="B11011" s="3" t="s">
        <v>10532</v>
      </c>
      <c r="C11011" s="3" t="str">
        <f>IFERROR(__xludf.DUMMYFUNCTION("GOOGLETRANSLATE(B11011,""id"",""en"")"),"['yahh', 'pulse', 'run out', 'Gara', 'Gara', 'Wait', 'enter', 'APK', 'Diemin', 'hour', 'Out', 'Huft', ' ']")</f>
        <v>['yahh', 'pulse', 'run out', 'Gara', 'Gara', 'Wait', 'enter', 'APK', 'Diemin', 'hour', 'Out', 'Huft', ' ']</v>
      </c>
      <c r="D11011" s="3">
        <v>5.0</v>
      </c>
    </row>
    <row r="11012" ht="15.75" customHeight="1">
      <c r="A11012" s="1">
        <v>11735.0</v>
      </c>
      <c r="B11012" s="3" t="s">
        <v>10533</v>
      </c>
      <c r="C11012" s="3" t="str">
        <f>IFERROR(__xludf.DUMMYFUNCTION("GOOGLETRANSLATE(B11012,""id"",""en"")"),"['Good', 'mantaaaap']")</f>
        <v>['Good', 'mantaaaap']</v>
      </c>
      <c r="D11012" s="3">
        <v>4.0</v>
      </c>
    </row>
    <row r="11013" ht="15.75" customHeight="1">
      <c r="A11013" s="1">
        <v>11736.0</v>
      </c>
      <c r="B11013" s="3" t="s">
        <v>10534</v>
      </c>
      <c r="C11013" s="3" t="str">
        <f>IFERROR(__xludf.DUMMYFUNCTION("GOOGLETRANSLATE(B11013,""id"",""en"")"),"['APL', 'good', 'really']")</f>
        <v>['APL', 'good', 'really']</v>
      </c>
      <c r="D11013" s="3">
        <v>5.0</v>
      </c>
    </row>
    <row r="11014" ht="15.75" customHeight="1">
      <c r="A11014" s="1">
        <v>11737.0</v>
      </c>
      <c r="B11014" s="3" t="s">
        <v>10535</v>
      </c>
      <c r="C11014" s="3" t="str">
        <f>IFERROR(__xludf.DUMMYFUNCTION("GOOGLETRANSLATE(B11014,""id"",""en"")"),"['area', 'tambun', 'south', 'sometimes', 'signal', 'good', 'sometimes', 'signal', 'ugly', 'already', 'pay', 'expensive']")</f>
        <v>['area', 'tambun', 'south', 'sometimes', 'signal', 'good', 'sometimes', 'signal', 'ugly', 'already', 'pay', 'expensive']</v>
      </c>
      <c r="D11014" s="3">
        <v>4.0</v>
      </c>
    </row>
    <row r="11015" ht="15.75" customHeight="1">
      <c r="A11015" s="1">
        <v>11738.0</v>
      </c>
      <c r="B11015" s="3" t="s">
        <v>10536</v>
      </c>
      <c r="C11015" s="3" t="str">
        <f>IFERROR(__xludf.DUMMYFUNCTION("GOOGLETRANSLATE(B11015,""id"",""en"")"),"['application', 'safe', 'network', 'ugly', 'signal', 'service', 'complaints',' ugly ',' response ',' slow ',' bot ',' price ',' Expensive ',' ']")</f>
        <v>['application', 'safe', 'network', 'ugly', 'signal', 'service', 'complaints',' ugly ',' response ',' slow ',' bot ',' price ',' Expensive ',' ']</v>
      </c>
      <c r="D11015" s="3">
        <v>1.0</v>
      </c>
    </row>
    <row r="11016" ht="15.75" customHeight="1">
      <c r="A11016" s="1">
        <v>11739.0</v>
      </c>
      <c r="B11016" s="3" t="s">
        <v>10537</v>
      </c>
      <c r="C11016" s="3" t="str">
        <f>IFERROR(__xludf.DUMMYFUNCTION("GOOGLETRANSLATE(B11016,""id"",""en"")"),"['Telkomsel', 'application', 'used', 'gini']")</f>
        <v>['Telkomsel', 'application', 'used', 'gini']</v>
      </c>
      <c r="D11016" s="3">
        <v>1.0</v>
      </c>
    </row>
    <row r="11017" ht="15.75" customHeight="1">
      <c r="A11017" s="1">
        <v>11740.0</v>
      </c>
      <c r="B11017" s="3" t="s">
        <v>10538</v>
      </c>
      <c r="C11017" s="3" t="str">
        <f>IFERROR(__xludf.DUMMYFUNCTION("GOOGLETRANSLATE(B11017,""id"",""en"")"),"['happy', 'buy', 'Package', 'MyTelkomsel', 'promo', 'Undi', 'Happy', 'Dapetin', 'Gift', 'Vocher', 'quota', 'car', ' Switching ',' Point ',' Aklana ',' Undi ',' Happy ',' Bismillah ',' Hopefully ',' Get ', ""]")</f>
        <v>['happy', 'buy', 'Package', 'MyTelkomsel', 'promo', 'Undi', 'Happy', 'Dapetin', 'Gift', 'Vocher', 'quota', 'car', ' Switching ',' Point ',' Aklana ',' Undi ',' Happy ',' Bismillah ',' Hopefully ',' Get ', "]</v>
      </c>
      <c r="D11017" s="3">
        <v>5.0</v>
      </c>
    </row>
    <row r="11018" ht="15.75" customHeight="1">
      <c r="A11018" s="1">
        <v>11741.0</v>
      </c>
      <c r="B11018" s="3" t="s">
        <v>10539</v>
      </c>
      <c r="C11018" s="3" t="str">
        <f>IFERROR(__xludf.DUMMYFUNCTION("GOOGLETRANSLATE(B11018,""id"",""en"")"),"['friend', 'user', 'app', 'Telkomsel', 'screen', 'white', 'download', 'apk', 'Telkomsel', 'version', 'that's',' try ',' Success', 'Download', 'APK', 'Telkomsel', 'version', 'Install', 'Note', 'Delete', 'App', 'Version']")</f>
        <v>['friend', 'user', 'app', 'Telkomsel', 'screen', 'white', 'download', 'apk', 'Telkomsel', 'version', 'that's',' try ',' Success', 'Download', 'APK', 'Telkomsel', 'version', 'Install', 'Note', 'Delete', 'App', 'Version']</v>
      </c>
      <c r="D11018" s="3">
        <v>1.0</v>
      </c>
    </row>
    <row r="11019" ht="15.75" customHeight="1">
      <c r="A11019" s="1">
        <v>11742.0</v>
      </c>
      <c r="B11019" s="3" t="s">
        <v>10540</v>
      </c>
      <c r="C11019" s="3" t="str">
        <f>IFERROR(__xludf.DUMMYFUNCTION("GOOGLETRANSLATE(B11019,""id"",""en"")"),"['Satisfied', 'service']")</f>
        <v>['Satisfied', 'service']</v>
      </c>
      <c r="D11019" s="3">
        <v>5.0</v>
      </c>
    </row>
    <row r="11020" ht="15.75" customHeight="1">
      <c r="A11020" s="1">
        <v>11743.0</v>
      </c>
      <c r="B11020" s="3" t="s">
        <v>10541</v>
      </c>
      <c r="C11020" s="3" t="str">
        <f>IFERROR(__xludf.DUMMYFUNCTION("GOOGLETRANSLATE(B11020,""id"",""en"")"),"['Star', 'pulse', 'reduced', 'goib', 'times', 'pulses', 'ilang', 'Telkomsel', 'already', 'years', 'get', 'php']")</f>
        <v>['Star', 'pulse', 'reduced', 'goib', 'times', 'pulses', 'ilang', 'Telkomsel', 'already', 'years', 'get', 'php']</v>
      </c>
      <c r="D11020" s="3">
        <v>3.0</v>
      </c>
    </row>
    <row r="11021" ht="15.75" customHeight="1">
      <c r="A11021" s="1">
        <v>11744.0</v>
      </c>
      <c r="B11021" s="3" t="s">
        <v>7279</v>
      </c>
      <c r="C11021" s="3" t="str">
        <f>IFERROR(__xludf.DUMMYFUNCTION("GOOGLETRANSLATE(B11021,""id"",""en"")"),"['screen', 'white', '']")</f>
        <v>['screen', 'white', '']</v>
      </c>
      <c r="D11021" s="3">
        <v>1.0</v>
      </c>
    </row>
    <row r="11022" ht="15.75" customHeight="1">
      <c r="A11022" s="1">
        <v>11745.0</v>
      </c>
      <c r="B11022" s="3" t="s">
        <v>10542</v>
      </c>
      <c r="C11022" s="3" t="str">
        <f>IFERROR(__xludf.DUMMYFUNCTION("GOOGLETRANSLATE(B11022,""id"",""en"")"),"['', 'opened', 'screen', 'white', 'doang', 'appears']")</f>
        <v>['', 'opened', 'screen', 'white', 'doang', 'appears']</v>
      </c>
      <c r="D11022" s="3">
        <v>1.0</v>
      </c>
    </row>
    <row r="11023" ht="15.75" customHeight="1">
      <c r="A11023" s="1">
        <v>11746.0</v>
      </c>
      <c r="B11023" s="3" t="s">
        <v>10543</v>
      </c>
      <c r="C11023" s="3" t="str">
        <f>IFERROR(__xludf.DUMMYFUNCTION("GOOGLETRANSLATE(B11023,""id"",""en"")"),"['Not bad', 'buy', 'package', 'cheap', 'get', 'promo', '']")</f>
        <v>['Not bad', 'buy', 'package', 'cheap', 'get', 'promo', '']</v>
      </c>
      <c r="D11023" s="3">
        <v>4.0</v>
      </c>
    </row>
    <row r="11024" ht="15.75" customHeight="1">
      <c r="A11024" s="1">
        <v>11747.0</v>
      </c>
      <c r="B11024" s="3" t="s">
        <v>10544</v>
      </c>
      <c r="C11024" s="3" t="str">
        <f>IFERROR(__xludf.DUMMYFUNCTION("GOOGLETRANSLATE(B11024,""id"",""en"")"),"['love', 'star', 'dlu', 'klw', 'easy', 'application', 'telkomsel', 'even', 'star', 'tks', '']")</f>
        <v>['love', 'star', 'dlu', 'klw', 'easy', 'application', 'telkomsel', 'even', 'star', 'tks', '']</v>
      </c>
      <c r="D11024" s="3">
        <v>2.0</v>
      </c>
    </row>
    <row r="11025" ht="15.75" customHeight="1">
      <c r="A11025" s="1">
        <v>11748.0</v>
      </c>
      <c r="B11025" s="3" t="s">
        <v>10545</v>
      </c>
      <c r="C11025" s="3" t="str">
        <f>IFERROR(__xludf.DUMMYFUNCTION("GOOGLETRANSLATE(B11025,""id"",""en"")"),"['makes it easy', 'process']")</f>
        <v>['makes it easy', 'process']</v>
      </c>
      <c r="D11025" s="3">
        <v>5.0</v>
      </c>
    </row>
    <row r="11026" ht="15.75" customHeight="1">
      <c r="A11026" s="1">
        <v>11749.0</v>
      </c>
      <c r="B11026" s="3" t="s">
        <v>10546</v>
      </c>
      <c r="C11026" s="3" t="str">
        <f>IFERROR(__xludf.DUMMYFUNCTION("GOOGLETRANSLATE(B11026,""id"",""en"")"),"['Application', 'Success', 'Telkomsel', '']")</f>
        <v>['Application', 'Success', 'Telkomsel', '']</v>
      </c>
      <c r="D11026" s="3">
        <v>5.0</v>
      </c>
    </row>
    <row r="11027" ht="15.75" customHeight="1">
      <c r="A11027" s="1">
        <v>11750.0</v>
      </c>
      <c r="B11027" s="3" t="s">
        <v>10547</v>
      </c>
      <c r="C11027" s="3" t="str">
        <f>IFERROR(__xludf.DUMMYFUNCTION("GOOGLETRANSLATE(B11027,""id"",""en"")"),"['how sad it', 'Telkomsel', 'so stingy', 'grabbing', 'bonus',' check ',' need ',' fees', 'rupiah', 'point', ' Points', 'obtained', 'charging', 'pulses',' thousand ',' objective ',' application ',' responsive ',' features', 'Veronica', 'help', 'Naturally',"&amp;" 'rare' , 'Software', 'Engineer', 'Jago', 'Field', 'features', 'makadian', '']")</f>
        <v>['how sad it', 'Telkomsel', 'so stingy', 'grabbing', 'bonus',' check ',' need ',' fees', 'rupiah', 'point', ' Points', 'obtained', 'charging', 'pulses',' thousand ',' objective ',' application ',' responsive ',' features', 'Veronica', 'help', 'Naturally', 'rare' , 'Software', 'Engineer', 'Jago', 'Field', 'features', 'makadian', '']</v>
      </c>
      <c r="D11027" s="3">
        <v>3.0</v>
      </c>
    </row>
    <row r="11028" ht="15.75" customHeight="1">
      <c r="A11028" s="1">
        <v>11751.0</v>
      </c>
      <c r="B11028" s="3" t="s">
        <v>10548</v>
      </c>
      <c r="C11028" s="3" t="str">
        <f>IFERROR(__xludf.DUMMYFUNCTION("GOOGLETRANSLATE(B11028,""id"",""en"")"),"['Telkomsel', 'already', 'roll', 'mat', 'mending', 'move', 'im', 'comfortable', 'screen', 'white', 'spent', 'pulses']")</f>
        <v>['Telkomsel', 'already', 'roll', 'mat', 'mending', 'move', 'im', 'comfortable', 'screen', 'white', 'spent', 'pulses']</v>
      </c>
      <c r="D11028" s="3">
        <v>1.0</v>
      </c>
    </row>
    <row r="11029" ht="15.75" customHeight="1">
      <c r="A11029" s="1">
        <v>11752.0</v>
      </c>
      <c r="B11029" s="3" t="s">
        <v>10549</v>
      </c>
      <c r="C11029" s="3" t="str">
        <f>IFERROR(__xludf.DUMMYFUNCTION("GOOGLETRANSLATE(B11029,""id"",""en"")"),"['application', 'credit', 'bll', 'package', 'pulses', 'base', 'application', 'buriq', 'bad', ""]")</f>
        <v>['application', 'credit', 'bll', 'package', 'pulses', 'base', 'application', 'buriq', 'bad', "]</v>
      </c>
      <c r="D11029" s="3">
        <v>1.0</v>
      </c>
    </row>
    <row r="11030" ht="15.75" customHeight="1">
      <c r="A11030" s="1">
        <v>11753.0</v>
      </c>
      <c r="B11030" s="3" t="s">
        <v>10550</v>
      </c>
      <c r="C11030" s="3" t="str">
        <f>IFERROR(__xludf.DUMMYFUNCTION("GOOGLETRANSLATE(B11030,""id"",""en"")"),"['Quality', 'Network', 'decreases', 'price', 'populat']")</f>
        <v>['Quality', 'Network', 'decreases', 'price', 'populat']</v>
      </c>
      <c r="D11030" s="3">
        <v>3.0</v>
      </c>
    </row>
    <row r="11031" ht="15.75" customHeight="1">
      <c r="A11031" s="1">
        <v>11754.0</v>
      </c>
      <c r="B11031" s="3" t="s">
        <v>10551</v>
      </c>
      <c r="C11031" s="3" t="str">
        <f>IFERROR(__xludf.DUMMYFUNCTION("GOOGLETRANSLATE(B11031,""id"",""en"")"),"['What's', 'White', 'Mulu']")</f>
        <v>['What's', 'White', 'Mulu']</v>
      </c>
      <c r="D11031" s="3">
        <v>1.0</v>
      </c>
    </row>
    <row r="11032" ht="15.75" customHeight="1">
      <c r="A11032" s="1">
        <v>11755.0</v>
      </c>
      <c r="B11032" s="3" t="s">
        <v>10552</v>
      </c>
      <c r="C11032" s="3" t="str">
        <f>IFERROR(__xludf.DUMMYFUNCTION("GOOGLETRANSLATE(B11032,""id"",""en"")"),"['signal', 'regular', 'price', 'expensive', 'hadeuh', 'cave', 'card', 'sultan', 'fantasy']")</f>
        <v>['signal', 'regular', 'price', 'expensive', 'hadeuh', 'cave', 'card', 'sultan', 'fantasy']</v>
      </c>
      <c r="D11032" s="3">
        <v>1.0</v>
      </c>
    </row>
    <row r="11033" ht="15.75" customHeight="1">
      <c r="A11033" s="1">
        <v>11756.0</v>
      </c>
      <c r="B11033" s="3" t="s">
        <v>10553</v>
      </c>
      <c r="C11033" s="3" t="str">
        <f>IFERROR(__xludf.DUMMYFUNCTION("GOOGLETRANSLATE(B11033,""id"",""en"")"),"['Telkomsel', 'already', 'Cupu', 'network', 'super', 'slow', 'Stop', 'use', 'Telkomsel', 'easily', 'area', 'North Sumatra', ' Recommended ',' use ',' Telkomsel ',' ']")</f>
        <v>['Telkomsel', 'already', 'Cupu', 'network', 'super', 'slow', 'Stop', 'use', 'Telkomsel', 'easily', 'area', 'North Sumatra', ' Recommended ',' use ',' Telkomsel ',' ']</v>
      </c>
      <c r="D11033" s="3">
        <v>1.0</v>
      </c>
    </row>
    <row r="11034" ht="15.75" customHeight="1">
      <c r="A11034" s="1">
        <v>11757.0</v>
      </c>
      <c r="B11034" s="3" t="s">
        <v>10554</v>
      </c>
      <c r="C11034" s="3" t="str">
        <f>IFERROR(__xludf.DUMMYFUNCTION("GOOGLETRANSLATE(B11034,""id"",""en"")"),"['bad', 'because', 'network', 'TIFSK', 'stable', 'clock', 'night']")</f>
        <v>['bad', 'because', 'network', 'TIFSK', 'stable', 'clock', 'night']</v>
      </c>
      <c r="D11034" s="3">
        <v>1.0</v>
      </c>
    </row>
    <row r="11035" ht="15.75" customHeight="1">
      <c r="A11035" s="1">
        <v>11758.0</v>
      </c>
      <c r="B11035" s="3" t="s">
        <v>10555</v>
      </c>
      <c r="C11035" s="3" t="str">
        <f>IFERROR(__xludf.DUMMYFUNCTION("GOOGLETRANSLATE(B11035,""id"",""en"")"),"['Help', 'operate', 'network', 'help', 'satisfying']")</f>
        <v>['Help', 'operate', 'network', 'help', 'satisfying']</v>
      </c>
      <c r="D11035" s="3">
        <v>5.0</v>
      </c>
    </row>
    <row r="11036" ht="15.75" customHeight="1">
      <c r="A11036" s="1">
        <v>11759.0</v>
      </c>
      <c r="B11036" s="3" t="s">
        <v>10556</v>
      </c>
      <c r="C11036" s="3" t="str">
        <f>IFERROR(__xludf.DUMMYFUNCTION("GOOGLETRANSLATE(B11036,""id"",""en"")"),"['application', 'blank', 'white', 'updated', 'gtu', 'ush', 'updated', 'please', 'repaired', 'as soon as possible]")</f>
        <v>['application', 'blank', 'white', 'updated', 'gtu', 'ush', 'updated', 'please', 'repaired', 'as soon as possible]</v>
      </c>
      <c r="D11036" s="3">
        <v>1.0</v>
      </c>
    </row>
    <row r="11037" ht="15.75" customHeight="1">
      <c r="A11037" s="1">
        <v>11760.0</v>
      </c>
      <c r="B11037" s="3" t="s">
        <v>10557</v>
      </c>
      <c r="C11037" s="3" t="str">
        <f>IFERROR(__xludf.DUMMYFUNCTION("GOOGLETRANSLATE(B11037,""id"",""en"")"),"['fit', 'make', 'package', 'unlimitid', 'direct', 'noh', 'signal', 'confusion']")</f>
        <v>['fit', 'make', 'package', 'unlimitid', 'direct', 'noh', 'signal', 'confusion']</v>
      </c>
      <c r="D11037" s="3">
        <v>1.0</v>
      </c>
    </row>
    <row r="11038" ht="15.75" customHeight="1">
      <c r="A11038" s="1">
        <v>11761.0</v>
      </c>
      <c r="B11038" s="3" t="s">
        <v>10558</v>
      </c>
      <c r="C11038" s="3" t="str">
        <f>IFERROR(__xludf.DUMMYFUNCTION("GOOGLETRANSLATE(B11038,""id"",""en"")"),"['', 'Bacot', 'Hurry', 'Download']")</f>
        <v>['', 'Bacot', 'Hurry', 'Download']</v>
      </c>
      <c r="D11038" s="3">
        <v>5.0</v>
      </c>
    </row>
    <row r="11039" ht="15.75" customHeight="1">
      <c r="A11039" s="1">
        <v>11762.0</v>
      </c>
      <c r="B11039" s="3" t="s">
        <v>10559</v>
      </c>
      <c r="C11039" s="3" t="str">
        <f>IFERROR(__xludf.DUMMYFUNCTION("GOOGLETRANSLATE(B11039,""id"",""en"")"),"['application', 'ugly', 'open', 'ngebleng', 'mending', 'delete', 'application', 'quality']")</f>
        <v>['application', 'ugly', 'open', 'ngebleng', 'mending', 'delete', 'application', 'quality']</v>
      </c>
      <c r="D11039" s="3">
        <v>1.0</v>
      </c>
    </row>
    <row r="11040" ht="15.75" customHeight="1">
      <c r="A11040" s="1">
        <v>11763.0</v>
      </c>
      <c r="B11040" s="3" t="s">
        <v>10560</v>
      </c>
      <c r="C11040" s="3" t="str">
        <f>IFERROR(__xludf.DUMMYFUNCTION("GOOGLETRANSLATE(B11040,""id"",""en"")"),"['Bangke', 'Nie', 'emang', 'network', 'Maen', 'ilang', 'signal', 'bangse', 'bangse']")</f>
        <v>['Bangke', 'Nie', 'emang', 'network', 'Maen', 'ilang', 'signal', 'bangse', 'bangse']</v>
      </c>
      <c r="D11040" s="3">
        <v>1.0</v>
      </c>
    </row>
    <row r="11041" ht="15.75" customHeight="1">
      <c r="A11041" s="1">
        <v>11764.0</v>
      </c>
      <c r="B11041" s="3" t="s">
        <v>10561</v>
      </c>
      <c r="C11041" s="3" t="str">
        <f>IFERROR(__xludf.DUMMYFUNCTION("GOOGLETRANSLATE(B11041,""id"",""en"")"),"['application', 'good', 'bngt']")</f>
        <v>['application', 'good', 'bngt']</v>
      </c>
      <c r="D11041" s="3">
        <v>1.0</v>
      </c>
    </row>
    <row r="11042" ht="15.75" customHeight="1">
      <c r="A11042" s="1">
        <v>11765.0</v>
      </c>
      <c r="B11042" s="3" t="s">
        <v>10562</v>
      </c>
      <c r="C11042" s="3" t="str">
        <f>IFERROR(__xludf.DUMMYFUNCTION("GOOGLETRANSLATE(B11042,""id"",""en"")"),"['expensive', 'expensive', 'gag', 'cheap']")</f>
        <v>['expensive', 'expensive', 'gag', 'cheap']</v>
      </c>
      <c r="D11042" s="3">
        <v>1.0</v>
      </c>
    </row>
    <row r="11043" ht="15.75" customHeight="1">
      <c r="A11043" s="1">
        <v>11766.0</v>
      </c>
      <c r="B11043" s="3" t="s">
        <v>10563</v>
      </c>
      <c r="C11043" s="3" t="str">
        <f>IFERROR(__xludf.DUMMYFUNCTION("GOOGLETRANSLATE(B11043,""id"",""en"")"),"['Recommended', 'Wear', 'Provider', 'Telkomsel', 'Play', 'Game', 'Online', ""]")</f>
        <v>['Recommended', 'Wear', 'Provider', 'Telkomsel', 'Play', 'Game', 'Online', "]</v>
      </c>
      <c r="D11043" s="3">
        <v>1.0</v>
      </c>
    </row>
    <row r="11044" ht="15.75" customHeight="1">
      <c r="A11044" s="1">
        <v>11767.0</v>
      </c>
      <c r="B11044" s="3" t="s">
        <v>10564</v>
      </c>
      <c r="C11044" s="3" t="str">
        <f>IFERROR(__xludf.DUMMYFUNCTION("GOOGLETRANSLATE(B11044,""id"",""en"")"),"['oath', 'network', 'Telkomsel', 'dilapidated', 'really', 'cook', 'yes',' play ',' game ',' clock ',' night ',' tetep ',' Ngeleg ',' Sebel ',' Main ',' Game ',' War ',' Lag ',' Severe ',' ']")</f>
        <v>['oath', 'network', 'Telkomsel', 'dilapidated', 'really', 'cook', 'yes',' play ',' game ',' clock ',' night ',' tetep ',' Ngeleg ',' Sebel ',' Main ',' Game ',' War ',' Lag ',' Severe ',' ']</v>
      </c>
      <c r="D11044" s="3">
        <v>1.0</v>
      </c>
    </row>
    <row r="11045" ht="15.75" customHeight="1">
      <c r="A11045" s="1">
        <v>11768.0</v>
      </c>
      <c r="B11045" s="3" t="s">
        <v>10565</v>
      </c>
      <c r="C11045" s="3" t="str">
        <f>IFERROR(__xludf.DUMMYFUNCTION("GOOGLETRANSLATE(B11045,""id"",""en"")"),"['signal', 'Dragus', ""]")</f>
        <v>['signal', 'Dragus', "]</v>
      </c>
      <c r="D11045" s="3">
        <v>4.0</v>
      </c>
    </row>
    <row r="11046" ht="15.75" customHeight="1">
      <c r="A11046" s="1">
        <v>11769.0</v>
      </c>
      <c r="B11046" s="3" t="s">
        <v>10566</v>
      </c>
      <c r="C11046" s="3" t="str">
        <f>IFERROR(__xludf.DUMMYFUNCTION("GOOGLETRANSLATE(B11046,""id"",""en"")"),"['Network', 'nggk', 'normal', 'kayak', 'already', 'package', 'expensive', 'disorder', 'nggk', 'comfortable', 'telkom']")</f>
        <v>['Network', 'nggk', 'normal', 'kayak', 'already', 'package', 'expensive', 'disorder', 'nggk', 'comfortable', 'telkom']</v>
      </c>
      <c r="D11046" s="3">
        <v>1.0</v>
      </c>
    </row>
    <row r="11047" ht="15.75" customHeight="1">
      <c r="A11047" s="1">
        <v>11770.0</v>
      </c>
      <c r="B11047" s="3" t="s">
        <v>10567</v>
      </c>
      <c r="C11047" s="3" t="str">
        <f>IFERROR(__xludf.DUMMYFUNCTION("GOOGLETRANSLATE(B11047,""id"",""en"")"),"['The name', 'Lemoot', 'Weekhh']")</f>
        <v>['The name', 'Lemoot', 'Weekhh']</v>
      </c>
      <c r="D11047" s="3">
        <v>1.0</v>
      </c>
    </row>
    <row r="11048" ht="15.75" customHeight="1">
      <c r="A11048" s="1">
        <v>11771.0</v>
      </c>
      <c r="B11048" s="3" t="s">
        <v>10568</v>
      </c>
      <c r="C11048" s="3" t="str">
        <f>IFERROR(__xludf.DUMMYFUNCTION("GOOGLETRANSLATE(B11048,""id"",""en"")"),"['It's', 'bad']")</f>
        <v>['It's', 'bad']</v>
      </c>
      <c r="D11048" s="3">
        <v>1.0</v>
      </c>
    </row>
    <row r="11049" ht="15.75" customHeight="1">
      <c r="A11049" s="1">
        <v>11772.0</v>
      </c>
      <c r="B11049" s="3" t="s">
        <v>10569</v>
      </c>
      <c r="C11049" s="3" t="str">
        <f>IFERROR(__xludf.DUMMYFUNCTION("GOOGLETRANSLATE(B11049,""id"",""en"")"),"['cool', 'single', 'like', '']")</f>
        <v>['cool', 'single', 'like', '']</v>
      </c>
      <c r="D11049" s="3">
        <v>5.0</v>
      </c>
    </row>
    <row r="11050" ht="15.75" customHeight="1">
      <c r="A11050" s="1">
        <v>11773.0</v>
      </c>
      <c r="B11050" s="3" t="s">
        <v>10570</v>
      </c>
      <c r="C11050" s="3" t="str">
        <f>IFERROR(__xludf.DUMMYFUNCTION("GOOGLETRANSLATE(B11050,""id"",""en"")"),"['likes', 'forclose', 'appears', 'notif', 'pop', 'application', 'stop', 'open', 'applices', ""]")</f>
        <v>['likes', 'forclose', 'appears', 'notif', 'pop', 'application', 'stop', 'open', 'applices', "]</v>
      </c>
      <c r="D11050" s="3">
        <v>2.0</v>
      </c>
    </row>
    <row r="11051" ht="15.75" customHeight="1">
      <c r="A11051" s="1">
        <v>11774.0</v>
      </c>
      <c r="B11051" s="3" t="s">
        <v>10571</v>
      </c>
      <c r="C11051" s="3" t="str">
        <f>IFERROR(__xludf.DUMMYFUNCTION("GOOGLETRANSLATE(B11051,""id"",""en"")"),"['Collaborate', 'Telkomsel', 'Application', 'Open', '']")</f>
        <v>['Collaborate', 'Telkomsel', 'Application', 'Open', '']</v>
      </c>
      <c r="D11051" s="3">
        <v>1.0</v>
      </c>
    </row>
    <row r="11052" ht="15.75" customHeight="1">
      <c r="A11052" s="1">
        <v>11775.0</v>
      </c>
      <c r="B11052" s="3" t="s">
        <v>10572</v>
      </c>
      <c r="C11052" s="3" t="str">
        <f>IFERROR(__xludf.DUMMYFUNCTION("GOOGLETRANSLATE(B11052,""id"",""en"")"),"['Just', 'Share', 'Info', 'Update', 'Application', 'Blank', 'Screen', 'White', 'Delete', 'Application', 'Application', 'friend', ' Application ',' Sender ',' File ',' Google ',' File ',' Share ',' Etc. ',' Success', 'Install', 'Application', 'Update', 'Ig"&amp;"nore', 'Waiting' , 'Application', 'Telkomsel', 'Normal', 'Try', 'Success', 'Thank', 'Love', 'Hopefully', 'Help', ""]")</f>
        <v>['Just', 'Share', 'Info', 'Update', 'Application', 'Blank', 'Screen', 'White', 'Delete', 'Application', 'Application', 'friend', ' Application ',' Sender ',' File ',' Google ',' File ',' Share ',' Etc. ',' Success', 'Install', 'Application', 'Update', 'Ignore', 'Waiting' , 'Application', 'Telkomsel', 'Normal', 'Try', 'Success', 'Thank', 'Love', 'Hopefully', 'Help', "]</v>
      </c>
      <c r="D11052" s="3">
        <v>1.0</v>
      </c>
    </row>
    <row r="11053" ht="15.75" customHeight="1">
      <c r="A11053" s="1">
        <v>11776.0</v>
      </c>
      <c r="B11053" s="3" t="s">
        <v>10573</v>
      </c>
      <c r="C11053" s="3" t="str">
        <f>IFERROR(__xludf.DUMMYFUNCTION("GOOGLETRANSLATE(B11053,""id"",""en"")"),"['Signal', 'Telkomsel', 'Damaged', '']")</f>
        <v>['Signal', 'Telkomsel', 'Damaged', '']</v>
      </c>
      <c r="D11053" s="3">
        <v>1.0</v>
      </c>
    </row>
    <row r="11054" ht="15.75" customHeight="1">
      <c r="A11054" s="1">
        <v>11777.0</v>
      </c>
      <c r="B11054" s="3" t="s">
        <v>10574</v>
      </c>
      <c r="C11054" s="3" t="str">
        <f>IFERROR(__xludf.DUMMYFUNCTION("GOOGLETRANSLATE(B11054,""id"",""en"")"),"['Your network', 'already', 'like', 'garbage', 'already', 'comfortable', 'package', 'expensive', 'network', 'kayak', 'taik', 'collapse', ' Telkomsel ',' tariff ',' jdi ',' LPA ',' serving ']")</f>
        <v>['Your network', 'already', 'like', 'garbage', 'already', 'comfortable', 'package', 'expensive', 'network', 'kayak', 'taik', 'collapse', ' Telkomsel ',' tariff ',' jdi ',' LPA ',' serving ']</v>
      </c>
      <c r="D11054" s="3">
        <v>1.0</v>
      </c>
    </row>
    <row r="11055" ht="15.75" customHeight="1">
      <c r="A11055" s="1">
        <v>11778.0</v>
      </c>
      <c r="B11055" s="3" t="s">
        <v>10575</v>
      </c>
      <c r="C11055" s="3" t="str">
        <f>IFERROR(__xludf.DUMMYFUNCTION("GOOGLETRANSLATE(B11055,""id"",""en"")"),"['boss', 'signal', 'fix', 'expensive', 'doang', 'boss']")</f>
        <v>['boss', 'signal', 'fix', 'expensive', 'doang', 'boss']</v>
      </c>
      <c r="D11055" s="3">
        <v>1.0</v>
      </c>
    </row>
    <row r="11056" ht="15.75" customHeight="1">
      <c r="A11056" s="1">
        <v>11779.0</v>
      </c>
      <c r="B11056" s="3" t="s">
        <v>10576</v>
      </c>
      <c r="C11056" s="3" t="str">
        <f>IFERROR(__xludf.DUMMYFUNCTION("GOOGLETRANSLATE(B11056,""id"",""en"")"),"['service', 'satisfying', 'complain', 'signal', 'difficult', 'signal', 'like', 'ilang', 'please', 'lined']")</f>
        <v>['service', 'satisfying', 'complain', 'signal', 'difficult', 'signal', 'like', 'ilang', 'please', 'lined']</v>
      </c>
      <c r="D11056" s="3">
        <v>1.0</v>
      </c>
    </row>
    <row r="11057" ht="15.75" customHeight="1">
      <c r="A11057" s="1">
        <v>11780.0</v>
      </c>
      <c r="B11057" s="3" t="s">
        <v>10577</v>
      </c>
      <c r="C11057" s="3" t="str">
        <f>IFERROR(__xludf.DUMMYFUNCTION("GOOGLETRANSLATE(B11057,""id"",""en"")"),"['Sya', 'Lma', 'loyal', 'App', 'Telkomsell', 'MGGU', 'Application', 'Red', 'NDA', 'BSA', 'opened', 'Why', ' Honestly ',' SNGAT ',' DISTRACING ',' Comfort ',' Sya ']")</f>
        <v>['Sya', 'Lma', 'loyal', 'App', 'Telkomsell', 'MGGU', 'Application', 'Red', 'NDA', 'BSA', 'opened', 'Why', ' Honestly ',' SNGAT ',' DISTRACING ',' Comfort ',' Sya ']</v>
      </c>
      <c r="D11057" s="3">
        <v>5.0</v>
      </c>
    </row>
    <row r="11058" ht="15.75" customHeight="1">
      <c r="A11058" s="1">
        <v>11781.0</v>
      </c>
      <c r="B11058" s="3" t="s">
        <v>10578</v>
      </c>
      <c r="C11058" s="3" t="str">
        <f>IFERROR(__xludf.DUMMYFUNCTION("GOOGLETRANSLATE(B11058,""id"",""en"")"),"['Please', 'signal', 'condition', 'lahhhhh']")</f>
        <v>['Please', 'signal', 'condition', 'lahhhhh']</v>
      </c>
      <c r="D11058" s="3">
        <v>1.0</v>
      </c>
    </row>
    <row r="11059" ht="15.75" customHeight="1">
      <c r="A11059" s="1">
        <v>11782.0</v>
      </c>
      <c r="B11059" s="3" t="s">
        <v>10579</v>
      </c>
      <c r="C11059" s="3" t="str">
        <f>IFERROR(__xludf.DUMMYFUNCTION("GOOGLETRANSLATE(B11059,""id"",""en"")"),"['satisfying', 'replace', 'provider', 'rich']")</f>
        <v>['satisfying', 'replace', 'provider', 'rich']</v>
      </c>
      <c r="D11059" s="3">
        <v>1.0</v>
      </c>
    </row>
    <row r="11060" ht="15.75" customHeight="1">
      <c r="A11060" s="1">
        <v>11783.0</v>
      </c>
      <c r="B11060" s="3" t="s">
        <v>10580</v>
      </c>
      <c r="C11060" s="3" t="str">
        <f>IFERROR(__xludf.DUMMYFUNCTION("GOOGLETRANSLATE(B11060,""id"",""en"")"),"['Signal', 'ilang', 'around', 'sub-district', 'rajeg', 'blas', 'ora', 'road']")</f>
        <v>['Signal', 'ilang', 'around', 'sub-district', 'rajeg', 'blas', 'ora', 'road']</v>
      </c>
      <c r="D11060" s="3">
        <v>1.0</v>
      </c>
    </row>
    <row r="11061" ht="15.75" customHeight="1">
      <c r="A11061" s="1">
        <v>11784.0</v>
      </c>
      <c r="B11061" s="3" t="s">
        <v>10581</v>
      </c>
      <c r="C11061" s="3" t="str">
        <f>IFERROR(__xludf.DUMMYFUNCTION("GOOGLETRANSLATE(B11061,""id"",""en"")"),"['Telkomsel', 'ugly', 'really', 'signal', 'rich']")</f>
        <v>['Telkomsel', 'ugly', 'really', 'signal', 'rich']</v>
      </c>
      <c r="D11061" s="3">
        <v>1.0</v>
      </c>
    </row>
    <row r="11062" ht="15.75" customHeight="1">
      <c r="A11062" s="1">
        <v>11785.0</v>
      </c>
      <c r="B11062" s="3" t="s">
        <v>10582</v>
      </c>
      <c r="C11062" s="3" t="str">
        <f>IFERROR(__xludf.DUMMYFUNCTION("GOOGLETRANSLATE(B11062,""id"",""en"")"),"['The application', 'open', 'screen', 'white', 'only', 'tekomsel', 'kayak', 'gini', ""]")</f>
        <v>['The application', 'open', 'screen', 'white', 'only', 'tekomsel', 'kayak', 'gini', "]</v>
      </c>
      <c r="D11062" s="3">
        <v>1.0</v>
      </c>
    </row>
    <row r="11063" ht="15.75" customHeight="1">
      <c r="A11063" s="1">
        <v>11786.0</v>
      </c>
      <c r="B11063" s="3" t="s">
        <v>10583</v>
      </c>
      <c r="C11063" s="3" t="str">
        <f>IFERROR(__xludf.DUMMYFUNCTION("GOOGLETRANSLATE(B11063,""id"",""en"")"),"['', 'update', 'blank', 'white', 'application', 'tsel', 'info', 'solution', 'solution', 'stop', 'customer', 'card', 'hello ',' ']")</f>
        <v>['', 'update', 'blank', 'white', 'application', 'tsel', 'info', 'solution', 'solution', 'stop', 'customer', 'card', 'hello ',' ']</v>
      </c>
      <c r="D11063" s="3">
        <v>1.0</v>
      </c>
    </row>
    <row r="11064" ht="15.75" customHeight="1">
      <c r="A11064" s="1">
        <v>11787.0</v>
      </c>
      <c r="B11064" s="3" t="s">
        <v>10584</v>
      </c>
      <c r="C11064" s="3" t="str">
        <f>IFERROR(__xludf.DUMMYFUNCTION("GOOGLETRANSLATE(B11064,""id"",""en"")"),"['package', 'dial', 'apk', 'difficult', 'communication', 'robot', 'communication', 'direction']")</f>
        <v>['package', 'dial', 'apk', 'difficult', 'communication', 'robot', 'communication', 'direction']</v>
      </c>
      <c r="D11064" s="3">
        <v>1.0</v>
      </c>
    </row>
    <row r="11065" ht="15.75" customHeight="1">
      <c r="A11065" s="1">
        <v>11788.0</v>
      </c>
      <c r="B11065" s="3" t="s">
        <v>10585</v>
      </c>
      <c r="C11065" s="3" t="str">
        <f>IFERROR(__xludf.DUMMYFUNCTION("GOOGLETRANSLATE(B11065,""id"",""en"")"),"['Network', 'strong', 'Where']")</f>
        <v>['Network', 'strong', 'Where']</v>
      </c>
      <c r="D11065" s="3">
        <v>5.0</v>
      </c>
    </row>
    <row r="11066" ht="15.75" customHeight="1">
      <c r="A11066" s="1">
        <v>11789.0</v>
      </c>
      <c r="B11066" s="3" t="s">
        <v>10586</v>
      </c>
      <c r="C11066" s="3" t="str">
        <f>IFERROR(__xludf.DUMMYFUNCTION("GOOGLETRANSLATE(B11066,""id"",""en"")"),"['Tired', 'Download', 'APK', 'Maling', 'just', 'Take', 'Untung', 'Download', 'Devil', 'Damaged', 'Maling', 'Telkomsel', ' times', 'Download', 'Tetep', 'Puti']")</f>
        <v>['Tired', 'Download', 'APK', 'Maling', 'just', 'Take', 'Untung', 'Download', 'Devil', 'Damaged', 'Maling', 'Telkomsel', ' times', 'Download', 'Tetep', 'Puti']</v>
      </c>
      <c r="D11066" s="3">
        <v>1.0</v>
      </c>
    </row>
    <row r="11067" ht="15.75" customHeight="1">
      <c r="A11067" s="1">
        <v>11790.0</v>
      </c>
      <c r="B11067" s="3" t="s">
        <v>10587</v>
      </c>
      <c r="C11067" s="3" t="str">
        <f>IFERROR(__xludf.DUMMYFUNCTION("GOOGLETRANSLATE(B11067,""id"",""en"")"),"['mantapp', 'really', 'pokonya', 'omat', 'love', 'Telkomsel', '']")</f>
        <v>['mantapp', 'really', 'pokonya', 'omat', 'love', 'Telkomsel', '']</v>
      </c>
      <c r="D11067" s="3">
        <v>5.0</v>
      </c>
    </row>
    <row r="11068" ht="15.75" customHeight="1">
      <c r="A11068" s="1">
        <v>11791.0</v>
      </c>
      <c r="B11068" s="3" t="s">
        <v>10588</v>
      </c>
      <c r="C11068" s="3" t="str">
        <f>IFERROR(__xludf.DUMMYFUNCTION("GOOGLETRANSLATE(B11068,""id"",""en"")"),"['price', 'choice', 'package', 'expensive', 'kasian', 'people', 'already', 'need', 'staple', 'internet', 'tlg', 'price', ' Light ',' mksh ']")</f>
        <v>['price', 'choice', 'package', 'expensive', 'kasian', 'people', 'already', 'need', 'staple', 'internet', 'tlg', 'price', ' Light ',' mksh ']</v>
      </c>
      <c r="D11068" s="3">
        <v>5.0</v>
      </c>
    </row>
    <row r="11069" ht="15.75" customHeight="1">
      <c r="A11069" s="1">
        <v>11792.0</v>
      </c>
      <c r="B11069" s="3" t="s">
        <v>10589</v>
      </c>
      <c r="C11069" s="3" t="str">
        <f>IFERROR(__xludf.DUMMYFUNCTION("GOOGLETRANSLATE(B11069,""id"",""en"")"),"['Good', 'LEG']")</f>
        <v>['Good', 'LEG']</v>
      </c>
      <c r="D11069" s="3">
        <v>5.0</v>
      </c>
    </row>
    <row r="11070" ht="15.75" customHeight="1">
      <c r="A11070" s="1">
        <v>11794.0</v>
      </c>
      <c r="B11070" s="3" t="s">
        <v>10590</v>
      </c>
      <c r="C11070" s="3" t="str">
        <f>IFERROR(__xludf.DUMMYFUNCTION("GOOGLETRANSLATE(B11070,""id"",""en"")"),"['Customer', 'Telkomsel', 'bad', 'network', 'slow', 'package', 'expensive', 'Telkomsel', 'Nge', 'blank', 'open']")</f>
        <v>['Customer', 'Telkomsel', 'bad', 'network', 'slow', 'package', 'expensive', 'Telkomsel', 'Nge', 'blank', 'open']</v>
      </c>
      <c r="D11070" s="3">
        <v>4.0</v>
      </c>
    </row>
    <row r="11071" ht="15.75" customHeight="1">
      <c r="A11071" s="1">
        <v>11795.0</v>
      </c>
      <c r="B11071" s="3" t="s">
        <v>10591</v>
      </c>
      <c r="C11071" s="3" t="str">
        <f>IFERROR(__xludf.DUMMYFUNCTION("GOOGLETRANSLATE(B11071,""id"",""en"")"),"['made', 'complicated', 'ngeheng', 'screen', 'white', 'doang', '']")</f>
        <v>['made', 'complicated', 'ngeheng', 'screen', 'white', 'doang', '']</v>
      </c>
      <c r="D11071" s="3">
        <v>1.0</v>
      </c>
    </row>
    <row r="11072" ht="15.75" customHeight="1">
      <c r="A11072" s="1">
        <v>11796.0</v>
      </c>
      <c r="B11072" s="3" t="s">
        <v>10592</v>
      </c>
      <c r="C11072" s="3" t="str">
        <f>IFERROR(__xludf.DUMMYFUNCTION("GOOGLETRANSLATE(B11072,""id"",""en"")"),"['Lumyan', 'Aga', 'Easy', 'buy', 'PKET', 'LIKE', 'Direct', 'Price', 'Package', 'Expensive', 'Internet', 'Lemot', ' Ticked ', ""]")</f>
        <v>['Lumyan', 'Aga', 'Easy', 'buy', 'PKET', 'LIKE', 'Direct', 'Price', 'Package', 'Expensive', 'Internet', 'Lemot', ' Ticked ', "]</v>
      </c>
      <c r="D11072" s="3">
        <v>4.0</v>
      </c>
    </row>
    <row r="11073" ht="15.75" customHeight="1">
      <c r="A11073" s="1">
        <v>11797.0</v>
      </c>
      <c r="B11073" s="3" t="s">
        <v>10593</v>
      </c>
      <c r="C11073" s="3" t="str">
        <f>IFERROR(__xludf.DUMMYFUNCTION("GOOGLETRANSLATE(B11073,""id"",""en"")"),"['Safety', 'practical', 'helped', 'Msih', 'promo', ""]")</f>
        <v>['Safety', 'practical', 'helped', 'Msih', 'promo', "]</v>
      </c>
      <c r="D11073" s="3">
        <v>5.0</v>
      </c>
    </row>
    <row r="11074" ht="15.75" customHeight="1">
      <c r="A11074" s="1">
        <v>11798.0</v>
      </c>
      <c r="B11074" s="3" t="s">
        <v>10594</v>
      </c>
      <c r="C11074" s="3" t="str">
        <f>IFERROR(__xludf.DUMMYFUNCTION("GOOGLETRANSLATE(B11074,""id"",""en"")"),"['Out', 'Uptudet', 'opened']")</f>
        <v>['Out', 'Uptudet', 'opened']</v>
      </c>
      <c r="D11074" s="3">
        <v>1.0</v>
      </c>
    </row>
    <row r="11075" ht="15.75" customHeight="1">
      <c r="A11075" s="1">
        <v>11799.0</v>
      </c>
      <c r="B11075" s="3" t="s">
        <v>10595</v>
      </c>
      <c r="C11075" s="3" t="str">
        <f>IFERROR(__xludf.DUMMYFUNCTION("GOOGLETRANSLATE(B11075,""id"",""en"")"),"['buy', 'price', 'thousand', 'skrg', 'total', 'intetnet', 'knp', 'divided', 'internet', 'media', 'GB', 'internet', ' Out ',' Date ',' Media ',' Media ',' Inns ',' Internet ',' GB ',' As 'according to', 'promo', ""]")</f>
        <v>['buy', 'price', 'thousand', 'skrg', 'total', 'intetnet', 'knp', 'divided', 'internet', 'media', 'GB', 'internet', ' Out ',' Date ',' Media ',' Media ',' Inns ',' Internet ',' GB ',' As 'according to', 'promo', "]</v>
      </c>
      <c r="D11075" s="3">
        <v>1.0</v>
      </c>
    </row>
    <row r="11076" ht="15.75" customHeight="1">
      <c r="A11076" s="1">
        <v>11800.0</v>
      </c>
      <c r="B11076" s="3" t="s">
        <v>10596</v>
      </c>
      <c r="C11076" s="3" t="str">
        <f>IFERROR(__xludf.DUMMYFUNCTION("GOOGLETRANSLATE(B11076,""id"",""en"")"),"['', 'Telkomsel', 'run out', 'updated', 'appears', 'screen', 'white', ""]")</f>
        <v>['', 'Telkomsel', 'run out', 'updated', 'appears', 'screen', 'white', "]</v>
      </c>
      <c r="D11076" s="3">
        <v>2.0</v>
      </c>
    </row>
    <row r="11077" ht="15.75" customHeight="1">
      <c r="A11077" s="1">
        <v>11801.0</v>
      </c>
      <c r="B11077" s="3" t="s">
        <v>10597</v>
      </c>
      <c r="C11077" s="3" t="str">
        <f>IFERROR(__xludf.DUMMYFUNCTION("GOOGLETRANSLATE(B11077,""id"",""en"")"),"['Application', 'MyTelkomsel', 'Open', 'update', ""]")</f>
        <v>['Application', 'MyTelkomsel', 'Open', 'update', "]</v>
      </c>
      <c r="D11077" s="3">
        <v>5.0</v>
      </c>
    </row>
    <row r="11078" ht="15.75" customHeight="1">
      <c r="A11078" s="1">
        <v>11803.0</v>
      </c>
      <c r="B11078" s="3" t="s">
        <v>10598</v>
      </c>
      <c r="C11078" s="3" t="str">
        <f>IFERROR(__xludf.DUMMYFUNCTION("GOOGLETRANSLATE(B11078,""id"",""en"")"),"['', 'buy', 'package', 'already', 'week', 'buy', 'backward']")</f>
        <v>['', 'buy', 'package', 'already', 'week', 'buy', 'backward']</v>
      </c>
      <c r="D11078" s="3">
        <v>1.0</v>
      </c>
    </row>
    <row r="11079" ht="15.75" customHeight="1">
      <c r="A11079" s="1">
        <v>11804.0</v>
      </c>
      <c r="B11079" s="3" t="s">
        <v>10599</v>
      </c>
      <c r="C11079" s="3" t="str">
        <f>IFERROR(__xludf.DUMMYFUNCTION("GOOGLETRANSLATE(B11079,""id"",""en"")"),"['Jaya', 'Telkomsel', 'Your Role', 'Life', 'World']")</f>
        <v>['Jaya', 'Telkomsel', 'Your Role', 'Life', 'World']</v>
      </c>
      <c r="D11079" s="3">
        <v>5.0</v>
      </c>
    </row>
    <row r="11080" ht="15.75" customHeight="1">
      <c r="A11080" s="1">
        <v>11805.0</v>
      </c>
      <c r="B11080" s="3" t="s">
        <v>10600</v>
      </c>
      <c r="C11080" s="3" t="str">
        <f>IFERROR(__xludf.DUMMYFUNCTION("GOOGLETRANSLATE(B11080,""id"",""en"")"),"['Disappointed', 'severe', 'really', 'update', 'go', 'ngeblank', 'doang', 'sorry', 'bad', ""]")</f>
        <v>['Disappointed', 'severe', 'really', 'update', 'go', 'ngeblank', 'doang', 'sorry', 'bad', "]</v>
      </c>
      <c r="D11080" s="3">
        <v>1.0</v>
      </c>
    </row>
    <row r="11081" ht="15.75" customHeight="1">
      <c r="A11081" s="1">
        <v>11806.0</v>
      </c>
      <c r="B11081" s="3" t="s">
        <v>2727</v>
      </c>
      <c r="C11081" s="3" t="str">
        <f>IFERROR(__xludf.DUMMYFUNCTION("GOOGLETRANSLATE(B11081,""id"",""en"")"),"['Opened', '']")</f>
        <v>['Opened', '']</v>
      </c>
      <c r="D11081" s="3">
        <v>1.0</v>
      </c>
    </row>
    <row r="11082" ht="15.75" customHeight="1">
      <c r="A11082" s="1">
        <v>11807.0</v>
      </c>
      <c r="B11082" s="3" t="s">
        <v>10601</v>
      </c>
      <c r="C11082" s="3" t="str">
        <f>IFERROR(__xludf.DUMMYFUNCTION("GOOGLETRANSLATE(B11082,""id"",""en"")"),"['Application', 'Hopefully', 'Telkomsel', 'Jaya', 'Hopefully', 'Lucky']")</f>
        <v>['Application', 'Hopefully', 'Telkomsel', 'Jaya', 'Hopefully', 'Lucky']</v>
      </c>
      <c r="D11082" s="3">
        <v>5.0</v>
      </c>
    </row>
    <row r="11083" ht="15.75" customHeight="1">
      <c r="A11083" s="1">
        <v>11808.0</v>
      </c>
      <c r="B11083" s="3" t="s">
        <v>10602</v>
      </c>
      <c r="C11083" s="3" t="str">
        <f>IFERROR(__xludf.DUMMYFUNCTION("GOOGLETRANSLATE(B11083,""id"",""en"")"),"['signal', 'edan', 'ping', 'down', 'please', 'action', 'location', 'palembang']")</f>
        <v>['signal', 'edan', 'ping', 'down', 'please', 'action', 'location', 'palembang']</v>
      </c>
      <c r="D11083" s="3">
        <v>1.0</v>
      </c>
    </row>
    <row r="11084" ht="15.75" customHeight="1">
      <c r="A11084" s="1">
        <v>11809.0</v>
      </c>
      <c r="B11084" s="3" t="s">
        <v>10603</v>
      </c>
      <c r="C11084" s="3" t="str">
        <f>IFERROR(__xludf.DUMMYFUNCTION("GOOGLETRANSLATE(B11084,""id"",""en"")"),"['The network', 'difficult', 'call', 'please', 'fix']")</f>
        <v>['The network', 'difficult', 'call', 'please', 'fix']</v>
      </c>
      <c r="D11084" s="3">
        <v>1.0</v>
      </c>
    </row>
    <row r="11085" ht="15.75" customHeight="1">
      <c r="A11085" s="1">
        <v>11810.0</v>
      </c>
      <c r="B11085" s="3" t="s">
        <v>10604</v>
      </c>
      <c r="C11085" s="3" t="str">
        <f>IFERROR(__xludf.DUMMYFUNCTION("GOOGLETRANSLATE(B11085,""id"",""en"")"),"['hope', 'help']")</f>
        <v>['hope', 'help']</v>
      </c>
      <c r="D11085" s="3">
        <v>3.0</v>
      </c>
    </row>
    <row r="11086" ht="15.75" customHeight="1">
      <c r="A11086" s="1">
        <v>11811.0</v>
      </c>
      <c r="B11086" s="3" t="s">
        <v>10605</v>
      </c>
      <c r="C11086" s="3" t="str">
        <f>IFERROR(__xludf.DUMMYFUNCTION("GOOGLETRANSLATE(B11086,""id"",""en"")"),"['Disappointed', 'Full,' Good ',' Signal ',' Region ',' Stay ']")</f>
        <v>['Disappointed', 'Full,' Good ',' Signal ',' Region ',' Stay ']</v>
      </c>
      <c r="D11086" s="3">
        <v>3.0</v>
      </c>
    </row>
    <row r="11087" ht="15.75" customHeight="1">
      <c r="A11087" s="1">
        <v>11812.0</v>
      </c>
      <c r="B11087" s="3" t="s">
        <v>10606</v>
      </c>
      <c r="C11087" s="3" t="str">
        <f>IFERROR(__xludf.DUMMYFUNCTION("GOOGLETRANSLATE(B11087,""id"",""en"")"),"['user', 'App', 'Telkomsel', 'accessed', 'difficult', 'checks', 'bills', 'kartuHALO', 'solution', 'overcome', 'disappointed', ""]")</f>
        <v>['user', 'App', 'Telkomsel', 'accessed', 'difficult', 'checks', 'bills', 'kartuHALO', 'solution', 'overcome', 'disappointed', "]</v>
      </c>
      <c r="D11087" s="3">
        <v>1.0</v>
      </c>
    </row>
    <row r="11088" ht="15.75" customHeight="1">
      <c r="A11088" s="1">
        <v>11813.0</v>
      </c>
      <c r="B11088" s="3" t="s">
        <v>10607</v>
      </c>
      <c r="C11088" s="3" t="str">
        <f>IFERROR(__xludf.DUMMYFUNCTION("GOOGLETRANSLATE(B11088,""id"",""en"")"),"['Signal', 'Kayak', 'Taik', 'Package', 'Expensive']")</f>
        <v>['Signal', 'Kayak', 'Taik', 'Package', 'Expensive']</v>
      </c>
      <c r="D11088" s="3">
        <v>1.0</v>
      </c>
    </row>
    <row r="11089" ht="15.75" customHeight="1">
      <c r="A11089" s="1">
        <v>11814.0</v>
      </c>
      <c r="B11089" s="3" t="s">
        <v>10608</v>
      </c>
      <c r="C11089" s="3" t="str">
        <f>IFERROR(__xludf.DUMMYFUNCTION("GOOGLETRANSLATE(B11089,""id"",""en"")"),"['pig', 'signal', 'knapa', 'ugly']")</f>
        <v>['pig', 'signal', 'knapa', 'ugly']</v>
      </c>
      <c r="D11089" s="3">
        <v>1.0</v>
      </c>
    </row>
    <row r="11090" ht="15.75" customHeight="1">
      <c r="A11090" s="1">
        <v>11815.0</v>
      </c>
      <c r="B11090" s="3" t="s">
        <v>10609</v>
      </c>
      <c r="C11090" s="3" t="str">
        <f>IFERROR(__xludf.DUMMYFUNCTION("GOOGLETRANSLATE(B11090,""id"",""en"")"),"['Telkomsel', 'Dear', 'buy', 'Package', 'Combo', 'Sakti', 'quota', 'main', 'Out', 'quota', 'sosmed', 'GB', ' Speed ​​',' Network ',' Lower ',' Kbps', 'Try', 'Literature', 'Have', 'Quota', 'Sosmed', 'Open', 'Instagram', 'Youtub', 'Game' , 'Tiktok', 'fraud'"&amp;", 'name', 'get', 'Article', ""]")</f>
        <v>['Telkomsel', 'Dear', 'buy', 'Package', 'Combo', 'Sakti', 'quota', 'main', 'Out', 'quota', 'sosmed', 'GB', ' Speed ​​',' Network ',' Lower ',' Kbps', 'Try', 'Literature', 'Have', 'Quota', 'Sosmed', 'Open', 'Instagram', 'Youtub', 'Game' , 'Tiktok', 'fraud', 'name', 'get', 'Article', "]</v>
      </c>
      <c r="D11090" s="3">
        <v>1.0</v>
      </c>
    </row>
    <row r="11091" ht="15.75" customHeight="1">
      <c r="A11091" s="1">
        <v>11816.0</v>
      </c>
      <c r="B11091" s="3" t="s">
        <v>10610</v>
      </c>
      <c r="C11091" s="3" t="str">
        <f>IFERROR(__xludf.DUMMYFUNCTION("GOOGLETRANSLATE(B11091,""id"",""en"")"),"['Package', 'Mehong', 'Severe']")</f>
        <v>['Package', 'Mehong', 'Severe']</v>
      </c>
      <c r="D11091" s="3">
        <v>1.0</v>
      </c>
    </row>
    <row r="11092" ht="15.75" customHeight="1">
      <c r="A11092" s="1">
        <v>11817.0</v>
      </c>
      <c r="B11092" s="3" t="s">
        <v>10611</v>
      </c>
      <c r="C11092" s="3" t="str">
        <f>IFERROR(__xludf.DUMMYFUNCTION("GOOGLETRANSLATE(B11092,""id"",""en"")"),"['Jaya', 'Maintain', 'Quality']")</f>
        <v>['Jaya', 'Maintain', 'Quality']</v>
      </c>
      <c r="D11092" s="3">
        <v>5.0</v>
      </c>
    </row>
    <row r="11093" ht="15.75" customHeight="1">
      <c r="A11093" s="1">
        <v>11818.0</v>
      </c>
      <c r="B11093" s="3" t="s">
        <v>10612</v>
      </c>
      <c r="C11093" s="3" t="str">
        <f>IFERROR(__xludf.DUMMYFUNCTION("GOOGLETRANSLATE(B11093,""id"",""en"")"),"['Sekaramg', 'Open', 'App', 'screen', 'JYA', 'White', 'appears', ""]")</f>
        <v>['Sekaramg', 'Open', 'App', 'screen', 'JYA', 'White', 'appears', "]</v>
      </c>
      <c r="D11093" s="3">
        <v>1.0</v>
      </c>
    </row>
    <row r="11094" ht="15.75" customHeight="1">
      <c r="A11094" s="1">
        <v>11819.0</v>
      </c>
      <c r="B11094" s="3" t="s">
        <v>10613</v>
      </c>
      <c r="C11094" s="3" t="str">
        <f>IFERROR(__xludf.DUMMYFUNCTION("GOOGLETRANSLATE(B11094,""id"",""en"")"),"['Suggest', 'Add', 'Features', 'Top', 'Diamond', ""]")</f>
        <v>['Suggest', 'Add', 'Features', 'Top', 'Diamond', "]</v>
      </c>
      <c r="D11094" s="3">
        <v>4.0</v>
      </c>
    </row>
    <row r="11095" ht="15.75" customHeight="1">
      <c r="A11095" s="1">
        <v>11820.0</v>
      </c>
      <c r="B11095" s="3" t="s">
        <v>10614</v>
      </c>
      <c r="C11095" s="3" t="str">
        <f>IFERROR(__xludf.DUMMYFUNCTION("GOOGLETRANSLATE(B11095,""id"",""en"")"),"['Login', 'Mulu']")</f>
        <v>['Login', 'Mulu']</v>
      </c>
      <c r="D11095" s="3">
        <v>2.0</v>
      </c>
    </row>
    <row r="11096" ht="15.75" customHeight="1">
      <c r="A11096" s="1">
        <v>11821.0</v>
      </c>
      <c r="B11096" s="3" t="s">
        <v>355</v>
      </c>
      <c r="C11096" s="3" t="str">
        <f>IFERROR(__xludf.DUMMYFUNCTION("GOOGLETRANSLATE(B11096,""id"",""en"")"),"['open', '']")</f>
        <v>['open', '']</v>
      </c>
      <c r="D11096" s="3">
        <v>3.0</v>
      </c>
    </row>
    <row r="11097" ht="15.75" customHeight="1">
      <c r="A11097" s="1">
        <v>11822.0</v>
      </c>
      <c r="B11097" s="3" t="s">
        <v>10615</v>
      </c>
      <c r="C11097" s="3" t="str">
        <f>IFERROR(__xludf.DUMMYFUNCTION("GOOGLETRANSLATE(B11097,""id"",""en"")"),"['Telkosel', 'steady', 'hope', 'gift', 'car']")</f>
        <v>['Telkosel', 'steady', 'hope', 'gift', 'car']</v>
      </c>
      <c r="D11097" s="3">
        <v>4.0</v>
      </c>
    </row>
    <row r="11098" ht="15.75" customHeight="1">
      <c r="A11098" s="1">
        <v>11823.0</v>
      </c>
      <c r="B11098" s="3" t="s">
        <v>10616</v>
      </c>
      <c r="C11098" s="3" t="str">
        <f>IFERROR(__xludf.DUMMYFUNCTION("GOOGLETRANSLATE(B11098,""id"",""en"")"),"['Points', 'Exchange', 'Quota', 'Credit', 'Cumma', 'Loss', '']")</f>
        <v>['Points', 'Exchange', 'Quota', 'Credit', 'Cumma', 'Loss', '']</v>
      </c>
      <c r="D11098" s="3">
        <v>3.0</v>
      </c>
    </row>
    <row r="11099" ht="15.75" customHeight="1">
      <c r="A11099" s="1">
        <v>11824.0</v>
      </c>
      <c r="B11099" s="3" t="s">
        <v>10617</v>
      </c>
      <c r="C11099" s="3" t="str">
        <f>IFERROR(__xludf.DUMMYFUNCTION("GOOGLETRANSLATE(B11099,""id"",""en"")"),"['Gada', 'Change', 'Signal', 'Bad', 'City', 'Waiter', 'Begoo', 'Ngelintanin', 'Robot', 'Expensive', 'DANGG', 'NAJISS']")</f>
        <v>['Gada', 'Change', 'Signal', 'Bad', 'City', 'Waiter', 'Begoo', 'Ngelintanin', 'Robot', 'Expensive', 'DANGG', 'NAJISS']</v>
      </c>
      <c r="D11099" s="3">
        <v>1.0</v>
      </c>
    </row>
    <row r="11100" ht="15.75" customHeight="1">
      <c r="A11100" s="1">
        <v>11825.0</v>
      </c>
      <c r="B11100" s="3" t="s">
        <v>10618</v>
      </c>
      <c r="C11100" s="3" t="str">
        <f>IFERROR(__xludf.DUMMYFUNCTION("GOOGLETRANSLATE(B11100,""id"",""en"")"),"['application', 'Telkomsel', 'blank', 'screen', 'rich', 'paper', 'white', 'plain', 'color']")</f>
        <v>['application', 'Telkomsel', 'blank', 'screen', 'rich', 'paper', 'white', 'plain', 'color']</v>
      </c>
      <c r="D11100" s="3">
        <v>1.0</v>
      </c>
    </row>
    <row r="11101" ht="15.75" customHeight="1">
      <c r="A11101" s="1">
        <v>11826.0</v>
      </c>
      <c r="B11101" s="3" t="s">
        <v>10619</v>
      </c>
      <c r="C11101" s="3" t="str">
        <f>IFERROR(__xludf.DUMMYFUNCTION("GOOGLETRANSLATE(B11101,""id"",""en"")"),"['screen', 'right', 'Bukak', 'white']")</f>
        <v>['screen', 'right', 'Bukak', 'white']</v>
      </c>
      <c r="D11101" s="3">
        <v>1.0</v>
      </c>
    </row>
    <row r="11102" ht="15.75" customHeight="1">
      <c r="A11102" s="1">
        <v>11827.0</v>
      </c>
      <c r="B11102" s="3" t="s">
        <v>10620</v>
      </c>
      <c r="C11102" s="3" t="str">
        <f>IFERROR(__xludf.DUMMYFUNCTION("GOOGLETRANSLATE(B11102,""id"",""en"")"),"['Paketan', 'expensive', 'Network', 'Add', 'Jelkk', 'Taikkk']")</f>
        <v>['Paketan', 'expensive', 'Network', 'Add', 'Jelkk', 'Taikkk']</v>
      </c>
      <c r="D11102" s="3">
        <v>1.0</v>
      </c>
    </row>
    <row r="11103" ht="15.75" customHeight="1">
      <c r="A11103" s="1">
        <v>11828.0</v>
      </c>
      <c r="B11103" s="3" t="s">
        <v>10621</v>
      </c>
      <c r="C11103" s="3" t="str">
        <f>IFERROR(__xludf.DUMMYFUNCTION("GOOGLETRANSLATE(B11103,""id"",""en"")"),"['Paketan', 'cheap', 'use', 'network', 'broad', 'reach', 'remote', 'forest', 'kdalase', 'forest', 'jungle']")</f>
        <v>['Paketan', 'cheap', 'use', 'network', 'broad', 'reach', 'remote', 'forest', 'kdalase', 'forest', 'jungle']</v>
      </c>
      <c r="D11103" s="3">
        <v>5.0</v>
      </c>
    </row>
    <row r="11104" ht="15.75" customHeight="1">
      <c r="A11104" s="1">
        <v>11829.0</v>
      </c>
      <c r="B11104" s="3" t="s">
        <v>10622</v>
      </c>
      <c r="C11104" s="3" t="str">
        <f>IFERROR(__xludf.DUMMYFUNCTION("GOOGLETRANSLATE(B11104,""id"",""en"")"),"['Please', 'Sorry', 'Sis',' Enter ',' already ',' brpa ',' times', 'Install', 'right', 'press',' APK ',' picture ',' White ',' enter ',' Home ',' Thanks']")</f>
        <v>['Please', 'Sorry', 'Sis',' Enter ',' already ',' brpa ',' times', 'Install', 'right', 'press',' APK ',' picture ',' White ',' enter ',' Home ',' Thanks']</v>
      </c>
      <c r="D11104" s="3">
        <v>3.0</v>
      </c>
    </row>
    <row r="11105" ht="15.75" customHeight="1">
      <c r="A11105" s="1">
        <v>11831.0</v>
      </c>
      <c r="B11105" s="3" t="s">
        <v>10623</v>
      </c>
      <c r="C11105" s="3" t="str">
        <f>IFERROR(__xludf.DUMMYFUNCTION("GOOGLETRANSLATE(B11105,""id"",""en"")"),"['promo', 'yaa']")</f>
        <v>['promo', 'yaa']</v>
      </c>
      <c r="D11105" s="3">
        <v>5.0</v>
      </c>
    </row>
    <row r="11106" ht="15.75" customHeight="1">
      <c r="A11106" s="1">
        <v>11832.0</v>
      </c>
      <c r="B11106" s="3" t="s">
        <v>10624</v>
      </c>
      <c r="C11106" s="3" t="str">
        <f>IFERROR(__xludf.DUMMYFUNCTION("GOOGLETRANSLATE(B11106,""id"",""en"")"),"['Like', 'Error', 'right', 'Send', 'pulse', 'number', 'pulses',' right ',' enter ',' nominal ',' Tulianya ',' credit ',' sufficient ',' please ',' repaired ']")</f>
        <v>['Like', 'Error', 'right', 'Send', 'pulse', 'number', 'pulses',' right ',' enter ',' nominal ',' Tulianya ',' credit ',' sufficient ',' please ',' repaired ']</v>
      </c>
      <c r="D11106" s="3">
        <v>3.0</v>
      </c>
    </row>
    <row r="11107" ht="15.75" customHeight="1">
      <c r="A11107" s="1">
        <v>11833.0</v>
      </c>
      <c r="B11107" s="3" t="s">
        <v>10625</v>
      </c>
      <c r="C11107" s="3" t="str">
        <f>IFERROR(__xludf.DUMMYFUNCTION("GOOGLETRANSLATE(B11107,""id"",""en"")"),"['Like', 'Error', 'Application', 'Lamban']")</f>
        <v>['Like', 'Error', 'Application', 'Lamban']</v>
      </c>
      <c r="D11107" s="3">
        <v>1.0</v>
      </c>
    </row>
    <row r="11108" ht="15.75" customHeight="1">
      <c r="A11108" s="1">
        <v>11834.0</v>
      </c>
      <c r="B11108" s="3" t="s">
        <v>10626</v>
      </c>
      <c r="C11108" s="3" t="str">
        <f>IFERROR(__xludf.DUMMYFUNCTION("GOOGLETRANSLATE(B11108,""id"",""en"")"),"['signal', 'stable', 'Sometimes', 'Pengn', 'cry', 'Wait', 'Network', 'Telkomsel', ""]")</f>
        <v>['signal', 'stable', 'Sometimes', 'Pengn', 'cry', 'Wait', 'Network', 'Telkomsel', "]</v>
      </c>
      <c r="D11108" s="3">
        <v>1.0</v>
      </c>
    </row>
    <row r="11109" ht="15.75" customHeight="1">
      <c r="A11109" s="1">
        <v>11835.0</v>
      </c>
      <c r="B11109" s="3" t="s">
        <v>10627</v>
      </c>
      <c r="C11109" s="3" t="str">
        <f>IFERROR(__xludf.DUMMYFUNCTION("GOOGLETRANSLATE(B11109,""id"",""en"")"),"['Sorry', 'Telkomsel', 'sell', 'package', 'data', 'because', 'data', 'watch', ""]")</f>
        <v>['Sorry', 'Telkomsel', 'sell', 'package', 'data', 'because', 'data', 'watch', "]</v>
      </c>
      <c r="D11109" s="3">
        <v>3.0</v>
      </c>
    </row>
    <row r="11110" ht="15.75" customHeight="1">
      <c r="A11110" s="1">
        <v>11836.0</v>
      </c>
      <c r="B11110" s="3" t="s">
        <v>10628</v>
      </c>
      <c r="C11110" s="3" t="str">
        <f>IFERROR(__xludf.DUMMYFUNCTION("GOOGLETRANSLATE(B11110,""id"",""en"")"),"['Astaghfirullah', 'signal', 'Telkomsel', 'ugly', 'really', 'quota', 'expensive', 'mending', 'replace', 'card', 'YAkan', 'signal', ' LEGE ',' Basic ',' Child ',' Haram ']")</f>
        <v>['Astaghfirullah', 'signal', 'Telkomsel', 'ugly', 'really', 'quota', 'expensive', 'mending', 'replace', 'card', 'YAkan', 'signal', ' LEGE ',' Basic ',' Child ',' Haram ']</v>
      </c>
      <c r="D11110" s="3">
        <v>1.0</v>
      </c>
    </row>
    <row r="11111" ht="15.75" customHeight="1">
      <c r="A11111" s="1">
        <v>11837.0</v>
      </c>
      <c r="B11111" s="3" t="s">
        <v>4308</v>
      </c>
      <c r="C11111" s="3" t="str">
        <f>IFERROR(__xludf.DUMMYFUNCTION("GOOGLETRANSLATE(B11111,""id"",""en"")"),"['like']")</f>
        <v>['like']</v>
      </c>
      <c r="D11111" s="3">
        <v>4.0</v>
      </c>
    </row>
    <row r="11112" ht="15.75" customHeight="1">
      <c r="A11112" s="1">
        <v>11838.0</v>
      </c>
      <c r="B11112" s="3" t="s">
        <v>10629</v>
      </c>
      <c r="C11112" s="3" t="str">
        <f>IFERROR(__xludf.DUMMYFUNCTION("GOOGLETRANSLATE(B11112,""id"",""en"")"),"['Come on', 'here', 'signal', 'Difficult', 'Gosh', 'Package', 'Buy', 'Lemot']")</f>
        <v>['Come on', 'here', 'signal', 'Difficult', 'Gosh', 'Package', 'Buy', 'Lemot']</v>
      </c>
      <c r="D11112" s="3">
        <v>1.0</v>
      </c>
    </row>
    <row r="11113" ht="15.75" customHeight="1">
      <c r="A11113" s="1">
        <v>11839.0</v>
      </c>
      <c r="B11113" s="3" t="s">
        <v>4763</v>
      </c>
      <c r="C11113" s="3" t="str">
        <f>IFERROR(__xludf.DUMMYFUNCTION("GOOGLETRANSLATE(B11113,""id"",""en"")"),"['Login', 'Telkomsel']")</f>
        <v>['Login', 'Telkomsel']</v>
      </c>
      <c r="D11113" s="3">
        <v>1.0</v>
      </c>
    </row>
    <row r="11114" ht="15.75" customHeight="1">
      <c r="A11114" s="1">
        <v>11840.0</v>
      </c>
      <c r="B11114" s="3" t="s">
        <v>10630</v>
      </c>
      <c r="C11114" s="3" t="str">
        <f>IFERROR(__xludf.DUMMYFUNCTION("GOOGLETRANSLATE(B11114,""id"",""en"")"),"['Severe', 'contents',' quota ',' code ',' voucher ',' Telkomsel ',' saturated ',' want ',' change ',' card ',' rich ',' that's', ' do you're ',' sell ',' voucher ',' production ',' closed ',' factory ']")</f>
        <v>['Severe', 'contents',' quota ',' code ',' voucher ',' Telkomsel ',' saturated ',' want ',' change ',' card ',' rich ',' that's', ' do you're ',' sell ',' voucher ',' production ',' closed ',' factory ']</v>
      </c>
      <c r="D11114" s="3">
        <v>1.0</v>
      </c>
    </row>
    <row r="11115" ht="15.75" customHeight="1">
      <c r="A11115" s="1">
        <v>11841.0</v>
      </c>
      <c r="B11115" s="3" t="s">
        <v>10631</v>
      </c>
      <c r="C11115" s="3" t="str">
        <f>IFERROR(__xludf.DUMMYFUNCTION("GOOGLETRANSLATE(B11115,""id"",""en"")"),"['Telkomsel', 'signal', 'bad', 'fix']")</f>
        <v>['Telkomsel', 'signal', 'bad', 'fix']</v>
      </c>
      <c r="D11115" s="3">
        <v>1.0</v>
      </c>
    </row>
    <row r="11116" ht="15.75" customHeight="1">
      <c r="A11116" s="1">
        <v>11842.0</v>
      </c>
      <c r="B11116" s="3" t="s">
        <v>10632</v>
      </c>
      <c r="C11116" s="3" t="str">
        <f>IFERROR(__xludf.DUMMYFUNCTION("GOOGLETRANSLATE(B11116,""id"",""en"")"),"['advance']")</f>
        <v>['advance']</v>
      </c>
      <c r="D11116" s="3">
        <v>5.0</v>
      </c>
    </row>
    <row r="11117" ht="15.75" customHeight="1">
      <c r="A11117" s="1">
        <v>11843.0</v>
      </c>
      <c r="B11117" s="3" t="s">
        <v>10633</v>
      </c>
      <c r="C11117" s="3" t="str">
        <f>IFERROR(__xludf.DUMMYFUNCTION("GOOGLETRANSLATE(B11117,""id"",""en"")"),"['buy', 'package', 'data', 'active', 'package', 'bought', 'pulse', 'used', 'access',' internet ',' non ',' package ',' ']")</f>
        <v>['buy', 'package', 'data', 'active', 'package', 'bought', 'pulse', 'used', 'access',' internet ',' non ',' package ',' ']</v>
      </c>
      <c r="D11117" s="3">
        <v>1.0</v>
      </c>
    </row>
    <row r="11118" ht="15.75" customHeight="1">
      <c r="A11118" s="1">
        <v>11844.0</v>
      </c>
      <c r="B11118" s="3" t="s">
        <v>10634</v>
      </c>
      <c r="C11118" s="3" t="str">
        <f>IFERROR(__xludf.DUMMYFUNCTION("GOOGLETRANSLATE(B11118,""id"",""en"")"),"['Must', 'get', 'quota', 'free', '']")</f>
        <v>['Must', 'get', 'quota', 'free', '']</v>
      </c>
      <c r="D11118" s="3">
        <v>5.0</v>
      </c>
    </row>
    <row r="11119" ht="15.75" customHeight="1">
      <c r="A11119" s="1">
        <v>11845.0</v>
      </c>
      <c r="B11119" s="3" t="s">
        <v>10635</v>
      </c>
      <c r="C11119" s="3" t="str">
        <f>IFERROR(__xludf.DUMMYFUNCTION("GOOGLETRANSLATE(B11119,""id"",""en"")"),"['Hope', 'DPT', 'Gift', 'Telkomsel']")</f>
        <v>['Hope', 'DPT', 'Gift', 'Telkomsel']</v>
      </c>
      <c r="D11119" s="3">
        <v>4.0</v>
      </c>
    </row>
    <row r="11120" ht="15.75" customHeight="1">
      <c r="A11120" s="1">
        <v>11846.0</v>
      </c>
      <c r="B11120" s="3" t="s">
        <v>10636</v>
      </c>
      <c r="C11120" s="3" t="str">
        <f>IFERROR(__xludf.DUMMYFUNCTION("GOOGLETRANSLATE(B11120,""id"",""en"")"),"['Severe', 'open', 'application', 'difficult', 'good', 'ugly', 'bngt', 'signal', ""]")</f>
        <v>['Severe', 'open', 'application', 'difficult', 'good', 'ugly', 'bngt', 'signal', "]</v>
      </c>
      <c r="D11120" s="3">
        <v>1.0</v>
      </c>
    </row>
    <row r="11121" ht="15.75" customHeight="1">
      <c r="A11121" s="1">
        <v>11847.0</v>
      </c>
      <c r="B11121" s="3" t="s">
        <v>10637</v>
      </c>
      <c r="C11121" s="3" t="str">
        <f>IFERROR(__xludf.DUMMYFUNCTION("GOOGLETRANSLATE(B11121,""id"",""en"")"),"['times', 'pulse', 'Gamasuk', 'Wait', 'Clock', 'Clock', 'BLM', 'Credit', 'Enter', 'Dahlah', 'BUMN', 'Najis']")</f>
        <v>['times', 'pulse', 'Gamasuk', 'Wait', 'Clock', 'Clock', 'BLM', 'Credit', 'Enter', 'Dahlah', 'BUMN', 'Najis']</v>
      </c>
      <c r="D11121" s="3">
        <v>1.0</v>
      </c>
    </row>
    <row r="11122" ht="15.75" customHeight="1">
      <c r="A11122" s="1">
        <v>11848.0</v>
      </c>
      <c r="B11122" s="3" t="s">
        <v>10638</v>
      </c>
      <c r="C11122" s="3" t="str">
        <f>IFERROR(__xludf.DUMMYFUNCTION("GOOGLETRANSLATE(B11122,""id"",""en"")"),"['Star', 'already', 'accountability', 'update', 'open', 'apk', 'description', 'anything', 'screen', 'white', 'explanation', 'anything', ' ']")</f>
        <v>['Star', 'already', 'accountability', 'update', 'open', 'apk', 'description', 'anything', 'screen', 'white', 'explanation', 'anything', ' ']</v>
      </c>
      <c r="D11122" s="3">
        <v>1.0</v>
      </c>
    </row>
    <row r="11123" ht="15.75" customHeight="1">
      <c r="A11123" s="1">
        <v>11849.0</v>
      </c>
      <c r="B11123" s="3" t="s">
        <v>10639</v>
      </c>
      <c r="C11123" s="3" t="str">
        <f>IFERROR(__xludf.DUMMYFUNCTION("GOOGLETRANSLATE(B11123,""id"",""en"")"),"['Telkomsel', 'expensive', 'Doang', 'signal', 'chaotic', 'Haduuuh', 'severe', 'rich', 'dlu']")</f>
        <v>['Telkomsel', 'expensive', 'Doang', 'signal', 'chaotic', 'Haduuuh', 'severe', 'rich', 'dlu']</v>
      </c>
      <c r="D11123" s="3">
        <v>1.0</v>
      </c>
    </row>
    <row r="11124" ht="15.75" customHeight="1">
      <c r="A11124" s="1">
        <v>11850.0</v>
      </c>
      <c r="B11124" s="3" t="s">
        <v>9019</v>
      </c>
      <c r="C11124" s="3" t="str">
        <f>IFERROR(__xludf.DUMMYFUNCTION("GOOGLETRANSLATE(B11124,""id"",""en"")"),"['Open', 'APK']")</f>
        <v>['Open', 'APK']</v>
      </c>
      <c r="D11124" s="3">
        <v>1.0</v>
      </c>
    </row>
    <row r="11125" ht="15.75" customHeight="1">
      <c r="A11125" s="1">
        <v>11851.0</v>
      </c>
      <c r="B11125" s="3" t="s">
        <v>10640</v>
      </c>
      <c r="C11125" s="3" t="str">
        <f>IFERROR(__xludf.DUMMYFUNCTION("GOOGLETRANSLATE(B11125,""id"",""en"")"),"['blank', 'uninstall', 'replace', 'card', 'prime', 'already', 'clear', '']")</f>
        <v>['blank', 'uninstall', 'replace', 'card', 'prime', 'already', 'clear', '']</v>
      </c>
      <c r="D11125" s="3">
        <v>1.0</v>
      </c>
    </row>
    <row r="11126" ht="15.75" customHeight="1">
      <c r="A11126" s="1">
        <v>11852.0</v>
      </c>
      <c r="B11126" s="3" t="s">
        <v>10641</v>
      </c>
      <c r="C11126" s="3" t="str">
        <f>IFERROR(__xludf.DUMMYFUNCTION("GOOGLETRANSLATE(B11126,""id"",""en"")"),"['apk', 'blank', 'white', 'opened', 'solution']")</f>
        <v>['apk', 'blank', 'white', 'opened', 'solution']</v>
      </c>
      <c r="D11126" s="3">
        <v>2.0</v>
      </c>
    </row>
    <row r="11127" ht="15.75" customHeight="1">
      <c r="A11127" s="1">
        <v>11853.0</v>
      </c>
      <c r="B11127" s="3" t="s">
        <v>10642</v>
      </c>
      <c r="C11127" s="3" t="str">
        <f>IFERROR(__xludf.DUMMYFUNCTION("GOOGLETRANSLATE(B11127,""id"",""en"")"),"['Package', 'expensive', 'kagak', 'promo', '']")</f>
        <v>['Package', 'expensive', 'kagak', 'promo', '']</v>
      </c>
      <c r="D11127" s="3">
        <v>4.0</v>
      </c>
    </row>
    <row r="11128" ht="15.75" customHeight="1">
      <c r="A11128" s="1">
        <v>11854.0</v>
      </c>
      <c r="B11128" s="3" t="s">
        <v>10643</v>
      </c>
      <c r="C11128" s="3" t="str">
        <f>IFERROR(__xludf.DUMMYFUNCTION("GOOGLETRANSLATE(B11128,""id"",""en"")"),"['Diapdate', 'good', 'ngak', 'opened', '']")</f>
        <v>['Diapdate', 'good', 'ngak', 'opened', '']</v>
      </c>
      <c r="D11128" s="3">
        <v>1.0</v>
      </c>
    </row>
    <row r="11129" ht="15.75" customHeight="1">
      <c r="A11129" s="1">
        <v>11855.0</v>
      </c>
      <c r="B11129" s="3" t="s">
        <v>3106</v>
      </c>
      <c r="C11129" s="3" t="str">
        <f>IFERROR(__xludf.DUMMYFUNCTION("GOOGLETRANSLATE(B11129,""id"",""en"")"),"['', 'Telkomsel']")</f>
        <v>['', 'Telkomsel']</v>
      </c>
      <c r="D11129" s="3">
        <v>5.0</v>
      </c>
    </row>
    <row r="11130" ht="15.75" customHeight="1">
      <c r="A11130" s="1">
        <v>11856.0</v>
      </c>
      <c r="B11130" s="3" t="s">
        <v>10644</v>
      </c>
      <c r="C11130" s="3" t="str">
        <f>IFERROR(__xludf.DUMMYFUNCTION("GOOGLETRANSLATE(B11130,""id"",""en"")"),"['SIM']")</f>
        <v>['SIM']</v>
      </c>
      <c r="D11130" s="3">
        <v>5.0</v>
      </c>
    </row>
    <row r="11131" ht="15.75" customHeight="1">
      <c r="A11131" s="1">
        <v>11857.0</v>
      </c>
      <c r="B11131" s="3" t="s">
        <v>10645</v>
      </c>
      <c r="C11131" s="3" t="str">
        <f>IFERROR(__xludf.DUMMYFUNCTION("GOOGLETRANSLATE(B11131,""id"",""en"")"),"['', 'Relkomsel', 'BSA', 'Open']")</f>
        <v>['', 'Relkomsel', 'BSA', 'Open']</v>
      </c>
      <c r="D11131" s="3">
        <v>2.0</v>
      </c>
    </row>
    <row r="11132" ht="15.75" customHeight="1">
      <c r="A11132" s="1">
        <v>11858.0</v>
      </c>
      <c r="B11132" s="3" t="s">
        <v>10646</v>
      </c>
      <c r="C11132" s="3" t="str">
        <f>IFERROR(__xludf.DUMMYFUNCTION("GOOGLETRANSLATE(B11132,""id"",""en"")"),"['UDH', 'a week', 'Ngeblank', 'opened', 'Come here', 'The application', 'disappointing', 'HRS', 'era', 'ancient', 'check', 'plza', ' quota', '']")</f>
        <v>['UDH', 'a week', 'Ngeblank', 'opened', 'Come here', 'The application', 'disappointing', 'HRS', 'era', 'ancient', 'check', 'plza', ' quota', '']</v>
      </c>
      <c r="D11132" s="3">
        <v>1.0</v>
      </c>
    </row>
    <row r="11133" ht="15.75" customHeight="1">
      <c r="A11133" s="1">
        <v>11859.0</v>
      </c>
      <c r="B11133" s="3" t="s">
        <v>10647</v>
      </c>
      <c r="C11133" s="3" t="str">
        <f>IFERROR(__xludf.DUMMYFUNCTION("GOOGLETRANSLATE(B11133,""id"",""en"")"),"['Color', 'White', 'Opened', '']")</f>
        <v>['Color', 'White', 'Opened', '']</v>
      </c>
      <c r="D11133" s="3">
        <v>1.0</v>
      </c>
    </row>
    <row r="11134" ht="15.75" customHeight="1">
      <c r="A11134" s="1">
        <v>11860.0</v>
      </c>
      <c r="B11134" s="3" t="s">
        <v>10648</v>
      </c>
      <c r="C11134" s="3" t="str">
        <f>IFERROR(__xludf.DUMMYFUNCTION("GOOGLETRANSLATE(B11134,""id"",""en"")"),"['Star', 'Talk']")</f>
        <v>['Star', 'Talk']</v>
      </c>
      <c r="D11134" s="3">
        <v>5.0</v>
      </c>
    </row>
    <row r="11135" ht="15.75" customHeight="1">
      <c r="A11135" s="1">
        <v>11861.0</v>
      </c>
      <c r="B11135" s="3" t="s">
        <v>10649</v>
      </c>
      <c r="C11135" s="3" t="str">
        <f>IFERROR(__xludf.DUMMYFUNCTION("GOOGLETRANSLATE(B11135,""id"",""en"")"),"['Internet', 'stable', 'broke', 'Connect', 'Disconnect', 'Service', 'satisfying', '']")</f>
        <v>['Internet', 'stable', 'broke', 'Connect', 'Disconnect', 'Service', 'satisfying', '']</v>
      </c>
      <c r="D11135" s="3">
        <v>1.0</v>
      </c>
    </row>
    <row r="11136" ht="15.75" customHeight="1">
      <c r="A11136" s="1">
        <v>11862.0</v>
      </c>
      <c r="B11136" s="3" t="s">
        <v>10650</v>
      </c>
      <c r="C11136" s="3" t="str">
        <f>IFERROR(__xludf.DUMMYFUNCTION("GOOGLETRANSLATE(B11136,""id"",""en"")"),"['Telkomsel', 'Aga', 'slow', 'Try', 'Flatancing']")</f>
        <v>['Telkomsel', 'Aga', 'slow', 'Try', 'Flatancing']</v>
      </c>
      <c r="D11136" s="3">
        <v>3.0</v>
      </c>
    </row>
    <row r="11137" ht="15.75" customHeight="1">
      <c r="A11137" s="1">
        <v>11863.0</v>
      </c>
      <c r="B11137" s="3" t="s">
        <v>10651</v>
      </c>
      <c r="C11137" s="3" t="str">
        <f>IFERROR(__xludf.DUMMYFUNCTION("GOOGLETRANSLATE(B11137,""id"",""en"")"),"['Disappointed', 'buy', 'package', 'quota', 'package', 'multimedia', 'quota', 'main', 'buy', 'quota', 'main', 'sucked', ' Quota ',' main ',' internet ',' disappointed ',' ']")</f>
        <v>['Disappointed', 'buy', 'package', 'quota', 'package', 'multimedia', 'quota', 'main', 'buy', 'quota', 'main', 'sucked', ' Quota ',' main ',' internet ',' disappointed ',' ']</v>
      </c>
      <c r="D11137" s="3">
        <v>1.0</v>
      </c>
    </row>
    <row r="11138" ht="15.75" customHeight="1">
      <c r="A11138" s="1">
        <v>11864.0</v>
      </c>
      <c r="B11138" s="3" t="s">
        <v>10652</v>
      </c>
      <c r="C11138" s="3" t="str">
        <f>IFERROR(__xludf.DUMMYFUNCTION("GOOGLETRANSLATE(B11138,""id"",""en"")"),"['already', 'donlod', 'right', 'opened', 'Warma', 'white', 'deleted', 'donlod', 'result', 'right', 'open', 'screen', ' White ',' bahaimana ',' please ']")</f>
        <v>['already', 'donlod', 'right', 'opened', 'Warma', 'white', 'deleted', 'donlod', 'result', 'right', 'open', 'screen', ' White ',' bahaimana ',' please ']</v>
      </c>
      <c r="D11138" s="3">
        <v>1.0</v>
      </c>
    </row>
    <row r="11139" ht="15.75" customHeight="1">
      <c r="A11139" s="1">
        <v>11865.0</v>
      </c>
      <c r="B11139" s="3" t="s">
        <v>10653</v>
      </c>
      <c r="C11139" s="3" t="str">
        <f>IFERROR(__xludf.DUMMYFUNCTION("GOOGLETRANSLATE(B11139,""id"",""en"")"),"['Telkomsel', 'Network', 'ugly', '']")</f>
        <v>['Telkomsel', 'Network', 'ugly', '']</v>
      </c>
      <c r="D11139" s="3">
        <v>1.0</v>
      </c>
    </row>
    <row r="11140" ht="15.75" customHeight="1">
      <c r="A11140" s="1">
        <v>11866.0</v>
      </c>
      <c r="B11140" s="3" t="s">
        <v>10654</v>
      </c>
      <c r="C11140" s="3" t="str">
        <f>IFERROR(__xludf.DUMMYFUNCTION("GOOGLETRANSLATE(B11140,""id"",""en"")"),"['already', 'a week', 'Bukak', 'application', 'Telkomsel', 'poor', ""]")</f>
        <v>['already', 'a week', 'Bukak', 'application', 'Telkomsel', 'poor', "]</v>
      </c>
      <c r="D11140" s="3">
        <v>1.0</v>
      </c>
    </row>
    <row r="11141" ht="15.75" customHeight="1">
      <c r="A11141" s="1">
        <v>11867.0</v>
      </c>
      <c r="B11141" s="3" t="s">
        <v>10655</v>
      </c>
      <c r="C11141" s="3" t="str">
        <f>IFERROR(__xludf.DUMMYFUNCTION("GOOGLETRANSLATE(B11141,""id"",""en"")"),"['Telkom', 'cave', 'ngeleg', 'cave', 'rank']")</f>
        <v>['Telkom', 'cave', 'ngeleg', 'cave', 'rank']</v>
      </c>
      <c r="D11141" s="3">
        <v>1.0</v>
      </c>
    </row>
    <row r="11142" ht="15.75" customHeight="1">
      <c r="A11142" s="1">
        <v>11868.0</v>
      </c>
      <c r="B11142" s="3" t="s">
        <v>10656</v>
      </c>
      <c r="C11142" s="3" t="str">
        <f>IFERROR(__xludf.DUMMYFUNCTION("GOOGLETRANSLATE(B11142,""id"",""en"")"),"['GMNA', 'Abis', 'updte', 'white', 'doang', 'picture', 'nya', 'kouta', 'abis', 'coiiiiiiiii']")</f>
        <v>['GMNA', 'Abis', 'updte', 'white', 'doang', 'picture', 'nya', 'kouta', 'abis', 'coiiiiiiiii']</v>
      </c>
      <c r="D11142" s="3">
        <v>1.0</v>
      </c>
    </row>
    <row r="11143" ht="15.75" customHeight="1">
      <c r="A11143" s="1">
        <v>11869.0</v>
      </c>
      <c r="B11143" s="3" t="s">
        <v>10657</v>
      </c>
      <c r="C11143" s="3" t="str">
        <f>IFERROR(__xludf.DUMMYFUNCTION("GOOGLETRANSLATE(B11143,""id"",""en"")"),"['steady', 'easy', 'transaction']")</f>
        <v>['steady', 'easy', 'transaction']</v>
      </c>
      <c r="D11143" s="3">
        <v>5.0</v>
      </c>
    </row>
    <row r="11144" ht="15.75" customHeight="1">
      <c r="A11144" s="1">
        <v>11870.0</v>
      </c>
      <c r="B11144" s="3" t="s">
        <v>10085</v>
      </c>
      <c r="C11144" s="3" t="str">
        <f>IFERROR(__xludf.DUMMYFUNCTION("GOOGLETRANSLATE(B11144,""id"",""en"")"),"['Application', 'good', 'help']")</f>
        <v>['Application', 'good', 'help']</v>
      </c>
      <c r="D11144" s="3">
        <v>5.0</v>
      </c>
    </row>
    <row r="11145" ht="15.75" customHeight="1">
      <c r="A11145" s="1">
        <v>11871.0</v>
      </c>
      <c r="B11145" s="3" t="s">
        <v>10658</v>
      </c>
      <c r="C11145" s="3" t="str">
        <f>IFERROR(__xludf.DUMMYFUNCTION("GOOGLETRANSLATE(B11145,""id"",""en"")"),"['', 'opened', 'appears', 'screen', 'white', 'doang', ""]")</f>
        <v>['', 'opened', 'appears', 'screen', 'white', 'doang', "]</v>
      </c>
      <c r="D11145" s="3">
        <v>3.0</v>
      </c>
    </row>
    <row r="11146" ht="15.75" customHeight="1">
      <c r="A11146" s="1">
        <v>11872.0</v>
      </c>
      <c r="B11146" s="3" t="s">
        <v>10659</v>
      </c>
      <c r="C11146" s="3" t="str">
        <f>IFERROR(__xludf.DUMMYFUNCTION("GOOGLETRANSLATE(B11146,""id"",""en"")"),"['Telkomsel', 'destroyed', 'disappointed', 'Telkomsel', 'network', 'full', 'loading', 'slow', 'really', ""]")</f>
        <v>['Telkomsel', 'destroyed', 'disappointed', 'Telkomsel', 'network', 'full', 'loading', 'slow', 'really', "]</v>
      </c>
      <c r="D11146" s="3">
        <v>1.0</v>
      </c>
    </row>
    <row r="11147" ht="15.75" customHeight="1">
      <c r="A11147" s="1">
        <v>11873.0</v>
      </c>
      <c r="B11147" s="3" t="s">
        <v>10660</v>
      </c>
      <c r="C11147" s="3" t="str">
        <f>IFERROR(__xludf.DUMMYFUNCTION("GOOGLETRANSLATE(B11147,""id"",""en"")"),"['The application', 'Out', 'Update', 'Nga', 'Open', 'Herah', 'Where', 'Fix', 'Donk', 'Application', ""]")</f>
        <v>['The application', 'Out', 'Update', 'Nga', 'Open', 'Herah', 'Where', 'Fix', 'Donk', 'Application', "]</v>
      </c>
      <c r="D11147" s="3">
        <v>2.0</v>
      </c>
    </row>
    <row r="11148" ht="15.75" customHeight="1">
      <c r="A11148" s="1">
        <v>11875.0</v>
      </c>
      <c r="B11148" s="3" t="s">
        <v>10661</v>
      </c>
      <c r="C11148" s="3" t="str">
        <f>IFERROR(__xludf.DUMMYFUNCTION("GOOGLETRANSLATE(B11148,""id"",""en"")"),"['Alhamdulillah', 'Wait', 'Masi', 'Rich', 'Gini', 'Pinda', 'Indosat', ""]")</f>
        <v>['Alhamdulillah', 'Wait', 'Masi', 'Rich', 'Gini', 'Pinda', 'Indosat', "]</v>
      </c>
      <c r="D11148" s="3">
        <v>1.0</v>
      </c>
    </row>
    <row r="11149" ht="15.75" customHeight="1">
      <c r="A11149" s="1">
        <v>11876.0</v>
      </c>
      <c r="B11149" s="3" t="s">
        <v>10662</v>
      </c>
      <c r="C11149" s="3" t="str">
        <f>IFERROR(__xludf.DUMMYFUNCTION("GOOGLETRANSLATE(B11149,""id"",""en"")"),"['Dego', 'intention', 'quota', '']")</f>
        <v>['Dego', 'intention', 'quota', '']</v>
      </c>
      <c r="D11149" s="3">
        <v>1.0</v>
      </c>
    </row>
    <row r="11150" ht="15.75" customHeight="1">
      <c r="A11150" s="1">
        <v>11877.0</v>
      </c>
      <c r="B11150" s="3" t="s">
        <v>10663</v>
      </c>
      <c r="C11150" s="3" t="str">
        <f>IFERROR(__xludf.DUMMYFUNCTION("GOOGLETRANSLATE(B11150,""id"",""en"")"),"['Combo', 'Sakti', 'Lost', 'Account', 'Telkomsel']")</f>
        <v>['Combo', 'Sakti', 'Lost', 'Account', 'Telkomsel']</v>
      </c>
      <c r="D11150" s="3">
        <v>1.0</v>
      </c>
    </row>
    <row r="11151" ht="15.75" customHeight="1">
      <c r="A11151" s="1">
        <v>11878.0</v>
      </c>
      <c r="B11151" s="3" t="s">
        <v>10664</v>
      </c>
      <c r="C11151" s="3" t="str">
        <f>IFERROR(__xludf.DUMMYFUNCTION("GOOGLETRANSLATE(B11151,""id"",""en"")"),"['Terimaksich', 'Telkomsel', 'UDH', 'Waiter', 'Best', 'Buwat', 'Success', 'Kurry', 'Telkomsel', 'Moving', ""]")</f>
        <v>['Terimaksich', 'Telkomsel', 'UDH', 'Waiter', 'Best', 'Buwat', 'Success', 'Kurry', 'Telkomsel', 'Moving', "]</v>
      </c>
      <c r="D11151" s="3">
        <v>1.0</v>
      </c>
    </row>
    <row r="11152" ht="15.75" customHeight="1">
      <c r="A11152" s="1">
        <v>11879.0</v>
      </c>
      <c r="B11152" s="3" t="s">
        <v>10665</v>
      </c>
      <c r="C11152" s="3" t="str">
        <f>IFERROR(__xludf.DUMMYFUNCTION("GOOGLETRANSLATE(B11152,""id"",""en"")"),"['no', 'open', 'application', '']")</f>
        <v>['no', 'open', 'application', '']</v>
      </c>
      <c r="D11152" s="3">
        <v>2.0</v>
      </c>
    </row>
    <row r="11153" ht="15.75" customHeight="1">
      <c r="A11153" s="1">
        <v>11880.0</v>
      </c>
      <c r="B11153" s="3" t="s">
        <v>10666</v>
      </c>
      <c r="C11153" s="3" t="str">
        <f>IFERROR(__xludf.DUMMYFUNCTION("GOOGLETRANSLATE(B11153,""id"",""en"")"),"['Please', 'play', 'game', 'signal', 'normal', 'standard', 'ngelag', 'here', 'Performance', 'ugly', 'love', 'star', ' BYK ',' Provider ',' fix ',' drawback ']")</f>
        <v>['Please', 'play', 'game', 'signal', 'normal', 'standard', 'ngelag', 'here', 'Performance', 'ugly', 'love', 'star', ' BYK ',' Provider ',' fix ',' drawback ']</v>
      </c>
      <c r="D11153" s="3">
        <v>1.0</v>
      </c>
    </row>
    <row r="11154" ht="15.75" customHeight="1">
      <c r="A11154" s="1">
        <v>11881.0</v>
      </c>
      <c r="B11154" s="3" t="s">
        <v>10667</v>
      </c>
      <c r="C11154" s="3" t="str">
        <f>IFERROR(__xludf.DUMMYFUNCTION("GOOGLETRANSLATE(B11154,""id"",""en"")"),"['Application', 'Update', 'Open', 'Why', 'Samsung', 'Halooo', 'Telkom', 'Why', ""]")</f>
        <v>['Application', 'Update', 'Open', 'Why', 'Samsung', 'Halooo', 'Telkom', 'Why', "]</v>
      </c>
      <c r="D11154" s="3">
        <v>2.0</v>
      </c>
    </row>
    <row r="11155" ht="15.75" customHeight="1">
      <c r="A11155" s="1">
        <v>11882.0</v>
      </c>
      <c r="B11155" s="3" t="s">
        <v>10668</v>
      </c>
      <c r="C11155" s="3" t="str">
        <f>IFERROR(__xludf.DUMMYFUNCTION("GOOGLETRANSLATE(B11155,""id"",""en"")"),"['Buy', 'Package', 'Unlimited', 'YouTube', 'Sumpot', 'Package', 'Main', 'Pekahh']")</f>
        <v>['Buy', 'Package', 'Unlimited', 'YouTube', 'Sumpot', 'Package', 'Main', 'Pekahh']</v>
      </c>
      <c r="D11155" s="3">
        <v>1.0</v>
      </c>
    </row>
    <row r="11156" ht="15.75" customHeight="1">
      <c r="A11156" s="1">
        <v>11883.0</v>
      </c>
      <c r="B11156" s="3" t="s">
        <v>10669</v>
      </c>
      <c r="C11156" s="3" t="str">
        <f>IFERROR(__xludf.DUMMYFUNCTION("GOOGLETRANSLATE(B11156,""id"",""en"")"),"['Update', 'December', 'Update', 'screen', 'White', 'Uninstall', 'Install', 'Many', 'Screen', 'White', 'Tlp', 'Report', ' lwt ',' Twitter ',' made ',' report ',' result ',' msh ',' white ',' hrs', 'digimanain', 'check', 'pulse', 'quota', 'lwt' , 'tlg', 's"&amp;"heys', 'thank you', ""]")</f>
        <v>['Update', 'December', 'Update', 'screen', 'White', 'Uninstall', 'Install', 'Many', 'Screen', 'White', 'Tlp', 'Report', ' lwt ',' Twitter ',' made ',' report ',' result ',' msh ',' white ',' hrs', 'digimanain', 'check', 'pulse', 'quota', 'lwt' , 'tlg', 'sheys', 'thank you', "]</v>
      </c>
      <c r="D11156" s="3">
        <v>1.0</v>
      </c>
    </row>
    <row r="11157" ht="15.75" customHeight="1">
      <c r="A11157" s="1">
        <v>11884.0</v>
      </c>
      <c r="B11157" s="3" t="s">
        <v>10670</v>
      </c>
      <c r="C11157" s="3" t="str">
        <f>IFERROR(__xludf.DUMMYFUNCTION("GOOGLETRANSLATE(B11157,""id"",""en"")"),"['MyTelkomsel', 'Thankyou', 'Much', 'makes it easy', 'transaction', 'purchase', 'pulse', 'quota', 'package', 'monthly', 'thankyu']")</f>
        <v>['MyTelkomsel', 'Thankyou', 'Much', 'makes it easy', 'transaction', 'purchase', 'pulse', 'quota', 'package', 'monthly', 'thankyu']</v>
      </c>
      <c r="D11157" s="3">
        <v>5.0</v>
      </c>
    </row>
    <row r="11158" ht="15.75" customHeight="1">
      <c r="A11158" s="1">
        <v>11885.0</v>
      </c>
      <c r="B11158" s="3" t="s">
        <v>10671</v>
      </c>
      <c r="C11158" s="3" t="str">
        <f>IFERROR(__xludf.DUMMYFUNCTION("GOOGLETRANSLATE(B11158,""id"",""en"")"),"['Out', 'Rain', 'Network', 'Direct', 'Drop', 'Knp', 'Search', 'Root', 'Disappointed', '']")</f>
        <v>['Out', 'Rain', 'Network', 'Direct', 'Drop', 'Knp', 'Search', 'Root', 'Disappointed', '']</v>
      </c>
      <c r="D11158" s="3">
        <v>1.0</v>
      </c>
    </row>
    <row r="11159" ht="15.75" customHeight="1">
      <c r="A11159" s="1">
        <v>11886.0</v>
      </c>
      <c r="B11159" s="3" t="s">
        <v>10672</v>
      </c>
      <c r="C11159" s="3" t="str">
        <f>IFERROR(__xludf.DUMMYFUNCTION("GOOGLETRANSLATE(B11159,""id"",""en"")"),"['Application', 'Open', 'Update', '']")</f>
        <v>['Application', 'Open', 'Update', '']</v>
      </c>
      <c r="D11159" s="3">
        <v>1.0</v>
      </c>
    </row>
    <row r="11160" ht="15.75" customHeight="1">
      <c r="A11160" s="1">
        <v>11887.0</v>
      </c>
      <c r="B11160" s="3" t="s">
        <v>10673</v>
      </c>
      <c r="C11160" s="3" t="str">
        <f>IFERROR(__xludf.DUMMYFUNCTION("GOOGLETRANSLATE(B11160,""id"",""en"")"),"['Update', 'Erro', 'Open', 'App', 'appears', 'Warning', 'Error', 'System', 'App', ""]")</f>
        <v>['Update', 'Erro', 'Open', 'App', 'appears', 'Warning', 'Error', 'System', 'App', "]</v>
      </c>
      <c r="D11160" s="3">
        <v>1.0</v>
      </c>
    </row>
    <row r="11161" ht="15.75" customHeight="1">
      <c r="A11161" s="1">
        <v>11888.0</v>
      </c>
      <c r="B11161" s="3" t="s">
        <v>10674</v>
      </c>
      <c r="C11161" s="3" t="str">
        <f>IFERROR(__xludf.DUMMYFUNCTION("GOOGLETRANSLATE(B11161,""id"",""en"")"),"['complaints',' high school ',' laen ',' MyTelkomsel ',' screen ',' white ',' pdhl ',' udh ',' reset ',' gara ',' reset ',' mbaking ',' SMP ',' Barkokir ', ""]")</f>
        <v>['complaints',' high school ',' laen ',' MyTelkomsel ',' screen ',' white ',' pdhl ',' udh ',' reset ',' gara ',' reset ',' mbaking ',' SMP ',' Barkokir ', "]</v>
      </c>
      <c r="D11161" s="3">
        <v>3.0</v>
      </c>
    </row>
    <row r="11162" ht="15.75" customHeight="1">
      <c r="A11162" s="1">
        <v>11889.0</v>
      </c>
      <c r="B11162" s="3" t="s">
        <v>10675</v>
      </c>
      <c r="C11162" s="3" t="str">
        <f>IFERROR(__xludf.DUMMYFUNCTION("GOOGLETRANSLATE(B11162,""id"",""en"")"),"['Star', 'dlu', 'sometimes', 'msh', 'likes', 'lemott']")</f>
        <v>['Star', 'dlu', 'sometimes', 'msh', 'likes', 'lemott']</v>
      </c>
      <c r="D11162" s="3">
        <v>4.0</v>
      </c>
    </row>
    <row r="11163" ht="15.75" customHeight="1">
      <c r="A11163" s="1">
        <v>11890.0</v>
      </c>
      <c r="B11163" s="3" t="s">
        <v>10676</v>
      </c>
      <c r="C11163" s="3" t="str">
        <f>IFERROR(__xludf.DUMMYFUNCTION("GOOGLETRANSLATE(B11163,""id"",""en"")"),"['Please', 'pulse', 'omgnya', 'expensive', 'kak', 'application', 'background', 'white', 'kak', 'already', 'repeated', ' install ',' please ',' donk ',' kak ',' fix ',' ']")</f>
        <v>['Please', 'pulse', 'omgnya', 'expensive', 'kak', 'application', 'background', 'white', 'kak', 'already', 'repeated', ' install ',' please ',' donk ',' kak ',' fix ',' ']</v>
      </c>
      <c r="D11163" s="3">
        <v>1.0</v>
      </c>
    </row>
    <row r="11164" ht="15.75" customHeight="1">
      <c r="A11164" s="1">
        <v>11891.0</v>
      </c>
      <c r="B11164" s="3" t="s">
        <v>10677</v>
      </c>
      <c r="C11164" s="3" t="str">
        <f>IFERROR(__xludf.DUMMYFUNCTION("GOOGLETRANSLATE(B11164,""id"",""en"")"),"['Kontollll', 'Network', 'Kek', 'Pig', 'Expensive', 'Doang', 'AJG', 'Quality', 'Tolliplipll', 'Ahkkk', 'Sight', 'Bet', ' Cave ',' anjingggg ']")</f>
        <v>['Kontollll', 'Network', 'Kek', 'Pig', 'Expensive', 'Doang', 'AJG', 'Quality', 'Tolliplipll', 'Ahkkk', 'Sight', 'Bet', ' Cave ',' anjingggg ']</v>
      </c>
      <c r="D11164" s="3">
        <v>1.0</v>
      </c>
    </row>
    <row r="11165" ht="15.75" customHeight="1">
      <c r="A11165" s="1">
        <v>11892.0</v>
      </c>
      <c r="B11165" s="3" t="s">
        <v>10678</v>
      </c>
      <c r="C11165" s="3" t="str">
        <f>IFERROR(__xludf.DUMMYFUNCTION("GOOGLETRANSLATE(B11165,""id"",""en"")"),"['yeah', 'knp', 'Telkomsel', 'screen', 'white', 'already', 'restart', 'hpus', 'dwnld', 'repeat', '']")</f>
        <v>['yeah', 'knp', 'Telkomsel', 'screen', 'white', 'already', 'restart', 'hpus', 'dwnld', 'repeat', '']</v>
      </c>
      <c r="D11165" s="3">
        <v>2.0</v>
      </c>
    </row>
    <row r="11166" ht="15.75" customHeight="1">
      <c r="A11166" s="1">
        <v>11893.0</v>
      </c>
      <c r="B11166" s="3" t="s">
        <v>10679</v>
      </c>
      <c r="C11166" s="3" t="str">
        <f>IFERROR(__xludf.DUMMYFUNCTION("GOOGLETRANSLATE(B11166,""id"",""en"")"),"['Love', 'Star', 'Open', 'Application', 'Times', 'Data', ""]")</f>
        <v>['Love', 'Star', 'Open', 'Application', 'Times', 'Data', "]</v>
      </c>
      <c r="D11166" s="3">
        <v>1.0</v>
      </c>
    </row>
    <row r="11167" ht="15.75" customHeight="1">
      <c r="A11167" s="1">
        <v>11894.0</v>
      </c>
      <c r="B11167" s="3" t="s">
        <v>10680</v>
      </c>
      <c r="C11167" s="3" t="str">
        <f>IFERROR(__xludf.DUMMYFUNCTION("GOOGLETRANSLATE(B11167,""id"",""en"")"),"['Telkomsel', 'network', 'broken', 'bosa', 'moved']")</f>
        <v>['Telkomsel', 'network', 'broken', 'bosa', 'moved']</v>
      </c>
      <c r="D11167" s="3">
        <v>1.0</v>
      </c>
    </row>
    <row r="11168" ht="15.75" customHeight="1">
      <c r="A11168" s="1">
        <v>11895.0</v>
      </c>
      <c r="B11168" s="3" t="s">
        <v>10422</v>
      </c>
      <c r="C11168" s="3" t="str">
        <f>IFERROR(__xludf.DUMMYFUNCTION("GOOGLETRANSLATE(B11168,""id"",""en"")"),"['useful']")</f>
        <v>['useful']</v>
      </c>
      <c r="D11168" s="3">
        <v>5.0</v>
      </c>
    </row>
    <row r="11169" ht="15.75" customHeight="1">
      <c r="A11169" s="1">
        <v>11897.0</v>
      </c>
      <c r="B11169" s="3" t="s">
        <v>10681</v>
      </c>
      <c r="C11169" s="3" t="str">
        <f>IFERROR(__xludf.DUMMYFUNCTION("GOOGLETRANSLATE(B11169,""id"",""en"")"),"['Tess', 'Good', 'Tamanjah']")</f>
        <v>['Tess', 'Good', 'Tamanjah']</v>
      </c>
      <c r="D11169" s="3">
        <v>2.0</v>
      </c>
    </row>
    <row r="11170" ht="15.75" customHeight="1">
      <c r="A11170" s="1">
        <v>11898.0</v>
      </c>
      <c r="B11170" s="3" t="s">
        <v>10682</v>
      </c>
      <c r="C11170" s="3" t="str">
        <f>IFERROR(__xludf.DUMMYFUNCTION("GOOGLETRANSLATE(B11170,""id"",""en"")"),"['Lola', 'signal', 'inside', 'house', 'koata', 'signal', 'severe', '']")</f>
        <v>['Lola', 'signal', 'inside', 'house', 'koata', 'signal', 'severe', '']</v>
      </c>
      <c r="D11170" s="3">
        <v>1.0</v>
      </c>
    </row>
    <row r="11171" ht="15.75" customHeight="1">
      <c r="A11171" s="1">
        <v>11899.0</v>
      </c>
      <c r="B11171" s="3" t="s">
        <v>10683</v>
      </c>
      <c r="C11171" s="3" t="str">
        <f>IFERROR(__xludf.DUMMYFUNCTION("GOOGLETRANSLATE(B11171,""id"",""en"")"),"['Astagfirullah', 'Open', 'The application']")</f>
        <v>['Astagfirullah', 'Open', 'The application']</v>
      </c>
      <c r="D11171" s="3">
        <v>1.0</v>
      </c>
    </row>
    <row r="11172" ht="15.75" customHeight="1">
      <c r="A11172" s="1">
        <v>11900.0</v>
      </c>
      <c r="B11172" s="3" t="s">
        <v>10684</v>
      </c>
      <c r="C11172" s="3" t="str">
        <f>IFERROR(__xludf.DUMMYFUNCTION("GOOGLETRANSLATE(B11172,""id"",""en"")"),"['application', 'good', 'help', 'really']")</f>
        <v>['application', 'good', 'help', 'really']</v>
      </c>
      <c r="D11172" s="3">
        <v>5.0</v>
      </c>
    </row>
    <row r="11173" ht="15.75" customHeight="1">
      <c r="A11173" s="1">
        <v>11901.0</v>
      </c>
      <c r="B11173" s="3" t="s">
        <v>10685</v>
      </c>
      <c r="C11173" s="3" t="str">
        <f>IFERROR(__xludf.DUMMYFUNCTION("GOOGLETRANSLATE(B11173,""id"",""en"")"),"['really', 'complaint', 'gada', 'action', 'repair', 'how', 'white', 'blank', 'Where', 'yes',' told ',' MyTelkomsel ',' Lite ',' Ya'lah ',' Lite ',' features', 'Limited', 'boss']")</f>
        <v>['really', 'complaint', 'gada', 'action', 'repair', 'how', 'white', 'blank', 'Where', 'yes',' told ',' MyTelkomsel ',' Lite ',' Ya'lah ',' Lite ',' features', 'Limited', 'boss']</v>
      </c>
      <c r="D11173" s="3">
        <v>1.0</v>
      </c>
    </row>
    <row r="11174" ht="15.75" customHeight="1">
      <c r="A11174" s="1">
        <v>11902.0</v>
      </c>
      <c r="B11174" s="3" t="s">
        <v>10686</v>
      </c>
      <c r="C11174" s="3" t="str">
        <f>IFERROR(__xludf.DUMMYFUNCTION("GOOGLETRANSLATE(B11174,""id"",""en"")"),"['ugly', 'difficult', 'open']")</f>
        <v>['ugly', 'difficult', 'open']</v>
      </c>
      <c r="D11174" s="3">
        <v>1.0</v>
      </c>
    </row>
    <row r="11175" ht="15.75" customHeight="1">
      <c r="A11175" s="1">
        <v>11903.0</v>
      </c>
      <c r="B11175" s="3" t="s">
        <v>10687</v>
      </c>
      <c r="C11175" s="3" t="str">
        <f>IFERROR(__xludf.DUMMYFUNCTION("GOOGLETRANSLATE(B11175,""id"",""en"")"),"['Please', 'Developer', 'Response', 'Fast', 'Open', 'Application', 'Ngeblank', 'White', 'Please', 'Fix']")</f>
        <v>['Please', 'Developer', 'Response', 'Fast', 'Open', 'Application', 'Ngeblank', 'White', 'Please', 'Fix']</v>
      </c>
      <c r="D11175" s="3">
        <v>5.0</v>
      </c>
    </row>
    <row r="11176" ht="15.75" customHeight="1">
      <c r="A11176" s="1">
        <v>11904.0</v>
      </c>
      <c r="B11176" s="3" t="s">
        <v>10688</v>
      </c>
      <c r="C11176" s="3" t="str">
        <f>IFERROR(__xludf.DUMMYFUNCTION("GOOGLETRANSLATE(B11176,""id"",""en"")"),"['Anyway', 'Abis',' Fill ',' Credit ',' Cut ',' little ',' Data ',' Cellular ',' Active ',' Use ',' WiFi ',' Hotspot ',' Celular ',' TLG ',' Response ',' Telkomsel ']")</f>
        <v>['Anyway', 'Abis',' Fill ',' Credit ',' Cut ',' little ',' Data ',' Cellular ',' Active ',' Use ',' WiFi ',' Hotspot ',' Celular ',' TLG ',' Response ',' Telkomsel ']</v>
      </c>
      <c r="D11176" s="3">
        <v>1.0</v>
      </c>
    </row>
    <row r="11177" ht="15.75" customHeight="1">
      <c r="A11177" s="1">
        <v>11905.0</v>
      </c>
      <c r="B11177" s="3" t="s">
        <v>10689</v>
      </c>
      <c r="C11177" s="3" t="str">
        <f>IFERROR(__xludf.DUMMYFUNCTION("GOOGLETRANSLATE(B11177,""id"",""en"")"),"['buy', 'package', 'Rb', 'pulse', 'no', 'buy', 'what', ""]")</f>
        <v>['buy', 'package', 'Rb', 'pulse', 'no', 'buy', 'what', "]</v>
      </c>
      <c r="D11177" s="3">
        <v>1.0</v>
      </c>
    </row>
    <row r="11178" ht="15.75" customHeight="1">
      <c r="A11178" s="1">
        <v>11906.0</v>
      </c>
      <c r="B11178" s="3" t="s">
        <v>10690</v>
      </c>
      <c r="C11178" s="3" t="str">
        <f>IFERROR(__xludf.DUMMYFUNCTION("GOOGLETRANSLATE(B11178,""id"",""en"")"),"['Mending', 'Change', 'Card', 'Network', 'Leet', 'Padahl', 'Telko', 'Expensive']")</f>
        <v>['Mending', 'Change', 'Card', 'Network', 'Leet', 'Padahl', 'Telko', 'Expensive']</v>
      </c>
      <c r="D11178" s="3">
        <v>1.0</v>
      </c>
    </row>
    <row r="11179" ht="15.75" customHeight="1">
      <c r="A11179" s="1">
        <v>11907.0</v>
      </c>
      <c r="B11179" s="3" t="s">
        <v>10691</v>
      </c>
      <c r="C11179" s="3" t="str">
        <f>IFERROR(__xludf.DUMMYFUNCTION("GOOGLETRANSLATE(B11179,""id"",""en"")"),"['opened', 'blang', 'screen', 'white', 'doang', '']")</f>
        <v>['opened', 'blang', 'screen', 'white', 'doang', '']</v>
      </c>
      <c r="D11179" s="3">
        <v>1.0</v>
      </c>
    </row>
    <row r="11180" ht="15.75" customHeight="1">
      <c r="A11180" s="1">
        <v>11909.0</v>
      </c>
      <c r="B11180" s="3" t="s">
        <v>10692</v>
      </c>
      <c r="C11180" s="3" t="str">
        <f>IFERROR(__xludf.DUMMYFUNCTION("GOOGLETRANSLATE(B11180,""id"",""en"")"),"['expensive', 'slow', 'TPI', 'cave', 'love', 'star', 'spirit', 'Telkom', ""]")</f>
        <v>['expensive', 'slow', 'TPI', 'cave', 'love', 'star', 'spirit', 'Telkom', "]</v>
      </c>
      <c r="D11180" s="3">
        <v>4.0</v>
      </c>
    </row>
    <row r="11181" ht="15.75" customHeight="1">
      <c r="A11181" s="1">
        <v>11911.0</v>
      </c>
      <c r="B11181" s="3" t="s">
        <v>68</v>
      </c>
      <c r="C11181" s="3" t="str">
        <f>IFERROR(__xludf.DUMMYFUNCTION("GOOGLETRANSLATE(B11181,""id"",""en"")"),"['steady']")</f>
        <v>['steady']</v>
      </c>
      <c r="D11181" s="3">
        <v>5.0</v>
      </c>
    </row>
    <row r="11182" ht="15.75" customHeight="1">
      <c r="A11182" s="1">
        <v>11912.0</v>
      </c>
      <c r="B11182" s="3" t="s">
        <v>10693</v>
      </c>
      <c r="C11182" s="3" t="str">
        <f>IFERROR(__xludf.DUMMYFUNCTION("GOOGLETRANSLATE(B11182,""id"",""en"")"),"['quota', 'expensive', 'network', 'ngelag']")</f>
        <v>['quota', 'expensive', 'network', 'ngelag']</v>
      </c>
      <c r="D11182" s="3">
        <v>1.0</v>
      </c>
    </row>
    <row r="11183" ht="15.75" customHeight="1">
      <c r="A11183" s="1">
        <v>11913.0</v>
      </c>
      <c r="B11183" s="3" t="s">
        <v>10694</v>
      </c>
      <c r="C11183" s="3" t="str">
        <f>IFERROR(__xludf.DUMMYFUNCTION("GOOGLETRANSLATE(B11183,""id"",""en"")"),"['blank', 'white', 'since', 'update', 'date', 'yesterday', 'please']")</f>
        <v>['blank', 'white', 'since', 'update', 'date', 'yesterday', 'please']</v>
      </c>
      <c r="D11183" s="3">
        <v>1.0</v>
      </c>
    </row>
    <row r="11184" ht="15.75" customHeight="1">
      <c r="A11184" s="1">
        <v>11914.0</v>
      </c>
      <c r="B11184" s="3" t="s">
        <v>10695</v>
      </c>
      <c r="C11184" s="3" t="str">
        <f>IFERROR(__xludf.DUMMYFUNCTION("GOOGLETRANSLATE(B11184,""id"",""en"")"),"['Sgt', 'Help', 'Save', '']")</f>
        <v>['Sgt', 'Help', 'Save', '']</v>
      </c>
      <c r="D11184" s="3">
        <v>5.0</v>
      </c>
    </row>
    <row r="11185" ht="15.75" customHeight="1">
      <c r="A11185" s="1">
        <v>11916.0</v>
      </c>
      <c r="B11185" s="3" t="s">
        <v>10696</v>
      </c>
      <c r="C11185" s="3" t="str">
        <f>IFERROR(__xludf.DUMMYFUNCTION("GOOGLETRANSLATE(B11185,""id"",""en"")"),"['Open', 'right', 'update', '']")</f>
        <v>['Open', 'right', 'update', '']</v>
      </c>
      <c r="D11185" s="3">
        <v>1.0</v>
      </c>
    </row>
    <row r="11186" ht="15.75" customHeight="1">
      <c r="A11186" s="1">
        <v>11917.0</v>
      </c>
      <c r="B11186" s="3" t="s">
        <v>10697</v>
      </c>
      <c r="C11186" s="3" t="str">
        <f>IFERROR(__xludf.DUMMYFUNCTION("GOOGLETRANSLATE(B11186,""id"",""en"")"),"['Steady', 'App', 'Thanks', 'Telkomsel']")</f>
        <v>['Steady', 'App', 'Thanks', 'Telkomsel']</v>
      </c>
      <c r="D11186" s="3">
        <v>5.0</v>
      </c>
    </row>
    <row r="11187" ht="15.75" customHeight="1">
      <c r="A11187" s="1">
        <v>11918.0</v>
      </c>
      <c r="B11187" s="3" t="s">
        <v>10698</v>
      </c>
      <c r="C11187" s="3" t="str">
        <f>IFERROR(__xludf.DUMMYFUNCTION("GOOGLETRANSLATE(B11187,""id"",""en"")"),"['min', 'please', 'signal', 'fix', 'play', 'game', 'ping', 'stable', 'red', 'hope', 'fast', 'handy']")</f>
        <v>['min', 'please', 'signal', 'fix', 'play', 'game', 'ping', 'stable', 'red', 'hope', 'fast', 'handy']</v>
      </c>
      <c r="D11187" s="3">
        <v>1.0</v>
      </c>
    </row>
    <row r="11188" ht="15.75" customHeight="1">
      <c r="A11188" s="1">
        <v>11919.0</v>
      </c>
      <c r="B11188" s="3" t="s">
        <v>10699</v>
      </c>
      <c r="C11188" s="3" t="str">
        <f>IFERROR(__xludf.DUMMYFUNCTION("GOOGLETRANSLATE(B11188,""id"",""en"")"),"['Kenape', 'Telkomsel', 'Bukak']")</f>
        <v>['Kenape', 'Telkomsel', 'Bukak']</v>
      </c>
      <c r="D11188" s="3">
        <v>1.0</v>
      </c>
    </row>
    <row r="11189" ht="15.75" customHeight="1">
      <c r="A11189" s="1">
        <v>11920.0</v>
      </c>
      <c r="B11189" s="3" t="s">
        <v>10700</v>
      </c>
      <c r="C11189" s="3" t="str">
        <f>IFERROR(__xludf.DUMMYFUNCTION("GOOGLETRANSLATE(B11189,""id"",""en"")"),"['Internet', 'expensive']")</f>
        <v>['Internet', 'expensive']</v>
      </c>
      <c r="D11189" s="3">
        <v>1.0</v>
      </c>
    </row>
    <row r="11190" ht="15.75" customHeight="1">
      <c r="A11190" s="1">
        <v>11921.0</v>
      </c>
      <c r="B11190" s="3" t="s">
        <v>10701</v>
      </c>
      <c r="C11190" s="3" t="str">
        <f>IFERROR(__xludf.DUMMYFUNCTION("GOOGLETRANSLATE(B11190,""id"",""en"")"),"['Please', 'promo', 'package', 'cheap', 'card', 'Please', '']")</f>
        <v>['Please', 'promo', 'package', 'cheap', 'card', 'Please', '']</v>
      </c>
      <c r="D11190" s="3">
        <v>5.0</v>
      </c>
    </row>
    <row r="11191" ht="15.75" customHeight="1">
      <c r="A11191" s="1">
        <v>11922.0</v>
      </c>
      <c r="B11191" s="3" t="s">
        <v>10702</v>
      </c>
      <c r="C11191" s="3" t="str">
        <f>IFERROR(__xludf.DUMMYFUNCTION("GOOGLETRANSLATE(B11191,""id"",""en"")"),"['price', 'cheap', 'bnyk', 'choice', 'SNGT', 'like', 'Tangkiw', 'Telkomsel']")</f>
        <v>['price', 'cheap', 'bnyk', 'choice', 'SNGT', 'like', 'Tangkiw', 'Telkomsel']</v>
      </c>
      <c r="D11191" s="3">
        <v>5.0</v>
      </c>
    </row>
    <row r="11192" ht="15.75" customHeight="1">
      <c r="A11192" s="1">
        <v>11923.0</v>
      </c>
      <c r="B11192" s="3" t="s">
        <v>10703</v>
      </c>
      <c r="C11192" s="3" t="str">
        <f>IFERROR(__xludf.DUMMYFUNCTION("GOOGLETRANSLATE(B11192,""id"",""en"")"),"['', 'Telkomsel', 'opened', 'entered', 'screen', 'white', 'Please', 'repaired']")</f>
        <v>['', 'Telkomsel', 'opened', 'entered', 'screen', 'white', 'Please', 'repaired']</v>
      </c>
      <c r="D11192" s="3">
        <v>1.0</v>
      </c>
    </row>
    <row r="11193" ht="15.75" customHeight="1">
      <c r="A11193" s="1">
        <v>11924.0</v>
      </c>
      <c r="B11193" s="3" t="s">
        <v>10704</v>
      </c>
      <c r="C11193" s="3" t="str">
        <f>IFERROR(__xludf.DUMMYFUNCTION("GOOGLETRANSLATE(B11193,""id"",""en"")"),"['The network', 'nub', 'chapter', 'noon', 'night', 'pkai', 'play', 'game', 'ms',' area ',' sulbar ',' jingan ',' Telkomswl ',' Bkin ',' NUB ',' Main ',' Game ',' Ncok ']")</f>
        <v>['The network', 'nub', 'chapter', 'noon', 'night', 'pkai', 'play', 'game', 'ms',' area ',' sulbar ',' jingan ',' Telkomswl ',' Bkin ',' NUB ',' Main ',' Game ',' Ncok ']</v>
      </c>
      <c r="D11193" s="3">
        <v>1.0</v>
      </c>
    </row>
    <row r="11194" ht="15.75" customHeight="1">
      <c r="A11194" s="1">
        <v>11925.0</v>
      </c>
      <c r="B11194" s="3" t="s">
        <v>10705</v>
      </c>
      <c r="C11194" s="3" t="str">
        <f>IFERROR(__xludf.DUMMYFUNCTION("GOOGLETRANSLATE(B11194,""id"",""en"")"),"['Good', 'makes it easy', 'access']")</f>
        <v>['Good', 'makes it easy', 'access']</v>
      </c>
      <c r="D11194" s="3">
        <v>5.0</v>
      </c>
    </row>
    <row r="11195" ht="15.75" customHeight="1">
      <c r="A11195" s="1">
        <v>11926.0</v>
      </c>
      <c r="B11195" s="3" t="s">
        <v>10706</v>
      </c>
      <c r="C11195" s="3" t="str">
        <f>IFERROR(__xludf.DUMMYFUNCTION("GOOGLETRANSLATE(B11195,""id"",""en"")"),"['signal', 'jekek', '']")</f>
        <v>['signal', 'jekek', '']</v>
      </c>
      <c r="D11195" s="3">
        <v>1.0</v>
      </c>
    </row>
    <row r="11196" ht="15.75" customHeight="1">
      <c r="A11196" s="1">
        <v>11927.0</v>
      </c>
      <c r="B11196" s="3" t="s">
        <v>9286</v>
      </c>
      <c r="C11196" s="3" t="str">
        <f>IFERROR(__xludf.DUMMYFUNCTION("GOOGLETRANSLATE(B11196,""id"",""en"")"),"['Application', 'Help']")</f>
        <v>['Application', 'Help']</v>
      </c>
      <c r="D11196" s="3">
        <v>5.0</v>
      </c>
    </row>
    <row r="11197" ht="15.75" customHeight="1">
      <c r="A11197" s="1">
        <v>11928.0</v>
      </c>
      <c r="B11197" s="3" t="s">
        <v>10707</v>
      </c>
      <c r="C11197" s="3" t="str">
        <f>IFERROR(__xludf.DUMMYFUNCTION("GOOGLETRANSLATE(B11197,""id"",""en"")"),"['Haloo', 'already', 'lho', 'connection', 'internet', 'stable', 'cook', 'lose', 'yellow', 'speed', 'your customer', 'moved', ' Lho ',' gini ',' trs', ""]")</f>
        <v>['Haloo', 'already', 'lho', 'connection', 'internet', 'stable', 'cook', 'lose', 'yellow', 'speed', 'your customer', 'moved', ' Lho ',' gini ',' trs', "]</v>
      </c>
      <c r="D11197" s="3">
        <v>1.0</v>
      </c>
    </row>
    <row r="11198" ht="15.75" customHeight="1">
      <c r="A11198" s="1">
        <v>11929.0</v>
      </c>
      <c r="B11198" s="3" t="s">
        <v>10708</v>
      </c>
      <c r="C11198" s="3" t="str">
        <f>IFERROR(__xludf.DUMMYFUNCTION("GOOGLETRANSLATE(B11198,""id"",""en"")"),"['network', 'internet', 'brbatas', 'nonstop', 'clock']")</f>
        <v>['network', 'internet', 'brbatas', 'nonstop', 'clock']</v>
      </c>
      <c r="D11198" s="3">
        <v>4.0</v>
      </c>
    </row>
    <row r="11199" ht="15.75" customHeight="1">
      <c r="A11199" s="1">
        <v>11930.0</v>
      </c>
      <c r="B11199" s="3" t="s">
        <v>10709</v>
      </c>
      <c r="C11199" s="3" t="str">
        <f>IFERROR(__xludf.DUMMYFUNCTION("GOOGLETRANSLATE(B11199,""id"",""en"")"),"['difficult', 'entry', 'buy', 'pulse', 'application', 'Telkomsel', 'many', 'times',' enter ',' lucky ',' purchase ',' push ',' Button, 'Difficult', 'Star', 'Design', 'Easy', 'Understood']")</f>
        <v>['difficult', 'entry', 'buy', 'pulse', 'application', 'Telkomsel', 'many', 'times',' enter ',' lucky ',' purchase ',' push ',' Button, 'Difficult', 'Star', 'Design', 'Easy', 'Understood']</v>
      </c>
      <c r="D11199" s="3">
        <v>3.0</v>
      </c>
    </row>
    <row r="11200" ht="15.75" customHeight="1">
      <c r="A11200" s="1">
        <v>11931.0</v>
      </c>
      <c r="B11200" s="3" t="s">
        <v>10710</v>
      </c>
      <c r="C11200" s="3" t="str">
        <f>IFERROR(__xludf.DUMMYFUNCTION("GOOGLETRANSLATE(B11200,""id"",""en"")"),"['Price', 'expensive', 'network', 'mess']")</f>
        <v>['Price', 'expensive', 'network', 'mess']</v>
      </c>
      <c r="D11200" s="3">
        <v>1.0</v>
      </c>
    </row>
    <row r="11201" ht="15.75" customHeight="1">
      <c r="A11201" s="1">
        <v>11932.0</v>
      </c>
      <c r="B11201" s="3" t="s">
        <v>10711</v>
      </c>
      <c r="C11201" s="3" t="str">
        <f>IFERROR(__xludf.DUMMYFUNCTION("GOOGLETRANSLATE(B11201,""id"",""en"")"),"['card', 'pig', 'Lagg', 'Mulu', 'Ijung', 'Mending', 'Indosat', 'cave', 'mahh', 'pulses',' expensive ',' network ',' Kek ',' pig ',' idiot ', ""]")</f>
        <v>['card', 'pig', 'Lagg', 'Mulu', 'Ijung', 'Mending', 'Indosat', 'cave', 'mahh', 'pulses',' expensive ',' network ',' Kek ',' pig ',' idiot ', "]</v>
      </c>
      <c r="D11201" s="3">
        <v>1.0</v>
      </c>
    </row>
    <row r="11202" ht="15.75" customHeight="1">
      <c r="A11202" s="1">
        <v>11933.0</v>
      </c>
      <c r="B11202" s="3" t="s">
        <v>10712</v>
      </c>
      <c r="C11202" s="3" t="str">
        <f>IFERROR(__xludf.DUMMYFUNCTION("GOOGLETRANSLATE(B11202,""id"",""en"")"),"['application', 'blank', 'white']")</f>
        <v>['application', 'blank', 'white']</v>
      </c>
      <c r="D11202" s="3">
        <v>1.0</v>
      </c>
    </row>
    <row r="11203" ht="15.75" customHeight="1">
      <c r="A11203" s="1">
        <v>11934.0</v>
      </c>
      <c r="B11203" s="3" t="s">
        <v>10713</v>
      </c>
      <c r="C11203" s="3" t="str">
        <f>IFERROR(__xludf.DUMMYFUNCTION("GOOGLETRANSLATE(B11203,""id"",""en"")"),"['Telkomsel', 'signal', 'lost', 'a number', 'quota', 'expensive', 'lose', 'tasty', 'worked', 'task', 'die', 'in the middle' The road ',' signal ',' missing ',' Telkomsel ',' Season ',' ']")</f>
        <v>['Telkomsel', 'signal', 'lost', 'a number', 'quota', 'expensive', 'lose', 'tasty', 'worked', 'task', 'die', 'in the middle' The road ',' signal ',' missing ',' Telkomsel ',' Season ',' ']</v>
      </c>
      <c r="D11203" s="3">
        <v>1.0</v>
      </c>
    </row>
    <row r="11204" ht="15.75" customHeight="1">
      <c r="A11204" s="1">
        <v>11935.0</v>
      </c>
      <c r="B11204" s="3" t="s">
        <v>10714</v>
      </c>
      <c r="C11204" s="3" t="str">
        <f>IFERROR(__xludf.DUMMYFUNCTION("GOOGLETRANSLATE(B11204,""id"",""en"")"),"['wahhhhhh', 'signal', 'Telkomsel', 'really', 'ping', 'ms', 'second', 'pantes', 'price', 'my computer', 'Dinaikin']")</f>
        <v>['wahhhhhh', 'signal', 'Telkomsel', 'really', 'ping', 'ms', 'second', 'pantes', 'price', 'my computer', 'Dinaikin']</v>
      </c>
      <c r="D11204" s="3">
        <v>1.0</v>
      </c>
    </row>
    <row r="11205" ht="15.75" customHeight="1">
      <c r="A11205" s="1">
        <v>11936.0</v>
      </c>
      <c r="B11205" s="3" t="s">
        <v>10715</v>
      </c>
      <c r="C11205" s="3" t="str">
        <f>IFERROR(__xludf.DUMMYFUNCTION("GOOGLETRANSLATE(B11205,""id"",""en"")"),"['apk', 'since' since 'update', 'gabisa', 'opened', 'difficult', 'how', 'quota', 'telkom', 'expensive', 'obstacle']")</f>
        <v>['apk', 'since' since 'update', 'gabisa', 'opened', 'difficult', 'how', 'quota', 'telkom', 'expensive', 'obstacle']</v>
      </c>
      <c r="D11205" s="3">
        <v>1.0</v>
      </c>
    </row>
    <row r="11206" ht="15.75" customHeight="1">
      <c r="A11206" s="1">
        <v>11937.0</v>
      </c>
      <c r="B11206" s="3" t="s">
        <v>10716</v>
      </c>
      <c r="C11206" s="3" t="str">
        <f>IFERROR(__xludf.DUMMYFUNCTION("GOOGLETRANSLATE(B11206,""id"",""en"")"),"['Network', 'slow', 'quality']")</f>
        <v>['Network', 'slow', 'quality']</v>
      </c>
      <c r="D11206" s="3">
        <v>1.0</v>
      </c>
    </row>
    <row r="11207" ht="15.75" customHeight="1">
      <c r="A11207" s="1">
        <v>11938.0</v>
      </c>
      <c r="B11207" s="3" t="s">
        <v>10712</v>
      </c>
      <c r="C11207" s="3" t="str">
        <f>IFERROR(__xludf.DUMMYFUNCTION("GOOGLETRANSLATE(B11207,""id"",""en"")"),"['application', 'blank', 'white']")</f>
        <v>['application', 'blank', 'white']</v>
      </c>
      <c r="D11207" s="3">
        <v>1.0</v>
      </c>
    </row>
    <row r="11208" ht="15.75" customHeight="1">
      <c r="A11208" s="1">
        <v>11939.0</v>
      </c>
      <c r="B11208" s="3" t="s">
        <v>8137</v>
      </c>
      <c r="C11208" s="3" t="str">
        <f>IFERROR(__xludf.DUMMYFUNCTION("GOOGLETRANSLATE(B11208,""id"",""en"")"),"['screen', 'white']")</f>
        <v>['screen', 'white']</v>
      </c>
      <c r="D11208" s="3">
        <v>1.0</v>
      </c>
    </row>
    <row r="11209" ht="15.75" customHeight="1">
      <c r="A11209" s="1">
        <v>11940.0</v>
      </c>
      <c r="B11209" s="3" t="s">
        <v>10717</v>
      </c>
      <c r="C11209" s="3" t="str">
        <f>IFERROR(__xludf.DUMMYFUNCTION("GOOGLETRANSLATE(B11209,""id"",""en"")"),"['', 'Telkomsel', 'easy', 'steady']")</f>
        <v>['', 'Telkomsel', 'easy', 'steady']</v>
      </c>
      <c r="D11209" s="3">
        <v>5.0</v>
      </c>
    </row>
    <row r="11210" ht="15.75" customHeight="1">
      <c r="A11210" s="1">
        <v>11941.0</v>
      </c>
      <c r="B11210" s="3" t="s">
        <v>10718</v>
      </c>
      <c r="C11210" s="3" t="str">
        <f>IFERROR(__xludf.DUMMYFUNCTION("GOOGLETRANSLATE(B11210,""id"",""en"")"),"['expensive', 'slow', '']")</f>
        <v>['expensive', 'slow', '']</v>
      </c>
      <c r="D11210" s="3">
        <v>3.0</v>
      </c>
    </row>
    <row r="11211" ht="15.75" customHeight="1">
      <c r="A11211" s="1">
        <v>11942.0</v>
      </c>
      <c r="B11211" s="3" t="s">
        <v>1294</v>
      </c>
      <c r="C11211" s="3" t="str">
        <f>IFERROR(__xludf.DUMMYFUNCTION("GOOGLETRANSLATE(B11211,""id"",""en"")"),"['APK', 'Help']")</f>
        <v>['APK', 'Help']</v>
      </c>
      <c r="D11211" s="3">
        <v>1.0</v>
      </c>
    </row>
    <row r="11212" ht="15.75" customHeight="1">
      <c r="A11212" s="1">
        <v>11943.0</v>
      </c>
      <c r="B11212" s="3" t="s">
        <v>10719</v>
      </c>
      <c r="C11212" s="3" t="str">
        <f>IFERROR(__xludf.DUMMYFUNCTION("GOOGLETRANSLATE(B11212,""id"",""en"")"),"['Open', 'Applikasih']")</f>
        <v>['Open', 'Applikasih']</v>
      </c>
      <c r="D11212" s="3">
        <v>5.0</v>
      </c>
    </row>
    <row r="11213" ht="15.75" customHeight="1">
      <c r="A11213" s="1">
        <v>11944.0</v>
      </c>
      <c r="B11213" s="3" t="s">
        <v>10720</v>
      </c>
      <c r="C11213" s="3" t="str">
        <f>IFERROR(__xludf.DUMMYFUNCTION("GOOGLETRANSLATE(B11213,""id"",""en"")"),"['Love', 'star', 'use']")</f>
        <v>['Love', 'star', 'use']</v>
      </c>
      <c r="D11213" s="3">
        <v>3.0</v>
      </c>
    </row>
    <row r="11214" ht="15.75" customHeight="1">
      <c r="A11214" s="1">
        <v>11945.0</v>
      </c>
      <c r="B11214" s="3" t="s">
        <v>10721</v>
      </c>
      <c r="C11214" s="3" t="str">
        <f>IFERROR(__xludf.DUMMYFUNCTION("GOOGLETRANSLATE(B11214,""id"",""en"")"),"['Out', 'Update', 'Application', 'White', 'Used', 'How', 'Telkomsel', ""]")</f>
        <v>['Out', 'Update', 'Application', 'White', 'Used', 'How', 'Telkomsel', "]</v>
      </c>
      <c r="D11214" s="3">
        <v>1.0</v>
      </c>
    </row>
    <row r="11215" ht="15.75" customHeight="1">
      <c r="A11215" s="1">
        <v>11946.0</v>
      </c>
      <c r="B11215" s="3" t="s">
        <v>10722</v>
      </c>
      <c r="C11215" s="3" t="str">
        <f>IFERROR(__xludf.DUMMYFUNCTION("GOOGLETRANSLATE(B11215,""id"",""en"")"),"['package', 'GB', 'function', 'yaa', 'signal', 'bad', 'buy', 'package', 'nge', 'game', 'online', 'signal', ' bad', '']")</f>
        <v>['package', 'GB', 'function', 'yaa', 'signal', 'bad', 'buy', 'package', 'nge', 'game', 'online', 'signal', ' bad', '']</v>
      </c>
      <c r="D11215" s="3">
        <v>1.0</v>
      </c>
    </row>
    <row r="11216" ht="15.75" customHeight="1">
      <c r="A11216" s="1">
        <v>11948.0</v>
      </c>
      <c r="B11216" s="3" t="s">
        <v>10723</v>
      </c>
      <c r="C11216" s="3" t="str">
        <f>IFERROR(__xludf.DUMMYFUNCTION("GOOGLETRANSLATE(B11216,""id"",""en"")"),"['A ',' white ',' clean ']")</f>
        <v>['A ',' white ',' clean ']</v>
      </c>
      <c r="D11216" s="3">
        <v>1.0</v>
      </c>
    </row>
    <row r="11217" ht="15.75" customHeight="1">
      <c r="A11217" s="1">
        <v>11949.0</v>
      </c>
      <c r="B11217" s="3" t="s">
        <v>10724</v>
      </c>
      <c r="C11217" s="3" t="str">
        <f>IFERROR(__xludf.DUMMYFUNCTION("GOOGLETRANSLATE(B11217,""id"",""en"")"),"['sory', 'down', 'star', 'ping', 'jumping', 'maen', 'game', '']")</f>
        <v>['sory', 'down', 'star', 'ping', 'jumping', 'maen', 'game', '']</v>
      </c>
      <c r="D11217" s="3">
        <v>1.0</v>
      </c>
    </row>
    <row r="11218" ht="15.75" customHeight="1">
      <c r="A11218" s="1">
        <v>11950.0</v>
      </c>
      <c r="B11218" s="3" t="s">
        <v>10725</v>
      </c>
      <c r="C11218" s="3" t="str">
        <f>IFERROR(__xludf.DUMMYFUNCTION("GOOGLETRANSLATE(B11218,""id"",""en"")"),"['Application', 'Operator', 'Best']")</f>
        <v>['Application', 'Operator', 'Best']</v>
      </c>
      <c r="D11218" s="3">
        <v>5.0</v>
      </c>
    </row>
    <row r="11219" ht="15.75" customHeight="1">
      <c r="A11219" s="1">
        <v>11951.0</v>
      </c>
      <c r="B11219" s="3" t="s">
        <v>10726</v>
      </c>
      <c r="C11219" s="3" t="str">
        <f>IFERROR(__xludf.DUMMYFUNCTION("GOOGLETRANSLATE(B11219,""id"",""en"")"),"['', 'Open', 'App', 'already', 'installed', 'HP']")</f>
        <v>['', 'Open', 'App', 'already', 'installed', 'HP']</v>
      </c>
      <c r="D11219" s="3">
        <v>1.0</v>
      </c>
    </row>
    <row r="11220" ht="15.75" customHeight="1">
      <c r="A11220" s="1">
        <v>11952.0</v>
      </c>
      <c r="B11220" s="3" t="s">
        <v>10727</v>
      </c>
      <c r="C11220" s="3" t="str">
        <f>IFERROR(__xludf.DUMMYFUNCTION("GOOGLETRANSLATE(B11220,""id"",""en"")"),"['upgrade', 'yll', 'screen', 'nge', 'blank', 'white', 'subscribe', 'disappointed', 'doong']")</f>
        <v>['upgrade', 'yll', 'screen', 'nge', 'blank', 'white', 'subscribe', 'disappointed', 'doong']</v>
      </c>
      <c r="D11220" s="3">
        <v>1.0</v>
      </c>
    </row>
    <row r="11221" ht="15.75" customHeight="1">
      <c r="A11221" s="1">
        <v>11953.0</v>
      </c>
      <c r="B11221" s="3" t="s">
        <v>10728</v>
      </c>
      <c r="C11221" s="3" t="str">
        <f>IFERROR(__xludf.DUMMYFUNCTION("GOOGLETRANSLATE(B11221,""id"",""en"")"),"['already', 'login', 'no', 'road', 'package', 'data', 'radio', 'no']")</f>
        <v>['already', 'login', 'no', 'road', 'package', 'data', 'radio', 'no']</v>
      </c>
      <c r="D11221" s="3">
        <v>1.0</v>
      </c>
    </row>
    <row r="11222" ht="15.75" customHeight="1">
      <c r="A11222" s="1">
        <v>11954.0</v>
      </c>
      <c r="B11222" s="3" t="s">
        <v>10729</v>
      </c>
      <c r="C11222" s="3" t="str">
        <f>IFERROR(__xludf.DUMMYFUNCTION("GOOGLETRANSLATE(B11222,""id"",""en"")"),"['Severe', 'Game', 'Online', 'Raying', 'Cave', 'Buy']")</f>
        <v>['Severe', 'Game', 'Online', 'Raying', 'Cave', 'Buy']</v>
      </c>
      <c r="D11222" s="3">
        <v>2.0</v>
      </c>
    </row>
    <row r="11223" ht="15.75" customHeight="1">
      <c r="A11223" s="1">
        <v>11955.0</v>
      </c>
      <c r="B11223" s="3" t="s">
        <v>10730</v>
      </c>
      <c r="C11223" s="3" t="str">
        <f>IFERROR(__xludf.DUMMYFUNCTION("GOOGLETRANSLATE(B11223,""id"",""en"")"),"['Help', 'Win']")</f>
        <v>['Help', 'Win']</v>
      </c>
      <c r="D11223" s="3">
        <v>5.0</v>
      </c>
    </row>
    <row r="11224" ht="15.75" customHeight="1">
      <c r="A11224" s="1">
        <v>11956.0</v>
      </c>
      <c r="B11224" s="3" t="s">
        <v>4095</v>
      </c>
      <c r="C11224" s="3" t="str">
        <f>IFERROR(__xludf.DUMMYFUNCTION("GOOGLETRANSLATE(B11224,""id"",""en"")"),"['love', '']")</f>
        <v>['love', '']</v>
      </c>
      <c r="D11224" s="3">
        <v>4.0</v>
      </c>
    </row>
    <row r="11225" ht="15.75" customHeight="1">
      <c r="A11225" s="1">
        <v>11957.0</v>
      </c>
      <c r="B11225" s="3" t="s">
        <v>10731</v>
      </c>
      <c r="C11225" s="3" t="str">
        <f>IFERROR(__xludf.DUMMYFUNCTION("GOOGLETRANSLATE(B11225,""id"",""en"")"),"['Knp', 'quota', 'unlimited', 'play', 'pubm', 'already', 'ngarep', 'bnget', 'play']")</f>
        <v>['Knp', 'quota', 'unlimited', 'play', 'pubm', 'already', 'ngarep', 'bnget', 'play']</v>
      </c>
      <c r="D11225" s="3">
        <v>1.0</v>
      </c>
    </row>
    <row r="11226" ht="15.75" customHeight="1">
      <c r="A11226" s="1">
        <v>11958.0</v>
      </c>
      <c r="B11226" s="3" t="s">
        <v>10732</v>
      </c>
      <c r="C11226" s="3" t="str">
        <f>IFERROR(__xludf.DUMMYFUNCTION("GOOGLETRANSLATE(B11226,""id"",""en"")"),"['signal', 'your network', 'good', 'pay attention to it', 'City', 'alarming', 'Switch', '']")</f>
        <v>['signal', 'your network', 'good', 'pay attention to it', 'City', 'alarming', 'Switch', '']</v>
      </c>
      <c r="D11226" s="3">
        <v>1.0</v>
      </c>
    </row>
    <row r="11227" ht="15.75" customHeight="1">
      <c r="A11227" s="1">
        <v>11959.0</v>
      </c>
      <c r="B11227" s="3" t="s">
        <v>10733</v>
      </c>
      <c r="C11227" s="3" t="str">
        <f>IFERROR(__xludf.DUMMYFUNCTION("GOOGLETRANSLATE(B11227,""id"",""en"")"),"['opened', 'application', 'hnya', 'screen', 'white', '']")</f>
        <v>['opened', 'application', 'hnya', 'screen', 'white', '']</v>
      </c>
      <c r="D11227" s="3">
        <v>2.0</v>
      </c>
    </row>
    <row r="11228" ht="15.75" customHeight="1">
      <c r="A11228" s="1">
        <v>11960.0</v>
      </c>
      <c r="B11228" s="3" t="s">
        <v>4532</v>
      </c>
      <c r="C11228" s="3" t="str">
        <f>IFERROR(__xludf.DUMMYFUNCTION("GOOGLETRANSLATE(B11228,""id"",""en"")"),"['suitable']")</f>
        <v>['suitable']</v>
      </c>
      <c r="D11228" s="3">
        <v>5.0</v>
      </c>
    </row>
    <row r="11229" ht="15.75" customHeight="1">
      <c r="A11229" s="1">
        <v>11961.0</v>
      </c>
      <c r="B11229" s="3" t="s">
        <v>10734</v>
      </c>
      <c r="C11229" s="3" t="str">
        <f>IFERROR(__xludf.DUMMYFUNCTION("GOOGLETRANSLATE(B11229,""id"",""en"")"),"['Kasi', 'star', 'APK', 'good', 'donlod', 'please', 'donlod', 'sorry', 'nga', 'donlod']")</f>
        <v>['Kasi', 'star', 'APK', 'good', 'donlod', 'please', 'donlod', 'sorry', 'nga', 'donlod']</v>
      </c>
      <c r="D11229" s="3">
        <v>5.0</v>
      </c>
    </row>
    <row r="11230" ht="15.75" customHeight="1">
      <c r="A11230" s="1">
        <v>11962.0</v>
      </c>
      <c r="B11230" s="3" t="s">
        <v>10735</v>
      </c>
      <c r="C11230" s="3" t="str">
        <f>IFERROR(__xludf.DUMMYFUNCTION("GOOGLETRANSLATE(B11230,""id"",""en"")"),"['Network', 'Kek', 'Taik', 'Super', 'Slow', 'Loss', 'Gara', 'Telkomsel', 'Kamrett']")</f>
        <v>['Network', 'Kek', 'Taik', 'Super', 'Slow', 'Loss', 'Gara', 'Telkomsel', 'Kamrett']</v>
      </c>
      <c r="D11230" s="3">
        <v>1.0</v>
      </c>
    </row>
    <row r="11231" ht="15.75" customHeight="1">
      <c r="A11231" s="1">
        <v>11963.0</v>
      </c>
      <c r="B11231" s="3" t="s">
        <v>10736</v>
      </c>
      <c r="C11231" s="3" t="str">
        <f>IFERROR(__xludf.DUMMYFUNCTION("GOOGLETRANSLATE(B11231,""id"",""en"")"),"['buy', 'package', 'unlimited', 'Telkomsel', 'slow', 'use', 'Embed', 'Embed', 'Telkomsel', 'Live', 'City', 'Sidoarjo', ' Forest', '']")</f>
        <v>['buy', 'package', 'unlimited', 'Telkomsel', 'slow', 'use', 'Embed', 'Embed', 'Telkomsel', 'Live', 'City', 'Sidoarjo', ' Forest', '']</v>
      </c>
      <c r="D11231" s="3">
        <v>1.0</v>
      </c>
    </row>
    <row r="11232" ht="15.75" customHeight="1">
      <c r="A11232" s="1">
        <v>11964.0</v>
      </c>
      <c r="B11232" s="3" t="s">
        <v>10737</v>
      </c>
      <c r="C11232" s="3" t="str">
        <f>IFERROR(__xludf.DUMMYFUNCTION("GOOGLETRANSLATE(B11232,""id"",""en"")"),"['Like', 'Telkomsel', 'Ribet', 'Easy']")</f>
        <v>['Like', 'Telkomsel', 'Ribet', 'Easy']</v>
      </c>
      <c r="D11232" s="3">
        <v>5.0</v>
      </c>
    </row>
    <row r="11233" ht="15.75" customHeight="1">
      <c r="A11233" s="1">
        <v>11965.0</v>
      </c>
      <c r="B11233" s="3" t="s">
        <v>10738</v>
      </c>
      <c r="C11233" s="3" t="str">
        <f>IFERROR(__xludf.DUMMYFUNCTION("GOOGLETRANSLATE(B11233,""id"",""en"")"),"['Baok']")</f>
        <v>['Baok']</v>
      </c>
      <c r="D11233" s="3">
        <v>5.0</v>
      </c>
    </row>
    <row r="11234" ht="15.75" customHeight="1">
      <c r="A11234" s="1">
        <v>11966.0</v>
      </c>
      <c r="B11234" s="3" t="s">
        <v>10739</v>
      </c>
      <c r="C11234" s="3" t="str">
        <f>IFERROR(__xludf.DUMMYFUNCTION("GOOGLETRANSLATE(B11234,""id"",""en"")"),"['Excuse me', 'Min', 'Telkomsel', 'Lemod', 'Open', 'Game', 'Tiktok', 'Etc.', 'Please', 'Min']")</f>
        <v>['Excuse me', 'Min', 'Telkomsel', 'Lemod', 'Open', 'Game', 'Tiktok', 'Etc.', 'Please', 'Min']</v>
      </c>
      <c r="D11234" s="3">
        <v>3.0</v>
      </c>
    </row>
    <row r="11235" ht="15.75" customHeight="1">
      <c r="A11235" s="1">
        <v>11967.0</v>
      </c>
      <c r="B11235" s="3" t="s">
        <v>10740</v>
      </c>
      <c r="C11235" s="3" t="str">
        <f>IFERROR(__xludf.DUMMYFUNCTION("GOOGLETRANSLATE(B11235,""id"",""en"")"),"['Gosh', 'Open', 'APK', 'Screen', 'White', 'Doang', 'Severe', 'Good', 'Severe']")</f>
        <v>['Gosh', 'Open', 'APK', 'Screen', 'White', 'Doang', 'Severe', 'Good', 'Severe']</v>
      </c>
      <c r="D11235" s="3">
        <v>1.0</v>
      </c>
    </row>
    <row r="11236" ht="15.75" customHeight="1">
      <c r="A11236" s="1">
        <v>11968.0</v>
      </c>
      <c r="B11236" s="3" t="s">
        <v>10741</v>
      </c>
      <c r="C11236" s="3" t="str">
        <f>IFERROR(__xludf.DUMMYFUNCTION("GOOGLETRANSLATE(B11236,""id"",""en"")"),"['Knp', 'klw', 'opened', 'application', 'appears', 'screen', 'white', 'solution', 'please', 'repaired', 'system']")</f>
        <v>['Knp', 'klw', 'opened', 'application', 'appears', 'screen', 'white', 'solution', 'please', 'repaired', 'system']</v>
      </c>
      <c r="D11236" s="3">
        <v>1.0</v>
      </c>
    </row>
    <row r="11237" ht="15.75" customHeight="1">
      <c r="A11237" s="1">
        <v>11969.0</v>
      </c>
      <c r="B11237" s="3" t="s">
        <v>10742</v>
      </c>
      <c r="C11237" s="3" t="str">
        <f>IFERROR(__xludf.DUMMYFUNCTION("GOOGLETRANSLATE(B11237,""id"",""en"")"),"['network', 'Telkomsel', 'ugly', 'signal', 'good', 'quota', 'fill out', 'please', 'repaired', 'priority', 'convenience', 'user', ' Quota ',' expensive ',' network ',' ugly ',' ']")</f>
        <v>['network', 'Telkomsel', 'ugly', 'signal', 'good', 'quota', 'fill out', 'please', 'repaired', 'priority', 'convenience', 'user', ' Quota ',' expensive ',' network ',' ugly ',' ']</v>
      </c>
      <c r="D11237" s="3">
        <v>1.0</v>
      </c>
    </row>
    <row r="11238" ht="15.75" customHeight="1">
      <c r="A11238" s="1">
        <v>11970.0</v>
      </c>
      <c r="B11238" s="3" t="s">
        <v>10743</v>
      </c>
      <c r="C11238" s="3" t="str">
        <f>IFERROR(__xludf.DUMMYFUNCTION("GOOGLETRANSLATE(B11238,""id"",""en"")"),"['apk', 'pig', 'buy', 'quota', 'play', 'game', 'ngeleg', 'signal', 'ugly']")</f>
        <v>['apk', 'pig', 'buy', 'quota', 'play', 'game', 'ngeleg', 'signal', 'ugly']</v>
      </c>
      <c r="D11238" s="3">
        <v>1.0</v>
      </c>
    </row>
    <row r="11239" ht="15.75" customHeight="1">
      <c r="A11239" s="1">
        <v>11971.0</v>
      </c>
      <c r="B11239" s="3" t="s">
        <v>10744</v>
      </c>
      <c r="C11239" s="3" t="str">
        <f>IFERROR(__xludf.DUMMYFUNCTION("GOOGLETRANSLATE(B11239,""id"",""en"")"),"['Please', 'Fix', 'The network', 'Blondom', 'Telkomsel', 'ugly', ""]")</f>
        <v>['Please', 'Fix', 'The network', 'Blondom', 'Telkomsel', 'ugly', "]</v>
      </c>
      <c r="D11239" s="3">
        <v>3.0</v>
      </c>
    </row>
    <row r="11240" ht="15.75" customHeight="1">
      <c r="A11240" s="1">
        <v>11972.0</v>
      </c>
      <c r="B11240" s="3" t="s">
        <v>10745</v>
      </c>
      <c r="C11240" s="3" t="str">
        <f>IFERROR(__xludf.DUMMYFUNCTION("GOOGLETRANSLATE(B11240,""id"",""en"")"),"['Ribet', 'his account']")</f>
        <v>['Ribet', 'his account']</v>
      </c>
      <c r="D11240" s="3">
        <v>5.0</v>
      </c>
    </row>
    <row r="11241" ht="15.75" customHeight="1">
      <c r="A11241" s="1">
        <v>11973.0</v>
      </c>
      <c r="B11241" s="3" t="s">
        <v>10746</v>
      </c>
      <c r="C11241" s="3" t="str">
        <f>IFERROR(__xludf.DUMMYFUNCTION("GOOGLETRANSLATE(B11241,""id"",""en"")"),"['knapa', 'open', 'application', 'mytelkomsel', 'screen', 'white', 'trusss',' delete ',' application ',' trusss', 'download', 'screen', ' Whitehhh ',' Gini ',' APK ',' MyTelkomsel ',' ']")</f>
        <v>['knapa', 'open', 'application', 'mytelkomsel', 'screen', 'white', 'trusss',' delete ',' application ',' trusss', 'download', 'screen', ' Whitehhh ',' Gini ',' APK ',' MyTelkomsel ',' ']</v>
      </c>
      <c r="D11241" s="3">
        <v>1.0</v>
      </c>
    </row>
    <row r="11242" ht="15.75" customHeight="1">
      <c r="A11242" s="1">
        <v>11975.0</v>
      </c>
      <c r="B11242" s="3" t="s">
        <v>10747</v>
      </c>
      <c r="C11242" s="3" t="str">
        <f>IFERROR(__xludf.DUMMYFUNCTION("GOOGLETRANSLATE(B11242,""id"",""en"")"),"['just', 'sakali', 'orng', 'confused', 'apk', 'open', 'please', 'return', 'apk', '']")</f>
        <v>['just', 'sakali', 'orng', 'confused', 'apk', 'open', 'please', 'return', 'apk', '']</v>
      </c>
      <c r="D11242" s="3">
        <v>4.0</v>
      </c>
    </row>
    <row r="11243" ht="15.75" customHeight="1">
      <c r="A11243" s="1">
        <v>11976.0</v>
      </c>
      <c r="B11243" s="3" t="s">
        <v>10748</v>
      </c>
      <c r="C11243" s="3" t="str">
        <f>IFERROR(__xludf.DUMMYFUNCTION("GOOGLETRANSLATE(B11243,""id"",""en"")"),"['Signal', 'Rich']")</f>
        <v>['Signal', 'Rich']</v>
      </c>
      <c r="D11243" s="3">
        <v>1.0</v>
      </c>
    </row>
    <row r="11244" ht="15.75" customHeight="1">
      <c r="A11244" s="1">
        <v>11977.0</v>
      </c>
      <c r="B11244" s="3" t="s">
        <v>10749</v>
      </c>
      <c r="C11244" s="3" t="str">
        <f>IFERROR(__xludf.DUMMYFUNCTION("GOOGLETRANSLATE(B11244,""id"",""en"")"),"['Telkomsel', 'Makim', 'ugly', 'signal', 'rain', 'little', 'nglag', 'cloud', 'a little', 'error', 'lost', 'original', ' Udh ',' expensive ',' Buriq ',' Please ',' Fix ',' Lost ',' Three ',' Price ',' Expensive ',' UDH ',' Expensive ',' Glag ', ""]")</f>
        <v>['Telkomsel', 'Makim', 'ugly', 'signal', 'rain', 'little', 'nglag', 'cloud', 'a little', 'error', 'lost', 'original', ' Udh ',' expensive ',' Buriq ',' Please ',' Fix ',' Lost ',' Three ',' Price ',' Expensive ',' UDH ',' Expensive ',' Glag ', "]</v>
      </c>
      <c r="D11244" s="3">
        <v>1.0</v>
      </c>
    </row>
    <row r="11245" ht="15.75" customHeight="1">
      <c r="A11245" s="1">
        <v>11978.0</v>
      </c>
      <c r="B11245" s="3" t="s">
        <v>10750</v>
      </c>
      <c r="C11245" s="3" t="str">
        <f>IFERROR(__xludf.DUMMYFUNCTION("GOOGLETRANSLATE(B11245,""id"",""en"")"),"['Good', 'Good', 'Not bad', 'price', 'quota', 'card', 'expensive', 'bonus']")</f>
        <v>['Good', 'Good', 'Not bad', 'price', 'quota', 'card', 'expensive', 'bonus']</v>
      </c>
      <c r="D11245" s="3">
        <v>4.0</v>
      </c>
    </row>
    <row r="11246" ht="15.75" customHeight="1">
      <c r="A11246" s="1">
        <v>11979.0</v>
      </c>
      <c r="B11246" s="3" t="s">
        <v>10751</v>
      </c>
      <c r="C11246" s="3" t="str">
        <f>IFERROR(__xludf.DUMMYFUNCTION("GOOGLETRANSLATE(B11246,""id"",""en"")"),"['Network', 'Telkomsel', 'Disruption', 'Mulu', 'Kayak', 'Current', 'Make', 'Comfortable', 'Satisfied', 'Different', 'Disruption', ' Disappointed ',' Telkomsel ',' ']")</f>
        <v>['Network', 'Telkomsel', 'Disruption', 'Mulu', 'Kayak', 'Current', 'Make', 'Comfortable', 'Satisfied', 'Different', 'Disruption', ' Disappointed ',' Telkomsel ',' ']</v>
      </c>
      <c r="D11246" s="3">
        <v>1.0</v>
      </c>
    </row>
    <row r="11247" ht="15.75" customHeight="1">
      <c r="A11247" s="1">
        <v>11980.0</v>
      </c>
      <c r="B11247" s="3" t="s">
        <v>10752</v>
      </c>
      <c r="C11247" s="3" t="str">
        <f>IFERROR(__xludf.DUMMYFUNCTION("GOOGLETRANSLATE(B11247,""id"",""en"")"),"['', 'GBS', 'Open', 'Application', 'Telkomsel', 'SMPE', 'Update', 'Software', 'Customer', 'Post', 'Pay', 'Lho', 'SPT ',' service ',' provider ',' prestigious']")</f>
        <v>['', 'GBS', 'Open', 'Application', 'Telkomsel', 'SMPE', 'Update', 'Software', 'Customer', 'Post', 'Pay', 'Lho', 'SPT ',' service ',' provider ',' prestigious']</v>
      </c>
      <c r="D11247" s="3">
        <v>1.0</v>
      </c>
    </row>
    <row r="11248" ht="15.75" customHeight="1">
      <c r="A11248" s="1">
        <v>11981.0</v>
      </c>
      <c r="B11248" s="3" t="s">
        <v>10753</v>
      </c>
      <c r="C11248" s="3" t="str">
        <f>IFERROR(__xludf.DUMMYFUNCTION("GOOGLETRANSLATE(B11248,""id"",""en"")"),"['used', 'application', 'screen', 'white', 'appears', 'repeated', 'uninstall', 'installed', 'hope', '']")</f>
        <v>['used', 'application', 'screen', 'white', 'appears', 'repeated', 'uninstall', 'installed', 'hope', '']</v>
      </c>
      <c r="D11248" s="3">
        <v>1.0</v>
      </c>
    </row>
    <row r="11249" ht="15.75" customHeight="1">
      <c r="A11249" s="1">
        <v>11982.0</v>
      </c>
      <c r="B11249" s="3" t="s">
        <v>10754</v>
      </c>
      <c r="C11249" s="3" t="str">
        <f>IFERROR(__xludf.DUMMYFUNCTION("GOOGLETRANSLATE(B11249,""id"",""en"")"),"['Knp', 'open', 'Telkomsel', 'Selslu', 'screen', 'white', 'darling', 'Points', 'Exchange', ""]")</f>
        <v>['Knp', 'open', 'Telkomsel', 'Selslu', 'screen', 'white', 'darling', 'Points', 'Exchange', "]</v>
      </c>
      <c r="D11249" s="3">
        <v>5.0</v>
      </c>
    </row>
    <row r="11250" ht="15.75" customHeight="1">
      <c r="A11250" s="1">
        <v>11983.0</v>
      </c>
      <c r="B11250" s="3" t="s">
        <v>10755</v>
      </c>
      <c r="C11250" s="3" t="str">
        <f>IFERROR(__xludf.DUMMYFUNCTION("GOOGLETRANSLATE(B11250,""id"",""en"")"),"['Application', 'opened', 'screen', 'putiiihhhh', '']")</f>
        <v>['Application', 'opened', 'screen', 'putiiihhhh', '']</v>
      </c>
      <c r="D11250" s="3">
        <v>1.0</v>
      </c>
    </row>
    <row r="11251" ht="15.75" customHeight="1">
      <c r="A11251" s="1">
        <v>11984.0</v>
      </c>
      <c r="B11251" s="3" t="s">
        <v>10756</v>
      </c>
      <c r="C11251" s="3" t="str">
        <f>IFERROR(__xludf.DUMMYFUNCTION("GOOGLETRANSLATE(B11251,""id"",""en"")"),"['sala', 'application', 'best', '']")</f>
        <v>['sala', 'application', 'best', '']</v>
      </c>
      <c r="D11251" s="3">
        <v>5.0</v>
      </c>
    </row>
    <row r="11252" ht="15.75" customHeight="1">
      <c r="A11252" s="1">
        <v>11985.0</v>
      </c>
      <c r="B11252" s="3" t="s">
        <v>10757</v>
      </c>
      <c r="C11252" s="3" t="str">
        <f>IFERROR(__xludf.DUMMYFUNCTION("GOOGLETRANSLATE(B11252,""id"",""en"")"),"['Network', 'Good', 'TPI', 'Signal', 'Loo', 'Slow', 'Game', 'Muluu', 'Tiktok']")</f>
        <v>['Network', 'Good', 'TPI', 'Signal', 'Loo', 'Slow', 'Game', 'Muluu', 'Tiktok']</v>
      </c>
      <c r="D11252" s="3">
        <v>1.0</v>
      </c>
    </row>
    <row r="11253" ht="15.75" customHeight="1">
      <c r="A11253" s="1">
        <v>11986.0</v>
      </c>
      <c r="B11253" s="3" t="s">
        <v>10758</v>
      </c>
      <c r="C11253" s="3" t="str">
        <f>IFERROR(__xludf.DUMMYFUNCTION("GOOGLETRANSLATE(B11253,""id"",""en"")"),"['price', 'package', 'internet', 'expensive', 'internet', 'slow', 'hilarious', 'company', 'BUMN', 'original']")</f>
        <v>['price', 'package', 'internet', 'expensive', 'internet', 'slow', 'hilarious', 'company', 'BUMN', 'original']</v>
      </c>
      <c r="D11253" s="3">
        <v>1.0</v>
      </c>
    </row>
    <row r="11254" ht="15.75" customHeight="1">
      <c r="A11254" s="1">
        <v>11987.0</v>
      </c>
      <c r="B11254" s="3" t="s">
        <v>10759</v>
      </c>
      <c r="C11254" s="3" t="str">
        <f>IFERROR(__xludf.DUMMYFUNCTION("GOOGLETRANSLATE(B11254,""id"",""en"")"),"['signal', 'sympathy', 'bad', 'rich', 'buy', 'quota', 'expensive', 'really', 'sinynya', 'forgiveness',' gedeg ',' cave ',' Simpati ',' ']")</f>
        <v>['signal', 'sympathy', 'bad', 'rich', 'buy', 'quota', 'expensive', 'really', 'sinynya', 'forgiveness',' gedeg ',' cave ',' Simpati ',' ']</v>
      </c>
      <c r="D11254" s="3">
        <v>1.0</v>
      </c>
    </row>
    <row r="11255" ht="15.75" customHeight="1">
      <c r="A11255" s="1">
        <v>11988.0</v>
      </c>
      <c r="B11255" s="3" t="s">
        <v>10760</v>
      </c>
      <c r="C11255" s="3" t="str">
        <f>IFERROR(__xludf.DUMMYFUNCTION("GOOGLETRANSLATE(B11255,""id"",""en"")"),"['', 'Sibuka', 'dizziness', 'ask', 'ask', 'dizziness', 'muter', 'muter']")</f>
        <v>['', 'Sibuka', 'dizziness', 'ask', 'ask', 'dizziness', 'muter', 'muter']</v>
      </c>
      <c r="D11255" s="3">
        <v>1.0</v>
      </c>
    </row>
    <row r="11256" ht="15.75" customHeight="1">
      <c r="A11256" s="1">
        <v>11989.0</v>
      </c>
      <c r="B11256" s="3" t="s">
        <v>10761</v>
      </c>
      <c r="C11256" s="3" t="str">
        <f>IFERROR(__xludf.DUMMYFUNCTION("GOOGLETRANSLATE(B11256,""id"",""en"")"),"['Please', 'signal', 'Telkomsel', 'conditioned', 'HDDDDEH', 'Package', 'expensive', 'TPI', 'Roaming', 'Data', 'Severe', 'signal']")</f>
        <v>['Please', 'signal', 'Telkomsel', 'conditioned', 'HDDDDEH', 'Package', 'expensive', 'TPI', 'Roaming', 'Data', 'Severe', 'signal']</v>
      </c>
      <c r="D11256" s="3">
        <v>1.0</v>
      </c>
    </row>
    <row r="11257" ht="15.75" customHeight="1">
      <c r="A11257" s="1">
        <v>11990.0</v>
      </c>
      <c r="B11257" s="3" t="s">
        <v>10762</v>
      </c>
      <c r="C11257" s="3" t="str">
        <f>IFERROR(__xludf.DUMMYFUNCTION("GOOGLETRANSLATE(B11257,""id"",""en"")"),"['Star', 'down', 'star', 'network', 'slow', 'really', 'package', 'buy', 'cheap', 'mala', 'expensive', 'star', ' ']")</f>
        <v>['Star', 'down', 'star', 'network', 'slow', 'really', 'package', 'buy', 'cheap', 'mala', 'expensive', 'star', ' ']</v>
      </c>
      <c r="D11257" s="3">
        <v>1.0</v>
      </c>
    </row>
    <row r="11258" ht="15.75" customHeight="1">
      <c r="A11258" s="1">
        <v>11991.0</v>
      </c>
      <c r="B11258" s="3" t="s">
        <v>9722</v>
      </c>
      <c r="C11258" s="3" t="str">
        <f>IFERROR(__xludf.DUMMYFUNCTION("GOOGLETRANSLATE(B11258,""id"",""en"")"),"['Good', 'boss', '']")</f>
        <v>['Good', 'boss', '']</v>
      </c>
      <c r="D11258" s="3">
        <v>5.0</v>
      </c>
    </row>
    <row r="11259" ht="15.75" customHeight="1">
      <c r="A11259" s="1">
        <v>11992.0</v>
      </c>
      <c r="B11259" s="3" t="s">
        <v>10763</v>
      </c>
      <c r="C11259" s="3" t="str">
        <f>IFERROR(__xludf.DUMMYFUNCTION("GOOGLETRANSLATE(B11259,""id"",""en"")"),"['Masya', 'God', 'Application', 'Telkomsel', 'Ngeblank', 'White', 'Stuck', 'There', 'Overch', 'Quota', 'Already', 'Install', ' Repeated ',' Time ',' Tetep ',' Gini ',' God ',' Please ',' Fix ',' Move ',' Provider ',' Rich ',' Card ',' Fast ',' Fix ' , 'Wo"&amp;"yy', 'BUMN', 'Rich', 'Gini', 'heeehhh', 'Allah']")</f>
        <v>['Masya', 'God', 'Application', 'Telkomsel', 'Ngeblank', 'White', 'Stuck', 'There', 'Overch', 'Quota', 'Already', 'Install', ' Repeated ',' Time ',' Tetep ',' Gini ',' God ',' Please ',' Fix ',' Move ',' Provider ',' Rich ',' Card ',' Fast ',' Fix ' , 'Woyy', 'BUMN', 'Rich', 'Gini', 'heeehhh', 'Allah']</v>
      </c>
      <c r="D11259" s="3">
        <v>1.0</v>
      </c>
    </row>
    <row r="11260" ht="15.75" customHeight="1">
      <c r="A11260" s="1">
        <v>11993.0</v>
      </c>
      <c r="B11260" s="3" t="s">
        <v>10764</v>
      </c>
      <c r="C11260" s="3" t="str">
        <f>IFERROR(__xludf.DUMMYFUNCTION("GOOGLETRANSLATE(B11260,""id"",""en"")"),"['application', 'Telkomsel', 'Display', 'screen', 'color', 'white', 'diuninstall', 'download', 'reset', 'look', 'screen', 'white', ' Please ',' Help ',' Thanks']")</f>
        <v>['application', 'Telkomsel', 'Display', 'screen', 'color', 'white', 'diuninstall', 'download', 'reset', 'look', 'screen', 'white', ' Please ',' Help ',' Thanks']</v>
      </c>
      <c r="D11260" s="3">
        <v>2.0</v>
      </c>
    </row>
    <row r="11261" ht="15.75" customHeight="1">
      <c r="A11261" s="1">
        <v>11994.0</v>
      </c>
      <c r="B11261" s="3" t="s">
        <v>10765</v>
      </c>
      <c r="C11261" s="3" t="str">
        <f>IFERROR(__xludf.DUMMYFUNCTION("GOOGLETRANSLATE(B11261,""id"",""en"")"),"['signal', 'service', 'best']")</f>
        <v>['signal', 'service', 'best']</v>
      </c>
      <c r="D11261" s="3">
        <v>5.0</v>
      </c>
    </row>
    <row r="11262" ht="15.75" customHeight="1">
      <c r="A11262" s="1">
        <v>11995.0</v>
      </c>
      <c r="B11262" s="3" t="s">
        <v>10766</v>
      </c>
      <c r="C11262" s="3" t="str">
        <f>IFERROR(__xludf.DUMMYFUNCTION("GOOGLETRANSLATE(B11262,""id"",""en"")"),"['love', 'package', 'promo', 'interesting', 'donk', 'price', 'affordable', 'karna', 'subscribe']")</f>
        <v>['love', 'package', 'promo', 'interesting', 'donk', 'price', 'affordable', 'karna', 'subscribe']</v>
      </c>
      <c r="D11262" s="3">
        <v>4.0</v>
      </c>
    </row>
    <row r="11263" ht="15.75" customHeight="1">
      <c r="A11263" s="1">
        <v>11996.0</v>
      </c>
      <c r="B11263" s="3" t="s">
        <v>10767</v>
      </c>
      <c r="C11263" s="3" t="str">
        <f>IFERROR(__xludf.DUMMYFUNCTION("GOOGLETRANSLATE(B11263,""id"",""en"")"),"['Good', 'The info']")</f>
        <v>['Good', 'The info']</v>
      </c>
      <c r="D11263" s="3">
        <v>5.0</v>
      </c>
    </row>
    <row r="11264" ht="15.75" customHeight="1">
      <c r="A11264" s="1">
        <v>11997.0</v>
      </c>
      <c r="B11264" s="3" t="s">
        <v>10768</v>
      </c>
      <c r="C11264" s="3" t="str">
        <f>IFERROR(__xludf.DUMMYFUNCTION("GOOGLETRANSLATE(B11264,""id"",""en"")"),"['paid', 'expensive', 'signal', 'stable']")</f>
        <v>['paid', 'expensive', 'signal', 'stable']</v>
      </c>
      <c r="D11264" s="3">
        <v>1.0</v>
      </c>
    </row>
    <row r="11265" ht="15.75" customHeight="1">
      <c r="A11265" s="1">
        <v>11999.0</v>
      </c>
      <c r="B11265" s="3" t="s">
        <v>10769</v>
      </c>
      <c r="C11265" s="3" t="str">
        <f>IFERROR(__xludf.DUMMYFUNCTION("GOOGLETRANSLATE(B11265,""id"",""en"")"),"['Please', 'price', 'package', 'combo', 'hurt', 'ride', 'price', '']")</f>
        <v>['Please', 'price', 'package', 'combo', 'hurt', 'ride', 'price', '']</v>
      </c>
      <c r="D11265" s="3">
        <v>2.0</v>
      </c>
    </row>
    <row r="11266" ht="15.75" customHeight="1">
      <c r="A11266" s="1">
        <v>12000.0</v>
      </c>
      <c r="B11266" s="3" t="s">
        <v>10770</v>
      </c>
      <c r="C11266" s="3" t="str">
        <f>IFERROR(__xludf.DUMMYFUNCTION("GOOGLETRANSLATE(B11266,""id"",""en"")"),"['Please', 'number', 'survrise', 'package', 'data', 'that's', 'customer', 'loyal', 'Telkomsel', 'Wear', 'Telkomsel', ""]")</f>
        <v>['Please', 'number', 'survrise', 'package', 'data', 'that's', 'customer', 'loyal', 'Telkomsel', 'Wear', 'Telkomsel', "]</v>
      </c>
      <c r="D11266" s="3">
        <v>5.0</v>
      </c>
    </row>
    <row r="11267" ht="15.75" customHeight="1">
      <c r="A11267" s="1">
        <v>12001.0</v>
      </c>
      <c r="B11267" s="3" t="s">
        <v>10771</v>
      </c>
      <c r="C11267" s="3" t="str">
        <f>IFERROR(__xludf.DUMMYFUNCTION("GOOGLETRANSLATE(B11267,""id"",""en"")"),"['TOP', 'DRI', 'Application', 'Transfer', 'according to', 'NMR', 'Virual', 'Account', 'Via', 'Internet', 'Banking', 'Finnet', ' Indonesia ',' balance ',' Rek ',' truncated ',' TPI ',' balance ',' pulses', 'increase', 'Tel', 'Solution', 'Via', 'Betele', 'S"&amp;"end' , 'proof', 'transfer', 'fill', 'according to', 'command', 'tetep', 'smp', 'NMR', 'card', 'discharge', 'TPI', 'love', ' Strange ',' NMR ',' ']")</f>
        <v>['TOP', 'DRI', 'Application', 'Transfer', 'according to', 'NMR', 'Virual', 'Account', 'Via', 'Internet', 'Banking', 'Finnet', ' Indonesia ',' balance ',' Rek ',' truncated ',' TPI ',' balance ',' pulses', 'increase', 'Tel', 'Solution', 'Via', 'Betele', 'Send' , 'proof', 'transfer', 'fill', 'according to', 'command', 'tetep', 'smp', 'NMR', 'card', 'discharge', 'TPI', 'love', ' Strange ',' NMR ',' ']</v>
      </c>
      <c r="D11267" s="3">
        <v>1.0</v>
      </c>
    </row>
    <row r="11268" ht="15.75" customHeight="1">
      <c r="A11268" s="1">
        <v>12002.0</v>
      </c>
      <c r="B11268" s="3" t="s">
        <v>10772</v>
      </c>
      <c r="C11268" s="3" t="str">
        <f>IFERROR(__xludf.DUMMYFUNCTION("GOOGLETRANSLATE(B11268,""id"",""en"")"),"['Network', 'poor']")</f>
        <v>['Network', 'poor']</v>
      </c>
      <c r="D11268" s="3">
        <v>1.0</v>
      </c>
    </row>
    <row r="11269" ht="15.75" customHeight="1">
      <c r="A11269" s="1">
        <v>12003.0</v>
      </c>
      <c r="B11269" s="3" t="s">
        <v>10773</v>
      </c>
      <c r="C11269" s="3" t="str">
        <f>IFERROR(__xludf.DUMMYFUNCTION("GOOGLETRANSLATE(B11269,""id"",""en"")"),"['right', 'opened', 'screen', 'white', 'keep', '']")</f>
        <v>['right', 'opened', 'screen', 'white', 'keep', '']</v>
      </c>
      <c r="D11269" s="3">
        <v>4.0</v>
      </c>
    </row>
    <row r="11270" ht="15.75" customHeight="1">
      <c r="A11270" s="1">
        <v>12004.0</v>
      </c>
      <c r="B11270" s="3" t="s">
        <v>8130</v>
      </c>
      <c r="C11270" s="3" t="str">
        <f>IFERROR(__xludf.DUMMYFUNCTION("GOOGLETRANSLATE(B11270,""id"",""en"")"),"['difficult', 'entry', '']")</f>
        <v>['difficult', 'entry', '']</v>
      </c>
      <c r="D11270" s="3">
        <v>3.0</v>
      </c>
    </row>
    <row r="11271" ht="15.75" customHeight="1">
      <c r="A11271" s="1">
        <v>12005.0</v>
      </c>
      <c r="B11271" s="3" t="s">
        <v>10774</v>
      </c>
      <c r="C11271" s="3" t="str">
        <f>IFERROR(__xludf.DUMMYFUNCTION("GOOGLETRANSLATE(B11271,""id"",""en"")"),"['It's easy', 'business', 'related', 'number', '']")</f>
        <v>['It's easy', 'business', 'related', 'number', '']</v>
      </c>
      <c r="D11271" s="3">
        <v>5.0</v>
      </c>
    </row>
    <row r="11272" ht="15.75" customHeight="1">
      <c r="A11272" s="1">
        <v>12006.0</v>
      </c>
      <c r="B11272" s="3" t="s">
        <v>10775</v>
      </c>
      <c r="C11272" s="3" t="str">
        <f>IFERROR(__xludf.DUMMYFUNCTION("GOOGLETRANSLATE(B11272,""id"",""en"")"),"['Please', 'Telkomsel', 'error', 'already', 'update', 'ngeblank', 'the application', 'color', 'white', 'so', 'please', 'explanation', ' ']")</f>
        <v>['Please', 'Telkomsel', 'error', 'already', 'update', 'ngeblank', 'the application', 'color', 'white', 'so', 'please', 'explanation', ' ']</v>
      </c>
      <c r="D11272" s="3">
        <v>1.0</v>
      </c>
    </row>
    <row r="11273" ht="15.75" customHeight="1">
      <c r="A11273" s="1">
        <v>12007.0</v>
      </c>
      <c r="B11273" s="3" t="s">
        <v>10776</v>
      </c>
      <c r="C11273" s="3" t="str">
        <f>IFERROR(__xludf.DUMMYFUNCTION("GOOGLETRANSLATE(B11273,""id"",""en"")"),"['Out', 'update', 'screen', 'white', 'doang', '']")</f>
        <v>['Out', 'update', 'screen', 'white', 'doang', '']</v>
      </c>
      <c r="D11273" s="3">
        <v>1.0</v>
      </c>
    </row>
    <row r="11274" ht="15.75" customHeight="1">
      <c r="A11274" s="1">
        <v>12008.0</v>
      </c>
      <c r="B11274" s="3" t="s">
        <v>10777</v>
      </c>
      <c r="C11274" s="3" t="str">
        <f>IFERROR(__xludf.DUMMYFUNCTION("GOOGLETRANSLATE(B11274,""id"",""en"")"),"['pig', 'gymna', 'ngatasin', 'signal', 'ugly', 'mulu', 'child', 'haram', 'expensive', 'doan', 'signal', 'card', ' children ',' Dajal ',' cave ',' swear ',' dead ']")</f>
        <v>['pig', 'gymna', 'ngatasin', 'signal', 'ugly', 'mulu', 'child', 'haram', 'expensive', 'doan', 'signal', 'card', ' children ',' Dajal ',' cave ',' swear ',' dead ']</v>
      </c>
      <c r="D11274" s="3">
        <v>1.0</v>
      </c>
    </row>
    <row r="11275" ht="15.75" customHeight="1">
      <c r="A11275" s="1">
        <v>12009.0</v>
      </c>
      <c r="B11275" s="3" t="s">
        <v>10778</v>
      </c>
      <c r="C11275" s="3" t="str">
        <f>IFERROR(__xludf.DUMMYFUNCTION("GOOGLETRANSLATE(B11275,""id"",""en"")"),"['hard', 'blank', 'opened']")</f>
        <v>['hard', 'blank', 'opened']</v>
      </c>
      <c r="D11275" s="3">
        <v>1.0</v>
      </c>
    </row>
    <row r="11276" ht="15.75" customHeight="1">
      <c r="A11276" s="1">
        <v>12010.0</v>
      </c>
      <c r="B11276" s="3" t="s">
        <v>10779</v>
      </c>
      <c r="C11276" s="3" t="str">
        <f>IFERROR(__xludf.DUMMYFUNCTION("GOOGLETRANSLATE(B11276,""id"",""en"")"),"['right', 'updated', 'error', 'already', 'admin', 'sorry', 'solution', 'repair']")</f>
        <v>['right', 'updated', 'error', 'already', 'admin', 'sorry', 'solution', 'repair']</v>
      </c>
      <c r="D11276" s="3">
        <v>1.0</v>
      </c>
    </row>
    <row r="11277" ht="15.75" customHeight="1">
      <c r="A11277" s="1">
        <v>12011.0</v>
      </c>
      <c r="B11277" s="3" t="s">
        <v>10780</v>
      </c>
      <c r="C11277" s="3" t="str">
        <f>IFERROR(__xludf.DUMMYFUNCTION("GOOGLETRANSLATE(B11277,""id"",""en"")"),"['happy', 'pointed']")</f>
        <v>['happy', 'pointed']</v>
      </c>
      <c r="D11277" s="3">
        <v>5.0</v>
      </c>
    </row>
    <row r="11278" ht="15.75" customHeight="1">
      <c r="A11278" s="1">
        <v>12012.0</v>
      </c>
      <c r="B11278" s="3" t="s">
        <v>10781</v>
      </c>
      <c r="C11278" s="3" t="str">
        <f>IFERROR(__xludf.DUMMYFUNCTION("GOOGLETRANSLATE(B11278,""id"",""en"")"),"['Aduuuuuuh', 'How', 'Signal', 'Rain', 'Down', 'Ngelag', 'Severe', 'Rich', 'Abis', 'Quota', ""]")</f>
        <v>['Aduuuuuuh', 'How', 'Signal', 'Rain', 'Down', 'Ngelag', 'Severe', 'Rich', 'Abis', 'Quota', "]</v>
      </c>
      <c r="D11278" s="3">
        <v>1.0</v>
      </c>
    </row>
    <row r="11279" ht="15.75" customHeight="1">
      <c r="A11279" s="1">
        <v>12013.0</v>
      </c>
      <c r="B11279" s="3" t="s">
        <v>10782</v>
      </c>
      <c r="C11279" s="3" t="str">
        <f>IFERROR(__xludf.DUMMYFUNCTION("GOOGLETRANSLATE(B11279,""id"",""en"")"),"['signal', 'area', 'Jambi', 'ugly', 'rates', 'all-round', 'expensive']")</f>
        <v>['signal', 'area', 'Jambi', 'ugly', 'rates', 'all-round', 'expensive']</v>
      </c>
      <c r="D11279" s="3">
        <v>2.0</v>
      </c>
    </row>
    <row r="11280" ht="15.75" customHeight="1">
      <c r="A11280" s="1">
        <v>12014.0</v>
      </c>
      <c r="B11280" s="3" t="s">
        <v>10783</v>
      </c>
      <c r="C11280" s="3" t="str">
        <f>IFERROR(__xludf.DUMMYFUNCTION("GOOGLETRANSLATE(B11280,""id"",""en"")"),"['mantappp', 'add', 'bonus', '']")</f>
        <v>['mantappp', 'add', 'bonus', '']</v>
      </c>
      <c r="D11280" s="3">
        <v>5.0</v>
      </c>
    </row>
    <row r="11281" ht="15.75" customHeight="1">
      <c r="A11281" s="1">
        <v>12015.0</v>
      </c>
      <c r="B11281" s="3" t="s">
        <v>4802</v>
      </c>
      <c r="C11281" s="3" t="str">
        <f>IFERROR(__xludf.DUMMYFUNCTION("GOOGLETRANSLATE(B11281,""id"",""en"")"),"['application', 'easy']")</f>
        <v>['application', 'easy']</v>
      </c>
      <c r="D11281" s="3">
        <v>5.0</v>
      </c>
    </row>
    <row r="11282" ht="15.75" customHeight="1">
      <c r="A11282" s="1">
        <v>12016.0</v>
      </c>
      <c r="B11282" s="3" t="s">
        <v>10784</v>
      </c>
      <c r="C11282" s="3" t="str">
        <f>IFERROR(__xludf.DUMMYFUNCTION("GOOGLETRANSLATE(B11282,""id"",""en"")"),"['Raying', 'Update', 'screen', 'white']")</f>
        <v>['Raying', 'Update', 'screen', 'white']</v>
      </c>
      <c r="D11282" s="3">
        <v>1.0</v>
      </c>
    </row>
    <row r="11283" ht="15.75" customHeight="1">
      <c r="A11283" s="1">
        <v>12017.0</v>
      </c>
      <c r="B11283" s="3" t="s">
        <v>10785</v>
      </c>
      <c r="C11283" s="3" t="str">
        <f>IFERROR(__xludf.DUMMYFUNCTION("GOOGLETRANSLATE(B11283,""id"",""en"")"),"['Please', 'Network', 'Update', 'Package', 'Expensive', 'TPI', 'Network', 'Leet', 'Boss', ""]")</f>
        <v>['Please', 'Network', 'Update', 'Package', 'Expensive', 'TPI', 'Network', 'Leet', 'Boss', "]</v>
      </c>
      <c r="D11283" s="3">
        <v>1.0</v>
      </c>
    </row>
    <row r="11284" ht="15.75" customHeight="1">
      <c r="A11284" s="1">
        <v>12018.0</v>
      </c>
      <c r="B11284" s="3" t="s">
        <v>633</v>
      </c>
      <c r="C11284" s="3" t="str">
        <f>IFERROR(__xludf.DUMMYFUNCTION("GOOGLETRANSLATE(B11284,""id"",""en"")"),"['Good', 'easy']")</f>
        <v>['Good', 'easy']</v>
      </c>
      <c r="D11284" s="3">
        <v>5.0</v>
      </c>
    </row>
    <row r="11285" ht="15.75" customHeight="1">
      <c r="A11285" s="1">
        <v>12019.0</v>
      </c>
      <c r="B11285" s="3" t="s">
        <v>10786</v>
      </c>
      <c r="C11285" s="3" t="str">
        <f>IFERROR(__xludf.DUMMYFUNCTION("GOOGLETRANSLATE(B11285,""id"",""en"")"),"['Telkomsel', 'Trludu', 'select', 'Different', 'Different', 'Package', '']")</f>
        <v>['Telkomsel', 'Trludu', 'select', 'Different', 'Different', 'Package', '']</v>
      </c>
      <c r="D11285" s="3">
        <v>4.0</v>
      </c>
    </row>
    <row r="11286" ht="15.75" customHeight="1">
      <c r="A11286" s="1">
        <v>12020.0</v>
      </c>
      <c r="B11286" s="3" t="s">
        <v>10787</v>
      </c>
      <c r="C11286" s="3" t="str">
        <f>IFERROR(__xludf.DUMMYFUNCTION("GOOGLETRANSLATE(B11286,""id"",""en"")"),"['expensive', 'doang', 'network', 'chaotic', 'good', 'recommended', 'tekomsel', 'bagan', 'disappointed', 'cave', 'card']")</f>
        <v>['expensive', 'doang', 'network', 'chaotic', 'good', 'recommended', 'tekomsel', 'bagan', 'disappointed', 'cave', 'card']</v>
      </c>
      <c r="D11286" s="3">
        <v>1.0</v>
      </c>
    </row>
    <row r="11287" ht="15.75" customHeight="1">
      <c r="A11287" s="1">
        <v>12021.0</v>
      </c>
      <c r="B11287" s="3" t="s">
        <v>10788</v>
      </c>
      <c r="C11287" s="3" t="str">
        <f>IFERROR(__xludf.DUMMYFUNCTION("GOOGLETRANSLATE(B11287,""id"",""en"")"),"['ugly', 'jdi', 'white']")</f>
        <v>['ugly', 'jdi', 'white']</v>
      </c>
      <c r="D11287" s="3">
        <v>1.0</v>
      </c>
    </row>
    <row r="11288" ht="15.75" customHeight="1">
      <c r="A11288" s="1">
        <v>12023.0</v>
      </c>
      <c r="B11288" s="3" t="s">
        <v>10789</v>
      </c>
      <c r="C11288" s="3" t="str">
        <f>IFERROR(__xludf.DUMMYFUNCTION("GOOGLETRANSLATE(B11288,""id"",""en"")"),"['par', 'uda', 'entered', 'application', 'inj', 'since' update ',' ']")</f>
        <v>['par', 'uda', 'entered', 'application', 'inj', 'since' update ',' ']</v>
      </c>
      <c r="D11288" s="3">
        <v>1.0</v>
      </c>
    </row>
    <row r="11289" ht="15.75" customHeight="1">
      <c r="A11289" s="1">
        <v>12024.0</v>
      </c>
      <c r="B11289" s="3" t="s">
        <v>10790</v>
      </c>
      <c r="C11289" s="3" t="str">
        <f>IFERROR(__xludf.DUMMYFUNCTION("GOOGLETRANSLATE(B11289,""id"",""en"")"),"['Gabisa', 'open', 'APK']")</f>
        <v>['Gabisa', 'open', 'APK']</v>
      </c>
      <c r="D11289" s="3">
        <v>1.0</v>
      </c>
    </row>
    <row r="11290" ht="15.75" customHeight="1">
      <c r="A11290" s="1">
        <v>12025.0</v>
      </c>
      <c r="B11290" s="3" t="s">
        <v>10791</v>
      </c>
      <c r="C11290" s="3" t="str">
        <f>IFERROR(__xludf.DUMMYFUNCTION("GOOGLETRANSLATE(B11290,""id"",""en"")"),"['Kouta', 'expect', 'slow', 'severe', 'free', 'internet', 'mubasir', 'gift', ""]")</f>
        <v>['Kouta', 'expect', 'slow', 'severe', 'free', 'internet', 'mubasir', 'gift', "]</v>
      </c>
      <c r="D11290" s="3">
        <v>1.0</v>
      </c>
    </row>
    <row r="11291" ht="15.75" customHeight="1">
      <c r="A11291" s="1">
        <v>12026.0</v>
      </c>
      <c r="B11291" s="3" t="s">
        <v>10792</v>
      </c>
      <c r="C11291" s="3" t="str">
        <f>IFERROR(__xludf.DUMMYFUNCTION("GOOGLETRANSLATE(B11291,""id"",""en"")"),"['Please', 'Enhanced', 'Quality', 'Signal', 'Diesa', '']")</f>
        <v>['Please', 'Enhanced', 'Quality', 'Signal', 'Diesa', '']</v>
      </c>
      <c r="D11291" s="3">
        <v>5.0</v>
      </c>
    </row>
    <row r="11292" ht="15.75" customHeight="1">
      <c r="A11292" s="1">
        <v>12027.0</v>
      </c>
      <c r="B11292" s="3" t="s">
        <v>10793</v>
      </c>
      <c r="C11292" s="3" t="str">
        <f>IFERROR(__xludf.DUMMYFUNCTION("GOOGLETRANSLATE(B11292,""id"",""en"")"),"['', 'APK', 'BSA', 'BKA', 'KNP', '']")</f>
        <v>['', 'APK', 'BSA', 'BKA', 'KNP', '']</v>
      </c>
      <c r="D11292" s="3">
        <v>2.0</v>
      </c>
    </row>
    <row r="11293" ht="15.75" customHeight="1">
      <c r="A11293" s="1">
        <v>12028.0</v>
      </c>
      <c r="B11293" s="3" t="s">
        <v>10794</v>
      </c>
      <c r="C11293" s="3" t="str">
        <f>IFERROR(__xludf.DUMMYFUNCTION("GOOGLETRANSLATE(B11293,""id"",""en"")"),"['application', 'contents', 'package', 'quota', 'gopai', 'entry', 'balance', 'chick', '']")</f>
        <v>['application', 'contents', 'package', 'quota', 'gopai', 'entry', 'balance', 'chick', '']</v>
      </c>
      <c r="D11293" s="3">
        <v>1.0</v>
      </c>
    </row>
    <row r="11294" ht="15.75" customHeight="1">
      <c r="A11294" s="1">
        <v>12029.0</v>
      </c>
      <c r="B11294" s="3" t="s">
        <v>10795</v>
      </c>
      <c r="C11294" s="3" t="str">
        <f>IFERROR(__xludf.DUMMYFUNCTION("GOOGLETRANSLATE(B11294,""id"",""en"")"),"['Mantab', 'Helpful']")</f>
        <v>['Mantab', 'Helpful']</v>
      </c>
      <c r="D11294" s="3">
        <v>5.0</v>
      </c>
    </row>
    <row r="11295" ht="15.75" customHeight="1">
      <c r="A11295" s="1">
        <v>12030.0</v>
      </c>
      <c r="B11295" s="3" t="s">
        <v>10796</v>
      </c>
      <c r="C11295" s="3" t="str">
        <f>IFERROR(__xludf.DUMMYFUNCTION("GOOGLETRANSLATE(B11295,""id"",""en"")"),"['', 'difficult', 'open', '']")</f>
        <v>['', 'difficult', 'open', '']</v>
      </c>
      <c r="D11295" s="3">
        <v>4.0</v>
      </c>
    </row>
    <row r="11296" ht="15.75" customHeight="1">
      <c r="A11296" s="1">
        <v>12031.0</v>
      </c>
      <c r="B11296" s="3" t="s">
        <v>10797</v>
      </c>
      <c r="C11296" s="3" t="str">
        <f>IFERROR(__xludf.DUMMYFUNCTION("GOOGLETRANSLATE(B11296,""id"",""en"")"),"['really', 'open', 'the application', '']")</f>
        <v>['really', 'open', 'the application', '']</v>
      </c>
      <c r="D11296" s="3">
        <v>1.0</v>
      </c>
    </row>
    <row r="11297" ht="15.75" customHeight="1">
      <c r="A11297" s="1">
        <v>12032.0</v>
      </c>
      <c r="B11297" s="3" t="s">
        <v>312</v>
      </c>
      <c r="C11297" s="3" t="str">
        <f>IFERROR(__xludf.DUMMYFUNCTION("GOOGLETRANSLATE(B11297,""id"",""en"")"),"['best']")</f>
        <v>['best']</v>
      </c>
      <c r="D11297" s="3">
        <v>5.0</v>
      </c>
    </row>
    <row r="11298" ht="15.75" customHeight="1">
      <c r="A11298" s="1">
        <v>12033.0</v>
      </c>
      <c r="B11298" s="3" t="s">
        <v>10798</v>
      </c>
      <c r="C11298" s="3" t="str">
        <f>IFERROR(__xludf.DUMMYFUNCTION("GOOGLETRANSLATE(B11298,""id"",""en"")"),"['buy', 'package', 'internet', 'payment', 'application', 'gopay', 'balance', 'reduced', 'package', 'internet', 'enter', 'enter', ' Yesterday ',' severe ',' really ',' original ',' Please ',' sorry ',' please ',' repair ',' system ',' loss', 'buy', 'quota'"&amp;", 'enter' ]")</f>
        <v>['buy', 'package', 'internet', 'payment', 'application', 'gopay', 'balance', 'reduced', 'package', 'internet', 'enter', 'enter', ' Yesterday ',' severe ',' really ',' original ',' Please ',' sorry ',' please ',' repair ',' system ',' loss', 'buy', 'quota', 'enter' ]</v>
      </c>
      <c r="D11298" s="3">
        <v>1.0</v>
      </c>
    </row>
    <row r="11299" ht="15.75" customHeight="1">
      <c r="A11299" s="1">
        <v>12034.0</v>
      </c>
      <c r="B11299" s="3" t="s">
        <v>10799</v>
      </c>
      <c r="C11299" s="3" t="str">
        <f>IFERROR(__xludf.DUMMYFUNCTION("GOOGLETRANSLATE(B11299,""id"",""en"")"),"['Try', ""]")</f>
        <v>['Try', "]</v>
      </c>
      <c r="D11299" s="3">
        <v>3.0</v>
      </c>
    </row>
    <row r="11300" ht="15.75" customHeight="1">
      <c r="A11300" s="1">
        <v>12035.0</v>
      </c>
      <c r="B11300" s="3" t="s">
        <v>10800</v>
      </c>
      <c r="C11300" s="3" t="str">
        <f>IFERROR(__xludf.DUMMYFUNCTION("GOOGLETRANSLATE(B11300,""id"",""en"")"),"['difficult', 'times', 'Open', 'Application', 'Season', 'Loding', 'Open', 'Application', 'Very', ""]")</f>
        <v>['difficult', 'times', 'Open', 'Application', 'Season', 'Loding', 'Open', 'Application', 'Very', "]</v>
      </c>
      <c r="D11300" s="3">
        <v>1.0</v>
      </c>
    </row>
    <row r="11301" ht="15.75" customHeight="1">
      <c r="A11301" s="1">
        <v>12036.0</v>
      </c>
      <c r="B11301" s="3" t="s">
        <v>10801</v>
      </c>
      <c r="C11301" s="3" t="str">
        <f>IFERROR(__xludf.DUMMYFUNCTION("GOOGLETRANSLATE(B11301,""id"",""en"")"),"['Nyolot', 'price', 'expensive', 'price', 'expensive', 'quota', 'nmbah', 'capitalist', 'times', 'provider']")</f>
        <v>['Nyolot', 'price', 'expensive', 'price', 'expensive', 'quota', 'nmbah', 'capitalist', 'times', 'provider']</v>
      </c>
      <c r="D11301" s="3">
        <v>1.0</v>
      </c>
    </row>
    <row r="11302" ht="15.75" customHeight="1">
      <c r="A11302" s="1">
        <v>12037.0</v>
      </c>
      <c r="B11302" s="3" t="s">
        <v>10802</v>
      </c>
      <c r="C11302" s="3" t="str">
        <f>IFERROR(__xludf.DUMMYFUNCTION("GOOGLETRANSLATE(B11302,""id"",""en"")"),"['Gembel', 'fraud', 'php', 'buy', 'promo', 'gembel']")</f>
        <v>['Gembel', 'fraud', 'php', 'buy', 'promo', 'gembel']</v>
      </c>
      <c r="D11302" s="3">
        <v>1.0</v>
      </c>
    </row>
    <row r="11303" ht="15.75" customHeight="1">
      <c r="A11303" s="1">
        <v>12038.0</v>
      </c>
      <c r="B11303" s="3" t="s">
        <v>10803</v>
      </c>
      <c r="C11303" s="3" t="str">
        <f>IFERROR(__xludf.DUMMYFUNCTION("GOOGLETRANSLATE(B11303,""id"",""en"")"),"['Love', 'star', 'try', 'APK', 'good', 'plusin']")</f>
        <v>['Love', 'star', 'try', 'APK', 'good', 'plusin']</v>
      </c>
      <c r="D11303" s="3">
        <v>1.0</v>
      </c>
    </row>
    <row r="11304" ht="15.75" customHeight="1">
      <c r="A11304" s="1">
        <v>12039.0</v>
      </c>
      <c r="B11304" s="3" t="s">
        <v>10804</v>
      </c>
      <c r="C11304" s="3" t="str">
        <f>IFERROR(__xludf.DUMMYFUNCTION("GOOGLETRANSLATE(B11304,""id"",""en"")"),"['appears', 'screen', 'white', 'NGK', 'Log', ""]")</f>
        <v>['appears', 'screen', 'white', 'NGK', 'Log', "]</v>
      </c>
      <c r="D11304" s="3">
        <v>1.0</v>
      </c>
    </row>
    <row r="11305" ht="15.75" customHeight="1">
      <c r="A11305" s="1">
        <v>12040.0</v>
      </c>
      <c r="B11305" s="3" t="s">
        <v>10805</v>
      </c>
      <c r="C11305" s="3" t="str">
        <f>IFERROR(__xludf.DUMMYFUNCTION("GOOGLETRANSLATE(B11305,""id"",""en"")"),"['Severe', 'application', 'already', 'blank', 'white', 'fix', 'bug']")</f>
        <v>['Severe', 'application', 'already', 'blank', 'white', 'fix', 'bug']</v>
      </c>
      <c r="D11305" s="3">
        <v>1.0</v>
      </c>
    </row>
    <row r="11306" ht="15.75" customHeight="1">
      <c r="A11306" s="1">
        <v>12041.0</v>
      </c>
      <c r="B11306" s="3" t="s">
        <v>10806</v>
      </c>
      <c r="C11306" s="3" t="str">
        <f>IFERROR(__xludf.DUMMYFUNCTION("GOOGLETRANSLATE(B11306,""id"",""en"")"),"['Login', 'Telkomsel', 'knp', 'appears', 'ngeblank', 'white', 'Please', 'the solution', ""]")</f>
        <v>['Login', 'Telkomsel', 'knp', 'appears', 'ngeblank', 'white', 'Please', 'the solution', "]</v>
      </c>
      <c r="D11306" s="3">
        <v>2.0</v>
      </c>
    </row>
    <row r="11307" ht="15.75" customHeight="1">
      <c r="A11307" s="1">
        <v>12042.0</v>
      </c>
      <c r="B11307" s="3" t="s">
        <v>567</v>
      </c>
      <c r="C11307" s="3" t="str">
        <f>IFERROR(__xludf.DUMMYFUNCTION("GOOGLETRANSLATE(B11307,""id"",""en"")"),"['application']")</f>
        <v>['application']</v>
      </c>
      <c r="D11307" s="3">
        <v>3.0</v>
      </c>
    </row>
    <row r="11308" ht="15.75" customHeight="1">
      <c r="A11308" s="1">
        <v>12043.0</v>
      </c>
      <c r="B11308" s="3" t="s">
        <v>10807</v>
      </c>
      <c r="C11308" s="3" t="str">
        <f>IFERROR(__xludf.DUMMYFUNCTION("GOOGLETRANSLATE(B11308,""id"",""en"")"),"['White', 'Blank', 'White', 'Screen', 'Solution', ""]")</f>
        <v>['White', 'Blank', 'White', 'Screen', 'Solution', "]</v>
      </c>
      <c r="D11308" s="3">
        <v>1.0</v>
      </c>
    </row>
    <row r="11309" ht="15.75" customHeight="1">
      <c r="A11309" s="1">
        <v>12044.0</v>
      </c>
      <c r="B11309" s="3" t="s">
        <v>2981</v>
      </c>
      <c r="C11309" s="3" t="str">
        <f>IFERROR(__xludf.DUMMYFUNCTION("GOOGLETRANSLATE(B11309,""id"",""en"")"),"['APK', 'good']")</f>
        <v>['APK', 'good']</v>
      </c>
      <c r="D11309" s="3">
        <v>1.0</v>
      </c>
    </row>
    <row r="11310" ht="15.75" customHeight="1">
      <c r="A11310" s="1">
        <v>12045.0</v>
      </c>
      <c r="B11310" s="3" t="s">
        <v>10808</v>
      </c>
      <c r="C11310" s="3" t="str">
        <f>IFERROR(__xludf.DUMMYFUNCTION("GOOGLETRANSLATE(B11310,""id"",""en"")"),"['game', 'bonus', 'pulse']")</f>
        <v>['game', 'bonus', 'pulse']</v>
      </c>
      <c r="D11310" s="3">
        <v>5.0</v>
      </c>
    </row>
    <row r="11311" ht="15.75" customHeight="1">
      <c r="A11311" s="1">
        <v>12046.0</v>
      </c>
      <c r="B11311" s="3" t="s">
        <v>10809</v>
      </c>
      <c r="C11311" s="3" t="str">
        <f>IFERROR(__xludf.DUMMYFUNCTION("GOOGLETRANSLATE(B11311,""id"",""en"")"),"['min', 'please', 'make', 'choice', 'turn off', 'use', 'pulse', 'package', 'kek', 'provider', 'blue', 'wonder', ' Fee ',' pulses', 'abis',' internet ',' ']")</f>
        <v>['min', 'please', 'make', 'choice', 'turn off', 'use', 'pulse', 'package', 'kek', 'provider', 'blue', 'wonder', ' Fee ',' pulses', 'abis',' internet ',' ']</v>
      </c>
      <c r="D11311" s="3">
        <v>2.0</v>
      </c>
    </row>
    <row r="11312" ht="15.75" customHeight="1">
      <c r="A11312" s="1">
        <v>12047.0</v>
      </c>
      <c r="B11312" s="3" t="s">
        <v>10810</v>
      </c>
      <c r="C11312" s="3" t="str">
        <f>IFERROR(__xludf.DUMMYFUNCTION("GOOGLETRANSLATE(B11312,""id"",""en"")"),"['App', 'practical', 'steady']")</f>
        <v>['App', 'practical', 'steady']</v>
      </c>
      <c r="D11312" s="3">
        <v>5.0</v>
      </c>
    </row>
    <row r="11313" ht="15.75" customHeight="1">
      <c r="A11313" s="1">
        <v>12048.0</v>
      </c>
      <c r="B11313" s="3" t="s">
        <v>10811</v>
      </c>
      <c r="C11313" s="3" t="str">
        <f>IFERROR(__xludf.DUMMYFUNCTION("GOOGLETRANSLATE(B11313,""id"",""en"")"),"['behure', 'manep', 'really', 'buy', 'package', 'unlimited', 'signal', 'soak', 'money', 'emmak', 'thank', 'love', ' Telkomsel ',' ']")</f>
        <v>['behure', 'manep', 'really', 'buy', 'package', 'unlimited', 'signal', 'soak', 'money', 'emmak', 'thank', 'love', ' Telkomsel ',' ']</v>
      </c>
      <c r="D11313" s="3">
        <v>1.0</v>
      </c>
    </row>
    <row r="11314" ht="15.75" customHeight="1">
      <c r="A11314" s="1">
        <v>12049.0</v>
      </c>
      <c r="B11314" s="3" t="s">
        <v>10812</v>
      </c>
      <c r="C11314" s="3" t="str">
        <f>IFERROR(__xludf.DUMMYFUNCTION("GOOGLETRANSLATE(B11314,""id"",""en"")"),"['Disappointed', 'Open', 'Application', 'Telkom', 'Open', 'The Application']")</f>
        <v>['Disappointed', 'Open', 'Application', 'Telkom', 'Open', 'The Application']</v>
      </c>
      <c r="D11314" s="3">
        <v>1.0</v>
      </c>
    </row>
    <row r="11315" ht="15.75" customHeight="1">
      <c r="A11315" s="1">
        <v>12050.0</v>
      </c>
      <c r="B11315" s="3" t="s">
        <v>10813</v>
      </c>
      <c r="C11315" s="3" t="str">
        <f>IFERROR(__xludf.DUMMYFUNCTION("GOOGLETRANSLATE(B11315,""id"",""en"")"),"['application', 'no', 'opened', 'no', 'comfortable', 'really']")</f>
        <v>['application', 'no', 'opened', 'no', 'comfortable', 'really']</v>
      </c>
      <c r="D11315" s="3">
        <v>1.0</v>
      </c>
    </row>
    <row r="11316" ht="15.75" customHeight="1">
      <c r="A11316" s="1">
        <v>12051.0</v>
      </c>
      <c r="B11316" s="3" t="s">
        <v>10814</v>
      </c>
      <c r="C11316" s="3" t="str">
        <f>IFERROR(__xludf.DUMMYFUNCTION("GOOGLETRANSLATE(B11316,""id"",""en"")"),"['The network', 'slow']")</f>
        <v>['The network', 'slow']</v>
      </c>
      <c r="D11316" s="3">
        <v>1.0</v>
      </c>
    </row>
    <row r="11317" ht="15.75" customHeight="1">
      <c r="A11317" s="1">
        <v>12052.0</v>
      </c>
      <c r="B11317" s="3" t="s">
        <v>10815</v>
      </c>
      <c r="C11317" s="3" t="str">
        <f>IFERROR(__xludf.DUMMYFUNCTION("GOOGLETRANSLATE(B11317,""id"",""en"")"),"['screen', 'white', 'Nga', 'open', 'dizzy', ""]")</f>
        <v>['screen', 'white', 'Nga', 'open', 'dizzy', "]</v>
      </c>
      <c r="D11317" s="3">
        <v>1.0</v>
      </c>
    </row>
    <row r="11318" ht="15.75" customHeight="1">
      <c r="A11318" s="1">
        <v>12053.0</v>
      </c>
      <c r="B11318" s="3" t="s">
        <v>10816</v>
      </c>
      <c r="C11318" s="3" t="str">
        <f>IFERROR(__xludf.DUMMYFUNCTION("GOOGLETRANSLATE(B11318,""id"",""en"")"),"['signal', 'blood', 'Ujan', 'signal', 'ilang', 'dead', 'lights', 'signal', 'ilang', ""]")</f>
        <v>['signal', 'blood', 'Ujan', 'signal', 'ilang', 'dead', 'lights', 'signal', 'ilang', "]</v>
      </c>
      <c r="D11318" s="3">
        <v>2.0</v>
      </c>
    </row>
    <row r="11319" ht="15.75" customHeight="1">
      <c r="A11319" s="1">
        <v>12054.0</v>
      </c>
      <c r="B11319" s="3" t="s">
        <v>10817</v>
      </c>
      <c r="C11319" s="3" t="str">
        <f>IFERROR(__xludf.DUMMYFUNCTION("GOOGLETRANSLATE(B11319,""id"",""en"")"),"['good', 'your net', 'Telkomsel', 'pig']")</f>
        <v>['good', 'your net', 'Telkomsel', 'pig']</v>
      </c>
      <c r="D11319" s="3">
        <v>1.0</v>
      </c>
    </row>
    <row r="11320" ht="15.75" customHeight="1">
      <c r="A11320" s="1">
        <v>12055.0</v>
      </c>
      <c r="B11320" s="3" t="s">
        <v>10818</v>
      </c>
      <c r="C11320" s="3" t="str">
        <f>IFERROR(__xludf.DUMMYFUNCTION("GOOGLETRANSLATE(B11320,""id"",""en"")"),"['game', 'knpa', 'signal', 'slow', 'nyh', 'doang', '']")</f>
        <v>['game', 'knpa', 'signal', 'slow', 'nyh', 'doang', '']</v>
      </c>
      <c r="D11320" s="3">
        <v>3.0</v>
      </c>
    </row>
    <row r="11321" ht="15.75" customHeight="1">
      <c r="A11321" s="1">
        <v>12056.0</v>
      </c>
      <c r="B11321" s="3" t="s">
        <v>10819</v>
      </c>
      <c r="C11321" s="3" t="str">
        <f>IFERROR(__xludf.DUMMYFUNCTION("GOOGLETRANSLATE(B11321,""id"",""en"")"),"['Gaguna', 'GES', 'Bintang', 'Sipelit', 'Goa', 'Ghost']")</f>
        <v>['Gaguna', 'GES', 'Bintang', 'Sipelit', 'Goa', 'Ghost']</v>
      </c>
      <c r="D11321" s="3">
        <v>1.0</v>
      </c>
    </row>
    <row r="11322" ht="15.75" customHeight="1">
      <c r="A11322" s="1">
        <v>12057.0</v>
      </c>
      <c r="B11322" s="3" t="s">
        <v>10820</v>
      </c>
      <c r="C11322" s="3" t="str">
        <f>IFERROR(__xludf.DUMMYFUNCTION("GOOGLETRANSLATE(B11322,""id"",""en"")"),"['network']")</f>
        <v>['network']</v>
      </c>
      <c r="D11322" s="3">
        <v>3.0</v>
      </c>
    </row>
    <row r="11323" ht="15.75" customHeight="1">
      <c r="A11323" s="1">
        <v>12058.0</v>
      </c>
      <c r="B11323" s="3" t="s">
        <v>10821</v>
      </c>
      <c r="C11323" s="3" t="str">
        <f>IFERROR(__xludf.DUMMYFUNCTION("GOOGLETRANSLATE(B11323,""id"",""en"")"),"['Telkomsel', 'ugly', 'expensive', 'times', 'price', 'package', 'UDH', 'network', 'ugly', 'cheap', 'a little', 'price']")</f>
        <v>['Telkomsel', 'ugly', 'expensive', 'times', 'price', 'package', 'UDH', 'network', 'ugly', 'cheap', 'a little', 'price']</v>
      </c>
      <c r="D11323" s="3">
        <v>1.0</v>
      </c>
    </row>
    <row r="11324" ht="15.75" customHeight="1">
      <c r="A11324" s="1">
        <v>12059.0</v>
      </c>
      <c r="B11324" s="3" t="s">
        <v>10822</v>
      </c>
      <c r="C11324" s="3" t="str">
        <f>IFERROR(__xludf.DUMMYFUNCTION("GOOGLETRANSLATE(B11324,""id"",""en"")"),"['Disappointed', 'Geram', 'Application', 'Troubled', 'Error', 'Application', 'A Week', 'Employee', 'Country', 'Midset', 'Zone', 'Comfortable', ' ']")</f>
        <v>['Disappointed', 'Geram', 'Application', 'Troubled', 'Error', 'Application', 'A Week', 'Employee', 'Country', 'Midset', 'Zone', 'Comfortable', ' ']</v>
      </c>
      <c r="D11324" s="3">
        <v>1.0</v>
      </c>
    </row>
    <row r="11325" ht="15.75" customHeight="1">
      <c r="A11325" s="1">
        <v>12060.0</v>
      </c>
      <c r="B11325" s="3" t="s">
        <v>10823</v>
      </c>
      <c r="C11325" s="3" t="str">
        <f>IFERROR(__xludf.DUMMYFUNCTION("GOOGLETRANSLATE(B11325,""id"",""en"")"),"['Open', 'MyTelkomsel', 'picture', 'White']")</f>
        <v>['Open', 'MyTelkomsel', 'picture', 'White']</v>
      </c>
      <c r="D11325" s="3">
        <v>1.0</v>
      </c>
    </row>
    <row r="11326" ht="15.75" customHeight="1">
      <c r="A11326" s="1">
        <v>12062.0</v>
      </c>
      <c r="B11326" s="3" t="s">
        <v>10824</v>
      </c>
      <c r="C11326" s="3" t="str">
        <f>IFERROR(__xludf.DUMMYFUNCTION("GOOGLETRANSLATE(B11326,""id"",""en"")"),"['plsa', 'truncated', 'quota', 'GB', 'truncated']")</f>
        <v>['plsa', 'truncated', 'quota', 'GB', 'truncated']</v>
      </c>
      <c r="D11326" s="3">
        <v>1.0</v>
      </c>
    </row>
    <row r="11327" ht="15.75" customHeight="1">
      <c r="A11327" s="1">
        <v>12063.0</v>
      </c>
      <c r="B11327" s="3" t="s">
        <v>10825</v>
      </c>
      <c r="C11327" s="3" t="str">
        <f>IFERROR(__xludf.DUMMYFUNCTION("GOOGLETRANSLATE(B11327,""id"",""en"")"),"['Tsel', 'suggest', 'user', 'complaints',' must ',' contact ',' bot ',' APAN ',' sorry ',' contact ',' Via ',' Call ',' Complaints', 'tempo', 'conducted', 'resolved', 'reasons',' logic ',' internet ',' city ',' network ',' LTE ',' failed ',' speed ',' nor"&amp;"mal ' , 'Look', 'complaints', 'user', 'other', 'problematic', 'solution', 'fact', 'abal', 'abal']")</f>
        <v>['Tsel', 'suggest', 'user', 'complaints',' must ',' contact ',' bot ',' APAN ',' sorry ',' contact ',' Via ',' Call ',' Complaints', 'tempo', 'conducted', 'resolved', 'reasons',' logic ',' internet ',' city ',' network ',' LTE ',' failed ',' speed ',' normal ' , 'Look', 'complaints', 'user', 'other', 'problematic', 'solution', 'fact', 'abal', 'abal']</v>
      </c>
      <c r="D11327" s="3">
        <v>2.0</v>
      </c>
    </row>
    <row r="11328" ht="15.75" customHeight="1">
      <c r="A11328" s="1">
        <v>12064.0</v>
      </c>
      <c r="B11328" s="3" t="s">
        <v>10826</v>
      </c>
      <c r="C11328" s="3" t="str">
        <f>IFERROR(__xludf.DUMMYFUNCTION("GOOGLETRANSLATE(B11328,""id"",""en"")"),"['Developer', 'poor', 'application', 'garbage', 'handy', 'detrimental', 'quota', '']")</f>
        <v>['Developer', 'poor', 'application', 'garbage', 'handy', 'detrimental', 'quota', '']</v>
      </c>
      <c r="D11328" s="3">
        <v>1.0</v>
      </c>
    </row>
    <row r="11329" ht="15.75" customHeight="1">
      <c r="A11329" s="1">
        <v>12065.0</v>
      </c>
      <c r="B11329" s="3" t="s">
        <v>10827</v>
      </c>
      <c r="C11329" s="3" t="str">
        <f>IFERROR(__xludf.DUMMYFUNCTION("GOOGLETRANSLATE(B11329,""id"",""en"")"),"['opened', 'Samsung', 'please', 'Lined', '']")</f>
        <v>['opened', 'Samsung', 'please', 'Lined', '']</v>
      </c>
      <c r="D11329" s="3">
        <v>1.0</v>
      </c>
    </row>
    <row r="11330" ht="15.75" customHeight="1">
      <c r="A11330" s="1">
        <v>12066.0</v>
      </c>
      <c r="B11330" s="3" t="s">
        <v>10828</v>
      </c>
      <c r="C11330" s="3" t="str">
        <f>IFERROR(__xludf.DUMMYFUNCTION("GOOGLETRANSLATE(B11330,""id"",""en"")"),"['Come on', 'Telkom', 'Combo', 'UNLI', 'RB', 'ilang']")</f>
        <v>['Come on', 'Telkom', 'Combo', 'UNLI', 'RB', 'ilang']</v>
      </c>
      <c r="D11330" s="3">
        <v>1.0</v>
      </c>
    </row>
    <row r="11331" ht="15.75" customHeight="1">
      <c r="A11331" s="1">
        <v>12068.0</v>
      </c>
      <c r="B11331" s="3" t="s">
        <v>10829</v>
      </c>
      <c r="C11331" s="3" t="str">
        <f>IFERROR(__xludf.DUMMYFUNCTION("GOOGLETRANSLATE(B11331,""id"",""en"")"),"['Update', 'Periodic', 'Check', 'Credit', 'Quota', 'Turn Off', 'Data', 'Lemes',' Preen ',' Tuker ',' Points', 'Hundreds',' Thousands', 'Gapernah', 'Nyanol']")</f>
        <v>['Update', 'Periodic', 'Check', 'Credit', 'Quota', 'Turn Off', 'Data', 'Lemes',' Preen ',' Tuker ',' Points', 'Hundreds',' Thousands', 'Gapernah', 'Nyanol']</v>
      </c>
      <c r="D11331" s="3">
        <v>1.0</v>
      </c>
    </row>
    <row r="11332" ht="15.75" customHeight="1">
      <c r="A11332" s="1">
        <v>12069.0</v>
      </c>
      <c r="B11332" s="3" t="s">
        <v>10830</v>
      </c>
      <c r="C11332" s="3" t="str">
        <f>IFERROR(__xludf.DUMMYFUNCTION("GOOGLETRANSLATE(B11332,""id"",""en"")"),"['Thanks', 'love', 'promo', 'magnitude']")</f>
        <v>['Thanks', 'love', 'promo', 'magnitude']</v>
      </c>
      <c r="D11332" s="3">
        <v>5.0</v>
      </c>
    </row>
    <row r="11333" ht="15.75" customHeight="1">
      <c r="A11333" s="1">
        <v>12070.0</v>
      </c>
      <c r="B11333" s="3" t="s">
        <v>10831</v>
      </c>
      <c r="C11333" s="3" t="str">
        <f>IFERROR(__xludf.DUMMYFUNCTION("GOOGLETRANSLATE(B11333,""id"",""en"")"),"['Telkomsel', 'ngentd', 'network', 'slow', 'kek', 'snail', 'package', 'expensive', 'anjng']")</f>
        <v>['Telkomsel', 'ngentd', 'network', 'slow', 'kek', 'snail', 'package', 'expensive', 'anjng']</v>
      </c>
      <c r="D11333" s="3">
        <v>1.0</v>
      </c>
    </row>
    <row r="11334" ht="15.75" customHeight="1">
      <c r="A11334" s="1">
        <v>12071.0</v>
      </c>
      <c r="B11334" s="3" t="s">
        <v>10832</v>
      </c>
      <c r="C11334" s="3" t="str">
        <f>IFERROR(__xludf.DUMMYFUNCTION("GOOGLETRANSLATE(B11334,""id"",""en"")"),"['apk', 'geming', 'mandatory', 'donlot']")</f>
        <v>['apk', 'geming', 'mandatory', 'donlot']</v>
      </c>
      <c r="D11334" s="3">
        <v>5.0</v>
      </c>
    </row>
    <row r="11335" ht="15.75" customHeight="1">
      <c r="A11335" s="1">
        <v>12072.0</v>
      </c>
      <c r="B11335" s="3" t="s">
        <v>10833</v>
      </c>
      <c r="C11335" s="3" t="str">
        <f>IFERROR(__xludf.DUMMYFUNCTION("GOOGLETRANSLATE(B11335,""id"",""en"")"),"['Friendly', 'Price']")</f>
        <v>['Friendly', 'Price']</v>
      </c>
      <c r="D11335" s="3">
        <v>3.0</v>
      </c>
    </row>
    <row r="11336" ht="15.75" customHeight="1">
      <c r="A11336" s="1">
        <v>12073.0</v>
      </c>
      <c r="B11336" s="3" t="s">
        <v>10834</v>
      </c>
      <c r="C11336" s="3" t="str">
        <f>IFERROR(__xludf.DUMMYFUNCTION("GOOGLETRANSLATE(B11336,""id"",""en"")"),"['Telkomsel', 'pig', 'network', 'slow', 'promo', 'package', 'expensive', 'devil', 'vain', 'buy', 'package', 'expensive', ' network ',' pig ']")</f>
        <v>['Telkomsel', 'pig', 'network', 'slow', 'promo', 'package', 'expensive', 'devil', 'vain', 'buy', 'package', 'expensive', ' network ',' pig ']</v>
      </c>
      <c r="D11336" s="3">
        <v>1.0</v>
      </c>
    </row>
    <row r="11337" ht="15.75" customHeight="1">
      <c r="A11337" s="1">
        <v>12074.0</v>
      </c>
      <c r="B11337" s="3" t="s">
        <v>10835</v>
      </c>
      <c r="C11337" s="3" t="str">
        <f>IFERROR(__xludf.DUMMYFUNCTION("GOOGLETRANSLATE(B11337,""id"",""en"")"),"['contents',' credit ',' activated ',' package ',' you ',' suck ',' pulse ',' taiikkk ',' already ',' times', 'contents',' pulses', ' You're ',' Suck ',' Mulu ',' What ',' Tsel ',' Features', 'Lock', 'Credit', 'Cook', 'Content', 'Credit', 'Out', 'all' , '"&amp;"Credit', 'You', 'Suck', 'Ngls', 'Sampe', 'Minutes', 'Activein', 'Package', 'Taaaaikkkk', 'Asssuuuu']")</f>
        <v>['contents',' credit ',' activated ',' package ',' you ',' suck ',' pulse ',' taiikkk ',' already ',' times', 'contents',' pulses', ' You're ',' Suck ',' Mulu ',' What ',' Tsel ',' Features', 'Lock', 'Credit', 'Cook', 'Content', 'Credit', 'Out', 'all' , 'Credit', 'You', 'Suck', 'Ngls', 'Sampe', 'Minutes', 'Activein', 'Package', 'Taaaaikkkk', 'Asssuuuu']</v>
      </c>
      <c r="D11337" s="3">
        <v>1.0</v>
      </c>
    </row>
    <row r="11338" ht="15.75" customHeight="1">
      <c r="A11338" s="1">
        <v>12075.0</v>
      </c>
      <c r="B11338" s="3" t="s">
        <v>10836</v>
      </c>
      <c r="C11338" s="3" t="str">
        <f>IFERROR(__xludf.DUMMYFUNCTION("GOOGLETRANSLATE(B11338,""id"",""en"")"),"['Error', 'Mulu', 'difficult', 'really', 'entry']")</f>
        <v>['Error', 'Mulu', 'difficult', 'really', 'entry']</v>
      </c>
      <c r="D11338" s="3">
        <v>1.0</v>
      </c>
    </row>
    <row r="11339" ht="15.75" customHeight="1">
      <c r="A11339" s="1">
        <v>12076.0</v>
      </c>
      <c r="B11339" s="3" t="s">
        <v>10837</v>
      </c>
      <c r="C11339" s="3" t="str">
        <f>IFERROR(__xludf.DUMMYFUNCTION("GOOGLETRANSLATE(B11339,""id"",""en"")"),"['', 'BSA', 'Enter', 'The application', 'might', 'JLK']")</f>
        <v>['', 'BSA', 'Enter', 'The application', 'might', 'JLK']</v>
      </c>
      <c r="D11339" s="3">
        <v>1.0</v>
      </c>
    </row>
    <row r="11340" ht="15.75" customHeight="1">
      <c r="A11340" s="1">
        <v>12077.0</v>
      </c>
      <c r="B11340" s="3" t="s">
        <v>10838</v>
      </c>
      <c r="C11340" s="3" t="str">
        <f>IFERROR(__xludf.DUMMYFUNCTION("GOOGLETRANSLATE(B11340,""id"",""en"")"),"['Application', 'Blank', 'White', 'Nggk', ""]")</f>
        <v>['Application', 'Blank', 'White', 'Nggk', "]</v>
      </c>
      <c r="D11340" s="3">
        <v>1.0</v>
      </c>
    </row>
    <row r="11341" ht="15.75" customHeight="1">
      <c r="A11341" s="1">
        <v>12078.0</v>
      </c>
      <c r="B11341" s="3" t="s">
        <v>10839</v>
      </c>
      <c r="C11341" s="3" t="str">
        <f>IFERROR(__xludf.DUMMYFUNCTION("GOOGLETRANSLATE(B11341,""id"",""en"")"),"['ugly', 'package', 'boss', 'card', 'bid', 'promo', '']")</f>
        <v>['ugly', 'package', 'boss', 'card', 'bid', 'promo', '']</v>
      </c>
      <c r="D11341" s="3">
        <v>1.0</v>
      </c>
    </row>
    <row r="11342" ht="15.75" customHeight="1">
      <c r="A11342" s="1">
        <v>12079.0</v>
      </c>
      <c r="B11342" s="3" t="s">
        <v>10840</v>
      </c>
      <c r="C11342" s="3" t="str">
        <f>IFERROR(__xludf.DUMMYFUNCTION("GOOGLETRANSLATE(B11342,""id"",""en"")"),"['Telkomsel', 'expensive', 'doang', 'signal', 'ugly', 'really']")</f>
        <v>['Telkomsel', 'expensive', 'doang', 'signal', 'ugly', 'really']</v>
      </c>
      <c r="D11342" s="3">
        <v>1.0</v>
      </c>
    </row>
    <row r="11343" ht="15.75" customHeight="1">
      <c r="A11343" s="1">
        <v>12080.0</v>
      </c>
      <c r="B11343" s="3" t="s">
        <v>1367</v>
      </c>
      <c r="C11343" s="3" t="str">
        <f>IFERROR(__xludf.DUMMYFUNCTION("GOOGLETRANSLATE(B11343,""id"",""en"")"),"['good']")</f>
        <v>['good']</v>
      </c>
      <c r="D11343" s="3">
        <v>4.0</v>
      </c>
    </row>
    <row r="11344" ht="15.75" customHeight="1">
      <c r="A11344" s="1">
        <v>12081.0</v>
      </c>
      <c r="B11344" s="3" t="s">
        <v>10841</v>
      </c>
      <c r="C11344" s="3" t="str">
        <f>IFERROR(__xludf.DUMMYFUNCTION("GOOGLETRANSLATE(B11344,""id"",""en"")"),"['knapa', 'sekrang', 'open', 'application']")</f>
        <v>['knapa', 'sekrang', 'open', 'application']</v>
      </c>
      <c r="D11344" s="3">
        <v>3.0</v>
      </c>
    </row>
    <row r="11345" ht="15.75" customHeight="1">
      <c r="A11345" s="1">
        <v>12082.0</v>
      </c>
      <c r="B11345" s="3" t="s">
        <v>10842</v>
      </c>
      <c r="C11345" s="3" t="str">
        <f>IFERROR(__xludf.DUMMYFUNCTION("GOOGLETRANSLATE(B11345,""id"",""en"")"),"['Out of', 'Update', 'Opened', 'Help', 'Minnnn']")</f>
        <v>['Out of', 'Update', 'Opened', 'Help', 'Minnnn']</v>
      </c>
      <c r="D11345" s="3">
        <v>4.0</v>
      </c>
    </row>
    <row r="11346" ht="15.75" customHeight="1">
      <c r="A11346" s="1">
        <v>12083.0</v>
      </c>
      <c r="B11346" s="3" t="s">
        <v>10843</v>
      </c>
      <c r="C11346" s="3" t="str">
        <f>IFERROR(__xludf.DUMMYFUNCTION("GOOGLETRANSLATE(B11346,""id"",""en"")"),"['check', 'pulse', 'quota', 'complicated', 'data', 'emang', 'easy', 'easy', 'sms']")</f>
        <v>['check', 'pulse', 'quota', 'complicated', 'data', 'emang', 'easy', 'easy', 'sms']</v>
      </c>
      <c r="D11346" s="3">
        <v>1.0</v>
      </c>
    </row>
    <row r="11347" ht="15.75" customHeight="1">
      <c r="A11347" s="1">
        <v>12084.0</v>
      </c>
      <c r="B11347" s="3" t="s">
        <v>10844</v>
      </c>
      <c r="C11347" s="3" t="str">
        <f>IFERROR(__xludf.DUMMYFUNCTION("GOOGLETRANSLATE(B11347,""id"",""en"")"),"['Severe', 'really', 'network', 'Telkomsel', 'in my place', 'auto', 'change', 'card', 'mah']")</f>
        <v>['Severe', 'really', 'network', 'Telkomsel', 'in my place', 'auto', 'change', 'card', 'mah']</v>
      </c>
      <c r="D11347" s="3">
        <v>1.0</v>
      </c>
    </row>
    <row r="11348" ht="15.75" customHeight="1">
      <c r="A11348" s="1">
        <v>12085.0</v>
      </c>
      <c r="B11348" s="3" t="s">
        <v>10845</v>
      </c>
      <c r="C11348" s="3" t="str">
        <f>IFERROR(__xludf.DUMMYFUNCTION("GOOGLETRANSLATE(B11348,""id"",""en"")"),"['Good', 'help', 'TPI', 'promo', 'twembah', 'monthly']")</f>
        <v>['Good', 'help', 'TPI', 'promo', 'twembah', 'monthly']</v>
      </c>
      <c r="D11348" s="3">
        <v>5.0</v>
      </c>
    </row>
    <row r="11349" ht="15.75" customHeight="1">
      <c r="A11349" s="1">
        <v>12087.0</v>
      </c>
      <c r="B11349" s="3" t="s">
        <v>10846</v>
      </c>
      <c r="C11349" s="3" t="str">
        <f>IFERROR(__xludf.DUMMYFUNCTION("GOOGLETRANSLATE(B11349,""id"",""en"")"),"['application', 'update', 'opened', 'reason', 'explanation', 'white', 'screen', 'rich', 'error', 'dish "",' tks']")</f>
        <v>['application', 'update', 'opened', 'reason', 'explanation', 'white', 'screen', 'rich', 'error', 'dish ",' tks']</v>
      </c>
      <c r="D11349" s="3">
        <v>1.0</v>
      </c>
    </row>
    <row r="11350" ht="15.75" customHeight="1">
      <c r="A11350" s="1">
        <v>12088.0</v>
      </c>
      <c r="B11350" s="3" t="s">
        <v>10847</v>
      </c>
      <c r="C11350" s="3" t="str">
        <f>IFERROR(__xludf.DUMMYFUNCTION("GOOGLETRANSLATE(B11350,""id"",""en"")"),"['signal', 'kek', 'taek', 'vibeang', 'number', 'grandiuk', 'package', 'expensive', 'kek', 'devil', ""]")</f>
        <v>['signal', 'kek', 'taek', 'vibeang', 'number', 'grandiuk', 'package', 'expensive', 'kek', 'devil', "]</v>
      </c>
      <c r="D11350" s="3">
        <v>1.0</v>
      </c>
    </row>
    <row r="11351" ht="15.75" customHeight="1">
      <c r="A11351" s="1">
        <v>12089.0</v>
      </c>
      <c r="B11351" s="3" t="s">
        <v>10848</v>
      </c>
      <c r="C11351" s="3" t="str">
        <f>IFERROR(__xludf.DUMMYFUNCTION("GOOGLETRANSLATE(B11351,""id"",""en"")"),"['Disappointed', 'Upgrate', 'Open', 'Application', 'Screen', 'White', 'Disappointed']")</f>
        <v>['Disappointed', 'Upgrate', 'Open', 'Application', 'Screen', 'White', 'Disappointed']</v>
      </c>
      <c r="D11351" s="3">
        <v>1.0</v>
      </c>
    </row>
    <row r="11352" ht="15.75" customHeight="1">
      <c r="A11352" s="1">
        <v>12090.0</v>
      </c>
      <c r="B11352" s="3" t="s">
        <v>1601</v>
      </c>
      <c r="C11352" s="3" t="str">
        <f>IFERROR(__xludf.DUMMYFUNCTION("GOOGLETRANSLATE(B11352,""id"",""en"")"),"['open']")</f>
        <v>['open']</v>
      </c>
      <c r="D11352" s="3">
        <v>5.0</v>
      </c>
    </row>
    <row r="11353" ht="15.75" customHeight="1">
      <c r="A11353" s="1">
        <v>12091.0</v>
      </c>
      <c r="B11353" s="3" t="s">
        <v>10849</v>
      </c>
      <c r="C11353" s="3" t="str">
        <f>IFERROR(__xludf.DUMMYFUNCTION("GOOGLETRANSLATE(B11353,""id"",""en"")"),"['Times', 'Telkomsel']")</f>
        <v>['Times', 'Telkomsel']</v>
      </c>
      <c r="D11353" s="3">
        <v>5.0</v>
      </c>
    </row>
    <row r="11354" ht="15.75" customHeight="1">
      <c r="A11354" s="1">
        <v>12092.0</v>
      </c>
      <c r="B11354" s="3" t="s">
        <v>10850</v>
      </c>
      <c r="C11354" s="3" t="str">
        <f>IFERROR(__xludf.DUMMYFUNCTION("GOOGLETRANSLATE(B11354,""id"",""en"")"),"['village', 'bedung', 'kec', 'palenganan', 'signal', 'ugly']")</f>
        <v>['village', 'bedung', 'kec', 'palenganan', 'signal', 'ugly']</v>
      </c>
      <c r="D11354" s="3">
        <v>4.0</v>
      </c>
    </row>
    <row r="11355" ht="15.75" customHeight="1">
      <c r="A11355" s="1">
        <v>12093.0</v>
      </c>
      <c r="B11355" s="3" t="s">
        <v>10851</v>
      </c>
      <c r="C11355" s="3" t="str">
        <f>IFERROR(__xludf.DUMMYFUNCTION("GOOGLETRANSLATE(B11355,""id"",""en"")"),"['right', 'download', 'the application', 'fast', 'right', 'login', 'slow', ""]")</f>
        <v>['right', 'download', 'the application', 'fast', 'right', 'login', 'slow', "]</v>
      </c>
      <c r="D11355" s="3">
        <v>3.0</v>
      </c>
    </row>
    <row r="11356" ht="15.75" customHeight="1">
      <c r="A11356" s="1">
        <v>12094.0</v>
      </c>
      <c r="B11356" s="3" t="s">
        <v>10852</v>
      </c>
      <c r="C11356" s="3" t="str">
        <f>IFERROR(__xludf.DUMMYFUNCTION("GOOGLETRANSLATE(B11356,""id"",""en"")"),"['Kenapq', 'Open', 'App']")</f>
        <v>['Kenapq', 'Open', 'App']</v>
      </c>
      <c r="D11356" s="3">
        <v>1.0</v>
      </c>
    </row>
    <row r="11357" ht="15.75" customHeight="1">
      <c r="A11357" s="1">
        <v>12095.0</v>
      </c>
      <c r="B11357" s="3" t="s">
        <v>10853</v>
      </c>
      <c r="C11357" s="3" t="str">
        <f>IFERROR(__xludf.DUMMYFUNCTION("GOOGLETRANSLATE(B11357,""id"",""en"")"),"['Damaged', 'really', 'ajjg', 'update', 'screen', 'white', 'ajjjg']")</f>
        <v>['Damaged', 'really', 'ajjg', 'update', 'screen', 'white', 'ajjjg']</v>
      </c>
      <c r="D11357" s="3">
        <v>1.0</v>
      </c>
    </row>
    <row r="11358" ht="15.75" customHeight="1">
      <c r="A11358" s="1">
        <v>12096.0</v>
      </c>
      <c r="B11358" s="3" t="s">
        <v>355</v>
      </c>
      <c r="C11358" s="3" t="str">
        <f>IFERROR(__xludf.DUMMYFUNCTION("GOOGLETRANSLATE(B11358,""id"",""en"")"),"['open', '']")</f>
        <v>['open', '']</v>
      </c>
      <c r="D11358" s="3">
        <v>1.0</v>
      </c>
    </row>
    <row r="11359" ht="15.75" customHeight="1">
      <c r="A11359" s="1">
        <v>12097.0</v>
      </c>
      <c r="B11359" s="3" t="s">
        <v>10854</v>
      </c>
      <c r="C11359" s="3" t="str">
        <f>IFERROR(__xludf.DUMMYFUNCTION("GOOGLETRANSLATE(B11359,""id"",""en"")"),"['artisan', 'sucked', 'pulse', 'sadistic']")</f>
        <v>['artisan', 'sucked', 'pulse', 'sadistic']</v>
      </c>
      <c r="D11359" s="3">
        <v>1.0</v>
      </c>
    </row>
    <row r="11360" ht="15.75" customHeight="1">
      <c r="A11360" s="1">
        <v>12098.0</v>
      </c>
      <c r="B11360" s="3" t="s">
        <v>10855</v>
      </c>
      <c r="C11360" s="3" t="str">
        <f>IFERROR(__xludf.DUMMYFUNCTION("GOOGLETRANSLATE(B11360,""id"",""en"")"),"['', 'application', 'help', ""]")</f>
        <v>['', 'application', 'help', "]</v>
      </c>
      <c r="D11360" s="3">
        <v>5.0</v>
      </c>
    </row>
    <row r="11361" ht="15.75" customHeight="1">
      <c r="A11361" s="1">
        <v>12099.0</v>
      </c>
      <c r="B11361" s="3" t="s">
        <v>10856</v>
      </c>
      <c r="C11361" s="3" t="str">
        <f>IFERROR(__xludf.DUMMYFUNCTION("GOOGLETRANSLATE(B11361,""id"",""en"")"),"['really', 'original', 'signal', 'rajeg', 'times', 'many years', 'Telkomsel', 'signal', 'ilang', 'sampe', 'a week']")</f>
        <v>['really', 'original', 'signal', 'rajeg', 'times', 'many years', 'Telkomsel', 'signal', 'ilang', 'sampe', 'a week']</v>
      </c>
      <c r="D11361" s="3">
        <v>1.0</v>
      </c>
    </row>
    <row r="11362" ht="15.75" customHeight="1">
      <c r="A11362" s="1">
        <v>12100.0</v>
      </c>
      <c r="B11362" s="3" t="s">
        <v>10857</v>
      </c>
      <c r="C11362" s="3" t="str">
        <f>IFERROR(__xludf.DUMMYFUNCTION("GOOGLETRANSLATE(B11362,""id"",""en"")"),"['Help', 'package', 'run out', 'good']")</f>
        <v>['Help', 'package', 'run out', 'good']</v>
      </c>
      <c r="D11362" s="3">
        <v>3.0</v>
      </c>
    </row>
    <row r="11363" ht="15.75" customHeight="1">
      <c r="A11363" s="1">
        <v>12101.0</v>
      </c>
      <c r="B11363" s="3" t="s">
        <v>10858</v>
      </c>
      <c r="C11363" s="3" t="str">
        <f>IFERROR(__xludf.DUMMYFUNCTION("GOOGLETRANSLATE(B11363,""id"",""en"")"),"['Please', 'Bagimana', 'use', 'Telkomsel', 'application', 'please', 'solution', 'Telkomsel', 'Samsung', ""]")</f>
        <v>['Please', 'Bagimana', 'use', 'Telkomsel', 'application', 'please', 'solution', 'Telkomsel', 'Samsung', "]</v>
      </c>
      <c r="D11363" s="3">
        <v>1.0</v>
      </c>
    </row>
    <row r="11364" ht="15.75" customHeight="1">
      <c r="A11364" s="1">
        <v>12103.0</v>
      </c>
      <c r="B11364" s="3" t="s">
        <v>10859</v>
      </c>
      <c r="C11364" s="3" t="str">
        <f>IFERROR(__xludf.DUMMYFUNCTION("GOOGLETRANSLATE(B11364,""id"",""en"")"),"['Good', 'really', 'promo', '']")</f>
        <v>['Good', 'really', 'promo', '']</v>
      </c>
      <c r="D11364" s="3">
        <v>5.0</v>
      </c>
    </row>
    <row r="11365" ht="15.75" customHeight="1">
      <c r="A11365" s="1">
        <v>12104.0</v>
      </c>
      <c r="B11365" s="3" t="s">
        <v>3208</v>
      </c>
      <c r="C11365" s="3" t="str">
        <f>IFERROR(__xludf.DUMMYFUNCTION("GOOGLETRANSLATE(B11365,""id"",""en"")"),"['try']")</f>
        <v>['try']</v>
      </c>
      <c r="D11365" s="3">
        <v>3.0</v>
      </c>
    </row>
    <row r="11366" ht="15.75" customHeight="1">
      <c r="A11366" s="1">
        <v>12105.0</v>
      </c>
      <c r="B11366" s="3" t="s">
        <v>10860</v>
      </c>
      <c r="C11366" s="3" t="str">
        <f>IFERROR(__xludf.DUMMYFUNCTION("GOOGLETRANSLATE(B11366,""id"",""en"")"),"['Good', 'Bangat', 'buy', 'pulse', 'kouta', 'cellphone', 'again', 'stay', 'buy', 'application', 'Telkomsel']")</f>
        <v>['Good', 'Bangat', 'buy', 'pulse', 'kouta', 'cellphone', 'again', 'stay', 'buy', 'application', 'Telkomsel']</v>
      </c>
      <c r="D11366" s="3">
        <v>5.0</v>
      </c>
    </row>
    <row r="11367" ht="15.75" customHeight="1">
      <c r="A11367" s="1">
        <v>12106.0</v>
      </c>
      <c r="B11367" s="3" t="s">
        <v>10861</v>
      </c>
      <c r="C11367" s="3" t="str">
        <f>IFERROR(__xludf.DUMMYFUNCTION("GOOGLETRANSLATE(B11367,""id"",""en"")"),"['Help', 'Perfect', '']")</f>
        <v>['Help', 'Perfect', '']</v>
      </c>
      <c r="D11367" s="3">
        <v>5.0</v>
      </c>
    </row>
    <row r="11368" ht="15.75" customHeight="1">
      <c r="A11368" s="1">
        <v>12107.0</v>
      </c>
      <c r="B11368" s="3" t="s">
        <v>10862</v>
      </c>
      <c r="C11368" s="3" t="str">
        <f>IFERROR(__xludf.DUMMYFUNCTION("GOOGLETRANSLATE(B11368,""id"",""en"")"),"['network', 'internet', 'please', 'fix', 'increase', 'speed', 'trimakasih', ""]")</f>
        <v>['network', 'internet', 'please', 'fix', 'increase', 'speed', 'trimakasih', "]</v>
      </c>
      <c r="D11368" s="3">
        <v>3.0</v>
      </c>
    </row>
    <row r="11369" ht="15.75" customHeight="1">
      <c r="A11369" s="1">
        <v>12108.0</v>
      </c>
      <c r="B11369" s="3" t="s">
        <v>10863</v>
      </c>
      <c r="C11369" s="3" t="str">
        <f>IFERROR(__xludf.DUMMYFUNCTION("GOOGLETRANSLATE(B11369,""id"",""en"")"),"['Understand', 'card', 'Telkomsel', 'sucked', 'pulse', 'hundreds',' thousand ',' responsible ',' turn on ',' data ',' internet ',' wear ',' wifi ',' top ',' anything ',' pulse ',' sucked ',' outlets', 'operator', 'closest', 'call', 'operator', ""]")</f>
        <v>['Understand', 'card', 'Telkomsel', 'sucked', 'pulse', 'hundreds',' thousand ',' responsible ',' turn on ',' data ',' internet ',' wear ',' wifi ',' top ',' anything ',' pulse ',' sucked ',' outlets', 'operator', 'closest', 'call', 'operator', "]</v>
      </c>
      <c r="D11369" s="3">
        <v>1.0</v>
      </c>
    </row>
    <row r="11370" ht="15.75" customHeight="1">
      <c r="A11370" s="1">
        <v>12109.0</v>
      </c>
      <c r="B11370" s="3" t="s">
        <v>10864</v>
      </c>
      <c r="C11370" s="3" t="str">
        <f>IFERROR(__xludf.DUMMYFUNCTION("GOOGLETRANSLATE(B11370,""id"",""en"")"),"['blank', 'white', 'application']")</f>
        <v>['blank', 'white', 'application']</v>
      </c>
      <c r="D11370" s="3">
        <v>1.0</v>
      </c>
    </row>
    <row r="11371" ht="15.75" customHeight="1">
      <c r="A11371" s="1">
        <v>12110.0</v>
      </c>
      <c r="B11371" s="3" t="s">
        <v>10865</v>
      </c>
      <c r="C11371" s="3" t="str">
        <f>IFERROR(__xludf.DUMMYFUNCTION("GOOGLETRANSLATE(B11371,""id"",""en"")"),"['Contents', 'pulse', 'seconds', 'directly', 'run out', '']")</f>
        <v>['Contents', 'pulse', 'seconds', 'directly', 'run out', '']</v>
      </c>
      <c r="D11371" s="3">
        <v>1.0</v>
      </c>
    </row>
    <row r="11372" ht="15.75" customHeight="1">
      <c r="A11372" s="1">
        <v>12111.0</v>
      </c>
      <c r="B11372" s="3" t="s">
        <v>10866</v>
      </c>
      <c r="C11372" s="3" t="str">
        <f>IFERROR(__xludf.DUMMYFUNCTION("GOOGLETRANSLATE(B11372,""id"",""en"")"),"['Disappointed', 'Provider', 'Telkomsel', 'Operator', 'Indonesia', 'Network', 'Network', 'Moving', 'Eord', 'Operators', 'Indonesia', 'Minus']")</f>
        <v>['Disappointed', 'Provider', 'Telkomsel', 'Operator', 'Indonesia', 'Network', 'Network', 'Moving', 'Eord', 'Operators', 'Indonesia', 'Minus']</v>
      </c>
      <c r="D11372" s="3">
        <v>1.0</v>
      </c>
    </row>
    <row r="11373" ht="15.75" customHeight="1">
      <c r="A11373" s="1">
        <v>12112.0</v>
      </c>
      <c r="B11373" s="3" t="s">
        <v>10867</v>
      </c>
      <c r="C11373" s="3" t="str">
        <f>IFERROR(__xludf.DUMMYFUNCTION("GOOGLETRANSLATE(B11373,""id"",""en"")"),"['Log', 'Application', 'Buy', 'Package', 'Data', 'Please', 'Help', '']")</f>
        <v>['Log', 'Application', 'Buy', 'Package', 'Data', 'Please', 'Help', '']</v>
      </c>
      <c r="D11373" s="3">
        <v>5.0</v>
      </c>
    </row>
    <row r="11374" ht="15.75" customHeight="1">
      <c r="A11374" s="1">
        <v>12113.0</v>
      </c>
      <c r="B11374" s="3" t="s">
        <v>10868</v>
      </c>
      <c r="C11374" s="3" t="str">
        <f>IFERROR(__xludf.DUMMYFUNCTION("GOOGLETRANSLATE(B11374,""id"",""en"")"),"['Satisfied', 'kerena', 'package', 'cheap', 'cheap']")</f>
        <v>['Satisfied', 'kerena', 'package', 'cheap', 'cheap']</v>
      </c>
      <c r="D11374" s="3">
        <v>5.0</v>
      </c>
    </row>
    <row r="11375" ht="15.75" customHeight="1">
      <c r="A11375" s="1">
        <v>12114.0</v>
      </c>
      <c r="B11375" s="3" t="s">
        <v>10869</v>
      </c>
      <c r="C11375" s="3" t="str">
        <f>IFERROR(__xludf.DUMMYFUNCTION("GOOGLETRANSLATE(B11375,""id"",""en"")"),"['Service', 'bad', 'contents',' pulse ',' method ',' payment ',' gopaylater ',' balance ',' gopaylater ',' truncated ',' pulse ',' yesterday ',' Enter ',' please ',' fix ']")</f>
        <v>['Service', 'bad', 'contents',' pulse ',' method ',' payment ',' gopaylater ',' balance ',' gopaylater ',' truncated ',' pulse ',' yesterday ',' Enter ',' please ',' fix ']</v>
      </c>
      <c r="D11375" s="3">
        <v>1.0</v>
      </c>
    </row>
    <row r="11376" ht="15.75" customHeight="1">
      <c r="A11376" s="1">
        <v>12115.0</v>
      </c>
      <c r="B11376" s="3" t="s">
        <v>10870</v>
      </c>
      <c r="C11376" s="3" t="str">
        <f>IFERROR(__xludf.DUMMYFUNCTION("GOOGLETRANSLATE(B11376,""id"",""en"")"),"['application', 'no', 'opened', 'blang', 'white']")</f>
        <v>['application', 'no', 'opened', 'blang', 'white']</v>
      </c>
      <c r="D11376" s="3">
        <v>1.0</v>
      </c>
    </row>
    <row r="11377" ht="15.75" customHeight="1">
      <c r="A11377" s="1">
        <v>12116.0</v>
      </c>
      <c r="B11377" s="3" t="s">
        <v>10871</v>
      </c>
      <c r="C11377" s="3" t="str">
        <f>IFERROR(__xludf.DUMMYFUNCTION("GOOGLETRANSLATE(B11377,""id"",""en"")"),"['Hopefully', 'Hopefully', 'Hopefully', 'Signal', 'Disconnect', 'Connect', 'Leet', 'Mkcih', ""]")</f>
        <v>['Hopefully', 'Hopefully', 'Hopefully', 'Signal', 'Disconnect', 'Connect', 'Leet', 'Mkcih', "]</v>
      </c>
      <c r="D11377" s="3">
        <v>5.0</v>
      </c>
    </row>
    <row r="11378" ht="15.75" customHeight="1">
      <c r="A11378" s="1">
        <v>12117.0</v>
      </c>
      <c r="B11378" s="3" t="s">
        <v>10872</v>
      </c>
      <c r="C11378" s="3" t="str">
        <f>IFERROR(__xludf.DUMMYFUNCTION("GOOGLETRANSLATE(B11378,""id"",""en"")"),"['Paketan', 'expensive', 'network', 'slow', 'according to', 'where', 'price', 'quality', 'price', 'doang', 'quality', 'bad', ' Manding ',' Operator ',' UDH ',' Get ',' Internet ',' Unli ',' a month ',' Network ',' Tired ',' Tsel ',' expensive ',' slow ']")</f>
        <v>['Paketan', 'expensive', 'network', 'slow', 'according to', 'where', 'price', 'quality', 'price', 'doang', 'quality', 'bad', ' Manding ',' Operator ',' UDH ',' Get ',' Internet ',' Unli ',' a month ',' Network ',' Tired ',' Tsel ',' expensive ',' slow ']</v>
      </c>
      <c r="D11378" s="3">
        <v>1.0</v>
      </c>
    </row>
    <row r="11379" ht="15.75" customHeight="1">
      <c r="A11379" s="1">
        <v>12118.0</v>
      </c>
      <c r="B11379" s="3" t="s">
        <v>10873</v>
      </c>
      <c r="C11379" s="3" t="str">
        <f>IFERROR(__xludf.DUMMYFUNCTION("GOOGLETRANSLATE(B11379,""id"",""en"")"),"['hope', 'application', 'benefits', 'users', 'Telkomsel', 'Indonesia', 'service']")</f>
        <v>['hope', 'application', 'benefits', 'users', 'Telkomsel', 'Indonesia', 'service']</v>
      </c>
      <c r="D11379" s="3">
        <v>4.0</v>
      </c>
    </row>
    <row r="11380" ht="15.75" customHeight="1">
      <c r="A11380" s="1">
        <v>12119.0</v>
      </c>
      <c r="B11380" s="3" t="s">
        <v>10874</v>
      </c>
      <c r="C11380" s="3" t="str">
        <f>IFERROR(__xludf.DUMMYFUNCTION("GOOGLETRANSLATE(B11380,""id"",""en"")"),"['Sampe', 'network', 'bad', 'rich', 'gini', 'already', 'expensive', 'network', 'rich', ""]")</f>
        <v>['Sampe', 'network', 'bad', 'rich', 'gini', 'already', 'expensive', 'network', 'rich', "]</v>
      </c>
      <c r="D11380" s="3">
        <v>1.0</v>
      </c>
    </row>
    <row r="11381" ht="15.75" customHeight="1">
      <c r="A11381" s="1">
        <v>12120.0</v>
      </c>
      <c r="B11381" s="3" t="s">
        <v>10875</v>
      </c>
      <c r="C11381" s="3" t="str">
        <f>IFERROR(__xludf.DUMMYFUNCTION("GOOGLETRANSLATE(B11381,""id"",""en"")"),"['Steady', 'APK', 'Telkomsel', 'Quality', 'Register', 'Package', 'Data', 'Cheap', 'Ribet', 'Telkomsel', 'The', 'Bhesttttt']")</f>
        <v>['Steady', 'APK', 'Telkomsel', 'Quality', 'Register', 'Package', 'Data', 'Cheap', 'Ribet', 'Telkomsel', 'The', 'Bhesttttt']</v>
      </c>
      <c r="D11381" s="3">
        <v>5.0</v>
      </c>
    </row>
    <row r="11382" ht="15.75" customHeight="1">
      <c r="A11382" s="1">
        <v>12121.0</v>
      </c>
      <c r="B11382" s="3" t="s">
        <v>10876</v>
      </c>
      <c r="C11382" s="3" t="str">
        <f>IFERROR(__xludf.DUMMYFUNCTION("GOOGLETRANSLATE(B11382,""id"",""en"")"),"['signal', 'gajelas', 'missing', 'make', 'ngeecewain', ""]")</f>
        <v>['signal', 'gajelas', 'missing', 'make', 'ngeecewain', "]</v>
      </c>
      <c r="D11382" s="3">
        <v>1.0</v>
      </c>
    </row>
    <row r="11383" ht="15.75" customHeight="1">
      <c r="A11383" s="1">
        <v>12122.0</v>
      </c>
      <c r="B11383" s="3" t="s">
        <v>10877</v>
      </c>
      <c r="C11383" s="3" t="str">
        <f>IFERROR(__xludf.DUMMYFUNCTION("GOOGLETRANSLATE(B11383,""id"",""en"")"),"['My APK', 'broken', 'Nggk', 'download']")</f>
        <v>['My APK', 'broken', 'Nggk', 'download']</v>
      </c>
      <c r="D11383" s="3">
        <v>1.0</v>
      </c>
    </row>
    <row r="11384" ht="15.75" customHeight="1">
      <c r="A11384" s="1">
        <v>12123.0</v>
      </c>
      <c r="B11384" s="3" t="s">
        <v>10878</v>
      </c>
      <c r="C11384" s="3" t="str">
        <f>IFERROR(__xludf.DUMMYFUNCTION("GOOGLETRANSLATE(B11384,""id"",""en"")"),"['CCD', 'week', 'internet', 'motion']")</f>
        <v>['CCD', 'week', 'internet', 'motion']</v>
      </c>
      <c r="D11384" s="3">
        <v>1.0</v>
      </c>
    </row>
    <row r="11385" ht="15.75" customHeight="1">
      <c r="A11385" s="1">
        <v>12124.0</v>
      </c>
      <c r="B11385" s="3" t="s">
        <v>10879</v>
      </c>
      <c r="C11385" s="3" t="str">
        <f>IFERROR(__xludf.DUMMYFUNCTION("GOOGLETRANSLATE(B11385,""id"",""en"")"),"['Shop', 'Telkomsel', 'Ribet', '']")</f>
        <v>['Shop', 'Telkomsel', 'Ribet', '']</v>
      </c>
      <c r="D11385" s="3">
        <v>5.0</v>
      </c>
    </row>
    <row r="11386" ht="15.75" customHeight="1">
      <c r="A11386" s="1">
        <v>12125.0</v>
      </c>
      <c r="B11386" s="3" t="s">
        <v>10880</v>
      </c>
      <c r="C11386" s="3" t="str">
        <f>IFERROR(__xludf.DUMMYFUNCTION("GOOGLETRANSLATE(B11386,""id"",""en"")"),"['price', 'package', 'internet', 'user', 'different', 'appreciate', 'user', 'loyal', 'Telkomsel', 'network', 'weak', 'severe']")</f>
        <v>['price', 'package', 'internet', 'user', 'different', 'appreciate', 'user', 'loyal', 'Telkomsel', 'network', 'weak', 'severe']</v>
      </c>
      <c r="D11386" s="3">
        <v>1.0</v>
      </c>
    </row>
    <row r="11387" ht="15.75" customHeight="1">
      <c r="A11387" s="1">
        <v>12126.0</v>
      </c>
      <c r="B11387" s="3" t="s">
        <v>10881</v>
      </c>
      <c r="C11387" s="3" t="str">
        <f>IFERROR(__xludf.DUMMYFUNCTION("GOOGLETRANSLATE(B11387,""id"",""en"")"),"['Please', 'please', 'Telkomsel', 'The network', 'BENARIN', 'MAIN', 'GAME', 'NIGHT', 'ilang', 'Woy', 'Astagaaa', 'love', ' Stars', 'network', 'fix', '']")</f>
        <v>['Please', 'please', 'Telkomsel', 'The network', 'BENARIN', 'MAIN', 'GAME', 'NIGHT', 'ilang', 'Woy', 'Astagaaa', 'love', ' Stars', 'network', 'fix', '']</v>
      </c>
      <c r="D11387" s="3">
        <v>1.0</v>
      </c>
    </row>
    <row r="11388" ht="15.75" customHeight="1">
      <c r="A11388" s="1">
        <v>12127.0</v>
      </c>
      <c r="B11388" s="3" t="s">
        <v>10882</v>
      </c>
      <c r="C11388" s="3" t="str">
        <f>IFERROR(__xludf.DUMMYFUNCTION("GOOGLETRANSLATE(B11388,""id"",""en"")"),"['Sorry', 'Sis', 'Developer', 'The Application', 'Update', 'Open', 'Try', 'Install', 'Repeat', 'Times']")</f>
        <v>['Sorry', 'Sis', 'Developer', 'The Application', 'Update', 'Open', 'Try', 'Install', 'Repeat', 'Times']</v>
      </c>
      <c r="D11388" s="3">
        <v>1.0</v>
      </c>
    </row>
    <row r="11389" ht="15.75" customHeight="1">
      <c r="A11389" s="1">
        <v>12128.0</v>
      </c>
      <c r="B11389" s="3" t="s">
        <v>10883</v>
      </c>
      <c r="C11389" s="3" t="str">
        <f>IFERROR(__xludf.DUMMYFUNCTION("GOOGLETRANSLATE(B11389,""id"",""en"")"),"['Help', 'fluency', 'communicate', ""]")</f>
        <v>['Help', 'fluency', 'communicate', "]</v>
      </c>
      <c r="D11389" s="3">
        <v>5.0</v>
      </c>
    </row>
    <row r="11390" ht="15.75" customHeight="1">
      <c r="A11390" s="1">
        <v>12129.0</v>
      </c>
      <c r="B11390" s="3" t="s">
        <v>10884</v>
      </c>
      <c r="C11390" s="3" t="str">
        <f>IFERROR(__xludf.DUMMYFUNCTION("GOOGLETRANSLATE(B11390,""id"",""en"")"),"['', 'sane', 'Telkomsel', 'contents', 'pulse', 'lost', 'debt', 'quota', 'knp', 'telkom', 'ajg', ""]")</f>
        <v>['', 'sane', 'Telkomsel', 'contents', 'pulse', 'lost', 'debt', 'quota', 'knp', 'telkom', 'ajg', "]</v>
      </c>
      <c r="D11390" s="3">
        <v>1.0</v>
      </c>
    </row>
    <row r="11391" ht="15.75" customHeight="1">
      <c r="A11391" s="1">
        <v>12130.0</v>
      </c>
      <c r="B11391" s="3" t="s">
        <v>10885</v>
      </c>
      <c r="C11391" s="3" t="str">
        <f>IFERROR(__xludf.DUMMYFUNCTION("GOOGLETRANSLATE(B11391,""id"",""en"")"),"['Use', 'Card', 'Telkomsel', 'Network', 'Good', 'Mending', 'Use', 'Card', 'Tri', 'The Network', 'Fast', 'Tekomsel']")</f>
        <v>['Use', 'Card', 'Telkomsel', 'Network', 'Good', 'Mending', 'Use', 'Card', 'Tri', 'The Network', 'Fast', 'Tekomsel']</v>
      </c>
      <c r="D11391" s="3">
        <v>1.0</v>
      </c>
    </row>
    <row r="11392" ht="15.75" customHeight="1">
      <c r="A11392" s="1">
        <v>12132.0</v>
      </c>
      <c r="B11392" s="3" t="s">
        <v>10886</v>
      </c>
      <c r="C11392" s="3" t="str">
        <f>IFERROR(__xludf.DUMMYFUNCTION("GOOGLETRANSLATE(B11392,""id"",""en"")"),"['Seep', 'Potikk']")</f>
        <v>['Seep', 'Potikk']</v>
      </c>
      <c r="D11392" s="3">
        <v>5.0</v>
      </c>
    </row>
    <row r="11393" ht="15.75" customHeight="1">
      <c r="A11393" s="1">
        <v>12133.0</v>
      </c>
      <c r="B11393" s="3" t="s">
        <v>10887</v>
      </c>
      <c r="C11393" s="3" t="str">
        <f>IFERROR(__xludf.DUMMYFUNCTION("GOOGLETRANSLATE(B11393,""id"",""en"")"),"['Ngeblank', 'White', 'Access', 'Please']")</f>
        <v>['Ngeblank', 'White', 'Access', 'Please']</v>
      </c>
      <c r="D11393" s="3">
        <v>1.0</v>
      </c>
    </row>
    <row r="11394" ht="15.75" customHeight="1">
      <c r="A11394" s="1">
        <v>12134.0</v>
      </c>
      <c r="B11394" s="3" t="s">
        <v>10888</v>
      </c>
      <c r="C11394" s="3" t="str">
        <f>IFERROR(__xludf.DUMMYFUNCTION("GOOGLETRANSLATE(B11394,""id"",""en"")"),"['Kash', 'bntang', 'dlu', 'blm', 'understand']")</f>
        <v>['Kash', 'bntang', 'dlu', 'blm', 'understand']</v>
      </c>
      <c r="D11394" s="3">
        <v>2.0</v>
      </c>
    </row>
    <row r="11395" ht="15.75" customHeight="1">
      <c r="A11395" s="1">
        <v>12135.0</v>
      </c>
      <c r="B11395" s="3" t="s">
        <v>2372</v>
      </c>
      <c r="C11395" s="3" t="str">
        <f>IFERROR(__xludf.DUMMYFUNCTION("GOOGLETRANSLATE(B11395,""id"",""en"")"),"['', '']")</f>
        <v>['', '']</v>
      </c>
      <c r="D11395" s="3">
        <v>1.0</v>
      </c>
    </row>
    <row r="11396" ht="15.75" customHeight="1">
      <c r="A11396" s="1">
        <v>12136.0</v>
      </c>
      <c r="B11396" s="3" t="s">
        <v>10889</v>
      </c>
      <c r="C11396" s="3" t="str">
        <f>IFERROR(__xludf.DUMMYFUNCTION("GOOGLETRANSLATE(B11396,""id"",""en"")"),"['buy', 'expensive', 'lag', 'really', 'difficult', 'play', 'game', 'broken', 'mentang', 'tournament', 'lag', 'hard', ' ']")</f>
        <v>['buy', 'expensive', 'lag', 'really', 'difficult', 'play', 'game', 'broken', 'mentang', 'tournament', 'lag', 'hard', ' ']</v>
      </c>
      <c r="D11396" s="3">
        <v>1.0</v>
      </c>
    </row>
    <row r="11397" ht="15.75" customHeight="1">
      <c r="A11397" s="1">
        <v>12137.0</v>
      </c>
      <c r="B11397" s="3" t="s">
        <v>10890</v>
      </c>
      <c r="C11397" s="3" t="str">
        <f>IFERROR(__xludf.DUMMYFUNCTION("GOOGLETRANSLATE(B11397,""id"",""en"")"),"['Exchange', 'Points', 'Credit']")</f>
        <v>['Exchange', 'Points', 'Credit']</v>
      </c>
      <c r="D11397" s="3">
        <v>5.0</v>
      </c>
    </row>
    <row r="11398" ht="15.75" customHeight="1">
      <c r="A11398" s="1">
        <v>12138.0</v>
      </c>
      <c r="B11398" s="3" t="s">
        <v>10891</v>
      </c>
      <c r="C11398" s="3" t="str">
        <f>IFERROR(__xludf.DUMMYFUNCTION("GOOGLETRANSLATE(B11398,""id"",""en"")"),"['Maintain', 'signal']")</f>
        <v>['Maintain', 'signal']</v>
      </c>
      <c r="D11398" s="3">
        <v>5.0</v>
      </c>
    </row>
    <row r="11399" ht="15.75" customHeight="1">
      <c r="A11399" s="1">
        <v>12139.0</v>
      </c>
      <c r="B11399" s="3" t="s">
        <v>10892</v>
      </c>
      <c r="C11399" s="3" t="str">
        <f>IFERROR(__xludf.DUMMYFUNCTION("GOOGLETRANSLATE(B11399,""id"",""en"")"),"['Most', 'advertising', 'useful', 'annoying']")</f>
        <v>['Most', 'advertising', 'useful', 'annoying']</v>
      </c>
      <c r="D11399" s="3">
        <v>1.0</v>
      </c>
    </row>
    <row r="11400" ht="15.75" customHeight="1">
      <c r="A11400" s="1">
        <v>12140.0</v>
      </c>
      <c r="B11400" s="3" t="s">
        <v>10893</v>
      </c>
      <c r="C11400" s="3" t="str">
        <f>IFERROR(__xludf.DUMMYFUNCTION("GOOGLETRANSLATE(B11400,""id"",""en"")"),"['Good', 'Thank you', 'Telkomsel', 'Jaya', ""]")</f>
        <v>['Good', 'Thank you', 'Telkomsel', 'Jaya', "]</v>
      </c>
      <c r="D11400" s="3">
        <v>5.0</v>
      </c>
    </row>
    <row r="11401" ht="15.75" customHeight="1">
      <c r="A11401" s="1">
        <v>12141.0</v>
      </c>
      <c r="B11401" s="3" t="s">
        <v>10894</v>
      </c>
      <c r="C11401" s="3" t="str">
        <f>IFERROR(__xludf.DUMMYFUNCTION("GOOGLETRANSLATE(B11401,""id"",""en"")"),"['Hopefully', 'Telkomsel', 'Jaya', 'Use', 'Telkomsel', 'Network', 'Good', 'Amin']")</f>
        <v>['Hopefully', 'Telkomsel', 'Jaya', 'Use', 'Telkomsel', 'Network', 'Good', 'Amin']</v>
      </c>
      <c r="D11401" s="3">
        <v>5.0</v>
      </c>
    </row>
    <row r="11402" ht="15.75" customHeight="1">
      <c r="A11402" s="1">
        <v>12142.0</v>
      </c>
      <c r="B11402" s="3" t="s">
        <v>10895</v>
      </c>
      <c r="C11402" s="3" t="str">
        <f>IFERROR(__xludf.DUMMYFUNCTION("GOOGLETRANSLATE(B11402,""id"",""en"")"),"['Please', 'Application', 'Miss']")</f>
        <v>['Please', 'Application', 'Miss']</v>
      </c>
      <c r="D11402" s="3">
        <v>4.0</v>
      </c>
    </row>
    <row r="11403" ht="15.75" customHeight="1">
      <c r="A11403" s="1">
        <v>12143.0</v>
      </c>
      <c r="B11403" s="3" t="s">
        <v>10896</v>
      </c>
      <c r="C11403" s="3" t="str">
        <f>IFERROR(__xludf.DUMMYFUNCTION("GOOGLETRANSLATE(B11403,""id"",""en"")"),"['Wuaduh', 'trial', 'contact', 'brother', 'brother', 'apps',' mobile ',' error ',' told ',' brother ',' work ',' Telkom ',' Apps', 'Telkom', 'Latest', 'Error', 'front', '']")</f>
        <v>['Wuaduh', 'trial', 'contact', 'brother', 'brother', 'apps',' mobile ',' error ',' told ',' brother ',' work ',' Telkom ',' Apps', 'Telkom', 'Latest', 'Error', 'front', '']</v>
      </c>
      <c r="D11403" s="3">
        <v>1.0</v>
      </c>
    </row>
    <row r="11404" ht="15.75" customHeight="1">
      <c r="A11404" s="1">
        <v>12144.0</v>
      </c>
      <c r="B11404" s="3" t="s">
        <v>10897</v>
      </c>
      <c r="C11404" s="3" t="str">
        <f>IFERROR(__xludf.DUMMYFUNCTION("GOOGLETRANSLATE(B11404,""id"",""en"")"),"['Alhamdulillah', 'satisfying', 'hope', 'smooth', '']")</f>
        <v>['Alhamdulillah', 'satisfying', 'hope', 'smooth', '']</v>
      </c>
      <c r="D11404" s="3">
        <v>5.0</v>
      </c>
    </row>
    <row r="11405" ht="15.75" customHeight="1">
      <c r="A11405" s="1">
        <v>12145.0</v>
      </c>
      <c r="B11405" s="3" t="s">
        <v>10898</v>
      </c>
      <c r="C11405" s="3" t="str">
        <f>IFERROR(__xludf.DUMMYFUNCTION("GOOGLETRANSLATE(B11405,""id"",""en"")"),"['sympathy', 'network', 'gembel', 'already', 'rain', 'habit']")</f>
        <v>['sympathy', 'network', 'gembel', 'already', 'rain', 'habit']</v>
      </c>
      <c r="D11405" s="3">
        <v>1.0</v>
      </c>
    </row>
    <row r="11406" ht="15.75" customHeight="1">
      <c r="A11406" s="1">
        <v>12146.0</v>
      </c>
      <c r="B11406" s="3" t="s">
        <v>10899</v>
      </c>
      <c r="C11406" s="3" t="str">
        <f>IFERROR(__xludf.DUMMYFUNCTION("GOOGLETRANSLATE(B11406,""id"",""en"")"),"['buy', 'package', 'anything', 'pulse', 'truncated']")</f>
        <v>['buy', 'package', 'anything', 'pulse', 'truncated']</v>
      </c>
      <c r="D11406" s="3">
        <v>1.0</v>
      </c>
    </row>
    <row r="11407" ht="15.75" customHeight="1">
      <c r="A11407" s="1">
        <v>12147.0</v>
      </c>
      <c r="B11407" s="3" t="s">
        <v>10900</v>
      </c>
      <c r="C11407" s="3" t="str">
        <f>IFERROR(__xludf.DUMMYFUNCTION("GOOGLETRANSLATE(B11407,""id"",""en"")"),"['', 'Install', 'open', 'blank', 'white']")</f>
        <v>['', 'Install', 'open', 'blank', 'white']</v>
      </c>
      <c r="D11407" s="3">
        <v>1.0</v>
      </c>
    </row>
    <row r="11408" ht="15.75" customHeight="1">
      <c r="A11408" s="1">
        <v>12148.0</v>
      </c>
      <c r="B11408" s="3" t="s">
        <v>10901</v>
      </c>
      <c r="C11408" s="3" t="str">
        <f>IFERROR(__xludf.DUMMYFUNCTION("GOOGLETRANSLATE(B11408,""id"",""en"")"),"['intention', 'buy', 'pulse', 'pay', 'credit', 'emergency', 'sumps',' package ',' emergency ',' sumps', 'package', 'gajelas',' AJG ',' Time ',' Males', 'Buy', 'Credit', 'Telkomsel', ""]")</f>
        <v>['intention', 'buy', 'pulse', 'pay', 'credit', 'emergency', 'sumps',' package ',' emergency ',' sumps', 'package', 'gajelas',' AJG ',' Time ',' Males', 'Buy', 'Credit', 'Telkomsel', "]</v>
      </c>
      <c r="D11408" s="3">
        <v>1.0</v>
      </c>
    </row>
    <row r="11409" ht="15.75" customHeight="1">
      <c r="A11409" s="1">
        <v>12149.0</v>
      </c>
      <c r="B11409" s="3" t="s">
        <v>10902</v>
      </c>
      <c r="C11409" s="3" t="str">
        <f>IFERROR(__xludf.DUMMYFUNCTION("GOOGLETRANSLATE(B11409,""id"",""en"")"),"['Date', 'Date', 'Telkomsel', 'Ter', 'Install', 'Open', 'Screen', 'LCD', 'Blank', 'Date', 'Solution', 'Thanks']")</f>
        <v>['Date', 'Date', 'Telkomsel', 'Ter', 'Install', 'Open', 'Screen', 'LCD', 'Blank', 'Date', 'Solution', 'Thanks']</v>
      </c>
      <c r="D11409" s="3">
        <v>5.0</v>
      </c>
    </row>
    <row r="11410" ht="15.75" customHeight="1">
      <c r="A11410" s="1">
        <v>12150.0</v>
      </c>
      <c r="B11410" s="3" t="s">
        <v>10903</v>
      </c>
      <c r="C11410" s="3" t="str">
        <f>IFERROR(__xludf.DUMMYFUNCTION("GOOGLETRANSLATE(B11410,""id"",""en"")"),"['Updated', 'application', 'open', 'data', 'internet', 'network', 'unfortunate', 'Please', 'repaired', 'unistal', 'dlu', 'application', ' ']")</f>
        <v>['Updated', 'application', 'open', 'data', 'internet', 'network', 'unfortunate', 'Please', 'repaired', 'unistal', 'dlu', 'application', ' ']</v>
      </c>
      <c r="D11410" s="3">
        <v>1.0</v>
      </c>
    </row>
    <row r="11411" ht="15.75" customHeight="1">
      <c r="A11411" s="1">
        <v>12151.0</v>
      </c>
      <c r="B11411" s="3" t="s">
        <v>10904</v>
      </c>
      <c r="C11411" s="3" t="str">
        <f>IFERROR(__xludf.DUMMYFUNCTION("GOOGLETRANSLATE(B11411,""id"",""en"")"),"['pulse', 'Sumpot', 'price', 'package', 'expensive', '']")</f>
        <v>['pulse', 'Sumpot', 'price', 'package', 'expensive', '']</v>
      </c>
      <c r="D11411" s="3">
        <v>1.0</v>
      </c>
    </row>
    <row r="11412" ht="15.75" customHeight="1">
      <c r="A11412" s="1">
        <v>12153.0</v>
      </c>
      <c r="B11412" s="3" t="s">
        <v>10905</v>
      </c>
      <c r="C11412" s="3" t="str">
        <f>IFERROR(__xludf.DUMMYFUNCTION("GOOGLETRANSLATE(B11412,""id"",""en"")"),"['Severe', 'Open']")</f>
        <v>['Severe', 'Open']</v>
      </c>
      <c r="D11412" s="3">
        <v>1.0</v>
      </c>
    </row>
    <row r="11413" ht="15.75" customHeight="1">
      <c r="A11413" s="1">
        <v>12154.0</v>
      </c>
      <c r="B11413" s="3" t="s">
        <v>10906</v>
      </c>
      <c r="C11413" s="3" t="str">
        <f>IFERROR(__xludf.DUMMYFUNCTION("GOOGLETRANSLATE(B11413,""id"",""en"")"),"['Use', 'Telkomsel', 'Not bad', 'Good']")</f>
        <v>['Use', 'Telkomsel', 'Not bad', 'Good']</v>
      </c>
      <c r="D11413" s="3">
        <v>5.0</v>
      </c>
    </row>
    <row r="11414" ht="15.75" customHeight="1">
      <c r="A11414" s="1">
        <v>12155.0</v>
      </c>
      <c r="B11414" s="3" t="s">
        <v>5804</v>
      </c>
      <c r="C11414" s="3" t="str">
        <f>IFERROR(__xludf.DUMMYFUNCTION("GOOGLETRANSLATE(B11414,""id"",""en"")"),"['', 'opened', 'application']")</f>
        <v>['', 'opened', 'application']</v>
      </c>
      <c r="D11414" s="3">
        <v>1.0</v>
      </c>
    </row>
    <row r="11415" ht="15.75" customHeight="1">
      <c r="A11415" s="1">
        <v>12156.0</v>
      </c>
      <c r="B11415" s="3" t="s">
        <v>478</v>
      </c>
      <c r="C11415" s="3" t="str">
        <f>IFERROR(__xludf.DUMMYFUNCTION("GOOGLETRANSLATE(B11415,""id"",""en"")"),"Of course")</f>
        <v>Of course</v>
      </c>
      <c r="D11415" s="3">
        <v>4.0</v>
      </c>
    </row>
    <row r="11416" ht="15.75" customHeight="1">
      <c r="A11416" s="1">
        <v>12157.0</v>
      </c>
      <c r="B11416" s="3" t="s">
        <v>10907</v>
      </c>
      <c r="C11416" s="3" t="str">
        <f>IFERROR(__xludf.DUMMYFUNCTION("GOOGLETRANSLATE(B11416,""id"",""en"")"),"['application', 'network', 'Telkomsel', 'slow', 'price', 'quota', 'expensive', 'network', 'cheap']")</f>
        <v>['application', 'network', 'Telkomsel', 'slow', 'price', 'quota', 'expensive', 'network', 'cheap']</v>
      </c>
      <c r="D11416" s="3">
        <v>2.0</v>
      </c>
    </row>
    <row r="11417" ht="15.75" customHeight="1">
      <c r="A11417" s="1">
        <v>12158.0</v>
      </c>
      <c r="B11417" s="3" t="s">
        <v>10908</v>
      </c>
      <c r="C11417" s="3" t="str">
        <f>IFERROR(__xludf.DUMMYFUNCTION("GOOGLETRANSLATE(B11417,""id"",""en"")"),"['Open', 'application']")</f>
        <v>['Open', 'application']</v>
      </c>
      <c r="D11417" s="3">
        <v>1.0</v>
      </c>
    </row>
    <row r="11418" ht="15.75" customHeight="1">
      <c r="A11418" s="1">
        <v>12161.0</v>
      </c>
      <c r="B11418" s="3" t="s">
        <v>10909</v>
      </c>
      <c r="C11418" s="3" t="str">
        <f>IFERROR(__xludf.DUMMYFUNCTION("GOOGLETRANSLATE(B11418,""id"",""en"")"),"['Application', 'disappointing']")</f>
        <v>['Application', 'disappointing']</v>
      </c>
      <c r="D11418" s="3">
        <v>1.0</v>
      </c>
    </row>
    <row r="11419" ht="15.75" customHeight="1">
      <c r="A11419" s="1">
        <v>12162.0</v>
      </c>
      <c r="B11419" s="3" t="s">
        <v>10910</v>
      </c>
      <c r="C11419" s="3" t="str">
        <f>IFERROR(__xludf.DUMMYFUNCTION("GOOGLETRANSLATE(B11419,""id"",""en"")"),"['pulse', 'reduced', 'usage', '']")</f>
        <v>['pulse', 'reduced', 'usage', '']</v>
      </c>
      <c r="D11419" s="3">
        <v>4.0</v>
      </c>
    </row>
    <row r="11420" ht="15.75" customHeight="1">
      <c r="A11420" s="1">
        <v>12163.0</v>
      </c>
      <c r="B11420" s="3" t="s">
        <v>737</v>
      </c>
      <c r="C11420" s="3" t="str">
        <f>IFERROR(__xludf.DUMMYFUNCTION("GOOGLETRANSLATE(B11420,""id"",""en"")"),"['Good', 'application']")</f>
        <v>['Good', 'application']</v>
      </c>
      <c r="D11420" s="3">
        <v>5.0</v>
      </c>
    </row>
    <row r="11421" ht="15.75" customHeight="1">
      <c r="A11421" s="1">
        <v>12164.0</v>
      </c>
      <c r="B11421" s="3" t="s">
        <v>10911</v>
      </c>
      <c r="C11421" s="3" t="str">
        <f>IFERROR(__xludf.DUMMYFUNCTION("GOOGLETRANSLATE(B11421,""id"",""en"")"),"['open', 'Application', 'UDH', 'Install', 'TPI', 'TTP', 'Open', 'APRIKADI', 'Please', 'Fix', 'application']")</f>
        <v>['open', 'Application', 'UDH', 'Install', 'TPI', 'TTP', 'Open', 'APRIKADI', 'Please', 'Fix', 'application']</v>
      </c>
      <c r="D11421" s="3">
        <v>2.0</v>
      </c>
    </row>
    <row r="11422" ht="15.75" customHeight="1">
      <c r="A11422" s="1">
        <v>12165.0</v>
      </c>
      <c r="B11422" s="3" t="s">
        <v>10912</v>
      </c>
      <c r="C11422" s="3" t="str">
        <f>IFERROR(__xludf.DUMMYFUNCTION("GOOGLETRANSLATE(B11422,""id"",""en"")"),"['already', 'price', 'expensive', 'signal', 'kek', 'pig']")</f>
        <v>['already', 'price', 'expensive', 'signal', 'kek', 'pig']</v>
      </c>
      <c r="D11422" s="3">
        <v>1.0</v>
      </c>
    </row>
    <row r="11423" ht="15.75" customHeight="1">
      <c r="A11423" s="1">
        <v>12166.0</v>
      </c>
      <c r="B11423" s="3" t="s">
        <v>10913</v>
      </c>
      <c r="C11423" s="3" t="str">
        <f>IFERROR(__xludf.DUMMYFUNCTION("GOOGLETRANSLATE(B11423,""id"",""en"")"),"['try', 'good', 'star']")</f>
        <v>['try', 'good', 'star']</v>
      </c>
      <c r="D11423" s="3">
        <v>3.0</v>
      </c>
    </row>
    <row r="11424" ht="15.75" customHeight="1">
      <c r="A11424" s="1">
        <v>12167.0</v>
      </c>
      <c r="B11424" s="3" t="s">
        <v>10914</v>
      </c>
      <c r="C11424" s="3" t="str">
        <f>IFERROR(__xludf.DUMMYFUNCTION("GOOGLETRANSLATE(B11424,""id"",""en"")"),"['Application', 'Sunday', 'Diuk', '']")</f>
        <v>['Application', 'Sunday', 'Diuk', '']</v>
      </c>
      <c r="D11424" s="3">
        <v>2.0</v>
      </c>
    </row>
    <row r="11425" ht="15.75" customHeight="1">
      <c r="A11425" s="1">
        <v>12168.0</v>
      </c>
      <c r="B11425" s="3" t="s">
        <v>10915</v>
      </c>
      <c r="C11425" s="3" t="str">
        <f>IFERROR(__xludf.DUMMYFUNCTION("GOOGLETRANSLATE(B11425,""id"",""en"")"),"['Open', 'NOT', 'BENER', 'RIBET']")</f>
        <v>['Open', 'NOT', 'BENER', 'RIBET']</v>
      </c>
      <c r="D11425" s="3">
        <v>1.0</v>
      </c>
    </row>
    <row r="11426" ht="15.75" customHeight="1">
      <c r="A11426" s="1">
        <v>12169.0</v>
      </c>
      <c r="B11426" s="3" t="s">
        <v>10916</v>
      </c>
      <c r="C11426" s="3" t="str">
        <f>IFERROR(__xludf.DUMMYFUNCTION("GOOGLETRANSLATE(B11426,""id"",""en"")"),"['My APK', 'Good']")</f>
        <v>['My APK', 'Good']</v>
      </c>
      <c r="D11426" s="3">
        <v>5.0</v>
      </c>
    </row>
    <row r="11427" ht="15.75" customHeight="1">
      <c r="A11427" s="1">
        <v>12170.0</v>
      </c>
      <c r="B11427" s="3" t="s">
        <v>1060</v>
      </c>
      <c r="C11427" s="3" t="str">
        <f>IFERROR(__xludf.DUMMYFUNCTION("GOOGLETRANSLATE(B11427,""id"",""en"")"),"['Increase', ""]")</f>
        <v>['Increase', "]</v>
      </c>
      <c r="D11427" s="3">
        <v>3.0</v>
      </c>
    </row>
    <row r="11428" ht="15.75" customHeight="1">
      <c r="A11428" s="1">
        <v>12171.0</v>
      </c>
      <c r="B11428" s="3" t="s">
        <v>10917</v>
      </c>
      <c r="C11428" s="3" t="str">
        <f>IFERROR(__xludf.DUMMYFUNCTION("GOOGLETRANSLATE(B11428,""id"",""en"")"),"['Telkomsel', 'slow', 'difficult', 'open', '']")</f>
        <v>['Telkomsel', 'slow', 'difficult', 'open', '']</v>
      </c>
      <c r="D11428" s="3">
        <v>4.0</v>
      </c>
    </row>
    <row r="11429" ht="15.75" customHeight="1">
      <c r="A11429" s="1">
        <v>12172.0</v>
      </c>
      <c r="B11429" s="3" t="s">
        <v>10918</v>
      </c>
      <c r="C11429" s="3" t="str">
        <f>IFERROR(__xludf.DUMMYFUNCTION("GOOGLETRANSLATE(B11429,""id"",""en"")"),"['Credit', 'Sumpot', 'Gailalas', 'Package', 'Data', 'Off']")</f>
        <v>['Credit', 'Sumpot', 'Gailalas', 'Package', 'Data', 'Off']</v>
      </c>
      <c r="D11429" s="3">
        <v>5.0</v>
      </c>
    </row>
    <row r="11430" ht="15.75" customHeight="1">
      <c r="A11430" s="1">
        <v>12173.0</v>
      </c>
      <c r="B11430" s="3" t="s">
        <v>10919</v>
      </c>
      <c r="C11430" s="3" t="str">
        <f>IFERROR(__xludf.DUMMYFUNCTION("GOOGLETRANSLATE(B11430,""id"",""en"")"),"['Dour', 'star', 'The application', 'Open', 'Disappointed', '']")</f>
        <v>['Dour', 'star', 'The application', 'Open', 'Disappointed', '']</v>
      </c>
      <c r="D11430" s="3">
        <v>1.0</v>
      </c>
    </row>
    <row r="11431" ht="15.75" customHeight="1">
      <c r="A11431" s="1">
        <v>12175.0</v>
      </c>
      <c r="B11431" s="3" t="s">
        <v>10920</v>
      </c>
      <c r="C11431" s="3" t="str">
        <f>IFERROR(__xludf.DUMMYFUNCTION("GOOGLETRANSLATE(B11431,""id"",""en"")"),"['Disappointed', 'APK', 'Update', 'Nggk', 'go']")</f>
        <v>['Disappointed', 'APK', 'Update', 'Nggk', 'go']</v>
      </c>
      <c r="D11431" s="3">
        <v>1.0</v>
      </c>
    </row>
    <row r="11432" ht="15.75" customHeight="1">
      <c r="A11432" s="1">
        <v>12176.0</v>
      </c>
      <c r="B11432" s="3" t="s">
        <v>10921</v>
      </c>
      <c r="C11432" s="3" t="str">
        <f>IFERROR(__xludf.DUMMYFUNCTION("GOOGLETRANSLATE(B11432,""id"",""en"")"),"['Experience', 'Network', 'Severe', 'Watch', 'Online', 'Safe', 'Main', 'Game', 'Online', 'Network', 'Musnah', 'Kerennn']")</f>
        <v>['Experience', 'Network', 'Severe', 'Watch', 'Online', 'Safe', 'Main', 'Game', 'Online', 'Network', 'Musnah', 'Kerennn']</v>
      </c>
      <c r="D11432" s="3">
        <v>1.0</v>
      </c>
    </row>
    <row r="11433" ht="15.75" customHeight="1">
      <c r="A11433" s="1">
        <v>12177.0</v>
      </c>
      <c r="B11433" s="3" t="s">
        <v>10922</v>
      </c>
      <c r="C11433" s="3" t="str">
        <f>IFERROR(__xludf.DUMMYFUNCTION("GOOGLETRANSLATE(B11433,""id"",""en"")"),"['Glad', 'Application', 'Thank you', 'Telkomsel', ""]")</f>
        <v>['Glad', 'Application', 'Thank you', 'Telkomsel', "]</v>
      </c>
      <c r="D11433" s="3">
        <v>5.0</v>
      </c>
    </row>
    <row r="11434" ht="15.75" customHeight="1">
      <c r="A11434" s="1">
        <v>12178.0</v>
      </c>
      <c r="B11434" s="3" t="s">
        <v>10923</v>
      </c>
      <c r="C11434" s="3" t="str">
        <f>IFERROR(__xludf.DUMMYFUNCTION("GOOGLETRANSLATE(B11434,""id"",""en"")"),"['Boss', 'Open', 'Application', 'Telkomsel', '']")</f>
        <v>['Boss', 'Open', 'Application', 'Telkomsel', '']</v>
      </c>
      <c r="D11434" s="3">
        <v>5.0</v>
      </c>
    </row>
    <row r="11435" ht="15.75" customHeight="1">
      <c r="A11435" s="1">
        <v>12179.0</v>
      </c>
      <c r="B11435" s="3" t="s">
        <v>10924</v>
      </c>
      <c r="C11435" s="3" t="str">
        <f>IFERROR(__xludf.DUMMYFUNCTION("GOOGLETRANSLATE(B11435,""id"",""en"")"),"['Telkomsel', 'buy', 'Package', 'Choose', 'Choose', 'Card', '']")</f>
        <v>['Telkomsel', 'buy', 'Package', 'Choose', 'Choose', 'Card', '']</v>
      </c>
      <c r="D11435" s="3">
        <v>5.0</v>
      </c>
    </row>
    <row r="11436" ht="15.75" customHeight="1">
      <c r="A11436" s="1">
        <v>12180.0</v>
      </c>
      <c r="B11436" s="3" t="s">
        <v>10925</v>
      </c>
      <c r="C11436" s="3" t="str">
        <f>IFERROR(__xludf.DUMMYFUNCTION("GOOGLETRANSLATE(B11436,""id"",""en"")"),"['really like', '']")</f>
        <v>['really like', '']</v>
      </c>
      <c r="D11436" s="3">
        <v>5.0</v>
      </c>
    </row>
    <row r="11437" ht="15.75" customHeight="1">
      <c r="A11437" s="1">
        <v>12181.0</v>
      </c>
      <c r="B11437" s="3" t="s">
        <v>10926</v>
      </c>
      <c r="C11437" s="3" t="str">
        <f>IFERROR(__xludf.DUMMYFUNCTION("GOOGLETRANSLATE(B11437,""id"",""en"")"),"['app', 'opened', 'then', 'buy', 'package', 'different', 'buy', 'app', '']")</f>
        <v>['app', 'opened', 'then', 'buy', 'package', 'different', 'buy', 'app', '']</v>
      </c>
      <c r="D11437" s="3">
        <v>1.0</v>
      </c>
    </row>
    <row r="11438" ht="15.75" customHeight="1">
      <c r="A11438" s="1">
        <v>12182.0</v>
      </c>
      <c r="B11438" s="3" t="s">
        <v>10927</v>
      </c>
      <c r="C11438" s="3" t="str">
        <f>IFERROR(__xludf.DUMMYFUNCTION("GOOGLETRANSLATE(B11438,""id"",""en"")"),"['Bonus']")</f>
        <v>['Bonus']</v>
      </c>
      <c r="D11438" s="3">
        <v>4.0</v>
      </c>
    </row>
    <row r="11439" ht="15.75" customHeight="1">
      <c r="A11439" s="1">
        <v>12183.0</v>
      </c>
      <c r="B11439" s="3" t="s">
        <v>10928</v>
      </c>
      <c r="C11439" s="3" t="str">
        <f>IFERROR(__xludf.DUMMYFUNCTION("GOOGLETRANSLATE(B11439,""id"",""en"")"),"['steady', 'promo', '']")</f>
        <v>['steady', 'promo', '']</v>
      </c>
      <c r="D11439" s="3">
        <v>4.0</v>
      </c>
    </row>
    <row r="11440" ht="15.75" customHeight="1">
      <c r="A11440" s="1">
        <v>12185.0</v>
      </c>
      <c r="B11440" s="3" t="s">
        <v>10929</v>
      </c>
      <c r="C11440" s="3" t="str">
        <f>IFERROR(__xludf.DUMMYFUNCTION("GOOGLETRANSLATE(B11440,""id"",""en"")"),"['kagak', 'entered', 'color', 'white', 'kagak', 'entered', 'woy', 'plis', 'donlod', 'just', 'cheated']")</f>
        <v>['kagak', 'entered', 'color', 'white', 'kagak', 'entered', 'woy', 'plis', 'donlod', 'just', 'cheated']</v>
      </c>
      <c r="D11440" s="3">
        <v>1.0</v>
      </c>
    </row>
    <row r="11441" ht="15.75" customHeight="1">
      <c r="A11441" s="1">
        <v>12186.0</v>
      </c>
      <c r="B11441" s="3" t="s">
        <v>10930</v>
      </c>
      <c r="C11441" s="3" t="str">
        <f>IFERROR(__xludf.DUMMYFUNCTION("GOOGLETRANSLATE(B11441,""id"",""en"")"),"['God', 'min', 'please', 'complement', 'difficult', 'really', 'trs', 'app', 'gini', 'severe', 'seh']")</f>
        <v>['God', 'min', 'please', 'complement', 'difficult', 'really', 'trs', 'app', 'gini', 'severe', 'seh']</v>
      </c>
      <c r="D11441" s="3">
        <v>1.0</v>
      </c>
    </row>
    <row r="11442" ht="15.75" customHeight="1">
      <c r="A11442" s="1">
        <v>12187.0</v>
      </c>
      <c r="B11442" s="3" t="s">
        <v>10931</v>
      </c>
      <c r="C11442" s="3" t="str">
        <f>IFERROR(__xludf.DUMMYFUNCTION("GOOGLETRANSLATE(B11442,""id"",""en"")"),"['Use', 'Android', 'Type', 'Used']")</f>
        <v>['Use', 'Android', 'Type', 'Used']</v>
      </c>
      <c r="D11442" s="3">
        <v>5.0</v>
      </c>
    </row>
    <row r="11443" ht="15.75" customHeight="1">
      <c r="A11443" s="1">
        <v>12188.0</v>
      </c>
      <c r="B11443" s="3" t="s">
        <v>10932</v>
      </c>
      <c r="C11443" s="3" t="str">
        <f>IFERROR(__xludf.DUMMYFUNCTION("GOOGLETRANSLATE(B11443,""id"",""en"")"),"['love', 'star', 'signal', 'rich', 'ajim', 'ugly', 'signal', 'good', 'cave', 'love', 'star', '']")</f>
        <v>['love', 'star', 'signal', 'rich', 'ajim', 'ugly', 'signal', 'good', 'cave', 'love', 'star', '']</v>
      </c>
      <c r="D11443" s="3">
        <v>1.0</v>
      </c>
    </row>
    <row r="11444" ht="15.75" customHeight="1">
      <c r="A11444" s="1">
        <v>12189.0</v>
      </c>
      <c r="B11444" s="3" t="s">
        <v>10933</v>
      </c>
      <c r="C11444" s="3" t="str">
        <f>IFERROR(__xludf.DUMMYFUNCTION("GOOGLETRANSLATE(B11444,""id"",""en"")"),"['satisfied', 'use', 'Telkomsel', 'era', 'blm', 'internet', 'old', 'chat', 'tlpnan', 'quality', 'telkomsel', 'memalankn', ' anti ',' slow ',' signal ',' clear ',' tmpt ',' tmpt ',' mentioned ',' condition ',' skrg even ',' telkomsel ',' jatian ',' interne"&amp;"t ',' ckup ' , 'satisfy', 'ttp', 'best', 'wlau', 'blkgn', 'kerdg', 'like', 'sdkit', 'ngload', 'browsing', 'etc.', 'ttp', ' annoying ',' kaliat ',' chat ',' tlpnan ',' the rest ',' dikatakn ',' memalankn ',' pokonya ',' telkomsel ',' ttp ',' best ',' heart"&amp;" ',' thanks' , 'yaa']")</f>
        <v>['satisfied', 'use', 'Telkomsel', 'era', 'blm', 'internet', 'old', 'chat', 'tlpnan', 'quality', 'telkomsel', 'memalankn', ' anti ',' slow ',' signal ',' clear ',' tmpt ',' tmpt ',' mentioned ',' condition ',' skrg even ',' telkomsel ',' jatian ',' internet ',' ckup ' , 'satisfy', 'ttp', 'best', 'wlau', 'blkgn', 'kerdg', 'like', 'sdkit', 'ngload', 'browsing', 'etc.', 'ttp', ' annoying ',' kaliat ',' chat ',' tlpnan ',' the rest ',' dikatakn ',' memalankn ',' pokonya ',' telkomsel ',' ttp ',' best ',' heart ',' thanks' , 'yaa']</v>
      </c>
      <c r="D11444" s="3">
        <v>5.0</v>
      </c>
    </row>
    <row r="11445" ht="15.75" customHeight="1">
      <c r="A11445" s="1">
        <v>12190.0</v>
      </c>
      <c r="B11445" s="3" t="s">
        <v>10934</v>
      </c>
      <c r="C11445" s="3" t="str">
        <f>IFERROR(__xludf.DUMMYFUNCTION("GOOGLETRANSLATE(B11445,""id"",""en"")"),"['Cheap', 'Doank', 'Package', 'Data']")</f>
        <v>['Cheap', 'Doank', 'Package', 'Data']</v>
      </c>
      <c r="D11445" s="3">
        <v>5.0</v>
      </c>
    </row>
    <row r="11446" ht="15.75" customHeight="1">
      <c r="A11446" s="1">
        <v>12191.0</v>
      </c>
      <c r="B11446" s="3" t="s">
        <v>10935</v>
      </c>
      <c r="C11446" s="3" t="str">
        <f>IFERROR(__xludf.DUMMYFUNCTION("GOOGLETRANSLATE(B11446,""id"",""en"")"),"['bang', 'pulse', 'koh', 'reduced', 'buy', 'buy', ""]")</f>
        <v>['bang', 'pulse', 'koh', 'reduced', 'buy', 'buy', "]</v>
      </c>
      <c r="D11446" s="3">
        <v>5.0</v>
      </c>
    </row>
    <row r="11447" ht="15.75" customHeight="1">
      <c r="A11447" s="1">
        <v>12192.0</v>
      </c>
      <c r="B11447" s="3" t="s">
        <v>10936</v>
      </c>
      <c r="C11447" s="3" t="str">
        <f>IFERROR(__xludf.DUMMYFUNCTION("GOOGLETRANSLATE(B11447,""id"",""en"")"),"['Application', 'bapuk', 'bsa', 'open']")</f>
        <v>['Application', 'bapuk', 'bsa', 'open']</v>
      </c>
      <c r="D11447" s="3">
        <v>1.0</v>
      </c>
    </row>
    <row r="11448" ht="15.75" customHeight="1">
      <c r="A11448" s="1">
        <v>12193.0</v>
      </c>
      <c r="B11448" s="3" t="s">
        <v>10937</v>
      </c>
      <c r="C11448" s="3" t="str">
        <f>IFERROR(__xludf.DUMMYFUNCTION("GOOGLETRANSLATE(B11448,""id"",""en"")"),"['buy', 'package', 'cheap', 'really', 'thanks', 'yaa', '']")</f>
        <v>['buy', 'package', 'cheap', 'really', 'thanks', 'yaa', '']</v>
      </c>
      <c r="D11448" s="3">
        <v>5.0</v>
      </c>
    </row>
    <row r="11449" ht="15.75" customHeight="1">
      <c r="A11449" s="1">
        <v>12194.0</v>
      </c>
      <c r="B11449" s="3" t="s">
        <v>10938</v>
      </c>
      <c r="C11449" s="3" t="str">
        <f>IFERROR(__xludf.DUMMYFUNCTION("GOOGLETRANSLATE(B11449,""id"",""en"")"),"['Application', 'Ampas', 'Open']")</f>
        <v>['Application', 'Ampas', 'Open']</v>
      </c>
      <c r="D11449" s="3">
        <v>1.0</v>
      </c>
    </row>
    <row r="11450" ht="15.75" customHeight="1">
      <c r="A11450" s="1">
        <v>12195.0</v>
      </c>
      <c r="B11450" s="3" t="s">
        <v>10939</v>
      </c>
      <c r="C11450" s="3" t="str">
        <f>IFERROR(__xludf.DUMMYFUNCTION("GOOGLETRANSLATE(B11450,""id"",""en"")"),"['Reach', 'Luaa', 'Signal', 'Kenceng', 'Current', 'Promo', 'Points', 'Points', 'Cashback', 'Dahsyat']")</f>
        <v>['Reach', 'Luaa', 'Signal', 'Kenceng', 'Current', 'Promo', 'Points', 'Points', 'Cashback', 'Dahsyat']</v>
      </c>
      <c r="D11450" s="3">
        <v>5.0</v>
      </c>
    </row>
    <row r="11451" ht="15.75" customHeight="1">
      <c r="A11451" s="1">
        <v>12196.0</v>
      </c>
      <c r="B11451" s="3" t="s">
        <v>10940</v>
      </c>
      <c r="C11451" s="3" t="str">
        <f>IFERROR(__xludf.DUMMYFUNCTION("GOOGLETRANSLATE(B11451,""id"",""en"")"),"['Lemooooot', 'really', 'Open', 'The application', 'think', 'family', 'colleague']")</f>
        <v>['Lemooooot', 'really', 'Open', 'The application', 'think', 'family', 'colleague']</v>
      </c>
      <c r="D11451" s="3">
        <v>2.0</v>
      </c>
    </row>
    <row r="11452" ht="15.75" customHeight="1">
      <c r="A11452" s="1">
        <v>12197.0</v>
      </c>
      <c r="B11452" s="3" t="s">
        <v>10941</v>
      </c>
      <c r="C11452" s="3" t="str">
        <f>IFERROR(__xludf.DUMMYFUNCTION("GOOGLETRANSLATE(B11452,""id"",""en"")"),"['The APK', 'ugly', 'already', 'cut', 'pulses', 'quota', 'enter']")</f>
        <v>['The APK', 'ugly', 'already', 'cut', 'pulses', 'quota', 'enter']</v>
      </c>
      <c r="D11452" s="3">
        <v>1.0</v>
      </c>
    </row>
    <row r="11453" ht="15.75" customHeight="1">
      <c r="A11453" s="1">
        <v>12198.0</v>
      </c>
      <c r="B11453" s="3" t="s">
        <v>10942</v>
      </c>
      <c r="C11453" s="3" t="str">
        <f>IFERROR(__xludf.DUMMYFUNCTION("GOOGLETRANSLATE(B11453,""id"",""en"")"),"['boss', 'ku', 'application', 'telk', 'open', 'perhaps', '']")</f>
        <v>['boss', 'ku', 'application', 'telk', 'open', 'perhaps', '']</v>
      </c>
      <c r="D11453" s="3">
        <v>5.0</v>
      </c>
    </row>
    <row r="11454" ht="15.75" customHeight="1">
      <c r="A11454" s="1">
        <v>12199.0</v>
      </c>
      <c r="B11454" s="3" t="s">
        <v>10943</v>
      </c>
      <c r="C11454" s="3" t="str">
        <f>IFERROR(__xludf.DUMMYFUNCTION("GOOGLETRANSLATE(B11454,""id"",""en"")"),"['MyTelkomsel', 'open', 'tks']")</f>
        <v>['MyTelkomsel', 'open', 'tks']</v>
      </c>
      <c r="D11454" s="3">
        <v>1.0</v>
      </c>
    </row>
    <row r="11455" ht="15.75" customHeight="1">
      <c r="A11455" s="1">
        <v>12200.0</v>
      </c>
      <c r="B11455" s="3" t="s">
        <v>10944</v>
      </c>
      <c r="C11455" s="3" t="str">
        <f>IFERROR(__xludf.DUMMYFUNCTION("GOOGLETRANSLATE(B11455,""id"",""en"")"),"['Good', 'just', 'loading', 'really', 'error', 'blank', 'white', 'APK', 'opened']")</f>
        <v>['Good', 'just', 'loading', 'really', 'error', 'blank', 'white', 'APK', 'opened']</v>
      </c>
      <c r="D11455" s="3">
        <v>1.0</v>
      </c>
    </row>
    <row r="11456" ht="15.75" customHeight="1">
      <c r="A11456" s="1">
        <v>12201.0</v>
      </c>
      <c r="B11456" s="3" t="s">
        <v>10945</v>
      </c>
      <c r="C11456" s="3" t="str">
        <f>IFERROR(__xludf.DUMMYFUNCTION("GOOGLETRANSLATE(B11456,""id"",""en"")"),"['Disappointed', 'application', 'skrg', 'star', 'subtract', 'sampe', 'application', 'use']")</f>
        <v>['Disappointed', 'application', 'skrg', 'star', 'subtract', 'sampe', 'application', 'use']</v>
      </c>
      <c r="D11456" s="3">
        <v>1.0</v>
      </c>
    </row>
    <row r="11457" ht="15.75" customHeight="1">
      <c r="A11457" s="1">
        <v>12202.0</v>
      </c>
      <c r="B11457" s="3" t="s">
        <v>10946</v>
      </c>
      <c r="C11457" s="3" t="str">
        <f>IFERROR(__xludf.DUMMYFUNCTION("GOOGLETRANSLATE(B11457,""id"",""en"")"),"['Open', 'really', 'UDH', 'Diemin']")</f>
        <v>['Open', 'really', 'UDH', 'Diemin']</v>
      </c>
      <c r="D11457" s="3">
        <v>1.0</v>
      </c>
    </row>
    <row r="11458" ht="15.75" customHeight="1">
      <c r="A11458" s="1">
        <v>12203.0</v>
      </c>
      <c r="B11458" s="3" t="s">
        <v>8508</v>
      </c>
      <c r="C11458" s="3" t="str">
        <f>IFERROR(__xludf.DUMMYFUNCTION("GOOGLETRANSLATE(B11458,""id"",""en"")"),"['The application', 'Gabisa', 'opened', '']")</f>
        <v>['The application', 'Gabisa', 'opened', '']</v>
      </c>
      <c r="D11458" s="3">
        <v>2.0</v>
      </c>
    </row>
    <row r="11459" ht="15.75" customHeight="1">
      <c r="A11459" s="1">
        <v>12204.0</v>
      </c>
      <c r="B11459" s="3" t="s">
        <v>10947</v>
      </c>
      <c r="C11459" s="3" t="str">
        <f>IFERROR(__xludf.DUMMYFUNCTION("GOOGLETRANSLATE(B11459,""id"",""en"")"),"['Knp', 'Telkomselku', 'Open']")</f>
        <v>['Knp', 'Telkomselku', 'Open']</v>
      </c>
      <c r="D11459" s="3">
        <v>1.0</v>
      </c>
    </row>
    <row r="11460" ht="15.75" customHeight="1">
      <c r="A11460" s="1">
        <v>12205.0</v>
      </c>
      <c r="B11460" s="3" t="s">
        <v>10948</v>
      </c>
      <c r="C11460" s="3" t="str">
        <f>IFERROR(__xludf.DUMMYFUNCTION("GOOGLETRANSLATE(B11460,""id"",""en"")"),"['Tlong', 'Jaringn', 'Telkomsel', 'Fix', 'Customer', 'Satisfied']")</f>
        <v>['Tlong', 'Jaringn', 'Telkomsel', 'Fix', 'Customer', 'Satisfied']</v>
      </c>
      <c r="D11460" s="3">
        <v>5.0</v>
      </c>
    </row>
    <row r="11461" ht="15.75" customHeight="1">
      <c r="A11461" s="1">
        <v>12206.0</v>
      </c>
      <c r="B11461" s="3" t="s">
        <v>10949</v>
      </c>
      <c r="C11461" s="3" t="str">
        <f>IFERROR(__xludf.DUMMYFUNCTION("GOOGLETRANSLATE(B11461,""id"",""en"")"),"['See', 'Package', 'On', 'Happy', 'Bngt', 'Buy', 'Credit', 'then', 'Buy', 'Package', 'Active', 'No', ' taunya ',' writing ',' connection ',' signal ',' full ',' no ',' that's', 'error', 'please', 'explained', 'min', 'already', 'love', 'love' , 'Bngt', 'Am"&amp;"a', 'Telkomsel', '']")</f>
        <v>['See', 'Package', 'On', 'Happy', 'Bngt', 'Buy', 'Credit', 'then', 'Buy', 'Package', 'Active', 'No', ' taunya ',' writing ',' connection ',' signal ',' full ',' no ',' that's', 'error', 'please', 'explained', 'min', 'already', 'love', 'love' , 'Bngt', 'Ama', 'Telkomsel', '']</v>
      </c>
      <c r="D11461" s="3">
        <v>3.0</v>
      </c>
    </row>
    <row r="11462" ht="15.75" customHeight="1">
      <c r="A11462" s="1">
        <v>12207.0</v>
      </c>
      <c r="B11462" s="3" t="s">
        <v>10950</v>
      </c>
      <c r="C11462" s="3" t="str">
        <f>IFERROR(__xludf.DUMMYFUNCTION("GOOGLETRANSLATE(B11462,""id"",""en"")"),"['Bonus', 'GB', 'Cheap', 'Paketan']")</f>
        <v>['Bonus', 'GB', 'Cheap', 'Paketan']</v>
      </c>
      <c r="D11462" s="3">
        <v>5.0</v>
      </c>
    </row>
    <row r="11463" ht="15.75" customHeight="1">
      <c r="A11463" s="1">
        <v>12208.0</v>
      </c>
      <c r="B11463" s="3" t="s">
        <v>10951</v>
      </c>
      <c r="C11463" s="3" t="str">
        <f>IFERROR(__xludf.DUMMYFUNCTION("GOOGLETRANSLATE(B11463,""id"",""en"")"),"['move', 'gadget', 'blank', 'white', 'how', 'Telkomsel', 'buy', 'package']")</f>
        <v>['move', 'gadget', 'blank', 'white', 'how', 'Telkomsel', 'buy', 'package']</v>
      </c>
      <c r="D11463" s="3">
        <v>1.0</v>
      </c>
    </row>
    <row r="11464" ht="15.75" customHeight="1">
      <c r="A11464" s="1">
        <v>12209.0</v>
      </c>
      <c r="B11464" s="3" t="s">
        <v>10952</v>
      </c>
      <c r="C11464" s="3" t="str">
        <f>IFERROR(__xludf.DUMMYFUNCTION("GOOGLETRANSLATE(B11464,""id"",""en"")"),"['Package', 'expensive', 'expensive', ""]")</f>
        <v>['Package', 'expensive', 'expensive', "]</v>
      </c>
      <c r="D11464" s="3">
        <v>1.0</v>
      </c>
    </row>
    <row r="11465" ht="15.75" customHeight="1">
      <c r="A11465" s="1">
        <v>12210.0</v>
      </c>
      <c r="B11465" s="3" t="s">
        <v>10953</v>
      </c>
      <c r="C11465" s="3" t="str">
        <f>IFERROR(__xludf.DUMMYFUNCTION("GOOGLETRANSLATE(B11465,""id"",""en"")"),"['yaa', 'open', 'Telkomsel', 'white', 'screen', ""]")</f>
        <v>['yaa', 'open', 'Telkomsel', 'white', 'screen', "]</v>
      </c>
      <c r="D11465" s="3">
        <v>4.0</v>
      </c>
    </row>
    <row r="11466" ht="15.75" customHeight="1">
      <c r="A11466" s="1">
        <v>12211.0</v>
      </c>
      <c r="B11466" s="3" t="s">
        <v>10954</v>
      </c>
      <c r="C11466" s="3" t="str">
        <f>IFERROR(__xludf.DUMMYFUNCTION("GOOGLETRANSLATE(B11466,""id"",""en"")"),"['The application', 'opened', 'Dihp', '']")</f>
        <v>['The application', 'opened', 'Dihp', '']</v>
      </c>
      <c r="D11466" s="3">
        <v>1.0</v>
      </c>
    </row>
    <row r="11467" ht="15.75" customHeight="1">
      <c r="A11467" s="1">
        <v>12212.0</v>
      </c>
      <c r="B11467" s="3" t="s">
        <v>10955</v>
      </c>
      <c r="C11467" s="3" t="str">
        <f>IFERROR(__xludf.DUMMYFUNCTION("GOOGLETRANSLATE(B11467,""id"",""en"")"),"['network', 'Telkomsel', 'city', 'Jambi', 'slow', 'really', 'DTK', 'already', 'lbh', 'yrs',' housing ',' replace ',' Keyang ']")</f>
        <v>['network', 'Telkomsel', 'city', 'Jambi', 'slow', 'really', 'DTK', 'already', 'lbh', 'yrs',' housing ',' replace ',' Keyang ']</v>
      </c>
      <c r="D11467" s="3">
        <v>3.0</v>
      </c>
    </row>
    <row r="11468" ht="15.75" customHeight="1">
      <c r="A11468" s="1">
        <v>12213.0</v>
      </c>
      <c r="B11468" s="3" t="s">
        <v>10956</v>
      </c>
      <c r="C11468" s="3" t="str">
        <f>IFERROR(__xludf.DUMMYFUNCTION("GOOGLETRANSLATE(B11468,""id"",""en"")"),"['Point', 'Package']")</f>
        <v>['Point', 'Package']</v>
      </c>
      <c r="D11468" s="3">
        <v>3.0</v>
      </c>
    </row>
    <row r="11469" ht="15.75" customHeight="1">
      <c r="A11469" s="1">
        <v>12214.0</v>
      </c>
      <c r="B11469" s="3" t="s">
        <v>10957</v>
      </c>
      <c r="C11469" s="3" t="str">
        <f>IFERROR(__xludf.DUMMYFUNCTION("GOOGLETRANSLATE(B11469,""id"",""en"")"),"['Ohh', 'dlondong', 'already', 'update', 'update', 'open', 'gimnana', 'sihh', '']")</f>
        <v>['Ohh', 'dlondong', 'already', 'update', 'update', 'open', 'gimnana', 'sihh', '']</v>
      </c>
      <c r="D11469" s="3">
        <v>1.0</v>
      </c>
    </row>
    <row r="11470" ht="15.75" customHeight="1">
      <c r="A11470" s="1">
        <v>12215.0</v>
      </c>
      <c r="B11470" s="3" t="s">
        <v>10958</v>
      </c>
      <c r="C11470" s="3" t="str">
        <f>IFERROR(__xludf.DUMMYFUNCTION("GOOGLETRANSLATE(B11470,""id"",""en"")"),"['Sorry', 'Kuragin', 'Star', 'Sahaya', 'Price', 'Package', 'Expensive', 'Eligible', 'Telkomsel', 'Lowering', 'Price', 'Nati', ' Love ',' bintag ',' ']")</f>
        <v>['Sorry', 'Kuragin', 'Star', 'Sahaya', 'Price', 'Package', 'Expensive', 'Eligible', 'Telkomsel', 'Lowering', 'Price', 'Nati', ' Love ',' bintag ',' ']</v>
      </c>
      <c r="D11470" s="3">
        <v>2.0</v>
      </c>
    </row>
    <row r="11471" ht="15.75" customHeight="1">
      <c r="A11471" s="1">
        <v>12216.0</v>
      </c>
      <c r="B11471" s="3" t="s">
        <v>10959</v>
      </c>
      <c r="C11471" s="3" t="str">
        <f>IFERROR(__xludf.DUMMYFUNCTION("GOOGLETRANSLATE(B11471,""id"",""en"")"),"['already', 'tired', 'tired', 'spend', 'quota', 'download', 'open', 'according to', 'ad', '']")</f>
        <v>['already', 'tired', 'tired', 'spend', 'quota', 'download', 'open', 'according to', 'ad', '']</v>
      </c>
      <c r="D11471" s="3">
        <v>1.0</v>
      </c>
    </row>
    <row r="11472" ht="15.75" customHeight="1">
      <c r="A11472" s="1">
        <v>12217.0</v>
      </c>
      <c r="B11472" s="3" t="s">
        <v>10960</v>
      </c>
      <c r="C11472" s="3" t="str">
        <f>IFERROR(__xludf.DUMMYFUNCTION("GOOGLETRANSLATE(B11472,""id"",""en"")"),"['ugly', 'Telkomsel', 'rain', 'signal', 'lost', 'lose', 'operator', ""]")</f>
        <v>['ugly', 'Telkomsel', 'rain', 'signal', 'lost', 'lose', 'operator', "]</v>
      </c>
      <c r="D11472" s="3">
        <v>1.0</v>
      </c>
    </row>
    <row r="11473" ht="15.75" customHeight="1">
      <c r="A11473" s="1">
        <v>12218.0</v>
      </c>
      <c r="B11473" s="3" t="s">
        <v>10961</v>
      </c>
      <c r="C11473" s="3" t="str">
        <f>IFERROR(__xludf.DUMMYFUNCTION("GOOGLETRANSLATE(B11473,""id"",""en"")"),"['My', 'people', 'how good', 'complained', 'App', 'Telkomsel', 'opened', 'Severe', 'Telkomsel', '']")</f>
        <v>['My', 'people', 'how good', 'complained', 'App', 'Telkomsel', 'opened', 'Severe', 'Telkomsel', '']</v>
      </c>
      <c r="D11473" s="3">
        <v>1.0</v>
      </c>
    </row>
    <row r="11474" ht="15.75" customHeight="1">
      <c r="A11474" s="1">
        <v>12219.0</v>
      </c>
      <c r="B11474" s="3" t="s">
        <v>10962</v>
      </c>
      <c r="C11474" s="3" t="str">
        <f>IFERROR(__xludf.DUMMYFUNCTION("GOOGLETRANSLATE(B11474,""id"",""en"")"),"['knapa', 'bika']")</f>
        <v>['knapa', 'bika']</v>
      </c>
      <c r="D11474" s="3">
        <v>5.0</v>
      </c>
    </row>
    <row r="11475" ht="15.75" customHeight="1">
      <c r="A11475" s="1">
        <v>12220.0</v>
      </c>
      <c r="B11475" s="3" t="s">
        <v>10963</v>
      </c>
      <c r="C11475" s="3" t="str">
        <f>IFERROR(__xludf.DUMMYFUNCTION("GOOGLETRANSLATE(B11475,""id"",""en"")"),"['unfortunate', 'quota', 'main', 'priority', 'quota', 'nomat', 'youtube', 'sosmed', 'cut', 'quota', 'utamanyadulu', 'quota', ' The main ',' run out ',' quota ',' nomat ',' gabisa ',' used ']")</f>
        <v>['unfortunate', 'quota', 'main', 'priority', 'quota', 'nomat', 'youtube', 'sosmed', 'cut', 'quota', 'utamanyadulu', 'quota', ' The main ',' run out ',' quota ',' nomat ',' gabisa ',' used ']</v>
      </c>
      <c r="D11475" s="3">
        <v>1.0</v>
      </c>
    </row>
    <row r="11476" ht="15.75" customHeight="1">
      <c r="A11476" s="1">
        <v>12221.0</v>
      </c>
      <c r="B11476" s="3" t="s">
        <v>10964</v>
      </c>
      <c r="C11476" s="3" t="str">
        <f>IFERROR(__xludf.DUMMYFUNCTION("GOOGLETRANSLATE(B11476,""id"",""en"")"),"['Sis', 'GMN', 'APK', 'Error', 'Login', 'Loading', 'TRS', 'White', 'TRS', 'Nge', 'Stuck']")</f>
        <v>['Sis', 'GMN', 'APK', 'Error', 'Login', 'Loading', 'TRS', 'White', 'TRS', 'Nge', 'Stuck']</v>
      </c>
      <c r="D11476" s="3">
        <v>1.0</v>
      </c>
    </row>
    <row r="11477" ht="15.75" customHeight="1">
      <c r="A11477" s="1">
        <v>12222.0</v>
      </c>
      <c r="B11477" s="3" t="s">
        <v>10965</v>
      </c>
      <c r="C11477" s="3" t="str">
        <f>IFERROR(__xludf.DUMMYFUNCTION("GOOGLETRANSLATE(B11477,""id"",""en"")"),"['Telkomsel', 'Telkomsel', 'Sya', 'customers',' loyal ',' open ',' application ',' Telkomsel ',' Behh ',' Severe ',' Mimin ',' Mimin ',' Mimin ',' Mimin ',' Mimin ', ""]")</f>
        <v>['Telkomsel', 'Telkomsel', 'Sya', 'customers',' loyal ',' open ',' application ',' Telkomsel ',' Behh ',' Severe ',' Mimin ',' Mimin ',' Mimin ',' Mimin ',' Mimin ', "]</v>
      </c>
      <c r="D11477" s="3">
        <v>1.0</v>
      </c>
    </row>
    <row r="11478" ht="15.75" customHeight="1">
      <c r="A11478" s="1">
        <v>12223.0</v>
      </c>
      <c r="B11478" s="3" t="s">
        <v>10966</v>
      </c>
      <c r="C11478" s="3" t="str">
        <f>IFERROR(__xludf.DUMMYFUNCTION("GOOGLETRANSLATE(B11478,""id"",""en"")"),"['already', 'update', 'opened', 'severe']")</f>
        <v>['already', 'update', 'opened', 'severe']</v>
      </c>
      <c r="D11478" s="3">
        <v>1.0</v>
      </c>
    </row>
    <row r="11479" ht="15.75" customHeight="1">
      <c r="A11479" s="1">
        <v>12224.0</v>
      </c>
      <c r="B11479" s="3" t="s">
        <v>10967</v>
      </c>
      <c r="C11479" s="3" t="str">
        <f>IFERROR(__xludf.DUMMYFUNCTION("GOOGLETRANSLATE(B11479,""id"",""en"")"),"['disorder', 'opened']")</f>
        <v>['disorder', 'opened']</v>
      </c>
      <c r="D11479" s="3">
        <v>1.0</v>
      </c>
    </row>
    <row r="11480" ht="15.75" customHeight="1">
      <c r="A11480" s="1">
        <v>12225.0</v>
      </c>
      <c r="B11480" s="3" t="s">
        <v>10968</v>
      </c>
      <c r="C11480" s="3" t="str">
        <f>IFERROR(__xludf.DUMMYFUNCTION("GOOGLETRANSLATE(B11480,""id"",""en"")"),"['Telkomsel', 'signal', 'ugly', 'bet', 'edit', 'signal', 'already', 'good', 'min', 'stay', 'locking', 'pulses',' perman ',' price ',' quota ']")</f>
        <v>['Telkomsel', 'signal', 'ugly', 'bet', 'edit', 'signal', 'already', 'good', 'min', 'stay', 'locking', 'pulses',' perman ',' price ',' quota ']</v>
      </c>
      <c r="D11480" s="3">
        <v>1.0</v>
      </c>
    </row>
    <row r="11481" ht="15.75" customHeight="1">
      <c r="A11481" s="1">
        <v>12226.0</v>
      </c>
      <c r="B11481" s="3" t="s">
        <v>10969</v>
      </c>
      <c r="C11481" s="3" t="str">
        <f>IFERROR(__xludf.DUMMYFUNCTION("GOOGLETRANSLATE(B11481,""id"",""en"")"),"['easy', 'help', 'usage', 'quota', 'unlimitide', 'used', 'quota', 'main', 'run out', 'good', 'separated', 'thanks',' ']")</f>
        <v>['easy', 'help', 'usage', 'quota', 'unlimitide', 'used', 'quota', 'main', 'run out', 'good', 'separated', 'thanks',' ']</v>
      </c>
      <c r="D11481" s="3">
        <v>4.0</v>
      </c>
    </row>
    <row r="11482" ht="15.75" customHeight="1">
      <c r="A11482" s="1">
        <v>12227.0</v>
      </c>
      <c r="B11482" s="3" t="s">
        <v>10970</v>
      </c>
      <c r="C11482" s="3" t="str">
        <f>IFERROR(__xludf.DUMMYFUNCTION("GOOGLETRANSLATE(B11482,""id"",""en"")"),"['Price', 'package', 'expensive', '']")</f>
        <v>['Price', 'package', 'expensive', '']</v>
      </c>
      <c r="D11482" s="3">
        <v>4.0</v>
      </c>
    </row>
    <row r="11483" ht="15.75" customHeight="1">
      <c r="A11483" s="1">
        <v>12228.0</v>
      </c>
      <c r="B11483" s="3" t="s">
        <v>10971</v>
      </c>
      <c r="C11483" s="3" t="str">
        <f>IFERROR(__xludf.DUMMYFUNCTION("GOOGLETRANSLATE(B11483,""id"",""en"")"),"['network', 'Telkomsel', 'poor', 'slow']")</f>
        <v>['network', 'Telkomsel', 'poor', 'slow']</v>
      </c>
      <c r="D11483" s="3">
        <v>2.0</v>
      </c>
    </row>
    <row r="11484" ht="15.75" customHeight="1">
      <c r="A11484" s="1">
        <v>12229.0</v>
      </c>
      <c r="B11484" s="3" t="s">
        <v>10972</v>
      </c>
      <c r="C11484" s="3" t="str">
        <f>IFERROR(__xludf.DUMMYFUNCTION("GOOGLETRANSLATE(B11484,""id"",""en"")"),"['Disappointed', 'Pooll', 'Leet', 'Let', 'Let', 'Uda', 'SMPT', 'Pre', 'Pay', 'MLH', 'Leet', 'Kultungan', ' The area ',' SBY ',' THN ',' BLN ',' Has Been ',' Simpati ',' Change ',' Leet ',' Let ',' Let ']")</f>
        <v>['Disappointed', 'Pooll', 'Leet', 'Let', 'Let', 'Uda', 'SMPT', 'Pre', 'Pay', 'MLH', 'Leet', 'Kultungan', ' The area ',' SBY ',' THN ',' BLN ',' Has Been ',' Simpati ',' Change ',' Leet ',' Let ',' Let ']</v>
      </c>
      <c r="D11484" s="3">
        <v>1.0</v>
      </c>
    </row>
    <row r="11485" ht="15.75" customHeight="1">
      <c r="A11485" s="1">
        <v>12230.0</v>
      </c>
      <c r="B11485" s="3" t="s">
        <v>10973</v>
      </c>
      <c r="C11485" s="3" t="str">
        <f>IFERROR(__xludf.DUMMYFUNCTION("GOOGLETRANSLATE(B11485,""id"",""en"")"),"['Blank', 'White', 'Application', 'Function', '']")</f>
        <v>['Blank', 'White', 'Application', 'Function', '']</v>
      </c>
      <c r="D11485" s="3">
        <v>1.0</v>
      </c>
    </row>
    <row r="11486" ht="15.75" customHeight="1">
      <c r="A11486" s="1">
        <v>12231.0</v>
      </c>
      <c r="B11486" s="3" t="s">
        <v>10974</v>
      </c>
      <c r="C11486" s="3" t="str">
        <f>IFERROR(__xludf.DUMMYFUNCTION("GOOGLETRANSLATE(B11486,""id"",""en"")"),"['Even now', 'APK', 'BSA', 'Samaran']")</f>
        <v>['Even now', 'APK', 'BSA', 'Samaran']</v>
      </c>
      <c r="D11486" s="3">
        <v>1.0</v>
      </c>
    </row>
    <row r="11487" ht="15.75" customHeight="1">
      <c r="A11487" s="1">
        <v>12232.0</v>
      </c>
      <c r="B11487" s="3" t="s">
        <v>10975</v>
      </c>
      <c r="C11487" s="3" t="str">
        <f>IFERROR(__xludf.DUMMYFUNCTION("GOOGLETRANSLATE(B11487,""id"",""en"")"),"['Increases',' quality ',' service ',' Telkomsel ',' program ',' gift ',' people ',' difficult ',' gift ',' network ',' bad ',' good ',' Application ',' special ',' area ',' signal ',' data ',' ']")</f>
        <v>['Increases',' quality ',' service ',' Telkomsel ',' program ',' gift ',' people ',' difficult ',' gift ',' network ',' bad ',' good ',' Application ',' special ',' area ',' signal ',' data ',' ']</v>
      </c>
      <c r="D11487" s="3">
        <v>1.0</v>
      </c>
    </row>
    <row r="11488" ht="15.75" customHeight="1">
      <c r="A11488" s="1">
        <v>12233.0</v>
      </c>
      <c r="B11488" s="3" t="s">
        <v>10976</v>
      </c>
      <c r="C11488" s="3" t="str">
        <f>IFERROR(__xludf.DUMMYFUNCTION("GOOGLETRANSLATE(B11488,""id"",""en"")"),"['JDI', 'expensive', 'price', 'package']")</f>
        <v>['JDI', 'expensive', 'price', 'package']</v>
      </c>
      <c r="D11488" s="3">
        <v>5.0</v>
      </c>
    </row>
    <row r="11489" ht="15.75" customHeight="1">
      <c r="A11489" s="1">
        <v>12234.0</v>
      </c>
      <c r="B11489" s="3" t="s">
        <v>10977</v>
      </c>
      <c r="C11489" s="3" t="str">
        <f>IFERROR(__xludf.DUMMYFUNCTION("GOOGLETRANSLATE(B11489,""id"",""en"")"),"['Application', 'installed', 'open', 'blank', 'click', 'appear', 'screen', 'white', 'said', 'internet', 'slow', 'provider', ' Telkomsel ',' internet ',' fast ',' ']")</f>
        <v>['Application', 'installed', 'open', 'blank', 'click', 'appear', 'screen', 'white', 'said', 'internet', 'slow', 'provider', ' Telkomsel ',' internet ',' fast ',' ']</v>
      </c>
      <c r="D11489" s="3">
        <v>1.0</v>
      </c>
    </row>
    <row r="11490" ht="15.75" customHeight="1">
      <c r="A11490" s="1">
        <v>12235.0</v>
      </c>
      <c r="B11490" s="3" t="s">
        <v>10978</v>
      </c>
      <c r="C11490" s="3" t="str">
        <f>IFERROR(__xludf.DUMMYFUNCTION("GOOGLETRANSLATE(B11490,""id"",""en"")"),"['Bug', 'Open', 'Samsung', 'Uninstall', 'Install', 'Bug', 'Please', 'Fix', 'System', 'Admin', 'A Week', 'Number', ' Login ',' Apps', 'Telkomsel', 'Bug', 'Login', '']")</f>
        <v>['Bug', 'Open', 'Samsung', 'Uninstall', 'Install', 'Bug', 'Please', 'Fix', 'System', 'Admin', 'A Week', 'Number', ' Login ',' Apps', 'Telkomsel', 'Bug', 'Login', '']</v>
      </c>
      <c r="D11490" s="3">
        <v>1.0</v>
      </c>
    </row>
    <row r="11491" ht="15.75" customHeight="1">
      <c r="A11491" s="1">
        <v>12236.0</v>
      </c>
      <c r="B11491" s="3" t="s">
        <v>10979</v>
      </c>
      <c r="C11491" s="3" t="str">
        <f>IFERROR(__xludf.DUMMYFUNCTION("GOOGLETRANSLATE(B11491,""id"",""en"")"),"['APK's', 'open', 'how', 'buy', 'quota']")</f>
        <v>['APK's', 'open', 'how', 'buy', 'quota']</v>
      </c>
      <c r="D11491" s="3">
        <v>1.0</v>
      </c>
    </row>
    <row r="11492" ht="15.75" customHeight="1">
      <c r="A11492" s="1">
        <v>12237.0</v>
      </c>
      <c r="B11492" s="3" t="s">
        <v>3222</v>
      </c>
      <c r="C11492" s="3" t="str">
        <f>IFERROR(__xludf.DUMMYFUNCTION("GOOGLETRANSLATE(B11492,""id"",""en"")"),"['satisfying', '']")</f>
        <v>['satisfying', '']</v>
      </c>
      <c r="D11492" s="3">
        <v>5.0</v>
      </c>
    </row>
    <row r="11493" ht="15.75" customHeight="1">
      <c r="A11493" s="1">
        <v>12238.0</v>
      </c>
      <c r="B11493" s="3" t="s">
        <v>10980</v>
      </c>
      <c r="C11493" s="3" t="str">
        <f>IFERROR(__xludf.DUMMYFUNCTION("GOOGLETRANSLATE(B11493,""id"",""en"")"),"['Application', 'pictured', 'Page', 'White', 'Android', 'Version', 'Cook', 'Compatible', 'Friends',' Version ',' Please ',' Telkomsel ',' The servant ']")</f>
        <v>['Application', 'pictured', 'Page', 'White', 'Android', 'Version', 'Cook', 'Compatible', 'Friends',' Version ',' Please ',' Telkomsel ',' The servant ']</v>
      </c>
      <c r="D11493" s="3">
        <v>1.0</v>
      </c>
    </row>
    <row r="11494" ht="15.75" customHeight="1">
      <c r="A11494" s="1">
        <v>12239.0</v>
      </c>
      <c r="B11494" s="3" t="s">
        <v>10981</v>
      </c>
      <c r="C11494" s="3" t="str">
        <f>IFERROR(__xludf.DUMMYFUNCTION("GOOGLETRANSLATE(B11494,""id"",""en"")"),"['Package', 'Unlimited', 'YouTube', 'No', 'Take', 'Quota', 'Main', 'Report', 'Love', 'Proof', 'Have', 'Wait', ' Krmarin ',' clarity ',' ']")</f>
        <v>['Package', 'Unlimited', 'YouTube', 'No', 'Take', 'Quota', 'Main', 'Report', 'Love', 'Proof', 'Have', 'Wait', ' Krmarin ',' clarity ',' ']</v>
      </c>
      <c r="D11494" s="3">
        <v>1.0</v>
      </c>
    </row>
    <row r="11495" ht="15.75" customHeight="1">
      <c r="A11495" s="1">
        <v>12241.0</v>
      </c>
      <c r="B11495" s="3" t="s">
        <v>10982</v>
      </c>
      <c r="C11495" s="3" t="str">
        <f>IFERROR(__xludf.DUMMYFUNCTION("GOOGLETRANSLATE(B11495,""id"",""en"")"),"['right', 'buy', 'package', 'promo', 'number', 'package', 'enter', 'pulse', 'pulled', 'right', 'buy', 'package', ' emergency ',' please ',' repaired ']")</f>
        <v>['right', 'buy', 'package', 'promo', 'number', 'package', 'enter', 'pulse', 'pulled', 'right', 'buy', 'package', ' emergency ',' please ',' repaired ']</v>
      </c>
      <c r="D11495" s="3">
        <v>2.0</v>
      </c>
    </row>
    <row r="11496" ht="15.75" customHeight="1">
      <c r="A11496" s="1">
        <v>12242.0</v>
      </c>
      <c r="B11496" s="3" t="s">
        <v>10983</v>
      </c>
      <c r="C11496" s="3" t="str">
        <f>IFERROR(__xludf.DUMMYFUNCTION("GOOGLETRANSLATE(B11496,""id"",""en"")"),"['update', 'open', 'pairs', 'wifi', 'slow', 'signal', 'price', 'expensive']")</f>
        <v>['update', 'open', 'pairs', 'wifi', 'slow', 'signal', 'price', 'expensive']</v>
      </c>
      <c r="D11496" s="3">
        <v>1.0</v>
      </c>
    </row>
    <row r="11497" ht="15.75" customHeight="1">
      <c r="A11497" s="1">
        <v>12243.0</v>
      </c>
      <c r="B11497" s="3" t="s">
        <v>10984</v>
      </c>
      <c r="C11497" s="3" t="str">
        <f>IFERROR(__xludf.DUMMYFUNCTION("GOOGLETRANSLATE(B11497,""id"",""en"")"),"['Telkomsel', 'Notabene', 'company', 'Country', 'Care', 'UDPATE', 'Needs',' Consumers', 'Gini', 'Signal', 'Stable', 'Price', ' Package ',' expensive ',' Telkomsel ',' ']")</f>
        <v>['Telkomsel', 'Notabene', 'company', 'Country', 'Care', 'UDPATE', 'Needs',' Consumers', 'Gini', 'Signal', 'Stable', 'Price', ' Package ',' expensive ',' Telkomsel ',' ']</v>
      </c>
      <c r="D11497" s="3">
        <v>1.0</v>
      </c>
    </row>
    <row r="11498" ht="15.75" customHeight="1">
      <c r="A11498" s="1">
        <v>12244.0</v>
      </c>
      <c r="B11498" s="3" t="s">
        <v>10985</v>
      </c>
      <c r="C11498" s="3" t="str">
        <f>IFERROR(__xludf.DUMMYFUNCTION("GOOGLETRANSLATE(B11498,""id"",""en"")"),"['already', 'updated', 'bug', 'already', 'Wait', 'clock', 'open', 'application', 'color', 'white', 'doang', 'login', ' Enter ',' Enter ',' Mending ',' Web ',' Application ',' ']")</f>
        <v>['already', 'updated', 'bug', 'already', 'Wait', 'clock', 'open', 'application', 'color', 'white', 'doang', 'login', ' Enter ',' Enter ',' Mending ',' Web ',' Application ',' ']</v>
      </c>
      <c r="D11498" s="3">
        <v>1.0</v>
      </c>
    </row>
    <row r="11499" ht="15.75" customHeight="1">
      <c r="A11499" s="1">
        <v>12245.0</v>
      </c>
      <c r="B11499" s="3" t="s">
        <v>10986</v>
      </c>
      <c r="C11499" s="3" t="str">
        <f>IFERROR(__xludf.DUMMYFUNCTION("GOOGLETRANSLATE(B11499,""id"",""en"")"),"['thank', 'love', 'Telkomsel', 'help', 'activity', 'a day', 'seller', 'online', 'driver', 'motorcycle taxi', 'online', 'hope', ' Lucky ',' Prizes', 'Program', 'Undi', 'Undi', 'Hepi', 'Motor', 'Yamaha', 'Max', 'Success',' Stay ',' Consistent ',' Build ' , "&amp;"'civilization', 'world', '']")</f>
        <v>['thank', 'love', 'Telkomsel', 'help', 'activity', 'a day', 'seller', 'online', 'driver', 'motorcycle taxi', 'online', 'hope', ' Lucky ',' Prizes', 'Program', 'Undi', 'Undi', 'Hepi', 'Motor', 'Yamaha', 'Max', 'Success',' Stay ',' Consistent ',' Build ' , 'civilization', 'world', '']</v>
      </c>
      <c r="D11499" s="3">
        <v>5.0</v>
      </c>
    </row>
    <row r="11500" ht="15.75" customHeight="1">
      <c r="A11500" s="1">
        <v>12246.0</v>
      </c>
      <c r="B11500" s="3" t="s">
        <v>10987</v>
      </c>
      <c r="C11500" s="3" t="str">
        <f>IFERROR(__xludf.DUMMYFUNCTION("GOOGLETRANSLATE(B11500,""id"",""en"")"),"['min', 'enter', 'already', 'login', 'many times',' times', 'bounce', 'love', 'min', 'already', 'login', 'kasi', ' ']")</f>
        <v>['min', 'enter', 'already', 'login', 'many times',' times', 'bounce', 'love', 'min', 'already', 'login', 'kasi', ' ']</v>
      </c>
      <c r="D11500" s="3">
        <v>3.0</v>
      </c>
    </row>
    <row r="11501" ht="15.75" customHeight="1">
      <c r="A11501" s="1">
        <v>12247.0</v>
      </c>
      <c r="B11501" s="3" t="s">
        <v>10988</v>
      </c>
      <c r="C11501" s="3" t="str">
        <f>IFERROR(__xludf.DUMMYFUNCTION("GOOGLETRANSLATE(B11501,""id"",""en"")"),"['signal', 'ilang']")</f>
        <v>['signal', 'ilang']</v>
      </c>
      <c r="D11501" s="3">
        <v>1.0</v>
      </c>
    </row>
    <row r="11502" ht="15.75" customHeight="1">
      <c r="A11502" s="1">
        <v>12248.0</v>
      </c>
      <c r="B11502" s="3" t="s">
        <v>10989</v>
      </c>
      <c r="C11502" s="3" t="str">
        <f>IFERROR(__xludf.DUMMYFUNCTION("GOOGLETRANSLATE(B11502,""id"",""en"")"),"['Fitting', 'opened', 'blank', 'fast', 'repaired', 'testimonial', 'complain', 'media', 'social', 'account', 'Official']")</f>
        <v>['Fitting', 'opened', 'blank', 'fast', 'repaired', 'testimonial', 'complain', 'media', 'social', 'account', 'Official']</v>
      </c>
      <c r="D11502" s="3">
        <v>1.0</v>
      </c>
    </row>
    <row r="11503" ht="15.75" customHeight="1">
      <c r="A11503" s="1">
        <v>12249.0</v>
      </c>
      <c r="B11503" s="3" t="s">
        <v>10990</v>
      </c>
      <c r="C11503" s="3" t="str">
        <f>IFERROR(__xludf.DUMMYFUNCTION("GOOGLETRANSLATE(B11503,""id"",""en"")"),"['Use', 'Application', 'Good']")</f>
        <v>['Use', 'Application', 'Good']</v>
      </c>
      <c r="D11503" s="3">
        <v>5.0</v>
      </c>
    </row>
    <row r="11504" ht="15.75" customHeight="1">
      <c r="A11504" s="1">
        <v>12250.0</v>
      </c>
      <c r="B11504" s="3" t="s">
        <v>10991</v>
      </c>
      <c r="C11504" s="3" t="str">
        <f>IFERROR(__xludf.DUMMYFUNCTION("GOOGLETRANSLATE(B11504,""id"",""en"")"),"['', 'thought', 'hard', 'paper', 'open', 'apk', 'langk', 'white', 'screen', 'nya', 'tomorrow', 'replace', 'director ',' Tsel ',' Keep ',' Costumer ',' Leader ', ""]")</f>
        <v>['', 'thought', 'hard', 'paper', 'open', 'apk', 'langk', 'white', 'screen', 'nya', 'tomorrow', 'replace', 'director ',' Tsel ',' Keep ',' Costumer ',' Leader ', "]</v>
      </c>
      <c r="D11504" s="3">
        <v>1.0</v>
      </c>
    </row>
    <row r="11505" ht="15.75" customHeight="1">
      <c r="A11505" s="1">
        <v>12251.0</v>
      </c>
      <c r="B11505" s="3" t="s">
        <v>10992</v>
      </c>
      <c r="C11505" s="3" t="str">
        <f>IFERROR(__xludf.DUMMYFUNCTION("GOOGLETRANSLATE(B11505,""id"",""en"")"),"['Satisfied', 'Ama', 'Telkomsel']")</f>
        <v>['Satisfied', 'Ama', 'Telkomsel']</v>
      </c>
      <c r="D11505" s="3">
        <v>5.0</v>
      </c>
    </row>
    <row r="11506" ht="15.75" customHeight="1">
      <c r="A11506" s="1">
        <v>12252.0</v>
      </c>
      <c r="B11506" s="3" t="s">
        <v>10993</v>
      </c>
      <c r="C11506" s="3" t="str">
        <f>IFERROR(__xludf.DUMMYFUNCTION("GOOGLETRANSLATE(B11506,""id"",""en"")"),"['already', 'uninstall', 'right', 'download', 'please', 'admin', 'solution']")</f>
        <v>['already', 'uninstall', 'right', 'download', 'please', 'admin', 'solution']</v>
      </c>
      <c r="D11506" s="3">
        <v>3.0</v>
      </c>
    </row>
    <row r="11507" ht="15.75" customHeight="1">
      <c r="A11507" s="1">
        <v>12253.0</v>
      </c>
      <c r="B11507" s="3" t="s">
        <v>10994</v>
      </c>
      <c r="C11507" s="3" t="str">
        <f>IFERROR(__xludf.DUMMYFUNCTION("GOOGLETRANSLATE(B11507,""id"",""en"")"),"['Simple', 'complicated']")</f>
        <v>['Simple', 'complicated']</v>
      </c>
      <c r="D11507" s="3">
        <v>5.0</v>
      </c>
    </row>
    <row r="11508" ht="15.75" customHeight="1">
      <c r="A11508" s="1">
        <v>12254.0</v>
      </c>
      <c r="B11508" s="3" t="s">
        <v>10995</v>
      </c>
      <c r="C11508" s="3" t="str">
        <f>IFERROR(__xludf.DUMMYFUNCTION("GOOGLETRANSLATE(B11508,""id"",""en"")"),"['buy', 'package', 'expensive', 'network', 'ugly', 'really', 'severe', 'nyampe', 'dalem', 'home', 'work', 'yes' Hang out ',' then ',' Severe ',' Telkomsel ',' ']")</f>
        <v>['buy', 'package', 'expensive', 'network', 'ugly', 'really', 'severe', 'nyampe', 'dalem', 'home', 'work', 'yes' Hang out ',' then ',' Severe ',' Telkomsel ',' ']</v>
      </c>
      <c r="D11508" s="3">
        <v>1.0</v>
      </c>
    </row>
    <row r="11509" ht="15.75" customHeight="1">
      <c r="A11509" s="1">
        <v>12255.0</v>
      </c>
      <c r="B11509" s="3" t="s">
        <v>10996</v>
      </c>
      <c r="C11509" s="3" t="str">
        <f>IFERROR(__xludf.DUMMYFUNCTION("GOOGLETRANSLATE(B11509,""id"",""en"")"),"['Good', 'easy', 'accessed', 'opened', 'the application', 'blank', 'white', 'that's', ""]")</f>
        <v>['Good', 'easy', 'accessed', 'opened', 'the application', 'blank', 'white', 'that's', "]</v>
      </c>
      <c r="D11509" s="3">
        <v>2.0</v>
      </c>
    </row>
    <row r="11510" ht="15.75" customHeight="1">
      <c r="A11510" s="1">
        <v>12256.0</v>
      </c>
      <c r="B11510" s="3" t="s">
        <v>10997</v>
      </c>
      <c r="C11510" s="3" t="str">
        <f>IFERROR(__xludf.DUMMYFUNCTION("GOOGLETRANSLATE(B11510,""id"",""en"")"),"['Disappointed', 'Telkomsel', 'promo', 'sweetener', 'doang', 'forced', 'select', 'tsel', 'because', 'need', 'work', '']")</f>
        <v>['Disappointed', 'Telkomsel', 'promo', 'sweetener', 'doang', 'forced', 'select', 'tsel', 'because', 'need', 'work', '']</v>
      </c>
      <c r="D11510" s="3">
        <v>1.0</v>
      </c>
    </row>
    <row r="11511" ht="15.75" customHeight="1">
      <c r="A11511" s="1">
        <v>12257.0</v>
      </c>
      <c r="B11511" s="3" t="s">
        <v>10998</v>
      </c>
      <c r="C11511" s="3" t="str">
        <f>IFERROR(__xludf.DUMMYFUNCTION("GOOGLETRANSLATE(B11511,""id"",""en"")"),"['Good', 'the application', 'makes it easy', 'price', 'quota', 'cheap', 'compete', 'suggest']")</f>
        <v>['Good', 'the application', 'makes it easy', 'price', 'quota', 'cheap', 'compete', 'suggest']</v>
      </c>
      <c r="D11511" s="3">
        <v>5.0</v>
      </c>
    </row>
    <row r="11512" ht="15.75" customHeight="1">
      <c r="A11512" s="1">
        <v>12258.0</v>
      </c>
      <c r="B11512" s="3" t="s">
        <v>10999</v>
      </c>
      <c r="C11512" s="3" t="str">
        <f>IFERROR(__xludf.DUMMYFUNCTION("GOOGLETRANSLATE(B11512,""id"",""en"")"),"['use', 'wifi', 'wifi', 'disorder', 'fill in', 'pulse', 'open', 'network', 'internet', 'pulse', 'lgsg', 'sucked', ' rb ',' severe ',' then ',' fill in ',' rb ',' blm ',' minutes', 'leftover', 'rb', 'great', 'telkomsel', 'kdg', 'brave' , 'contents',' pulse"&amp;" ',' byk ',' wasteful ',' min ',' network ',' krg ',' good ',' bkn ',' complement ',' byk ',' complement ',' Miminnya ']")</f>
        <v>['use', 'wifi', 'wifi', 'disorder', 'fill in', 'pulse', 'open', 'network', 'internet', 'pulse', 'lgsg', 'sucked', ' rb ',' severe ',' then ',' fill in ',' rb ',' blm ',' minutes', 'leftover', 'rb', 'great', 'telkomsel', 'kdg', 'brave' , 'contents',' pulse ',' byk ',' wasteful ',' min ',' network ',' krg ',' good ',' bkn ',' complement ',' byk ',' complement ',' Miminnya ']</v>
      </c>
      <c r="D11512" s="3">
        <v>1.0</v>
      </c>
    </row>
    <row r="11513" ht="15.75" customHeight="1">
      <c r="A11513" s="1">
        <v>12260.0</v>
      </c>
      <c r="B11513" s="3" t="s">
        <v>11000</v>
      </c>
      <c r="C11513" s="3" t="str">
        <f>IFERROR(__xludf.DUMMYFUNCTION("GOOGLETRANSLATE(B11513,""id"",""en"")"),"['update', 'app', 'open', 'package', 'expensive', '']")</f>
        <v>['update', 'app', 'open', 'package', 'expensive', '']</v>
      </c>
      <c r="D11513" s="3">
        <v>1.0</v>
      </c>
    </row>
    <row r="11514" ht="15.75" customHeight="1">
      <c r="A11514" s="1">
        <v>12261.0</v>
      </c>
      <c r="B11514" s="3" t="s">
        <v>11001</v>
      </c>
      <c r="C11514" s="3" t="str">
        <f>IFERROR(__xludf.DUMMYFUNCTION("GOOGLETRANSLATE(B11514,""id"",""en"")"),"['woy', 'tekkomsel', 'cave', 'blank', 'white', 'woy', 'mao', 'buy', 'package', 'difficult', 'abis',' update ',' blank ',' gni ',' njiiiiiiirrr ',' please ',' org ',' delay ']")</f>
        <v>['woy', 'tekkomsel', 'cave', 'blank', 'white', 'woy', 'mao', 'buy', 'package', 'difficult', 'abis',' update ',' blank ',' gni ',' njiiiiiiirrr ',' please ',' org ',' delay ']</v>
      </c>
      <c r="D11514" s="3">
        <v>1.0</v>
      </c>
    </row>
    <row r="11515" ht="15.75" customHeight="1">
      <c r="A11515" s="1">
        <v>12262.0</v>
      </c>
      <c r="B11515" s="3" t="s">
        <v>11002</v>
      </c>
      <c r="C11515" s="3" t="str">
        <f>IFERROR(__xludf.DUMMYFUNCTION("GOOGLETRANSLATE(B11515,""id"",""en"")"),"['Sorry', 'admin', 'knapa', 'application', 'Telkomsel', 'opened', 'repair']")</f>
        <v>['Sorry', 'admin', 'knapa', 'application', 'Telkomsel', 'opened', 'repair']</v>
      </c>
      <c r="D11515" s="3">
        <v>1.0</v>
      </c>
    </row>
    <row r="11516" ht="15.75" customHeight="1">
      <c r="A11516" s="1">
        <v>12263.0</v>
      </c>
      <c r="B11516" s="3" t="s">
        <v>11003</v>
      </c>
      <c r="C11516" s="3" t="str">
        <f>IFERROR(__xludf.DUMMYFUNCTION("GOOGLETRANSLATE(B11516,""id"",""en"")"),"['People', 'people', 'emang', 'Telkomsel', 'Engak', 'Kouta', 'contents',' pulses', 'Tollikan', 'Internet', 'Engaged', 'Disconnect', ' Disconnect ',' no ',' chick ',' exsis', 'card', 'no', 'ngulmel', 'suggestion', 'contents',' kouta ',' data ',' cellular '"&amp;" , 'Matiin', 'Engak', 'Sumpot', 'Credit']")</f>
        <v>['People', 'people', 'emang', 'Telkomsel', 'Engak', 'Kouta', 'contents',' pulses', 'Tollikan', 'Internet', 'Engaged', 'Disconnect', ' Disconnect ',' no ',' chick ',' exsis', 'card', 'no', 'ngulmel', 'suggestion', 'contents',' kouta ',' data ',' cellular ' , 'Matiin', 'Engak', 'Sumpot', 'Credit']</v>
      </c>
      <c r="D11516" s="3">
        <v>4.0</v>
      </c>
    </row>
    <row r="11517" ht="15.75" customHeight="1">
      <c r="A11517" s="1">
        <v>12264.0</v>
      </c>
      <c r="B11517" s="3" t="s">
        <v>11004</v>
      </c>
      <c r="C11517" s="3" t="str">
        <f>IFERROR(__xludf.DUMMYFUNCTION("GOOGLETRANSLATE(B11517,""id"",""en"")"),"['Thanks', 'quota', 'free']")</f>
        <v>['Thanks', 'quota', 'free']</v>
      </c>
      <c r="D11517" s="3">
        <v>3.0</v>
      </c>
    </row>
    <row r="11518" ht="15.75" customHeight="1">
      <c r="A11518" s="1">
        <v>12265.0</v>
      </c>
      <c r="B11518" s="3" t="s">
        <v>11005</v>
      </c>
      <c r="C11518" s="3" t="str">
        <f>IFERROR(__xludf.DUMMYFUNCTION("GOOGLETRANSLATE(B11518,""id"",""en"")"),"['System', 'Samsung', 'Great', 'Access', 'Sngat', 'Easy', 'SNGT', 'Easy', 'Dimngrti', ""]")</f>
        <v>['System', 'Samsung', 'Great', 'Access', 'Sngat', 'Easy', 'SNGT', 'Easy', 'Dimngrti', "]</v>
      </c>
      <c r="D11518" s="3">
        <v>4.0</v>
      </c>
    </row>
    <row r="11519" ht="15.75" customHeight="1">
      <c r="A11519" s="1">
        <v>12266.0</v>
      </c>
      <c r="B11519" s="3" t="s">
        <v>11006</v>
      </c>
      <c r="C11519" s="3" t="str">
        <f>IFERROR(__xludf.DUMMYFUNCTION("GOOGLETRANSLATE(B11519,""id"",""en"")"),"['Doang', 'fill in', 'pulses', 'get', 'Tipu', 'Tipu']")</f>
        <v>['Doang', 'fill in', 'pulses', 'get', 'Tipu', 'Tipu']</v>
      </c>
      <c r="D11519" s="3">
        <v>1.0</v>
      </c>
    </row>
    <row r="11520" ht="15.75" customHeight="1">
      <c r="A11520" s="1">
        <v>12267.0</v>
      </c>
      <c r="B11520" s="3" t="s">
        <v>11007</v>
      </c>
      <c r="C11520" s="3" t="str">
        <f>IFERROR(__xludf.DUMMYFUNCTION("GOOGLETRANSLATE(B11520,""id"",""en"")"),"['Anjj', 'BGDD', 'APK', 'Open', 'right', 'UDH', 'UPDT', 'Package', 'MSI', 'GB']")</f>
        <v>['Anjj', 'BGDD', 'APK', 'Open', 'right', 'UDH', 'UPDT', 'Package', 'MSI', 'GB']</v>
      </c>
      <c r="D11520" s="3">
        <v>1.0</v>
      </c>
    </row>
    <row r="11521" ht="15.75" customHeight="1">
      <c r="A11521" s="1">
        <v>12268.0</v>
      </c>
      <c r="B11521" s="3" t="s">
        <v>11008</v>
      </c>
      <c r="C11521" s="3" t="str">
        <f>IFERROR(__xludf.DUMMYFUNCTION("GOOGLETRANSLATE(B11521,""id"",""en"")"),"['Sampe', 'Cave', 'Support', 'Volte', 'Realme', 'Support', 'Volte', '']")</f>
        <v>['Sampe', 'Cave', 'Support', 'Volte', 'Realme', 'Support', 'Volte', '']</v>
      </c>
      <c r="D11521" s="3">
        <v>1.0</v>
      </c>
    </row>
    <row r="11522" ht="15.75" customHeight="1">
      <c r="A11522" s="1">
        <v>12269.0</v>
      </c>
      <c r="B11522" s="3" t="s">
        <v>8851</v>
      </c>
      <c r="C11522" s="3" t="str">
        <f>IFERROR(__xludf.DUMMYFUNCTION("GOOGLETRANSLATE(B11522,""id"",""en"")"),"['Good', 'APK']")</f>
        <v>['Good', 'APK']</v>
      </c>
      <c r="D11522" s="3">
        <v>4.0</v>
      </c>
    </row>
    <row r="11523" ht="15.75" customHeight="1">
      <c r="A11523" s="1">
        <v>12270.0</v>
      </c>
      <c r="B11523" s="3" t="s">
        <v>11009</v>
      </c>
      <c r="C11523" s="3" t="str">
        <f>IFERROR(__xludf.DUMMYFUNCTION("GOOGLETRANSLATE(B11523,""id"",""en"")"),"['Buy', 'Telkomsel', 'Gaes', 'The network', 'good', 'ugly', 'quota', 'expensive', 'fast', 'run out', 'rare']")</f>
        <v>['Buy', 'Telkomsel', 'Gaes', 'The network', 'good', 'ugly', 'quota', 'expensive', 'fast', 'run out', 'rare']</v>
      </c>
      <c r="D11523" s="3">
        <v>1.0</v>
      </c>
    </row>
    <row r="11524" ht="15.75" customHeight="1">
      <c r="A11524" s="1">
        <v>12271.0</v>
      </c>
      <c r="B11524" s="3" t="s">
        <v>11010</v>
      </c>
      <c r="C11524" s="3" t="str">
        <f>IFERROR(__xludf.DUMMYFUNCTION("GOOGLETRANSLATE(B11524,""id"",""en"")"),"['Knp', 'Upgrade', 'Remove', 'Delete', 'Download', 'TTEP', 'GMN', 'GMN', 'Telkomsel', ""]")</f>
        <v>['Knp', 'Upgrade', 'Remove', 'Delete', 'Download', 'TTEP', 'GMN', 'GMN', 'Telkomsel', "]</v>
      </c>
      <c r="D11524" s="3">
        <v>1.0</v>
      </c>
    </row>
    <row r="11525" ht="15.75" customHeight="1">
      <c r="A11525" s="1">
        <v>12272.0</v>
      </c>
      <c r="B11525" s="3" t="s">
        <v>11011</v>
      </c>
      <c r="C11525" s="3" t="str">
        <f>IFERROR(__xludf.DUMMYFUNCTION("GOOGLETRANSLATE(B11525,""id"",""en"")"),"['suggestion', 'network', 'please', 'accelerated', 'village', 'difficult', 'search', 'signal', 'home', 'neighbor', 'floor', 'Halangin', ' signal ',' Dih ',' Addin ',' Package ',' Quota ',' Sosmed ',' Gausah ',' Quota ',' Internet ',' Quota ',' Internet ',"&amp;"' Trus', 'Quota' , 'Sosmed', 'Abis', 'buy', 'internetmax', 'sosmed', 'Hadeh', 'internet', '']")</f>
        <v>['suggestion', 'network', 'please', 'accelerated', 'village', 'difficult', 'search', 'signal', 'home', 'neighbor', 'floor', 'Halangin', ' signal ',' Dih ',' Addin ',' Package ',' Quota ',' Sosmed ',' Gausah ',' Quota ',' Internet ',' Quota ',' Internet ',' Trus', 'Quota' , 'Sosmed', 'Abis', 'buy', 'internetmax', 'sosmed', 'Hadeh', 'internet', '']</v>
      </c>
      <c r="D11525" s="3">
        <v>4.0</v>
      </c>
    </row>
    <row r="11526" ht="15.75" customHeight="1">
      <c r="A11526" s="1">
        <v>12273.0</v>
      </c>
      <c r="B11526" s="3" t="s">
        <v>11012</v>
      </c>
      <c r="C11526" s="3" t="str">
        <f>IFERROR(__xludf.DUMMYFUNCTION("GOOGLETRANSLATE(B11526,""id"",""en"")"),"['Help', 'satisfying', 'trimakasih']")</f>
        <v>['Help', 'satisfying', 'trimakasih']</v>
      </c>
      <c r="D11526" s="3">
        <v>5.0</v>
      </c>
    </row>
    <row r="11527" ht="15.75" customHeight="1">
      <c r="A11527" s="1">
        <v>12274.0</v>
      </c>
      <c r="B11527" s="3" t="s">
        <v>11013</v>
      </c>
      <c r="C11527" s="3" t="str">
        <f>IFERROR(__xludf.DUMMYFUNCTION("GOOGLETRANSLATE(B11527,""id"",""en"")"),"['knp', 'already', 'a week', 'application', 'tsel', 'foam', 'opened', '']")</f>
        <v>['knp', 'already', 'a week', 'application', 'tsel', 'foam', 'opened', '']</v>
      </c>
      <c r="D11527" s="3">
        <v>5.0</v>
      </c>
    </row>
    <row r="11528" ht="15.75" customHeight="1">
      <c r="A11528" s="1">
        <v>12275.0</v>
      </c>
      <c r="B11528" s="3" t="s">
        <v>11014</v>
      </c>
      <c r="C11528" s="3" t="str">
        <f>IFERROR(__xludf.DUMMYFUNCTION("GOOGLETRANSLATE(B11528,""id"",""en"")"),"['update', 'uninstall', 'trs',' install ',' just ',' picture ',' white ',' doang ',' trs', 'ngeecrash', 'emg', 'mantep', ' Application ',' Application ',' Open ',' How ',' Feature ',' Help ']")</f>
        <v>['update', 'uninstall', 'trs',' install ',' just ',' picture ',' white ',' doang ',' trs', 'ngeecrash', 'emg', 'mantep', ' Application ',' Application ',' Open ',' How ',' Feature ',' Help ']</v>
      </c>
      <c r="D11528" s="3">
        <v>1.0</v>
      </c>
    </row>
    <row r="11529" ht="15.75" customHeight="1">
      <c r="A11529" s="1">
        <v>12276.0</v>
      </c>
      <c r="B11529" s="3" t="s">
        <v>11015</v>
      </c>
      <c r="C11529" s="3" t="str">
        <f>IFERROR(__xludf.DUMMYFUNCTION("GOOGLETRANSLATE(B11529,""id"",""en"")"),"['buy', 'quota', 'enter', 'pulse', 'reduced', '']")</f>
        <v>['buy', 'quota', 'enter', 'pulse', 'reduced', '']</v>
      </c>
      <c r="D11529" s="3">
        <v>1.0</v>
      </c>
    </row>
    <row r="11530" ht="15.75" customHeight="1">
      <c r="A11530" s="1">
        <v>12277.0</v>
      </c>
      <c r="B11530" s="3" t="s">
        <v>11016</v>
      </c>
      <c r="C11530" s="3" t="str">
        <f>IFERROR(__xludf.DUMMYFUNCTION("GOOGLETRANSLATE(B11530,""id"",""en"")"),"['Anyway', 'APK', 'Mantul', 'really', '']")</f>
        <v>['Anyway', 'APK', 'Mantul', 'really', '']</v>
      </c>
      <c r="D11530" s="3">
        <v>5.0</v>
      </c>
    </row>
    <row r="11531" ht="15.75" customHeight="1">
      <c r="A11531" s="1">
        <v>12278.0</v>
      </c>
      <c r="B11531" s="3" t="s">
        <v>11017</v>
      </c>
      <c r="C11531" s="3" t="str">
        <f>IFERROR(__xludf.DUMMYFUNCTION("GOOGLETRANSLATE(B11531,""id"",""en"")"),"['Knp', 'APK', 'Open', 'Loading', 'Screen', 'White', 'Bet', 'Benerin', 'Donk', 'Enter', 'Oyyy']")</f>
        <v>['Knp', 'APK', 'Open', 'Loading', 'Screen', 'White', 'Bet', 'Benerin', 'Donk', 'Enter', 'Oyyy']</v>
      </c>
      <c r="D11531" s="3">
        <v>1.0</v>
      </c>
    </row>
    <row r="11532" ht="15.75" customHeight="1">
      <c r="A11532" s="1">
        <v>12279.0</v>
      </c>
      <c r="B11532" s="3" t="s">
        <v>4820</v>
      </c>
      <c r="C11532" s="3" t="str">
        <f>IFERROR(__xludf.DUMMYFUNCTION("GOOGLETRANSLATE(B11532,""id"",""en"")"),"['', 'Telkomsel', 'steady']")</f>
        <v>['', 'Telkomsel', 'steady']</v>
      </c>
      <c r="D11532" s="3">
        <v>5.0</v>
      </c>
    </row>
    <row r="11533" ht="15.75" customHeight="1">
      <c r="A11533" s="1">
        <v>12280.0</v>
      </c>
      <c r="B11533" s="3" t="s">
        <v>11018</v>
      </c>
      <c r="C11533" s="3" t="str">
        <f>IFERROR(__xludf.DUMMYFUNCTION("GOOGLETRANSLATE(B11533,""id"",""en"")"),"['apps', 'opened', 'please', 'repaired']")</f>
        <v>['apps', 'opened', 'please', 'repaired']</v>
      </c>
      <c r="D11533" s="3">
        <v>1.0</v>
      </c>
    </row>
    <row r="11534" ht="15.75" customHeight="1">
      <c r="A11534" s="1">
        <v>12281.0</v>
      </c>
      <c r="B11534" s="3" t="s">
        <v>7572</v>
      </c>
      <c r="C11534" s="3" t="str">
        <f>IFERROR(__xludf.DUMMYFUNCTION("GOOGLETRANSLATE(B11534,""id"",""en"")"),"['', 'update', 'opened']")</f>
        <v>['', 'update', 'opened']</v>
      </c>
      <c r="D11534" s="3">
        <v>1.0</v>
      </c>
    </row>
    <row r="11535" ht="15.75" customHeight="1">
      <c r="A11535" s="1">
        <v>12282.0</v>
      </c>
      <c r="B11535" s="3" t="s">
        <v>11019</v>
      </c>
      <c r="C11535" s="3" t="str">
        <f>IFERROR(__xludf.DUMMYFUNCTION("GOOGLETRANSLATE(B11535,""id"",""en"")"),"['How', 'Telkomsel', 'Failed', 'right', 'buy', 'Package']")</f>
        <v>['How', 'Telkomsel', 'Failed', 'right', 'buy', 'Package']</v>
      </c>
      <c r="D11535" s="3">
        <v>3.0</v>
      </c>
    </row>
    <row r="11536" ht="15.75" customHeight="1">
      <c r="A11536" s="1">
        <v>12283.0</v>
      </c>
      <c r="B11536" s="3" t="s">
        <v>11020</v>
      </c>
      <c r="C11536" s="3" t="str">
        <f>IFERROR(__xludf.DUMMYFUNCTION("GOOGLETRANSLATE(B11536,""id"",""en"")"),"['Butanglah']")</f>
        <v>['Butanglah']</v>
      </c>
      <c r="D11536" s="3">
        <v>5.0</v>
      </c>
    </row>
    <row r="11537" ht="15.75" customHeight="1">
      <c r="A11537" s="1">
        <v>12284.0</v>
      </c>
      <c r="B11537" s="3" t="s">
        <v>11021</v>
      </c>
      <c r="C11537" s="3" t="str">
        <f>IFERROR(__xludf.DUMMYFUNCTION("GOOGLETRANSLATE(B11537,""id"",""en"")"),"['Telkomsel', 'Taik', 'Network', 'Ngelag', 'Package', 'Expensive', 'Advertising', 'Doang', 'Network', 'Good', 'Results', 'Taik']")</f>
        <v>['Telkomsel', 'Taik', 'Network', 'Ngelag', 'Package', 'Expensive', 'Advertising', 'Doang', 'Network', 'Good', 'Results', 'Taik']</v>
      </c>
      <c r="D11537" s="3">
        <v>1.0</v>
      </c>
    </row>
    <row r="11538" ht="15.75" customHeight="1">
      <c r="A11538" s="1">
        <v>12285.0</v>
      </c>
      <c r="B11538" s="3" t="s">
        <v>11022</v>
      </c>
      <c r="C11538" s="3" t="str">
        <f>IFERROR(__xludf.DUMMYFUNCTION("GOOGLETRANSLATE(B11538,""id"",""en"")"),"['card', 'expensive', 'quota', 'expensive', 'signal', 'stingy', 'unclean', 'open', 'slow', 'ngellag', 'nglag', 'disappointing', ' ']")</f>
        <v>['card', 'expensive', 'quota', 'expensive', 'signal', 'stingy', 'unclean', 'open', 'slow', 'ngellag', 'nglag', 'disappointing', ' ']</v>
      </c>
      <c r="D11538" s="3">
        <v>1.0</v>
      </c>
    </row>
    <row r="11539" ht="15.75" customHeight="1">
      <c r="A11539" s="1">
        <v>12286.0</v>
      </c>
      <c r="B11539" s="3" t="s">
        <v>11023</v>
      </c>
      <c r="C11539" s="3" t="str">
        <f>IFERROR(__xludf.DUMMYFUNCTION("GOOGLETRANSLATE(B11539,""id"",""en"")"),"['quota', 'inet', 'run out', 'mottle', 'automatic', 'pulse', 'drained', 'finished', 'deliberate', 'setting', 'block', 'safety', ' pulses', 'kga', 'drained', 'inet', 'klw', 'quota', 'run out', 'bad']")</f>
        <v>['quota', 'inet', 'run out', 'mottle', 'automatic', 'pulse', 'drained', 'finished', 'deliberate', 'setting', 'block', 'safety', ' pulses', 'kga', 'drained', 'inet', 'klw', 'quota', 'run out', 'bad']</v>
      </c>
      <c r="D11539" s="3">
        <v>1.0</v>
      </c>
    </row>
    <row r="11540" ht="15.75" customHeight="1">
      <c r="A11540" s="1">
        <v>12287.0</v>
      </c>
      <c r="B11540" s="3" t="s">
        <v>11024</v>
      </c>
      <c r="C11540" s="3" t="str">
        <f>IFERROR(__xludf.DUMMYFUNCTION("GOOGLETRANSLATE(B11540,""id"",""en"")"),"['Application', 'BURIK', 'Send', 'Kouta', 'friend', 'kouta', 'lap', 'main', 'tqpi', 'just', 'internet', 'night', ' DASR ',' APK ',' knexttttl ']")</f>
        <v>['Application', 'BURIK', 'Send', 'Kouta', 'friend', 'kouta', 'lap', 'main', 'tqpi', 'just', 'internet', 'night', ' DASR ',' APK ',' knexttttl ']</v>
      </c>
      <c r="D11540" s="3">
        <v>1.0</v>
      </c>
    </row>
    <row r="11541" ht="15.75" customHeight="1">
      <c r="A11541" s="1">
        <v>12288.0</v>
      </c>
      <c r="B11541" s="3" t="s">
        <v>11025</v>
      </c>
      <c r="C11541" s="3" t="str">
        <f>IFERROR(__xludf.DUMMYFUNCTION("GOOGLETRANSLATE(B11541,""id"",""en"")"),"['application', 'telkosel', 'buy', 'pulse', 'no', 'open', ""]")</f>
        <v>['application', 'telkosel', 'buy', 'pulse', 'no', 'open', "]</v>
      </c>
      <c r="D11541" s="3">
        <v>1.0</v>
      </c>
    </row>
    <row r="11542" ht="15.75" customHeight="1">
      <c r="A11542" s="1">
        <v>12290.0</v>
      </c>
      <c r="B11542" s="3" t="s">
        <v>11026</v>
      </c>
      <c r="C11542" s="3" t="str">
        <f>IFERROR(__xludf.DUMMYFUNCTION("GOOGLETRANSLATE(B11542,""id"",""en"")"),"['easy', 'complete', 'Please', 'promo', 'quota', 'cheap', 'manyin', 'the application', 'open', 'appears',' screen ',' white ',' ']")</f>
        <v>['easy', 'complete', 'Please', 'promo', 'quota', 'cheap', 'manyin', 'the application', 'open', 'appears',' screen ',' white ',' ']</v>
      </c>
      <c r="D11542" s="3">
        <v>1.0</v>
      </c>
    </row>
    <row r="11543" ht="15.75" customHeight="1">
      <c r="A11543" s="1">
        <v>12291.0</v>
      </c>
      <c r="B11543" s="3" t="s">
        <v>11027</v>
      </c>
      <c r="C11543" s="3" t="str">
        <f>IFERROR(__xludf.DUMMYFUNCTION("GOOGLETRANSLATE(B11543,""id"",""en"")"),"['Telkomsel', 'Role', 'Information', 'Knowledge', '']")</f>
        <v>['Telkomsel', 'Role', 'Information', 'Knowledge', '']</v>
      </c>
      <c r="D11543" s="3">
        <v>5.0</v>
      </c>
    </row>
    <row r="11544" ht="15.75" customHeight="1">
      <c r="A11544" s="1">
        <v>12292.0</v>
      </c>
      <c r="B11544" s="3" t="s">
        <v>11028</v>
      </c>
      <c r="C11544" s="3" t="str">
        <f>IFERROR(__xludf.DUMMYFUNCTION("GOOGLETRANSLATE(B11544,""id"",""en"")"),"['Download', 'Application', 'Open']")</f>
        <v>['Download', 'Application', 'Open']</v>
      </c>
      <c r="D11544" s="3">
        <v>1.0</v>
      </c>
    </row>
    <row r="11545" ht="15.75" customHeight="1">
      <c r="A11545" s="1">
        <v>12293.0</v>
      </c>
      <c r="B11545" s="3" t="s">
        <v>11029</v>
      </c>
      <c r="C11545" s="3" t="str">
        <f>IFERROR(__xludf.DUMMYFUNCTION("GOOGLETRANSLATE(B11545,""id"",""en"")"),"['Good', 'Application', 'Love', 'Bintan', ""]")</f>
        <v>['Good', 'Application', 'Love', 'Bintan', "]</v>
      </c>
      <c r="D11545" s="3">
        <v>5.0</v>
      </c>
    </row>
    <row r="11546" ht="15.75" customHeight="1">
      <c r="A11546" s="1">
        <v>12294.0</v>
      </c>
      <c r="B11546" s="3" t="s">
        <v>11030</v>
      </c>
      <c r="C11546" s="3" t="str">
        <f>IFERROR(__xludf.DUMMYFUNCTION("GOOGLETRANSLATE(B11546,""id"",""en"")"),"['Sya', 'Sunday', 'blank', 'looks', 'uodate', 'update', 'apk', 'delete it', 'bbrapa', 'time', 'operate it', ""]")</f>
        <v>['Sya', 'Sunday', 'blank', 'looks', 'uodate', 'update', 'apk', 'delete it', 'bbrapa', 'time', 'operate it', "]</v>
      </c>
      <c r="D11546" s="3">
        <v>1.0</v>
      </c>
    </row>
    <row r="11547" ht="15.75" customHeight="1">
      <c r="A11547" s="1">
        <v>12295.0</v>
      </c>
      <c r="B11547" s="3" t="s">
        <v>11031</v>
      </c>
      <c r="C11547" s="3" t="str">
        <f>IFERROR(__xludf.DUMMYFUNCTION("GOOGLETRANSLATE(B11547,""id"",""en"")"),"['already', 'a week', 'application', 'open', 'open', 'obstacle', 'how', 'satisfying', 'the application', 'open', 'edit', 'rating']")</f>
        <v>['already', 'a week', 'application', 'open', 'open', 'obstacle', 'how', 'satisfying', 'the application', 'open', 'edit', 'rating']</v>
      </c>
      <c r="D11547" s="3">
        <v>3.0</v>
      </c>
    </row>
    <row r="11548" ht="15.75" customHeight="1">
      <c r="A11548" s="1">
        <v>12296.0</v>
      </c>
      <c r="B11548" s="3" t="s">
        <v>11032</v>
      </c>
      <c r="C11548" s="3" t="str">
        <f>IFERROR(__xludf.DUMMYFUNCTION("GOOGLETRANSLATE(B11548,""id"",""en"")"),"['quota', 'right', 'turn on', 'data', 'cellular', 'pulse', 'tetep', 'kepake', 'kepake', 'safe', 'pulse', 'disappointed', ' ']")</f>
        <v>['quota', 'right', 'turn on', 'data', 'cellular', 'pulse', 'tetep', 'kepake', 'kepake', 'safe', 'pulse', 'disappointed', ' ']</v>
      </c>
      <c r="D11548" s="3">
        <v>2.0</v>
      </c>
    </row>
    <row r="11549" ht="15.75" customHeight="1">
      <c r="A11549" s="1">
        <v>12297.0</v>
      </c>
      <c r="B11549" s="3" t="s">
        <v>11033</v>
      </c>
      <c r="C11549" s="3" t="str">
        <f>IFERROR(__xludf.DUMMYFUNCTION("GOOGLETRANSLATE(B11549,""id"",""en"")"),"['No', 'open', 'blank', 'white', 'bro', 'deed', '']")</f>
        <v>['No', 'open', 'blank', 'white', 'bro', 'deed', '']</v>
      </c>
      <c r="D11549" s="3">
        <v>5.0</v>
      </c>
    </row>
    <row r="11550" ht="15.75" customHeight="1">
      <c r="A11550" s="1">
        <v>12298.0</v>
      </c>
      <c r="B11550" s="3" t="s">
        <v>11034</v>
      </c>
      <c r="C11550" s="3" t="str">
        <f>IFERROR(__xludf.DUMMYFUNCTION("GOOGLETRANSLATE(B11550,""id"",""en"")"),"['signal', 'pulp', 'price', 'gass', 'hand over', 'replace']")</f>
        <v>['signal', 'pulp', 'price', 'gass', 'hand over', 'replace']</v>
      </c>
      <c r="D11550" s="3">
        <v>1.0</v>
      </c>
    </row>
    <row r="11551" ht="15.75" customHeight="1">
      <c r="A11551" s="1">
        <v>12299.0</v>
      </c>
      <c r="B11551" s="3" t="s">
        <v>92</v>
      </c>
      <c r="C11551" s="3" t="str">
        <f>IFERROR(__xludf.DUMMYFUNCTION("GOOGLETRANSLATE(B11551,""id"",""en"")"),"['Application', 'Open']")</f>
        <v>['Application', 'Open']</v>
      </c>
      <c r="D11551" s="3">
        <v>3.0</v>
      </c>
    </row>
    <row r="11552" ht="15.75" customHeight="1">
      <c r="A11552" s="1">
        <v>12300.0</v>
      </c>
      <c r="B11552" s="3" t="s">
        <v>11035</v>
      </c>
      <c r="C11552" s="3" t="str">
        <f>IFERROR(__xludf.DUMMYFUNCTION("GOOGLETRANSLATE(B11552,""id"",""en"")"),"['Bener', 'Bener', 'satisfying', 'like', 'lag', 'then', 'please', 'in the future', 'lined', 'disappointed', ""]")</f>
        <v>['Bener', 'Bener', 'satisfying', 'like', 'lag', 'then', 'please', 'in the future', 'lined', 'disappointed', "]</v>
      </c>
      <c r="D11552" s="3">
        <v>1.0</v>
      </c>
    </row>
    <row r="11553" ht="15.75" customHeight="1">
      <c r="A11553" s="1">
        <v>12301.0</v>
      </c>
      <c r="B11553" s="3" t="s">
        <v>11036</v>
      </c>
      <c r="C11553" s="3" t="str">
        <f>IFERROR(__xludf.DUMMYFUNCTION("GOOGLETRANSLATE(B11553,""id"",""en"")"),"['Good', 'sekli', 'buy', 'peket', 'data', 'terucer', 'pulse', 'person']")</f>
        <v>['Good', 'sekli', 'buy', 'peket', 'data', 'terucer', 'pulse', 'person']</v>
      </c>
      <c r="D11553" s="3">
        <v>4.0</v>
      </c>
    </row>
    <row r="11554" ht="15.75" customHeight="1">
      <c r="A11554" s="1">
        <v>12302.0</v>
      </c>
      <c r="B11554" s="3" t="s">
        <v>11037</v>
      </c>
      <c r="C11554" s="3" t="str">
        <f>IFERROR(__xludf.DUMMYFUNCTION("GOOGLETRANSLATE(B11554,""id"",""en"")"),"['open', 'application', 'Telkomsel', 'told', 'update', 'already', 'update', 'appears',' page ',' white ',' uninstall ',' install ',' "", 'TTP', 'Read', 'Review', 'Under', 'Ternyta', 'Hnya', 'opened', 'Android', 'Version', 'Latest', 'Sorry', 'Min' , 'Custo"&amp;"mers', 'UPTODATE', 'Change', 'HandPhone', 'Output', 'Latest', 'Sorry', 'Signal', 'Sometimes', 'Min', 'Please', 'How' Yesterday ',' go ',' home ',' brother ',' house ',' remote ',' know ',' TPI ',' signal ',' please ',' min ',' assisted ',' customer ' , 'S"&amp;"atisfied', 'mkasih']")</f>
        <v>['open', 'application', 'Telkomsel', 'told', 'update', 'already', 'update', 'appears',' page ',' white ',' uninstall ',' install ',' ", 'TTP', 'Read', 'Review', 'Under', 'Ternyta', 'Hnya', 'opened', 'Android', 'Version', 'Latest', 'Sorry', 'Min' , 'Customers', 'UPTODATE', 'Change', 'HandPhone', 'Output', 'Latest', 'Sorry', 'Signal', 'Sometimes', 'Min', 'Please', 'How' Yesterday ',' go ',' home ',' brother ',' house ',' remote ',' know ',' TPI ',' signal ',' please ',' min ',' assisted ',' customer ' , 'Satisfied', 'mkasih']</v>
      </c>
      <c r="D11554" s="3">
        <v>1.0</v>
      </c>
    </row>
    <row r="11555" ht="15.75" customHeight="1">
      <c r="A11555" s="1">
        <v>12303.0</v>
      </c>
      <c r="B11555" s="3" t="s">
        <v>11038</v>
      </c>
      <c r="C11555" s="3" t="str">
        <f>IFERROR(__xludf.DUMMYFUNCTION("GOOGLETRANSLATE(B11555,""id"",""en"")"),"['min', 'sorry', 'yesterday', 'update', 'the application', 'updated', 'no', 'appears',' look ',' white ',' doang ',' try ',' Uninstall ',' Install ',' reset ',' result ',' how ',' min ', ""]")</f>
        <v>['min', 'sorry', 'yesterday', 'update', 'the application', 'updated', 'no', 'appears',' look ',' white ',' doang ',' try ',' Uninstall ',' Install ',' reset ',' result ',' how ',' min ', "]</v>
      </c>
      <c r="D11555" s="3">
        <v>5.0</v>
      </c>
    </row>
    <row r="11556" ht="15.75" customHeight="1">
      <c r="A11556" s="1">
        <v>12304.0</v>
      </c>
      <c r="B11556" s="3" t="s">
        <v>11039</v>
      </c>
      <c r="C11556" s="3" t="str">
        <f>IFERROR(__xludf.DUMMYFUNCTION("GOOGLETRANSLATE(B11556,""id"",""en"")"),"['', 'Leet']")</f>
        <v>['', 'Leet']</v>
      </c>
      <c r="D11556" s="3">
        <v>5.0</v>
      </c>
    </row>
    <row r="11557" ht="15.75" customHeight="1">
      <c r="A11557" s="1">
        <v>12305.0</v>
      </c>
      <c r="B11557" s="3" t="s">
        <v>11040</v>
      </c>
      <c r="C11557" s="3" t="str">
        <f>IFERROR(__xludf.DUMMYFUNCTION("GOOGLETRANSLATE(B11557,""id"",""en"")"),"['application', 'good', 'Alhamdulillah', 'package', 'internet', 'cheap', '']")</f>
        <v>['application', 'good', 'Alhamdulillah', 'package', 'internet', 'cheap', '']</v>
      </c>
      <c r="D11557" s="3">
        <v>5.0</v>
      </c>
    </row>
    <row r="11558" ht="15.75" customHeight="1">
      <c r="A11558" s="1">
        <v>12306.0</v>
      </c>
      <c r="B11558" s="3" t="s">
        <v>11041</v>
      </c>
      <c r="C11558" s="3" t="str">
        <f>IFERROR(__xludf.DUMMYFUNCTION("GOOGLETRANSLATE(B11558,""id"",""en"")"),"['Gabisa', 'Open', 'My APK', 'Ryesel', 'Deh', 'Download']")</f>
        <v>['Gabisa', 'Open', 'My APK', 'Ryesel', 'Deh', 'Download']</v>
      </c>
      <c r="D11558" s="3">
        <v>1.0</v>
      </c>
    </row>
    <row r="11559" ht="15.75" customHeight="1">
      <c r="A11559" s="1">
        <v>12307.0</v>
      </c>
      <c r="B11559" s="3" t="s">
        <v>11042</v>
      </c>
      <c r="C11559" s="3" t="str">
        <f>IFERROR(__xludf.DUMMYFUNCTION("GOOGLETRANSLATE(B11559,""id"",""en"")"),"['The network', 'slow', ""]")</f>
        <v>['The network', 'slow', "]</v>
      </c>
      <c r="D11559" s="3">
        <v>1.0</v>
      </c>
    </row>
    <row r="11560" ht="15.75" customHeight="1">
      <c r="A11560" s="1">
        <v>12308.0</v>
      </c>
      <c r="B11560" s="3" t="s">
        <v>1310</v>
      </c>
      <c r="C11560" s="3" t="str">
        <f>IFERROR(__xludf.DUMMYFUNCTION("GOOGLETRANSLATE(B11560,""id"",""en"")"),"['Open', 'the application']")</f>
        <v>['Open', 'the application']</v>
      </c>
      <c r="D11560" s="3">
        <v>5.0</v>
      </c>
    </row>
    <row r="11561" ht="15.75" customHeight="1">
      <c r="A11561" s="1">
        <v>12309.0</v>
      </c>
      <c r="B11561" s="3" t="s">
        <v>11043</v>
      </c>
      <c r="C11561" s="3" t="str">
        <f>IFERROR(__xludf.DUMMYFUNCTION("GOOGLETRANSLATE(B11561,""id"",""en"")"),"['kmrn', 'the day after', 'contents',' quota ',' ovo ',' until ',' skrg ',' entered ',' already ',' try ',' Application ',' Veronika ',' Many ',' response ',' skali ',' sleep ',' money ',' drift ',' until ',' skrg ',' change ',' notif ',' anything ',' alr"&amp;"eady ',' bales' , 'virtual', 'cs',' please ',' love ',' paramine ',' right ',' name ',' good ',' turn ',' bgin ',' hard ',' setgh ',' dead', '']")</f>
        <v>['kmrn', 'the day after', 'contents',' quota ',' ovo ',' until ',' skrg ',' entered ',' already ',' try ',' Application ',' Veronika ',' Many ',' response ',' skali ',' sleep ',' money ',' drift ',' until ',' skrg ',' change ',' notif ',' anything ',' already ',' bales' , 'virtual', 'cs',' please ',' love ',' paramine ',' right ',' name ',' good ',' turn ',' bgin ',' hard ',' setgh ',' dead', '']</v>
      </c>
      <c r="D11561" s="3">
        <v>1.0</v>
      </c>
    </row>
    <row r="11562" ht="15.75" customHeight="1">
      <c r="A11562" s="1">
        <v>12310.0</v>
      </c>
      <c r="B11562" s="3" t="s">
        <v>11044</v>
      </c>
      <c r="C11562" s="3" t="str">
        <f>IFERROR(__xludf.DUMMYFUNCTION("GOOGLETRANSLATE(B11562,""id"",""en"")"),"['Telkomsel', 'severe', 'package', 'expensive', 'quality', 'network', 'severe', 'baget', 'lose', 'card', 'tri']")</f>
        <v>['Telkomsel', 'severe', 'package', 'expensive', 'quality', 'network', 'severe', 'baget', 'lose', 'card', 'tri']</v>
      </c>
      <c r="D11562" s="3">
        <v>1.0</v>
      </c>
    </row>
    <row r="11563" ht="15.75" customHeight="1">
      <c r="A11563" s="1">
        <v>12311.0</v>
      </c>
      <c r="B11563" s="3" t="s">
        <v>11045</v>
      </c>
      <c r="C11563" s="3" t="str">
        <f>IFERROR(__xludf.DUMMYFUNCTION("GOOGLETRANSLATE(B11563,""id"",""en"")"),"['Good', 'signal', 'full', '']")</f>
        <v>['Good', 'signal', 'full', '']</v>
      </c>
      <c r="D11563" s="3">
        <v>3.0</v>
      </c>
    </row>
    <row r="11564" ht="15.75" customHeight="1">
      <c r="A11564" s="1">
        <v>12312.0</v>
      </c>
      <c r="B11564" s="3" t="s">
        <v>11046</v>
      </c>
      <c r="C11564" s="3" t="str">
        <f>IFERROR(__xludf.DUMMYFUNCTION("GOOGLETRANSLATE(B11564,""id"",""en"")"),"['Teklomsel', 'knp', 'open']")</f>
        <v>['Teklomsel', 'knp', 'open']</v>
      </c>
      <c r="D11564" s="3">
        <v>4.0</v>
      </c>
    </row>
    <row r="11565" ht="15.75" customHeight="1">
      <c r="A11565" s="1">
        <v>12313.0</v>
      </c>
      <c r="B11565" s="3" t="s">
        <v>11047</v>
      </c>
      <c r="C11565" s="3" t="str">
        <f>IFERROR(__xludf.DUMMYFUNCTION("GOOGLETRANSLATE(B11565,""id"",""en"")"),"['App', 'Error', 'opened', 'Giaman']")</f>
        <v>['App', 'Error', 'opened', 'Giaman']</v>
      </c>
      <c r="D11565" s="3">
        <v>3.0</v>
      </c>
    </row>
    <row r="11566" ht="15.75" customHeight="1">
      <c r="A11566" s="1">
        <v>12314.0</v>
      </c>
      <c r="B11566" s="3" t="s">
        <v>11048</v>
      </c>
      <c r="C11566" s="3" t="str">
        <f>IFERROR(__xludf.DUMMYFUNCTION("GOOGLETRANSLATE(B11566,""id"",""en"")"),"['How', 'open', 'lgi', 'apk', 'telkomel', 'faham', 'related', 'admin', 'thank you']")</f>
        <v>['How', 'open', 'lgi', 'apk', 'telkomel', 'faham', 'related', 'admin', 'thank you']</v>
      </c>
      <c r="D11566" s="3">
        <v>1.0</v>
      </c>
    </row>
    <row r="11567" ht="15.75" customHeight="1">
      <c r="A11567" s="1">
        <v>12315.0</v>
      </c>
      <c r="B11567" s="3" t="s">
        <v>11049</v>
      </c>
      <c r="C11567" s="3" t="str">
        <f>IFERROR(__xludf.DUMMYFUNCTION("GOOGLETRANSLATE(B11567,""id"",""en"")"),"['The application', 'Gabagus', 'sucked', 'pulse', 'cut', 'contents', 'pulse']")</f>
        <v>['The application', 'Gabagus', 'sucked', 'pulse', 'cut', 'contents', 'pulse']</v>
      </c>
      <c r="D11567" s="3">
        <v>1.0</v>
      </c>
    </row>
    <row r="11568" ht="15.75" customHeight="1">
      <c r="A11568" s="1">
        <v>12316.0</v>
      </c>
      <c r="B11568" s="3" t="s">
        <v>11050</v>
      </c>
      <c r="C11568" s="3" t="str">
        <f>IFERROR(__xludf.DUMMYFUNCTION("GOOGLETRANSLATE(B11568,""id"",""en"")"),"['', 'really good']")</f>
        <v>['', 'really good']</v>
      </c>
      <c r="D11568" s="3">
        <v>5.0</v>
      </c>
    </row>
    <row r="11569" ht="15.75" customHeight="1">
      <c r="A11569" s="1">
        <v>12317.0</v>
      </c>
      <c r="B11569" s="3" t="s">
        <v>11051</v>
      </c>
      <c r="C11569" s="3" t="str">
        <f>IFERROR(__xludf.DUMMYFUNCTION("GOOGLETRANSLATE(B11569,""id"",""en"")"),"['Teruntuk', 'Telkomsel', 'prioritizes',' comfort ',' customer ',' loss', 'pulses',' intentionally ',' kepet ',' data ',' cellular ',' sick ',' Heart ',' Lohh ',' Really ',' Believe ',' Cobain ', ""]")</f>
        <v>['Teruntuk', 'Telkomsel', 'prioritizes',' comfort ',' customer ',' loss', 'pulses',' intentionally ',' kepet ',' data ',' cellular ',' sick ',' Heart ',' Lohh ',' Really ',' Believe ',' Cobain ', "]</v>
      </c>
      <c r="D11569" s="3">
        <v>2.0</v>
      </c>
    </row>
    <row r="11570" ht="15.75" customHeight="1">
      <c r="A11570" s="1">
        <v>12318.0</v>
      </c>
      <c r="B11570" s="3" t="s">
        <v>11052</v>
      </c>
      <c r="C11570" s="3" t="str">
        <f>IFERROR(__xludf.DUMMYFUNCTION("GOOGLETRANSLATE(B11570,""id"",""en"")"),"['Reduce', 'Bintang', 'APL', 'Pekah', 'Open', 'Rates', 'Nasea', 'Unline', 'Bohongan', ""]")</f>
        <v>['Reduce', 'Bintang', 'APL', 'Pekah', 'Open', 'Rates', 'Nasea', 'Unline', 'Bohongan', "]</v>
      </c>
      <c r="D11570" s="3">
        <v>1.0</v>
      </c>
    </row>
    <row r="11571" ht="15.75" customHeight="1">
      <c r="A11571" s="1">
        <v>12319.0</v>
      </c>
      <c r="B11571" s="3" t="s">
        <v>11053</v>
      </c>
      <c r="C11571" s="3" t="str">
        <f>IFERROR(__xludf.DUMMYFUNCTION("GOOGLETRANSLATE(B11571,""id"",""en"")"),"['min', 'open', 'mytelkomsel', 'already', 'uninstall', 'download', 'reset', 'tetep', 'gabisa', 'how', 'duh']")</f>
        <v>['min', 'open', 'mytelkomsel', 'already', 'uninstall', 'download', 'reset', 'tetep', 'gabisa', 'how', 'duh']</v>
      </c>
      <c r="D11571" s="3">
        <v>3.0</v>
      </c>
    </row>
    <row r="11572" ht="15.75" customHeight="1">
      <c r="A11572" s="1">
        <v>12320.0</v>
      </c>
      <c r="B11572" s="3" t="s">
        <v>11054</v>
      </c>
      <c r="C11572" s="3" t="str">
        <f>IFERROR(__xludf.DUMMYFUNCTION("GOOGLETRANSLATE(B11572,""id"",""en"")"),"['satisfying', 'Telkomsel']")</f>
        <v>['satisfying', 'Telkomsel']</v>
      </c>
      <c r="D11572" s="3">
        <v>5.0</v>
      </c>
    </row>
    <row r="11573" ht="15.75" customHeight="1">
      <c r="A11573" s="1">
        <v>12322.0</v>
      </c>
      <c r="B11573" s="3" t="s">
        <v>11055</v>
      </c>
      <c r="C11573" s="3" t="str">
        <f>IFERROR(__xludf.DUMMYFUNCTION("GOOGLETRANSLATE(B11573,""id"",""en"")"),"['Enter', 'Application', 'Disappointing', 'Customer', 'Telkomsel']")</f>
        <v>['Enter', 'Application', 'Disappointing', 'Customer', 'Telkomsel']</v>
      </c>
      <c r="D11573" s="3">
        <v>1.0</v>
      </c>
    </row>
    <row r="11574" ht="15.75" customHeight="1">
      <c r="A11574" s="1">
        <v>12323.0</v>
      </c>
      <c r="B11574" s="3" t="s">
        <v>11056</v>
      </c>
      <c r="C11574" s="3" t="str">
        <f>IFERROR(__xludf.DUMMYFUNCTION("GOOGLETRANSLATE(B11574,""id"",""en"")"),"['Pas', 'already', 'update', 'open', 'applyaaaaaaa', 'towning', 'aihh']")</f>
        <v>['Pas', 'already', 'update', 'open', 'applyaaaaaaa', 'towning', 'aihh']</v>
      </c>
      <c r="D11574" s="3">
        <v>1.0</v>
      </c>
    </row>
    <row r="11575" ht="15.75" customHeight="1">
      <c r="A11575" s="1">
        <v>12324.0</v>
      </c>
      <c r="B11575" s="3" t="s">
        <v>11057</v>
      </c>
      <c r="C11575" s="3" t="str">
        <f>IFERROR(__xludf.DUMMYFUNCTION("GOOGLETRANSLATE(B11575,""id"",""en"")"),"['Package', 'expensive', 'mending', 'moved', 'next door', 'already', 'cheap', 'price', 'populat', 'bonus',' regret ',' use ',' Telkomsel ',' ']")</f>
        <v>['Package', 'expensive', 'mending', 'moved', 'next door', 'already', 'cheap', 'price', 'populat', 'bonus',' regret ',' use ',' Telkomsel ',' ']</v>
      </c>
      <c r="D11575" s="3">
        <v>1.0</v>
      </c>
    </row>
    <row r="11576" ht="15.75" customHeight="1">
      <c r="A11576" s="1">
        <v>12325.0</v>
      </c>
      <c r="B11576" s="3" t="s">
        <v>11058</v>
      </c>
      <c r="C11576" s="3" t="str">
        <f>IFERROR(__xludf.DUMMYFUNCTION("GOOGLETRANSLATE(B11576,""id"",""en"")"),"['Teruntuk', 'Telkomsel', 'unlimitid', 'limit', 'promo', 'bacot', 'mending', 'selling', 'bro', 'here', 'network', 'slow', ' expensive ',' price ',' quality ',' pulp ',' price ',' quality ',' maslah ',' expensive ',' good ',' here ',' pulp ',' unlimited ',"&amp;"' restrictions' , 'Lawak', 'emang', 'Telkomsel', 'here', 'silly', '']")</f>
        <v>['Teruntuk', 'Telkomsel', 'unlimitid', 'limit', 'promo', 'bacot', 'mending', 'selling', 'bro', 'here', 'network', 'slow', ' expensive ',' price ',' quality ',' pulp ',' price ',' quality ',' maslah ',' expensive ',' good ',' here ',' pulp ',' unlimited ',' restrictions' , 'Lawak', 'emang', 'Telkomsel', 'here', 'silly', '']</v>
      </c>
      <c r="D11576" s="3">
        <v>1.0</v>
      </c>
    </row>
    <row r="11577" ht="15.75" customHeight="1">
      <c r="A11577" s="1">
        <v>12326.0</v>
      </c>
      <c r="B11577" s="3" t="s">
        <v>11059</v>
      </c>
      <c r="C11577" s="3" t="str">
        <f>IFERROR(__xludf.DUMMYFUNCTION("GOOGLETRANSLATE(B11577,""id"",""en"")"),"['User', 'Delete', 'Package', 'Internet', 'Application', 'Karna', 'Rights', 'Karna', 'Buy', 'Package', ""]")</f>
        <v>['User', 'Delete', 'Package', 'Internet', 'Application', 'Karna', 'Rights', 'Karna', 'Buy', 'Package', "]</v>
      </c>
      <c r="D11577" s="3">
        <v>1.0</v>
      </c>
    </row>
    <row r="11578" ht="15.75" customHeight="1">
      <c r="A11578" s="1">
        <v>12327.0</v>
      </c>
      <c r="B11578" s="3" t="s">
        <v>11060</v>
      </c>
      <c r="C11578" s="3" t="str">
        <f>IFERROR(__xludf.DUMMYFUNCTION("GOOGLETRANSLATE(B11578,""id"",""en"")"),"['Open', 'Samsung', 'Askes', 'Samsung', 'Please', 'Action', 'Continue', ""]")</f>
        <v>['Open', 'Samsung', 'Askes', 'Samsung', 'Please', 'Action', 'Continue', "]</v>
      </c>
      <c r="D11578" s="3">
        <v>1.0</v>
      </c>
    </row>
    <row r="11579" ht="15.75" customHeight="1">
      <c r="A11579" s="1">
        <v>12328.0</v>
      </c>
      <c r="B11579" s="3" t="s">
        <v>11061</v>
      </c>
      <c r="C11579" s="3" t="str">
        <f>IFERROR(__xludf.DUMMYFUNCTION("GOOGLETRANSLATE(B11579,""id"",""en"")"),"['unlimited', 'limit', 'how', 'Language', 'English', 'pup', 'yes',' right ',' right ',' pup ',' result ',' expensive ',' In drurries', 'blanond', 'customers',' replace ',' provider ',' very ',' dissapointed ',' ']")</f>
        <v>['unlimited', 'limit', 'how', 'Language', 'English', 'pup', 'yes',' right ',' right ',' pup ',' result ',' expensive ',' In drurries', 'blanond', 'customers',' replace ',' provider ',' very ',' dissapointed ',' ']</v>
      </c>
      <c r="D11579" s="3">
        <v>1.0</v>
      </c>
    </row>
    <row r="11580" ht="15.75" customHeight="1">
      <c r="A11580" s="1">
        <v>12329.0</v>
      </c>
      <c r="B11580" s="3" t="s">
        <v>11062</v>
      </c>
      <c r="C11580" s="3" t="str">
        <f>IFERROR(__xludf.DUMMYFUNCTION("GOOGLETRANSLATE(B11580,""id"",""en"")"),"['Please', 'convenience', 'enter', 'Application', 'Telkomsel', 'Ribet', 'Very', 'Verification', 'Application', 'Activities', 'Banking']")</f>
        <v>['Please', 'convenience', 'enter', 'Application', 'Telkomsel', 'Ribet', 'Very', 'Verification', 'Application', 'Activities', 'Banking']</v>
      </c>
      <c r="D11580" s="3">
        <v>5.0</v>
      </c>
    </row>
    <row r="11581" ht="15.75" customHeight="1">
      <c r="A11581" s="1">
        <v>12330.0</v>
      </c>
      <c r="B11581" s="3" t="s">
        <v>11063</v>
      </c>
      <c r="C11581" s="3" t="str">
        <f>IFERROR(__xludf.DUMMYFUNCTION("GOOGLETRANSLATE(B11581,""id"",""en"")"),"['Provider', 'pulp', 'application', 'pulp', 'internet', 'slow', 'block', '']")</f>
        <v>['Provider', 'pulp', 'application', 'pulp', 'internet', 'slow', 'block', '']</v>
      </c>
      <c r="D11581" s="3">
        <v>1.0</v>
      </c>
    </row>
    <row r="11582" ht="15.75" customHeight="1">
      <c r="A11582" s="1">
        <v>12331.0</v>
      </c>
      <c r="B11582" s="3" t="s">
        <v>11064</v>
      </c>
      <c r="C11582" s="3" t="str">
        <f>IFERROR(__xludf.DUMMYFUNCTION("GOOGLETRANSLATE(B11582,""id"",""en"")"),"['released', 'Erick', 'Meyer', 'rates', 'chaotic', '']")</f>
        <v>['released', 'Erick', 'Meyer', 'rates', 'chaotic', '']</v>
      </c>
      <c r="D11582" s="3">
        <v>1.0</v>
      </c>
    </row>
    <row r="11583" ht="15.75" customHeight="1">
      <c r="A11583" s="1">
        <v>12332.0</v>
      </c>
      <c r="B11583" s="3" t="s">
        <v>11065</v>
      </c>
      <c r="C11583" s="3" t="str">
        <f>IFERROR(__xludf.DUMMYFUNCTION("GOOGLETRANSLATE(B11583,""id"",""en"")"),"['suggestion', 'cave', 'kaga', 'already', 'buy', 'package', 'Telkomsel', 'network', 'kaga', 'different', 'tri']")</f>
        <v>['suggestion', 'cave', 'kaga', 'already', 'buy', 'package', 'Telkomsel', 'network', 'kaga', 'different', 'tri']</v>
      </c>
      <c r="D11583" s="3">
        <v>1.0</v>
      </c>
    </row>
    <row r="11584" ht="15.75" customHeight="1">
      <c r="A11584" s="1">
        <v>12333.0</v>
      </c>
      <c r="B11584" s="3" t="s">
        <v>11066</v>
      </c>
      <c r="C11584" s="3" t="str">
        <f>IFERROR(__xludf.DUMMYFUNCTION("GOOGLETRANSLATE(B11584,""id"",""en"")"),"['MyTelkom', 'great', 'easy', 'cheap', 'accessed', 'Where', '']")</f>
        <v>['MyTelkom', 'great', 'easy', 'cheap', 'accessed', 'Where', '']</v>
      </c>
      <c r="D11584" s="3">
        <v>5.0</v>
      </c>
    </row>
    <row r="11585" ht="15.75" customHeight="1">
      <c r="A11585" s="1">
        <v>12334.0</v>
      </c>
      <c r="B11585" s="3" t="s">
        <v>11067</v>
      </c>
      <c r="C11585" s="3" t="str">
        <f>IFERROR(__xludf.DUMMYFUNCTION("GOOGLETRANSLATE(B11585,""id"",""en"")"),"['users', 'Telkomsel', 'difficult', 'network', 'strong', 'fast']")</f>
        <v>['users', 'Telkomsel', 'difficult', 'network', 'strong', 'fast']</v>
      </c>
      <c r="D11585" s="3">
        <v>5.0</v>
      </c>
    </row>
    <row r="11586" ht="15.75" customHeight="1">
      <c r="A11586" s="1">
        <v>12335.0</v>
      </c>
      <c r="B11586" s="3" t="s">
        <v>11068</v>
      </c>
      <c r="C11586" s="3" t="str">
        <f>IFERROR(__xludf.DUMMYFUNCTION("GOOGLETRANSLATE(B11586,""id"",""en"")"),"['Option', 'Locking', 'Credit', 'Rich', 'Axis', 'Nga', 'Pulse', 'Raib']")</f>
        <v>['Option', 'Locking', 'Credit', 'Rich', 'Axis', 'Nga', 'Pulse', 'Raib']</v>
      </c>
      <c r="D11586" s="3">
        <v>2.0</v>
      </c>
    </row>
    <row r="11587" ht="15.75" customHeight="1">
      <c r="A11587" s="1">
        <v>12336.0</v>
      </c>
      <c r="B11587" s="3" t="s">
        <v>11069</v>
      </c>
      <c r="C11587" s="3" t="str">
        <f>IFERROR(__xludf.DUMMYFUNCTION("GOOGLETRANSLATE(B11587,""id"",""en"")"),"['Date', 'December', 'already', 'Application', 'Open', 'Line', 'Chat', 'Until', 'Connected', 'Customer', 'Servicenya', 'Date', ' December ',' process', 'Wait', 'Repond', 'Chat', 'Invased', 'Live', 'Sleep', 'Miminya', 'Nanya', 'Details',' Constraints', 'ex"&amp;"perienced' , 'please', 'clock', 'that's like', 'already', 'sleep', 'served', 'right', 'morning', 'janyanya', 'morning', '']")</f>
        <v>['Date', 'December', 'already', 'Application', 'Open', 'Line', 'Chat', 'Until', 'Connected', 'Customer', 'Servicenya', 'Date', ' December ',' process', 'Wait', 'Repond', 'Chat', 'Invased', 'Live', 'Sleep', 'Miminya', 'Nanya', 'Details',' Constraints', 'experienced' , 'please', 'clock', 'that's like', 'already', 'sleep', 'served', 'right', 'morning', 'janyanya', 'morning', '']</v>
      </c>
      <c r="D11587" s="3">
        <v>1.0</v>
      </c>
    </row>
    <row r="11588" ht="15.75" customHeight="1">
      <c r="A11588" s="1">
        <v>12338.0</v>
      </c>
      <c r="B11588" s="3" t="s">
        <v>11070</v>
      </c>
      <c r="C11588" s="3" t="str">
        <f>IFERROR(__xludf.DUMMYFUNCTION("GOOGLETRANSLATE(B11588,""id"",""en"")"),"['Not bad', 'fast', 'darling', 'regone', 'package', 'expensive', 'boss']")</f>
        <v>['Not bad', 'fast', 'darling', 'regone', 'package', 'expensive', 'boss']</v>
      </c>
      <c r="D11588" s="3">
        <v>3.0</v>
      </c>
    </row>
    <row r="11589" ht="15.75" customHeight="1">
      <c r="A11589" s="1">
        <v>12339.0</v>
      </c>
      <c r="B11589" s="3" t="s">
        <v>11071</v>
      </c>
      <c r="C11589" s="3" t="str">
        <f>IFERROR(__xludf.DUMMYFUNCTION("GOOGLETRANSLATE(B11589,""id"",""en"")"),"['mntap', 'application', '']")</f>
        <v>['mntap', 'application', '']</v>
      </c>
      <c r="D11589" s="3">
        <v>5.0</v>
      </c>
    </row>
    <row r="11590" ht="15.75" customHeight="1">
      <c r="A11590" s="1">
        <v>12340.0</v>
      </c>
      <c r="B11590" s="3" t="s">
        <v>11072</v>
      </c>
      <c r="C11590" s="3" t="str">
        <f>IFERROR(__xludf.DUMMYFUNCTION("GOOGLETRANSLATE(B11590,""id"",""en"")"),"['Update', 'Mulu', 'Application', 'Network', 'Udgrade', 'Wonder', 'Quotes', 'Expensive', 'Network', 'Lemot']")</f>
        <v>['Update', 'Mulu', 'Application', 'Network', 'Udgrade', 'Wonder', 'Quotes', 'Expensive', 'Network', 'Lemot']</v>
      </c>
      <c r="D11590" s="3">
        <v>1.0</v>
      </c>
    </row>
    <row r="11591" ht="15.75" customHeight="1">
      <c r="A11591" s="1">
        <v>12341.0</v>
      </c>
      <c r="B11591" s="3" t="s">
        <v>11073</v>
      </c>
      <c r="C11591" s="3" t="str">
        <f>IFERROR(__xludf.DUMMYFUNCTION("GOOGLETRANSLATE(B11591,""id"",""en"")"),"['Disappointed', 'Srkali', 'Application', 'Open', 'Screen', 'White', 'Bener', 'Disappointed']")</f>
        <v>['Disappointed', 'Srkali', 'Application', 'Open', 'Screen', 'White', 'Bener', 'Disappointed']</v>
      </c>
      <c r="D11591" s="3">
        <v>5.0</v>
      </c>
    </row>
    <row r="11592" ht="15.75" customHeight="1">
      <c r="A11592" s="1">
        <v>12342.0</v>
      </c>
      <c r="B11592" s="3" t="s">
        <v>11074</v>
      </c>
      <c r="C11592" s="3" t="str">
        <f>IFERROR(__xludf.DUMMYFUNCTION("GOOGLETRANSLATE(B11592,""id"",""en"")"),"['Signal', 'Joblok', 'Jakarta', 'East', 'Nge', 'Game', 'Olshop', 'Ngelag', 'Change', 'Provider', 'Better', 'Solution']")</f>
        <v>['Signal', 'Joblok', 'Jakarta', 'East', 'Nge', 'Game', 'Olshop', 'Ngelag', 'Change', 'Provider', 'Better', 'Solution']</v>
      </c>
      <c r="D11592" s="3">
        <v>1.0</v>
      </c>
    </row>
    <row r="11593" ht="15.75" customHeight="1">
      <c r="A11593" s="1">
        <v>12343.0</v>
      </c>
      <c r="B11593" s="3" t="s">
        <v>11075</v>
      </c>
      <c r="C11593" s="3" t="str">
        <f>IFERROR(__xludf.DUMMYFUNCTION("GOOGLETRANSLATE(B11593,""id"",""en"")"),"['skrng', 'buy', 'pulse', 'chick', 'silver', 'cth', 'buy', 'cheek', 'gabisa', 'buy', 'quota', 'idiot', ' Telkomsel ',' Gajelas', 'babby']")</f>
        <v>['skrng', 'buy', 'pulse', 'chick', 'silver', 'cth', 'buy', 'cheek', 'gabisa', 'buy', 'quota', 'idiot', ' Telkomsel ',' Gajelas', 'babby']</v>
      </c>
      <c r="D11593" s="3">
        <v>1.0</v>
      </c>
    </row>
    <row r="11594" ht="15.75" customHeight="1">
      <c r="A11594" s="1">
        <v>12344.0</v>
      </c>
      <c r="B11594" s="3" t="s">
        <v>11076</v>
      </c>
      <c r="C11594" s="3" t="str">
        <f>IFERROR(__xludf.DUMMYFUNCTION("GOOGLETRANSLATE(B11594,""id"",""en"")"),"['No', 'Open', 'Application', 'Telkomsel', '']")</f>
        <v>['No', 'Open', 'Application', 'Telkomsel', '']</v>
      </c>
      <c r="D11594" s="3">
        <v>1.0</v>
      </c>
    </row>
    <row r="11595" ht="15.75" customHeight="1">
      <c r="A11595" s="1">
        <v>12345.0</v>
      </c>
      <c r="B11595" s="3" t="s">
        <v>11077</v>
      </c>
      <c r="C11595" s="3" t="str">
        <f>IFERROR(__xludf.DUMMYFUNCTION("GOOGLETRANSLATE(B11595,""id"",""en"")"),"['Simple', 'Byk', 'promo', 'hope', 'next', 'byk', 'package', 'combo', 'promo', 'special']")</f>
        <v>['Simple', 'Byk', 'promo', 'hope', 'next', 'byk', 'package', 'combo', 'promo', 'special']</v>
      </c>
      <c r="D11595" s="3">
        <v>4.0</v>
      </c>
    </row>
    <row r="11596" ht="15.75" customHeight="1">
      <c r="A11596" s="1">
        <v>12346.0</v>
      </c>
      <c r="B11596" s="3" t="s">
        <v>11078</v>
      </c>
      <c r="C11596" s="3" t="str">
        <f>IFERROR(__xludf.DUMMYFUNCTION("GOOGLETRANSLATE(B11596,""id"",""en"")"),"['network', 'bad', 'that's', 'package', 'expensive', 'network', 'bad', 'as a result', 'move', 'provider', 'network', 'rely on' rare ',' disorder ',' provider ',' thank ',' love ',' Telkomsel ']")</f>
        <v>['network', 'bad', 'that's', 'package', 'expensive', 'network', 'bad', 'as a result', 'move', 'provider', 'network', 'rely on' rare ',' disorder ',' provider ',' thank ',' love ',' Telkomsel ']</v>
      </c>
      <c r="D11596" s="3">
        <v>1.0</v>
      </c>
    </row>
    <row r="11597" ht="15.75" customHeight="1">
      <c r="A11597" s="1">
        <v>12347.0</v>
      </c>
      <c r="B11597" s="3" t="s">
        <v>11079</v>
      </c>
      <c r="C11597" s="3" t="str">
        <f>IFERROR(__xludf.DUMMYFUNCTION("GOOGLETRANSLATE(B11597,""id"",""en"")"),"['already', 'expensive', 'signal', 'ugly', 'point', 'promo', 'little', 'price']")</f>
        <v>['already', 'expensive', 'signal', 'ugly', 'point', 'promo', 'little', 'price']</v>
      </c>
      <c r="D11597" s="3">
        <v>1.0</v>
      </c>
    </row>
    <row r="11598" ht="15.75" customHeight="1">
      <c r="A11598" s="1">
        <v>12348.0</v>
      </c>
      <c r="B11598" s="3" t="s">
        <v>11080</v>
      </c>
      <c r="C11598" s="3" t="str">
        <f>IFERROR(__xludf.DUMMYFUNCTION("GOOGLETRANSLATE(B11598,""id"",""en"")"),"['open', 'application', 'cellphone', 'please', 'fix', '']")</f>
        <v>['open', 'application', 'cellphone', 'please', 'fix', '']</v>
      </c>
      <c r="D11598" s="3">
        <v>1.0</v>
      </c>
    </row>
    <row r="11599" ht="15.75" customHeight="1">
      <c r="A11599" s="1">
        <v>12349.0</v>
      </c>
      <c r="B11599" s="3" t="s">
        <v>11081</v>
      </c>
      <c r="C11599" s="3" t="str">
        <f>IFERROR(__xludf.DUMMYFUNCTION("GOOGLETRANSLATE(B11599,""id"",""en"")"),"['buy', 'package', 'app', 'open', 'how', 'Telkomsel', 'please work', 'weapon', ""]")</f>
        <v>['buy', 'package', 'app', 'open', 'how', 'Telkomsel', 'please work', 'weapon', "]</v>
      </c>
      <c r="D11599" s="3">
        <v>1.0</v>
      </c>
    </row>
    <row r="11600" ht="15.75" customHeight="1">
      <c r="A11600" s="1">
        <v>12350.0</v>
      </c>
      <c r="B11600" s="3" t="s">
        <v>11082</v>
      </c>
      <c r="C11600" s="3" t="str">
        <f>IFERROR(__xludf.DUMMYFUNCTION("GOOGLETRANSLATE(B11600,""id"",""en"")"),"['Application', 'MyTelkomsel', 'accessed', 'download', 'use', 'Lite', 'logo', 'white', 'update', 'tan', 'logo', 'red', ' Posts', 'Application', 'Service', 'Decline', '']")</f>
        <v>['Application', 'MyTelkomsel', 'accessed', 'download', 'use', 'Lite', 'logo', 'white', 'update', 'tan', 'logo', 'red', ' Posts', 'Application', 'Service', 'Decline', '']</v>
      </c>
      <c r="D11600" s="3">
        <v>1.0</v>
      </c>
    </row>
    <row r="11601" ht="15.75" customHeight="1">
      <c r="A11601" s="1">
        <v>12351.0</v>
      </c>
      <c r="B11601" s="3" t="s">
        <v>11083</v>
      </c>
      <c r="C11601" s="3" t="str">
        <f>IFERROR(__xludf.DUMMYFUNCTION("GOOGLETRANSLATE(B11601,""id"",""en"")"),"['application', 'signal', 'price', 'waiter', 'quality', 'deteriorating', 'company', 'state', 'servant', 'bad', 'signal', 'price', ' Paketan ',' Please ',' Fast ',' Lined ',' Move ',' Provider ',' Bankrupt ',' ']")</f>
        <v>['application', 'signal', 'price', 'waiter', 'quality', 'deteriorating', 'company', 'state', 'servant', 'bad', 'signal', 'price', ' Paketan ',' Please ',' Fast ',' Lined ',' Move ',' Provider ',' Bankrupt ',' ']</v>
      </c>
      <c r="D11601" s="3">
        <v>1.0</v>
      </c>
    </row>
    <row r="11602" ht="15.75" customHeight="1">
      <c r="A11602" s="1">
        <v>12352.0</v>
      </c>
      <c r="B11602" s="3" t="s">
        <v>11084</v>
      </c>
      <c r="C11602" s="3" t="str">
        <f>IFERROR(__xludf.DUMMYFUNCTION("GOOGLETRANSLATE(B11602,""id"",""en"")"),"['Anyway', 'steady', 'bnget', 'dehhh', '']")</f>
        <v>['Anyway', 'steady', 'bnget', 'dehhh', '']</v>
      </c>
      <c r="D11602" s="3">
        <v>5.0</v>
      </c>
    </row>
    <row r="11603" ht="15.75" customHeight="1">
      <c r="A11603" s="1">
        <v>12353.0</v>
      </c>
      <c r="B11603" s="3" t="s">
        <v>11085</v>
      </c>
      <c r="C11603" s="3" t="str">
        <f>IFERROR(__xludf.DUMMYFUNCTION("GOOGLETRANSLATE(B11603,""id"",""en"")"),"['card', 'sympathy', 'already', 'delicious', 'use', 'signal', 'good', 'disappointed', 'heavy']")</f>
        <v>['card', 'sympathy', 'already', 'delicious', 'use', 'signal', 'good', 'disappointed', 'heavy']</v>
      </c>
      <c r="D11603" s="3">
        <v>1.0</v>
      </c>
    </row>
    <row r="11604" ht="15.75" customHeight="1">
      <c r="A11604" s="1">
        <v>12354.0</v>
      </c>
      <c r="B11604" s="3" t="s">
        <v>11086</v>
      </c>
      <c r="C11604" s="3" t="str">
        <f>IFERROR(__xludf.DUMMYFUNCTION("GOOGLETRANSLATE(B11604,""id"",""en"")"),"['How', 'open', 'Telkomsel', 'difficult', 'times', 'enter']")</f>
        <v>['How', 'open', 'Telkomsel', 'difficult', 'times', 'enter']</v>
      </c>
      <c r="D11604" s="3">
        <v>1.0</v>
      </c>
    </row>
    <row r="11605" ht="15.75" customHeight="1">
      <c r="A11605" s="1">
        <v>12355.0</v>
      </c>
      <c r="B11605" s="3" t="s">
        <v>11087</v>
      </c>
      <c r="C11605" s="3" t="str">
        <f>IFERROR(__xludf.DUMMYFUNCTION("GOOGLETRANSLATE(B11605,""id"",""en"")"),"['Hello', 'admin', 'Please', 'Sorry', 'tells',' Application ',' Use ',' Samsung ',' Application ',' Open ',' Screen ',' Colored ',' White ',' Please ',' Application ',' Updated ',' Quality ',' User ',' Telkomsel ',' Difficult ',' Open ',' Application ',' "&amp;"Paketan ',' Data ',' Telkomsel ' , 'expensive', 'thank you', 'admin', 'Please', 'followed up', ""]")</f>
        <v>['Hello', 'admin', 'Please', 'Sorry', 'tells',' Application ',' Use ',' Samsung ',' Application ',' Open ',' Screen ',' Colored ',' White ',' Please ',' Application ',' Updated ',' Quality ',' User ',' Telkomsel ',' Difficult ',' Open ',' Application ',' Paketan ',' Data ',' Telkomsel ' , 'expensive', 'thank you', 'admin', 'Please', 'followed up', "]</v>
      </c>
      <c r="D11605" s="3">
        <v>1.0</v>
      </c>
    </row>
    <row r="11606" ht="15.75" customHeight="1">
      <c r="A11606" s="1">
        <v>12356.0</v>
      </c>
      <c r="B11606" s="3" t="s">
        <v>11088</v>
      </c>
      <c r="C11606" s="3" t="str">
        <f>IFERROR(__xludf.DUMMYFUNCTION("GOOGLETRANSLATE(B11606,""id"",""en"")"),"['Network', 'Telkomsel', 'Please', 'Fix', 'Donk', 'Region', 'Kalianyar', 'Tambora', 'Connection', 'Severe', 'Buy', 'Package', ' expensive ',' connection ',' mah ',' ugly ',' severe ',' Telkomsel ',' ']")</f>
        <v>['Network', 'Telkomsel', 'Please', 'Fix', 'Donk', 'Region', 'Kalianyar', 'Tambora', 'Connection', 'Severe', 'Buy', 'Package', ' expensive ',' connection ',' mah ',' ugly ',' severe ',' Telkomsel ',' ']</v>
      </c>
      <c r="D11606" s="3">
        <v>1.0</v>
      </c>
    </row>
    <row r="11607" ht="15.75" customHeight="1">
      <c r="A11607" s="1">
        <v>12357.0</v>
      </c>
      <c r="B11607" s="3" t="s">
        <v>11089</v>
      </c>
      <c r="C11607" s="3" t="str">
        <f>IFERROR(__xludf.DUMMYFUNCTION("GOOGLETRANSLATE(B11607,""id"",""en"")"),"['signal', 'Telkomsel', 'Bogor', 'City', 'Regency', 'Burik', 'Please', 'Min', 'Fix', 'LGI', 'Network']")</f>
        <v>['signal', 'Telkomsel', 'Bogor', 'City', 'Regency', 'Burik', 'Please', 'Min', 'Fix', 'LGI', 'Network']</v>
      </c>
      <c r="D11607" s="3">
        <v>1.0</v>
      </c>
    </row>
    <row r="11608" ht="15.75" customHeight="1">
      <c r="A11608" s="1">
        <v>12358.0</v>
      </c>
      <c r="B11608" s="3" t="s">
        <v>11090</v>
      </c>
      <c r="C11608" s="3" t="str">
        <f>IFERROR(__xludf.DUMMYFUNCTION("GOOGLETRANSLATE(B11608,""id"",""en"")"),"['promo', 'bought', 'pay', 'pulse', 'difficult', 'forgiveness', 'as a result', 'right', 'manual', 'repaired', ""]")</f>
        <v>['promo', 'bought', 'pay', 'pulse', 'difficult', 'forgiveness', 'as a result', 'right', 'manual', 'repaired', "]</v>
      </c>
      <c r="D11608" s="3">
        <v>1.0</v>
      </c>
    </row>
    <row r="11609" ht="15.75" customHeight="1">
      <c r="A11609" s="1">
        <v>12359.0</v>
      </c>
      <c r="B11609" s="3" t="s">
        <v>11091</v>
      </c>
      <c r="C11609" s="3" t="str">
        <f>IFERROR(__xludf.DUMMYFUNCTION("GOOGLETRANSLATE(B11609,""id"",""en"")"),"['Cheap', 'fast']")</f>
        <v>['Cheap', 'fast']</v>
      </c>
      <c r="D11609" s="3">
        <v>5.0</v>
      </c>
    </row>
    <row r="11610" ht="15.75" customHeight="1">
      <c r="A11610" s="1">
        <v>12360.0</v>
      </c>
      <c r="B11610" s="3" t="s">
        <v>11092</v>
      </c>
      <c r="C11610" s="3" t="str">
        <f>IFERROR(__xludf.DUMMYFUNCTION("GOOGLETRANSLATE(B11610,""id"",""en"")"),"['APK', 'Open', 'Please', '']")</f>
        <v>['APK', 'Open', 'Please', '']</v>
      </c>
      <c r="D11610" s="3">
        <v>3.0</v>
      </c>
    </row>
    <row r="11611" ht="15.75" customHeight="1">
      <c r="A11611" s="1">
        <v>12361.0</v>
      </c>
      <c r="B11611" s="3" t="s">
        <v>11093</v>
      </c>
      <c r="C11611" s="3" t="str">
        <f>IFERROR(__xludf.DUMMYFUNCTION("GOOGLETRANSLATE(B11611,""id"",""en"")"),"['buy', 'pay', 'quota', 'enter', 'yaa', 'please', 'action', 'continue', ""]")</f>
        <v>['buy', 'pay', 'quota', 'enter', 'yaa', 'please', 'action', 'continue', "]</v>
      </c>
      <c r="D11611" s="3">
        <v>1.0</v>
      </c>
    </row>
    <row r="11612" ht="15.75" customHeight="1">
      <c r="A11612" s="1">
        <v>12362.0</v>
      </c>
      <c r="B11612" s="3" t="s">
        <v>11094</v>
      </c>
      <c r="C11612" s="3" t="str">
        <f>IFERROR(__xludf.DUMMYFUNCTION("GOOGLETRANSLATE(B11612,""id"",""en"")"),"['Please', 'network', 'internet', 'Telkomsel', 'improved', 'network', 'internet', 'Telkomsel', 'as fast as',' special ',' located ',' area ',' Mountains', 'Good', 'TPI', 'Weak', 'Network', 'Thank you', ""]")</f>
        <v>['Please', 'network', 'internet', 'Telkomsel', 'improved', 'network', 'internet', 'Telkomsel', 'as fast as',' special ',' located ',' area ',' Mountains', 'Good', 'TPI', 'Weak', 'Network', 'Thank you', "]</v>
      </c>
      <c r="D11612" s="3">
        <v>3.0</v>
      </c>
    </row>
    <row r="11613" ht="15.75" customHeight="1">
      <c r="A11613" s="1">
        <v>12363.0</v>
      </c>
      <c r="B11613" s="3" t="s">
        <v>11095</v>
      </c>
      <c r="C11613" s="3" t="str">
        <f>IFERROR(__xludf.DUMMYFUNCTION("GOOGLETRANSLATE(B11613,""id"",""en"")"),"['', 'Telkomsel', 'kog', 'screen', 'white', 'before', 'nsh', 'bsa', 'knp', 'skr', 'uda', 'bsa', 'annoying ']")</f>
        <v>['', 'Telkomsel', 'kog', 'screen', 'white', 'before', 'nsh', 'bsa', 'knp', 'skr', 'uda', 'bsa', 'annoying ']</v>
      </c>
      <c r="D11613" s="3">
        <v>1.0</v>
      </c>
    </row>
    <row r="11614" ht="15.75" customHeight="1">
      <c r="A11614" s="1">
        <v>12364.0</v>
      </c>
      <c r="B11614" s="3" t="s">
        <v>11096</v>
      </c>
      <c r="C11614" s="3" t="str">
        <f>IFERROR(__xludf.DUMMYFUNCTION("GOOGLETRANSLATE(B11614,""id"",""en"")"),"['application', 'open', 'display', 'screen', 'white']")</f>
        <v>['application', 'open', 'display', 'screen', 'white']</v>
      </c>
      <c r="D11614" s="3">
        <v>1.0</v>
      </c>
    </row>
    <row r="11615" ht="15.75" customHeight="1">
      <c r="A11615" s="1">
        <v>12365.0</v>
      </c>
      <c r="B11615" s="3" t="s">
        <v>9019</v>
      </c>
      <c r="C11615" s="3" t="str">
        <f>IFERROR(__xludf.DUMMYFUNCTION("GOOGLETRANSLATE(B11615,""id"",""en"")"),"['Open', 'APK']")</f>
        <v>['Open', 'APK']</v>
      </c>
      <c r="D11615" s="3">
        <v>1.0</v>
      </c>
    </row>
    <row r="11616" ht="15.75" customHeight="1">
      <c r="A11616" s="1">
        <v>12366.0</v>
      </c>
      <c r="B11616" s="3" t="s">
        <v>11097</v>
      </c>
      <c r="C11616" s="3" t="str">
        <f>IFERROR(__xludf.DUMMYFUNCTION("GOOGLETRANSLATE(B11616,""id"",""en"")"),"['Gymna', 'APK', 'Open', 'parahhh']")</f>
        <v>['Gymna', 'APK', 'Open', 'parahhh']</v>
      </c>
      <c r="D11616" s="3">
        <v>2.0</v>
      </c>
    </row>
    <row r="11617" ht="15.75" customHeight="1">
      <c r="A11617" s="1">
        <v>12367.0</v>
      </c>
      <c r="B11617" s="3" t="s">
        <v>11098</v>
      </c>
      <c r="C11617" s="3" t="str">
        <f>IFERROR(__xludf.DUMMYFUNCTION("GOOGLETRANSLATE(B11617,""id"",""en"")"),"['Blank', 'White', 'Sunday', 'Opened']")</f>
        <v>['Blank', 'White', 'Sunday', 'Opened']</v>
      </c>
      <c r="D11617" s="3">
        <v>5.0</v>
      </c>
    </row>
    <row r="11618" ht="15.75" customHeight="1">
      <c r="A11618" s="1">
        <v>12368.0</v>
      </c>
      <c r="B11618" s="3" t="s">
        <v>11099</v>
      </c>
      <c r="C11618" s="3" t="str">
        <f>IFERROR(__xludf.DUMMYFUNCTION("GOOGLETRANSLATE(B11618,""id"",""en"")"),"['Application', 'Open', 'Network', 'Lemot']")</f>
        <v>['Application', 'Open', 'Network', 'Lemot']</v>
      </c>
      <c r="D11618" s="3">
        <v>1.0</v>
      </c>
    </row>
    <row r="11619" ht="15.75" customHeight="1">
      <c r="A11619" s="1">
        <v>12369.0</v>
      </c>
      <c r="B11619" s="3" t="s">
        <v>11100</v>
      </c>
      <c r="C11619" s="3" t="str">
        <f>IFERROR(__xludf.DUMMYFUNCTION("GOOGLETRANSLATE(B11619,""id"",""en"")"),"['week', 'access',' Telkomsel ',' since 'since' upgraded ',' version ',' newest ',' Please ',' noticed ',' difficulty ',' monitor ',' status', ' quota ',' pulse ',' shopping ']")</f>
        <v>['week', 'access',' Telkomsel ',' since 'since' upgraded ',' version ',' newest ',' Please ',' noticed ',' difficulty ',' monitor ',' status', ' quota ',' pulse ',' shopping ']</v>
      </c>
      <c r="D11619" s="3">
        <v>5.0</v>
      </c>
    </row>
    <row r="11620" ht="15.75" customHeight="1">
      <c r="A11620" s="1">
        <v>12370.0</v>
      </c>
      <c r="B11620" s="3" t="s">
        <v>11101</v>
      </c>
      <c r="C11620" s="3" t="str">
        <f>IFERROR(__xludf.DUMMYFUNCTION("GOOGLETRANSLATE(B11620,""id"",""en"")"),"['Package', 'Combo', 'Sakti', 'price', 'already', 'use', 'forced', 'home', 'signal', 'good', ""]")</f>
        <v>['Package', 'Combo', 'Sakti', 'price', 'already', 'use', 'forced', 'home', 'signal', 'good', "]</v>
      </c>
      <c r="D11620" s="3">
        <v>1.0</v>
      </c>
    </row>
    <row r="11621" ht="15.75" customHeight="1">
      <c r="A11621" s="1">
        <v>12372.0</v>
      </c>
      <c r="B11621" s="3" t="s">
        <v>11102</v>
      </c>
      <c r="C11621" s="3" t="str">
        <f>IFERROR(__xludf.DUMMYFUNCTION("GOOGLETRANSLATE(B11621,""id"",""en"")"),"['Lemot', 'Application', 'Blank', 'White', 'Opened']")</f>
        <v>['Lemot', 'Application', 'Blank', 'White', 'Opened']</v>
      </c>
      <c r="D11621" s="3">
        <v>1.0</v>
      </c>
    </row>
    <row r="11622" ht="15.75" customHeight="1">
      <c r="A11622" s="1">
        <v>12374.0</v>
      </c>
      <c r="B11622" s="3" t="s">
        <v>11103</v>
      </c>
      <c r="C11622" s="3" t="str">
        <f>IFERROR(__xludf.DUMMYFUNCTION("GOOGLETRANSLATE(B11622,""id"",""en"")"),"['Tide', 'Paketan', 'The application', 'opened', 'Severe', '']")</f>
        <v>['Tide', 'Paketan', 'The application', 'opened', 'Severe', '']</v>
      </c>
      <c r="D11622" s="3">
        <v>1.0</v>
      </c>
    </row>
    <row r="11623" ht="15.75" customHeight="1">
      <c r="A11623" s="1">
        <v>12375.0</v>
      </c>
      <c r="B11623" s="3" t="s">
        <v>11104</v>
      </c>
      <c r="C11623" s="3" t="str">
        <f>IFERROR(__xludf.DUMMYFUNCTION("GOOGLETRANSLATE(B11623,""id"",""en"")"),"['thank', 'love', 'Telkomsel', 'can', 'promo', 'keep', 'continue', 'promo', 'yaaa', 'good']")</f>
        <v>['thank', 'love', 'Telkomsel', 'can', 'promo', 'keep', 'continue', 'promo', 'yaaa', 'good']</v>
      </c>
      <c r="D11623" s="3">
        <v>5.0</v>
      </c>
    </row>
    <row r="11624" ht="15.75" customHeight="1">
      <c r="A11624" s="1">
        <v>12376.0</v>
      </c>
      <c r="B11624" s="3" t="s">
        <v>11105</v>
      </c>
      <c r="C11624" s="3" t="str">
        <f>IFERROR(__xludf.DUMMYFUNCTION("GOOGLETRANSLATE(B11624,""id"",""en"")"),"['oath', 'open', 'application', 'loading', 'internet', 'smooth', 'times', 'that's', 'yahahahaha', 'men']")</f>
        <v>['oath', 'open', 'application', 'loading', 'internet', 'smooth', 'times', 'that's', 'yahahahaha', 'men']</v>
      </c>
      <c r="D11624" s="3">
        <v>1.0</v>
      </c>
    </row>
    <row r="11625" ht="15.75" customHeight="1">
      <c r="A11625" s="1">
        <v>12377.0</v>
      </c>
      <c r="B11625" s="3" t="s">
        <v>11106</v>
      </c>
      <c r="C11625" s="3" t="str">
        <f>IFERROR(__xludf.DUMMYFUNCTION("GOOGLETRANSLATE(B11625,""id"",""en"")"),"['ngak', 'open', 'CMA', 'color', 'white', 'screen', 'hadeeeeh', '']")</f>
        <v>['ngak', 'open', 'CMA', 'color', 'white', 'screen', 'hadeeeeh', '']</v>
      </c>
      <c r="D11625" s="3">
        <v>1.0</v>
      </c>
    </row>
    <row r="11626" ht="15.75" customHeight="1">
      <c r="A11626" s="1">
        <v>12378.0</v>
      </c>
      <c r="B11626" s="3" t="s">
        <v>11107</v>
      </c>
      <c r="C11626" s="3" t="str">
        <f>IFERROR(__xludf.DUMMYFUNCTION("GOOGLETRANSLATE(B11626,""id"",""en"")"),"['min', 'how', 'already', 'complain', 'Twitter', 'response', 'activated', 'quota', 'difficult', 'application', 'follow up', 'Diemin', ' Order ',' complain ',' response ',' Gimanasih ', ""]")</f>
        <v>['min', 'how', 'already', 'complain', 'Twitter', 'response', 'activated', 'quota', 'difficult', 'application', 'follow up', 'Diemin', ' Order ',' complain ',' response ',' Gimanasih ', "]</v>
      </c>
      <c r="D11626" s="3">
        <v>1.0</v>
      </c>
    </row>
    <row r="11627" ht="15.75" customHeight="1">
      <c r="A11627" s="1">
        <v>12379.0</v>
      </c>
      <c r="B11627" s="3" t="s">
        <v>11108</v>
      </c>
      <c r="C11627" s="3" t="str">
        <f>IFERROR(__xludf.DUMMYFUNCTION("GOOGLETRANSLATE(B11627,""id"",""en"")"),"['Please', 'Increase', 'Quality', 'Enter', 'Open', 'Application']")</f>
        <v>['Please', 'Increase', 'Quality', 'Enter', 'Open', 'Application']</v>
      </c>
      <c r="D11627" s="3">
        <v>1.0</v>
      </c>
    </row>
    <row r="11628" ht="15.75" customHeight="1">
      <c r="A11628" s="1">
        <v>12380.0</v>
      </c>
      <c r="B11628" s="3" t="s">
        <v>11109</v>
      </c>
      <c r="C11628" s="3" t="str">
        <f>IFERROR(__xludf.DUMMYFUNCTION("GOOGLETRANSLATE(B11628,""id"",""en"")"),"['screen', 'white', 'Sis', 'already', 'times', 'unistal', 'screen', 'white', 'really', 'Telkomsel']")</f>
        <v>['screen', 'white', 'Sis', 'already', 'times', 'unistal', 'screen', 'white', 'really', 'Telkomsel']</v>
      </c>
      <c r="D11628" s="3">
        <v>1.0</v>
      </c>
    </row>
    <row r="11629" ht="15.75" customHeight="1">
      <c r="A11629" s="1">
        <v>12381.0</v>
      </c>
      <c r="B11629" s="3" t="s">
        <v>11110</v>
      </c>
      <c r="C11629" s="3" t="str">
        <f>IFERROR(__xludf.DUMMYFUNCTION("GOOGLETRANSLATE(B11629,""id"",""en"")"),"['Often', 'Ngdownload', 'Application', 'MyTelkomsel', 'PNH', 'Dbuka', 'Buy', 'Credit', 'Content', 'Package', 'Cut', 'Buy', ' pulse']")</f>
        <v>['Often', 'Ngdownload', 'Application', 'MyTelkomsel', 'PNH', 'Dbuka', 'Buy', 'Credit', 'Content', 'Package', 'Cut', 'Buy', ' pulse']</v>
      </c>
      <c r="D11629" s="3">
        <v>1.0</v>
      </c>
    </row>
    <row r="11630" ht="15.75" customHeight="1">
      <c r="A11630" s="1">
        <v>12382.0</v>
      </c>
      <c r="B11630" s="3" t="s">
        <v>11111</v>
      </c>
      <c r="C11630" s="3" t="str">
        <f>IFERROR(__xludf.DUMMYFUNCTION("GOOGLETRANSLATE(B11630,""id"",""en"")"),"['Help', 'staple', 'help']")</f>
        <v>['Help', 'staple', 'help']</v>
      </c>
      <c r="D11630" s="3">
        <v>5.0</v>
      </c>
    </row>
    <row r="11631" ht="15.75" customHeight="1">
      <c r="A11631" s="1">
        <v>12383.0</v>
      </c>
      <c r="B11631" s="3" t="s">
        <v>11112</v>
      </c>
      <c r="C11631" s="3" t="str">
        <f>IFERROR(__xludf.DUMMYFUNCTION("GOOGLETRANSLATE(B11631,""id"",""en"")"),"['Stuck', 'Blank', 'White', 'Mulu', 'Wey', 'Benerin']")</f>
        <v>['Stuck', 'Blank', 'White', 'Mulu', 'Wey', 'Benerin']</v>
      </c>
      <c r="D11631" s="3">
        <v>1.0</v>
      </c>
    </row>
    <row r="11632" ht="15.75" customHeight="1">
      <c r="A11632" s="1">
        <v>12384.0</v>
      </c>
      <c r="B11632" s="3" t="s">
        <v>11113</v>
      </c>
      <c r="C11632" s="3" t="str">
        <f>IFERROR(__xludf.DUMMYFUNCTION("GOOGLETRANSLATE(B11632,""id"",""en"")"),"['Reach', 'easy', 'fast']")</f>
        <v>['Reach', 'easy', 'fast']</v>
      </c>
      <c r="D11632" s="3">
        <v>5.0</v>
      </c>
    </row>
    <row r="11633" ht="15.75" customHeight="1">
      <c r="A11633" s="1">
        <v>12385.0</v>
      </c>
      <c r="B11633" s="3" t="s">
        <v>11114</v>
      </c>
      <c r="C11633" s="3" t="str">
        <f>IFERROR(__xludf.DUMMYFUNCTION("GOOGLETRANSLATE(B11633,""id"",""en"")"),"['Difficult', 'signal', 'Telkomsel', '']")</f>
        <v>['Difficult', 'signal', 'Telkomsel', '']</v>
      </c>
      <c r="D11633" s="3">
        <v>4.0</v>
      </c>
    </row>
    <row r="11634" ht="15.75" customHeight="1">
      <c r="A11634" s="1">
        <v>12386.0</v>
      </c>
      <c r="B11634" s="3" t="s">
        <v>11115</v>
      </c>
      <c r="C11634" s="3" t="str">
        <f>IFERROR(__xludf.DUMMYFUNCTION("GOOGLETRANSLATE(B11634,""id"",""en"")"),"['Bener', 'Nukar', 'Point', 'Underya', 'Win', 'Minister', 'Lucky', 'Please', ""]")</f>
        <v>['Bener', 'Nukar', 'Point', 'Underya', 'Win', 'Minister', 'Lucky', 'Please', "]</v>
      </c>
      <c r="D11634" s="3">
        <v>2.0</v>
      </c>
    </row>
    <row r="11635" ht="15.75" customHeight="1">
      <c r="A11635" s="1">
        <v>12387.0</v>
      </c>
      <c r="B11635" s="3" t="s">
        <v>11116</v>
      </c>
      <c r="C11635" s="3" t="str">
        <f>IFERROR(__xludf.DUMMYFUNCTION("GOOGLETRANSLATE(B11635,""id"",""en"")"),"['', 'Kasi', 'week', 'screen', 'white', 'email', 'blm', 'response', 'knp', 'lyr', 'white', 'beg', 'repaired ',' Telkomsel ',' JNG ',' Disappointed ',' ']")</f>
        <v>['', 'Kasi', 'week', 'screen', 'white', 'email', 'blm', 'response', 'knp', 'lyr', 'white', 'beg', 'repaired ',' Telkomsel ',' JNG ',' Disappointed ',' ']</v>
      </c>
      <c r="D11635" s="3">
        <v>1.0</v>
      </c>
    </row>
    <row r="11636" ht="15.75" customHeight="1">
      <c r="A11636" s="1">
        <v>12388.0</v>
      </c>
      <c r="B11636" s="3" t="s">
        <v>11117</v>
      </c>
      <c r="C11636" s="3" t="str">
        <f>IFERROR(__xludf.DUMMYFUNCTION("GOOGLETRANSLATE(B11636,""id"",""en"")"),"['hope', 'quota', 'lbh', 'cheap']")</f>
        <v>['hope', 'quota', 'lbh', 'cheap']</v>
      </c>
      <c r="D11636" s="3">
        <v>5.0</v>
      </c>
    </row>
    <row r="11637" ht="15.75" customHeight="1">
      <c r="A11637" s="1">
        <v>12389.0</v>
      </c>
      <c r="B11637" s="3" t="s">
        <v>11118</v>
      </c>
      <c r="C11637" s="3" t="str">
        <f>IFERROR(__xludf.DUMMYFUNCTION("GOOGLETRANSLATE(B11637,""id"",""en"")"),"['likes', 'application', 'makes it easy', 'check', 'data', 'credit', 'complicated', 'type', 'type', 'number']")</f>
        <v>['likes', 'application', 'makes it easy', 'check', 'data', 'credit', 'complicated', 'type', 'type', 'number']</v>
      </c>
      <c r="D11637" s="3">
        <v>4.0</v>
      </c>
    </row>
    <row r="11638" ht="15.75" customHeight="1">
      <c r="A11638" s="1">
        <v>12390.0</v>
      </c>
      <c r="B11638" s="3" t="s">
        <v>11119</v>
      </c>
      <c r="C11638" s="3" t="str">
        <f>IFERROR(__xludf.DUMMYFUNCTION("GOOGLETRANSLATE(B11638,""id"",""en"")"),"['Good', 'APK', 'just', 'slow', 'APK', '']")</f>
        <v>['Good', 'APK', 'just', 'slow', 'APK', '']</v>
      </c>
      <c r="D11638" s="3">
        <v>5.0</v>
      </c>
    </row>
    <row r="11639" ht="15.75" customHeight="1">
      <c r="A11639" s="1">
        <v>12392.0</v>
      </c>
      <c r="B11639" s="3" t="s">
        <v>11120</v>
      </c>
      <c r="C11639" s="3" t="str">
        <f>IFERROR(__xludf.DUMMYFUNCTION("GOOGLETRANSLATE(B11639,""id"",""en"")"),"['Provider', 'office', 'dead', 'desktopku', 'network', 'via', 'hotspot', 'package', 'data', 'Telkomsel']")</f>
        <v>['Provider', 'office', 'dead', 'desktopku', 'network', 'via', 'hotspot', 'package', 'data', 'Telkomsel']</v>
      </c>
      <c r="D11639" s="3">
        <v>5.0</v>
      </c>
    </row>
    <row r="11640" ht="15.75" customHeight="1">
      <c r="A11640" s="1">
        <v>12393.0</v>
      </c>
      <c r="B11640" s="3" t="s">
        <v>2551</v>
      </c>
      <c r="C11640" s="3" t="str">
        <f>IFERROR(__xludf.DUMMYFUNCTION("GOOGLETRANSLATE(B11640,""id"",""en"")"),"['Love', 'Bintang', '']")</f>
        <v>['Love', 'Bintang', '']</v>
      </c>
      <c r="D11640" s="3">
        <v>3.0</v>
      </c>
    </row>
    <row r="11641" ht="15.75" customHeight="1">
      <c r="A11641" s="1">
        <v>12394.0</v>
      </c>
      <c r="B11641" s="3" t="s">
        <v>11121</v>
      </c>
      <c r="C11641" s="3" t="str">
        <f>IFERROR(__xludf.DUMMYFUNCTION("GOOGLETRANSLATE(B11641,""id"",""en"")"),"['Love', 'Package', 'GB', 'A Day']")</f>
        <v>['Love', 'Package', 'GB', 'A Day']</v>
      </c>
      <c r="D11641" s="3">
        <v>4.0</v>
      </c>
    </row>
    <row r="11642" ht="15.75" customHeight="1">
      <c r="A11642" s="1">
        <v>12395.0</v>
      </c>
      <c r="B11642" s="3" t="s">
        <v>11122</v>
      </c>
      <c r="C11642" s="3" t="str">
        <f>IFERROR(__xludf.DUMMYFUNCTION("GOOGLETRANSLATE(B11642,""id"",""en"")"),"['Please', 'Service', 'Increase', 'Application', 'Open', 'Delete', 'then', 'Download', 'Open', '']")</f>
        <v>['Please', 'Service', 'Increase', 'Application', 'Open', 'Delete', 'then', 'Download', 'Open', '']</v>
      </c>
      <c r="D11642" s="3">
        <v>1.0</v>
      </c>
    </row>
    <row r="11643" ht="15.75" customHeight="1">
      <c r="A11643" s="1">
        <v>12396.0</v>
      </c>
      <c r="B11643" s="3" t="s">
        <v>4434</v>
      </c>
      <c r="C11643" s="3" t="str">
        <f>IFERROR(__xludf.DUMMYFUNCTION("GOOGLETRANSLATE(B11643,""id"",""en"")"),"['Application', 'opened', '']")</f>
        <v>['Application', 'opened', '']</v>
      </c>
      <c r="D11643" s="3">
        <v>2.0</v>
      </c>
    </row>
    <row r="11644" ht="15.75" customHeight="1">
      <c r="A11644" s="1">
        <v>12397.0</v>
      </c>
      <c r="B11644" s="3" t="s">
        <v>11123</v>
      </c>
      <c r="C11644" s="3" t="str">
        <f>IFERROR(__xludf.DUMMYFUNCTION("GOOGLETRANSLATE(B11644,""id"",""en"")"),"['Come', 'APK', 'UDH', 'Heavy', 'Accessible', 'Now', 'Download', 'APK', 'Snaga', 'APK', 'SNGAT', 'Easy to', ' buy ',' package ',' monthly ',' hope ',' team ',' overcome ',' maslah ',' apk ',' ']")</f>
        <v>['Come', 'APK', 'UDH', 'Heavy', 'Accessible', 'Now', 'Download', 'APK', 'Snaga', 'APK', 'SNGAT', 'Easy to', ' buy ',' package ',' monthly ',' hope ',' team ',' overcome ',' maslah ',' apk ',' ']</v>
      </c>
      <c r="D11644" s="3">
        <v>3.0</v>
      </c>
    </row>
    <row r="11645" ht="15.75" customHeight="1">
      <c r="A11645" s="1">
        <v>12399.0</v>
      </c>
      <c r="B11645" s="3" t="s">
        <v>11124</v>
      </c>
      <c r="C11645" s="3" t="str">
        <f>IFERROR(__xludf.DUMMYFUNCTION("GOOGLETRANSLATE(B11645,""id"",""en"")"),"['Please', 'already', 'provider', 'slow', 'choice', 'quota', 'expensive']")</f>
        <v>['Please', 'already', 'provider', 'slow', 'choice', 'quota', 'expensive']</v>
      </c>
      <c r="D11645" s="3">
        <v>1.0</v>
      </c>
    </row>
    <row r="11646" ht="15.75" customHeight="1">
      <c r="A11646" s="1">
        <v>12400.0</v>
      </c>
      <c r="B11646" s="3" t="s">
        <v>11125</v>
      </c>
      <c r="C11646" s="3" t="str">
        <f>IFERROR(__xludf.DUMMYFUNCTION("GOOGLETRANSLATE(B11646,""id"",""en"")"),"['Internet', 'slow', 'Tamh', 'Telkomsel', 'Open', 'Judeg', 'This is']")</f>
        <v>['Internet', 'slow', 'Tamh', 'Telkomsel', 'Open', 'Judeg', 'This is']</v>
      </c>
      <c r="D11646" s="3">
        <v>1.0</v>
      </c>
    </row>
    <row r="11647" ht="15.75" customHeight="1">
      <c r="A11647" s="1">
        <v>12401.0</v>
      </c>
      <c r="B11647" s="3" t="s">
        <v>11126</v>
      </c>
      <c r="C11647" s="3" t="str">
        <f>IFERROR(__xludf.DUMMYFUNCTION("GOOGLETRANSLATE(B11647,""id"",""en"")"),"['Please', 'quota', 'run out', 'cut', 'pulse', 'right', 'quota', 'pulse', 'cut "",' run out ']")</f>
        <v>['Please', 'quota', 'run out', 'cut', 'pulse', 'right', 'quota', 'pulse', 'cut ",' run out ']</v>
      </c>
      <c r="D11647" s="3">
        <v>2.0</v>
      </c>
    </row>
    <row r="11648" ht="15.75" customHeight="1">
      <c r="A11648" s="1">
        <v>12402.0</v>
      </c>
      <c r="B11648" s="3" t="s">
        <v>11127</v>
      </c>
      <c r="C11648" s="3" t="str">
        <f>IFERROR(__xludf.DUMMYFUNCTION("GOOGLETRANSLATE(B11648,""id"",""en"")"),"['', 'Certain', 'Help', 'Emergency', 'Success', 'Telkomsel']")</f>
        <v>['', 'Certain', 'Help', 'Emergency', 'Success', 'Telkomsel']</v>
      </c>
      <c r="D11648" s="3">
        <v>5.0</v>
      </c>
    </row>
    <row r="11649" ht="15.75" customHeight="1">
      <c r="A11649" s="1">
        <v>12403.0</v>
      </c>
      <c r="B11649" s="3" t="s">
        <v>11128</v>
      </c>
      <c r="C11649" s="3" t="str">
        <f>IFERROR(__xludf.DUMMYFUNCTION("GOOGLETRANSLATE(B11649,""id"",""en"")"),"['Steady', 'Continue']")</f>
        <v>['Steady', 'Continue']</v>
      </c>
      <c r="D11649" s="3">
        <v>5.0</v>
      </c>
    </row>
    <row r="11650" ht="15.75" customHeight="1">
      <c r="A11650" s="1">
        <v>12404.0</v>
      </c>
      <c r="B11650" s="3" t="s">
        <v>11129</v>
      </c>
      <c r="C11650" s="3" t="str">
        <f>IFERROR(__xludf.DUMMYFUNCTION("GOOGLETRANSLATE(B11650,""id"",""en"")"),"['Install', 'open', 'yak', 'screen', 'white', 'doang']")</f>
        <v>['Install', 'open', 'yak', 'screen', 'white', 'doang']</v>
      </c>
      <c r="D11650" s="3">
        <v>1.0</v>
      </c>
    </row>
    <row r="11651" ht="15.75" customHeight="1">
      <c r="A11651" s="1">
        <v>12405.0</v>
      </c>
      <c r="B11651" s="3" t="s">
        <v>11130</v>
      </c>
      <c r="C11651" s="3" t="str">
        <f>IFERROR(__xludf.DUMMYFUNCTION("GOOGLETRANSLATE(B11651,""id"",""en"")"),"['Application', 'Telokomsel', 'opened', 'pengeldatan', 'appears', 'screen', 'white']")</f>
        <v>['Application', 'Telokomsel', 'opened', 'pengeldatan', 'appears', 'screen', 'white']</v>
      </c>
      <c r="D11651" s="3">
        <v>1.0</v>
      </c>
    </row>
    <row r="11652" ht="15.75" customHeight="1">
      <c r="A11652" s="1">
        <v>12406.0</v>
      </c>
      <c r="B11652" s="3" t="s">
        <v>11131</v>
      </c>
      <c r="C11652" s="3" t="str">
        <f>IFERROR(__xludf.DUMMYFUNCTION("GOOGLETRANSLATE(B11652,""id"",""en"")"),"['makes it easier', 'buy', 'package', 'internet']")</f>
        <v>['makes it easier', 'buy', 'package', 'internet']</v>
      </c>
      <c r="D11652" s="3">
        <v>5.0</v>
      </c>
    </row>
    <row r="11653" ht="15.75" customHeight="1">
      <c r="A11653" s="1">
        <v>12407.0</v>
      </c>
      <c r="B11653" s="3" t="s">
        <v>1304</v>
      </c>
      <c r="C11653" s="3" t="str">
        <f>IFERROR(__xludf.DUMMYFUNCTION("GOOGLETRANSLATE(B11653,""id"",""en"")"),"['beneficial']")</f>
        <v>['beneficial']</v>
      </c>
      <c r="D11653" s="3">
        <v>5.0</v>
      </c>
    </row>
    <row r="11654" ht="15.75" customHeight="1">
      <c r="A11654" s="1">
        <v>12408.0</v>
      </c>
      <c r="B11654" s="3" t="s">
        <v>11132</v>
      </c>
      <c r="C11654" s="3" t="str">
        <f>IFERROR(__xludf.DUMMYFUNCTION("GOOGLETRANSLATE(B11654,""id"",""en"")"),"['Good', 'slow']")</f>
        <v>['Good', 'slow']</v>
      </c>
      <c r="D11654" s="3">
        <v>5.0</v>
      </c>
    </row>
    <row r="11655" ht="15.75" customHeight="1">
      <c r="A11655" s="1">
        <v>12409.0</v>
      </c>
      <c r="B11655" s="3" t="s">
        <v>11133</v>
      </c>
      <c r="C11655" s="3" t="str">
        <f>IFERROR(__xludf.DUMMYFUNCTION("GOOGLETRANSLATE(B11655,""id"",""en"")"),"['Hopefully', 'fortune', 'amen']")</f>
        <v>['Hopefully', 'fortune', 'amen']</v>
      </c>
      <c r="D11655" s="3">
        <v>5.0</v>
      </c>
    </row>
    <row r="11656" ht="15.75" customHeight="1">
      <c r="A11656" s="1">
        <v>12410.0</v>
      </c>
      <c r="B11656" s="3" t="s">
        <v>11134</v>
      </c>
      <c r="C11656" s="3" t="str">
        <f>IFERROR(__xludf.DUMMYFUNCTION("GOOGLETRANSLATE(B11656,""id"",""en"")"),"['how', 'KOQ', 'APKIKI', 'opened']")</f>
        <v>['how', 'KOQ', 'APKIKI', 'opened']</v>
      </c>
      <c r="D11656" s="3">
        <v>5.0</v>
      </c>
    </row>
    <row r="11657" ht="15.75" customHeight="1">
      <c r="A11657" s="1">
        <v>12411.0</v>
      </c>
      <c r="B11657" s="3" t="s">
        <v>11135</v>
      </c>
      <c r="C11657" s="3" t="str">
        <f>IFERROR(__xludf.DUMMYFUNCTION("GOOGLETRANSLATE(B11657,""id"",""en"")"),"['Network', 'special', 'game', 'fix']")</f>
        <v>['Network', 'special', 'game', 'fix']</v>
      </c>
      <c r="D11657" s="3">
        <v>5.0</v>
      </c>
    </row>
    <row r="11658" ht="15.75" customHeight="1">
      <c r="A11658" s="1">
        <v>12412.0</v>
      </c>
      <c r="B11658" s="3" t="s">
        <v>1601</v>
      </c>
      <c r="C11658" s="3" t="str">
        <f>IFERROR(__xludf.DUMMYFUNCTION("GOOGLETRANSLATE(B11658,""id"",""en"")"),"['open']")</f>
        <v>['open']</v>
      </c>
      <c r="D11658" s="3">
        <v>1.0</v>
      </c>
    </row>
    <row r="11659" ht="15.75" customHeight="1">
      <c r="A11659" s="1">
        <v>12413.0</v>
      </c>
      <c r="B11659" s="3" t="s">
        <v>11136</v>
      </c>
      <c r="C11659" s="3" t="str">
        <f>IFERROR(__xludf.DUMMYFUNCTION("GOOGLETRANSLATE(B11659,""id"",""en"")"),"['Please', 'user', 'loyal', 'Telkomsel', 'package', 'cheap', ""]")</f>
        <v>['Please', 'user', 'loyal', 'Telkomsel', 'package', 'cheap', "]</v>
      </c>
      <c r="D11659" s="3">
        <v>5.0</v>
      </c>
    </row>
    <row r="11660" ht="15.75" customHeight="1">
      <c r="A11660" s="1">
        <v>12414.0</v>
      </c>
      <c r="B11660" s="3" t="s">
        <v>11137</v>
      </c>
      <c r="C11660" s="3" t="str">
        <f>IFERROR(__xludf.DUMMYFUNCTION("GOOGLETRANSLATE(B11660,""id"",""en"")"),"['application', 'Sometimes', 'slow', 'opened', 'RAM', 'GB', '']")</f>
        <v>['application', 'Sometimes', 'slow', 'opened', 'RAM', 'GB', '']</v>
      </c>
      <c r="D11660" s="3">
        <v>3.0</v>
      </c>
    </row>
    <row r="11661" ht="15.75" customHeight="1">
      <c r="A11661" s="1">
        <v>12415.0</v>
      </c>
      <c r="B11661" s="3" t="s">
        <v>11138</v>
      </c>
      <c r="C11661" s="3" t="str">
        <f>IFERROR(__xludf.DUMMYFUNCTION("GOOGLETRANSLATE(B11661,""id"",""en"")"),"['Response', 'Super', 'Duper', 'Fast', 'It's easy', 'Thankyiyu', 'Telkomsel']")</f>
        <v>['Response', 'Super', 'Duper', 'Fast', 'It's easy', 'Thankyiyu', 'Telkomsel']</v>
      </c>
      <c r="D11661" s="3">
        <v>5.0</v>
      </c>
    </row>
    <row r="11662" ht="15.75" customHeight="1">
      <c r="A11662" s="1">
        <v>12416.0</v>
      </c>
      <c r="B11662" s="3" t="s">
        <v>11139</v>
      </c>
      <c r="C11662" s="3" t="str">
        <f>IFERROR(__xludf.DUMMYFUNCTION("GOOGLETRANSLATE(B11662,""id"",""en"")"),"['Love', 'Star', 'because', 'UDH', 'Download', 'Good', 'Truss',' Unistal ',' Krna ',' Memory ',' Full ',' right ',' Install ',' open ',' look ',' blank ',' white ',' jringan ',' smooth ',' beg ',' info ',' ']")</f>
        <v>['Love', 'Star', 'because', 'UDH', 'Download', 'Good', 'Truss',' Unistal ',' Krna ',' Memory ',' Full ',' right ',' Install ',' open ',' look ',' blank ',' white ',' jringan ',' smooth ',' beg ',' info ',' ']</v>
      </c>
      <c r="D11662" s="3">
        <v>4.0</v>
      </c>
    </row>
    <row r="11663" ht="15.75" customHeight="1">
      <c r="A11663" s="1">
        <v>12417.0</v>
      </c>
      <c r="B11663" s="3" t="s">
        <v>11140</v>
      </c>
      <c r="C11663" s="3" t="str">
        <f>IFERROR(__xludf.DUMMYFUNCTION("GOOGLETRANSLATE(B11663,""id"",""en"")"),"['Tetep', 'ugly', 'send', 'otp', 'enter', 'pulse', 'eat']")</f>
        <v>['Tetep', 'ugly', 'send', 'otp', 'enter', 'pulse', 'eat']</v>
      </c>
      <c r="D11663" s="3">
        <v>1.0</v>
      </c>
    </row>
    <row r="11664" ht="15.75" customHeight="1">
      <c r="A11664" s="1">
        <v>12418.0</v>
      </c>
      <c r="B11664" s="3" t="s">
        <v>11141</v>
      </c>
      <c r="C11664" s="3" t="str">
        <f>IFERROR(__xludf.DUMMYFUNCTION("GOOGLETRANSLATE(B11664,""id"",""en"")"),"['buy', 'package', 'expensive', 'network', 'ngelag', 'what', 'please', 'fast', 'repair']")</f>
        <v>['buy', 'package', 'expensive', 'network', 'ngelag', 'what', 'please', 'fast', 'repair']</v>
      </c>
      <c r="D11664" s="3">
        <v>1.0</v>
      </c>
    </row>
    <row r="11665" ht="15.75" customHeight="1">
      <c r="A11665" s="1">
        <v>12419.0</v>
      </c>
      <c r="B11665" s="3" t="s">
        <v>11142</v>
      </c>
      <c r="C11665" s="3" t="str">
        <f>IFERROR(__xludf.DUMMYFUNCTION("GOOGLETRANSLATE(B11665,""id"",""en"")"),"['The application', 'already', 'open', 'pulse', 'cheek', 'GMANA', 'Telkomsel']")</f>
        <v>['The application', 'already', 'open', 'pulse', 'cheek', 'GMANA', 'Telkomsel']</v>
      </c>
      <c r="D11665" s="3">
        <v>1.0</v>
      </c>
    </row>
    <row r="11666" ht="15.75" customHeight="1">
      <c r="A11666" s="1">
        <v>12420.0</v>
      </c>
      <c r="B11666" s="3" t="s">
        <v>11143</v>
      </c>
      <c r="C11666" s="3" t="str">
        <f>IFERROR(__xludf.DUMMYFUNCTION("GOOGLETRANSLATE(B11666,""id"",""en"")"),"['Application', 'opened', 'right', 'opened', 'just', 'appears', 'screen', 'white', 'doang', ""]")</f>
        <v>['Application', 'opened', 'right', 'opened', 'just', 'appears', 'screen', 'white', 'doang', "]</v>
      </c>
      <c r="D11666" s="3">
        <v>1.0</v>
      </c>
    </row>
    <row r="11667" ht="15.75" customHeight="1">
      <c r="A11667" s="1">
        <v>12421.0</v>
      </c>
      <c r="B11667" s="3" t="s">
        <v>11144</v>
      </c>
      <c r="C11667" s="3" t="str">
        <f>IFERROR(__xludf.DUMMYFUNCTION("GOOGLETRANSLATE(B11667,""id"",""en"")"),"['screen', 'white', 'mulu']")</f>
        <v>['screen', 'white', 'mulu']</v>
      </c>
      <c r="D11667" s="3">
        <v>1.0</v>
      </c>
    </row>
    <row r="11668" ht="15.75" customHeight="1">
      <c r="A11668" s="1">
        <v>12422.0</v>
      </c>
      <c r="B11668" s="3" t="s">
        <v>11145</v>
      </c>
      <c r="C11668" s="3" t="str">
        <f>IFERROR(__xludf.DUMMYFUNCTION("GOOGLETRANSLATE(B11668,""id"",""en"")"),"['Difficult', 'accessed']")</f>
        <v>['Difficult', 'accessed']</v>
      </c>
      <c r="D11668" s="3">
        <v>1.0</v>
      </c>
    </row>
    <row r="11669" ht="15.75" customHeight="1">
      <c r="A11669" s="1">
        <v>12423.0</v>
      </c>
      <c r="B11669" s="3" t="s">
        <v>11146</v>
      </c>
      <c r="C11669" s="3" t="str">
        <f>IFERROR(__xludf.DUMMYFUNCTION("GOOGLETRANSLATE(B11669,""id"",""en"")"),"['Good', 'interesting', 'package', 'Not bad', 'expensive', 'loyal', 'card', 'Telkomsel']")</f>
        <v>['Good', 'interesting', 'package', 'Not bad', 'expensive', 'loyal', 'card', 'Telkomsel']</v>
      </c>
      <c r="D11669" s="3">
        <v>4.0</v>
      </c>
    </row>
    <row r="11670" ht="15.75" customHeight="1">
      <c r="A11670" s="1">
        <v>12424.0</v>
      </c>
      <c r="B11670" s="3" t="s">
        <v>11147</v>
      </c>
      <c r="C11670" s="3" t="str">
        <f>IFERROR(__xludf.DUMMYFUNCTION("GOOGLETRANSLATE(B11670,""id"",""en"")"),"['already', 'Lma', 'mkek', 'card', 'Telkomsel', 'price', 'might', 'knpa', 'add', 'account', 'please', 'fix', ' ']")</f>
        <v>['already', 'Lma', 'mkek', 'card', 'Telkomsel', 'price', 'might', 'knpa', 'add', 'account', 'please', 'fix', ' ']</v>
      </c>
      <c r="D11670" s="3">
        <v>1.0</v>
      </c>
    </row>
    <row r="11671" ht="15.75" customHeight="1">
      <c r="A11671" s="1">
        <v>12425.0</v>
      </c>
      <c r="B11671" s="3" t="s">
        <v>11148</v>
      </c>
      <c r="C11671" s="3" t="str">
        <f>IFERROR(__xludf.DUMMYFUNCTION("GOOGLETRANSLATE(B11671,""id"",""en"")"),"['Event', 'Exchange', 'Point', 'Apply', 'User', 'Karna', 'Lucky', 'Event', 'Hoax']")</f>
        <v>['Event', 'Exchange', 'Point', 'Apply', 'User', 'Karna', 'Lucky', 'Event', 'Hoax']</v>
      </c>
      <c r="D11671" s="3">
        <v>4.0</v>
      </c>
    </row>
    <row r="11672" ht="15.75" customHeight="1">
      <c r="A11672" s="1">
        <v>12426.0</v>
      </c>
      <c r="B11672" s="3" t="s">
        <v>11149</v>
      </c>
      <c r="C11672" s="3" t="str">
        <f>IFERROR(__xludf.DUMMYFUNCTION("GOOGLETRANSLATE(B11672,""id"",""en"")"),"['application', 'no', 'opened', 'screen', 'white']")</f>
        <v>['application', 'no', 'opened', 'screen', 'white']</v>
      </c>
      <c r="D11672" s="3">
        <v>1.0</v>
      </c>
    </row>
    <row r="11673" ht="15.75" customHeight="1">
      <c r="A11673" s="1">
        <v>12427.0</v>
      </c>
      <c r="B11673" s="3" t="s">
        <v>3287</v>
      </c>
      <c r="C11673" s="3" t="str">
        <f>IFERROR(__xludf.DUMMYFUNCTION("GOOGLETRANSLATE(B11673,""id"",""en"")"),"['', 'open', '']")</f>
        <v>['', 'open', '']</v>
      </c>
      <c r="D11673" s="3">
        <v>1.0</v>
      </c>
    </row>
    <row r="11674" ht="15.75" customHeight="1">
      <c r="A11674" s="1">
        <v>12428.0</v>
      </c>
      <c r="B11674" s="3" t="s">
        <v>11150</v>
      </c>
      <c r="C11674" s="3" t="str">
        <f>IFERROR(__xludf.DUMMYFUNCTION("GOOGLETRANSLATE(B11674,""id"",""en"")"),"['Credit', 'Cutting', 'Application', 'Silence', 'Stealing', 'Credit', 'Sya', 'Harm', 'Sya', 'Credit', 'Safe', 'Cut "" Minutes', 'use', 'Abis',' Sia ',' ']")</f>
        <v>['Credit', 'Cutting', 'Application', 'Silence', 'Stealing', 'Credit', 'Sya', 'Harm', 'Sya', 'Credit', 'Safe', 'Cut " Minutes', 'use', 'Abis',' Sia ',' ']</v>
      </c>
      <c r="D11674" s="3">
        <v>1.0</v>
      </c>
    </row>
    <row r="11675" ht="15.75" customHeight="1">
      <c r="A11675" s="1">
        <v>12429.0</v>
      </c>
      <c r="B11675" s="3" t="s">
        <v>11151</v>
      </c>
      <c r="C11675" s="3" t="str">
        <f>IFERROR(__xludf.DUMMYFUNCTION("GOOGLETRANSLATE(B11675,""id"",""en"")"),"['', 'RAM', 'APLIKASinyat', 'Opened']")</f>
        <v>['', 'RAM', 'APLIKASinyat', 'Opened']</v>
      </c>
      <c r="D11675" s="3">
        <v>1.0</v>
      </c>
    </row>
    <row r="11676" ht="15.75" customHeight="1">
      <c r="A11676" s="1">
        <v>12430.0</v>
      </c>
      <c r="B11676" s="3" t="s">
        <v>11152</v>
      </c>
      <c r="C11676" s="3" t="str">
        <f>IFERROR(__xludf.DUMMYFUNCTION("GOOGLETRANSLATE(B11676,""id"",""en"")"),"['Good', 'easy', 'help']")</f>
        <v>['Good', 'easy', 'help']</v>
      </c>
      <c r="D11676" s="3">
        <v>5.0</v>
      </c>
    </row>
    <row r="11677" ht="15.75" customHeight="1">
      <c r="A11677" s="1">
        <v>12431.0</v>
      </c>
      <c r="B11677" s="3" t="s">
        <v>11153</v>
      </c>
      <c r="C11677" s="3" t="str">
        <f>IFERROR(__xludf.DUMMYFUNCTION("GOOGLETRANSLATE(B11677,""id"",""en"")"),"['Network', 'Data', 'Slow', 'really', 'Ryesel', 'really', 'Telkomsel']")</f>
        <v>['Network', 'Data', 'Slow', 'really', 'Ryesel', 'really', 'Telkomsel']</v>
      </c>
      <c r="D11677" s="3">
        <v>1.0</v>
      </c>
    </row>
    <row r="11678" ht="15.75" customHeight="1">
      <c r="A11678" s="1">
        <v>12432.0</v>
      </c>
      <c r="B11678" s="3" t="s">
        <v>11154</v>
      </c>
      <c r="C11678" s="3" t="str">
        <f>IFERROR(__xludf.DUMMYFUNCTION("GOOGLETRANSLATE(B11678,""id"",""en"")"),"['application', 'help', 'detail', 'easy', 'understand']")</f>
        <v>['application', 'help', 'detail', 'easy', 'understand']</v>
      </c>
      <c r="D11678" s="3">
        <v>5.0</v>
      </c>
    </row>
    <row r="11679" ht="15.75" customHeight="1">
      <c r="A11679" s="1">
        <v>12433.0</v>
      </c>
      <c r="B11679" s="3" t="s">
        <v>11155</v>
      </c>
      <c r="C11679" s="3" t="str">
        <f>IFERROR(__xludf.DUMMYFUNCTION("GOOGLETRANSLATE(B11679,""id"",""en"")"),"['expensive', 'Telkomsel', 'healthy', ""]")</f>
        <v>['expensive', 'Telkomsel', 'healthy', "]</v>
      </c>
      <c r="D11679" s="3">
        <v>1.0</v>
      </c>
    </row>
    <row r="11680" ht="15.75" customHeight="1">
      <c r="A11680" s="1">
        <v>12434.0</v>
      </c>
      <c r="B11680" s="3" t="s">
        <v>11156</v>
      </c>
      <c r="C11680" s="3" t="str">
        <f>IFERROR(__xludf.DUMMYFUNCTION("GOOGLETRANSLATE(B11680,""id"",""en"")"),"['Severe', 'disappointing', 'application', '']")</f>
        <v>['Severe', 'disappointing', 'application', '']</v>
      </c>
      <c r="D11680" s="3">
        <v>1.0</v>
      </c>
    </row>
    <row r="11681" ht="15.75" customHeight="1">
      <c r="A11681" s="1">
        <v>12435.0</v>
      </c>
      <c r="B11681" s="3" t="s">
        <v>11157</v>
      </c>
      <c r="C11681" s="3" t="str">
        <f>IFERROR(__xludf.DUMMYFUNCTION("GOOGLETRANSLATE(B11681,""id"",""en"")"),"['Please', 'MyTelkomsel', 'APK', 'opened', 'Pliss', 'Please', 'Over', 'Thank you']")</f>
        <v>['Please', 'MyTelkomsel', 'APK', 'opened', 'Pliss', 'Please', 'Over', 'Thank you']</v>
      </c>
      <c r="D11681" s="3">
        <v>5.0</v>
      </c>
    </row>
    <row r="11682" ht="15.75" customHeight="1">
      <c r="A11682" s="1">
        <v>12436.0</v>
      </c>
      <c r="B11682" s="3" t="s">
        <v>11158</v>
      </c>
      <c r="C11682" s="3" t="str">
        <f>IFERROR(__xludf.DUMMYFUNCTION("GOOGLETRANSLATE(B11682,""id"",""en"")"),"['price', 'package', 'expensive', 'condition', 'network', 'setabilia', 'please', 'repaired', 'feeling', 'the network']")</f>
        <v>['price', 'package', 'expensive', 'condition', 'network', 'setabilia', 'please', 'repaired', 'feeling', 'the network']</v>
      </c>
      <c r="D11682" s="3">
        <v>2.0</v>
      </c>
    </row>
    <row r="11683" ht="15.75" customHeight="1">
      <c r="A11683" s="1">
        <v>12438.0</v>
      </c>
      <c r="B11683" s="3" t="s">
        <v>11159</v>
      </c>
      <c r="C11683" s="3" t="str">
        <f>IFERROR(__xludf.DUMMYFUNCTION("GOOGLETRANSLATE(B11683,""id"",""en"")"),"['Telkomsel', 'emang', 'mntep']")</f>
        <v>['Telkomsel', 'emang', 'mntep']</v>
      </c>
      <c r="D11683" s="3">
        <v>4.0</v>
      </c>
    </row>
    <row r="11684" ht="15.75" customHeight="1">
      <c r="A11684" s="1">
        <v>12439.0</v>
      </c>
      <c r="B11684" s="3" t="s">
        <v>11160</v>
      </c>
      <c r="C11684" s="3" t="str">
        <f>IFERROR(__xludf.DUMMYFUNCTION("GOOGLETRANSLATE(B11684,""id"",""en"")"),"['Knp', 'open', 'Applocation', 'Please', 'solution']")</f>
        <v>['Knp', 'open', 'Applocation', 'Please', 'solution']</v>
      </c>
      <c r="D11684" s="3">
        <v>5.0</v>
      </c>
    </row>
    <row r="11685" ht="15.75" customHeight="1">
      <c r="A11685" s="1">
        <v>12440.0</v>
      </c>
      <c r="B11685" s="3" t="s">
        <v>11161</v>
      </c>
      <c r="C11685" s="3" t="str">
        <f>IFERROR(__xludf.DUMMYFUNCTION("GOOGLETRANSLATE(B11685,""id"",""en"")"),"['The essence', 'severe', 'really', 'lemoooooottt', 'network', 'Telkomsel']")</f>
        <v>['The essence', 'severe', 'really', 'lemoooooottt', 'network', 'Telkomsel']</v>
      </c>
      <c r="D11685" s="3">
        <v>3.0</v>
      </c>
    </row>
    <row r="11686" ht="15.75" customHeight="1">
      <c r="A11686" s="1">
        <v>12441.0</v>
      </c>
      <c r="B11686" s="3" t="s">
        <v>11162</v>
      </c>
      <c r="C11686" s="3" t="str">
        <f>IFERROR(__xludf.DUMMYFUNCTION("GOOGLETRANSLATE(B11686,""id"",""en"")"),"['apk', 'open', 'update', 'picture', 'blank', 'white', 'gtu', 'kaga', 'update', 'hmm']")</f>
        <v>['apk', 'open', 'update', 'picture', 'blank', 'white', 'gtu', 'kaga', 'update', 'hmm']</v>
      </c>
      <c r="D11686" s="3">
        <v>1.0</v>
      </c>
    </row>
    <row r="11687" ht="15.75" customHeight="1">
      <c r="A11687" s="1">
        <v>12442.0</v>
      </c>
      <c r="B11687" s="3" t="s">
        <v>11163</v>
      </c>
      <c r="C11687" s="3" t="str">
        <f>IFERROR(__xludf.DUMMYFUNCTION("GOOGLETRANSLATE(B11687,""id"",""en"")"),"['Application', 'blank', 'gabisa', 'opened', ""]")</f>
        <v>['Application', 'blank', 'gabisa', 'opened', "]</v>
      </c>
      <c r="D11687" s="3">
        <v>1.0</v>
      </c>
    </row>
    <row r="11688" ht="15.75" customHeight="1">
      <c r="A11688" s="1">
        <v>12443.0</v>
      </c>
      <c r="B11688" s="3" t="s">
        <v>11164</v>
      </c>
      <c r="C11688" s="3" t="str">
        <f>IFERROR(__xludf.DUMMYFUNCTION("GOOGLETRANSLATE(B11688,""id"",""en"")"),"['open', 'application', 'screen', 'white', 'tlg', 'help', 'uninstall', 'trs',' install ',' reset ',' right ',' open ',' screen ',' white ',' solution ',' thank ',' love ']")</f>
        <v>['open', 'application', 'screen', 'white', 'tlg', 'help', 'uninstall', 'trs',' install ',' reset ',' right ',' open ',' screen ',' white ',' solution ',' thank ',' love ']</v>
      </c>
      <c r="D11688" s="3">
        <v>3.0</v>
      </c>
    </row>
    <row r="11689" ht="15.75" customHeight="1">
      <c r="A11689" s="1">
        <v>12444.0</v>
      </c>
      <c r="B11689" s="3" t="s">
        <v>11165</v>
      </c>
      <c r="C11689" s="3" t="str">
        <f>IFERROR(__xludf.DUMMYFUNCTION("GOOGLETRANSLATE(B11689,""id"",""en"")"),"['Gini', 'sekrg', 'appl', 'gka', 'bika', 'slow']")</f>
        <v>['Gini', 'sekrg', 'appl', 'gka', 'bika', 'slow']</v>
      </c>
      <c r="D11689" s="3">
        <v>5.0</v>
      </c>
    </row>
    <row r="11690" ht="15.75" customHeight="1">
      <c r="A11690" s="1">
        <v>12445.0</v>
      </c>
      <c r="B11690" s="3" t="s">
        <v>11166</v>
      </c>
      <c r="C11690" s="3" t="str">
        <f>IFERROR(__xludf.DUMMYFUNCTION("GOOGLETRANSLATE(B11690,""id"",""en"")"),"['Ngecirewain', 'really', 'Uda', 'card', 'Telkomsel', 'Wktu', 'run out', 'update', 'gbisa', 'opened', 'tweet', 'screen', ' White ',' awaited ',' appears', 'just', 'read', 'comment', 'blng', 'dipake', 'android', 'up', 'gini', 'uda', 'report' , 'SKLI', 'ema"&amp;"il', 'DIJWB', 'serves',' bad ',' APK ',' gabisa ',' use ',' pdhl ',' Samsung ',' blm ',' trllu ',' issued ',' TTP ',' gbisa ',' uda ',' that's', 'pulse', 'lost', 'time', 'pulse', 'lost', 'rb', 'quota', 'masi' ]")</f>
        <v>['Ngecirewain', 'really', 'Uda', 'card', 'Telkomsel', 'Wktu', 'run out', 'update', 'gbisa', 'opened', 'tweet', 'screen', ' White ',' awaited ',' appears', 'just', 'read', 'comment', 'blng', 'dipake', 'android', 'up', 'gini', 'uda', 'report' , 'SKLI', 'email', 'DIJWB', 'serves',' bad ',' APK ',' gabisa ',' use ',' pdhl ',' Samsung ',' blm ',' trllu ',' issued ',' TTP ',' gbisa ',' uda ',' that's', 'pulse', 'lost', 'time', 'pulse', 'lost', 'rb', 'quota', 'masi' ]</v>
      </c>
      <c r="D11690" s="3">
        <v>1.0</v>
      </c>
    </row>
    <row r="11691" ht="15.75" customHeight="1">
      <c r="A11691" s="1">
        <v>12446.0</v>
      </c>
      <c r="B11691" s="3" t="s">
        <v>11167</v>
      </c>
      <c r="C11691" s="3" t="str">
        <f>IFERROR(__xludf.DUMMYFUNCTION("GOOGLETRANSLATE(B11691,""id"",""en"")"),"['easy', 'help', 'love']")</f>
        <v>['easy', 'help', 'love']</v>
      </c>
      <c r="D11691" s="3">
        <v>5.0</v>
      </c>
    </row>
    <row r="11692" ht="15.75" customHeight="1">
      <c r="A11692" s="1">
        <v>12447.0</v>
      </c>
      <c r="B11692" s="3" t="s">
        <v>11168</v>
      </c>
      <c r="C11692" s="3" t="str">
        <f>IFERROR(__xludf.DUMMYFUNCTION("GOOGLETRANSLATE(B11692,""id"",""en"")"),"['Good', 'sometimes', 'promo', 'according to', 'the application', 'sip']")</f>
        <v>['Good', 'sometimes', 'promo', 'according to', 'the application', 'sip']</v>
      </c>
      <c r="D11692" s="3">
        <v>5.0</v>
      </c>
    </row>
    <row r="11693" ht="15.75" customHeight="1">
      <c r="A11693" s="1">
        <v>12448.0</v>
      </c>
      <c r="B11693" s="3" t="s">
        <v>11169</v>
      </c>
      <c r="C11693" s="3" t="str">
        <f>IFERROR(__xludf.DUMMYFUNCTION("GOOGLETRANSLATE(B11693,""id"",""en"")"),"['Setellab', 'Update', 'Blank', 'White', 'Open']")</f>
        <v>['Setellab', 'Update', 'Blank', 'White', 'Open']</v>
      </c>
      <c r="D11693" s="3">
        <v>1.0</v>
      </c>
    </row>
    <row r="11694" ht="15.75" customHeight="1">
      <c r="A11694" s="1">
        <v>12449.0</v>
      </c>
      <c r="B11694" s="3" t="s">
        <v>11170</v>
      </c>
      <c r="C11694" s="3" t="str">
        <f>IFERROR(__xludf.DUMMYFUNCTION("GOOGLETRANSLATE(B11694,""id"",""en"")"),"['quota', 'convention', 'quota', 'student', 'all', 'application', 'cmn', 'browser', 'doang']")</f>
        <v>['quota', 'convention', 'quota', 'student', 'all', 'application', 'cmn', 'browser', 'doang']</v>
      </c>
      <c r="D11694" s="3">
        <v>3.0</v>
      </c>
    </row>
    <row r="11695" ht="15.75" customHeight="1">
      <c r="A11695" s="1">
        <v>12450.0</v>
      </c>
      <c r="B11695" s="3" t="s">
        <v>11171</v>
      </c>
      <c r="C11695" s="3" t="str">
        <f>IFERROR(__xludf.DUMMYFUNCTION("GOOGLETRANSLATE(B11695,""id"",""en"")"),"['chaotic', 'the application', 'opened', 'already', 'restart', 'open']")</f>
        <v>['chaotic', 'the application', 'opened', 'already', 'restart', 'open']</v>
      </c>
      <c r="D11695" s="3">
        <v>1.0</v>
      </c>
    </row>
    <row r="11696" ht="15.75" customHeight="1">
      <c r="A11696" s="1">
        <v>12451.0</v>
      </c>
      <c r="B11696" s="3" t="s">
        <v>11172</v>
      </c>
      <c r="C11696" s="3" t="str">
        <f>IFERROR(__xludf.DUMMYFUNCTION("GOOGLETRANSLATE(B11696,""id"",""en"")"),"['Signal', 'Leet', 'Telkomsel', '']")</f>
        <v>['Signal', 'Leet', 'Telkomsel', '']</v>
      </c>
      <c r="D11696" s="3">
        <v>3.0</v>
      </c>
    </row>
    <row r="11697" ht="15.75" customHeight="1">
      <c r="A11697" s="1">
        <v>12452.0</v>
      </c>
      <c r="B11697" s="3" t="s">
        <v>11173</v>
      </c>
      <c r="C11697" s="3" t="str">
        <f>IFERROR(__xludf.DUMMYFUNCTION("GOOGLETRANSLATE(B11697,""id"",""en"")"),"['opened', 'blank', 'white', 'signal', 'stable', 'please', 'repair']")</f>
        <v>['opened', 'blank', 'white', 'signal', 'stable', 'please', 'repair']</v>
      </c>
      <c r="D11697" s="3">
        <v>1.0</v>
      </c>
    </row>
    <row r="11698" ht="15.75" customHeight="1">
      <c r="A11698" s="1">
        <v>12453.0</v>
      </c>
      <c r="B11698" s="3" t="s">
        <v>11174</v>
      </c>
      <c r="C11698" s="3" t="str">
        <f>IFERROR(__xludf.DUMMYFUNCTION("GOOGLETRANSLATE(B11698,""id"",""en"")"),"['application', 'open', 'knapa', 'gini', 'already', 'restart']")</f>
        <v>['application', 'open', 'knapa', 'gini', 'already', 'restart']</v>
      </c>
      <c r="D11698" s="3">
        <v>2.0</v>
      </c>
    </row>
    <row r="11699" ht="15.75" customHeight="1">
      <c r="A11699" s="1">
        <v>12454.0</v>
      </c>
      <c r="B11699" s="3" t="s">
        <v>3231</v>
      </c>
      <c r="C11699" s="3" t="str">
        <f>IFERROR(__xludf.DUMMYFUNCTION("GOOGLETRANSLATE(B11699,""id"",""en"")"),"['APK', 'Open']")</f>
        <v>['APK', 'Open']</v>
      </c>
      <c r="D11699" s="3">
        <v>1.0</v>
      </c>
    </row>
    <row r="11700" ht="15.75" customHeight="1">
      <c r="A11700" s="1">
        <v>12455.0</v>
      </c>
      <c r="B11700" s="3" t="s">
        <v>11175</v>
      </c>
      <c r="C11700" s="3" t="str">
        <f>IFERROR(__xludf.DUMMYFUNCTION("GOOGLETRANSLATE(B11700,""id"",""en"")"),"['Slalu', 'Program', 'Telkomsel', 'Points', 'Unda', 'Layday', 'Nggk', 'Prnh', 'Can', '']")</f>
        <v>['Slalu', 'Program', 'Telkomsel', 'Points', 'Unda', 'Layday', 'Nggk', 'Prnh', 'Can', '']</v>
      </c>
      <c r="D11700" s="3">
        <v>1.0</v>
      </c>
    </row>
    <row r="11701" ht="15.75" customHeight="1">
      <c r="A11701" s="1">
        <v>12456.0</v>
      </c>
      <c r="B11701" s="3" t="s">
        <v>11176</v>
      </c>
      <c r="C11701" s="3" t="str">
        <f>IFERROR(__xludf.DUMMYFUNCTION("GOOGLETRANSLATE(B11701,""id"",""en"")"),"['Telkomsel', 'Best', 'Service', 'Price', 'Card', 'User', 'Worth', 'Jaya', '']")</f>
        <v>['Telkomsel', 'Best', 'Service', 'Price', 'Card', 'User', 'Worth', 'Jaya', '']</v>
      </c>
      <c r="D11701" s="3">
        <v>5.0</v>
      </c>
    </row>
    <row r="11702" ht="15.75" customHeight="1">
      <c r="A11702" s="1">
        <v>12457.0</v>
      </c>
      <c r="B11702" s="3" t="s">
        <v>11177</v>
      </c>
      <c r="C11702" s="3" t="str">
        <f>IFERROR(__xludf.DUMMYFUNCTION("GOOGLETRANSLATE(B11702,""id"",""en"")"),"['application', 'open', 'appears', 'white', 'trs', 'open', 'application', 'telkomsel', 'please', 'fix', 'exchange', 'point']")</f>
        <v>['application', 'open', 'appears', 'white', 'trs', 'open', 'application', 'telkomsel', 'please', 'fix', 'exchange', 'point']</v>
      </c>
      <c r="D11702" s="3">
        <v>5.0</v>
      </c>
    </row>
    <row r="11703" ht="15.75" customHeight="1">
      <c r="A11703" s="1">
        <v>12458.0</v>
      </c>
      <c r="B11703" s="3" t="s">
        <v>11178</v>
      </c>
      <c r="C11703" s="3" t="str">
        <f>IFERROR(__xludf.DUMMYFUNCTION("GOOGLETRANSLATE(B11703,""id"",""en"")"),"['Telkomsel', 'BUMN', 'expensive']")</f>
        <v>['Telkomsel', 'BUMN', 'expensive']</v>
      </c>
      <c r="D11703" s="3">
        <v>1.0</v>
      </c>
    </row>
    <row r="11704" ht="15.75" customHeight="1">
      <c r="A11704" s="1">
        <v>12459.0</v>
      </c>
      <c r="B11704" s="3" t="s">
        <v>11179</v>
      </c>
      <c r="C11704" s="3" t="str">
        <f>IFERROR(__xludf.DUMMYFUNCTION("GOOGLETRANSLATE(B11704,""id"",""en"")"),"['Knp', 'Open', 'Telkomsel', 'Samsung', ""]")</f>
        <v>['Knp', 'Open', 'Telkomsel', 'Samsung', "]</v>
      </c>
      <c r="D11704" s="3">
        <v>5.0</v>
      </c>
    </row>
    <row r="11705" ht="15.75" customHeight="1">
      <c r="A11705" s="1">
        <v>12460.0</v>
      </c>
      <c r="B11705" s="3" t="s">
        <v>11180</v>
      </c>
      <c r="C11705" s="3" t="str">
        <f>IFERROR(__xludf.DUMMYFUNCTION("GOOGLETRANSLATE(B11705,""id"",""en"")"),"['All', 'application', 'go', 'Miriss', ""]")</f>
        <v>['All', 'application', 'go', 'Miriss', "]</v>
      </c>
      <c r="D11705" s="3">
        <v>1.0</v>
      </c>
    </row>
    <row r="11706" ht="15.75" customHeight="1">
      <c r="A11706" s="1">
        <v>12461.0</v>
      </c>
      <c r="B11706" s="3" t="s">
        <v>11181</v>
      </c>
      <c r="C11706" s="3" t="str">
        <f>IFERROR(__xludf.DUMMYFUNCTION("GOOGLETRANSLATE(B11706,""id"",""en"")"),"['Dnnn', 'Application', 'Telkomsel', 'Disappointing', 'Enggk', 'Open', 'just', 'appears',' screen ',' White ',' Install ',' reset ',' Application ',' Update ',' Mangkin ',' Good ',' Mangkin ',' Destroyed ',' Enggk ',' Notification ', ""]")</f>
        <v>['Dnnn', 'Application', 'Telkomsel', 'Disappointing', 'Enggk', 'Open', 'just', 'appears',' screen ',' White ',' Install ',' reset ',' Application ',' Update ',' Mangkin ',' Good ',' Mangkin ',' Destroyed ',' Enggk ',' Notification ', "]</v>
      </c>
      <c r="D11706" s="3">
        <v>2.0</v>
      </c>
    </row>
    <row r="11707" ht="15.75" customHeight="1">
      <c r="A11707" s="1">
        <v>12462.0</v>
      </c>
      <c r="B11707" s="3" t="s">
        <v>11182</v>
      </c>
      <c r="C11707" s="3" t="str">
        <f>IFERROR(__xludf.DUMMYFUNCTION("GOOGLETRANSLATE(B11707,""id"",""en"")"),"['happy', 'satisfying', 'package', 'telephone', 'cheap', 'little', ""]")</f>
        <v>['happy', 'satisfying', 'package', 'telephone', 'cheap', 'little', "]</v>
      </c>
      <c r="D11707" s="3">
        <v>5.0</v>
      </c>
    </row>
    <row r="11708" ht="15.75" customHeight="1">
      <c r="A11708" s="1">
        <v>12463.0</v>
      </c>
      <c r="B11708" s="3" t="s">
        <v>11183</v>
      </c>
      <c r="C11708" s="3" t="str">
        <f>IFERROR(__xludf.DUMMYFUNCTION("GOOGLETRANSLATE(B11708,""id"",""en"")"),"['Application', 'slow', 'buy', 'package', 'confirm', 'late', ""]")</f>
        <v>['Application', 'slow', 'buy', 'package', 'confirm', 'late', "]</v>
      </c>
      <c r="D11708" s="3">
        <v>1.0</v>
      </c>
    </row>
    <row r="11709" ht="15.75" customHeight="1">
      <c r="A11709" s="1">
        <v>12464.0</v>
      </c>
      <c r="B11709" s="3" t="s">
        <v>11184</v>
      </c>
      <c r="C11709" s="3" t="str">
        <f>IFERROR(__xludf.DUMMYFUNCTION("GOOGLETRANSLATE(B11709,""id"",""en"")"),"['Yesterday', 'Kmarin', 'Fast', 'Silang', 'Slow']")</f>
        <v>['Yesterday', 'Kmarin', 'Fast', 'Silang', 'Slow']</v>
      </c>
      <c r="D11709" s="3">
        <v>4.0</v>
      </c>
    </row>
    <row r="11710" ht="15.75" customHeight="1">
      <c r="A11710" s="1">
        <v>12465.0</v>
      </c>
      <c r="B11710" s="3" t="s">
        <v>11185</v>
      </c>
      <c r="C11710" s="3" t="str">
        <f>IFERROR(__xludf.DUMMYFUNCTION("GOOGLETRANSLATE(B11710,""id"",""en"")"),"['Claim', 'Prizes', 'Reasons', 'Network', 'Busy', 'Basic', 'PHP', '']")</f>
        <v>['Claim', 'Prizes', 'Reasons', 'Network', 'Busy', 'Basic', 'PHP', '']</v>
      </c>
      <c r="D11710" s="3">
        <v>1.0</v>
      </c>
    </row>
    <row r="11711" ht="15.75" customHeight="1">
      <c r="A11711" s="1">
        <v>12466.0</v>
      </c>
      <c r="B11711" s="3" t="s">
        <v>11186</v>
      </c>
      <c r="C11711" s="3" t="str">
        <f>IFERROR(__xludf.DUMMYFUNCTION("GOOGLETRANSLATE(B11711,""id"",""en"")"),"['Telkomsel', 'Network', 'Seanero', 'Tocage']")</f>
        <v>['Telkomsel', 'Network', 'Seanero', 'Tocage']</v>
      </c>
      <c r="D11711" s="3">
        <v>5.0</v>
      </c>
    </row>
    <row r="11712" ht="15.75" customHeight="1">
      <c r="A11712" s="1">
        <v>12467.0</v>
      </c>
      <c r="B11712" s="3" t="s">
        <v>11187</v>
      </c>
      <c r="C11712" s="3" t="str">
        <f>IFERROR(__xludf.DUMMYFUNCTION("GOOGLETRANSLATE(B11712,""id"",""en"")"),"['help', 'sometimes', 'account', 'suggestion', 'develop', 'the application']")</f>
        <v>['help', 'sometimes', 'account', 'suggestion', 'develop', 'the application']</v>
      </c>
      <c r="D11712" s="3">
        <v>5.0</v>
      </c>
    </row>
    <row r="11713" ht="15.75" customHeight="1">
      <c r="A11713" s="1">
        <v>12468.0</v>
      </c>
      <c r="B11713" s="3" t="s">
        <v>11188</v>
      </c>
      <c r="C11713" s="3" t="str">
        <f>IFERROR(__xludf.DUMMYFUNCTION("GOOGLETRANSLATE(B11713,""id"",""en"")"),"['kacaw', 'provider', 'forgiveness', 'gmn', 'application', 'opened', '']")</f>
        <v>['kacaw', 'provider', 'forgiveness', 'gmn', 'application', 'opened', '']</v>
      </c>
      <c r="D11713" s="3">
        <v>1.0</v>
      </c>
    </row>
    <row r="11714" ht="15.75" customHeight="1">
      <c r="A11714" s="1">
        <v>12469.0</v>
      </c>
      <c r="B11714" s="3" t="s">
        <v>11189</v>
      </c>
      <c r="C11714" s="3" t="str">
        <f>IFERROR(__xludf.DUMMYFUNCTION("GOOGLETRANSLATE(B11714,""id"",""en"")"),"['The application', 'Blank', 'White', 'Muluk', 'Spasgreed', 'Low', 'Please', 'Application', 'Seed', 'Alias', 'userfriendly', ""]")</f>
        <v>['The application', 'Blank', 'White', 'Muluk', 'Spasgreed', 'Low', 'Please', 'Application', 'Seed', 'Alias', 'userfriendly', "]</v>
      </c>
      <c r="D11714" s="3">
        <v>1.0</v>
      </c>
    </row>
    <row r="11715" ht="15.75" customHeight="1">
      <c r="A11715" s="1">
        <v>12470.0</v>
      </c>
      <c r="B11715" s="3" t="s">
        <v>11190</v>
      </c>
      <c r="C11715" s="3" t="str">
        <f>IFERROR(__xludf.DUMMYFUNCTION("GOOGLETRANSLATE(B11715,""id"",""en"")"),"['Telkomsel', 'update', 'newest', 'open', 'solution', '']")</f>
        <v>['Telkomsel', 'update', 'newest', 'open', 'solution', '']</v>
      </c>
      <c r="D11715" s="3">
        <v>4.0</v>
      </c>
    </row>
    <row r="11716" ht="15.75" customHeight="1">
      <c r="A11716" s="1">
        <v>12471.0</v>
      </c>
      <c r="B11716" s="3" t="s">
        <v>11191</v>
      </c>
      <c r="C11716" s="3" t="str">
        <f>IFERROR(__xludf.DUMMYFUNCTION("GOOGLETRANSLATE(B11716,""id"",""en"")"),"['sorry', 'just', 'love', 'star', 'application', 'blank', 'white', 'Try', 'Telkomsel', 'satisfying', 'result', 'change', ' The point is', 'answer', 'alias',' alias', 'protest', 'application', 'open', 'blank', 'white', 'quota', 'price', 'exorbitant' , 'sig"&amp;"nal', 'stable', 'how', 'look for', 'solution', 'be prepared', 'abandoned', 'your customer']")</f>
        <v>['sorry', 'just', 'love', 'star', 'application', 'blank', 'white', 'Try', 'Telkomsel', 'satisfying', 'result', 'change', ' The point is', 'answer', 'alias',' alias', 'protest', 'application', 'open', 'blank', 'white', 'quota', 'price', 'exorbitant' , 'signal', 'stable', 'how', 'look for', 'solution', 'be prepared', 'abandoned', 'your customer']</v>
      </c>
      <c r="D11716" s="3">
        <v>2.0</v>
      </c>
    </row>
    <row r="11717" ht="15.75" customHeight="1">
      <c r="A11717" s="1">
        <v>12472.0</v>
      </c>
      <c r="B11717" s="3" t="s">
        <v>11192</v>
      </c>
      <c r="C11717" s="3" t="str">
        <f>IFERROR(__xludf.DUMMYFUNCTION("GOOGLETRANSLATE(B11717,""id"",""en"")"),"['Application', 'MyTelkomsel', 'opened', 'alternating', 'Delete', 'Install', 'Please', 'Help']")</f>
        <v>['Application', 'MyTelkomsel', 'opened', 'alternating', 'Delete', 'Install', 'Please', 'Help']</v>
      </c>
      <c r="D11717" s="3">
        <v>3.0</v>
      </c>
    </row>
    <row r="11718" ht="15.75" customHeight="1">
      <c r="A11718" s="1">
        <v>12473.0</v>
      </c>
      <c r="B11718" s="3" t="s">
        <v>11193</v>
      </c>
      <c r="C11718" s="3" t="str">
        <f>IFERROR(__xludf.DUMMYFUNCTION("GOOGLETRANSLATE(B11718,""id"",""en"")"),"['Update', 'Display', 'Screen', 'White', '']")</f>
        <v>['Update', 'Display', 'Screen', 'White', '']</v>
      </c>
      <c r="D11718" s="3">
        <v>2.0</v>
      </c>
    </row>
    <row r="11719" ht="15.75" customHeight="1">
      <c r="A11719" s="1">
        <v>12474.0</v>
      </c>
      <c r="B11719" s="3" t="s">
        <v>11194</v>
      </c>
      <c r="C11719" s="3" t="str">
        <f>IFERROR(__xludf.DUMMYFUNCTION("GOOGLETRANSLATE(B11719,""id"",""en"")"),"['', 'Understand', 'Telkomsel', 'Open', 'Screen', 'White', 'just', 'here', 'Severe', 'Maen', 'Game', 'Leg', 'Leg ',' Parahh ',' ']")</f>
        <v>['', 'Understand', 'Telkomsel', 'Open', 'Screen', 'White', 'just', 'here', 'Severe', 'Maen', 'Game', 'Leg', 'Leg ',' Parahh ',' ']</v>
      </c>
      <c r="D11719" s="3">
        <v>2.0</v>
      </c>
    </row>
    <row r="11720" ht="15.75" customHeight="1">
      <c r="A11720" s="1">
        <v>12475.0</v>
      </c>
      <c r="B11720" s="3" t="s">
        <v>11195</v>
      </c>
      <c r="C11720" s="3" t="str">
        <f>IFERROR(__xludf.DUMMYFUNCTION("GOOGLETRANSLATE(B11720,""id"",""en"")"),"['Love', 'star', 'Telkomsel']")</f>
        <v>['Love', 'star', 'Telkomsel']</v>
      </c>
      <c r="D11720" s="3">
        <v>4.0</v>
      </c>
    </row>
    <row r="11721" ht="15.75" customHeight="1">
      <c r="A11721" s="1">
        <v>12476.0</v>
      </c>
      <c r="B11721" s="3" t="s">
        <v>11196</v>
      </c>
      <c r="C11721" s="3" t="str">
        <f>IFERROR(__xludf.DUMMYFUNCTION("GOOGLETRANSLATE(B11721,""id"",""en"")"),"['hope', 'can', 'good']")</f>
        <v>['hope', 'can', 'good']</v>
      </c>
      <c r="D11721" s="3">
        <v>5.0</v>
      </c>
    </row>
    <row r="11722" ht="15.75" customHeight="1">
      <c r="A11722" s="1">
        <v>12477.0</v>
      </c>
      <c r="B11722" s="3" t="s">
        <v>11197</v>
      </c>
      <c r="C11722" s="3" t="str">
        <f>IFERROR(__xludf.DUMMYFUNCTION("GOOGLETRANSLATE(B11722,""id"",""en"")"),"['quota', 'expensive', 'kli', 'forced', 'forgiveness', 'buy']")</f>
        <v>['quota', 'expensive', 'kli', 'forced', 'forgiveness', 'buy']</v>
      </c>
      <c r="D11722" s="3">
        <v>1.0</v>
      </c>
    </row>
    <row r="11723" ht="15.75" customHeight="1">
      <c r="A11723" s="1">
        <v>12478.0</v>
      </c>
      <c r="B11723" s="3" t="s">
        <v>11198</v>
      </c>
      <c r="C11723" s="3" t="str">
        <f>IFERROR(__xludf.DUMMYFUNCTION("GOOGLETRANSLATE(B11723,""id"",""en"")"),"['Package', 'quota', 'expensive', 'recommendedd']")</f>
        <v>['Package', 'quota', 'expensive', 'recommendedd']</v>
      </c>
      <c r="D11723" s="3">
        <v>1.0</v>
      </c>
    </row>
    <row r="11724" ht="15.75" customHeight="1">
      <c r="A11724" s="1">
        <v>12479.0</v>
      </c>
      <c r="B11724" s="3" t="s">
        <v>11199</v>
      </c>
      <c r="C11724" s="3" t="str">
        <f>IFERROR(__xludf.DUMMYFUNCTION("GOOGLETRANSLATE(B11724,""id"",""en"")"),"['Your Network', 'Bagusin', '']")</f>
        <v>['Your Network', 'Bagusin', '']</v>
      </c>
      <c r="D11724" s="3">
        <v>1.0</v>
      </c>
    </row>
    <row r="11725" ht="15.75" customHeight="1">
      <c r="A11725" s="1">
        <v>12480.0</v>
      </c>
      <c r="B11725" s="3" t="s">
        <v>11200</v>
      </c>
      <c r="C11725" s="3" t="str">
        <f>IFERROR(__xludf.DUMMYFUNCTION("GOOGLETRANSLATE(B11725,""id"",""en"")"),"['NGK', 'Pantes', 'Thank "",' Bintang ',' Pantesan ',' Country ',' Ancur ',' Company ',' Government ',' Like ',' Meras ',' People ',' Eat ',' money ',' folk ',' gini ',' hope ',' guide ',' kept ',' azab ',' in the world ']")</f>
        <v>['NGK', 'Pantes', 'Thank ",' Bintang ',' Pantesan ',' Country ',' Ancur ',' Company ',' Government ',' Like ',' Meras ',' People ',' Eat ',' money ',' folk ',' gini ',' hope ',' guide ',' kept ',' azab ',' in the world ']</v>
      </c>
      <c r="D11725" s="3">
        <v>1.0</v>
      </c>
    </row>
    <row r="11726" ht="15.75" customHeight="1">
      <c r="A11726" s="1">
        <v>12481.0</v>
      </c>
      <c r="B11726" s="3" t="s">
        <v>11201</v>
      </c>
      <c r="C11726" s="3" t="str">
        <f>IFERROR(__xludf.DUMMYFUNCTION("GOOGLETRANSLATE(B11726,""id"",""en"")"),"['The application', 'likes', 'see', 'Assessment', 'Open', 'Android', '']")</f>
        <v>['The application', 'likes', 'see', 'Assessment', 'Open', 'Android', '']</v>
      </c>
      <c r="D11726" s="3">
        <v>2.0</v>
      </c>
    </row>
    <row r="11727" ht="15.75" customHeight="1">
      <c r="A11727" s="1">
        <v>12482.0</v>
      </c>
      <c r="B11727" s="3" t="s">
        <v>11202</v>
      </c>
      <c r="C11727" s="3" t="str">
        <f>IFERROR(__xludf.DUMMYFUNCTION("GOOGLETRANSLATE(B11727,""id"",""en"")"),"['Make sure', 'convinced', 'continue', 'seconds',' update ',' upgrade ',' intelligence ',' Macem ',' Application ',' Telkomsel ',' online ',' offline ',' Telkomsel ',' abandoned ',' hundreds', 'million', 'customers',' subscriber ',' Telkomsel ',' hundreds"&amp;"', 'million', 'people', 'Indonesia', 'really', 'Amin' , 'Amin', ""]")</f>
        <v>['Make sure', 'convinced', 'continue', 'seconds',' update ',' upgrade ',' intelligence ',' Macem ',' Application ',' Telkomsel ',' online ',' offline ',' Telkomsel ',' abandoned ',' hundreds', 'million', 'customers',' subscriber ',' Telkomsel ',' hundreds', 'million', 'people', 'Indonesia', 'really', 'Amin' , 'Amin', "]</v>
      </c>
      <c r="D11727" s="3">
        <v>5.0</v>
      </c>
    </row>
    <row r="11728" ht="15.75" customHeight="1">
      <c r="A11728" s="1">
        <v>12483.0</v>
      </c>
      <c r="B11728" s="3" t="s">
        <v>11203</v>
      </c>
      <c r="C11728" s="3" t="str">
        <f>IFERROR(__xludf.DUMMYFUNCTION("GOOGLETRANSLATE(B11728,""id"",""en"")"),"['Out', 'UPRADE', 'NDK', 'Bukak', 'Bukak', 'screen', 'white', 'Doang', 'hmmm']")</f>
        <v>['Out', 'UPRADE', 'NDK', 'Bukak', 'Bukak', 'screen', 'white', 'Doang', 'hmmm']</v>
      </c>
      <c r="D11728" s="3">
        <v>2.0</v>
      </c>
    </row>
    <row r="11729" ht="15.75" customHeight="1">
      <c r="A11729" s="1">
        <v>12484.0</v>
      </c>
      <c r="B11729" s="3" t="s">
        <v>11204</v>
      </c>
      <c r="C11729" s="3" t="str">
        <f>IFERROR(__xludf.DUMMYFUNCTION("GOOGLETRANSLATE(B11729,""id"",""en"")"),"['right', 'enter', 'screen', 'white', 'uninstall', 'screen', 'white', 'enter', 'gmn', 'want', 'buy', 'quota', ' Please, 'Telkomsel']")</f>
        <v>['right', 'enter', 'screen', 'white', 'uninstall', 'screen', 'white', 'enter', 'gmn', 'want', 'buy', 'quota', ' Please, 'Telkomsel']</v>
      </c>
      <c r="D11729" s="3">
        <v>1.0</v>
      </c>
    </row>
    <row r="11730" ht="15.75" customHeight="1">
      <c r="A11730" s="1">
        <v>12485.0</v>
      </c>
      <c r="B11730" s="3" t="s">
        <v>11205</v>
      </c>
      <c r="C11730" s="3" t="str">
        <f>IFERROR(__xludf.DUMMYFUNCTION("GOOGLETRANSLATE(B11730,""id"",""en"")"),"['send', 'gift', 'package', 'internet', 'number', 'app', '']")</f>
        <v>['send', 'gift', 'package', 'internet', 'number', 'app', '']</v>
      </c>
      <c r="D11730" s="3">
        <v>2.0</v>
      </c>
    </row>
    <row r="11731" ht="15.75" customHeight="1">
      <c r="A11731" s="1">
        <v>12486.0</v>
      </c>
      <c r="B11731" s="3" t="s">
        <v>11206</v>
      </c>
      <c r="C11731" s="3" t="str">
        <f>IFERROR(__xludf.DUMMYFUNCTION("GOOGLETRANSLATE(B11731,""id"",""en"")"),"['Help', 'check', 'pulse', 'package', 'data', 'price', 'package']")</f>
        <v>['Help', 'check', 'pulse', 'package', 'data', 'price', 'package']</v>
      </c>
      <c r="D11731" s="3">
        <v>5.0</v>
      </c>
    </row>
    <row r="11732" ht="15.75" customHeight="1">
      <c r="A11732" s="1">
        <v>12487.0</v>
      </c>
      <c r="B11732" s="3" t="s">
        <v>777</v>
      </c>
      <c r="C11732" s="3" t="str">
        <f>IFERROR(__xludf.DUMMYFUNCTION("GOOGLETRANSLATE(B11732,""id"",""en"")"),"['Application', 'Good', '']")</f>
        <v>['Application', 'Good', '']</v>
      </c>
      <c r="D11732" s="3">
        <v>5.0</v>
      </c>
    </row>
    <row r="11733" ht="15.75" customHeight="1">
      <c r="A11733" s="1">
        <v>12488.0</v>
      </c>
      <c r="B11733" s="3" t="s">
        <v>11207</v>
      </c>
      <c r="C11733" s="3" t="str">
        <f>IFERROR(__xludf.DUMMYFUNCTION("GOOGLETRANSLATE(B11733,""id"",""en"")"),"['Application', 'Telkomsel', 'opened', 'Reinstall', 'Msh', 'Tetep', 'Sprti']")</f>
        <v>['Application', 'Telkomsel', 'opened', 'Reinstall', 'Msh', 'Tetep', 'Sprti']</v>
      </c>
      <c r="D11733" s="3">
        <v>1.0</v>
      </c>
    </row>
    <row r="11734" ht="15.75" customHeight="1">
      <c r="A11734" s="1">
        <v>12489.0</v>
      </c>
      <c r="B11734" s="3" t="s">
        <v>11208</v>
      </c>
      <c r="C11734" s="3" t="str">
        <f>IFERROR(__xludf.DUMMYFUNCTION("GOOGLETRANSLATE(B11734,""id"",""en"")"),"['service', 'good', 'package', 'slow', 'network', 'slow', 'price', 'expensive', 'buy', 'network', 'then', 'Kek', ' Please, 'Fix', 'LOTIN', 'promo']")</f>
        <v>['service', 'good', 'package', 'slow', 'network', 'slow', 'price', 'expensive', 'buy', 'network', 'then', 'Kek', ' Please, 'Fix', 'LOTIN', 'promo']</v>
      </c>
      <c r="D11734" s="3">
        <v>1.0</v>
      </c>
    </row>
    <row r="11735" ht="15.75" customHeight="1">
      <c r="A11735" s="1">
        <v>12490.0</v>
      </c>
      <c r="B11735" s="3" t="s">
        <v>11209</v>
      </c>
      <c r="C11735" s="3" t="str">
        <f>IFERROR(__xludf.DUMMYFUNCTION("GOOGLETRANSLATE(B11735,""id"",""en"")"),"['The application', 'good', 'darling', 'claim', 'gift', 'chek', 'pulse', 'mending', 'big', 'pulse', 'it takes',' cupa ',' annoying', '']")</f>
        <v>['The application', 'good', 'darling', 'claim', 'gift', 'chek', 'pulse', 'mending', 'big', 'pulse', 'it takes',' cupa ',' annoying', '']</v>
      </c>
      <c r="D11735" s="3">
        <v>1.0</v>
      </c>
    </row>
    <row r="11736" ht="15.75" customHeight="1">
      <c r="A11736" s="1">
        <v>12491.0</v>
      </c>
      <c r="B11736" s="3" t="s">
        <v>2587</v>
      </c>
      <c r="C11736" s="3" t="str">
        <f>IFERROR(__xludf.DUMMYFUNCTION("GOOGLETRANSLATE(B11736,""id"",""en"")"),"['Update']")</f>
        <v>['Update']</v>
      </c>
      <c r="D11736" s="3">
        <v>1.0</v>
      </c>
    </row>
    <row r="11737" ht="15.75" customHeight="1">
      <c r="A11737" s="1">
        <v>12492.0</v>
      </c>
      <c r="B11737" s="3" t="s">
        <v>11210</v>
      </c>
      <c r="C11737" s="3" t="str">
        <f>IFERROR(__xludf.DUMMYFUNCTION("GOOGLETRANSLATE(B11737,""id"",""en"")"),"['', 'bsa', 'open', 'prbaiki', 'qualityny']")</f>
        <v>['', 'bsa', 'open', 'prbaiki', 'qualityny']</v>
      </c>
      <c r="D11737" s="3">
        <v>1.0</v>
      </c>
    </row>
    <row r="11738" ht="15.75" customHeight="1">
      <c r="A11738" s="1">
        <v>12493.0</v>
      </c>
      <c r="B11738" s="3" t="s">
        <v>11211</v>
      </c>
      <c r="C11738" s="3" t="str">
        <f>IFERROR(__xludf.DUMMYFUNCTION("GOOGLETRANSLATE(B11738,""id"",""en"")"),"['Gajelas',' TBTB ',' Ngeblank ',' White ',' Awaited ',' Sampe ',' HP ',' Look ',' Gaada ',' Info ',' Ngeblank ',' White ',' Eastern ',' ']")</f>
        <v>['Gajelas',' TBTB ',' Ngeblank ',' White ',' Awaited ',' Sampe ',' HP ',' Look ',' Gaada ',' Info ',' Ngeblank ',' White ',' Eastern ',' ']</v>
      </c>
      <c r="D11738" s="3">
        <v>1.0</v>
      </c>
    </row>
    <row r="11739" ht="15.75" customHeight="1">
      <c r="A11739" s="1">
        <v>12494.0</v>
      </c>
      <c r="B11739" s="3" t="s">
        <v>11212</v>
      </c>
      <c r="C11739" s="3" t="str">
        <f>IFERROR(__xludf.DUMMYFUNCTION("GOOGLETRANSLATE(B11739,""id"",""en"")"),"['Performance', 'Bad', 'Update', 'White', 'Screen', 'Star']")</f>
        <v>['Performance', 'Bad', 'Update', 'White', 'Screen', 'Star']</v>
      </c>
      <c r="D11739" s="3">
        <v>1.0</v>
      </c>
    </row>
    <row r="11740" ht="15.75" customHeight="1">
      <c r="A11740" s="1">
        <v>12495.0</v>
      </c>
      <c r="B11740" s="3" t="s">
        <v>11213</v>
      </c>
      <c r="C11740" s="3" t="str">
        <f>IFERROR(__xludf.DUMMYFUNCTION("GOOGLETRANSLATE(B11740,""id"",""en"")"),"['kacauuuuu', 'promotion', 'kayak', 'heu', 'application', 'open', 'lieur', 'ach', '']")</f>
        <v>['kacauuuuu', 'promotion', 'kayak', 'heu', 'application', 'open', 'lieur', 'ach', '']</v>
      </c>
      <c r="D11740" s="3">
        <v>1.0</v>
      </c>
    </row>
    <row r="11741" ht="15.75" customHeight="1">
      <c r="A11741" s="1">
        <v>12496.0</v>
      </c>
      <c r="B11741" s="3" t="s">
        <v>11214</v>
      </c>
      <c r="C11741" s="3" t="str">
        <f>IFERROR(__xludf.DUMMYFUNCTION("GOOGLETRANSLATE(B11741,""id"",""en"")"),"['signal', 'ugly', 'quota', 'coakes', 'chat', 'buy', 'quota', 'big', 'kepake', ""]")</f>
        <v>['signal', 'ugly', 'quota', 'coakes', 'chat', 'buy', 'quota', 'big', 'kepake', "]</v>
      </c>
      <c r="D11741" s="3">
        <v>2.0</v>
      </c>
    </row>
    <row r="11742" ht="15.75" customHeight="1">
      <c r="A11742" s="1">
        <v>12497.0</v>
      </c>
      <c r="B11742" s="3" t="s">
        <v>11215</v>
      </c>
      <c r="C11742" s="3" t="str">
        <f>IFERROR(__xludf.DUMMYFUNCTION("GOOGLETRANSLATE(B11742,""id"",""en"")"),"['Use', 'Kuwota', 'Divided', 'Internet', 'Multimedia', '']")</f>
        <v>['Use', 'Kuwota', 'Divided', 'Internet', 'Multimedia', '']</v>
      </c>
      <c r="D11742" s="3">
        <v>4.0</v>
      </c>
    </row>
    <row r="11743" ht="15.75" customHeight="1">
      <c r="A11743" s="1">
        <v>12498.0</v>
      </c>
      <c r="B11743" s="3" t="s">
        <v>11216</v>
      </c>
      <c r="C11743" s="3" t="str">
        <f>IFERROR(__xludf.DUMMYFUNCTION("GOOGLETRANSLATE(B11743,""id"",""en"")"),"['Paketan', 'expensive', 'ugly', 'sinya']")</f>
        <v>['Paketan', 'expensive', 'ugly', 'sinya']</v>
      </c>
      <c r="D11743" s="3">
        <v>4.0</v>
      </c>
    </row>
    <row r="11744" ht="15.75" customHeight="1">
      <c r="A11744" s="1">
        <v>12499.0</v>
      </c>
      <c r="B11744" s="3" t="s">
        <v>11217</v>
      </c>
      <c r="C11744" s="3" t="str">
        <f>IFERROR(__xludf.DUMMYFUNCTION("GOOGLETRANSLATE(B11744,""id"",""en"")"),"['Sngat', 'Used', 'Make Easy', '']")</f>
        <v>['Sngat', 'Used', 'Make Easy', '']</v>
      </c>
      <c r="D11744" s="3">
        <v>5.0</v>
      </c>
    </row>
    <row r="11745" ht="15.75" customHeight="1">
      <c r="A11745" s="1">
        <v>12500.0</v>
      </c>
      <c r="B11745" s="3" t="s">
        <v>11218</v>
      </c>
      <c r="C11745" s="3" t="str">
        <f>IFERROR(__xludf.DUMMYFUNCTION("GOOGLETRANSLATE(B11745,""id"",""en"")"),"['Mending', 'Delete', 'Opened']")</f>
        <v>['Mending', 'Delete', 'Opened']</v>
      </c>
      <c r="D11745" s="3">
        <v>1.0</v>
      </c>
    </row>
    <row r="11746" ht="15.75" customHeight="1">
      <c r="A11746" s="1">
        <v>12501.0</v>
      </c>
      <c r="B11746" s="3" t="s">
        <v>11219</v>
      </c>
      <c r="C11746" s="3" t="str">
        <f>IFERROR(__xludf.DUMMYFUNCTION("GOOGLETRANSLATE(B11746,""id"",""en"")"),"['connection', 'internet', 'slow', 'disconnected', 'connection', 'internet', 'buy', 'package', 'combo', 'already', 'internet', 'rely on' connection ',' internet ',' bad ',' annoying ',' activity ',' work ',' dependent ',' internet ',' connection ',' inter"&amp;"net ',' ngak ',' fix ',' move ' , 'operator', '']")</f>
        <v>['connection', 'internet', 'slow', 'disconnected', 'connection', 'internet', 'buy', 'package', 'combo', 'already', 'internet', 'rely on' connection ',' internet ',' bad ',' annoying ',' activity ',' work ',' dependent ',' internet ',' connection ',' internet ',' ngak ',' fix ',' move ' , 'operator', '']</v>
      </c>
      <c r="D11746" s="3">
        <v>1.0</v>
      </c>
    </row>
    <row r="11747" ht="15.75" customHeight="1">
      <c r="A11747" s="1">
        <v>12503.0</v>
      </c>
      <c r="B11747" s="3" t="s">
        <v>11220</v>
      </c>
      <c r="C11747" s="3" t="str">
        <f>IFERROR(__xludf.DUMMYFUNCTION("GOOGLETRANSLATE(B11747,""id"",""en"")"),"['Semkin', 'Error', 'Mulu', 'Simpati', 'Hadech', ""]")</f>
        <v>['Semkin', 'Error', 'Mulu', 'Simpati', 'Hadech', "]</v>
      </c>
      <c r="D11747" s="3">
        <v>5.0</v>
      </c>
    </row>
    <row r="11748" ht="15.75" customHeight="1">
      <c r="A11748" s="1">
        <v>12505.0</v>
      </c>
      <c r="B11748" s="3" t="s">
        <v>11221</v>
      </c>
      <c r="C11748" s="3" t="str">
        <f>IFERROR(__xludf.DUMMYFUNCTION("GOOGLETRANSLATE(B11748,""id"",""en"")"),"['Network', 'Please', 'Increase', ""]")</f>
        <v>['Network', 'Please', 'Increase', "]</v>
      </c>
      <c r="D11748" s="3">
        <v>3.0</v>
      </c>
    </row>
    <row r="11749" ht="15.75" customHeight="1">
      <c r="A11749" s="1">
        <v>12506.0</v>
      </c>
      <c r="B11749" s="3" t="s">
        <v>11222</v>
      </c>
      <c r="C11749" s="3" t="str">
        <f>IFERROR(__xludf.DUMMYFUNCTION("GOOGLETRANSLATE(B11749,""id"",""en"")"),"['Please', 'Sorry', 'nich', 'the application', 'slow', 'no', 'open']")</f>
        <v>['Please', 'Sorry', 'nich', 'the application', 'slow', 'no', 'open']</v>
      </c>
      <c r="D11749" s="3">
        <v>1.0</v>
      </c>
    </row>
    <row r="11750" ht="15.75" customHeight="1">
      <c r="A11750" s="1">
        <v>12507.0</v>
      </c>
      <c r="B11750" s="3" t="s">
        <v>11223</v>
      </c>
      <c r="C11750" s="3" t="str">
        <f>IFERROR(__xludf.DUMMYFUNCTION("GOOGLETRANSLATE(B11750,""id"",""en"")"),"['Min', 'application', 'MyTelkomsel', 'opened', '']")</f>
        <v>['Min', 'application', 'MyTelkomsel', 'opened', '']</v>
      </c>
      <c r="D11750" s="3">
        <v>3.0</v>
      </c>
    </row>
    <row r="11751" ht="15.75" customHeight="1">
      <c r="A11751" s="1">
        <v>12508.0</v>
      </c>
      <c r="B11751" s="3" t="s">
        <v>11224</v>
      </c>
      <c r="C11751" s="3" t="str">
        <f>IFERROR(__xludf.DUMMYFUNCTION("GOOGLETRANSLATE(B11751,""id"",""en"")"),"['Blank', 'White', 'Lompong', 'Error', 'Kah', ""]")</f>
        <v>['Blank', 'White', 'Lompong', 'Error', 'Kah', "]</v>
      </c>
      <c r="D11751" s="3">
        <v>1.0</v>
      </c>
    </row>
    <row r="11752" ht="15.75" customHeight="1">
      <c r="A11752" s="1">
        <v>12509.0</v>
      </c>
      <c r="B11752" s="3" t="s">
        <v>11225</v>
      </c>
      <c r="C11752" s="3" t="str">
        <f>IFERROR(__xludf.DUMMYFUNCTION("GOOGLETRANSLATE(B11752,""id"",""en"")"),"['already', 'application', 'open', 'buy', 'package', 'jdi', 'disappointed', 'bnget']")</f>
        <v>['already', 'application', 'open', 'buy', 'package', 'jdi', 'disappointed', 'bnget']</v>
      </c>
      <c r="D11752" s="3">
        <v>5.0</v>
      </c>
    </row>
    <row r="11753" ht="15.75" customHeight="1">
      <c r="A11753" s="1">
        <v>12510.0</v>
      </c>
      <c r="B11753" s="3" t="s">
        <v>11226</v>
      </c>
      <c r="C11753" s="3" t="str">
        <f>IFERROR(__xludf.DUMMYFUNCTION("GOOGLETRANSLATE(B11753,""id"",""en"")"),"['Good', 'no', 'Win', 'Lottery']")</f>
        <v>['Good', 'no', 'Win', 'Lottery']</v>
      </c>
      <c r="D11753" s="3">
        <v>5.0</v>
      </c>
    </row>
    <row r="11754" ht="15.75" customHeight="1">
      <c r="A11754" s="1">
        <v>12511.0</v>
      </c>
      <c r="B11754" s="3" t="s">
        <v>11227</v>
      </c>
      <c r="C11754" s="3" t="str">
        <f>IFERROR(__xludf.DUMMYFUNCTION("GOOGLETRANSLATE(B11754,""id"",""en"")"),"['Bembantu', 'wallet', 'pouch']")</f>
        <v>['Bembantu', 'wallet', 'pouch']</v>
      </c>
      <c r="D11754" s="3">
        <v>2.0</v>
      </c>
    </row>
    <row r="11755" ht="15.75" customHeight="1">
      <c r="A11755" s="1">
        <v>12512.0</v>
      </c>
      <c r="B11755" s="3" t="s">
        <v>11228</v>
      </c>
      <c r="C11755" s="3" t="str">
        <f>IFERROR(__xludf.DUMMYFUNCTION("GOOGLETRANSLATE(B11755,""id"",""en"")"),"['Open', 'the application', 'open', 'screen', 'white', 'Samsung', 'love', 'star', 'open', 'application']")</f>
        <v>['Open', 'the application', 'open', 'screen', 'white', 'Samsung', 'love', 'star', 'open', 'application']</v>
      </c>
      <c r="D11755" s="3">
        <v>1.0</v>
      </c>
    </row>
    <row r="11756" ht="15.75" customHeight="1">
      <c r="A11756" s="1">
        <v>12513.0</v>
      </c>
      <c r="B11756" s="3" t="s">
        <v>8564</v>
      </c>
      <c r="C11756" s="3" t="str">
        <f>IFERROR(__xludf.DUMMYFUNCTION("GOOGLETRANSLATE(B11756,""id"",""en"")"),"['Telkomsel', 'Success', '']")</f>
        <v>['Telkomsel', 'Success', '']</v>
      </c>
      <c r="D11756" s="3">
        <v>5.0</v>
      </c>
    </row>
    <row r="11757" ht="15.75" customHeight="1">
      <c r="A11757" s="1">
        <v>12514.0</v>
      </c>
      <c r="B11757" s="3" t="s">
        <v>11229</v>
      </c>
      <c r="C11757" s="3" t="str">
        <f>IFERROR(__xludf.DUMMYFUNCTION("GOOGLETRANSLATE(B11757,""id"",""en"")"),"['', 'Disappointed', 'apk', 'Telkomsel', 'open', 'aka', 'slow', '']")</f>
        <v>['', 'Disappointed', 'apk', 'Telkomsel', 'open', 'aka', 'slow', '']</v>
      </c>
      <c r="D11757" s="3">
        <v>1.0</v>
      </c>
    </row>
    <row r="11758" ht="15.75" customHeight="1">
      <c r="A11758" s="1">
        <v>12515.0</v>
      </c>
      <c r="B11758" s="3" t="s">
        <v>11230</v>
      </c>
      <c r="C11758" s="3" t="str">
        <f>IFERROR(__xludf.DUMMYFUNCTION("GOOGLETRANSLATE(B11758,""id"",""en"")"),"['entry', 'application', 'Telkomsel', 'screen', 'blank', 'white', ""]")</f>
        <v>['entry', 'application', 'Telkomsel', 'screen', 'blank', 'white', "]</v>
      </c>
      <c r="D11758" s="3">
        <v>2.0</v>
      </c>
    </row>
    <row r="11759" ht="15.75" customHeight="1">
      <c r="A11759" s="1">
        <v>12516.0</v>
      </c>
      <c r="B11759" s="3" t="s">
        <v>11231</v>
      </c>
      <c r="C11759" s="3" t="str">
        <f>IFERROR(__xludf.DUMMYFUNCTION("GOOGLETRANSLATE(B11759,""id"",""en"")"),"['apk', 'gamau', 'open', 'already', 'try', 'download', 'reset', 'gamau', 'please', 'repair']")</f>
        <v>['apk', 'gamau', 'open', 'already', 'try', 'download', 'reset', 'gamau', 'please', 'repair']</v>
      </c>
      <c r="D11759" s="3">
        <v>2.0</v>
      </c>
    </row>
    <row r="11760" ht="15.75" customHeight="1">
      <c r="A11760" s="1">
        <v>12517.0</v>
      </c>
      <c r="B11760" s="3" t="s">
        <v>11232</v>
      </c>
      <c r="C11760" s="3" t="str">
        <f>IFERROR(__xludf.DUMMYFUNCTION("GOOGLETRANSLATE(B11760,""id"",""en"")"),"['', 'Telkomsel', 'Open', 'Boss']")</f>
        <v>['', 'Telkomsel', 'Open', 'Boss']</v>
      </c>
      <c r="D11760" s="3">
        <v>3.0</v>
      </c>
    </row>
    <row r="11761" ht="15.75" customHeight="1">
      <c r="A11761" s="1">
        <v>12518.0</v>
      </c>
      <c r="B11761" s="3" t="s">
        <v>11233</v>
      </c>
      <c r="C11761" s="3" t="str">
        <f>IFERROR(__xludf.DUMMYFUNCTION("GOOGLETRANSLATE(B11761,""id"",""en"")"),"['koq', 'here', 'slow', 'net', 'price', '']")</f>
        <v>['koq', 'here', 'slow', 'net', 'price', '']</v>
      </c>
      <c r="D11761" s="3">
        <v>3.0</v>
      </c>
    </row>
    <row r="11762" ht="15.75" customHeight="1">
      <c r="A11762" s="1">
        <v>12519.0</v>
      </c>
      <c r="B11762" s="3" t="s">
        <v>11234</v>
      </c>
      <c r="C11762" s="3" t="str">
        <f>IFERROR(__xludf.DUMMYFUNCTION("GOOGLETRANSLATE(B11762,""id"",""en"")"),"['Lemot', 'Pakek', 'Game', 'Asuuu']")</f>
        <v>['Lemot', 'Pakek', 'Game', 'Asuuu']</v>
      </c>
      <c r="D11762" s="3">
        <v>1.0</v>
      </c>
    </row>
    <row r="11763" ht="15.75" customHeight="1">
      <c r="A11763" s="1">
        <v>12520.0</v>
      </c>
      <c r="B11763" s="3" t="s">
        <v>11235</v>
      </c>
      <c r="C11763" s="3" t="str">
        <f>IFERROR(__xludf.DUMMYFUNCTION("GOOGLETRANSLATE(B11763,""id"",""en"")"),"['Open', 'Applications']")</f>
        <v>['Open', 'Applications']</v>
      </c>
      <c r="D11763" s="3">
        <v>5.0</v>
      </c>
    </row>
    <row r="11764" ht="15.75" customHeight="1">
      <c r="A11764" s="1">
        <v>12521.0</v>
      </c>
      <c r="B11764" s="3" t="s">
        <v>11236</v>
      </c>
      <c r="C11764" s="3" t="str">
        <f>IFERROR(__xludf.DUMMYFUNCTION("GOOGLETRANSLATE(B11764,""id"",""en"")"),"['person', 'so', 'protest', 'case', 'application', 'uninstall', 'install', 'reset', 'his page', 'white', 'mbok', 'protest', ' Gini ',' noticed ',' repairs', 'application', 'detrimental', 'people', 'know', 'no', 'application', 'gegara', 'cellphone', 'no', "&amp;"'android' , '']")</f>
        <v>['person', 'so', 'protest', 'case', 'application', 'uninstall', 'install', 'reset', 'his page', 'white', 'mbok', 'protest', ' Gini ',' noticed ',' repairs', 'application', 'detrimental', 'people', 'know', 'no', 'application', 'gegara', 'cellphone', 'no', 'android' , '']</v>
      </c>
      <c r="D11764" s="3">
        <v>1.0</v>
      </c>
    </row>
    <row r="11765" ht="15.75" customHeight="1">
      <c r="A11765" s="1">
        <v>12522.0</v>
      </c>
      <c r="B11765" s="3" t="s">
        <v>11237</v>
      </c>
      <c r="C11765" s="3" t="str">
        <f>IFERROR(__xludf.DUMMYFUNCTION("GOOGLETRANSLATE(B11765,""id"",""en"")"),"['Ngeblank', 'White', 'right', 'dbuka', ""]")</f>
        <v>['Ngeblank', 'White', 'right', 'dbuka', "]</v>
      </c>
      <c r="D11765" s="3">
        <v>1.0</v>
      </c>
    </row>
    <row r="11766" ht="15.75" customHeight="1">
      <c r="A11766" s="1">
        <v>12523.0</v>
      </c>
      <c r="B11766" s="3" t="s">
        <v>11238</v>
      </c>
      <c r="C11766" s="3" t="str">
        <f>IFERROR(__xludf.DUMMYFUNCTION("GOOGLETRANSLATE(B11766,""id"",""en"")"),"['Bibntang', 'Dlu', 'Lma', 'Nambah', 'expensive', 'BLI', 'thousand', 'contents',' pulse ',' dlu ',' Rbu ',' what ',' application', '']")</f>
        <v>['Bibntang', 'Dlu', 'Lma', 'Nambah', 'expensive', 'BLI', 'thousand', 'contents',' pulse ',' dlu ',' Rbu ',' what ',' application', '']</v>
      </c>
      <c r="D11766" s="3">
        <v>2.0</v>
      </c>
    </row>
    <row r="11767" ht="15.75" customHeight="1">
      <c r="A11767" s="1">
        <v>12524.0</v>
      </c>
      <c r="B11767" s="3" t="s">
        <v>11239</v>
      </c>
      <c r="C11767" s="3" t="str">
        <f>IFERROR(__xludf.DUMMYFUNCTION("GOOGLETRANSLATE(B11767,""id"",""en"")"),"['Disappointed', 'Service', 'Thank "",' Package ',' Buy ',' Used ',' Network ',' Internet ',' Speed ​​',' Data ',' Internet ',' Used ',' Available ',' Served ',' Provider ',' Increase ',' Slow ',' buy ',' cat ',' sack ',' lied to ',' get ',' buy ',' reali"&amp;"zation ',' use ' , 'Data', 'Telkomsel', 'fair', '']")</f>
        <v>['Disappointed', 'Service', 'Thank ",' Package ',' Buy ',' Used ',' Network ',' Internet ',' Speed ​​',' Data ',' Internet ',' Used ',' Available ',' Served ',' Provider ',' Increase ',' Slow ',' buy ',' cat ',' sack ',' lied to ',' get ',' buy ',' realization ',' use ' , 'Data', 'Telkomsel', 'fair', '']</v>
      </c>
      <c r="D11767" s="3">
        <v>1.0</v>
      </c>
    </row>
    <row r="11768" ht="15.75" customHeight="1">
      <c r="A11768" s="1">
        <v>12525.0</v>
      </c>
      <c r="B11768" s="3" t="s">
        <v>11240</v>
      </c>
      <c r="C11768" s="3" t="str">
        <f>IFERROR(__xludf.DUMMYFUNCTION("GOOGLETRANSLATE(B11768,""id"",""en"")"),"['piye', 'iki', 'understand', 'understand', 'mung', 'appears',' screen ',' white ',' tok ',' severe ',' apikasine ',' Jan ',' Ora ',' neat ',' elek ',' Ngene ', ""]")</f>
        <v>['piye', 'iki', 'understand', 'understand', 'mung', 'appears',' screen ',' white ',' tok ',' severe ',' apikasine ',' Jan ',' Ora ',' neat ',' elek ',' Ngene ', "]</v>
      </c>
      <c r="D11768" s="3">
        <v>1.0</v>
      </c>
    </row>
    <row r="11769" ht="15.75" customHeight="1">
      <c r="A11769" s="1">
        <v>12526.0</v>
      </c>
      <c r="B11769" s="3" t="s">
        <v>11241</v>
      </c>
      <c r="C11769" s="3" t="str">
        <f>IFERROR(__xludf.DUMMYFUNCTION("GOOGLETRANSLATE(B11769,""id"",""en"")"),"['Veronika', 'complaints', ""]")</f>
        <v>['Veronika', 'complaints', "]</v>
      </c>
      <c r="D11769" s="3">
        <v>1.0</v>
      </c>
    </row>
    <row r="11770" ht="15.75" customHeight="1">
      <c r="A11770" s="1">
        <v>12527.0</v>
      </c>
      <c r="B11770" s="3" t="s">
        <v>11242</v>
      </c>
      <c r="C11770" s="3" t="str">
        <f>IFERROR(__xludf.DUMMYFUNCTION("GOOGLETRANSLATE(B11770,""id"",""en"")"),"['Love', 'bintamg', 'because', 'app', 'already', 'open']")</f>
        <v>['Love', 'bintamg', 'because', 'app', 'already', 'open']</v>
      </c>
      <c r="D11770" s="3">
        <v>2.0</v>
      </c>
    </row>
    <row r="11771" ht="15.75" customHeight="1">
      <c r="A11771" s="1">
        <v>12528.0</v>
      </c>
      <c r="B11771" s="3" t="s">
        <v>11243</v>
      </c>
      <c r="C11771" s="3" t="str">
        <f>IFERROR(__xludf.DUMMYFUNCTION("GOOGLETRANSLATE(B11771,""id"",""en"")"),"['application', 'open', 'checked', 'leftover', 'quota', 'uninstall', 'install', 'reset', 'viral', 'medsos',' damaging ',' name ',' Telkomsel ',' repaired ',' ']")</f>
        <v>['application', 'open', 'checked', 'leftover', 'quota', 'uninstall', 'install', 'reset', 'viral', 'medsos',' damaging ',' name ',' Telkomsel ',' repaired ',' ']</v>
      </c>
      <c r="D11771" s="3">
        <v>1.0</v>
      </c>
    </row>
    <row r="11772" ht="15.75" customHeight="1">
      <c r="A11772" s="1">
        <v>12529.0</v>
      </c>
      <c r="B11772" s="3" t="s">
        <v>11244</v>
      </c>
      <c r="C11772" s="3" t="str">
        <f>IFERROR(__xludf.DUMMYFUNCTION("GOOGLETRANSLATE(B11772,""id"",""en"")"),"['APK', 'slow']")</f>
        <v>['APK', 'slow']</v>
      </c>
      <c r="D11772" s="3">
        <v>1.0</v>
      </c>
    </row>
    <row r="11773" ht="15.75" customHeight="1">
      <c r="A11773" s="1">
        <v>12530.0</v>
      </c>
      <c r="B11773" s="3" t="s">
        <v>11245</v>
      </c>
      <c r="C11773" s="3" t="str">
        <f>IFERROR(__xludf.DUMMYFUNCTION("GOOGLETRANSLATE(B11773,""id"",""en"")"),"['Woyyy', 'Telkomsel', 'knp', 'package', 'already', 'his writing', '']")</f>
        <v>['Woyyy', 'Telkomsel', 'knp', 'package', 'already', 'his writing', '']</v>
      </c>
      <c r="D11773" s="3">
        <v>1.0</v>
      </c>
    </row>
    <row r="11774" ht="15.75" customHeight="1">
      <c r="A11774" s="1">
        <v>12531.0</v>
      </c>
      <c r="B11774" s="3" t="s">
        <v>11246</v>
      </c>
      <c r="C11774" s="3" t="str">
        <f>IFERROR(__xludf.DUMMYFUNCTION("GOOGLETRANSLATE(B11774,""id"",""en"")"),"['Paketan', 'expensive', '']")</f>
        <v>['Paketan', 'expensive', '']</v>
      </c>
      <c r="D11774" s="3">
        <v>2.0</v>
      </c>
    </row>
    <row r="11775" ht="15.75" customHeight="1">
      <c r="A11775" s="1">
        <v>12532.0</v>
      </c>
      <c r="B11775" s="3" t="s">
        <v>11247</v>
      </c>
      <c r="C11775" s="3" t="str">
        <f>IFERROR(__xludf.DUMMYFUNCTION("GOOGLETRANSLATE(B11775,""id"",""en"")"),"['Telkomsel', 'help', 'process', 'learn', 'teach', 'students', '']")</f>
        <v>['Telkomsel', 'help', 'process', 'learn', 'teach', 'students', '']</v>
      </c>
      <c r="D11775" s="3">
        <v>5.0</v>
      </c>
    </row>
    <row r="11776" ht="15.75" customHeight="1">
      <c r="A11776" s="1">
        <v>12533.0</v>
      </c>
      <c r="B11776" s="3" t="s">
        <v>11248</v>
      </c>
      <c r="C11776" s="3" t="str">
        <f>IFERROR(__xludf.DUMMYFUNCTION("GOOGLETRANSLATE(B11776,""id"",""en"")"),"['Not bad', 'price', 'package', 'expensive', 'compared to', 'provider', ""]")</f>
        <v>['Not bad', 'price', 'package', 'expensive', 'compared to', 'provider', "]</v>
      </c>
      <c r="D11776" s="3">
        <v>4.0</v>
      </c>
    </row>
    <row r="11777" ht="15.75" customHeight="1">
      <c r="A11777" s="1">
        <v>12534.0</v>
      </c>
      <c r="B11777" s="3" t="s">
        <v>5405</v>
      </c>
      <c r="C11777" s="3" t="str">
        <f>IFERROR(__xludf.DUMMYFUNCTION("GOOGLETRANSLATE(B11777,""id"",""en"")"),"['App', 'opened']")</f>
        <v>['App', 'opened']</v>
      </c>
      <c r="D11777" s="3">
        <v>1.0</v>
      </c>
    </row>
    <row r="11778" ht="15.75" customHeight="1">
      <c r="A11778" s="1">
        <v>12535.0</v>
      </c>
      <c r="B11778" s="3" t="s">
        <v>11249</v>
      </c>
      <c r="C11778" s="3" t="str">
        <f>IFERROR(__xludf.DUMMYFUNCTION("GOOGLETRANSLATE(B11778,""id"",""en"")"),"['App', 'help']")</f>
        <v>['App', 'help']</v>
      </c>
      <c r="D11778" s="3">
        <v>4.0</v>
      </c>
    </row>
    <row r="11779" ht="15.75" customHeight="1">
      <c r="A11779" s="1">
        <v>12536.0</v>
      </c>
      <c r="B11779" s="3" t="s">
        <v>11250</v>
      </c>
      <c r="C11779" s="3" t="str">
        <f>IFERROR(__xludf.DUMMYFUNCTION("GOOGLETRANSLATE(B11779,""id"",""en"")"),"['Love', 'Bgus', 'Tmbh', ""]")</f>
        <v>['Love', 'Bgus', 'Tmbh', "]</v>
      </c>
      <c r="D11779" s="3">
        <v>3.0</v>
      </c>
    </row>
    <row r="11780" ht="15.75" customHeight="1">
      <c r="A11780" s="1">
        <v>12537.0</v>
      </c>
      <c r="B11780" s="3" t="s">
        <v>11251</v>
      </c>
      <c r="C11780" s="3" t="str">
        <f>IFERROR(__xludf.DUMMYFUNCTION("GOOGLETRANSLATE(B11780,""id"",""en"")"),"['Network', 'extensive', 'signal', 'good']")</f>
        <v>['Network', 'extensive', 'signal', 'good']</v>
      </c>
      <c r="D11780" s="3">
        <v>5.0</v>
      </c>
    </row>
    <row r="11781" ht="15.75" customHeight="1">
      <c r="A11781" s="1">
        <v>12538.0</v>
      </c>
      <c r="B11781" s="3" t="s">
        <v>9231</v>
      </c>
      <c r="C11781" s="3" t="str">
        <f>IFERROR(__xludf.DUMMYFUNCTION("GOOGLETRANSLATE(B11781,""id"",""en"")"),"['Telkomsel', 'easy']")</f>
        <v>['Telkomsel', 'easy']</v>
      </c>
      <c r="D11781" s="3">
        <v>5.0</v>
      </c>
    </row>
    <row r="11782" ht="15.75" customHeight="1">
      <c r="A11782" s="1">
        <v>12539.0</v>
      </c>
      <c r="B11782" s="3" t="s">
        <v>11252</v>
      </c>
      <c r="C11782" s="3" t="str">
        <f>IFERROR(__xludf.DUMMYFUNCTION("GOOGLETRANSLATE(B11782,""id"",""en"")"),"['Hello', 'Hello', 'times',' Disappointed ',' Telkomsel ',' Application ',' MyTelkomsel ',' Help ',' Unfortunately ',' Telkomsel ',' Sattle ',' Heavy ',' Heart ',' Application ',' MyTelkomsel ',' Uninstall ']")</f>
        <v>['Hello', 'Hello', 'times',' Disappointed ',' Telkomsel ',' Application ',' MyTelkomsel ',' Help ',' Unfortunately ',' Telkomsel ',' Sattle ',' Heavy ',' Heart ',' Application ',' MyTelkomsel ',' Uninstall ']</v>
      </c>
      <c r="D11782" s="3">
        <v>1.0</v>
      </c>
    </row>
    <row r="11783" ht="15.75" customHeight="1">
      <c r="A11783" s="1">
        <v>12540.0</v>
      </c>
      <c r="B11783" s="3" t="s">
        <v>11253</v>
      </c>
      <c r="C11783" s="3" t="str">
        <f>IFERROR(__xludf.DUMMYFUNCTION("GOOGLETRANSLATE(B11783,""id"",""en"")"),"['Hello', 'Telkomsel', 'Application', 'Telkomsel', 'Gabisa', 'opened', 'already', 'Install', 'reset', 'then', 'download', 'result', ' nil ',' please ',' donk ',' updated ',' access', '']")</f>
        <v>['Hello', 'Telkomsel', 'Application', 'Telkomsel', 'Gabisa', 'opened', 'already', 'Install', 'reset', 'then', 'download', 'result', ' nil ',' please ',' donk ',' updated ',' access', '']</v>
      </c>
      <c r="D11783" s="3">
        <v>1.0</v>
      </c>
    </row>
    <row r="11784" ht="15.75" customHeight="1">
      <c r="A11784" s="1">
        <v>12542.0</v>
      </c>
      <c r="B11784" s="3" t="s">
        <v>11254</v>
      </c>
      <c r="C11784" s="3" t="str">
        <f>IFERROR(__xludf.DUMMYFUNCTION("GOOGLETRANSLATE(B11784,""id"",""en"")"),"['Sorry', 'Kasi', 'Bintang', 'Buy', 'Card', 'Telkomsel', 'Unlimited', 'Yesterday', 'Marin', 'Tikan', 'Tokan', ' Gimna ',' ']")</f>
        <v>['Sorry', 'Kasi', 'Bintang', 'Buy', 'Card', 'Telkomsel', 'Unlimited', 'Yesterday', 'Marin', 'Tikan', 'Tokan', ' Gimna ',' ']</v>
      </c>
      <c r="D11784" s="3">
        <v>1.0</v>
      </c>
    </row>
    <row r="11785" ht="15.75" customHeight="1">
      <c r="A11785" s="1">
        <v>12544.0</v>
      </c>
      <c r="B11785" s="3" t="s">
        <v>11255</v>
      </c>
      <c r="C11785" s="3" t="str">
        <f>IFERROR(__xludf.DUMMYFUNCTION("GOOGLETRANSLATE(B11785,""id"",""en"")"),"['Okay', 'Unfortunately', 'Sometimes', 'Wait', 'Click', 'Ribet', ""]")</f>
        <v>['Okay', 'Unfortunately', 'Sometimes', 'Wait', 'Click', 'Ribet', "]</v>
      </c>
      <c r="D11785" s="3">
        <v>5.0</v>
      </c>
    </row>
    <row r="11786" ht="15.75" customHeight="1">
      <c r="A11786" s="1">
        <v>12545.0</v>
      </c>
      <c r="B11786" s="3" t="s">
        <v>11256</v>
      </c>
      <c r="C11786" s="3" t="str">
        <f>IFERROR(__xludf.DUMMYFUNCTION("GOOGLETRANSLATE(B11786,""id"",""en"")"),"['Application', 'Useful', 'Community', 'Helping', 'Make Easy', 'Miss', 'Serve', 'Network', 'Information', 'People', 'Requires', '']")</f>
        <v>['Application', 'Useful', 'Community', 'Helping', 'Make Easy', 'Miss', 'Serve', 'Network', 'Information', 'People', 'Requires', '']</v>
      </c>
      <c r="D11786" s="3">
        <v>5.0</v>
      </c>
    </row>
    <row r="11787" ht="15.75" customHeight="1">
      <c r="A11787" s="1">
        <v>12546.0</v>
      </c>
      <c r="B11787" s="3" t="s">
        <v>11257</v>
      </c>
      <c r="C11787" s="3" t="str">
        <f>IFERROR(__xludf.DUMMYFUNCTION("GOOGLETRANSLATE(B11787,""id"",""en"")"),"['Please', 'Help', 'Pulsar', 'Emergency']")</f>
        <v>['Please', 'Help', 'Pulsar', 'Emergency']</v>
      </c>
      <c r="D11787" s="3">
        <v>5.0</v>
      </c>
    </row>
    <row r="11788" ht="15.75" customHeight="1">
      <c r="A11788" s="1">
        <v>12547.0</v>
      </c>
      <c r="B11788" s="3" t="s">
        <v>2112</v>
      </c>
      <c r="C11788" s="3" t="str">
        <f>IFERROR(__xludf.DUMMYFUNCTION("GOOGLETRANSLATE(B11788,""id"",""en"")"),"['Telkomsel', 'Best', ""]")</f>
        <v>['Telkomsel', 'Best', "]</v>
      </c>
      <c r="D11788" s="3">
        <v>5.0</v>
      </c>
    </row>
    <row r="11789" ht="15.75" customHeight="1">
      <c r="A11789" s="1">
        <v>12548.0</v>
      </c>
      <c r="B11789" s="3" t="s">
        <v>11258</v>
      </c>
      <c r="C11789" s="3" t="str">
        <f>IFERROR(__xludf.DUMMYFUNCTION("GOOGLETRANSLATE(B11789,""id"",""en"")"),"['buy', 'package', 'malem', 'play', 'stream', 'check', 'quota', 'to use', 'quota', 'national', 'aduhh', 'forgiveness',' MAH ',' ']")</f>
        <v>['buy', 'package', 'malem', 'play', 'stream', 'check', 'quota', 'to use', 'quota', 'national', 'aduhh', 'forgiveness',' MAH ',' ']</v>
      </c>
      <c r="D11789" s="3">
        <v>1.0</v>
      </c>
    </row>
    <row r="11790" ht="15.75" customHeight="1">
      <c r="A11790" s="1">
        <v>12549.0</v>
      </c>
      <c r="B11790" s="3" t="s">
        <v>2551</v>
      </c>
      <c r="C11790" s="3" t="str">
        <f>IFERROR(__xludf.DUMMYFUNCTION("GOOGLETRANSLATE(B11790,""id"",""en"")"),"['Love', 'Bintang', '']")</f>
        <v>['Love', 'Bintang', '']</v>
      </c>
      <c r="D11790" s="3">
        <v>2.0</v>
      </c>
    </row>
    <row r="11791" ht="15.75" customHeight="1">
      <c r="A11791" s="1">
        <v>12550.0</v>
      </c>
      <c r="B11791" s="3" t="s">
        <v>11259</v>
      </c>
      <c r="C11791" s="3" t="str">
        <f>IFERROR(__xludf.DUMMYFUNCTION("GOOGLETRANSLATE(B11791,""id"",""en"")"),"['Samsung', 'Galaxy', 'no', 'opened', 'please', 'update', 'opened', ""]")</f>
        <v>['Samsung', 'Galaxy', 'no', 'opened', 'please', 'update', 'opened', "]</v>
      </c>
      <c r="D11791" s="3">
        <v>1.0</v>
      </c>
    </row>
    <row r="11792" ht="15.75" customHeight="1">
      <c r="A11792" s="1">
        <v>12551.0</v>
      </c>
      <c r="B11792" s="3" t="s">
        <v>11260</v>
      </c>
      <c r="C11792" s="3" t="str">
        <f>IFERROR(__xludf.DUMMYFUNCTION("GOOGLETRANSLATE(B11792,""id"",""en"")"),"['Data', 'Package']")</f>
        <v>['Data', 'Package']</v>
      </c>
      <c r="D11792" s="3">
        <v>5.0</v>
      </c>
    </row>
    <row r="11793" ht="15.75" customHeight="1">
      <c r="A11793" s="1">
        <v>12552.0</v>
      </c>
      <c r="B11793" s="3" t="s">
        <v>11261</v>
      </c>
      <c r="C11793" s="3" t="str">
        <f>IFERROR(__xludf.DUMMYFUNCTION("GOOGLETRANSLATE(B11793,""id"",""en"")"),"['Telkomsel', 'Anying', 'Smart', 'Lying', 'People', 'Annoyed', 'Terts',' Wectice ',' Telkomsel ',' Buy ',' Package ',' Unlimited ',' App ',' Telkomsel ',' one hundred ',' thousand ',' think ',' unlimited ',' limited ',' lies', 'Telkomsel', 'unlimited', 'u"&amp;"se', 'package', 'governa' , 'Restricted', 'Anying', 'Khontol', 'Telkomsel', 'Ajj', 'Haram', 'Loss',' Buy ',' PKET ',' Unlimited ',' Forced ',' Use ',' Telkomsel ',' people ',' old ',' sometimes', 'call', 'Telkomsel', 'good', 'telephone', 'bkan', 'internet"&amp;"', 'khontol', ""]")</f>
        <v>['Telkomsel', 'Anying', 'Smart', 'Lying', 'People', 'Annoyed', 'Terts',' Wectice ',' Telkomsel ',' Buy ',' Package ',' Unlimited ',' App ',' Telkomsel ',' one hundred ',' thousand ',' think ',' unlimited ',' limited ',' lies', 'Telkomsel', 'unlimited', 'use', 'package', 'governa' , 'Restricted', 'Anying', 'Khontol', 'Telkomsel', 'Ajj', 'Haram', 'Loss',' Buy ',' PKET ',' Unlimited ',' Forced ',' Use ',' Telkomsel ',' people ',' old ',' sometimes', 'call', 'Telkomsel', 'good', 'telephone', 'bkan', 'internet', 'khontol', "]</v>
      </c>
      <c r="D11793" s="3">
        <v>1.0</v>
      </c>
    </row>
    <row r="11794" ht="15.75" customHeight="1">
      <c r="A11794" s="1">
        <v>12553.0</v>
      </c>
      <c r="B11794" s="3" t="s">
        <v>3208</v>
      </c>
      <c r="C11794" s="3" t="str">
        <f>IFERROR(__xludf.DUMMYFUNCTION("GOOGLETRANSLATE(B11794,""id"",""en"")"),"['try']")</f>
        <v>['try']</v>
      </c>
      <c r="D11794" s="3">
        <v>3.0</v>
      </c>
    </row>
    <row r="11795" ht="15.75" customHeight="1">
      <c r="A11795" s="1">
        <v>12554.0</v>
      </c>
      <c r="B11795" s="3" t="s">
        <v>11262</v>
      </c>
      <c r="C11795" s="3" t="str">
        <f>IFERROR(__xludf.DUMMYFUNCTION("GOOGLETRANSLATE(B11795,""id"",""en"")"),"['update', 'blank', 'white', 'no', 'appears', 'anything', 'already', 'android', '']")</f>
        <v>['update', 'blank', 'white', 'no', 'appears', 'anything', 'already', 'android', '']</v>
      </c>
      <c r="D11795" s="3">
        <v>1.0</v>
      </c>
    </row>
    <row r="11796" ht="15.75" customHeight="1">
      <c r="A11796" s="1">
        <v>12555.0</v>
      </c>
      <c r="B11796" s="3" t="s">
        <v>11263</v>
      </c>
      <c r="C11796" s="3" t="str">
        <f>IFERROR(__xludf.DUMMYFUNCTION("GOOGLETRANSLATE(B11796,""id"",""en"")"),"['price', 'quota', 'network', 'gapernah', 'stable', 'strange', 'really', 'tsel']")</f>
        <v>['price', 'quota', 'network', 'gapernah', 'stable', 'strange', 'really', 'tsel']</v>
      </c>
      <c r="D11796" s="3">
        <v>1.0</v>
      </c>
    </row>
    <row r="11797" ht="15.75" customHeight="1">
      <c r="A11797" s="1">
        <v>12556.0</v>
      </c>
      <c r="B11797" s="3" t="s">
        <v>11264</v>
      </c>
      <c r="C11797" s="3" t="str">
        <f>IFERROR(__xludf.DUMMYFUNCTION("GOOGLETRANSLATE(B11797,""id"",""en"")"),"['signal', 'Telkomsel', 'skrg', 'Severe', 'destroyed', 'season', 'rain', 'gini', 'please', 'Telkomsel', 'repair', 'knyananan', ' Users', 'Change', 'KRTU', 'TTEP', 'GINI']")</f>
        <v>['signal', 'Telkomsel', 'skrg', 'Severe', 'destroyed', 'season', 'rain', 'gini', 'please', 'Telkomsel', 'repair', 'knyananan', ' Users', 'Change', 'KRTU', 'TTEP', 'GINI']</v>
      </c>
      <c r="D11797" s="3">
        <v>1.0</v>
      </c>
    </row>
    <row r="11798" ht="15.75" customHeight="1">
      <c r="A11798" s="1">
        <v>12557.0</v>
      </c>
      <c r="B11798" s="3" t="s">
        <v>478</v>
      </c>
      <c r="C11798" s="3" t="str">
        <f>IFERROR(__xludf.DUMMYFUNCTION("GOOGLETRANSLATE(B11798,""id"",""en"")"),"Of course")</f>
        <v>Of course</v>
      </c>
      <c r="D11798" s="3">
        <v>5.0</v>
      </c>
    </row>
    <row r="11799" ht="15.75" customHeight="1">
      <c r="A11799" s="1">
        <v>12558.0</v>
      </c>
      <c r="B11799" s="3" t="s">
        <v>7369</v>
      </c>
      <c r="C11799" s="3" t="str">
        <f>IFERROR(__xludf.DUMMYFUNCTION("GOOGLETRANSLATE(B11799,""id"",""en"")"),"['', 'opened', ""]")</f>
        <v>['', 'opened', "]</v>
      </c>
      <c r="D11799" s="3">
        <v>1.0</v>
      </c>
    </row>
    <row r="11800" ht="15.75" customHeight="1">
      <c r="A11800" s="1">
        <v>12559.0</v>
      </c>
      <c r="B11800" s="3" t="s">
        <v>11265</v>
      </c>
      <c r="C11800" s="3" t="str">
        <f>IFERROR(__xludf.DUMMYFUNCTION("GOOGLETRANSLATE(B11800,""id"",""en"")"),"['woi', 'application', 'open', 'whyaa', 'aduuh']")</f>
        <v>['woi', 'application', 'open', 'whyaa', 'aduuh']</v>
      </c>
      <c r="D11800" s="3">
        <v>1.0</v>
      </c>
    </row>
    <row r="11801" ht="15.75" customHeight="1">
      <c r="A11801" s="1">
        <v>12560.0</v>
      </c>
      <c r="B11801" s="3" t="s">
        <v>659</v>
      </c>
      <c r="C11801" s="3" t="str">
        <f>IFERROR(__xludf.DUMMYFUNCTION("GOOGLETRANSLATE(B11801,""id"",""en"")"),"['Application', 'Help']")</f>
        <v>['Application', 'Help']</v>
      </c>
      <c r="D11801" s="3">
        <v>4.0</v>
      </c>
    </row>
    <row r="11802" ht="15.75" customHeight="1">
      <c r="A11802" s="1">
        <v>12561.0</v>
      </c>
      <c r="B11802" s="3" t="s">
        <v>1158</v>
      </c>
      <c r="C11802" s="3" t="str">
        <f>IFERROR(__xludf.DUMMYFUNCTION("GOOGLETRANSLATE(B11802,""id"",""en"")"),"['Good', 'The application']")</f>
        <v>['Good', 'The application']</v>
      </c>
      <c r="D11802" s="3">
        <v>5.0</v>
      </c>
    </row>
    <row r="11803" ht="15.75" customHeight="1">
      <c r="A11803" s="1">
        <v>12562.0</v>
      </c>
      <c r="B11803" s="3" t="s">
        <v>659</v>
      </c>
      <c r="C11803" s="3" t="str">
        <f>IFERROR(__xludf.DUMMYFUNCTION("GOOGLETRANSLATE(B11803,""id"",""en"")"),"['Application', 'Help']")</f>
        <v>['Application', 'Help']</v>
      </c>
      <c r="D11803" s="3">
        <v>5.0</v>
      </c>
    </row>
    <row r="11804" ht="15.75" customHeight="1">
      <c r="A11804" s="1">
        <v>12563.0</v>
      </c>
      <c r="B11804" s="3" t="s">
        <v>11266</v>
      </c>
      <c r="C11804" s="3" t="str">
        <f>IFERROR(__xludf.DUMMYFUNCTION("GOOGLETRANSLATE(B11804,""id"",""en"")"),"['It's easy', 'checks',' use ',' data ',' points', 'chance', 'gift', 'interesting', 'Telkomsel', 'easy', 'hopefully', 'lottery', ' car ',' Allah ',' amiin ']")</f>
        <v>['It's easy', 'checks',' use ',' data ',' points', 'chance', 'gift', 'interesting', 'Telkomsel', 'easy', 'hopefully', 'lottery', ' car ',' Allah ',' amiin ']</v>
      </c>
      <c r="D11804" s="3">
        <v>5.0</v>
      </c>
    </row>
    <row r="11805" ht="15.75" customHeight="1">
      <c r="A11805" s="1">
        <v>12564.0</v>
      </c>
      <c r="B11805" s="3" t="s">
        <v>11267</v>
      </c>
      <c r="C11805" s="3" t="str">
        <f>IFERROR(__xludf.DUMMYFUNCTION("GOOGLETRANSLATE(B11805,""id"",""en"")"),"['page', 'white', 'error', 'mean', 'min', ""]")</f>
        <v>['page', 'white', 'error', 'mean', 'min', "]</v>
      </c>
      <c r="D11805" s="3">
        <v>3.0</v>
      </c>
    </row>
    <row r="11806" ht="15.75" customHeight="1">
      <c r="A11806" s="1">
        <v>12565.0</v>
      </c>
      <c r="B11806" s="3" t="s">
        <v>11268</v>
      </c>
      <c r="C11806" s="3" t="str">
        <f>IFERROR(__xludf.DUMMYFUNCTION("GOOGLETRANSLATE(B11806,""id"",""en"")"),"['Verifikasi', 'slow', 'nyampe', 'sms',' really ',' disappointing ',' told ',' hub ',' admin ',' twitter ',' already ',' muak ',' Muaaak ',' ']")</f>
        <v>['Verifikasi', 'slow', 'nyampe', 'sms',' really ',' disappointing ',' told ',' hub ',' admin ',' twitter ',' already ',' muak ',' Muaaak ',' ']</v>
      </c>
      <c r="D11806" s="3">
        <v>1.0</v>
      </c>
    </row>
    <row r="11807" ht="15.75" customHeight="1">
      <c r="A11807" s="1">
        <v>12566.0</v>
      </c>
      <c r="B11807" s="3" t="s">
        <v>11269</v>
      </c>
      <c r="C11807" s="3" t="str">
        <f>IFERROR(__xludf.DUMMYFUNCTION("GOOGLETRANSLATE(B11807,""id"",""en"")"),"['promo', 'interesting', 'package', 'expensive', 'expensive']")</f>
        <v>['promo', 'interesting', 'package', 'expensive', 'expensive']</v>
      </c>
      <c r="D11807" s="3">
        <v>1.0</v>
      </c>
    </row>
    <row r="11808" ht="15.75" customHeight="1">
      <c r="A11808" s="1">
        <v>12567.0</v>
      </c>
      <c r="B11808" s="3" t="s">
        <v>11270</v>
      </c>
      <c r="C11808" s="3" t="str">
        <f>IFERROR(__xludf.DUMMYFUNCTION("GOOGLETRANSLATE(B11808,""id"",""en"")"),"['Please', 'Package', 'Combo', 'Unlimited', 'Delete', 'Useful', 'Type', 'Paketan', 'Divided', 'Package', 'Expensive', 'Dipake', ' Open ',' APK ',' ']")</f>
        <v>['Please', 'Package', 'Combo', 'Unlimited', 'Delete', 'Useful', 'Type', 'Paketan', 'Divided', 'Package', 'Expensive', 'Dipake', ' Open ',' APK ',' ']</v>
      </c>
      <c r="D11808" s="3">
        <v>1.0</v>
      </c>
    </row>
    <row r="11809" ht="15.75" customHeight="1">
      <c r="A11809" s="1">
        <v>12568.0</v>
      </c>
      <c r="B11809" s="3" t="s">
        <v>11271</v>
      </c>
      <c r="C11809" s="3" t="str">
        <f>IFERROR(__xludf.DUMMYFUNCTION("GOOGLETRANSLATE(B11809,""id"",""en"")"),"['application', 'dilapidated', 'slow', 'error', 'kayak', 'quality', 'signal', 'Hucredrr', 'lost', 'severe', 'staple', ""]")</f>
        <v>['application', 'dilapidated', 'slow', 'error', 'kayak', 'quality', 'signal', 'Hucredrr', 'lost', 'severe', 'staple', "]</v>
      </c>
      <c r="D11809" s="3">
        <v>1.0</v>
      </c>
    </row>
    <row r="11810" ht="15.75" customHeight="1">
      <c r="A11810" s="1">
        <v>12569.0</v>
      </c>
      <c r="B11810" s="3" t="s">
        <v>11272</v>
      </c>
      <c r="C11810" s="3" t="str">
        <f>IFERROR(__xludf.DUMMYFUNCTION("GOOGLETRANSLATE(B11810,""id"",""en"")"),"['Network', 'bad', 'loss', 'package', 'expensive']")</f>
        <v>['Network', 'bad', 'loss', 'package', 'expensive']</v>
      </c>
      <c r="D11810" s="3">
        <v>1.0</v>
      </c>
    </row>
    <row r="11811" ht="15.75" customHeight="1">
      <c r="A11811" s="1">
        <v>12570.0</v>
      </c>
      <c r="B11811" s="3" t="s">
        <v>11273</v>
      </c>
      <c r="C11811" s="3" t="str">
        <f>IFERROR(__xludf.DUMMYFUNCTION("GOOGLETRANSLATE(B11811,""id"",""en"")"),"['Steady', 'doubt', 'APK']")</f>
        <v>['Steady', 'doubt', 'APK']</v>
      </c>
      <c r="D11811" s="3">
        <v>5.0</v>
      </c>
    </row>
    <row r="11812" ht="15.75" customHeight="1">
      <c r="A11812" s="1">
        <v>12571.0</v>
      </c>
      <c r="B11812" s="3" t="s">
        <v>11274</v>
      </c>
      <c r="C11812" s="3" t="str">
        <f>IFERROR(__xludf.DUMMYFUNCTION("GOOGLETRANSLATE(B11812,""id"",""en"")"),"['MyTelkomsel', 'buy', 'pulse', 'package', 'quota', 'GB', 'steady', 'okay', 'cool', 'Telkomsel', ""]")</f>
        <v>['MyTelkomsel', 'buy', 'pulse', 'package', 'quota', 'GB', 'steady', 'okay', 'cool', 'Telkomsel', "]</v>
      </c>
      <c r="D11812" s="3">
        <v>5.0</v>
      </c>
    </row>
    <row r="11813" ht="15.75" customHeight="1">
      <c r="A11813" s="1">
        <v>12572.0</v>
      </c>
      <c r="B11813" s="3" t="s">
        <v>11275</v>
      </c>
      <c r="C11813" s="3" t="str">
        <f>IFERROR(__xludf.DUMMYFUNCTION("GOOGLETRANSLATE(B11813,""id"",""en"")"),"['already', 'a week', 'open', 'screen', 'white', 'stress']")</f>
        <v>['already', 'a week', 'open', 'screen', 'white', 'stress']</v>
      </c>
      <c r="D11813" s="3">
        <v>1.0</v>
      </c>
    </row>
    <row r="11814" ht="15.75" customHeight="1">
      <c r="A11814" s="1">
        <v>12573.0</v>
      </c>
      <c r="B11814" s="3" t="s">
        <v>11276</v>
      </c>
      <c r="C11814" s="3" t="str">
        <f>IFERROR(__xludf.DUMMYFUNCTION("GOOGLETRANSLATE(B11814,""id"",""en"")"),"['DANCOOCKKK', 'DANCOOOOOKK', 'Application', 'Telkomsel', 'Koyok', 'Ngene', 'Aampuunnn', 'Ora', 'ISO', 'Open', 'Tru', 'Nyong', ' Kie ',' rep ',' Tuku ',' quota ',' piye ',' dancoookk ',' dancokk ',' aduuhh ']")</f>
        <v>['DANCOOCKKK', 'DANCOOOOOKK', 'Application', 'Telkomsel', 'Koyok', 'Ngene', 'Aampuunnn', 'Ora', 'ISO', 'Open', 'Tru', 'Nyong', ' Kie ',' rep ',' Tuku ',' quota ',' piye ',' dancoookk ',' dancokk ',' aduuhh ']</v>
      </c>
      <c r="D11814" s="3">
        <v>1.0</v>
      </c>
    </row>
    <row r="11815" ht="15.75" customHeight="1">
      <c r="A11815" s="1">
        <v>12574.0</v>
      </c>
      <c r="B11815" s="3" t="s">
        <v>11277</v>
      </c>
      <c r="C11815" s="3" t="str">
        <f>IFERROR(__xludf.DUMMYFUNCTION("GOOGLETRANSLATE(B11815,""id"",""en"")"),"['Bonus', 'Points', 'Effective', '']")</f>
        <v>['Bonus', 'Points', 'Effective', '']</v>
      </c>
      <c r="D11815" s="3">
        <v>5.0</v>
      </c>
    </row>
    <row r="11816" ht="15.75" customHeight="1">
      <c r="A11816" s="1">
        <v>12575.0</v>
      </c>
      <c r="B11816" s="3" t="s">
        <v>11278</v>
      </c>
      <c r="C11816" s="3" t="str">
        <f>IFERROR(__xludf.DUMMYFUNCTION("GOOGLETRANSLATE(B11816,""id"",""en"")"),"['expensive', 'package', '']")</f>
        <v>['expensive', 'package', '']</v>
      </c>
      <c r="D11816" s="3">
        <v>2.0</v>
      </c>
    </row>
    <row r="11817" ht="15.75" customHeight="1">
      <c r="A11817" s="1">
        <v>12576.0</v>
      </c>
      <c r="B11817" s="3" t="s">
        <v>659</v>
      </c>
      <c r="C11817" s="3" t="str">
        <f>IFERROR(__xludf.DUMMYFUNCTION("GOOGLETRANSLATE(B11817,""id"",""en"")"),"['Application', 'Help']")</f>
        <v>['Application', 'Help']</v>
      </c>
      <c r="D11817" s="3">
        <v>2.0</v>
      </c>
    </row>
    <row r="11818" ht="15.75" customHeight="1">
      <c r="A11818" s="1">
        <v>12577.0</v>
      </c>
      <c r="B11818" s="3" t="s">
        <v>11279</v>
      </c>
      <c r="C11818" s="3" t="str">
        <f>IFERROR(__xludf.DUMMYFUNCTION("GOOGLETRANSLATE(B11818,""id"",""en"")"),"['price']")</f>
        <v>['price']</v>
      </c>
      <c r="D11818" s="3">
        <v>1.0</v>
      </c>
    </row>
    <row r="11819" ht="15.75" customHeight="1">
      <c r="A11819" s="1">
        <v>12578.0</v>
      </c>
      <c r="B11819" s="3" t="s">
        <v>11280</v>
      </c>
      <c r="C11819" s="3" t="str">
        <f>IFERROR(__xludf.DUMMYFUNCTION("GOOGLETRANSLATE(B11819,""id"",""en"")"),"['Forced', 'Love', 'Bintang', 'Karna', 'Telkomsel', 'Bad', 'as shaking', 'update', 'the application', 'opened', ""]")</f>
        <v>['Forced', 'Love', 'Bintang', 'Karna', 'Telkomsel', 'Bad', 'as shaking', 'update', 'the application', 'opened', "]</v>
      </c>
      <c r="D11819" s="3">
        <v>1.0</v>
      </c>
    </row>
    <row r="11820" ht="15.75" customHeight="1">
      <c r="A11820" s="1">
        <v>12579.0</v>
      </c>
      <c r="B11820" s="3" t="s">
        <v>11281</v>
      </c>
      <c r="C11820" s="3" t="str">
        <f>IFERROR(__xludf.DUMMYFUNCTION("GOOGLETRANSLATE(B11820,""id"",""en"")"),"['Helo', 'admin', 'application', 'go']")</f>
        <v>['Helo', 'admin', 'application', 'go']</v>
      </c>
      <c r="D11820" s="3">
        <v>4.0</v>
      </c>
    </row>
    <row r="11821" ht="15.75" customHeight="1">
      <c r="A11821" s="1">
        <v>12580.0</v>
      </c>
      <c r="B11821" s="3" t="s">
        <v>11282</v>
      </c>
      <c r="C11821" s="3" t="str">
        <f>IFERROR(__xludf.DUMMYFUNCTION("GOOGLETRANSLATE(B11821,""id"",""en"")"),"['Lemot', 'Open']")</f>
        <v>['Lemot', 'Open']</v>
      </c>
      <c r="D11821" s="3">
        <v>1.0</v>
      </c>
    </row>
    <row r="11822" ht="15.75" customHeight="1">
      <c r="A11822" s="1">
        <v>12581.0</v>
      </c>
      <c r="B11822" s="3" t="s">
        <v>4106</v>
      </c>
      <c r="C11822" s="3" t="str">
        <f>IFERROR(__xludf.DUMMYFUNCTION("GOOGLETRANSLATE(B11822,""id"",""en"")"),"['application', '']")</f>
        <v>['application', '']</v>
      </c>
      <c r="D11822" s="3">
        <v>5.0</v>
      </c>
    </row>
    <row r="11823" ht="15.75" customHeight="1">
      <c r="A11823" s="1">
        <v>12582.0</v>
      </c>
      <c r="B11823" s="3" t="s">
        <v>11283</v>
      </c>
      <c r="C11823" s="3" t="str">
        <f>IFERROR(__xludf.DUMMYFUNCTION("GOOGLETRANSLATE(B11823,""id"",""en"")"),"['Package', 'telephone', 'missing', 'system', 'purchase', 'expensive', 'maximal', 'ngelintanin', 'customer', '']")</f>
        <v>['Package', 'telephone', 'missing', 'system', 'purchase', 'expensive', 'maximal', 'ngelintanin', 'customer', '']</v>
      </c>
      <c r="D11823" s="3">
        <v>1.0</v>
      </c>
    </row>
    <row r="11824" ht="15.75" customHeight="1">
      <c r="A11824" s="1">
        <v>12584.0</v>
      </c>
      <c r="B11824" s="3" t="s">
        <v>11284</v>
      </c>
      <c r="C11824" s="3" t="str">
        <f>IFERROR(__xludf.DUMMYFUNCTION("GOOGLETRANSLATE(B11824,""id"",""en"")"),"['Ngeta', 'Kaga', 'opened', 'Kaga', 'really', 'prefix', 'Doang', 'tasty', 'Keisini', 'Kaga', 'Kiri', 'Asik', ' Papersss', 'Pekahhh', '']")</f>
        <v>['Ngeta', 'Kaga', 'opened', 'Kaga', 'really', 'prefix', 'Doang', 'tasty', 'Keisini', 'Kaga', 'Kiri', 'Asik', ' Papersss', 'Pekahhh', '']</v>
      </c>
      <c r="D11824" s="3">
        <v>1.0</v>
      </c>
    </row>
    <row r="11825" ht="15.75" customHeight="1">
      <c r="A11825" s="1">
        <v>12585.0</v>
      </c>
      <c r="B11825" s="3" t="s">
        <v>11285</v>
      </c>
      <c r="C11825" s="3" t="str">
        <f>IFERROR(__xludf.DUMMYFUNCTION("GOOGLETRANSLATE(B11825,""id"",""en"")"),"['Price', 'Doang', 'expensive', 'network', 'slow', 'severe']")</f>
        <v>['Price', 'Doang', 'expensive', 'network', 'slow', 'severe']</v>
      </c>
      <c r="D11825" s="3">
        <v>1.0</v>
      </c>
    </row>
    <row r="11826" ht="15.75" customHeight="1">
      <c r="A11826" s="1">
        <v>12586.0</v>
      </c>
      <c r="B11826" s="3" t="s">
        <v>11286</v>
      </c>
      <c r="C11826" s="3" t="str">
        <f>IFERROR(__xludf.DUMMYFUNCTION("GOOGLETRANSLATE(B11826,""id"",""en"")"),"['Salute', 'Give', 'Road', 'Constraints', '']")</f>
        <v>['Salute', 'Give', 'Road', 'Constraints', '']</v>
      </c>
      <c r="D11826" s="3">
        <v>5.0</v>
      </c>
    </row>
    <row r="11827" ht="15.75" customHeight="1">
      <c r="A11827" s="1">
        <v>12587.0</v>
      </c>
      <c r="B11827" s="3" t="s">
        <v>11287</v>
      </c>
      <c r="C11827" s="3" t="str">
        <f>IFERROR(__xludf.DUMMYFUNCTION("GOOGLETRANSLATE(B11827,""id"",""en"")"),"['Out', 'Update', 'Features', 'Check', 'Daily', 'Get', 'Bonus', 'Quota', 'Balance', 'Link', 'Lost', ""]")</f>
        <v>['Out', 'Update', 'Features', 'Check', 'Daily', 'Get', 'Bonus', 'Quota', 'Balance', 'Link', 'Lost', "]</v>
      </c>
      <c r="D11827" s="3">
        <v>1.0</v>
      </c>
    </row>
    <row r="11828" ht="15.75" customHeight="1">
      <c r="A11828" s="1">
        <v>12588.0</v>
      </c>
      <c r="B11828" s="3" t="s">
        <v>11288</v>
      </c>
      <c r="C11828" s="3" t="str">
        <f>IFERROR(__xludf.DUMMYFUNCTION("GOOGLETRANSLATE(B11828,""id"",""en"")"),"['Disappointed', 'cheap', 'price', 'package', 'gini', 'company', 'BUMN']")</f>
        <v>['Disappointed', 'cheap', 'price', 'package', 'gini', 'company', 'BUMN']</v>
      </c>
      <c r="D11828" s="3">
        <v>1.0</v>
      </c>
    </row>
    <row r="11829" ht="15.75" customHeight="1">
      <c r="A11829" s="1">
        <v>12589.0</v>
      </c>
      <c r="B11829" s="3" t="s">
        <v>11289</v>
      </c>
      <c r="C11829" s="3" t="str">
        <f>IFERROR(__xludf.DUMMYFUNCTION("GOOGLETRANSLATE(B11829,""id"",""en"")"),"['Love', 'Star', 'I', 'Lemot', 'Bukak', 'The application']")</f>
        <v>['Love', 'Star', 'I', 'Lemot', 'Bukak', 'The application']</v>
      </c>
      <c r="D11829" s="3">
        <v>3.0</v>
      </c>
    </row>
    <row r="11830" ht="15.75" customHeight="1">
      <c r="A11830" s="1">
        <v>12590.0</v>
      </c>
      <c r="B11830" s="3" t="s">
        <v>11290</v>
      </c>
      <c r="C11830" s="3" t="str">
        <f>IFERROR(__xludf.DUMMYFUNCTION("GOOGLETRANSLATE(B11830,""id"",""en"")"),"['ugly', 'network', 'missing', 'night', 'disturbed', 'UDH', 'expensive', 'suits', 'service', 'price', 'fucek']")</f>
        <v>['ugly', 'network', 'missing', 'night', 'disturbed', 'UDH', 'expensive', 'suits', 'service', 'price', 'fucek']</v>
      </c>
      <c r="D11830" s="3">
        <v>1.0</v>
      </c>
    </row>
    <row r="11831" ht="15.75" customHeight="1">
      <c r="A11831" s="1">
        <v>12591.0</v>
      </c>
      <c r="B11831" s="3" t="s">
        <v>11291</v>
      </c>
      <c r="C11831" s="3" t="str">
        <f>IFERROR(__xludf.DUMMYFUNCTION("GOOGLETRANSLATE(B11831,""id"",""en"")"),"['application', 'good', 'slow', '']")</f>
        <v>['application', 'good', 'slow', '']</v>
      </c>
      <c r="D11831" s="3">
        <v>4.0</v>
      </c>
    </row>
    <row r="11832" ht="15.75" customHeight="1">
      <c r="A11832" s="1">
        <v>12592.0</v>
      </c>
      <c r="B11832" s="3" t="s">
        <v>11292</v>
      </c>
      <c r="C11832" s="3" t="str">
        <f>IFERROR(__xludf.DUMMYFUNCTION("GOOGLETRANSLATE(B11832,""id"",""en"")"),"['', 'ugly', 'network', 'Telkomsel']")</f>
        <v>['', 'ugly', 'network', 'Telkomsel']</v>
      </c>
      <c r="D11832" s="3">
        <v>1.0</v>
      </c>
    </row>
    <row r="11833" ht="15.75" customHeight="1">
      <c r="A11833" s="1">
        <v>12593.0</v>
      </c>
      <c r="B11833" s="3" t="s">
        <v>11293</v>
      </c>
      <c r="C11833" s="3" t="str">
        <f>IFERROR(__xludf.DUMMYFUNCTION("GOOGLETRANSLATE(B11833,""id"",""en"")"),"['checked', 'quota', 'screen', 'white', 'alternating', 'uninstall', 'kirain', 'right', 'read', 'wrong', 'comment', 'version', ' Android ',' Trus', 'Version', 'Android', 'Heem', 'Really', 'Telkomsel', 'No', 'Fair']")</f>
        <v>['checked', 'quota', 'screen', 'white', 'alternating', 'uninstall', 'kirain', 'right', 'read', 'wrong', 'comment', 'version', ' Android ',' Trus', 'Version', 'Android', 'Heem', 'Really', 'Telkomsel', 'No', 'Fair']</v>
      </c>
      <c r="D11833" s="3">
        <v>1.0</v>
      </c>
    </row>
    <row r="11834" ht="15.75" customHeight="1">
      <c r="A11834" s="1">
        <v>12594.0</v>
      </c>
      <c r="B11834" s="3" t="s">
        <v>11294</v>
      </c>
      <c r="C11834" s="3" t="str">
        <f>IFERROR(__xludf.DUMMYFUNCTION("GOOGLETRANSLATE(B11834,""id"",""en"")"),"['Exchange', 'GIF', 'Points', 'Customers', 'Promo', 'Good', 'Full', 'Amit', 'Amit', 'Tilkimsil', ""]")</f>
        <v>['Exchange', 'GIF', 'Points', 'Customers', 'Promo', 'Good', 'Full', 'Amit', 'Amit', 'Tilkimsil', "]</v>
      </c>
      <c r="D11834" s="3">
        <v>1.0</v>
      </c>
    </row>
    <row r="11835" ht="15.75" customHeight="1">
      <c r="A11835" s="1">
        <v>12595.0</v>
      </c>
      <c r="B11835" s="3" t="s">
        <v>11295</v>
      </c>
      <c r="C11835" s="3" t="str">
        <f>IFERROR(__xludf.DUMMYFUNCTION("GOOGLETRANSLATE(B11835,""id"",""en"")"),"['knapa', 'network', 'Telkomsel', 'skarang', 'slow', 'pdhal', 'good', 'smooth', 'price', 'paketan', 'pdhl', 'expensive', ' prime']")</f>
        <v>['knapa', 'network', 'Telkomsel', 'skarang', 'slow', 'pdhal', 'good', 'smooth', 'price', 'paketan', 'pdhl', 'expensive', ' prime']</v>
      </c>
      <c r="D11835" s="3">
        <v>2.0</v>
      </c>
    </row>
    <row r="11836" ht="15.75" customHeight="1">
      <c r="A11836" s="1">
        <v>12596.0</v>
      </c>
      <c r="B11836" s="3" t="s">
        <v>11296</v>
      </c>
      <c r="C11836" s="3" t="str">
        <f>IFERROR(__xludf.DUMMYFUNCTION("GOOGLETRANSLATE(B11836,""id"",""en"")"),"['Update', 'Mulu', 'downloaf']")</f>
        <v>['Update', 'Mulu', 'downloaf']</v>
      </c>
      <c r="D11836" s="3">
        <v>2.0</v>
      </c>
    </row>
    <row r="11837" ht="15.75" customHeight="1">
      <c r="A11837" s="1">
        <v>12597.0</v>
      </c>
      <c r="B11837" s="3" t="s">
        <v>11297</v>
      </c>
      <c r="C11837" s="3" t="str">
        <f>IFERROR(__xludf.DUMMYFUNCTION("GOOGLETRANSLATE(B11837,""id"",""en"")"),"['application', 'ugly', 'opened', '']")</f>
        <v>['application', 'ugly', 'opened', '']</v>
      </c>
      <c r="D11837" s="3">
        <v>1.0</v>
      </c>
    </row>
    <row r="11838" ht="15.75" customHeight="1">
      <c r="A11838" s="1">
        <v>12598.0</v>
      </c>
      <c r="B11838" s="3" t="s">
        <v>11298</v>
      </c>
      <c r="C11838" s="3" t="str">
        <f>IFERROR(__xludf.DUMMYFUNCTION("GOOGLETRANSLATE(B11838,""id"",""en"")"),"['Lotten', 'promo', 'min', 'ndak', 'lose', 'enthusiasm']")</f>
        <v>['Lotten', 'promo', 'min', 'ndak', 'lose', 'enthusiasm']</v>
      </c>
      <c r="D11838" s="3">
        <v>5.0</v>
      </c>
    </row>
    <row r="11839" ht="15.75" customHeight="1">
      <c r="A11839" s="1">
        <v>12599.0</v>
      </c>
      <c r="B11839" s="3" t="s">
        <v>11299</v>
      </c>
      <c r="C11839" s="3" t="str">
        <f>IFERROR(__xludf.DUMMYFUNCTION("GOOGLETRANSLATE(B11839,""id"",""en"")"),"['Help', 'in', 'purchase', 'package', 'trmksh', ""]")</f>
        <v>['Help', 'in', 'purchase', 'package', 'trmksh', "]</v>
      </c>
      <c r="D11839" s="3">
        <v>4.0</v>
      </c>
    </row>
    <row r="11840" ht="15.75" customHeight="1">
      <c r="A11840" s="1">
        <v>12600.0</v>
      </c>
      <c r="B11840" s="3" t="s">
        <v>11300</v>
      </c>
      <c r="C11840" s="3" t="str">
        <f>IFERROR(__xludf.DUMMYFUNCTION("GOOGLETRANSLATE(B11840,""id"",""en"")"),"['Network', 'knpa', 'ugly', 'man', 'game', 'kagak', 'ngelek', 'then', 'fix', 'network', 'package', 'intrnet', ' expensive ',' TPI ',' Network ',' Orange ']")</f>
        <v>['Network', 'knpa', 'ugly', 'man', 'game', 'kagak', 'ngelek', 'then', 'fix', 'network', 'package', 'intrnet', ' expensive ',' TPI ',' Network ',' Orange ']</v>
      </c>
      <c r="D11840" s="3">
        <v>1.0</v>
      </c>
    </row>
    <row r="11841" ht="15.75" customHeight="1">
      <c r="A11841" s="1">
        <v>12601.0</v>
      </c>
      <c r="B11841" s="3" t="s">
        <v>11301</v>
      </c>
      <c r="C11841" s="3" t="str">
        <f>IFERROR(__xludf.DUMMYFUNCTION("GOOGLETRANSLATE(B11841,""id"",""en"")"),"['Disappointed', 'really', 'run out', 'update', 'kagak', 'open', 'plus',' explanation ',' customer ',' change ',' wait ',' loss', ' Leave ',' update ',' think ',' consumer ',' Android ',' and above ',' ']")</f>
        <v>['Disappointed', 'really', 'run out', 'update', 'kagak', 'open', 'plus',' explanation ',' customer ',' change ',' wait ',' loss', ' Leave ',' update ',' think ',' consumer ',' Android ',' and above ',' ']</v>
      </c>
      <c r="D11841" s="3">
        <v>1.0</v>
      </c>
    </row>
    <row r="11842" ht="15.75" customHeight="1">
      <c r="A11842" s="1">
        <v>12602.0</v>
      </c>
      <c r="B11842" s="3" t="s">
        <v>11302</v>
      </c>
      <c r="C11842" s="3" t="str">
        <f>IFERROR(__xludf.DUMMYFUNCTION("GOOGLETRANSLATE(B11842,""id"",""en"")"),"['Fast', 'steady']")</f>
        <v>['Fast', 'steady']</v>
      </c>
      <c r="D11842" s="3">
        <v>5.0</v>
      </c>
    </row>
    <row r="11843" ht="15.75" customHeight="1">
      <c r="A11843" s="1">
        <v>12603.0</v>
      </c>
      <c r="B11843" s="3" t="s">
        <v>11303</v>
      </c>
      <c r="C11843" s="3" t="str">
        <f>IFERROR(__xludf.DUMMYFUNCTION("GOOGLETRANSLATE(B11843,""id"",""en"")"),"['Steady', 'Get', 'Package', 'Free', 'Mksh', 'Telkomsel', '']")</f>
        <v>['Steady', 'Get', 'Package', 'Free', 'Mksh', 'Telkomsel', '']</v>
      </c>
      <c r="D11843" s="3">
        <v>5.0</v>
      </c>
    </row>
    <row r="11844" ht="15.75" customHeight="1">
      <c r="A11844" s="1">
        <v>12604.0</v>
      </c>
      <c r="B11844" s="3" t="s">
        <v>11304</v>
      </c>
      <c r="C11844" s="3" t="str">
        <f>IFERROR(__xludf.DUMMYFUNCTION("GOOGLETRANSLATE(B11844,""id"",""en"")"),"['how', 'application', 'open', 'hub', 'open']")</f>
        <v>['how', 'application', 'open', 'hub', 'open']</v>
      </c>
      <c r="D11844" s="3">
        <v>5.0</v>
      </c>
    </row>
    <row r="11845" ht="15.75" customHeight="1">
      <c r="A11845" s="1">
        <v>12605.0</v>
      </c>
      <c r="B11845" s="3" t="s">
        <v>11305</v>
      </c>
      <c r="C11845" s="3" t="str">
        <f>IFERROR(__xludf.DUMMYFUNCTION("GOOGLETRANSLATE(B11845,""id"",""en"")"),"['Bad', 'after', 'update', 'open']")</f>
        <v>['Bad', 'after', 'update', 'open']</v>
      </c>
      <c r="D11845" s="3">
        <v>2.0</v>
      </c>
    </row>
    <row r="11846" ht="15.75" customHeight="1">
      <c r="A11846" s="1">
        <v>12607.0</v>
      </c>
      <c r="B11846" s="3" t="s">
        <v>11306</v>
      </c>
      <c r="C11846" s="3" t="str">
        <f>IFERROR(__xludf.DUMMYFUNCTION("GOOGLETRANSLATE(B11846,""id"",""en"")"),"['world', 'Telkomsel', 'expensive', 'slow', 'troubling', 'customer', 'on', 'payment', 'service', 'satisfying', 'application', 'tidk', ' Opened ',' appears', 'screen', 'white', '']")</f>
        <v>['world', 'Telkomsel', 'expensive', 'slow', 'troubling', 'customer', 'on', 'payment', 'service', 'satisfying', 'application', 'tidk', ' Opened ',' appears', 'screen', 'white', '']</v>
      </c>
      <c r="D11846" s="3">
        <v>1.0</v>
      </c>
    </row>
    <row r="11847" ht="15.75" customHeight="1">
      <c r="A11847" s="1">
        <v>12608.0</v>
      </c>
      <c r="B11847" s="3" t="s">
        <v>11307</v>
      </c>
      <c r="C11847" s="3" t="str">
        <f>IFERROR(__xludf.DUMMYFUNCTION("GOOGLETRANSLATE(B11847,""id"",""en"")"),"['expensive', 'package', 'please', 'given', 'cheap']")</f>
        <v>['expensive', 'package', 'please', 'given', 'cheap']</v>
      </c>
      <c r="D11847" s="3">
        <v>1.0</v>
      </c>
    </row>
    <row r="11848" ht="15.75" customHeight="1">
      <c r="A11848" s="1">
        <v>12609.0</v>
      </c>
      <c r="B11848" s="3" t="s">
        <v>11308</v>
      </c>
      <c r="C11848" s="3" t="str">
        <f>IFERROR(__xludf.DUMMYFUNCTION("GOOGLETRANSLATE(B11848,""id"",""en"")"),"['What', 'Telkomsel', 'Fill', 'Credit', 'Nyampe', 'Minute', 'Card', 'Dlm', 'Condition', 'Mode', 'Plane', 'Cut', ' pulses', 'please', 'Telkomsel', 'make it difficult', 'org', 'sometimes',' org ',' need ',' cut ',' Jelges', '']")</f>
        <v>['What', 'Telkomsel', 'Fill', 'Credit', 'Nyampe', 'Minute', 'Card', 'Dlm', 'Condition', 'Mode', 'Plane', 'Cut', ' pulses', 'please', 'Telkomsel', 'make it difficult', 'org', 'sometimes',' org ',' need ',' cut ',' Jelges', '']</v>
      </c>
      <c r="D11848" s="3">
        <v>1.0</v>
      </c>
    </row>
    <row r="11849" ht="15.75" customHeight="1">
      <c r="A11849" s="1">
        <v>12610.0</v>
      </c>
      <c r="B11849" s="3" t="s">
        <v>11309</v>
      </c>
      <c r="C11849" s="3" t="str">
        <f>IFERROR(__xludf.DUMMYFUNCTION("GOOGLETRANSLATE(B11849,""id"",""en"")"),"['Application', 'Telkomsel', 'opened', 'looks', 'screen', 'white', 'Please', 'help', ""]")</f>
        <v>['Application', 'Telkomsel', 'opened', 'looks', 'screen', 'white', 'Please', 'help', "]</v>
      </c>
      <c r="D11849" s="3">
        <v>2.0</v>
      </c>
    </row>
    <row r="11850" ht="15.75" customHeight="1">
      <c r="A11850" s="1">
        <v>12611.0</v>
      </c>
      <c r="B11850" s="3" t="s">
        <v>11310</v>
      </c>
      <c r="C11850" s="3" t="str">
        <f>IFERROR(__xludf.DUMMYFUNCTION("GOOGLETRANSLATE(B11850,""id"",""en"")"),"['signal', 'dilapidated', 'bangad', 'fix', 'signal', 'cok', ""]")</f>
        <v>['signal', 'dilapidated', 'bangad', 'fix', 'signal', 'cok', "]</v>
      </c>
      <c r="D11850" s="3">
        <v>1.0</v>
      </c>
    </row>
    <row r="11851" ht="15.75" customHeight="1">
      <c r="A11851" s="1">
        <v>12612.0</v>
      </c>
      <c r="B11851" s="3" t="s">
        <v>11311</v>
      </c>
      <c r="C11851" s="3" t="str">
        <f>IFERROR(__xludf.DUMMYFUNCTION("GOOGLETRANSLATE(B11851,""id"",""en"")"),"['App', 'opened', 'opened', 'screen', 'white', 'beg', 'solution', 'temperature', ""]")</f>
        <v>['App', 'opened', 'opened', 'screen', 'white', 'beg', 'solution', 'temperature', "]</v>
      </c>
      <c r="D11851" s="3">
        <v>5.0</v>
      </c>
    </row>
    <row r="11852" ht="15.75" customHeight="1">
      <c r="A11852" s="1">
        <v>12613.0</v>
      </c>
      <c r="B11852" s="3" t="s">
        <v>11312</v>
      </c>
      <c r="C11852" s="3" t="str">
        <f>IFERROR(__xludf.DUMMYFUNCTION("GOOGLETRANSLATE(B11852,""id"",""en"")"),"['Satisfied', 'Deh', 'Telkomsel']")</f>
        <v>['Satisfied', 'Deh', 'Telkomsel']</v>
      </c>
      <c r="D11852" s="3">
        <v>5.0</v>
      </c>
    </row>
    <row r="11853" ht="15.75" customHeight="1">
      <c r="A11853" s="1">
        <v>12614.0</v>
      </c>
      <c r="B11853" s="3" t="s">
        <v>11313</v>
      </c>
      <c r="C11853" s="3" t="str">
        <f>IFERROR(__xludf.DUMMYFUNCTION("GOOGLETRANSLATE(B11853,""id"",""en"")"),"['functional', 'help', 'just', 'suggestion', 'manyin', 'promo', 'application', 'thank you']")</f>
        <v>['functional', 'help', 'just', 'suggestion', 'manyin', 'promo', 'application', 'thank you']</v>
      </c>
      <c r="D11853" s="3">
        <v>5.0</v>
      </c>
    </row>
    <row r="11854" ht="15.75" customHeight="1">
      <c r="A11854" s="1">
        <v>12616.0</v>
      </c>
      <c r="B11854" s="3" t="s">
        <v>11314</v>
      </c>
      <c r="C11854" s="3" t="str">
        <f>IFERROR(__xludf.DUMMYFUNCTION("GOOGLETRANSLATE(B11854,""id"",""en"")"),"['Horrified', 'Brooo', 'Price', 'Package']")</f>
        <v>['Horrified', 'Brooo', 'Price', 'Package']</v>
      </c>
      <c r="D11854" s="3">
        <v>1.0</v>
      </c>
    </row>
    <row r="11855" ht="15.75" customHeight="1">
      <c r="A11855" s="1">
        <v>12617.0</v>
      </c>
      <c r="B11855" s="3" t="s">
        <v>11315</v>
      </c>
      <c r="C11855" s="3" t="str">
        <f>IFERROR(__xludf.DUMMYFUNCTION("GOOGLETRANSLATE(B11855,""id"",""en"")"),"['Tekomsel', 'easy', 'in', 'communication', 'speward', 'easy', '']")</f>
        <v>['Tekomsel', 'easy', 'in', 'communication', 'speward', 'easy', '']</v>
      </c>
      <c r="D11855" s="3">
        <v>4.0</v>
      </c>
    </row>
    <row r="11856" ht="15.75" customHeight="1">
      <c r="A11856" s="1">
        <v>12618.0</v>
      </c>
      <c r="B11856" s="3" t="s">
        <v>11316</v>
      </c>
      <c r="C11856" s="3" t="str">
        <f>IFERROR(__xludf.DUMMYFUNCTION("GOOGLETRANSLATE(B11856,""id"",""en"")"),"['Application', 'BURIK', 'Update', 'Opened']")</f>
        <v>['Application', 'BURIK', 'Update', 'Opened']</v>
      </c>
      <c r="D11856" s="3">
        <v>1.0</v>
      </c>
    </row>
    <row r="11857" ht="15.75" customHeight="1">
      <c r="A11857" s="1">
        <v>12619.0</v>
      </c>
      <c r="B11857" s="3" t="s">
        <v>11317</v>
      </c>
      <c r="C11857" s="3" t="str">
        <f>IFERROR(__xludf.DUMMYFUNCTION("GOOGLETRANSLATE(B11857,""id"",""en"")"),"['Bgus', 'really', 'makes it easy', 'quota', 'pulse']")</f>
        <v>['Bgus', 'really', 'makes it easy', 'quota', 'pulse']</v>
      </c>
      <c r="D11857" s="3">
        <v>5.0</v>
      </c>
    </row>
    <row r="11858" ht="15.75" customHeight="1">
      <c r="A11858" s="1">
        <v>12620.0</v>
      </c>
      <c r="B11858" s="3" t="s">
        <v>11318</v>
      </c>
      <c r="C11858" s="3" t="str">
        <f>IFERROR(__xludf.DUMMYFUNCTION("GOOGLETRANSLATE(B11858,""id"",""en"")"),"['Network', 'Telkom', 'night', 'Ngaco', 'ilang', 'Slalu', 'Severe', 'Telkom']")</f>
        <v>['Network', 'Telkom', 'night', 'Ngaco', 'ilang', 'Slalu', 'Severe', 'Telkom']</v>
      </c>
      <c r="D11858" s="3">
        <v>1.0</v>
      </c>
    </row>
    <row r="11859" ht="15.75" customHeight="1">
      <c r="A11859" s="1">
        <v>12621.0</v>
      </c>
      <c r="B11859" s="3" t="s">
        <v>11319</v>
      </c>
      <c r="C11859" s="3" t="str">
        <f>IFERROR(__xludf.DUMMYFUNCTION("GOOGLETRANSLATE(B11859,""id"",""en"")"),"['Sampe', 'get', 'gift', 'motorbike', 'DIFESTIVAL', 'POINT', 'Promise', 'use', 'Telkomsel', 'Life', 'Life', '']")</f>
        <v>['Sampe', 'get', 'gift', 'motorbike', 'DIFESTIVAL', 'POINT', 'Promise', 'use', 'Telkomsel', 'Life', 'Life', '']</v>
      </c>
      <c r="D11859" s="3">
        <v>5.0</v>
      </c>
    </row>
    <row r="11860" ht="15.75" customHeight="1">
      <c r="A11860" s="1">
        <v>12622.0</v>
      </c>
      <c r="B11860" s="3" t="s">
        <v>11320</v>
      </c>
      <c r="C11860" s="3" t="str">
        <f>IFERROR(__xludf.DUMMYFUNCTION("GOOGLETRANSLATE(B11860,""id"",""en"")"),"['Network', 'Gausah', 'Kelen', 'Buy', 'Card', 'Telkomsel', 'Kelen', 'Download', 'APK', 'Raying', 'Card', 'Telkomsel', ' network ',' like ',' ilang ',' slow ',' kek ']")</f>
        <v>['Network', 'Gausah', 'Kelen', 'Buy', 'Card', 'Telkomsel', 'Kelen', 'Download', 'APK', 'Raying', 'Card', 'Telkomsel', ' network ',' like ',' ilang ',' slow ',' kek ']</v>
      </c>
      <c r="D11860" s="3">
        <v>1.0</v>
      </c>
    </row>
    <row r="11861" ht="15.75" customHeight="1">
      <c r="A11861" s="1">
        <v>12623.0</v>
      </c>
      <c r="B11861" s="3" t="s">
        <v>11321</v>
      </c>
      <c r="C11861" s="3" t="str">
        <f>IFERROR(__xludf.DUMMYFUNCTION("GOOGLETRANSLATE(B11861,""id"",""en"")"),"['a month', 'appears', 'screen', 'white', 'open', 'apk', 'week', 'report', 'change']")</f>
        <v>['a month', 'appears', 'screen', 'white', 'open', 'apk', 'week', 'report', 'change']</v>
      </c>
      <c r="D11861" s="3">
        <v>1.0</v>
      </c>
    </row>
    <row r="11862" ht="15.75" customHeight="1">
      <c r="A11862" s="1">
        <v>12624.0</v>
      </c>
      <c r="B11862" s="3" t="s">
        <v>11322</v>
      </c>
      <c r="C11862" s="3" t="str">
        <f>IFERROR(__xludf.DUMMYFUNCTION("GOOGLETRANSLATE(B11862,""id"",""en"")"),"['price', 'quota', 'expensive', 'kirain', 'premium', 'network', 'know', 'like', 'ilang', 'already', 'so', 'like', ' Ngellag ',' right ',' play ',' game ']")</f>
        <v>['price', 'quota', 'expensive', 'kirain', 'premium', 'network', 'know', 'like', 'ilang', 'already', 'so', 'like', ' Ngellag ',' right ',' play ',' game ']</v>
      </c>
      <c r="D11862" s="3">
        <v>1.0</v>
      </c>
    </row>
    <row r="11863" ht="15.75" customHeight="1">
      <c r="A11863" s="1">
        <v>12625.0</v>
      </c>
      <c r="B11863" s="3" t="s">
        <v>11323</v>
      </c>
      <c r="C11863" s="3" t="str">
        <f>IFERROR(__xludf.DUMMYFUNCTION("GOOGLETRANSLATE(B11863,""id"",""en"")"),"['price', 'expensive', 'quality', 'cheap', 'network', 'stable', 'slow', 'ngelag']")</f>
        <v>['price', 'expensive', 'quality', 'cheap', 'network', 'stable', 'slow', 'ngelag']</v>
      </c>
      <c r="D11863" s="3">
        <v>1.0</v>
      </c>
    </row>
    <row r="11864" ht="15.75" customHeight="1">
      <c r="A11864" s="1">
        <v>12626.0</v>
      </c>
      <c r="B11864" s="3" t="s">
        <v>11324</v>
      </c>
      <c r="C11864" s="3" t="str">
        <f>IFERROR(__xludf.DUMMYFUNCTION("GOOGLETRANSLATE(B11864,""id"",""en"")"),"['network', 'super', 'pulp', 'signal', 'like', 'lost', 'hour', 'busy', 'change', 'network', 'internet', 'super', ' Slow ',' MCM ',' Snail ',' Road ',' Gimmik ',' Doank ',' Card ',' Hello ',' Network ',' Priority ',' Busit ',' Lost ',' Rejeki ' , 'Gara', '"&amp;"network', 'problematic', '']")</f>
        <v>['network', 'super', 'pulp', 'signal', 'like', 'lost', 'hour', 'busy', 'change', 'network', 'internet', 'super', ' Slow ',' MCM ',' Snail ',' Road ',' Gimmik ',' Doank ',' Card ',' Hello ',' Network ',' Priority ',' Busit ',' Lost ',' Rejeki ' , 'Gara', 'network', 'problematic', '']</v>
      </c>
      <c r="D11864" s="3">
        <v>1.0</v>
      </c>
    </row>
    <row r="11865" ht="15.75" customHeight="1">
      <c r="A11865" s="1">
        <v>12627.0</v>
      </c>
      <c r="B11865" s="3" t="s">
        <v>11325</v>
      </c>
      <c r="C11865" s="3" t="str">
        <f>IFERROR(__xludf.DUMMYFUNCTION("GOOGLETRANSLATE(B11865,""id"",""en"")"),"['bad', 'signal', 'Telkom', 'promo', 'nambahin', 'tower', 'good', 'cheap', 'ugly', 'signal', 'expensive', 'price', ' Folding ',' the price ',' OK ',' expensive ',' supported ',' signal ',' good ',' already ',' expensive ',' ugly ',' quality ',' his soy ',"&amp;"' please ' , 'Min', 'Fix', 'Network', 'Telkom', '']")</f>
        <v>['bad', 'signal', 'Telkom', 'promo', 'nambahin', 'tower', 'good', 'cheap', 'ugly', 'signal', 'expensive', 'price', ' Folding ',' the price ',' OK ',' expensive ',' supported ',' signal ',' good ',' already ',' expensive ',' ugly ',' quality ',' his soy ',' please ' , 'Min', 'Fix', 'Network', 'Telkom', '']</v>
      </c>
      <c r="D11865" s="3">
        <v>1.0</v>
      </c>
    </row>
    <row r="11866" ht="15.75" customHeight="1">
      <c r="A11866" s="1">
        <v>12628.0</v>
      </c>
      <c r="B11866" s="3" t="s">
        <v>11326</v>
      </c>
      <c r="C11866" s="3" t="str">
        <f>IFERROR(__xludf.DUMMYFUNCTION("GOOGLETRANSLATE(B11866,""id"",""en"")"),"['JRINGN', 'NGNTT', 'KLAU', 'Rain', 'Nastyl', 'Udh', 'Kek', 'Anjinkk', 'MMR', 'Down', 'NGNNT']")</f>
        <v>['JRINGN', 'NGNTT', 'KLAU', 'Rain', 'Nastyl', 'Udh', 'Kek', 'Anjinkk', 'MMR', 'Down', 'NGNNT']</v>
      </c>
      <c r="D11866" s="3">
        <v>1.0</v>
      </c>
    </row>
    <row r="11867" ht="15.75" customHeight="1">
      <c r="A11867" s="1">
        <v>12629.0</v>
      </c>
      <c r="B11867" s="3" t="s">
        <v>11327</v>
      </c>
      <c r="C11867" s="3" t="str">
        <f>IFERROR(__xludf.DUMMYFUNCTION("GOOGLETRANSLATE(B11867,""id"",""en"")"),"['Make', 'Telkomsel', 'Good', 'Drizzle', 'Signal', 'Direct', 'Lost', ""]")</f>
        <v>['Make', 'Telkomsel', 'Good', 'Drizzle', 'Signal', 'Direct', 'Lost', "]</v>
      </c>
      <c r="D11867" s="3">
        <v>1.0</v>
      </c>
    </row>
    <row r="11868" ht="15.75" customHeight="1">
      <c r="A11868" s="1">
        <v>12630.0</v>
      </c>
      <c r="B11868" s="3" t="s">
        <v>11328</v>
      </c>
      <c r="C11868" s="3" t="str">
        <f>IFERROR(__xludf.DUMMYFUNCTION("GOOGLETRANSLATE(B11868,""id"",""en"")"),"['Severe', 'may', 'Lma', 'might', 'destroyed', 'UDH', 'subscription', 'BLI', 'PKET', 'Nlpon', 'as much as',' MLH ',' Skarang ',' Hilng ',' expensive ',' severe ',' UBH ',' it costs']")</f>
        <v>['Severe', 'may', 'Lma', 'might', 'destroyed', 'UDH', 'subscription', 'BLI', 'PKET', 'Nlpon', 'as much as',' MLH ',' Skarang ',' Hilng ',' expensive ',' severe ',' UBH ',' it costs']</v>
      </c>
      <c r="D11868" s="3">
        <v>1.0</v>
      </c>
    </row>
    <row r="11869" ht="15.75" customHeight="1">
      <c r="A11869" s="1">
        <v>12631.0</v>
      </c>
      <c r="B11869" s="3" t="s">
        <v>11329</v>
      </c>
      <c r="C11869" s="3" t="str">
        <f>IFERROR(__xludf.DUMMYFUNCTION("GOOGLETRANSLATE(B11869,""id"",""en"")"),"['here', 'network', 'severe', 'friend', 'friend', 'better', 'card', 'sympathy', 'waste', 'tong', 'garbage', 'card', ' cards', 'expensive', 'network', 'rich', 'garbage']")</f>
        <v>['here', 'network', 'severe', 'friend', 'friend', 'better', 'card', 'sympathy', 'waste', 'tong', 'garbage', 'card', ' cards', 'expensive', 'network', 'rich', 'garbage']</v>
      </c>
      <c r="D11869" s="3">
        <v>1.0</v>
      </c>
    </row>
    <row r="11870" ht="15.75" customHeight="1">
      <c r="A11870" s="1">
        <v>12632.0</v>
      </c>
      <c r="B11870" s="3" t="s">
        <v>11330</v>
      </c>
      <c r="C11870" s="3" t="str">
        <f>IFERROR(__xludf.DUMMYFUNCTION("GOOGLETRANSLATE(B11870,""id"",""en"")"),"['Have', 'report', 'preeet', 'fix', 'signal', 'quota', 'expensive', 'improvement', 'quality', 'signal', 'lemotttttt', 'moved', ' automatically ',' setting ',' signal ',' reach ',' signal ',' broad ',' name ',' reach ',' broad ',' telkomsel ',' busitt ',' "&amp;"signal ',' lost ' , 'Taekkk', 'Samamu', 'Telexts']")</f>
        <v>['Have', 'report', 'preeet', 'fix', 'signal', 'quota', 'expensive', 'improvement', 'quality', 'signal', 'lemotttttt', 'moved', ' automatically ',' setting ',' signal ',' reach ',' signal ',' broad ',' name ',' reach ',' broad ',' telkomsel ',' busitt ',' signal ',' lost ' , 'Taekkk', 'Samamu', 'Telexts']</v>
      </c>
      <c r="D11870" s="3">
        <v>1.0</v>
      </c>
    </row>
    <row r="11871" ht="15.75" customHeight="1">
      <c r="A11871" s="1">
        <v>12633.0</v>
      </c>
      <c r="B11871" s="3" t="s">
        <v>11331</v>
      </c>
      <c r="C11871" s="3" t="str">
        <f>IFERROR(__xludf.DUMMYFUNCTION("GOOGLETRANSLATE(B11871,""id"",""en"")"),"['network', 'Telkomsel', 'Severe', 'home', 'city', 'signal', 'full', 'see', 'medsos',' wait ',' long ',' already ',' Users', 'Disappointed', 'Please', 'Fix', 'Min']")</f>
        <v>['network', 'Telkomsel', 'Severe', 'home', 'city', 'signal', 'full', 'see', 'medsos',' wait ',' long ',' already ',' Users', 'Disappointed', 'Please', 'Fix', 'Min']</v>
      </c>
      <c r="D11871" s="3">
        <v>1.0</v>
      </c>
    </row>
    <row r="11872" ht="15.75" customHeight="1">
      <c r="A11872" s="1">
        <v>12634.0</v>
      </c>
      <c r="B11872" s="3" t="s">
        <v>11332</v>
      </c>
      <c r="C11872" s="3" t="str">
        <f>IFERROR(__xludf.DUMMYFUNCTION("GOOGLETRANSLATE(B11872,""id"",""en"")"),"['Ajahggg', 'cave', 'play', 'uglyin', 'network', 'Telkomsel', 'Ajing', 'AXIS', 'AXIS', 'AXIS', '']")</f>
        <v>['Ajahggg', 'cave', 'play', 'uglyin', 'network', 'Telkomsel', 'Ajing', 'AXIS', 'AXIS', 'AXIS', '']</v>
      </c>
      <c r="D11872" s="3">
        <v>1.0</v>
      </c>
    </row>
    <row r="11873" ht="15.75" customHeight="1">
      <c r="A11873" s="1">
        <v>12635.0</v>
      </c>
      <c r="B11873" s="3" t="s">
        <v>11333</v>
      </c>
      <c r="C11873" s="3" t="str">
        <f>IFERROR(__xludf.DUMMYFUNCTION("GOOGLETRANSLATE(B11873,""id"",""en"")"),"['Happy', 'really', 'APL', 'Telkomsel', 'Disappointed', 'APL', 'No', 'opened', 'please', 'deh', 'developer', 'repaired', ' The system is']")</f>
        <v>['Happy', 'really', 'APL', 'Telkomsel', 'Disappointed', 'APL', 'No', 'opened', 'please', 'deh', 'developer', 'repaired', ' The system is']</v>
      </c>
      <c r="D11873" s="3">
        <v>1.0</v>
      </c>
    </row>
    <row r="11874" ht="15.75" customHeight="1">
      <c r="A11874" s="1">
        <v>12636.0</v>
      </c>
      <c r="B11874" s="3" t="s">
        <v>11334</v>
      </c>
      <c r="C11874" s="3" t="str">
        <f>IFERROR(__xludf.DUMMYFUNCTION("GOOGLETRANSLATE(B11874,""id"",""en"")"),"['Ank', 'BBI', 'already', 'expensive', 'lag', 'napa', 'tlol']")</f>
        <v>['Ank', 'BBI', 'already', 'expensive', 'lag', 'napa', 'tlol']</v>
      </c>
      <c r="D11874" s="3">
        <v>1.0</v>
      </c>
    </row>
    <row r="11875" ht="15.75" customHeight="1">
      <c r="A11875" s="1">
        <v>12637.0</v>
      </c>
      <c r="B11875" s="3" t="s">
        <v>11335</v>
      </c>
      <c r="C11875" s="3" t="str">
        <f>IFERROR(__xludf.DUMMYFUNCTION("GOOGLETRANSLATE(B11875,""id"",""en"")"),"['blank', 'opened']")</f>
        <v>['blank', 'opened']</v>
      </c>
      <c r="D11875" s="3">
        <v>1.0</v>
      </c>
    </row>
    <row r="11876" ht="15.75" customHeight="1">
      <c r="A11876" s="1">
        <v>12638.0</v>
      </c>
      <c r="B11876" s="3" t="s">
        <v>11336</v>
      </c>
      <c r="C11876" s="3" t="str">
        <f>IFERROR(__xludf.DUMMYFUNCTION("GOOGLETRANSLATE(B11876,""id"",""en"")"),"['Telkomsel', 'right', 'dead', 'electricity', 'really', 'UDH', 'Pay', 'expensive', 'right', 'dead', 'electricity', 'network']")</f>
        <v>['Telkomsel', 'right', 'dead', 'electricity', 'really', 'UDH', 'Pay', 'expensive', 'right', 'dead', 'electricity', 'network']</v>
      </c>
      <c r="D11876" s="3">
        <v>1.0</v>
      </c>
    </row>
    <row r="11877" ht="15.75" customHeight="1">
      <c r="A11877" s="1">
        <v>12639.0</v>
      </c>
      <c r="B11877" s="3" t="s">
        <v>11337</v>
      </c>
      <c r="C11877" s="3" t="str">
        <f>IFERROR(__xludf.DUMMYFUNCTION("GOOGLETRANSLATE(B11877,""id"",""en"")"),"['here', 'slow', 'Mlah', 'Nggk', 'open', 'especially', 'class',' invite ',' down ',' right ',' open ',' screen ',' white ',' doang ']")</f>
        <v>['here', 'slow', 'Mlah', 'Nggk', 'open', 'especially', 'class',' invite ',' down ',' right ',' open ',' screen ',' white ',' doang ']</v>
      </c>
      <c r="D11877" s="3">
        <v>1.0</v>
      </c>
    </row>
    <row r="11878" ht="15.75" customHeight="1">
      <c r="A11878" s="1">
        <v>12640.0</v>
      </c>
      <c r="B11878" s="3" t="s">
        <v>11338</v>
      </c>
      <c r="C11878" s="3" t="str">
        <f>IFERROR(__xludf.DUMMYFUNCTION("GOOGLETRANSLATE(B11878,""id"",""en"")"),"['helped']")</f>
        <v>['helped']</v>
      </c>
      <c r="D11878" s="3">
        <v>5.0</v>
      </c>
    </row>
    <row r="11879" ht="15.75" customHeight="1">
      <c r="A11879" s="1">
        <v>12642.0</v>
      </c>
      <c r="B11879" s="3" t="s">
        <v>11339</v>
      </c>
      <c r="C11879" s="3" t="str">
        <f>IFERROR(__xludf.DUMMYFUNCTION("GOOGLETRANSLATE(B11879,""id"",""en"")"),"['network', 'the widest', 'direction', 'land', 'water']")</f>
        <v>['network', 'the widest', 'direction', 'land', 'water']</v>
      </c>
      <c r="D11879" s="3">
        <v>5.0</v>
      </c>
    </row>
    <row r="11880" ht="15.75" customHeight="1">
      <c r="A11880" s="1">
        <v>12643.0</v>
      </c>
      <c r="B11880" s="3" t="s">
        <v>11340</v>
      </c>
      <c r="C11880" s="3" t="str">
        <f>IFERROR(__xludf.DUMMYFUNCTION("GOOGLETRANSLATE(B11880,""id"",""en"")"),"['user', 'Android', 'access',' policy ',' strange ',' customers', 'Telkomsel', 'circles',' medium ',' down ',' good ',' replace ',' Users', 'Android', 'down', 'access',' donk ',' policy ',' strange ', ""]")</f>
        <v>['user', 'Android', 'access',' policy ',' strange ',' customers', 'Telkomsel', 'circles',' medium ',' down ',' good ',' replace ',' Users', 'Android', 'down', 'access',' donk ',' policy ',' strange ', "]</v>
      </c>
      <c r="D11880" s="3">
        <v>1.0</v>
      </c>
    </row>
    <row r="11881" ht="15.75" customHeight="1">
      <c r="A11881" s="1">
        <v>12644.0</v>
      </c>
      <c r="B11881" s="3" t="s">
        <v>11341</v>
      </c>
      <c r="C11881" s="3" t="str">
        <f>IFERROR(__xludf.DUMMYFUNCTION("GOOGLETRANSLATE(B11881,""id"",""en"")"),"['just', 'writing', 'white', 'application', 'exposed', 'covid', ""]")</f>
        <v>['just', 'writing', 'white', 'application', 'exposed', 'covid', "]</v>
      </c>
      <c r="D11881" s="3">
        <v>1.0</v>
      </c>
    </row>
    <row r="11882" ht="15.75" customHeight="1">
      <c r="A11882" s="1">
        <v>12646.0</v>
      </c>
      <c r="B11882" s="3" t="s">
        <v>11342</v>
      </c>
      <c r="C11882" s="3" t="str">
        <f>IFERROR(__xludf.DUMMYFUNCTION("GOOGLETRANSLATE(B11882,""id"",""en"")"),"['application', 'opened', 'opened', 'screen', 'white']")</f>
        <v>['application', 'opened', 'opened', 'screen', 'white']</v>
      </c>
      <c r="D11882" s="3">
        <v>1.0</v>
      </c>
    </row>
    <row r="11883" ht="15.75" customHeight="1">
      <c r="A11883" s="1">
        <v>12647.0</v>
      </c>
      <c r="B11883" s="3" t="s">
        <v>11343</v>
      </c>
      <c r="C11883" s="3" t="str">
        <f>IFERROR(__xludf.DUMMYFUNCTION("GOOGLETRANSLATE(B11883,""id"",""en"")"),"['update', 'APK', 'opened', 'screen', 'white', 'doang', 'appears', 'ngeprank', 'yaaa']")</f>
        <v>['update', 'APK', 'opened', 'screen', 'white', 'doang', 'appears', 'ngeprank', 'yaaa']</v>
      </c>
      <c r="D11883" s="3">
        <v>1.0</v>
      </c>
    </row>
    <row r="11884" ht="15.75" customHeight="1">
      <c r="A11884" s="1">
        <v>12648.0</v>
      </c>
      <c r="B11884" s="3" t="s">
        <v>11344</v>
      </c>
      <c r="C11884" s="3" t="str">
        <f>IFERROR(__xludf.DUMMYFUNCTION("GOOGLETRANSLATE(B11884,""id"",""en"")"),"['Changed', 'setting', 'difficult', 'update', ""]")</f>
        <v>['Changed', 'setting', 'difficult', 'update', "]</v>
      </c>
      <c r="D11884" s="3">
        <v>2.0</v>
      </c>
    </row>
    <row r="11885" ht="15.75" customHeight="1">
      <c r="A11885" s="1">
        <v>12649.0</v>
      </c>
      <c r="B11885" s="3" t="s">
        <v>11345</v>
      </c>
      <c r="C11885" s="3" t="str">
        <f>IFERROR(__xludf.DUMMYFUNCTION("GOOGLETRANSLATE(B11885,""id"",""en"")"),"['price', 'package', 'internet', 'expensive', 'application', 'full', 'lag', 'error', 'convoluted', 'turn', 'complicated', 'customer', ' comfortable', '']")</f>
        <v>['price', 'package', 'internet', 'expensive', 'application', 'full', 'lag', 'error', 'convoluted', 'turn', 'complicated', 'customer', ' comfortable', '']</v>
      </c>
      <c r="D11885" s="3">
        <v>1.0</v>
      </c>
    </row>
    <row r="11886" ht="15.75" customHeight="1">
      <c r="A11886" s="1">
        <v>12650.0</v>
      </c>
      <c r="B11886" s="3" t="s">
        <v>11346</v>
      </c>
      <c r="C11886" s="3" t="str">
        <f>IFERROR(__xludf.DUMMYFUNCTION("GOOGLETRANSLATE(B11886,""id"",""en"")"),"['Karuan', 'Loading', 'Error', 'Signal', 'Strong', 'Pas',' Open ',' Application ',' Signal ',' Weak ',' Failed ',' Loading ',' Eastern ',' ']")</f>
        <v>['Karuan', 'Loading', 'Error', 'Signal', 'Strong', 'Pas',' Open ',' Application ',' Signal ',' Weak ',' Failed ',' Loading ',' Eastern ',' ']</v>
      </c>
      <c r="D11886" s="3">
        <v>1.0</v>
      </c>
    </row>
    <row r="11887" ht="15.75" customHeight="1">
      <c r="A11887" s="1">
        <v>12652.0</v>
      </c>
      <c r="B11887" s="3" t="s">
        <v>11347</v>
      </c>
      <c r="C11887" s="3" t="str">
        <f>IFERROR(__xludf.DUMMYFUNCTION("GOOGLETRANSLATE(B11887,""id"",""en"")"),"['min', 'please', 'gmn', 'makes it easier', 'buy', 'package', 'quota', 'pulse', 'etc.', 'already', 'pay', 'entry', ' The quota ',' regret ',' Download ',' Telkomsel ',' time ',' move ',' Telkomsel ',' can ',' impression ',' bad ',' please ',' fast ',' res"&amp;"pond ' , 'complaint', '']")</f>
        <v>['min', 'please', 'gmn', 'makes it easier', 'buy', 'package', 'quota', 'pulse', 'etc.', 'already', 'pay', 'entry', ' The quota ',' regret ',' Download ',' Telkomsel ',' time ',' move ',' Telkomsel ',' can ',' impression ',' bad ',' please ',' fast ',' respond ' , 'complaint', '']</v>
      </c>
      <c r="D11887" s="3">
        <v>1.0</v>
      </c>
    </row>
    <row r="11888" ht="15.75" customHeight="1">
      <c r="A11888" s="1">
        <v>12653.0</v>
      </c>
      <c r="B11888" s="3" t="s">
        <v>11348</v>
      </c>
      <c r="C11888" s="3" t="str">
        <f>IFERROR(__xludf.DUMMYFUNCTION("GOOGLETRANSLATE(B11888,""id"",""en"")"),"['signal', 'threat', 'sich', 'package', 'expensive', 'TPI', 'signal', 'abal', ""]")</f>
        <v>['signal', 'threat', 'sich', 'package', 'expensive', 'TPI', 'signal', 'abal', "]</v>
      </c>
      <c r="D11888" s="3">
        <v>1.0</v>
      </c>
    </row>
    <row r="11889" ht="15.75" customHeight="1">
      <c r="A11889" s="1">
        <v>12655.0</v>
      </c>
      <c r="B11889" s="3" t="s">
        <v>11349</v>
      </c>
      <c r="C11889" s="3" t="str">
        <f>IFERROR(__xludf.DUMMYFUNCTION("GOOGLETRANSLATE(B11889,""id"",""en"")"),"['Network', 'slow', 'application', 'open', 'adehh', '']")</f>
        <v>['Network', 'slow', 'application', 'open', 'adehh', '']</v>
      </c>
      <c r="D11889" s="3">
        <v>1.0</v>
      </c>
    </row>
    <row r="11890" ht="15.75" customHeight="1">
      <c r="A11890" s="1">
        <v>12656.0</v>
      </c>
      <c r="B11890" s="3" t="s">
        <v>11350</v>
      </c>
      <c r="C11890" s="3" t="str">
        <f>IFERROR(__xludf.DUMMYFUNCTION("GOOGLETRANSLATE(B11890,""id"",""en"")"),"['application', 'useful', 'as', 'user', 'application']")</f>
        <v>['application', 'useful', 'as', 'user', 'application']</v>
      </c>
      <c r="D11890" s="3">
        <v>3.0</v>
      </c>
    </row>
    <row r="11891" ht="15.75" customHeight="1">
      <c r="A11891" s="1">
        <v>12657.0</v>
      </c>
      <c r="B11891" s="3" t="s">
        <v>11351</v>
      </c>
      <c r="C11891" s="3" t="str">
        <f>IFERROR(__xludf.DUMMYFUNCTION("GOOGLETRANSLATE(B11891,""id"",""en"")"),"['hi', 'complaints',' customers', 'loyal', 'disappointed', 'white', 'screen', 'update', 'newest', 'application', 'mytelkomsel', 'answer', ' Please ',' Submit ',' Features', 'Help', 'Application', 'MyTelkomsel', 'Send', 'MiiInn', 'Lhawong', 'Opened', 'Whit"&amp;"e', 'Screen', 'Please' , 'blah', 'blah', 'blah', 'karepmu', 'miin', 'cemin', ""]")</f>
        <v>['hi', 'complaints',' customers', 'loyal', 'disappointed', 'white', 'screen', 'update', 'newest', 'application', 'mytelkomsel', 'answer', ' Please ',' Submit ',' Features', 'Help', 'Application', 'MyTelkomsel', 'Send', 'MiiInn', 'Lhawong', 'Opened', 'White', 'Screen', 'Please' , 'blah', 'blah', 'blah', 'karepmu', 'miin', 'cemin', "]</v>
      </c>
      <c r="D11891" s="3">
        <v>1.0</v>
      </c>
    </row>
    <row r="11892" ht="15.75" customHeight="1">
      <c r="A11892" s="1">
        <v>12658.0</v>
      </c>
      <c r="B11892" s="3" t="s">
        <v>11352</v>
      </c>
      <c r="C11892" s="3" t="str">
        <f>IFERROR(__xludf.DUMMYFUNCTION("GOOGLETRANSLATE(B11892,""id"",""en"")"),"['Application', 'Install', 'Opened', '']")</f>
        <v>['Application', 'Install', 'Opened', '']</v>
      </c>
      <c r="D11892" s="3">
        <v>1.0</v>
      </c>
    </row>
    <row r="11893" ht="15.75" customHeight="1">
      <c r="A11893" s="1">
        <v>12659.0</v>
      </c>
      <c r="B11893" s="3" t="s">
        <v>11353</v>
      </c>
      <c r="C11893" s="3" t="str">
        <f>IFERROR(__xludf.DUMMYFUNCTION("GOOGLETRANSLATE(B11893,""id"",""en"")"),"['Lemot', 'Telkomnyet', '']")</f>
        <v>['Lemot', 'Telkomnyet', '']</v>
      </c>
      <c r="D11893" s="3">
        <v>1.0</v>
      </c>
    </row>
    <row r="11894" ht="15.75" customHeight="1">
      <c r="A11894" s="1">
        <v>12660.0</v>
      </c>
      <c r="B11894" s="3" t="s">
        <v>11354</v>
      </c>
      <c r="C11894" s="3" t="str">
        <f>IFERROR(__xludf.DUMMYFUNCTION("GOOGLETRANSLATE(B11894,""id"",""en"")"),"['Increase', 'signal', 'Bund']")</f>
        <v>['Increase', 'signal', 'Bund']</v>
      </c>
      <c r="D11894" s="3">
        <v>3.0</v>
      </c>
    </row>
    <row r="11895" ht="15.75" customHeight="1">
      <c r="A11895" s="1">
        <v>12661.0</v>
      </c>
      <c r="B11895" s="3" t="s">
        <v>11355</v>
      </c>
      <c r="C11895" s="3" t="str">
        <f>IFERROR(__xludf.DUMMYFUNCTION("GOOGLETRANSLATE(B11895,""id"",""en"")"),"['Waiting', 'Sampe', 'Trykan', 'Open', 'Telkomsel', 'Difficult', 'Kya', 'Boz', 'Udh', ""]")</f>
        <v>['Waiting', 'Sampe', 'Trykan', 'Open', 'Telkomsel', 'Difficult', 'Kya', 'Boz', 'Udh', "]</v>
      </c>
      <c r="D11895" s="3">
        <v>2.0</v>
      </c>
    </row>
    <row r="11896" ht="15.75" customHeight="1">
      <c r="A11896" s="1">
        <v>12662.0</v>
      </c>
      <c r="B11896" s="3" t="s">
        <v>11356</v>
      </c>
      <c r="C11896" s="3" t="str">
        <f>IFERROR(__xludf.DUMMYFUNCTION("GOOGLETRANSLATE(B11896,""id"",""en"")"),"['Application', 'Damn', 'SJA', 'Tired', 'Dowload', 'TPI', 'GKK', 'Open', 'Mending', 'GKK', 'Deh', 'Apalikasi', ' GKK ',' use ']")</f>
        <v>['Application', 'Damn', 'SJA', 'Tired', 'Dowload', 'TPI', 'GKK', 'Open', 'Mending', 'GKK', 'Deh', 'Apalikasi', ' GKK ',' use ']</v>
      </c>
      <c r="D11896" s="3">
        <v>5.0</v>
      </c>
    </row>
    <row r="11897" ht="15.75" customHeight="1">
      <c r="A11897" s="1">
        <v>12663.0</v>
      </c>
      <c r="B11897" s="3" t="s">
        <v>11357</v>
      </c>
      <c r="C11897" s="3" t="str">
        <f>IFERROR(__xludf.DUMMYFUNCTION("GOOGLETRANSLATE(B11897,""id"",""en"")"),"['Screen', 'White', 'Trusss', 'MyTelkomsel', 'Slalu', 'Reversed', '']")</f>
        <v>['Screen', 'White', 'Trusss', 'MyTelkomsel', 'Slalu', 'Reversed', '']</v>
      </c>
      <c r="D11897" s="3">
        <v>1.0</v>
      </c>
    </row>
    <row r="11898" ht="15.75" customHeight="1">
      <c r="A11898" s="1">
        <v>12664.0</v>
      </c>
      <c r="B11898" s="3" t="s">
        <v>11358</v>
      </c>
      <c r="C11898" s="3" t="str">
        <f>IFERROR(__xludf.DUMMYFUNCTION("GOOGLETRANSLATE(B11898,""id"",""en"")"),"['open', 'blank', 'white', 'doang', 'knpa', 'gini', 'please', 'yank']")</f>
        <v>['open', 'blank', 'white', 'doang', 'knpa', 'gini', 'please', 'yank']</v>
      </c>
      <c r="D11898" s="3">
        <v>1.0</v>
      </c>
    </row>
    <row r="11899" ht="15.75" customHeight="1">
      <c r="A11899" s="1">
        <v>12665.0</v>
      </c>
      <c r="B11899" s="3" t="s">
        <v>11359</v>
      </c>
      <c r="C11899" s="3" t="str">
        <f>IFERROR(__xludf.DUMMYFUNCTION("GOOGLETRANSLATE(B11899,""id"",""en"")"),"['Please', 'repay', 'Network', 'Sinih', 'ugly', 'network', 'play', 'game', 'pink', 'then']")</f>
        <v>['Please', 'repay', 'Network', 'Sinih', 'ugly', 'network', 'play', 'game', 'pink', 'then']</v>
      </c>
      <c r="D11899" s="3">
        <v>1.0</v>
      </c>
    </row>
    <row r="11900" ht="15.75" customHeight="1">
      <c r="A11900" s="1">
        <v>12666.0</v>
      </c>
      <c r="B11900" s="3" t="s">
        <v>11360</v>
      </c>
      <c r="C11900" s="3" t="str">
        <f>IFERROR(__xludf.DUMMYFUNCTION("GOOGLETRANSLATE(B11900,""id"",""en"")"),"['satisfying', 'sympathy', '']")</f>
        <v>['satisfying', 'sympathy', '']</v>
      </c>
      <c r="D11900" s="3">
        <v>5.0</v>
      </c>
    </row>
    <row r="11901" ht="15.75" customHeight="1">
      <c r="A11901" s="1">
        <v>12667.0</v>
      </c>
      <c r="B11901" s="3" t="s">
        <v>11361</v>
      </c>
      <c r="C11901" s="3" t="str">
        <f>IFERROR(__xludf.DUMMYFUNCTION("GOOGLETRANSLATE(B11901,""id"",""en"")"),"['like', '']")</f>
        <v>['like', '']</v>
      </c>
      <c r="D11901" s="3">
        <v>5.0</v>
      </c>
    </row>
    <row r="11902" ht="15.75" customHeight="1">
      <c r="A11902" s="1">
        <v>12668.0</v>
      </c>
      <c r="B11902" s="3" t="s">
        <v>11362</v>
      </c>
      <c r="C11902" s="3" t="str">
        <f>IFERROR(__xludf.DUMMYFUNCTION("GOOGLETRANSLATE(B11902,""id"",""en"")"),"['', 'easy', 'comfortable', 'buy', 'pulse', 'package', 'dats']")</f>
        <v>['', 'easy', 'comfortable', 'buy', 'pulse', 'package', 'dats']</v>
      </c>
      <c r="D11902" s="3">
        <v>5.0</v>
      </c>
    </row>
    <row r="11903" ht="15.75" customHeight="1">
      <c r="A11903" s="1">
        <v>12669.0</v>
      </c>
      <c r="B11903" s="3" t="s">
        <v>11363</v>
      </c>
      <c r="C11903" s="3" t="str">
        <f>IFERROR(__xludf.DUMMYFUNCTION("GOOGLETRANSLATE(B11903,""id"",""en"")"),"['Disappointed', 'Telkomsel', 'PDHL', 'UDH', 'MOVER', 'TIME', 'BUY', 'COMBO', 'SAKTI', 'UNLMTD', 'RB', 'BRP', ' package ',' GB ',' int ',' monetary ',' rb ',' nelp ',' sms', 'loss',' the rest ',' GB ',' kurneb ',' chek ',' left ' , 'Quota', 'HR', 'STLH', "&amp;"'Purchase', 'PDHL', 'Utuban', 'Doank', 'and then', 'Pakenya', 'Disney', 'Hotstar', 'GB', ' Jaaaraaang ',' like ',' Nnton ',' Sebel ',' quota ',' Cut ',' GMN ',' Telkomsel ',' Move ',' Haluan ',' Litu ', ""]")</f>
        <v>['Disappointed', 'Telkomsel', 'PDHL', 'UDH', 'MOVER', 'TIME', 'BUY', 'COMBO', 'SAKTI', 'UNLMTD', 'RB', 'BRP', ' package ',' GB ',' int ',' monetary ',' rb ',' nelp ',' sms', 'loss',' the rest ',' GB ',' kurneb ',' chek ',' left ' , 'Quota', 'HR', 'STLH', 'Purchase', 'PDHL', 'Utuban', 'Doank', 'and then', 'Pakenya', 'Disney', 'Hotstar', 'GB', ' Jaaaraaang ',' like ',' Nnton ',' Sebel ',' quota ',' Cut ',' GMN ',' Telkomsel ',' Move ',' Haluan ',' Litu ', "]</v>
      </c>
      <c r="D11903" s="3">
        <v>1.0</v>
      </c>
    </row>
    <row r="11904" ht="15.75" customHeight="1">
      <c r="A11904" s="1">
        <v>12670.0</v>
      </c>
      <c r="B11904" s="3" t="s">
        <v>11364</v>
      </c>
      <c r="C11904" s="3" t="str">
        <f>IFERROR(__xludf.DUMMYFUNCTION("GOOGLETRANSLATE(B11904,""id"",""en"")"),"['Stable', 'please', 'fix', '']")</f>
        <v>['Stable', 'please', 'fix', '']</v>
      </c>
      <c r="D11904" s="3">
        <v>4.0</v>
      </c>
    </row>
    <row r="11905" ht="15.75" customHeight="1">
      <c r="A11905" s="1">
        <v>12671.0</v>
      </c>
      <c r="B11905" s="3" t="s">
        <v>11365</v>
      </c>
      <c r="C11905" s="3" t="str">
        <f>IFERROR(__xludf.DUMMYFUNCTION("GOOGLETRANSLATE(B11905,""id"",""en"")"),"['app', 'buy', 'quota', 'thousand', 'giga', 'quota', 'main', 'giga', 'multimedia', 'right', 'main', 'run out', ' Multimedia ',' dipake ',' etc. ',' telkontol ',' pulse ',' cave ',' thousand ',' finished ',' vain ',' vain ',' gara ',' telkomsel ',' gini ' "&amp;", 'Mending', 'tri', 'tri', 'telkontol']")</f>
        <v>['app', 'buy', 'quota', 'thousand', 'giga', 'quota', 'main', 'giga', 'multimedia', 'right', 'main', 'run out', ' Multimedia ',' dipake ',' etc. ',' telkontol ',' pulse ',' cave ',' thousand ',' finished ',' vain ',' vain ',' gara ',' telkomsel ',' gini ' , 'Mending', 'tri', 'tri', 'telkontol']</v>
      </c>
      <c r="D11905" s="3">
        <v>1.0</v>
      </c>
    </row>
    <row r="11906" ht="15.75" customHeight="1">
      <c r="A11906" s="1">
        <v>12672.0</v>
      </c>
      <c r="B11906" s="3" t="s">
        <v>11366</v>
      </c>
      <c r="C11906" s="3" t="str">
        <f>IFERROR(__xludf.DUMMYFUNCTION("GOOGLETRANSLATE(B11906,""id"",""en"")"),"['regret', 'buy', 'sympathy', 'quota', 'internet', 'local', 'suitable', 'businessman', 'city', 'sympathy', 'match', 'diem', ' at home ',' poor ',' sympathy ']")</f>
        <v>['regret', 'buy', 'sympathy', 'quota', 'internet', 'local', 'suitable', 'businessman', 'city', 'sympathy', 'match', 'diem', ' at home ',' poor ',' sympathy ']</v>
      </c>
      <c r="D11906" s="3">
        <v>1.0</v>
      </c>
    </row>
    <row r="11907" ht="15.75" customHeight="1">
      <c r="A11907" s="1">
        <v>12673.0</v>
      </c>
      <c r="B11907" s="3" t="s">
        <v>11367</v>
      </c>
      <c r="C11907" s="3" t="str">
        <f>IFERROR(__xludf.DUMMYFUNCTION("GOOGLETRANSLATE(B11907,""id"",""en"")"),"['', 'Telkomsel', 'opened', 'appears', 'color', 'white']")</f>
        <v>['', 'Telkomsel', 'opened', 'appears', 'color', 'white']</v>
      </c>
      <c r="D11907" s="3">
        <v>5.0</v>
      </c>
    </row>
    <row r="11908" ht="15.75" customHeight="1">
      <c r="A11908" s="1">
        <v>12674.0</v>
      </c>
      <c r="B11908" s="3" t="s">
        <v>11368</v>
      </c>
      <c r="C11908" s="3" t="str">
        <f>IFERROR(__xludf.DUMMYFUNCTION("GOOGLETRANSLATE(B11908,""id"",""en"")"),"['poor', 'Telkomsel', 'That's',' Search ',' Money ',' Package ',' thousand ',' SDAH ',' SMS ',' Hisudupin ',' Data ',' Suck ',' Pls', 'tensty', 'thousands',' said ',' plnggan ',' ']")</f>
        <v>['poor', 'Telkomsel', 'That's',' Search ',' Money ',' Package ',' thousand ',' SDAH ',' SMS ',' Hisudupin ',' Data ',' Suck ',' Pls', 'tensty', 'thousands',' said ',' plnggan ',' ']</v>
      </c>
      <c r="D11908" s="3">
        <v>1.0</v>
      </c>
    </row>
    <row r="11909" ht="15.75" customHeight="1">
      <c r="A11909" s="1">
        <v>12677.0</v>
      </c>
      <c r="B11909" s="3" t="s">
        <v>11369</v>
      </c>
      <c r="C11909" s="3" t="str">
        <f>IFERROR(__xludf.DUMMYFUNCTION("GOOGLETRANSLATE(B11909,""id"",""en"")"),"['here', 'slow']")</f>
        <v>['here', 'slow']</v>
      </c>
      <c r="D11909" s="3">
        <v>1.0</v>
      </c>
    </row>
    <row r="11910" ht="15.75" customHeight="1">
      <c r="A11910" s="1">
        <v>12678.0</v>
      </c>
      <c r="B11910" s="3" t="s">
        <v>11370</v>
      </c>
      <c r="C11910" s="3" t="str">
        <f>IFERROR(__xludf.DUMMYFUNCTION("GOOGLETRANSLATE(B11910,""id"",""en"")"),"['Quota', 'Multumedia', 'Useful', 'Lying', 'Public', 'Quota', 'Multimedia', 'Tetep', 'Sucking', 'Quota', 'Main', 'Telkomsel', ' Here ',' Bad ',' ']")</f>
        <v>['Quota', 'Multumedia', 'Useful', 'Lying', 'Public', 'Quota', 'Multimedia', 'Tetep', 'Sucking', 'Quota', 'Main', 'Telkomsel', ' Here ',' Bad ',' ']</v>
      </c>
      <c r="D11910" s="3">
        <v>1.0</v>
      </c>
    </row>
    <row r="11911" ht="15.75" customHeight="1">
      <c r="A11911" s="1">
        <v>12679.0</v>
      </c>
      <c r="B11911" s="3" t="s">
        <v>11371</v>
      </c>
      <c r="C11911" s="3" t="str">
        <f>IFERROR(__xludf.DUMMYFUNCTION("GOOGLETRANSLATE(B11911,""id"",""en"")"),"['Alhmdulill', 'satisfying', 'Isha', 'Allah', 'Coins', 'Win', ""]")</f>
        <v>['Alhmdulill', 'satisfying', 'Isha', 'Allah', 'Coins', 'Win', "]</v>
      </c>
      <c r="D11911" s="3">
        <v>5.0</v>
      </c>
    </row>
    <row r="11912" ht="15.75" customHeight="1">
      <c r="A11912" s="1">
        <v>12680.0</v>
      </c>
      <c r="B11912" s="3" t="s">
        <v>11372</v>
      </c>
      <c r="C11912" s="3" t="str">
        <f>IFERROR(__xludf.DUMMYFUNCTION("GOOGLETRANSLATE(B11912,""id"",""en"")"),"['App', 'Telkomsel', 'Open', 'App', 'Telkomsel', 'Multifunction', 'Make', 'Lights',' Read ',' Alias', 'Screen', 'White', ' ']")</f>
        <v>['App', 'Telkomsel', 'Open', 'App', 'Telkomsel', 'Multifunction', 'Make', 'Lights',' Read ',' Alias', 'Screen', 'White', ' ']</v>
      </c>
      <c r="D11912" s="3">
        <v>5.0</v>
      </c>
    </row>
    <row r="11913" ht="15.75" customHeight="1">
      <c r="A11913" s="1">
        <v>12681.0</v>
      </c>
      <c r="B11913" s="3" t="s">
        <v>11373</v>
      </c>
      <c r="C11913" s="3" t="str">
        <f>IFERROR(__xludf.DUMMYFUNCTION("GOOGLETRANSLATE(B11913,""id"",""en"")"),"['regretting', 'package', 'internet', 'expensive', '']")</f>
        <v>['regretting', 'package', 'internet', 'expensive', '']</v>
      </c>
      <c r="D11913" s="3">
        <v>1.0</v>
      </c>
    </row>
    <row r="11914" ht="15.75" customHeight="1">
      <c r="A11914" s="1">
        <v>12682.0</v>
      </c>
      <c r="B11914" s="3" t="s">
        <v>11374</v>
      </c>
      <c r="C11914" s="3" t="str">
        <f>IFERROR(__xludf.DUMMYFUNCTION("GOOGLETRANSLATE(B11914,""id"",""en"")"),"['update', 'application', 'Tel', 'komsel', 'jeeelllleeekkkkkkkkkkkkkk', 'sanggaaaaaattttttttttttttttt', 'jjjeeeelllleeeeeekkkkkkkkk', '']")</f>
        <v>['update', 'application', 'Tel', 'komsel', 'jeeelllleeekkkkkkkkkkkkkk', 'sanggaaaaaattttttttttttttttt', 'jjjeeeelllleeeeeekkkkkkkkk', '']</v>
      </c>
      <c r="D11914" s="3">
        <v>1.0</v>
      </c>
    </row>
    <row r="11915" ht="15.75" customHeight="1">
      <c r="A11915" s="1">
        <v>12683.0</v>
      </c>
      <c r="B11915" s="3" t="s">
        <v>1601</v>
      </c>
      <c r="C11915" s="3" t="str">
        <f>IFERROR(__xludf.DUMMYFUNCTION("GOOGLETRANSLATE(B11915,""id"",""en"")"),"['open']")</f>
        <v>['open']</v>
      </c>
      <c r="D11915" s="3">
        <v>4.0</v>
      </c>
    </row>
    <row r="11916" ht="15.75" customHeight="1">
      <c r="A11916" s="1">
        <v>12684.0</v>
      </c>
      <c r="B11916" s="3" t="s">
        <v>11375</v>
      </c>
      <c r="C11916" s="3" t="str">
        <f>IFERROR(__xludf.DUMMYFUNCTION("GOOGLETRANSLATE(B11916,""id"",""en"")"),"['Knp', 'difficult', 'login']")</f>
        <v>['Knp', 'difficult', 'login']</v>
      </c>
      <c r="D11916" s="3">
        <v>5.0</v>
      </c>
    </row>
    <row r="11917" ht="15.75" customHeight="1">
      <c r="A11917" s="1">
        <v>12685.0</v>
      </c>
      <c r="B11917" s="3" t="s">
        <v>4546</v>
      </c>
      <c r="C11917" s="3" t="str">
        <f>IFERROR(__xludf.DUMMYFUNCTION("GOOGLETRANSLATE(B11917,""id"",""en"")"),"['satisfied']")</f>
        <v>['satisfied']</v>
      </c>
      <c r="D11917" s="3">
        <v>5.0</v>
      </c>
    </row>
    <row r="11918" ht="15.75" customHeight="1">
      <c r="A11918" s="1">
        <v>12686.0</v>
      </c>
      <c r="B11918" s="3" t="s">
        <v>11376</v>
      </c>
      <c r="C11918" s="3" t="str">
        <f>IFERROR(__xludf.DUMMYFUNCTION("GOOGLETRANSLATE(B11918,""id"",""en"")"),"['friend', 'open', 'apk', 'telkomsel', 'screen', 'white', 'handle it', 'apk', 'delete', 'search', 'digoogle', 'apk', ' Telkomsel ',' Person ',' Download ',' Person ',' November ',' Open ',' Try ',' updated ',' Dipake ', ""]")</f>
        <v>['friend', 'open', 'apk', 'telkomsel', 'screen', 'white', 'handle it', 'apk', 'delete', 'search', 'digoogle', 'apk', ' Telkomsel ',' Person ',' Download ',' Person ',' November ',' Open ',' Try ',' updated ',' Dipake ', "]</v>
      </c>
      <c r="D11918" s="3">
        <v>4.0</v>
      </c>
    </row>
    <row r="11919" ht="15.75" customHeight="1">
      <c r="A11919" s="1">
        <v>12687.0</v>
      </c>
      <c r="B11919" s="3" t="s">
        <v>11377</v>
      </c>
      <c r="C11919" s="3" t="str">
        <f>IFERROR(__xludf.DUMMYFUNCTION("GOOGLETRANSLATE(B11919,""id"",""en"")"),"['application', 'Telkomsel', 'bsa', 'open', 'blang', 'color', 'white', 'mhon', 'solution']")</f>
        <v>['application', 'Telkomsel', 'bsa', 'open', 'blang', 'color', 'white', 'mhon', 'solution']</v>
      </c>
      <c r="D11919" s="3">
        <v>2.0</v>
      </c>
    </row>
    <row r="11920" ht="15.75" customHeight="1">
      <c r="A11920" s="1">
        <v>12688.0</v>
      </c>
      <c r="B11920" s="3" t="s">
        <v>11378</v>
      </c>
      <c r="C11920" s="3" t="str">
        <f>IFERROR(__xludf.DUMMYFUNCTION("GOOGLETRANSLATE(B11920,""id"",""en"")"),"['Min', 'sorry', 'yaa', 'berepotin', 'apikasj', 'Telkomsel', 'opened', 'what', 'min', 'beg', 'help', 'min', ' thank you']")</f>
        <v>['Min', 'sorry', 'yaa', 'berepotin', 'apikasj', 'Telkomsel', 'opened', 'what', 'min', 'beg', 'help', 'min', ' thank you']</v>
      </c>
      <c r="D11920" s="3">
        <v>4.0</v>
      </c>
    </row>
    <row r="11921" ht="15.75" customHeight="1">
      <c r="A11921" s="1">
        <v>12689.0</v>
      </c>
      <c r="B11921" s="3" t="s">
        <v>11379</v>
      </c>
      <c r="C11921" s="3" t="str">
        <f>IFERROR(__xludf.DUMMYFUNCTION("GOOGLETRANSLATE(B11921,""id"",""en"")"),"['The package', 'expensive', 'internet', 'slow', 'already', 'moved']")</f>
        <v>['The package', 'expensive', 'internet', 'slow', 'already', 'moved']</v>
      </c>
      <c r="D11921" s="3">
        <v>1.0</v>
      </c>
    </row>
    <row r="11922" ht="15.75" customHeight="1">
      <c r="A11922" s="1">
        <v>12690.0</v>
      </c>
      <c r="B11922" s="3" t="s">
        <v>11380</v>
      </c>
      <c r="C11922" s="3" t="str">
        <f>IFERROR(__xludf.DUMMYFUNCTION("GOOGLETRANSLATE(B11922,""id"",""en"")"),"['Sell', 'Must', 'Price']")</f>
        <v>['Sell', 'Must', 'Price']</v>
      </c>
      <c r="D11922" s="3">
        <v>5.0</v>
      </c>
    </row>
    <row r="11923" ht="15.75" customHeight="1">
      <c r="A11923" s="1">
        <v>12691.0</v>
      </c>
      <c r="B11923" s="3" t="s">
        <v>11381</v>
      </c>
      <c r="C11923" s="3" t="str">
        <f>IFERROR(__xludf.DUMMYFUNCTION("GOOGLETRANSLATE(B11923,""id"",""en"")"),"['Ovo', 'emang', 'cakep']")</f>
        <v>['Ovo', 'emang', 'cakep']</v>
      </c>
      <c r="D11923" s="3">
        <v>3.0</v>
      </c>
    </row>
    <row r="11924" ht="15.75" customHeight="1">
      <c r="A11924" s="1">
        <v>12692.0</v>
      </c>
      <c r="B11924" s="3" t="s">
        <v>11382</v>
      </c>
      <c r="C11924" s="3" t="str">
        <f>IFERROR(__xludf.DUMMYFUNCTION("GOOGLETRANSLATE(B11924,""id"",""en"")"),"['ugly', 'skali', 'signal', 'Simerat', 'Maap', 'diendorse', 'bacot', 'promo', 'bacot', 'exchange', 'point', 'get', ' gifts', 'get', 'palingan', 'employees',' selected ',' already ',' set down ',' package ',' run out ',' second ',' lsg ',' cut ',' pulses' "&amp;", 'Ta', 'Basic', 'Provider', 'Ta', '']")</f>
        <v>['ugly', 'skali', 'signal', 'Simerat', 'Maap', 'diendorse', 'bacot', 'promo', 'bacot', 'exchange', 'point', 'get', ' gifts', 'get', 'palingan', 'employees',' selected ',' already ',' set down ',' package ',' run out ',' second ',' lsg ',' cut ',' pulses' , 'Ta', 'Basic', 'Provider', 'Ta', '']</v>
      </c>
      <c r="D11924" s="3">
        <v>1.0</v>
      </c>
    </row>
    <row r="11925" ht="15.75" customHeight="1">
      <c r="A11925" s="1">
        <v>12693.0</v>
      </c>
      <c r="B11925" s="3" t="s">
        <v>11383</v>
      </c>
      <c r="C11925" s="3" t="str">
        <f>IFERROR(__xludf.DUMMYFUNCTION("GOOGLETRANSLATE(B11925,""id"",""en"")"),"['good', 'koq', 'can', 'open', 'application', 'telkomsel', 'tlng', 'help']")</f>
        <v>['good', 'koq', 'can', 'open', 'application', 'telkomsel', 'tlng', 'help']</v>
      </c>
      <c r="D11925" s="3">
        <v>1.0</v>
      </c>
    </row>
    <row r="11926" ht="15.75" customHeight="1">
      <c r="A11926" s="1">
        <v>12694.0</v>
      </c>
      <c r="B11926" s="3" t="s">
        <v>11384</v>
      </c>
      <c r="C11926" s="3" t="str">
        <f>IFERROR(__xludf.DUMMYFUNCTION("GOOGLETRANSLATE(B11926,""id"",""en"")"),"['', 'Telkom', 'update', 'directly', 'appears', 'cellphone', 'screen', 'white', 'reported', 'grapary', 'week', 'change']")</f>
        <v>['', 'Telkom', 'update', 'directly', 'appears', 'cellphone', 'screen', 'white', 'reported', 'grapary', 'week', 'change']</v>
      </c>
      <c r="D11926" s="3">
        <v>1.0</v>
      </c>
    </row>
    <row r="11927" ht="15.75" customHeight="1">
      <c r="A11927" s="1">
        <v>12695.0</v>
      </c>
      <c r="B11927" s="3" t="s">
        <v>11385</v>
      </c>
      <c r="C11927" s="3" t="str">
        <f>IFERROR(__xludf.DUMMYFUNCTION("GOOGLETRANSLATE(B11927,""id"",""en"")"),"['Disappointed', 'Upset', 'See', 'Network', 'Telkomsel', 'Use', 'Tapj', 'Slumping', 'The Network', 'Live', 'Medan', 'Sumatra', ' North ',' Center ',' City ',' Network ',' Serasa ',' Tngah ',' Forest ',' ']")</f>
        <v>['Disappointed', 'Upset', 'See', 'Network', 'Telkomsel', 'Use', 'Tapj', 'Slumping', 'The Network', 'Live', 'Medan', 'Sumatra', ' North ',' Center ',' City ',' Network ',' Serasa ',' Tngah ',' Forest ',' ']</v>
      </c>
      <c r="D11927" s="3">
        <v>1.0</v>
      </c>
    </row>
    <row r="11928" ht="15.75" customHeight="1">
      <c r="A11928" s="1">
        <v>12696.0</v>
      </c>
      <c r="B11928" s="3" t="s">
        <v>11386</v>
      </c>
      <c r="C11928" s="3" t="str">
        <f>IFERROR(__xludf.DUMMYFUNCTION("GOOGLETRANSLATE(B11928,""id"",""en"")"),"['price', 'quota', 'expensive', 'quota', 'divided', 'need', 'quota', 'main', 'quota', 'sosmed', 'hope', 'complaint', ' follow-up', '']")</f>
        <v>['price', 'quota', 'expensive', 'quota', 'divided', 'need', 'quota', 'main', 'quota', 'sosmed', 'hope', 'complaint', ' follow-up', '']</v>
      </c>
      <c r="D11928" s="3">
        <v>3.0</v>
      </c>
    </row>
    <row r="11929" ht="15.75" customHeight="1">
      <c r="A11929" s="1">
        <v>12697.0</v>
      </c>
      <c r="B11929" s="3" t="s">
        <v>11387</v>
      </c>
      <c r="C11929" s="3" t="str">
        <f>IFERROR(__xludf.DUMMYFUNCTION("GOOGLETRANSLATE(B11929,""id"",""en"")"),"['super', 'super', 'disappointing', 'application', 'open', 'white', 'install', 'reset', 'until', 'many', 'TTP', 'hadeeeeehhhh']")</f>
        <v>['super', 'super', 'disappointing', 'application', 'open', 'white', 'install', 'reset', 'until', 'many', 'TTP', 'hadeeeeehhhh']</v>
      </c>
      <c r="D11929" s="3">
        <v>1.0</v>
      </c>
    </row>
    <row r="11930" ht="15.75" customHeight="1">
      <c r="A11930" s="1">
        <v>12698.0</v>
      </c>
      <c r="B11930" s="3" t="s">
        <v>11388</v>
      </c>
      <c r="C11930" s="3" t="str">
        <f>IFERROR(__xludf.DUMMYFUNCTION("GOOGLETRANSLATE(B11930,""id"",""en"")"),"['disappointed', 'provider', 'Telkom', 'price', 'bkan', 'down', 'signal', 'apalag', 'bnar', 'down', 'gini', 'Indonesia', ' Switch ',' Provider ',' Teruntuk ',' TELKOM ',' Keep ',' Quality ',' DRI ',' DLU ',' Keep ',' Telkomsel ',' Klimat ',' The card ',' "&amp;"org ' , 'rich', 'sorry', 'min', 'advantage', 'telkom', 'dri', 'dlu', 'interest', 'signal', 'smooth', 'smpe', 'inland', ' SBELUM ',' Changes', 'Bntang', 'Ttap', 'Stay', ""]")</f>
        <v>['disappointed', 'provider', 'Telkom', 'price', 'bkan', 'down', 'signal', 'apalag', 'bnar', 'down', 'gini', 'Indonesia', ' Switch ',' Provider ',' Teruntuk ',' TELKOM ',' Keep ',' Quality ',' DRI ',' DLU ',' Keep ',' Telkomsel ',' Klimat ',' The card ',' org ' , 'rich', 'sorry', 'min', 'advantage', 'telkom', 'dri', 'dlu', 'interest', 'signal', 'smooth', 'smpe', 'inland', ' SBELUM ',' Changes', 'Bntang', 'Ttap', 'Stay', "]</v>
      </c>
      <c r="D11930" s="3">
        <v>3.0</v>
      </c>
    </row>
    <row r="11931" ht="15.75" customHeight="1">
      <c r="A11931" s="1">
        <v>12699.0</v>
      </c>
      <c r="B11931" s="3" t="s">
        <v>11389</v>
      </c>
      <c r="C11931" s="3" t="str">
        <f>IFERROR(__xludf.DUMMYFUNCTION("GOOGLETRANSLATE(B11931,""id"",""en"")"),"['wasteful', 'really', 'tumben']")</f>
        <v>['wasteful', 'really', 'tumben']</v>
      </c>
      <c r="D11931" s="3">
        <v>3.0</v>
      </c>
    </row>
    <row r="11932" ht="15.75" customHeight="1">
      <c r="A11932" s="1">
        <v>12701.0</v>
      </c>
      <c r="B11932" s="3" t="s">
        <v>11390</v>
      </c>
      <c r="C11932" s="3" t="str">
        <f>IFERROR(__xludf.DUMMYFUNCTION("GOOGLETRANSLATE(B11932,""id"",""en"")"),"['Signal', 'like', 'ilang', 'Nilagan', 'night', 'stay', 'jakarta', 'use', 'signal', 'good', 'here', 'bad', ' ']")</f>
        <v>['Signal', 'like', 'ilang', 'Nilagan', 'night', 'stay', 'jakarta', 'use', 'signal', 'good', 'here', 'bad', ' ']</v>
      </c>
      <c r="D11932" s="3">
        <v>2.0</v>
      </c>
    </row>
    <row r="11933" ht="15.75" customHeight="1">
      <c r="A11933" s="1">
        <v>12702.0</v>
      </c>
      <c r="B11933" s="3" t="s">
        <v>11391</v>
      </c>
      <c r="C11933" s="3" t="str">
        <f>IFERROR(__xludf.DUMMYFUNCTION("GOOGLETRANSLATE(B11933,""id"",""en"")"),"['Disappointed', 'SMA', 'Application', 'Application', 'Open', 'White']")</f>
        <v>['Disappointed', 'SMA', 'Application', 'Application', 'Open', 'White']</v>
      </c>
      <c r="D11933" s="3">
        <v>1.0</v>
      </c>
    </row>
    <row r="11934" ht="15.75" customHeight="1">
      <c r="A11934" s="1">
        <v>12703.0</v>
      </c>
      <c r="B11934" s="3" t="s">
        <v>3222</v>
      </c>
      <c r="C11934" s="3" t="str">
        <f>IFERROR(__xludf.DUMMYFUNCTION("GOOGLETRANSLATE(B11934,""id"",""en"")"),"['satisfying', '']")</f>
        <v>['satisfying', '']</v>
      </c>
      <c r="D11934" s="3">
        <v>5.0</v>
      </c>
    </row>
    <row r="11935" ht="15.75" customHeight="1">
      <c r="A11935" s="1">
        <v>12704.0</v>
      </c>
      <c r="B11935" s="3" t="s">
        <v>11392</v>
      </c>
      <c r="C11935" s="3" t="str">
        <f>IFERROR(__xludf.DUMMYFUNCTION("GOOGLETRANSLATE(B11935,""id"",""en"")"),"['Price', 'expensive', 'lag', 'please', 'lag', 'price', 'down']")</f>
        <v>['Price', 'expensive', 'lag', 'please', 'lag', 'price', 'down']</v>
      </c>
      <c r="D11935" s="3">
        <v>1.0</v>
      </c>
    </row>
    <row r="11936" ht="15.75" customHeight="1">
      <c r="A11936" s="1">
        <v>12705.0</v>
      </c>
      <c r="B11936" s="3" t="s">
        <v>11393</v>
      </c>
      <c r="C11936" s="3" t="str">
        <f>IFERROR(__xludf.DUMMYFUNCTION("GOOGLETRANSLATE(B11936,""id"",""en"")"),"['Telkomsel', 'contents',' quota ',' credit ',' sufficient ',' pulses', 'exceed', 'payment', 'strange', 'application', 'what', 'fill', ' Quota ',' Rich ',' Gini ',' Tipu ',' Tipu ',' That's', 'User', ""]")</f>
        <v>['Telkomsel', 'contents',' quota ',' credit ',' sufficient ',' pulses', 'exceed', 'payment', 'strange', 'application', 'what', 'fill', ' Quota ',' Rich ',' Gini ',' Tipu ',' Tipu ',' That's', 'User', "]</v>
      </c>
      <c r="D11936" s="3">
        <v>3.0</v>
      </c>
    </row>
    <row r="11937" ht="15.75" customHeight="1">
      <c r="A11937" s="1">
        <v>12706.0</v>
      </c>
      <c r="B11937" s="3" t="s">
        <v>11394</v>
      </c>
      <c r="C11937" s="3" t="str">
        <f>IFERROR(__xludf.DUMMYFUNCTION("GOOGLETRANSLATE(B11937,""id"",""en"")"),"['Application', 'error', 'bsa', 'update']")</f>
        <v>['Application', 'error', 'bsa', 'update']</v>
      </c>
      <c r="D11937" s="3">
        <v>1.0</v>
      </c>
    </row>
    <row r="11938" ht="15.75" customHeight="1">
      <c r="A11938" s="1">
        <v>12707.0</v>
      </c>
      <c r="B11938" s="3" t="s">
        <v>11395</v>
      </c>
      <c r="C11938" s="3" t="str">
        <f>IFERROR(__xludf.DUMMYFUNCTION("GOOGLETRANSLATE(B11938,""id"",""en"")"),"['package', 'expensive', 'package', 'promo', 'TPI', 'price', 'can', 'call', 'minute', 'just', 'minutes',' disappointed ',' Telkomsel ']")</f>
        <v>['package', 'expensive', 'package', 'promo', 'TPI', 'price', 'can', 'call', 'minute', 'just', 'minutes',' disappointed ',' Telkomsel ']</v>
      </c>
      <c r="D11938" s="3">
        <v>1.0</v>
      </c>
    </row>
    <row r="11939" ht="15.75" customHeight="1">
      <c r="A11939" s="1">
        <v>12708.0</v>
      </c>
      <c r="B11939" s="3" t="s">
        <v>11396</v>
      </c>
      <c r="C11939" s="3" t="str">
        <f>IFERROR(__xludf.DUMMYFUNCTION("GOOGLETRANSLATE(B11939,""id"",""en"")"),"['Love', 'Bintang', 'Engine', 'Rich', 'Gini', 'Bad', 'Robot', 'Complaints',' User ',' Accept ',' Complaints', 'Machine', ' Answering ']")</f>
        <v>['Love', 'Bintang', 'Engine', 'Rich', 'Gini', 'Bad', 'Robot', 'Complaints',' User ',' Accept ',' Complaints', 'Machine', ' Answering ']</v>
      </c>
      <c r="D11939" s="3">
        <v>1.0</v>
      </c>
    </row>
    <row r="11940" ht="15.75" customHeight="1">
      <c r="A11940" s="1">
        <v>12709.0</v>
      </c>
      <c r="B11940" s="3" t="s">
        <v>11397</v>
      </c>
      <c r="C11940" s="3" t="str">
        <f>IFERROR(__xludf.DUMMYFUNCTION("GOOGLETRANSLATE(B11940,""id"",""en"")"),"['Use', 'card', 'hello', 'network', 'tidk', 'really', 'play', 'games']")</f>
        <v>['Use', 'card', 'hello', 'network', 'tidk', 'really', 'play', 'games']</v>
      </c>
      <c r="D11940" s="3">
        <v>1.0</v>
      </c>
    </row>
    <row r="11941" ht="15.75" customHeight="1">
      <c r="A11941" s="1">
        <v>12710.0</v>
      </c>
      <c r="B11941" s="3" t="s">
        <v>11398</v>
      </c>
      <c r="C11941" s="3" t="str">
        <f>IFERROR(__xludf.DUMMYFUNCTION("GOOGLETRANSLATE(B11941,""id"",""en"")"),"['Package', 'unlimited', 'promo', 'Bener', 'brain', 'knee', 'IM', 'promo', 'unlimited', 'free', 'forced', 'uninstall', ' MyTelkomsel ',' PAOK ',' Try ',' Tuk ',' Buy ',' Unlimited ',' Application ',' WhatsApp ']")</f>
        <v>['Package', 'unlimited', 'promo', 'Bener', 'brain', 'knee', 'IM', 'promo', 'unlimited', 'free', 'forced', 'uninstall', ' MyTelkomsel ',' PAOK ',' Try ',' Tuk ',' Buy ',' Unlimited ',' Application ',' WhatsApp ']</v>
      </c>
      <c r="D11941" s="3">
        <v>1.0</v>
      </c>
    </row>
    <row r="11942" ht="15.75" customHeight="1">
      <c r="A11942" s="1">
        <v>12711.0</v>
      </c>
      <c r="B11942" s="3" t="s">
        <v>11399</v>
      </c>
      <c r="C11942" s="3" t="str">
        <f>IFERROR(__xludf.DUMMYFUNCTION("GOOGLETRANSLATE(B11942,""id"",""en"")"),"['bbrpa', 'times', 'donlod', 'ttp', 'open', 'loading', 'bantukah', 'pnyebab', '']")</f>
        <v>['bbrpa', 'times', 'donlod', 'ttp', 'open', 'loading', 'bantukah', 'pnyebab', '']</v>
      </c>
      <c r="D11942" s="3">
        <v>1.0</v>
      </c>
    </row>
    <row r="11943" ht="15.75" customHeight="1">
      <c r="A11943" s="1">
        <v>12712.0</v>
      </c>
      <c r="B11943" s="3" t="s">
        <v>11400</v>
      </c>
      <c r="C11943" s="3" t="str">
        <f>IFERROR(__xludf.DUMMYFUNCTION("GOOGLETRANSLATE(B11943,""id"",""en"")"),"['Love', 'Star', 'card', 'Hapir', 'Cook', 'expensive', 'Mending', 'Plih', 'card', 'next door', 'cheap', 'Please', ' Confirm ',' Pketnya ',' cheap ']")</f>
        <v>['Love', 'Star', 'card', 'Hapir', 'Cook', 'expensive', 'Mending', 'Plih', 'card', 'next door', 'cheap', 'Please', ' Confirm ',' Pketnya ',' cheap ']</v>
      </c>
      <c r="D11943" s="3">
        <v>3.0</v>
      </c>
    </row>
    <row r="11944" ht="15.75" customHeight="1">
      <c r="A11944" s="1">
        <v>12713.0</v>
      </c>
      <c r="B11944" s="3" t="s">
        <v>11401</v>
      </c>
      <c r="C11944" s="3" t="str">
        <f>IFERROR(__xludf.DUMMYFUNCTION("GOOGLETRANSLATE(B11944,""id"",""en"")"),"['Severe', 'open', 'Telkomsel', 'Nongol', 'blank', 'white', 'already', 'like', 'screen', 'tancep', 'abis',' film ',' Sunday ',' Mending ',' Move ',' Yellow ',' BEHARIN ',' Application ', ""]")</f>
        <v>['Severe', 'open', 'Telkomsel', 'Nongol', 'blank', 'white', 'already', 'like', 'screen', 'tancep', 'abis',' film ',' Sunday ',' Mending ',' Move ',' Yellow ',' BEHARIN ',' Application ', "]</v>
      </c>
      <c r="D11944" s="3">
        <v>1.0</v>
      </c>
    </row>
    <row r="11945" ht="15.75" customHeight="1">
      <c r="A11945" s="1">
        <v>12714.0</v>
      </c>
      <c r="B11945" s="3" t="s">
        <v>11402</v>
      </c>
      <c r="C11945" s="3" t="str">
        <f>IFERROR(__xludf.DUMMYFUNCTION("GOOGLETRANSLATE(B11945,""id"",""en"")"),"['yaaa', 'contents',' pulse ',' chick ',' buy ',' package ',' data ',' gara ',' pulse ',' mortal ',' debt ',' pulses', ' Pay ',' Debt ',' Credit ',' Cut ',' Telkomsel ',' Curangggg ','AAA', ""]")</f>
        <v>['yaaa', 'contents',' pulse ',' chick ',' buy ',' package ',' data ',' gara ',' pulse ',' mortal ',' debt ',' pulses', ' Pay ',' Debt ',' Credit ',' Cut ',' Telkomsel ',' Curangggg ','AAA', "]</v>
      </c>
      <c r="D11945" s="3">
        <v>1.0</v>
      </c>
    </row>
    <row r="11946" ht="15.75" customHeight="1">
      <c r="A11946" s="1">
        <v>12715.0</v>
      </c>
      <c r="B11946" s="3" t="s">
        <v>11403</v>
      </c>
      <c r="C11946" s="3" t="str">
        <f>IFERROR(__xludf.DUMMYFUNCTION("GOOGLETRANSLATE(B11946,""id"",""en"")"),"['knpa', 'avasih', 'break up', 'JLEKK', 'BNGT', 'Try', 'Ferbandui', 'LGI', 'Kya', 'byk', 'update', 'JLass',' Delete ',' LGI ',' Telkomsel ',' Mahl ',' Doang ',' Atu ',' Need ',' Open ', ""]")</f>
        <v>['knpa', 'avasih', 'break up', 'JLEKK', 'BNGT', 'Try', 'Ferbandui', 'LGI', 'Kya', 'byk', 'update', 'JLass',' Delete ',' LGI ',' Telkomsel ',' Mahl ',' Doang ',' Atu ',' Need ',' Open ', "]</v>
      </c>
      <c r="D11946" s="3">
        <v>1.0</v>
      </c>
    </row>
    <row r="11947" ht="15.75" customHeight="1">
      <c r="A11947" s="1">
        <v>12716.0</v>
      </c>
      <c r="B11947" s="3" t="s">
        <v>11404</v>
      </c>
      <c r="C11947" s="3" t="str">
        <f>IFERROR(__xludf.DUMMYFUNCTION("GOOGLETRANSLATE(B11947,""id"",""en"")"),"['Telkomsel', 'KNPA', 'disappointing', 'network']")</f>
        <v>['Telkomsel', 'KNPA', 'disappointing', 'network']</v>
      </c>
      <c r="D11947" s="3">
        <v>4.0</v>
      </c>
    </row>
    <row r="11948" ht="15.75" customHeight="1">
      <c r="A11948" s="1">
        <v>12717.0</v>
      </c>
      <c r="B11948" s="3" t="s">
        <v>11405</v>
      </c>
      <c r="C11948" s="3" t="str">
        <f>IFERROR(__xludf.DUMMYFUNCTION("GOOGLETRANSLATE(B11948,""id"",""en"")"),"['Hey', 'stupid', 'signal', 'ilang', 'Anijng']")</f>
        <v>['Hey', 'stupid', 'signal', 'ilang', 'Anijng']</v>
      </c>
      <c r="D11948" s="3">
        <v>1.0</v>
      </c>
    </row>
    <row r="11949" ht="15.75" customHeight="1">
      <c r="A11949" s="1">
        <v>12718.0</v>
      </c>
      <c r="B11949" s="3" t="s">
        <v>11406</v>
      </c>
      <c r="C11949" s="3" t="str">
        <f>IFERROR(__xludf.DUMMYFUNCTION("GOOGLETRANSLATE(B11949,""id"",""en"")"),"['Your Network', 'Kyak', 'Taiiiii', '']")</f>
        <v>['Your Network', 'Kyak', 'Taiiiii', '']</v>
      </c>
      <c r="D11949" s="3">
        <v>1.0</v>
      </c>
    </row>
    <row r="11950" ht="15.75" customHeight="1">
      <c r="A11950" s="1">
        <v>12719.0</v>
      </c>
      <c r="B11950" s="3" t="s">
        <v>11407</v>
      </c>
      <c r="C11950" s="3" t="str">
        <f>IFERROR(__xludf.DUMMYFUNCTION("GOOGLETRANSLATE(B11950,""id"",""en"")"),"['His name', 'FUP', 'TBTB', 'getting', 'FUP', 'Zoom', 'Please', 'Feature', 'Eliminate', 'FUP', 'Line', 'The result', ' Waiting ',' Need ']")</f>
        <v>['His name', 'FUP', 'TBTB', 'getting', 'FUP', 'Zoom', 'Please', 'Feature', 'Eliminate', 'FUP', 'Line', 'The result', ' Waiting ',' Need ']</v>
      </c>
      <c r="D11950" s="3">
        <v>1.0</v>
      </c>
    </row>
    <row r="11951" ht="15.75" customHeight="1">
      <c r="A11951" s="1">
        <v>12720.0</v>
      </c>
      <c r="B11951" s="3" t="s">
        <v>11408</v>
      </c>
      <c r="C11951" s="3" t="str">
        <f>IFERROR(__xludf.DUMMYFUNCTION("GOOGLETRANSLATE(B11951,""id"",""en"")"),"['application', 'nye', 'skrang', 'slow', 'open', 'see', 'open', 'ancuurrrr']")</f>
        <v>['application', 'nye', 'skrang', 'slow', 'open', 'see', 'open', 'ancuurrrr']</v>
      </c>
      <c r="D11951" s="3">
        <v>1.0</v>
      </c>
    </row>
    <row r="11952" ht="15.75" customHeight="1">
      <c r="A11952" s="1">
        <v>12721.0</v>
      </c>
      <c r="B11952" s="3" t="s">
        <v>11409</v>
      </c>
      <c r="C11952" s="3" t="str">
        <f>IFERROR(__xludf.DUMMYFUNCTION("GOOGLETRANSLATE(B11952,""id"",""en"")"),"['Update', 'NGK', 'Open']")</f>
        <v>['Update', 'NGK', 'Open']</v>
      </c>
      <c r="D11952" s="3">
        <v>1.0</v>
      </c>
    </row>
    <row r="11953" ht="15.75" customHeight="1">
      <c r="A11953" s="1">
        <v>12722.0</v>
      </c>
      <c r="B11953" s="3" t="s">
        <v>11410</v>
      </c>
      <c r="C11953" s="3" t="str">
        <f>IFERROR(__xludf.DUMMYFUNCTION("GOOGLETRANSLATE(B11953,""id"",""en"")"),"['Kasibhintang', 'Karna', 'Mumakai', 'BSA', 'Lost', ""]")</f>
        <v>['Kasibhintang', 'Karna', 'Mumakai', 'BSA', 'Lost', "]</v>
      </c>
      <c r="D11953" s="3">
        <v>3.0</v>
      </c>
    </row>
    <row r="11954" ht="15.75" customHeight="1">
      <c r="A11954" s="1">
        <v>12723.0</v>
      </c>
      <c r="B11954" s="3" t="s">
        <v>11411</v>
      </c>
      <c r="C11954" s="3" t="str">
        <f>IFERROR(__xludf.DUMMYFUNCTION("GOOGLETRANSLATE(B11954,""id"",""en"")"),"['Application', 'Telkomsel', 'opened', 'check', 'balance', 'Follow', 'Daily', 'check', ""]")</f>
        <v>['Application', 'Telkomsel', 'opened', 'check', 'balance', 'Follow', 'Daily', 'check', "]</v>
      </c>
      <c r="D11954" s="3">
        <v>1.0</v>
      </c>
    </row>
    <row r="11955" ht="15.75" customHeight="1">
      <c r="A11955" s="1">
        <v>12725.0</v>
      </c>
      <c r="B11955" s="3" t="s">
        <v>11412</v>
      </c>
      <c r="C11955" s="3" t="str">
        <f>IFERROR(__xludf.DUMMYFUNCTION("GOOGLETRANSLATE(B11955,""id"",""en"")"),"['open', 'application', 'Telkomsel', 'please', 'fix', 'apply', 'open', 'application', 'Telkomsel', ""]")</f>
        <v>['open', 'application', 'Telkomsel', 'please', 'fix', 'apply', 'open', 'application', 'Telkomsel', "]</v>
      </c>
      <c r="D11955" s="3">
        <v>2.0</v>
      </c>
    </row>
    <row r="11956" ht="15.75" customHeight="1">
      <c r="A11956" s="1">
        <v>12727.0</v>
      </c>
      <c r="B11956" s="3" t="s">
        <v>11413</v>
      </c>
      <c r="C11956" s="3" t="str">
        <f>IFERROR(__xludf.DUMMYFUNCTION("GOOGLETRANSLATE(B11956,""id"",""en"")"),"['Alahamdulilah', 'easy', 'for me', 'buy', 'package', 'data']")</f>
        <v>['Alahamdulilah', 'easy', 'for me', 'buy', 'package', 'data']</v>
      </c>
      <c r="D11956" s="3">
        <v>5.0</v>
      </c>
    </row>
    <row r="11957" ht="15.75" customHeight="1">
      <c r="A11957" s="1">
        <v>12729.0</v>
      </c>
      <c r="B11957" s="3" t="s">
        <v>11414</v>
      </c>
      <c r="C11957" s="3" t="str">
        <f>IFERROR(__xludf.DUMMYFUNCTION("GOOGLETRANSLATE(B11957,""id"",""en"")"),"['Lemot', 'Network', 'Telkomsel']")</f>
        <v>['Lemot', 'Network', 'Telkomsel']</v>
      </c>
      <c r="D11957" s="3">
        <v>1.0</v>
      </c>
    </row>
    <row r="11958" ht="15.75" customHeight="1">
      <c r="A11958" s="1">
        <v>12731.0</v>
      </c>
      <c r="B11958" s="3" t="s">
        <v>11415</v>
      </c>
      <c r="C11958" s="3" t="str">
        <f>IFERROR(__xludf.DUMMYFUNCTION("GOOGLETRANSLATE(B11958,""id"",""en"")"),"['Love', 'Package', 'Cheap', 'Okay', '']")</f>
        <v>['Love', 'Package', 'Cheap', 'Okay', '']</v>
      </c>
      <c r="D11958" s="3">
        <v>4.0</v>
      </c>
    </row>
    <row r="11959" ht="15.75" customHeight="1">
      <c r="A11959" s="1">
        <v>12732.0</v>
      </c>
      <c r="B11959" s="3" t="s">
        <v>11416</v>
      </c>
      <c r="C11959" s="3" t="str">
        <f>IFERROR(__xludf.DUMMYFUNCTION("GOOGLETRANSLATE(B11959,""id"",""en"")"),"['Help', 'Purchase', 'Package', 'Internet']")</f>
        <v>['Help', 'Purchase', 'Package', 'Internet']</v>
      </c>
      <c r="D11959" s="3">
        <v>5.0</v>
      </c>
    </row>
    <row r="11960" ht="15.75" customHeight="1">
      <c r="A11960" s="1">
        <v>12733.0</v>
      </c>
      <c r="B11960" s="3" t="s">
        <v>1555</v>
      </c>
      <c r="C11960" s="3" t="str">
        <f>IFERROR(__xludf.DUMMYFUNCTION("GOOGLETRANSLATE(B11960,""id"",""en"")"),"['application', 'open', '']")</f>
        <v>['application', 'open', '']</v>
      </c>
      <c r="D11960" s="3">
        <v>1.0</v>
      </c>
    </row>
    <row r="11961" ht="15.75" customHeight="1">
      <c r="A11961" s="1">
        <v>12734.0</v>
      </c>
      <c r="B11961" s="3" t="s">
        <v>11417</v>
      </c>
      <c r="C11961" s="3" t="str">
        <f>IFERROR(__xludf.DUMMYFUNCTION("GOOGLETRANSLATE(B11961,""id"",""en"")"),"['Telkomsel', 'entered', 'how', 'Devloer', 'DaKangkan']")</f>
        <v>['Telkomsel', 'entered', 'how', 'Devloer', 'DaKangkan']</v>
      </c>
      <c r="D11961" s="3">
        <v>2.0</v>
      </c>
    </row>
    <row r="11962" ht="15.75" customHeight="1">
      <c r="A11962" s="1">
        <v>12735.0</v>
      </c>
      <c r="B11962" s="3" t="s">
        <v>11418</v>
      </c>
      <c r="C11962" s="3" t="str">
        <f>IFERROR(__xludf.DUMMYFUNCTION("GOOGLETRANSLATE(B11962,""id"",""en"")"),"['Please', 'the application', 'open', 'look', 'screen', 'white', 'doang', 'mksh']")</f>
        <v>['Please', 'the application', 'open', 'look', 'screen', 'white', 'doang', 'mksh']</v>
      </c>
      <c r="D11962" s="3">
        <v>1.0</v>
      </c>
    </row>
    <row r="11963" ht="15.75" customHeight="1">
      <c r="A11963" s="1">
        <v>12736.0</v>
      </c>
      <c r="B11963" s="3" t="s">
        <v>11419</v>
      </c>
      <c r="C11963" s="3" t="str">
        <f>IFERROR(__xludf.DUMMYFUNCTION("GOOGLETRANSLATE(B11963,""id"",""en"")"),"['promo', 'ngebacot', 'signal', 'ugly', 'already', 'mah', 'expensive', 'no', 'accompanied', 'performance', 'poor']")</f>
        <v>['promo', 'ngebacot', 'signal', 'ugly', 'already', 'mah', 'expensive', 'no', 'accompanied', 'performance', 'poor']</v>
      </c>
      <c r="D11963" s="3">
        <v>1.0</v>
      </c>
    </row>
    <row r="11964" ht="15.75" customHeight="1">
      <c r="A11964" s="1">
        <v>12737.0</v>
      </c>
      <c r="B11964" s="3" t="s">
        <v>478</v>
      </c>
      <c r="C11964" s="3" t="str">
        <f>IFERROR(__xludf.DUMMYFUNCTION("GOOGLETRANSLATE(B11964,""id"",""en"")"),"Of course")</f>
        <v>Of course</v>
      </c>
      <c r="D11964" s="3">
        <v>4.0</v>
      </c>
    </row>
    <row r="11965" ht="15.75" customHeight="1">
      <c r="A11965" s="1">
        <v>12738.0</v>
      </c>
      <c r="B11965" s="3" t="s">
        <v>11420</v>
      </c>
      <c r="C11965" s="3" t="str">
        <f>IFERROR(__xludf.DUMMYFUNCTION("GOOGLETRANSLATE(B11965,""id"",""en"")"),"['Manatap', 'Anyway']")</f>
        <v>['Manatap', 'Anyway']</v>
      </c>
      <c r="D11965" s="3">
        <v>5.0</v>
      </c>
    </row>
    <row r="11966" ht="15.75" customHeight="1">
      <c r="A11966" s="1">
        <v>12739.0</v>
      </c>
      <c r="B11966" s="3" t="s">
        <v>11421</v>
      </c>
      <c r="C11966" s="3" t="str">
        <f>IFERROR(__xludf.DUMMYFUNCTION("GOOGLETRANSLATE(B11966,""id"",""en"")"),"['buy', 'package', 'failed', 'daiky', 'check', 'suck', 'pulss']")</f>
        <v>['buy', 'package', 'failed', 'daiky', 'check', 'suck', 'pulss']</v>
      </c>
      <c r="D11966" s="3">
        <v>1.0</v>
      </c>
    </row>
    <row r="11967" ht="15.75" customHeight="1">
      <c r="A11967" s="1">
        <v>12740.0</v>
      </c>
      <c r="B11967" s="3" t="s">
        <v>11422</v>
      </c>
      <c r="C11967" s="3" t="str">
        <f>IFERROR(__xludf.DUMMYFUNCTION("GOOGLETRANSLATE(B11967,""id"",""en"")"),"['card', 'oppressed', 'worldwide']")</f>
        <v>['card', 'oppressed', 'worldwide']</v>
      </c>
      <c r="D11967" s="3">
        <v>1.0</v>
      </c>
    </row>
    <row r="11968" ht="15.75" customHeight="1">
      <c r="A11968" s="1">
        <v>12742.0</v>
      </c>
      <c r="B11968" s="3" t="s">
        <v>11423</v>
      </c>
      <c r="C11968" s="3" t="str">
        <f>IFERROR(__xludf.DUMMYFUNCTION("GOOGLETRANSLATE(B11968,""id"",""en"")"),"['user', 'card', 'prepaid', 'Telkomsel', 'here', 'Severe', 'Pay', 'expensive', 'expensive', 'given', 'signal', 'ugly', ' Kayak ',' Gini ',' Telkomsel ',' Provider ',' Ancur ',' Years', '']")</f>
        <v>['user', 'card', 'prepaid', 'Telkomsel', 'here', 'Severe', 'Pay', 'expensive', 'expensive', 'given', 'signal', 'ugly', ' Kayak ',' Gini ',' Telkomsel ',' Provider ',' Ancur ',' Years', '']</v>
      </c>
      <c r="D11968" s="3">
        <v>1.0</v>
      </c>
    </row>
    <row r="11969" ht="15.75" customHeight="1">
      <c r="A11969" s="1">
        <v>12743.0</v>
      </c>
      <c r="B11969" s="3" t="s">
        <v>11424</v>
      </c>
      <c r="C11969" s="3" t="str">
        <f>IFERROR(__xludf.DUMMYFUNCTION("GOOGLETRANSLATE(B11969,""id"",""en"")"),"['Buy', 'expensive', 'expensive', 'lag', 'regret', 'really']")</f>
        <v>['Buy', 'expensive', 'expensive', 'lag', 'regret', 'really']</v>
      </c>
      <c r="D11969" s="3">
        <v>1.0</v>
      </c>
    </row>
    <row r="11970" ht="15.75" customHeight="1">
      <c r="A11970" s="1">
        <v>12744.0</v>
      </c>
      <c r="B11970" s="3" t="s">
        <v>11425</v>
      </c>
      <c r="C11970" s="3" t="str">
        <f>IFERROR(__xludf.DUMMYFUNCTION("GOOGLETRANSLATE(B11970,""id"",""en"")"),"['Telkomsel', 'price', 'expensive', 'quality', 'network', 'bad']")</f>
        <v>['Telkomsel', 'price', 'expensive', 'quality', 'network', 'bad']</v>
      </c>
      <c r="D11970" s="3">
        <v>1.0</v>
      </c>
    </row>
    <row r="11971" ht="15.75" customHeight="1">
      <c r="A11971" s="1">
        <v>12745.0</v>
      </c>
      <c r="B11971" s="3" t="s">
        <v>11426</v>
      </c>
      <c r="C11971" s="3" t="str">
        <f>IFERROR(__xludf.DUMMYFUNCTION("GOOGLETRANSLATE(B11971,""id"",""en"")"),"['already', 'update', 'Ducur', 'update']")</f>
        <v>['already', 'update', 'Ducur', 'update']</v>
      </c>
      <c r="D11971" s="3">
        <v>2.0</v>
      </c>
    </row>
    <row r="11972" ht="15.75" customHeight="1">
      <c r="A11972" s="1">
        <v>12746.0</v>
      </c>
      <c r="B11972" s="3" t="s">
        <v>11427</v>
      </c>
      <c r="C11972" s="3" t="str">
        <f>IFERROR(__xludf.DUMMYFUNCTION("GOOGLETRANSLATE(B11972,""id"",""en"")"),"['Human Resistance', 'buy', 'card', 'expensive', 'package', 'data', 'expensive', 'signal', 'kek', 'taik', 'Please', 'repaired', ' signal ',' Kek ',' gini ']")</f>
        <v>['Human Resistance', 'buy', 'card', 'expensive', 'package', 'data', 'expensive', 'signal', 'kek', 'taik', 'Please', 'repaired', ' signal ',' Kek ',' gini ']</v>
      </c>
      <c r="D11972" s="3">
        <v>1.0</v>
      </c>
    </row>
    <row r="11973" ht="15.75" customHeight="1">
      <c r="A11973" s="1">
        <v>12747.0</v>
      </c>
      <c r="B11973" s="3" t="s">
        <v>11428</v>
      </c>
      <c r="C11973" s="3" t="str">
        <f>IFERROR(__xludf.DUMMYFUNCTION("GOOGLETRANSLATE(B11973,""id"",""en"")"),"['Good', 'slow', '']")</f>
        <v>['Good', 'slow', '']</v>
      </c>
      <c r="D11973" s="3">
        <v>1.0</v>
      </c>
    </row>
    <row r="11974" ht="15.75" customHeight="1">
      <c r="A11974" s="1">
        <v>12748.0</v>
      </c>
      <c r="B11974" s="3" t="s">
        <v>11429</v>
      </c>
      <c r="C11974" s="3" t="str">
        <f>IFERROR(__xludf.DUMMYFUNCTION("GOOGLETRANSLATE(B11974,""id"",""en"")"),"['koc', 'slow', 'his net', 'min', 'udh', 'expensive', 'quota']")</f>
        <v>['koc', 'slow', 'his net', 'min', 'udh', 'expensive', 'quota']</v>
      </c>
      <c r="D11974" s="3">
        <v>1.0</v>
      </c>
    </row>
    <row r="11975" ht="15.75" customHeight="1">
      <c r="A11975" s="1">
        <v>12749.0</v>
      </c>
      <c r="B11975" s="3" t="s">
        <v>11430</v>
      </c>
      <c r="C11975" s="3" t="str">
        <f>IFERROR(__xludf.DUMMYFUNCTION("GOOGLETRANSLATE(B11975,""id"",""en"")"),"['update', 'signal', 'update', 'watch', 'youtube', 'difficult', 'slow', 'parahh', 'motion', 'bad']")</f>
        <v>['update', 'signal', 'update', 'watch', 'youtube', 'difficult', 'slow', 'parahh', 'motion', 'bad']</v>
      </c>
      <c r="D11975" s="3">
        <v>1.0</v>
      </c>
    </row>
    <row r="11976" ht="15.75" customHeight="1">
      <c r="A11976" s="1">
        <v>12750.0</v>
      </c>
      <c r="B11976" s="3" t="s">
        <v>11431</v>
      </c>
      <c r="C11976" s="3" t="str">
        <f>IFERROR(__xludf.DUMMYFUNCTION("GOOGLETRANSLATE(B11976,""id"",""en"")"),"['How', 'Admin', 'HBs', 'Upgrade', 'Open', 'Severe', '']")</f>
        <v>['How', 'Admin', 'HBs', 'Upgrade', 'Open', 'Severe', '']</v>
      </c>
      <c r="D11976" s="3">
        <v>3.0</v>
      </c>
    </row>
    <row r="11977" ht="15.75" customHeight="1">
      <c r="A11977" s="1">
        <v>12751.0</v>
      </c>
      <c r="B11977" s="3" t="s">
        <v>11432</v>
      </c>
      <c r="C11977" s="3" t="str">
        <f>IFERROR(__xludf.DUMMYFUNCTION("GOOGLETRANSLATE(B11977,""id"",""en"")"),"['Open', 'Ngeluh', 'Micedin', 'Hmm']")</f>
        <v>['Open', 'Ngeluh', 'Micedin', 'Hmm']</v>
      </c>
      <c r="D11977" s="3">
        <v>1.0</v>
      </c>
    </row>
    <row r="11978" ht="15.75" customHeight="1">
      <c r="A11978" s="1">
        <v>12752.0</v>
      </c>
      <c r="B11978" s="3" t="s">
        <v>11433</v>
      </c>
      <c r="C11978" s="3" t="str">
        <f>IFERROR(__xludf.DUMMYFUNCTION("GOOGLETRANSLATE(B11978,""id"",""en"")"),"['Telkomsel', 'Provider', 'Network', 'Pilhan', ""]")</f>
        <v>['Telkomsel', 'Provider', 'Network', 'Pilhan', "]</v>
      </c>
      <c r="D11978" s="3">
        <v>5.0</v>
      </c>
    </row>
    <row r="11979" ht="15.75" customHeight="1">
      <c r="A11979" s="1">
        <v>12753.0</v>
      </c>
      <c r="B11979" s="3" t="s">
        <v>11434</v>
      </c>
      <c r="C11979" s="3" t="str">
        <f>IFERROR(__xludf.DUMMYFUNCTION("GOOGLETRANSLATE(B11979,""id"",""en"")"),"['Disappointed', 'really', 'times',' contents', 'pulse', 'sumps',' access', 'non', 'package', 'no', 'internet', 'please', ' Fix ',' buy ',' pulse ',' use ',' money ',' money ',' search ',' difficult ',' hard ',' slamming ',' bone ', ""]")</f>
        <v>['Disappointed', 'really', 'times',' contents', 'pulse', 'sumps',' access', 'non', 'package', 'no', 'internet', 'please', ' Fix ',' buy ',' pulse ',' use ',' money ',' money ',' search ',' difficult ',' hard ',' slamming ',' bone ', "]</v>
      </c>
      <c r="D11979" s="3">
        <v>1.0</v>
      </c>
    </row>
    <row r="11980" ht="15.75" customHeight="1">
      <c r="A11980" s="1">
        <v>12754.0</v>
      </c>
      <c r="B11980" s="3" t="s">
        <v>11435</v>
      </c>
      <c r="C11980" s="3" t="str">
        <f>IFERROR(__xludf.DUMMYFUNCTION("GOOGLETRANSLATE(B11980,""id"",""en"")"),"['disappointed', 'bngtsama', 'mytelkomsel', 'smkin', 'bnyk', 'customer', 'mmbantu', 'tpi', 'mnight', 'pdhl', 'udh', 'bngt', ' Telkomsel ',' Want ',' Slide ',' Opt ',' Lbih ',' Mmeaskn ',' ']")</f>
        <v>['disappointed', 'bngtsama', 'mytelkomsel', 'smkin', 'bnyk', 'customer', 'mmbantu', 'tpi', 'mnight', 'pdhl', 'udh', 'bngt', ' Telkomsel ',' Want ',' Slide ',' Opt ',' Lbih ',' Mmeaskn ',' ']</v>
      </c>
      <c r="D11980" s="3">
        <v>1.0</v>
      </c>
    </row>
    <row r="11981" ht="15.75" customHeight="1">
      <c r="A11981" s="1">
        <v>12755.0</v>
      </c>
      <c r="B11981" s="3" t="s">
        <v>11436</v>
      </c>
      <c r="C11981" s="3" t="str">
        <f>IFERROR(__xludf.DUMMYFUNCTION("GOOGLETRANSLATE(B11981,""id"",""en"")"),"['Min', 'how', 'Telkomsel', 'Error', 'White', 'Doang', 'Please', 'Comfort']")</f>
        <v>['Min', 'how', 'Telkomsel', 'Error', 'White', 'Doang', 'Please', 'Comfort']</v>
      </c>
      <c r="D11981" s="3">
        <v>1.0</v>
      </c>
    </row>
    <row r="11982" ht="15.75" customHeight="1">
      <c r="A11982" s="1">
        <v>12756.0</v>
      </c>
      <c r="B11982" s="3" t="s">
        <v>11437</v>
      </c>
      <c r="C11982" s="3" t="str">
        <f>IFERROR(__xludf.DUMMYFUNCTION("GOOGLETRANSLATE(B11982,""id"",""en"")"),"['Come', 'signal', 'ugly']")</f>
        <v>['Come', 'signal', 'ugly']</v>
      </c>
      <c r="D11982" s="3">
        <v>1.0</v>
      </c>
    </row>
    <row r="11983" ht="15.75" customHeight="1">
      <c r="A11983" s="1">
        <v>12757.0</v>
      </c>
      <c r="B11983" s="3" t="s">
        <v>11438</v>
      </c>
      <c r="C11983" s="3" t="str">
        <f>IFERROR(__xludf.DUMMYFUNCTION("GOOGLETRANSLATE(B11983,""id"",""en"")"),"['Telkomsel', 'here', 'ugly', 'signal', 'slow', 'application', 'mytelkomsel', 'already', 'error', 'opened', 'screen', 'white', ' ',' already ',' chat ',' tetep ',' complaints', 'ngatasin', 'application', 'open', '']")</f>
        <v>['Telkomsel', 'here', 'ugly', 'signal', 'slow', 'application', 'mytelkomsel', 'already', 'error', 'opened', 'screen', 'white', ' ',' already ',' chat ',' tetep ',' complaints', 'ngatasin', 'application', 'open', '']</v>
      </c>
      <c r="D11983" s="3">
        <v>3.0</v>
      </c>
    </row>
    <row r="11984" ht="15.75" customHeight="1">
      <c r="A11984" s="1">
        <v>12758.0</v>
      </c>
      <c r="B11984" s="3" t="s">
        <v>619</v>
      </c>
      <c r="C11984" s="3" t="str">
        <f>IFERROR(__xludf.DUMMYFUNCTION("GOOGLETRANSLATE(B11984,""id"",""en"")"),"['Good', 'help']")</f>
        <v>['Good', 'help']</v>
      </c>
      <c r="D11984" s="3">
        <v>5.0</v>
      </c>
    </row>
    <row r="11985" ht="15.75" customHeight="1">
      <c r="A11985" s="1">
        <v>12759.0</v>
      </c>
      <c r="B11985" s="3" t="s">
        <v>11439</v>
      </c>
      <c r="C11985" s="3" t="str">
        <f>IFERROR(__xludf.DUMMYFUNCTION("GOOGLETRANSLATE(B11985,""id"",""en"")"),"['buy', 'credit', 'Telkomsel', 'via', 'gopaylater', 'balance', 'truncated', 'pulse', 'visits',' entry ',' already ',' report ',' Via ',' chat ',' no ',' responded ',' disappointed ']")</f>
        <v>['buy', 'credit', 'Telkomsel', 'via', 'gopaylater', 'balance', 'truncated', 'pulse', 'visits',' entry ',' already ',' report ',' Via ',' chat ',' no ',' responded ',' disappointed ']</v>
      </c>
      <c r="D11985" s="3">
        <v>1.0</v>
      </c>
    </row>
    <row r="11986" ht="15.75" customHeight="1">
      <c r="A11986" s="1">
        <v>12760.0</v>
      </c>
      <c r="B11986" s="3" t="s">
        <v>11440</v>
      </c>
      <c r="C11986" s="3" t="str">
        <f>IFERROR(__xludf.DUMMYFUNCTION("GOOGLETRANSLATE(B11986,""id"",""en"")"),"['change', 'Signal', 'Provaider', 'entry', 'village', 'change', 'Signal', 'Telkomsel', 'Kampung', 'Kah', 'Please', 'Sorry', ' love ',' star ',' quality ',' signal ',' village ',' progress', 'Telkomsel', 'in the eyes',' customer ',' hope ',' quick ',' ']")</f>
        <v>['change', 'Signal', 'Provaider', 'entry', 'village', 'change', 'Signal', 'Telkomsel', 'Kampung', 'Kah', 'Please', 'Sorry', ' love ',' star ',' quality ',' signal ',' village ',' progress', 'Telkomsel', 'in the eyes',' customer ',' hope ',' quick ',' ']</v>
      </c>
      <c r="D11986" s="3">
        <v>1.0</v>
      </c>
    </row>
    <row r="11987" ht="15.75" customHeight="1">
      <c r="A11987" s="1">
        <v>12761.0</v>
      </c>
      <c r="B11987" s="3" t="s">
        <v>11441</v>
      </c>
      <c r="C11987" s="3" t="str">
        <f>IFERROR(__xludf.DUMMYFUNCTION("GOOGLETRANSLATE(B11987,""id"",""en"")"),"['Open', 'PDAHL', 'Internet', 'Good']")</f>
        <v>['Open', 'PDAHL', 'Internet', 'Good']</v>
      </c>
      <c r="D11987" s="3">
        <v>2.0</v>
      </c>
    </row>
    <row r="11988" ht="15.75" customHeight="1">
      <c r="A11988" s="1">
        <v>12762.0</v>
      </c>
      <c r="B11988" s="3" t="s">
        <v>180</v>
      </c>
      <c r="C11988" s="3" t="str">
        <f>IFERROR(__xludf.DUMMYFUNCTION("GOOGLETRANSLATE(B11988,""id"",""en"")"),"['hopefully']")</f>
        <v>['hopefully']</v>
      </c>
      <c r="D11988" s="3">
        <v>5.0</v>
      </c>
    </row>
    <row r="11989" ht="15.75" customHeight="1">
      <c r="A11989" s="1">
        <v>12763.0</v>
      </c>
      <c r="B11989" s="3" t="s">
        <v>11442</v>
      </c>
      <c r="C11989" s="3" t="str">
        <f>IFERROR(__xludf.DUMMYFUNCTION("GOOGLETRANSLATE(B11989,""id"",""en"")"),"['', 'Panciro', 'Kab', 'Gowa', 'Network', 'Telkomsel', 'Suburbs', 'City', 'Makassar', 'Network', 'Embossed', 'Sinking', "" ]")</f>
        <v>['', 'Panciro', 'Kab', 'Gowa', 'Network', 'Telkomsel', 'Suburbs', 'City', 'Makassar', 'Network', 'Embossed', 'Sinking', " ]</v>
      </c>
      <c r="D11989" s="3">
        <v>2.0</v>
      </c>
    </row>
    <row r="11990" ht="15.75" customHeight="1">
      <c r="A11990" s="1">
        <v>12764.0</v>
      </c>
      <c r="B11990" s="3" t="s">
        <v>11443</v>
      </c>
      <c r="C11990" s="3" t="str">
        <f>IFERROR(__xludf.DUMMYFUNCTION("GOOGLETRANSLATE(B11990,""id"",""en"")"),"['opened', 'app', 'Telkomsel', 'just', 'white', 'his writing', 'then', 'uninstall', 'then', 'install']")</f>
        <v>['opened', 'app', 'Telkomsel', 'just', 'white', 'his writing', 'then', 'uninstall', 'then', 'install']</v>
      </c>
      <c r="D11990" s="3">
        <v>1.0</v>
      </c>
    </row>
    <row r="11991" ht="15.75" customHeight="1">
      <c r="A11991" s="1">
        <v>12765.0</v>
      </c>
      <c r="B11991" s="3" t="s">
        <v>11444</v>
      </c>
      <c r="C11991" s="3" t="str">
        <f>IFERROR(__xludf.DUMMYFUNCTION("GOOGLETRANSLATE(B11991,""id"",""en"")"),"['package', 'internet', 'neighbor', 'next door', 'cheap', '']")</f>
        <v>['package', 'internet', 'neighbor', 'next door', 'cheap', '']</v>
      </c>
      <c r="D11991" s="3">
        <v>5.0</v>
      </c>
    </row>
    <row r="11992" ht="15.75" customHeight="1">
      <c r="A11992" s="1">
        <v>12766.0</v>
      </c>
      <c r="B11992" s="3" t="s">
        <v>2583</v>
      </c>
      <c r="C11992" s="3" t="str">
        <f>IFERROR(__xludf.DUMMYFUNCTION("GOOGLETRANSLATE(B11992,""id"",""en"")"),"['Network', 'Good']")</f>
        <v>['Network', 'Good']</v>
      </c>
      <c r="D11992" s="3">
        <v>5.0</v>
      </c>
    </row>
    <row r="11993" ht="15.75" customHeight="1">
      <c r="A11993" s="1">
        <v>12767.0</v>
      </c>
      <c r="B11993" s="3" t="s">
        <v>11445</v>
      </c>
      <c r="C11993" s="3" t="str">
        <f>IFERROR(__xludf.DUMMYFUNCTION("GOOGLETRANSLATE(B11993,""id"",""en"")"),"['Please', 'expensive']")</f>
        <v>['Please', 'expensive']</v>
      </c>
      <c r="D11993" s="3">
        <v>5.0</v>
      </c>
    </row>
    <row r="11994" ht="15.75" customHeight="1">
      <c r="A11994" s="1">
        <v>12768.0</v>
      </c>
      <c r="B11994" s="3" t="s">
        <v>11446</v>
      </c>
      <c r="C11994" s="3" t="str">
        <f>IFERROR(__xludf.DUMMYFUNCTION("GOOGLETRANSLATE(B11994,""id"",""en"")"),"['buy', 'package', 'promo', 'forced', 'pulse', 'package', 'electronicpay', 'the network', 'destroyed', 'really', 'change', 'smartfren', ' Light ',' Lazy ',' Fill ',' Credit ',' Fear ',' get ',' Copet ',' cell ',' AXIS ',' Apply ',' protection ',' pulses',"&amp;" 'free' , 'circumcision', 'consequences',' intentionally ',' access', 'data', 'telkom', 'follow', 'package', 'nipu', 'promo', 'finished', 'package', ' Data ',' Package ',' Multimedia ',' Accessible ',' Package ',' Data ',' Out ',' Jam ',' Jam ',' Remnant "&amp;"',' GB ',' Multimedia ',' Gimic ' , 'really', 'Loe', '']")</f>
        <v>['buy', 'package', 'promo', 'forced', 'pulse', 'package', 'electronicpay', 'the network', 'destroyed', 'really', 'change', 'smartfren', ' Light ',' Lazy ',' Fill ',' Credit ',' Fear ',' get ',' Copet ',' cell ',' AXIS ',' Apply ',' protection ',' pulses', 'free' , 'circumcision', 'consequences',' intentionally ',' access', 'data', 'telkom', 'follow', 'package', 'nipu', 'promo', 'finished', 'package', ' Data ',' Package ',' Multimedia ',' Accessible ',' Package ',' Data ',' Out ',' Jam ',' Jam ',' Remnant ',' GB ',' Multimedia ',' Gimic ' , 'really', 'Loe', '']</v>
      </c>
      <c r="D11994" s="3">
        <v>1.0</v>
      </c>
    </row>
    <row r="11995" ht="15.75" customHeight="1">
      <c r="A11995" s="1">
        <v>12769.0</v>
      </c>
      <c r="B11995" s="3" t="s">
        <v>11447</v>
      </c>
      <c r="C11995" s="3" t="str">
        <f>IFERROR(__xludf.DUMMYFUNCTION("GOOGLETRANSLATE(B11995,""id"",""en"")"),"['Gajelas', 'Telkomsel', 'card', 'expensive', 'network', 'rich', 'taik', 'maen', 'game', 'lagg', 'regret', 'cave']")</f>
        <v>['Gajelas', 'Telkomsel', 'card', 'expensive', 'network', 'rich', 'taik', 'maen', 'game', 'lagg', 'regret', 'cave']</v>
      </c>
      <c r="D11995" s="3">
        <v>1.0</v>
      </c>
    </row>
    <row r="11996" ht="15.75" customHeight="1">
      <c r="A11996" s="1">
        <v>12770.0</v>
      </c>
      <c r="B11996" s="3" t="s">
        <v>11448</v>
      </c>
      <c r="C11996" s="3" t="str">
        <f>IFERROR(__xludf.DUMMYFUNCTION("GOOGLETRANSLATE(B11996,""id"",""en"")"),"['Sorry', 'no', 'Open', 'Application', 'Telkomsel', '']")</f>
        <v>['Sorry', 'no', 'Open', 'Application', 'Telkomsel', '']</v>
      </c>
      <c r="D11996" s="3">
        <v>5.0</v>
      </c>
    </row>
    <row r="11997" ht="15.75" customHeight="1">
      <c r="A11997" s="1">
        <v>12771.0</v>
      </c>
      <c r="B11997" s="3" t="s">
        <v>11449</v>
      </c>
      <c r="C11997" s="3" t="str">
        <f>IFERROR(__xludf.DUMMYFUNCTION("GOOGLETRANSLATE(B11997,""id"",""en"")"),"['buy', 'disruption', 'system', 'already', 'content', 'pulse', 'turn', 'buy', 'disorder', 'system', ""]")</f>
        <v>['buy', 'disruption', 'system', 'already', 'content', 'pulse', 'turn', 'buy', 'disorder', 'system', "]</v>
      </c>
      <c r="D11997" s="3">
        <v>2.0</v>
      </c>
    </row>
    <row r="11998" ht="15.75" customHeight="1">
      <c r="A11998" s="1">
        <v>12772.0</v>
      </c>
      <c r="B11998" s="3" t="s">
        <v>11450</v>
      </c>
      <c r="C11998" s="3" t="str">
        <f>IFERROR(__xludf.DUMMYFUNCTION("GOOGLETRANSLATE(B11998,""id"",""en"")"),"['package', 'internet', 'expensive', 'network', 'slow', 'already', 'like', 'snail', 'sorry', ""]")</f>
        <v>['package', 'internet', 'expensive', 'network', 'slow', 'already', 'like', 'snail', 'sorry', "]</v>
      </c>
      <c r="D11998" s="3">
        <v>1.0</v>
      </c>
    </row>
    <row r="11999" ht="15.75" customHeight="1">
      <c r="A11999" s="1">
        <v>12773.0</v>
      </c>
      <c r="B11999" s="3" t="s">
        <v>11451</v>
      </c>
      <c r="C11999" s="3" t="str">
        <f>IFERROR(__xludf.DUMMYFUNCTION("GOOGLETRANSLATE(B11999,""id"",""en"")"),"['ugly', 'opened', 'white', 'ran']")</f>
        <v>['ugly', 'opened', 'white', 'ran']</v>
      </c>
      <c r="D11999" s="3">
        <v>1.0</v>
      </c>
    </row>
    <row r="12000" ht="15.75" customHeight="1">
      <c r="A12000" s="1">
        <v>12774.0</v>
      </c>
      <c r="B12000" s="3" t="s">
        <v>11452</v>
      </c>
      <c r="C12000" s="3" t="str">
        <f>IFERROR(__xludf.DUMMYFUNCTION("GOOGLETRANSLATE(B12000,""id"",""en"")"),"['buy', 'card', 'Telkomsel', 'package', 'forgiveness', 'expensive', 'really']")</f>
        <v>['buy', 'card', 'Telkomsel', 'package', 'forgiveness', 'expensive', 'really']</v>
      </c>
      <c r="D12000" s="3">
        <v>3.0</v>
      </c>
    </row>
    <row r="12001" ht="15.75" customHeight="1">
      <c r="A12001" s="1">
        <v>12775.0</v>
      </c>
      <c r="B12001" s="3" t="s">
        <v>11453</v>
      </c>
      <c r="C12001" s="3" t="str">
        <f>IFERROR(__xludf.DUMMYFUNCTION("GOOGLETRANSLATE(B12001,""id"",""en"")"),"['Severe', 'Application', 'Update', 'White', 'Screen', 'Report', 'Tweeter', 'Solution', 'Wait', 'Uninstall', 'Uninstall', ' Cards', 'Clear', 'cache', 'min', 'kumaha', 'ieu', ""]")</f>
        <v>['Severe', 'Application', 'Update', 'White', 'Screen', 'Report', 'Tweeter', 'Solution', 'Wait', 'Uninstall', 'Uninstall', ' Cards', 'Clear', 'cache', 'min', 'kumaha', 'ieu', "]</v>
      </c>
      <c r="D12001" s="3">
        <v>1.0</v>
      </c>
    </row>
    <row r="12002" ht="15.75" customHeight="1">
      <c r="A12002" s="1">
        <v>12777.0</v>
      </c>
      <c r="B12002" s="3" t="s">
        <v>11454</v>
      </c>
      <c r="C12002" s="3" t="str">
        <f>IFERROR(__xludf.DUMMYFUNCTION("GOOGLETRANSLATE(B12002,""id"",""en"")"),"['des', 'mytelkomsel', 'road', '']")</f>
        <v>['des', 'mytelkomsel', 'road', '']</v>
      </c>
      <c r="D12002" s="3">
        <v>1.0</v>
      </c>
    </row>
    <row r="12003" ht="15.75" customHeight="1">
      <c r="A12003" s="1">
        <v>12778.0</v>
      </c>
      <c r="B12003" s="3" t="s">
        <v>11455</v>
      </c>
      <c r="C12003" s="3" t="str">
        <f>IFERROR(__xludf.DUMMYFUNCTION("GOOGLETRANSLATE(B12003,""id"",""en"")"),"['cave', 'already', 'buy', 'unlimited', 'a month', 'slow', 'really', 'expensive', ""]")</f>
        <v>['cave', 'already', 'buy', 'unlimited', 'a month', 'slow', 'really', 'expensive', "]</v>
      </c>
      <c r="D12003" s="3">
        <v>1.0</v>
      </c>
    </row>
    <row r="12004" ht="15.75" customHeight="1">
      <c r="A12004" s="1">
        <v>12779.0</v>
      </c>
      <c r="B12004" s="3" t="s">
        <v>9285</v>
      </c>
      <c r="C12004" s="3" t="str">
        <f>IFERROR(__xludf.DUMMYFUNCTION("GOOGLETRANSLATE(B12004,""id"",""en"")"),"['Application', 'Telkomsel', 'opened', '']")</f>
        <v>['Application', 'Telkomsel', 'opened', '']</v>
      </c>
      <c r="D12004" s="3">
        <v>3.0</v>
      </c>
    </row>
    <row r="12005" ht="15.75" customHeight="1">
      <c r="A12005" s="1">
        <v>12780.0</v>
      </c>
      <c r="B12005" s="3" t="s">
        <v>11456</v>
      </c>
      <c r="C12005" s="3" t="str">
        <f>IFERROR(__xludf.DUMMYFUNCTION("GOOGLETRANSLATE(B12005,""id"",""en"")"),"['Combo', 'cheap', 'getting', 'Mulu']")</f>
        <v>['Combo', 'cheap', 'getting', 'Mulu']</v>
      </c>
      <c r="D12005" s="3">
        <v>5.0</v>
      </c>
    </row>
    <row r="12006" ht="15.75" customHeight="1">
      <c r="A12006" s="1">
        <v>12781.0</v>
      </c>
      <c r="B12006" s="3" t="s">
        <v>706</v>
      </c>
      <c r="C12006" s="3" t="str">
        <f>IFERROR(__xludf.DUMMYFUNCTION("GOOGLETRANSLATE(B12006,""id"",""en"")"),"['Good', 'like']")</f>
        <v>['Good', 'like']</v>
      </c>
      <c r="D12006" s="3">
        <v>5.0</v>
      </c>
    </row>
    <row r="12007" ht="15.75" customHeight="1">
      <c r="A12007" s="1">
        <v>12782.0</v>
      </c>
      <c r="B12007" s="3" t="s">
        <v>11457</v>
      </c>
      <c r="C12007" s="3" t="str">
        <f>IFERROR(__xludf.DUMMYFUNCTION("GOOGLETRANSLATE(B12007,""id"",""en"")"),"['', 'fix', 'network']")</f>
        <v>['', 'fix', 'network']</v>
      </c>
      <c r="D12007" s="3">
        <v>5.0</v>
      </c>
    </row>
    <row r="12008" ht="15.75" customHeight="1">
      <c r="A12008" s="1">
        <v>12784.0</v>
      </c>
      <c r="B12008" s="3" t="s">
        <v>11458</v>
      </c>
      <c r="C12008" s="3" t="str">
        <f>IFERROR(__xludf.DUMMYFUNCTION("GOOGLETRANSLATE(B12008,""id"",""en"")"),"['Paketannya', 'expensive', '']")</f>
        <v>['Paketannya', 'expensive', '']</v>
      </c>
      <c r="D12008" s="3">
        <v>2.0</v>
      </c>
    </row>
    <row r="12009" ht="15.75" customHeight="1">
      <c r="A12009" s="1">
        <v>12785.0</v>
      </c>
      <c r="B12009" s="3" t="s">
        <v>11459</v>
      </c>
      <c r="C12009" s="3" t="str">
        <f>IFERROR(__xludf.DUMMYFUNCTION("GOOGLETRANSLATE(B12009,""id"",""en"")"),"['Knp', 'Open', 'Application', 'MyTelkomsel', 'No']")</f>
        <v>['Knp', 'Open', 'Application', 'MyTelkomsel', 'No']</v>
      </c>
      <c r="D12009" s="3">
        <v>3.0</v>
      </c>
    </row>
    <row r="12010" ht="15.75" customHeight="1">
      <c r="A12010" s="1">
        <v>12786.0</v>
      </c>
      <c r="B12010" s="3" t="s">
        <v>11460</v>
      </c>
      <c r="C12010" s="3" t="str">
        <f>IFERROR(__xludf.DUMMYFUNCTION("GOOGLETRANSLATE(B12010,""id"",""en"")"),"['Feature', 'complete', 'function', 'good', 'thank you']")</f>
        <v>['Feature', 'complete', 'function', 'good', 'thank you']</v>
      </c>
      <c r="D12010" s="3">
        <v>5.0</v>
      </c>
    </row>
    <row r="12011" ht="15.75" customHeight="1">
      <c r="A12011" s="1">
        <v>12787.0</v>
      </c>
      <c r="B12011" s="3" t="s">
        <v>11461</v>
      </c>
      <c r="C12011" s="3" t="str">
        <f>IFERROR(__xludf.DUMMYFUNCTION("GOOGLETRANSLATE(B12011,""id"",""en"")"),"['buy', 'Package', 'YouTube', 'Sunday', 'situ', 'printed', 'unlimited', 'boro', 'unlimited', 'open', 'youtube', 'muter', ' kagak ',' open ',' leftover ',' pulse ',' run out ',' cut ',' youtube ',' really ',' disappointing ',' ']")</f>
        <v>['buy', 'Package', 'YouTube', 'Sunday', 'situ', 'printed', 'unlimited', 'boro', 'unlimited', 'open', 'youtube', 'muter', ' kagak ',' open ',' leftover ',' pulse ',' run out ',' cut ',' youtube ',' really ',' disappointing ',' ']</v>
      </c>
      <c r="D12011" s="3">
        <v>1.0</v>
      </c>
    </row>
    <row r="12012" ht="15.75" customHeight="1">
      <c r="A12012" s="1">
        <v>12788.0</v>
      </c>
      <c r="B12012" s="3" t="s">
        <v>11462</v>
      </c>
      <c r="C12012" s="3" t="str">
        <f>IFERROR(__xludf.DUMMYFUNCTION("GOOGLETRANSLATE(B12012,""id"",""en"")"),"['Severe', 'deleted', 'Review', 'Cave', '']")</f>
        <v>['Severe', 'deleted', 'Review', 'Cave', '']</v>
      </c>
      <c r="D12012" s="3">
        <v>1.0</v>
      </c>
    </row>
    <row r="12013" ht="15.75" customHeight="1">
      <c r="A12013" s="1">
        <v>12789.0</v>
      </c>
      <c r="B12013" s="3" t="s">
        <v>11463</v>
      </c>
      <c r="C12013" s="3" t="str">
        <f>IFERROR(__xludf.DUMMYFUNCTION("GOOGLETRANSLATE(B12013,""id"",""en"")"),"['Help', 'process', 'activation', 'internet']")</f>
        <v>['Help', 'process', 'activation', 'internet']</v>
      </c>
      <c r="D12013" s="3">
        <v>5.0</v>
      </c>
    </row>
    <row r="12014" ht="15.75" customHeight="1">
      <c r="A12014" s="1">
        <v>12790.0</v>
      </c>
      <c r="B12014" s="3" t="s">
        <v>11464</v>
      </c>
      <c r="C12014" s="3" t="str">
        <f>IFERROR(__xludf.DUMMYFUNCTION("GOOGLETRANSLATE(B12014,""id"",""en"")"),"['Network', 'already', 'severe', 'already', 'slow', 'slow', 'already', 'Males', 'Telkomsel']")</f>
        <v>['Network', 'already', 'severe', 'already', 'slow', 'slow', 'already', 'Males', 'Telkomsel']</v>
      </c>
      <c r="D12014" s="3">
        <v>2.0</v>
      </c>
    </row>
    <row r="12015" ht="15.75" customHeight="1">
      <c r="A12015" s="1">
        <v>12791.0</v>
      </c>
      <c r="B12015" s="3" t="s">
        <v>11465</v>
      </c>
      <c r="C12015" s="3" t="str">
        <f>IFERROR(__xludf.DUMMYFUNCTION("GOOGLETRANSLATE(B12015,""id"",""en"")"),"['update', 'no', 'open', 'kayak', 'ngeblank', 'white', 'that's',' severe ',' Telkomsel ',' regret ',' update ',' no ',' Open ',' normalize ']")</f>
        <v>['update', 'no', 'open', 'kayak', 'ngeblank', 'white', 'that's',' severe ',' Telkomsel ',' regret ',' update ',' no ',' Open ',' normalize ']</v>
      </c>
      <c r="D12015" s="3">
        <v>1.0</v>
      </c>
    </row>
    <row r="12016" ht="15.75" customHeight="1">
      <c r="A12016" s="1">
        <v>12792.0</v>
      </c>
      <c r="B12016" s="3" t="s">
        <v>11466</v>
      </c>
      <c r="C12016" s="3" t="str">
        <f>IFERROR(__xludf.DUMMYFUNCTION("GOOGLETRANSLATE(B12016,""id"",""en"")"),"['Ouch', 'how', 'Kayak', 'Gini', 'APL', '']")</f>
        <v>['Ouch', 'how', 'Kayak', 'Gini', 'APL', '']</v>
      </c>
      <c r="D12016" s="3">
        <v>1.0</v>
      </c>
    </row>
    <row r="12017" ht="15.75" customHeight="1">
      <c r="A12017" s="1">
        <v>12793.0</v>
      </c>
      <c r="B12017" s="3" t="s">
        <v>11467</v>
      </c>
      <c r="C12017" s="3" t="str">
        <f>IFERROR(__xludf.DUMMYFUNCTION("GOOGLETRANSLATE(B12017,""id"",""en"")"),"['Bentar', 'told', 'Login', 'Login', 'Ribet', 'NDK', ""]")</f>
        <v>['Bentar', 'told', 'Login', 'Login', 'Ribet', 'NDK', "]</v>
      </c>
      <c r="D12017" s="3">
        <v>1.0</v>
      </c>
    </row>
    <row r="12018" ht="15.75" customHeight="1">
      <c r="A12018" s="1">
        <v>12794.0</v>
      </c>
      <c r="B12018" s="3" t="s">
        <v>11468</v>
      </c>
      <c r="C12018" s="3" t="str">
        <f>IFERROR(__xludf.DUMMYFUNCTION("GOOGLETRANSLATE(B12018,""id"",""en"")"),"['Buy', 'Package', 'Game', 'Package', 'Internet', 'Main', 'Out', 'Cut', 'Pulse', 'Main', 'Package', 'Game', ' Try ',' connects', 'right', 'connects',' disappointed ']")</f>
        <v>['Buy', 'Package', 'Game', 'Package', 'Internet', 'Main', 'Out', 'Cut', 'Pulse', 'Main', 'Package', 'Game', ' Try ',' connects', 'right', 'connects',' disappointed ']</v>
      </c>
      <c r="D12018" s="3">
        <v>1.0</v>
      </c>
    </row>
    <row r="12019" ht="15.75" customHeight="1">
      <c r="A12019" s="1">
        <v>12795.0</v>
      </c>
      <c r="B12019" s="3" t="s">
        <v>11469</v>
      </c>
      <c r="C12019" s="3" t="str">
        <f>IFERROR(__xludf.DUMMYFUNCTION("GOOGLETRANSLATE(B12019,""id"",""en"")"),"['Paketan', 'expensive', 'it seems', 'expensive', 'package', 'omg', 'expensive', 'different', 'card', 'different']")</f>
        <v>['Paketan', 'expensive', 'it seems', 'expensive', 'package', 'omg', 'expensive', 'different', 'card', 'different']</v>
      </c>
      <c r="D12019" s="3">
        <v>1.0</v>
      </c>
    </row>
    <row r="12020" ht="15.75" customHeight="1">
      <c r="A12020" s="1">
        <v>12796.0</v>
      </c>
      <c r="B12020" s="3" t="s">
        <v>11470</v>
      </c>
      <c r="C12020" s="3" t="str">
        <f>IFERROR(__xludf.DUMMYFUNCTION("GOOGLETRANSLATE(B12020,""id"",""en"")"),"['updated', 'opened', 'blank', 'white']")</f>
        <v>['updated', 'opened', 'blank', 'white']</v>
      </c>
      <c r="D12020" s="3">
        <v>1.0</v>
      </c>
    </row>
    <row r="12021" ht="15.75" customHeight="1">
      <c r="A12021" s="1">
        <v>12797.0</v>
      </c>
      <c r="B12021" s="3" t="s">
        <v>11471</v>
      </c>
      <c r="C12021" s="3" t="str">
        <f>IFERROR(__xludf.DUMMYFUNCTION("GOOGLETRANSLATE(B12021,""id"",""en"")"),"['poor', 'BUMN', 'Disight', 'Country', 'People', 'Persons',' Tetep ',' Wae ',' Ter ',' Smart ',' Robbing ',' Credit ',' ']")</f>
        <v>['poor', 'BUMN', 'Disight', 'Country', 'People', 'Persons',' Tetep ',' Wae ',' Ter ',' Smart ',' Robbing ',' Credit ',' ']</v>
      </c>
      <c r="D12021" s="3">
        <v>2.0</v>
      </c>
    </row>
    <row r="12022" ht="15.75" customHeight="1">
      <c r="A12022" s="1">
        <v>12799.0</v>
      </c>
      <c r="B12022" s="3" t="s">
        <v>11472</v>
      </c>
      <c r="C12022" s="3" t="str">
        <f>IFERROR(__xludf.DUMMYFUNCTION("GOOGLETRANSLATE(B12022,""id"",""en"")"),"['Please', 'Sorry', 'Network', 'Please', 'Noted', 'Promo', 'Doang', ""]")</f>
        <v>['Please', 'Sorry', 'Network', 'Please', 'Noted', 'Promo', 'Doang', "]</v>
      </c>
      <c r="D12022" s="3">
        <v>1.0</v>
      </c>
    </row>
    <row r="12023" ht="15.75" customHeight="1">
      <c r="A12023" s="1">
        <v>12800.0</v>
      </c>
      <c r="B12023" s="3" t="s">
        <v>11473</v>
      </c>
      <c r="C12023" s="3" t="str">
        <f>IFERROR(__xludf.DUMMYFUNCTION("GOOGLETRANSLATE(B12023,""id"",""en"")"),"['quota', 'Mulu', 'price', 'according to', 'bags', 'I', 'Ngandelin', 'Telkom', 'Region', 'Rural']")</f>
        <v>['quota', 'Mulu', 'price', 'according to', 'bags', 'I', 'Ngandelin', 'Telkom', 'Region', 'Rural']</v>
      </c>
      <c r="D12023" s="3">
        <v>5.0</v>
      </c>
    </row>
    <row r="12024" ht="15.75" customHeight="1">
      <c r="A12024" s="1">
        <v>12801.0</v>
      </c>
      <c r="B12024" s="3" t="s">
        <v>11474</v>
      </c>
      <c r="C12024" s="3" t="str">
        <f>IFERROR(__xludf.DUMMYFUNCTION("GOOGLETRANSLATE(B12024,""id"",""en"")"),"['What's', 'Telkomsel', 'opened', 'Emotion', 'Gini', ""]")</f>
        <v>['What's', 'Telkomsel', 'opened', 'Emotion', 'Gini', "]</v>
      </c>
      <c r="D12024" s="3">
        <v>1.0</v>
      </c>
    </row>
    <row r="12025" ht="15.75" customHeight="1">
      <c r="A12025" s="1">
        <v>12802.0</v>
      </c>
      <c r="B12025" s="3" t="s">
        <v>11475</v>
      </c>
      <c r="C12025" s="3" t="str">
        <f>IFERROR(__xludf.DUMMYFUNCTION("GOOGLETRANSLATE(B12025,""id"",""en"")"),"['buy', 'package', 'watch', 'use', 'watch', 'film', 'application', 'vidio', '']")</f>
        <v>['buy', 'package', 'watch', 'use', 'watch', 'film', 'application', 'vidio', '']</v>
      </c>
      <c r="D12025" s="3">
        <v>5.0</v>
      </c>
    </row>
    <row r="12026" ht="15.75" customHeight="1">
      <c r="A12026" s="1">
        <v>12803.0</v>
      </c>
      <c r="B12026" s="3" t="s">
        <v>11476</v>
      </c>
      <c r="C12026" s="3" t="str">
        <f>IFERROR(__xludf.DUMMYFUNCTION("GOOGLETRANSLATE(B12026,""id"",""en"")"),"['Moho', 'Fix', 'APK', 'Yesterday', 'I', 'enter', 'apk', 'ngak', 'enter', 'enter', 'quota', 'internet', ' ']")</f>
        <v>['Moho', 'Fix', 'APK', 'Yesterday', 'I', 'enter', 'apk', 'ngak', 'enter', 'enter', 'quota', 'internet', ' ']</v>
      </c>
      <c r="D12026" s="3">
        <v>1.0</v>
      </c>
    </row>
    <row r="12027" ht="15.75" customHeight="1">
      <c r="A12027" s="1">
        <v>12804.0</v>
      </c>
      <c r="B12027" s="3" t="s">
        <v>11477</v>
      </c>
      <c r="C12027" s="3" t="str">
        <f>IFERROR(__xludf.DUMMYFUNCTION("GOOGLETRANSLATE(B12027,""id"",""en"")"),"['A Week', 'Application', 'Opened', 'Season']")</f>
        <v>['A Week', 'Application', 'Opened', 'Season']</v>
      </c>
      <c r="D12027" s="3">
        <v>1.0</v>
      </c>
    </row>
    <row r="12028" ht="15.75" customHeight="1">
      <c r="A12028" s="1">
        <v>12805.0</v>
      </c>
      <c r="B12028" s="3" t="s">
        <v>3670</v>
      </c>
      <c r="C12028" s="3" t="str">
        <f>IFERROR(__xludf.DUMMYFUNCTION("GOOGLETRANSLATE(B12028,""id"",""en"")"),"['Good', 'Help', 'Thank you', ""]")</f>
        <v>['Good', 'Help', 'Thank you', "]</v>
      </c>
      <c r="D12028" s="3">
        <v>5.0</v>
      </c>
    </row>
    <row r="12029" ht="15.75" customHeight="1">
      <c r="A12029" s="1">
        <v>12806.0</v>
      </c>
      <c r="B12029" s="3" t="s">
        <v>11478</v>
      </c>
      <c r="C12029" s="3" t="str">
        <f>IFERROR(__xludf.DUMMYFUNCTION("GOOGLETRANSLATE(B12029,""id"",""en"")"),"['', 'access', 'UDH', 'Unistal', 'Sunday', ""]")</f>
        <v>['', 'access', 'UDH', 'Unistal', 'Sunday', "]</v>
      </c>
      <c r="D12029" s="3">
        <v>3.0</v>
      </c>
    </row>
    <row r="12030" ht="15.75" customHeight="1">
      <c r="A12030" s="1">
        <v>12807.0</v>
      </c>
      <c r="B12030" s="3" t="s">
        <v>11479</v>
      </c>
      <c r="C12030" s="3" t="str">
        <f>IFERROR(__xludf.DUMMYFUNCTION("GOOGLETRANSLATE(B12030,""id"",""en"")"),"['Gatau', 'gabisa', 'buy', 'package', 'pulse', 'sufficient', 'plus', 'expensive', 'network', 'disorder', ""]")</f>
        <v>['Gatau', 'gabisa', 'buy', 'package', 'pulse', 'sufficient', 'plus', 'expensive', 'network', 'disorder', "]</v>
      </c>
      <c r="D12030" s="3">
        <v>1.0</v>
      </c>
    </row>
    <row r="12031" ht="15.75" customHeight="1">
      <c r="A12031" s="1">
        <v>12808.0</v>
      </c>
      <c r="B12031" s="3" t="s">
        <v>11480</v>
      </c>
      <c r="C12031" s="3" t="str">
        <f>IFERROR(__xludf.DUMMYFUNCTION("GOOGLETRANSLATE(B12031,""id"",""en"")"),"['Help', 'Fortunately', 'Mantap']")</f>
        <v>['Help', 'Fortunately', 'Mantap']</v>
      </c>
      <c r="D12031" s="3">
        <v>5.0</v>
      </c>
    </row>
    <row r="12032" ht="15.75" customHeight="1">
      <c r="A12032" s="1">
        <v>12809.0</v>
      </c>
      <c r="B12032" s="3" t="s">
        <v>11481</v>
      </c>
      <c r="C12032" s="3" t="str">
        <f>IFERROR(__xludf.DUMMYFUNCTION("GOOGLETRANSLATE(B12032,""id"",""en"")"),"['Try', 'rich', 'application', 'next door', 'open', 'quota', 'right', 'quota', 'run out', 'difficult', 'buy', 'the package', ' ']")</f>
        <v>['Try', 'rich', 'application', 'next door', 'open', 'quota', 'right', 'quota', 'run out', 'difficult', 'buy', 'the package', ' ']</v>
      </c>
      <c r="D12032" s="3">
        <v>2.0</v>
      </c>
    </row>
    <row r="12033" ht="15.75" customHeight="1">
      <c r="A12033" s="1">
        <v>12810.0</v>
      </c>
      <c r="B12033" s="3" t="s">
        <v>11482</v>
      </c>
      <c r="C12033" s="3" t="str">
        <f>IFERROR(__xludf.DUMMYFUNCTION("GOOGLETRANSLATE(B12033,""id"",""en"")"),"['Telkomsel', 'signal', 'emotions', 'slow', 'signal', 'kayak', 'sifood', 'slow', 'regret', 'user', 'Telkomsel', 'cell']")</f>
        <v>['Telkomsel', 'signal', 'emotions', 'slow', 'signal', 'kayak', 'sifood', 'slow', 'regret', 'user', 'Telkomsel', 'cell']</v>
      </c>
      <c r="D12033" s="3">
        <v>1.0</v>
      </c>
    </row>
    <row r="12034" ht="15.75" customHeight="1">
      <c r="A12034" s="1">
        <v>12811.0</v>
      </c>
      <c r="B12034" s="3" t="s">
        <v>11483</v>
      </c>
      <c r="C12034" s="3" t="str">
        <f>IFERROR(__xludf.DUMMYFUNCTION("GOOGLETRANSLATE(B12034,""id"",""en"")"),"['Love', 'Bintang', 'Clusudah', 'Faham', 'Bintang', ""]")</f>
        <v>['Love', 'Bintang', 'Clusudah', 'Faham', 'Bintang', "]</v>
      </c>
      <c r="D12034" s="3">
        <v>3.0</v>
      </c>
    </row>
    <row r="12035" ht="15.75" customHeight="1">
      <c r="A12035" s="1">
        <v>12812.0</v>
      </c>
      <c r="B12035" s="3" t="s">
        <v>11484</v>
      </c>
      <c r="C12035" s="3" t="str">
        <f>IFERROR(__xludf.DUMMYFUNCTION("GOOGLETRANSLATE(B12035,""id"",""en"")"),"['Open', 'Elkomsel']")</f>
        <v>['Open', 'Elkomsel']</v>
      </c>
      <c r="D12035" s="3">
        <v>1.0</v>
      </c>
    </row>
    <row r="12036" ht="15.75" customHeight="1">
      <c r="A12036" s="1">
        <v>12814.0</v>
      </c>
      <c r="B12036" s="3" t="s">
        <v>11485</v>
      </c>
      <c r="C12036" s="3" t="str">
        <f>IFERROR(__xludf.DUMMYFUNCTION("GOOGLETRANSLATE(B12036,""id"",""en"")"),"['ugly', 'really', 'signal']")</f>
        <v>['ugly', 'really', 'signal']</v>
      </c>
      <c r="D12036" s="3">
        <v>1.0</v>
      </c>
    </row>
    <row r="12037" ht="15.75" customHeight="1">
      <c r="A12037" s="1">
        <v>12815.0</v>
      </c>
      <c r="B12037" s="3" t="s">
        <v>11486</v>
      </c>
      <c r="C12037" s="3" t="str">
        <f>IFERROR(__xludf.DUMMYFUNCTION("GOOGLETRANSLATE(B12037,""id"",""en"")"),"['Hello', 'provider', 'Telkomsel', 'Dear', 'signal', 'Telkomsel', 'ugly', 'really', 'package', 'already', 'expensive', 'signal', ' Weak ',' Region ',' Sidoarjo ',' Kecamatan ',' Wonoayu ',' Change ',' Provider ',' Expensive ',' Signal ',' Consistent ',' T"&amp;"hank ',' Love ']")</f>
        <v>['Hello', 'provider', 'Telkomsel', 'Dear', 'signal', 'Telkomsel', 'ugly', 'really', 'package', 'already', 'expensive', 'signal', ' Weak ',' Region ',' Sidoarjo ',' Kecamatan ',' Wonoayu ',' Change ',' Provider ',' Expensive ',' Signal ',' Consistent ',' Thank ',' Love ']</v>
      </c>
      <c r="D12037" s="3">
        <v>1.0</v>
      </c>
    </row>
    <row r="12038" ht="15.75" customHeight="1">
      <c r="A12038" s="1">
        <v>12816.0</v>
      </c>
      <c r="B12038" s="3" t="s">
        <v>11487</v>
      </c>
      <c r="C12038" s="3" t="str">
        <f>IFERROR(__xludf.DUMMYFUNCTION("GOOGLETRANSLATE(B12038,""id"",""en"")"),"['Provider', 'Worst', 'Network', 'Lemot', 'Pekahhh', ""]")</f>
        <v>['Provider', 'Worst', 'Network', 'Lemot', 'Pekahhh', "]</v>
      </c>
      <c r="D12038" s="3">
        <v>1.0</v>
      </c>
    </row>
    <row r="12039" ht="15.75" customHeight="1">
      <c r="A12039" s="1">
        <v>12817.0</v>
      </c>
      <c r="B12039" s="3" t="s">
        <v>11488</v>
      </c>
      <c r="C12039" s="3" t="str">
        <f>IFERROR(__xludf.DUMMYFUNCTION("GOOGLETRANSLATE(B12039,""id"",""en"")"),"['package', 'expensive', 'signal', 'kek', 'pepek']")</f>
        <v>['package', 'expensive', 'signal', 'kek', 'pepek']</v>
      </c>
      <c r="D12039" s="3">
        <v>1.0</v>
      </c>
    </row>
    <row r="12040" ht="15.75" customHeight="1">
      <c r="A12040" s="1">
        <v>12818.0</v>
      </c>
      <c r="B12040" s="3" t="s">
        <v>11489</v>
      </c>
      <c r="C12040" s="3" t="str">
        <f>IFERROR(__xludf.DUMMYFUNCTION("GOOGLETRANSLATE(B12040,""id"",""en"")"),"['Please', 'Min', 'Telkomselku', 'Open', '']")</f>
        <v>['Please', 'Min', 'Telkomselku', 'Open', '']</v>
      </c>
      <c r="D12040" s="3">
        <v>5.0</v>
      </c>
    </row>
    <row r="12041" ht="15.75" customHeight="1">
      <c r="A12041" s="1">
        <v>12819.0</v>
      </c>
      <c r="B12041" s="3" t="s">
        <v>11490</v>
      </c>
      <c r="C12041" s="3" t="str">
        <f>IFERROR(__xludf.DUMMYFUNCTION("GOOGLETRANSLATE(B12041,""id"",""en"")"),"['Hopefully', 'Increases']")</f>
        <v>['Hopefully', 'Increases']</v>
      </c>
      <c r="D12041" s="3">
        <v>5.0</v>
      </c>
    </row>
    <row r="12042" ht="15.75" customHeight="1">
      <c r="A12042" s="1">
        <v>12820.0</v>
      </c>
      <c r="B12042" s="3" t="s">
        <v>11491</v>
      </c>
      <c r="C12042" s="3" t="str">
        <f>IFERROR(__xludf.DUMMYFUNCTION("GOOGLETRANSLATE(B12042,""id"",""en"")"),"['Open', 'application', '']")</f>
        <v>['Open', 'application', '']</v>
      </c>
      <c r="D12042" s="3">
        <v>5.0</v>
      </c>
    </row>
    <row r="12043" ht="15.75" customHeight="1">
      <c r="A12043" s="1">
        <v>12821.0</v>
      </c>
      <c r="B12043" s="3" t="s">
        <v>11492</v>
      </c>
      <c r="C12043" s="3" t="str">
        <f>IFERROR(__xludf.DUMMYFUNCTION("GOOGLETRANSLATE(B12043,""id"",""en"")"),"['here', 'provider', 'gajelas',' already ',' package ',' gacha ',' price ',' squeezed ',' signal ',' slow ',' severe ',' udh ',' So ',' Like ',' ilang ',' Niga ',' Mentang ',' Mentang ',' Provider ',' Gede ',' as good ',' forehead ',' consumer ',' network"&amp;" ',' provider ' , 'Place', 'UDH', 'I killed', 'card', 'rotten', ""]")</f>
        <v>['here', 'provider', 'gajelas',' already ',' package ',' gacha ',' price ',' squeezed ',' signal ',' slow ',' severe ',' udh ',' So ',' Like ',' ilang ',' Niga ',' Mentang ',' Mentang ',' Provider ',' Gede ',' as good ',' forehead ',' consumer ',' network ',' provider ' , 'Place', 'UDH', 'I killed', 'card', 'rotten', "]</v>
      </c>
      <c r="D12043" s="3">
        <v>1.0</v>
      </c>
    </row>
    <row r="12044" ht="15.75" customHeight="1">
      <c r="A12044" s="1">
        <v>12822.0</v>
      </c>
      <c r="B12044" s="3" t="s">
        <v>11493</v>
      </c>
      <c r="C12044" s="3" t="str">
        <f>IFERROR(__xludf.DUMMYFUNCTION("GOOGLETRANSLATE(B12044,""id"",""en"")"),"['screen', 'white', 'clean', 'clear', 'acne']")</f>
        <v>['screen', 'white', 'clean', 'clear', 'acne']</v>
      </c>
      <c r="D12044" s="3">
        <v>1.0</v>
      </c>
    </row>
    <row r="12045" ht="15.75" customHeight="1">
      <c r="A12045" s="1">
        <v>12823.0</v>
      </c>
      <c r="B12045" s="3" t="s">
        <v>11494</v>
      </c>
      <c r="C12045" s="3" t="str">
        <f>IFERROR(__xludf.DUMMYFUNCTION("GOOGLETRANSLATE(B12045,""id"",""en"")"),"['Date', 'Application', 'Nga', 'Open', 'Package', 'Combo', 'Sakti', 'Lost', 'Jdi', 'Disappointed']")</f>
        <v>['Date', 'Application', 'Nga', 'Open', 'Package', 'Combo', 'Sakti', 'Lost', 'Jdi', 'Disappointed']</v>
      </c>
      <c r="D12045" s="3">
        <v>1.0</v>
      </c>
    </row>
    <row r="12046" ht="15.75" customHeight="1">
      <c r="A12046" s="1">
        <v>12824.0</v>
      </c>
      <c r="B12046" s="3" t="s">
        <v>11495</v>
      </c>
      <c r="C12046" s="3" t="str">
        <f>IFERROR(__xludf.DUMMYFUNCTION("GOOGLETRANSLATE(B12046,""id"",""en"")"),"['application', 'open', '']")</f>
        <v>['application', 'open', '']</v>
      </c>
      <c r="D12046" s="3">
        <v>1.0</v>
      </c>
    </row>
    <row r="12047" ht="15.75" customHeight="1">
      <c r="A12047" s="1">
        <v>12825.0</v>
      </c>
      <c r="B12047" s="3" t="s">
        <v>11496</v>
      </c>
      <c r="C12047" s="3" t="str">
        <f>IFERROR(__xludf.DUMMYFUNCTION("GOOGLETRANSLATE(B12047,""id"",""en"")"),"['Telcomsel', 'Sarap', 'Download', 'trs', 'blk', 'blkntrs', 'annoying']")</f>
        <v>['Telcomsel', 'Sarap', 'Download', 'trs', 'blk', 'blkntrs', 'annoying']</v>
      </c>
      <c r="D12047" s="3">
        <v>5.0</v>
      </c>
    </row>
    <row r="12048" ht="15.75" customHeight="1">
      <c r="A12048" s="1">
        <v>12826.0</v>
      </c>
      <c r="B12048" s="3" t="s">
        <v>11497</v>
      </c>
      <c r="C12048" s="3" t="str">
        <f>IFERROR(__xludf.DUMMYFUNCTION("GOOGLETRANSLATE(B12048,""id"",""en"")"),"['', 'open', 'already', 'quota', 'pulse', 'wifi', 'tetep', 'open', '']")</f>
        <v>['', 'open', 'already', 'quota', 'pulse', 'wifi', 'tetep', 'open', '']</v>
      </c>
      <c r="D12048" s="3">
        <v>1.0</v>
      </c>
    </row>
    <row r="12049" ht="15.75" customHeight="1">
      <c r="A12049" s="1">
        <v>12827.0</v>
      </c>
      <c r="B12049" s="3" t="s">
        <v>11498</v>
      </c>
      <c r="C12049" s="3" t="str">
        <f>IFERROR(__xludf.DUMMYFUNCTION("GOOGLETRANSLATE(B12049,""id"",""en"")"),"['KNPA', 'Network', 'Kmarin', 'ugly', 'Mulu', 'Duhh']")</f>
        <v>['KNPA', 'Network', 'Kmarin', 'ugly', 'Mulu', 'Duhh']</v>
      </c>
      <c r="D12049" s="3">
        <v>1.0</v>
      </c>
    </row>
    <row r="12050" ht="15.75" customHeight="1">
      <c r="A12050" s="1">
        <v>12828.0</v>
      </c>
      <c r="B12050" s="3" t="s">
        <v>11499</v>
      </c>
      <c r="C12050" s="3" t="str">
        <f>IFERROR(__xludf.DUMMYFUNCTION("GOOGLETRANSLATE(B12050,""id"",""en"")"),"['Canap', 'Telkomsel', 'Open', '']")</f>
        <v>['Canap', 'Telkomsel', 'Open', '']</v>
      </c>
      <c r="D12050" s="3">
        <v>4.0</v>
      </c>
    </row>
    <row r="12051" ht="15.75" customHeight="1">
      <c r="A12051" s="1">
        <v>12829.0</v>
      </c>
      <c r="B12051" s="3" t="s">
        <v>11500</v>
      </c>
      <c r="C12051" s="3" t="str">
        <f>IFERROR(__xludf.DUMMYFUNCTION("GOOGLETRANSLATE(B12051,""id"",""en"")"),"['disappointing', 'apk', 'open', 'appears', 'screen', 'white', 'and then', 'repeat']")</f>
        <v>['disappointing', 'apk', 'open', 'appears', 'screen', 'white', 'and then', 'repeat']</v>
      </c>
      <c r="D12051" s="3">
        <v>1.0</v>
      </c>
    </row>
    <row r="12052" ht="15.75" customHeight="1">
      <c r="A12052" s="1">
        <v>12830.0</v>
      </c>
      <c r="B12052" s="3" t="s">
        <v>11501</v>
      </c>
      <c r="C12052" s="3" t="str">
        <f>IFERROR(__xludf.DUMMYFUNCTION("GOOGLETRANSLATE(B12052,""id"",""en"")"),"['Open', 'The application', 'Pret']")</f>
        <v>['Open', 'The application', 'Pret']</v>
      </c>
      <c r="D12052" s="3">
        <v>1.0</v>
      </c>
    </row>
    <row r="12053" ht="15.75" customHeight="1">
      <c r="A12053" s="1">
        <v>12831.0</v>
      </c>
      <c r="B12053" s="3" t="s">
        <v>11502</v>
      </c>
      <c r="C12053" s="3" t="str">
        <f>IFERROR(__xludf.DUMMYFUNCTION("GOOGLETRANSLATE(B12053,""id"",""en"")"),"['Card', 'Hallo', 'Prepaid', 'Pinjol', 'Fraud', 'Tlpn', 'Callcenter', 'Telkomsel', 'Reject']")</f>
        <v>['Card', 'Hallo', 'Prepaid', 'Pinjol', 'Fraud', 'Tlpn', 'Callcenter', 'Telkomsel', 'Reject']</v>
      </c>
      <c r="D12053" s="3">
        <v>1.0</v>
      </c>
    </row>
    <row r="12054" ht="15.75" customHeight="1">
      <c r="A12054" s="1">
        <v>12832.0</v>
      </c>
      <c r="B12054" s="3" t="s">
        <v>11503</v>
      </c>
      <c r="C12054" s="3" t="str">
        <f>IFERROR(__xludf.DUMMYFUNCTION("GOOGLETRANSLATE(B12054,""id"",""en"")"),"['Telkomsel', 'Open', '']")</f>
        <v>['Telkomsel', 'Open', '']</v>
      </c>
      <c r="D12054" s="3">
        <v>1.0</v>
      </c>
    </row>
    <row r="12055" ht="15.75" customHeight="1">
      <c r="A12055" s="1">
        <v>12833.0</v>
      </c>
      <c r="B12055" s="3" t="s">
        <v>11504</v>
      </c>
      <c r="C12055" s="3" t="str">
        <f>IFERROR(__xludf.DUMMYFUNCTION("GOOGLETRANSLATE(B12055,""id"",""en"")"),"['Thanks', 'Telkomsel', 'quota', 'noon', 'package', 'cheap']")</f>
        <v>['Thanks', 'Telkomsel', 'quota', 'noon', 'package', 'cheap']</v>
      </c>
      <c r="D12055" s="3">
        <v>5.0</v>
      </c>
    </row>
    <row r="12056" ht="15.75" customHeight="1">
      <c r="A12056" s="1">
        <v>12834.0</v>
      </c>
      <c r="B12056" s="3" t="s">
        <v>11505</v>
      </c>
      <c r="C12056" s="3" t="str">
        <f>IFERROR(__xludf.DUMMYFUNCTION("GOOGLETRANSLATE(B12056,""id"",""en"")"),"['access', 'download', 'disappointed', 'bnget', 'deh', 'skrg', 'udh', 'as good', 'performance']")</f>
        <v>['access', 'download', 'disappointed', 'bnget', 'deh', 'skrg', 'udh', 'as good', 'performance']</v>
      </c>
      <c r="D12056" s="3">
        <v>1.0</v>
      </c>
    </row>
    <row r="12057" ht="15.75" customHeight="1">
      <c r="A12057" s="1">
        <v>12835.0</v>
      </c>
      <c r="B12057" s="3" t="s">
        <v>11506</v>
      </c>
      <c r="C12057" s="3" t="str">
        <f>IFERROR(__xludf.DUMMYFUNCTION("GOOGLETRANSLATE(B12057,""id"",""en"")"),"['min', 'pulse', 'sumps',' buy ',' pulse ',' abis', 'get', 'active', 'quota', 'emergency', 'pulse', 'sumps',' Where ',' Pantesan ',' Pakek ',' Doank ',' Sumpot ',' Gara ',' Gara ',' Credit ',' Sumpot ',' Buy ',' Quota ',' That's', 'snack' , 'already', 'sa"&amp;"ve', 'buy', 'quota', 'sumps', 'pulse']")</f>
        <v>['min', 'pulse', 'sumps',' buy ',' pulse ',' abis', 'get', 'active', 'quota', 'emergency', 'pulse', 'sumps',' Where ',' Pantesan ',' Pakek ',' Doank ',' Sumpot ',' Gara ',' Gara ',' Credit ',' Sumpot ',' Buy ',' Quota ',' That's', 'snack' , 'already', 'save', 'buy', 'quota', 'sumps', 'pulse']</v>
      </c>
      <c r="D12057" s="3">
        <v>1.0</v>
      </c>
    </row>
    <row r="12058" ht="15.75" customHeight="1">
      <c r="A12058" s="1">
        <v>12836.0</v>
      </c>
      <c r="B12058" s="3" t="s">
        <v>11507</v>
      </c>
      <c r="C12058" s="3" t="str">
        <f>IFERROR(__xludf.DUMMYFUNCTION("GOOGLETRANSLATE(B12058,""id"",""en"")"),"['Application', 'Help', 'Save']")</f>
        <v>['Application', 'Help', 'Save']</v>
      </c>
      <c r="D12058" s="3">
        <v>5.0</v>
      </c>
    </row>
    <row r="12059" ht="15.75" customHeight="1">
      <c r="A12059" s="1">
        <v>12837.0</v>
      </c>
      <c r="B12059" s="3" t="s">
        <v>11508</v>
      </c>
      <c r="C12059" s="3" t="str">
        <f>IFERROR(__xludf.DUMMYFUNCTION("GOOGLETRANSLATE(B12059,""id"",""en"")"),"['Since', 'improvement', 'yesterday', 'Telkomsel', 'slow', 'signal', 'no', 'full', 'city', 'forced', 'kuranngi', 'rating', ' Normal ',' Rating ']")</f>
        <v>['Since', 'improvement', 'yesterday', 'Telkomsel', 'slow', 'signal', 'no', 'full', 'city', 'forced', 'kuranngi', 'rating', ' Normal ',' Rating ']</v>
      </c>
      <c r="D12059" s="3">
        <v>1.0</v>
      </c>
    </row>
    <row r="12060" ht="15.75" customHeight="1">
      <c r="A12060" s="1">
        <v>12838.0</v>
      </c>
      <c r="B12060" s="3" t="s">
        <v>11509</v>
      </c>
      <c r="C12060" s="3" t="str">
        <f>IFERROR(__xludf.DUMMYFUNCTION("GOOGLETRANSLATE(B12060,""id"",""en"")"),"['The network', 'really', 'slow', 'severe', 'annoying', 'activity', 'really', '']")</f>
        <v>['The network', 'really', 'slow', 'severe', 'annoying', 'activity', 'really', '']</v>
      </c>
      <c r="D12060" s="3">
        <v>1.0</v>
      </c>
    </row>
    <row r="12061" ht="15.75" customHeight="1">
      <c r="A12061" s="1">
        <v>12839.0</v>
      </c>
      <c r="B12061" s="3" t="s">
        <v>11510</v>
      </c>
      <c r="C12061" s="3" t="str">
        <f>IFERROR(__xludf.DUMMYFUNCTION("GOOGLETRANSLATE(B12061,""id"",""en"")"),"['Tollolloll', 'Provider', 'GB', 'thousand', 'GB', 'thousand', 'Kenceng', 'slow', 'provider', 'anjjjjiiiinnngggggggg']")</f>
        <v>['Tollolloll', 'Provider', 'GB', 'thousand', 'GB', 'thousand', 'Kenceng', 'slow', 'provider', 'anjjjjiiiinnngggggggg']</v>
      </c>
      <c r="D12061" s="3">
        <v>1.0</v>
      </c>
    </row>
    <row r="12062" ht="15.75" customHeight="1">
      <c r="A12062" s="1">
        <v>12840.0</v>
      </c>
      <c r="B12062" s="3" t="s">
        <v>11511</v>
      </c>
      <c r="C12062" s="3" t="str">
        <f>IFERROR(__xludf.DUMMYFUNCTION("GOOGLETRANSLATE(B12062,""id"",""en"")"),"['opened', 'error', 'just', 'package', 'most expensive', 'TPI', 'service', 'cheap', 'application', 'akhklak', 'fucek']")</f>
        <v>['opened', 'error', 'just', 'package', 'most expensive', 'TPI', 'service', 'cheap', 'application', 'akhklak', 'fucek']</v>
      </c>
      <c r="D12062" s="3">
        <v>1.0</v>
      </c>
    </row>
    <row r="12063" ht="15.75" customHeight="1">
      <c r="A12063" s="1">
        <v>12841.0</v>
      </c>
      <c r="B12063" s="3" t="s">
        <v>11512</v>
      </c>
      <c r="C12063" s="3" t="str">
        <f>IFERROR(__xludf.DUMMYFUNCTION("GOOGLETRANSLATE(B12063,""id"",""en"")"),"['The application', 'opened', 'check', 'quota', 'check', 'pulse', 'difficult', 'already', 'upgrade', 'tetep', 'open', 'ayoo', ' Benahii ',' iiiiiiiiiiiiii ']")</f>
        <v>['The application', 'opened', 'check', 'quota', 'check', 'pulse', 'difficult', 'already', 'upgrade', 'tetep', 'open', 'ayoo', ' Benahii ',' iiiiiiiiiiiiii ']</v>
      </c>
      <c r="D12063" s="3">
        <v>1.0</v>
      </c>
    </row>
    <row r="12064" ht="15.75" customHeight="1">
      <c r="A12064" s="1">
        <v>12842.0</v>
      </c>
      <c r="B12064" s="3" t="s">
        <v>11513</v>
      </c>
      <c r="C12064" s="3" t="str">
        <f>IFERROR(__xludf.DUMMYFUNCTION("GOOGLETRANSLATE(B12064,""id"",""en"")"),"['disappointing', 'open', 'appears', 'screen', 'white']")</f>
        <v>['disappointing', 'open', 'appears', 'screen', 'white']</v>
      </c>
      <c r="D12064" s="3">
        <v>1.0</v>
      </c>
    </row>
    <row r="12065" ht="15.75" customHeight="1">
      <c r="A12065" s="1">
        <v>12843.0</v>
      </c>
      <c r="B12065" s="3" t="s">
        <v>11514</v>
      </c>
      <c r="C12065" s="3" t="str">
        <f>IFERROR(__xludf.DUMMYFUNCTION("GOOGLETRANSLATE(B12065,""id"",""en"")"),"['Nyesel', 'Ngupdate', 'Telkomsel', 'Open', 'Sempet', 'Delete', 'APK', 'Nginstall', 'Reset', 'Tetep', 'Luka', 'What', ' Min ']")</f>
        <v>['Nyesel', 'Ngupdate', 'Telkomsel', 'Open', 'Sempet', 'Delete', 'APK', 'Nginstall', 'Reset', 'Tetep', 'Luka', 'What', ' Min ']</v>
      </c>
      <c r="D12065" s="3">
        <v>1.0</v>
      </c>
    </row>
    <row r="12066" ht="15.75" customHeight="1">
      <c r="A12066" s="1">
        <v>12844.0</v>
      </c>
      <c r="B12066" s="3" t="s">
        <v>11515</v>
      </c>
      <c r="C12066" s="3" t="str">
        <f>IFERROR(__xludf.DUMMYFUNCTION("GOOGLETRANSLATE(B12066,""id"",""en"")"),"['expensive', 'slow', 'stable', '']")</f>
        <v>['expensive', 'slow', 'stable', '']</v>
      </c>
      <c r="D12066" s="3">
        <v>1.0</v>
      </c>
    </row>
    <row r="12067" ht="15.75" customHeight="1">
      <c r="A12067" s="1">
        <v>12845.0</v>
      </c>
      <c r="B12067" s="3" t="s">
        <v>11516</v>
      </c>
      <c r="C12067" s="3" t="str">
        <f>IFERROR(__xludf.DUMMYFUNCTION("GOOGLETRANSLATE(B12067,""id"",""en"")"),"['Telkomsel', 'signal', 'here', 'stable', 'Please', 'repair', ""]")</f>
        <v>['Telkomsel', 'signal', 'here', 'stable', 'Please', 'repair', "]</v>
      </c>
      <c r="D12067" s="3">
        <v>1.0</v>
      </c>
    </row>
    <row r="12068" ht="15.75" customHeight="1">
      <c r="A12068" s="1">
        <v>12847.0</v>
      </c>
      <c r="B12068" s="3" t="s">
        <v>11517</v>
      </c>
      <c r="C12068" s="3" t="str">
        <f>IFERROR(__xludf.DUMMYFUNCTION("GOOGLETRANSLATE(B12068,""id"",""en"")"),"['experience']")</f>
        <v>['experience']</v>
      </c>
      <c r="D12068" s="3">
        <v>5.0</v>
      </c>
    </row>
    <row r="12069" ht="15.75" customHeight="1">
      <c r="A12069" s="1">
        <v>12848.0</v>
      </c>
      <c r="B12069" s="3" t="s">
        <v>11518</v>
      </c>
      <c r="C12069" s="3" t="str">
        <f>IFERROR(__xludf.DUMMYFUNCTION("GOOGLETRANSLATE(B12069,""id"",""en"")"),"['Application', 'Install', 'Android', 'Please', 'Repaired', 'Thank you', ""]")</f>
        <v>['Application', 'Install', 'Android', 'Please', 'Repaired', 'Thank you', "]</v>
      </c>
      <c r="D12069" s="3">
        <v>1.0</v>
      </c>
    </row>
    <row r="12070" ht="15.75" customHeight="1">
      <c r="A12070" s="1">
        <v>12849.0</v>
      </c>
      <c r="B12070" s="3" t="s">
        <v>11519</v>
      </c>
      <c r="C12070" s="3" t="str">
        <f>IFERROR(__xludf.DUMMYFUNCTION("GOOGLETRANSLATE(B12070,""id"",""en"")"),"['love', 'star', 'bgus', 'lgi']")</f>
        <v>['love', 'star', 'bgus', 'lgi']</v>
      </c>
      <c r="D12070" s="3">
        <v>4.0</v>
      </c>
    </row>
    <row r="12071" ht="15.75" customHeight="1">
      <c r="A12071" s="1">
        <v>12850.0</v>
      </c>
      <c r="B12071" s="3" t="s">
        <v>11520</v>
      </c>
      <c r="C12071" s="3" t="str">
        <f>IFERROR(__xludf.DUMMYFUNCTION("GOOGLETRANSLATE(B12071,""id"",""en"")"),"['disgust', 'bnget', 'tlkmsel', 'package', 'expensive', 'network', 'mah', 'kya', 'conch', 'unclean', 'mndingan', 'indosat']")</f>
        <v>['disgust', 'bnget', 'tlkmsel', 'package', 'expensive', 'network', 'mah', 'kya', 'conch', 'unclean', 'mndingan', 'indosat']</v>
      </c>
      <c r="D12071" s="3">
        <v>1.0</v>
      </c>
    </row>
    <row r="12072" ht="15.75" customHeight="1">
      <c r="A12072" s="1">
        <v>12851.0</v>
      </c>
      <c r="B12072" s="3" t="s">
        <v>11521</v>
      </c>
      <c r="C12072" s="3" t="str">
        <f>IFERROR(__xludf.DUMMYFUNCTION("GOOGLETRANSLATE(B12072,""id"",""en"")"),"['Telkomsel', 'open', 'down', 'star', 'tomorrow', 'down', 'rating']")</f>
        <v>['Telkomsel', 'open', 'down', 'star', 'tomorrow', 'down', 'rating']</v>
      </c>
      <c r="D12072" s="3">
        <v>4.0</v>
      </c>
    </row>
    <row r="12073" ht="15.75" customHeight="1">
      <c r="A12073" s="1">
        <v>12852.0</v>
      </c>
      <c r="B12073" s="3" t="s">
        <v>11522</v>
      </c>
      <c r="C12073" s="3" t="str">
        <f>IFERROR(__xludf.DUMMYFUNCTION("GOOGLETRANSLATE(B12073,""id"",""en"")"),"['hmmm', 'already', 'times', 'update', 'good', ""]")</f>
        <v>['hmmm', 'already', 'times', 'update', 'good', "]</v>
      </c>
      <c r="D12073" s="3">
        <v>1.0</v>
      </c>
    </row>
    <row r="12074" ht="15.75" customHeight="1">
      <c r="A12074" s="1">
        <v>12853.0</v>
      </c>
      <c r="B12074" s="3" t="s">
        <v>11523</v>
      </c>
      <c r="C12074" s="3" t="str">
        <f>IFERROR(__xludf.DUMMYFUNCTION("GOOGLETRANSLATE(B12074,""id"",""en"")"),"['difficult', 'update', 'Telkomsel', 'Sunday']")</f>
        <v>['difficult', 'update', 'Telkomsel', 'Sunday']</v>
      </c>
      <c r="D12074" s="3">
        <v>1.0</v>
      </c>
    </row>
    <row r="12075" ht="15.75" customHeight="1">
      <c r="A12075" s="1">
        <v>12854.0</v>
      </c>
      <c r="B12075" s="3" t="s">
        <v>11524</v>
      </c>
      <c r="C12075" s="3" t="str">
        <f>IFERROR(__xludf.DUMMYFUNCTION("GOOGLETRANSLATE(B12075,""id"",""en"")"),"['Telkomsel', 'tide', 'tower', 'tower', 'abal', 'abal', 'signal', 'lelattttt', 'advice', 'reinforced', 'signal', 'annoying', ' Activities', 'Citizens',' Wear ',' Telkomsel ',' ']")</f>
        <v>['Telkomsel', 'tide', 'tower', 'tower', 'abal', 'abal', 'signal', 'lelattttt', 'advice', 'reinforced', 'signal', 'annoying', ' Activities', 'Citizens',' Wear ',' Telkomsel ',' ']</v>
      </c>
      <c r="D12075" s="3">
        <v>1.0</v>
      </c>
    </row>
    <row r="12076" ht="15.75" customHeight="1">
      <c r="A12076" s="1">
        <v>12855.0</v>
      </c>
      <c r="B12076" s="3" t="s">
        <v>11525</v>
      </c>
      <c r="C12076" s="3" t="str">
        <f>IFERROR(__xludf.DUMMYFUNCTION("GOOGLETRANSLATE(B12076,""id"",""en"")"),"['smooth', 'package', 'ttp', 'expensive', 'opened', 'bangse', 'yak', 'org', 'check', 'quota', 'buy', 'quota', ' Check ',' pulse ',' blocked ',' update ',' min ', ""]")</f>
        <v>['smooth', 'package', 'ttp', 'expensive', 'opened', 'bangse', 'yak', 'org', 'check', 'quota', 'buy', 'quota', ' Check ',' pulse ',' blocked ',' update ',' min ', "]</v>
      </c>
      <c r="D12076" s="3">
        <v>1.0</v>
      </c>
    </row>
    <row r="12077" ht="15.75" customHeight="1">
      <c r="A12077" s="1">
        <v>12858.0</v>
      </c>
      <c r="B12077" s="3" t="s">
        <v>11526</v>
      </c>
      <c r="C12077" s="3" t="str">
        <f>IFERROR(__xludf.DUMMYFUNCTION("GOOGLETRANSLATE(B12077,""id"",""en"")"),"['Benerin', 'Application', '']")</f>
        <v>['Benerin', 'Application', '']</v>
      </c>
      <c r="D12077" s="3">
        <v>1.0</v>
      </c>
    </row>
    <row r="12078" ht="15.75" customHeight="1">
      <c r="A12078" s="1">
        <v>12859.0</v>
      </c>
      <c r="B12078" s="3" t="s">
        <v>11527</v>
      </c>
      <c r="C12078" s="3" t="str">
        <f>IFERROR(__xludf.DUMMYFUNCTION("GOOGLETRANSLATE(B12078,""id"",""en"")"),"['Disappointed', 'Application', 'Nge', 'blank']")</f>
        <v>['Disappointed', 'Application', 'Nge', 'blank']</v>
      </c>
      <c r="D12078" s="3">
        <v>1.0</v>
      </c>
    </row>
    <row r="12079" ht="15.75" customHeight="1">
      <c r="A12079" s="1">
        <v>12860.0</v>
      </c>
      <c r="B12079" s="3" t="s">
        <v>11528</v>
      </c>
      <c r="C12079" s="3" t="str">
        <f>IFERROR(__xludf.DUMMYFUNCTION("GOOGLETRANSLATE(B12079,""id"",""en"")"),"['network', 'in place', 'pulp', 'really', 'sorry', 'min', 'please', 'report', 'bersan', 'bts',' please ',' plus', ' In the area ',' plus', 'remote', 'company', 'owned', 'BUMN', 'thinking', 'luck', 'Doang', 'Thinking', 'Fate', 'Netijennn', 'Plosok' , '']")</f>
        <v>['network', 'in place', 'pulp', 'really', 'sorry', 'min', 'please', 'report', 'bersan', 'bts',' please ',' plus', ' In the area ',' plus', 'remote', 'company', 'owned', 'BUMN', 'thinking', 'luck', 'Doang', 'Thinking', 'Fate', 'Netijennn', 'Plosok' , '']</v>
      </c>
      <c r="D12079" s="3">
        <v>1.0</v>
      </c>
    </row>
    <row r="12080" ht="15.75" customHeight="1">
      <c r="A12080" s="1">
        <v>12861.0</v>
      </c>
      <c r="B12080" s="3" t="s">
        <v>11529</v>
      </c>
      <c r="C12080" s="3" t="str">
        <f>IFERROR(__xludf.DUMMYFUNCTION("GOOGLETRANSLATE(B12080,""id"",""en"")"),"['', 'Tengok', 'Look', 'Network', 'Telkomsel', 'Kayak', 'Anjeng', '']")</f>
        <v>['', 'Tengok', 'Look', 'Network', 'Telkomsel', 'Kayak', 'Anjeng', '']</v>
      </c>
      <c r="D12080" s="3">
        <v>1.0</v>
      </c>
    </row>
    <row r="12081" ht="15.75" customHeight="1">
      <c r="A12081" s="1">
        <v>12862.0</v>
      </c>
      <c r="B12081" s="3" t="s">
        <v>11530</v>
      </c>
      <c r="C12081" s="3" t="str">
        <f>IFERROR(__xludf.DUMMYFUNCTION("GOOGLETRANSLATE(B12081,""id"",""en"")"),"['Abonen', 'RTS', 'a month', 'signal', 'bapuk', 'replace', 'rb', 'koq', 'mlh', 'tmbh', 'severe', 'Tobaaaaattttttt', ' ']")</f>
        <v>['Abonen', 'RTS', 'a month', 'signal', 'bapuk', 'replace', 'rb', 'koq', 'mlh', 'tmbh', 'severe', 'Tobaaaaattttttt', ' ']</v>
      </c>
      <c r="D12081" s="3">
        <v>1.0</v>
      </c>
    </row>
    <row r="12082" ht="15.75" customHeight="1">
      <c r="A12082" s="1">
        <v>12863.0</v>
      </c>
      <c r="B12082" s="3" t="s">
        <v>11531</v>
      </c>
      <c r="C12082" s="3" t="str">
        <f>IFERROR(__xludf.DUMMYFUNCTION("GOOGLETRANSLATE(B12082,""id"",""en"")"),"['application', 'dizziness',' error ',' blank ',' appears', 'screen', 'white', 'system', 'program', 'troublesome', 'difficult', 'really', ' Application ',' NII ',' troublesome ',' user ',' SPT ',' ']")</f>
        <v>['application', 'dizziness',' error ',' blank ',' appears', 'screen', 'white', 'system', 'program', 'troublesome', 'difficult', 'really', ' Application ',' NII ',' troublesome ',' user ',' SPT ',' ']</v>
      </c>
      <c r="D12082" s="3">
        <v>2.0</v>
      </c>
    </row>
    <row r="12083" ht="15.75" customHeight="1">
      <c r="A12083" s="1">
        <v>12865.0</v>
      </c>
      <c r="B12083" s="3" t="s">
        <v>11532</v>
      </c>
      <c r="C12083" s="3" t="str">
        <f>IFERROR(__xludf.DUMMYFUNCTION("GOOGLETRANSLATE(B12083,""id"",""en"")"),"['application', 'open', 'capacity', 'memory', 'application', 'already', 'download', 'event', 'try', 'uninstall', 'download', 'open', ' Please ',' min ']")</f>
        <v>['application', 'open', 'capacity', 'memory', 'application', 'already', 'download', 'event', 'try', 'uninstall', 'download', 'open', ' Please ',' min ']</v>
      </c>
      <c r="D12083" s="3">
        <v>1.0</v>
      </c>
    </row>
    <row r="12084" ht="15.75" customHeight="1">
      <c r="A12084" s="1">
        <v>12866.0</v>
      </c>
      <c r="B12084" s="3" t="s">
        <v>11533</v>
      </c>
      <c r="C12084" s="3" t="str">
        <f>IFERROR(__xludf.DUMMYFUNCTION("GOOGLETRANSLATE(B12084,""id"",""en"")"),"['intention', 'ngak', 'gave', 'promo', 'exchange', 'point', 'system', 'busy', 'provider', 'garbage']")</f>
        <v>['intention', 'ngak', 'gave', 'promo', 'exchange', 'point', 'system', 'busy', 'provider', 'garbage']</v>
      </c>
      <c r="D12084" s="3">
        <v>1.0</v>
      </c>
    </row>
    <row r="12085" ht="15.75" customHeight="1">
      <c r="A12085" s="1">
        <v>12867.0</v>
      </c>
      <c r="B12085" s="3" t="s">
        <v>11534</v>
      </c>
      <c r="C12085" s="3" t="str">
        <f>IFERROR(__xludf.DUMMYFUNCTION("GOOGLETRANSLATE(B12085,""id"",""en"")"),"['UDH', 'updated', 'Install', 'reset', 'Tetep', 'opened', 'GIMNA', 'UDH', 'BRP', 'opened', 'Linerin', 'Napaaaa']")</f>
        <v>['UDH', 'updated', 'Install', 'reset', 'Tetep', 'opened', 'GIMNA', 'UDH', 'BRP', 'opened', 'Linerin', 'Napaaaa']</v>
      </c>
      <c r="D12085" s="3">
        <v>1.0</v>
      </c>
    </row>
    <row r="12086" ht="15.75" customHeight="1">
      <c r="A12086" s="1">
        <v>12868.0</v>
      </c>
      <c r="B12086" s="3" t="s">
        <v>11535</v>
      </c>
      <c r="C12086" s="3" t="str">
        <f>IFERROR(__xludf.DUMMYFUNCTION("GOOGLETRANSLATE(B12086,""id"",""en"")"),"['Login', 'SIM', 'Login', 'SIM', 'Search', 'Option', 'Delete', 'Account', 'Options',' Update ',' Updated ',' Open ',' Hang ',' Samsung ',' Mending ',' Uninstall ',' ']")</f>
        <v>['Login', 'SIM', 'Login', 'SIM', 'Search', 'Option', 'Delete', 'Account', 'Options',' Update ',' Updated ',' Open ',' Hang ',' Samsung ',' Mending ',' Uninstall ',' ']</v>
      </c>
      <c r="D12086" s="3">
        <v>1.0</v>
      </c>
    </row>
    <row r="12087" ht="15.75" customHeight="1">
      <c r="A12087" s="1">
        <v>12869.0</v>
      </c>
      <c r="B12087" s="3" t="s">
        <v>11536</v>
      </c>
      <c r="C12087" s="3" t="str">
        <f>IFERROR(__xludf.DUMMYFUNCTION("GOOGLETRANSLATE(B12087,""id"",""en"")"),"['Severe', 'really', 'disappointed', 'Telkomsel', ""]")</f>
        <v>['Severe', 'really', 'disappointed', 'Telkomsel', "]</v>
      </c>
      <c r="D12087" s="3">
        <v>1.0</v>
      </c>
    </row>
    <row r="12088" ht="15.75" customHeight="1">
      <c r="A12088" s="1">
        <v>12870.0</v>
      </c>
      <c r="B12088" s="3" t="s">
        <v>11537</v>
      </c>
      <c r="C12088" s="3" t="str">
        <f>IFERROR(__xludf.DUMMYFUNCTION("GOOGLETRANSLATE(B12088,""id"",""en"")"),"['No', 'Open', 'App']")</f>
        <v>['No', 'Open', 'App']</v>
      </c>
      <c r="D12088" s="3">
        <v>1.0</v>
      </c>
    </row>
    <row r="12089" ht="15.75" customHeight="1">
      <c r="A12089" s="1">
        <v>12871.0</v>
      </c>
      <c r="B12089" s="3" t="s">
        <v>11538</v>
      </c>
      <c r="C12089" s="3" t="str">
        <f>IFERROR(__xludf.DUMMYFUNCTION("GOOGLETRANSLATE(B12089,""id"",""en"")"),"['expensive', 'buy', 'package', 'dsini']")</f>
        <v>['expensive', 'buy', 'package', 'dsini']</v>
      </c>
      <c r="D12089" s="3">
        <v>5.0</v>
      </c>
    </row>
    <row r="12090" ht="15.75" customHeight="1">
      <c r="A12090" s="1">
        <v>12872.0</v>
      </c>
      <c r="B12090" s="3" t="s">
        <v>11539</v>
      </c>
      <c r="C12090" s="3" t="str">
        <f>IFERROR(__xludf.DUMMYFUNCTION("GOOGLETRANSLATE(B12090,""id"",""en"")"),"['application', 'access']")</f>
        <v>['application', 'access']</v>
      </c>
      <c r="D12090" s="3">
        <v>1.0</v>
      </c>
    </row>
    <row r="12091" ht="15.75" customHeight="1">
      <c r="A12091" s="1">
        <v>12873.0</v>
      </c>
      <c r="B12091" s="3" t="s">
        <v>11540</v>
      </c>
      <c r="C12091" s="3" t="str">
        <f>IFERROR(__xludf.DUMMYFUNCTION("GOOGLETRANSLATE(B12091,""id"",""en"")"),"['updated', 'turn', 'already', 'update', 'open', 'white', 'doang', ""]")</f>
        <v>['updated', 'turn', 'already', 'update', 'open', 'white', 'doang', "]</v>
      </c>
      <c r="D12091" s="3">
        <v>2.0</v>
      </c>
    </row>
    <row r="12092" ht="15.75" customHeight="1">
      <c r="A12092" s="1">
        <v>12874.0</v>
      </c>
      <c r="B12092" s="3" t="s">
        <v>11541</v>
      </c>
      <c r="C12092" s="3" t="str">
        <f>IFERROR(__xludf.DUMMYFUNCTION("GOOGLETRANSLATE(B12092,""id"",""en"")"),"['Fill', 'pulse', 'run out', 'first', 'leftover', 'quota', 'please', 'fix', 'cuk', 'mataneh', 'ngene', 'mawut']")</f>
        <v>['Fill', 'pulse', 'run out', 'first', 'leftover', 'quota', 'please', 'fix', 'cuk', 'mataneh', 'ngene', 'mawut']</v>
      </c>
      <c r="D12092" s="3">
        <v>2.0</v>
      </c>
    </row>
    <row r="12093" ht="15.75" customHeight="1">
      <c r="A12093" s="1">
        <v>12875.0</v>
      </c>
      <c r="B12093" s="3" t="s">
        <v>11542</v>
      </c>
      <c r="C12093" s="3" t="str">
        <f>IFERROR(__xludf.DUMMYFUNCTION("GOOGLETRANSLATE(B12093,""id"",""en"")"),"['Severe', 'already', 'Sekas', 'Network', 'chaotic', 'expensive', 'doang', 'poor', 'classy', ""]")</f>
        <v>['Severe', 'already', 'Sekas', 'Network', 'chaotic', 'expensive', 'doang', 'poor', 'classy', "]</v>
      </c>
      <c r="D12093" s="3">
        <v>1.0</v>
      </c>
    </row>
    <row r="12094" ht="15.75" customHeight="1">
      <c r="A12094" s="1">
        <v>12876.0</v>
      </c>
      <c r="B12094" s="3" t="s">
        <v>4863</v>
      </c>
      <c r="C12094" s="3" t="str">
        <f>IFERROR(__xludf.DUMMYFUNCTION("GOOGLETRANSLATE(B12094,""id"",""en"")"),"['Kasi']")</f>
        <v>['Kasi']</v>
      </c>
      <c r="D12094" s="3">
        <v>3.0</v>
      </c>
    </row>
    <row r="12095" ht="15.75" customHeight="1">
      <c r="A12095" s="1">
        <v>12877.0</v>
      </c>
      <c r="B12095" s="3" t="s">
        <v>11543</v>
      </c>
      <c r="C12095" s="3" t="str">
        <f>IFERROR(__xludf.DUMMYFUNCTION("GOOGLETRANSLATE(B12095,""id"",""en"")"),"['Applications', 'Open', 'Android']")</f>
        <v>['Applications', 'Open', 'Android']</v>
      </c>
      <c r="D12095" s="3">
        <v>1.0</v>
      </c>
    </row>
    <row r="12096" ht="15.75" customHeight="1">
      <c r="A12096" s="1">
        <v>12878.0</v>
      </c>
      <c r="B12096" s="3" t="s">
        <v>11544</v>
      </c>
      <c r="C12096" s="3" t="str">
        <f>IFERROR(__xludf.DUMMYFUNCTION("GOOGLETRANSLATE(B12096,""id"",""en"")"),"['sell', 'quota', 'GB', 'user', 'active', 'internet', 'person', 'old', 'month', 'forced', 'buy', 'quota', ' ']")</f>
        <v>['sell', 'quota', 'GB', 'user', 'active', 'internet', 'person', 'old', 'month', 'forced', 'buy', 'quota', ' ']</v>
      </c>
      <c r="D12096" s="3">
        <v>3.0</v>
      </c>
    </row>
    <row r="12097" ht="15.75" customHeight="1">
      <c r="A12097" s="1">
        <v>12879.0</v>
      </c>
      <c r="B12097" s="3" t="s">
        <v>11545</v>
      </c>
      <c r="C12097" s="3" t="str">
        <f>IFERROR(__xludf.DUMMYFUNCTION("GOOGLETRANSLATE(B12097,""id"",""en"")"),"['Mantabb', 'Package', '']")</f>
        <v>['Mantabb', 'Package', '']</v>
      </c>
      <c r="D12097" s="3">
        <v>5.0</v>
      </c>
    </row>
    <row r="12098" ht="15.75" customHeight="1">
      <c r="A12098" s="1">
        <v>12880.0</v>
      </c>
      <c r="B12098" s="3" t="s">
        <v>11546</v>
      </c>
      <c r="C12098" s="3" t="str">
        <f>IFERROR(__xludf.DUMMYFUNCTION("GOOGLETRANSLATE(B12098,""id"",""en"")"),"['symbiosis', 'mutualism', 'Telkomsel', 'community', 'broad']")</f>
        <v>['symbiosis', 'mutualism', 'Telkomsel', 'community', 'broad']</v>
      </c>
      <c r="D12098" s="3">
        <v>5.0</v>
      </c>
    </row>
    <row r="12099" ht="15.75" customHeight="1">
      <c r="A12099" s="1">
        <v>12881.0</v>
      </c>
      <c r="B12099" s="3" t="s">
        <v>11547</v>
      </c>
      <c r="C12099" s="3" t="str">
        <f>IFERROR(__xludf.DUMMYFUNCTION("GOOGLETRANSLATE(B12099,""id"",""en"")"),"['Good', 'fast', 'transaction', 'expensive', 'buy', 'package']")</f>
        <v>['Good', 'fast', 'transaction', 'expensive', 'buy', 'package']</v>
      </c>
      <c r="D12099" s="3">
        <v>5.0</v>
      </c>
    </row>
    <row r="12100" ht="15.75" customHeight="1">
      <c r="A12100" s="1">
        <v>12883.0</v>
      </c>
      <c r="B12100" s="3" t="s">
        <v>11548</v>
      </c>
      <c r="C12100" s="3" t="str">
        <f>IFERROR(__xludf.DUMMYFUNCTION("GOOGLETRANSLATE(B12100,""id"",""en"")"),"['Telkom', 'strange', 'list', 'package', 'ulmitid', 'youtube', 'open', 'youtube', 'package', 'data', 'utamaku', 'reduced', ' Croi ',' Data ',' Buru ',' KKKK ']")</f>
        <v>['Telkom', 'strange', 'list', 'package', 'ulmitid', 'youtube', 'open', 'youtube', 'package', 'data', 'utamaku', 'reduced', ' Croi ',' Data ',' Buru ',' KKKK ']</v>
      </c>
      <c r="D12100" s="3">
        <v>1.0</v>
      </c>
    </row>
    <row r="12101" ht="15.75" customHeight="1">
      <c r="A12101" s="1">
        <v>12884.0</v>
      </c>
      <c r="B12101" s="3" t="s">
        <v>11549</v>
      </c>
      <c r="C12101" s="3" t="str">
        <f>IFERROR(__xludf.DUMMYFUNCTION("GOOGLETRANSLATE(B12101,""id"",""en"")"),"['Good', 'really', 'principal', 'Telkomsel', 'choice', 'package', 'internet', 'hope', 'forward', 'advanced', 'success']")</f>
        <v>['Good', 'really', 'principal', 'Telkomsel', 'choice', 'package', 'internet', 'hope', 'forward', 'advanced', 'success']</v>
      </c>
      <c r="D12101" s="3">
        <v>5.0</v>
      </c>
    </row>
    <row r="12102" ht="15.75" customHeight="1">
      <c r="A12102" s="1">
        <v>12885.0</v>
      </c>
      <c r="B12102" s="3" t="s">
        <v>11550</v>
      </c>
      <c r="C12102" s="3" t="str">
        <f>IFERROR(__xludf.DUMMYFUNCTION("GOOGLETRANSLATE(B12102,""id"",""en"")"),"['User', 'Sorry', 'Thank you', ""]")</f>
        <v>['User', 'Sorry', 'Thank you', "]</v>
      </c>
      <c r="D12102" s="3">
        <v>1.0</v>
      </c>
    </row>
    <row r="12103" ht="15.75" customHeight="1">
      <c r="A12103" s="1">
        <v>12886.0</v>
      </c>
      <c r="B12103" s="3" t="s">
        <v>11551</v>
      </c>
      <c r="C12103" s="3" t="str">
        <f>IFERROR(__xludf.DUMMYFUNCTION("GOOGLETRANSLATE(B12103,""id"",""en"")"),"['application', 'Telkom', 'opened', 'obstacle', 'Where', 'application', ""]")</f>
        <v>['application', 'Telkom', 'opened', 'obstacle', 'Where', 'application', "]</v>
      </c>
      <c r="D12103" s="3">
        <v>2.0</v>
      </c>
    </row>
    <row r="12104" ht="15.75" customHeight="1">
      <c r="A12104" s="1">
        <v>12887.0</v>
      </c>
      <c r="B12104" s="3" t="s">
        <v>11552</v>
      </c>
      <c r="C12104" s="3" t="str">
        <f>IFERROR(__xludf.DUMMYFUNCTION("GOOGLETRANSLATE(B12104,""id"",""en"")"),"['yaa', 'bbrp', 'open', 'mytelkomsel', 'kluar', 'screen', 'white', 'doang', 'pdhl', 'week', 'opened', 'daily', ' Check ',' ']")</f>
        <v>['yaa', 'bbrp', 'open', 'mytelkomsel', 'kluar', 'screen', 'white', 'doang', 'pdhl', 'week', 'opened', 'daily', ' Check ',' ']</v>
      </c>
      <c r="D12104" s="3">
        <v>1.0</v>
      </c>
    </row>
    <row r="12105" ht="15.75" customHeight="1">
      <c r="A12105" s="1">
        <v>12889.0</v>
      </c>
      <c r="B12105" s="3" t="s">
        <v>11553</v>
      </c>
      <c r="C12105" s="3" t="str">
        <f>IFERROR(__xludf.DUMMYFUNCTION("GOOGLETRANSLATE(B12105,""id"",""en"")"),"['love', 'star', 'collapsed', 'deh', 'application', 'slow', 'signal', 'ugly', 'buy', 'package', 'internet', 'application', ' Not ',' functions', 'Telkomsel', ""]")</f>
        <v>['love', 'star', 'collapsed', 'deh', 'application', 'slow', 'signal', 'ugly', 'buy', 'package', 'internet', 'application', ' Not ',' functions', 'Telkomsel', "]</v>
      </c>
      <c r="D12105" s="3">
        <v>2.0</v>
      </c>
    </row>
    <row r="12106" ht="15.75" customHeight="1">
      <c r="A12106" s="1">
        <v>12890.0</v>
      </c>
      <c r="B12106" s="3" t="s">
        <v>11554</v>
      </c>
      <c r="C12106" s="3" t="str">
        <f>IFERROR(__xludf.DUMMYFUNCTION("GOOGLETRANSLATE(B12106,""id"",""en"")"),"['apk', 'no', 'opened', '']")</f>
        <v>['apk', 'no', 'opened', '']</v>
      </c>
      <c r="D12106" s="3">
        <v>1.0</v>
      </c>
    </row>
    <row r="12107" ht="15.75" customHeight="1">
      <c r="A12107" s="1">
        <v>12891.0</v>
      </c>
      <c r="B12107" s="3" t="s">
        <v>11555</v>
      </c>
      <c r="C12107" s="3" t="str">
        <f>IFERROR(__xludf.DUMMYFUNCTION("GOOGLETRANSLATE(B12107,""id"",""en"")"),"['repeated', 'times', 'signal', 'slow', 'bilin', 'slow', 'action']")</f>
        <v>['repeated', 'times', 'signal', 'slow', 'bilin', 'slow', 'action']</v>
      </c>
      <c r="D12107" s="3">
        <v>1.0</v>
      </c>
    </row>
    <row r="12108" ht="15.75" customHeight="1">
      <c r="A12108" s="1">
        <v>12892.0</v>
      </c>
      <c r="B12108" s="3" t="s">
        <v>11556</v>
      </c>
      <c r="C12108" s="3" t="str">
        <f>IFERROR(__xludf.DUMMYFUNCTION("GOOGLETRANSLATE(B12108,""id"",""en"")"),"['Ngak', 'Open', 'The application', 'Download', 'wasteful', 'wasteful', 'quota', '']")</f>
        <v>['Ngak', 'Open', 'The application', 'Download', 'wasteful', 'wasteful', 'quota', '']</v>
      </c>
      <c r="D12108" s="3">
        <v>1.0</v>
      </c>
    </row>
    <row r="12109" ht="15.75" customHeight="1">
      <c r="A12109" s="1">
        <v>12893.0</v>
      </c>
      <c r="B12109" s="3" t="s">
        <v>11557</v>
      </c>
      <c r="C12109" s="3" t="str">
        <f>IFERROR(__xludf.DUMMYFUNCTION("GOOGLETRANSLATE(B12109,""id"",""en"")"),"['Min', 'Application', 'Open', 'Update', '']")</f>
        <v>['Min', 'Application', 'Open', 'Update', '']</v>
      </c>
      <c r="D12109" s="3">
        <v>1.0</v>
      </c>
    </row>
    <row r="12110" ht="15.75" customHeight="1">
      <c r="A12110" s="1">
        <v>12894.0</v>
      </c>
      <c r="B12110" s="3" t="s">
        <v>11558</v>
      </c>
      <c r="C12110" s="3" t="str">
        <f>IFERROR(__xludf.DUMMYFUNCTION("GOOGLETRANSLATE(B12110,""id"",""en"")"),"['Ngilake', 'woii', 'times', 'comment', 'deleted', 'Mulu', 'unisntall', 'complement', 'lined', 'response']")</f>
        <v>['Ngilake', 'woii', 'times', 'comment', 'deleted', 'Mulu', 'unisntall', 'complement', 'lined', 'response']</v>
      </c>
      <c r="D12110" s="3">
        <v>1.0</v>
      </c>
    </row>
    <row r="12111" ht="15.75" customHeight="1">
      <c r="A12111" s="1">
        <v>12895.0</v>
      </c>
      <c r="B12111" s="3" t="s">
        <v>11559</v>
      </c>
      <c r="C12111" s="3" t="str">
        <f>IFERROR(__xludf.DUMMYFUNCTION("GOOGLETRANSLATE(B12111,""id"",""en"")"),"['njir', 'application', 'cave', 'update', 'smooth', 'smooth', 'cave', 'update', 'severe', 'open', 'application', 'cave', ' Update ',' APL ',' smooth ',' destroyed ',' appears', 'picture', 'white', 'udh', 'cave', 'wait', 'an hour', 'that's',' that's' , 'Da"&amp;"mn', 'application']")</f>
        <v>['njir', 'application', 'cave', 'update', 'smooth', 'smooth', 'cave', 'update', 'severe', 'open', 'application', 'cave', ' Update ',' APL ',' smooth ',' destroyed ',' appears', 'picture', 'white', 'udh', 'cave', 'wait', 'an hour', 'that's',' that's' , 'Damn', 'application']</v>
      </c>
      <c r="D12111" s="3">
        <v>1.0</v>
      </c>
    </row>
    <row r="12112" ht="15.75" customHeight="1">
      <c r="A12112" s="1">
        <v>12896.0</v>
      </c>
      <c r="B12112" s="3" t="s">
        <v>11560</v>
      </c>
      <c r="C12112" s="3" t="str">
        <f>IFERROR(__xludf.DUMMYFUNCTION("GOOGLETRANSLATE(B12112,""id"",""en"")"),"['buy', 'expensive', 'comparable', 'qualities', 'network', 'poor', 'Telkomsel', 'disappointing', '']")</f>
        <v>['buy', 'expensive', 'comparable', 'qualities', 'network', 'poor', 'Telkomsel', 'disappointing', '']</v>
      </c>
      <c r="D12112" s="3">
        <v>1.0</v>
      </c>
    </row>
    <row r="12113" ht="15.75" customHeight="1">
      <c r="A12113" s="1">
        <v>12897.0</v>
      </c>
      <c r="B12113" s="3" t="s">
        <v>11561</v>
      </c>
      <c r="C12113" s="3" t="str">
        <f>IFERROR(__xludf.DUMMYFUNCTION("GOOGLETRANSLATE(B12113,""id"",""en"")"),"['Telkomsel', 'open', 'right', 'open', 'screen', 'NYS', 'white', 'enter', 'apk', 'udh', 'many', 'times',' Try ',' Tetep ',' Enter ',' Telkomsel ',' Please ',' Benin ',' Enter ',' UDH ',' Network ',' Enter ',' APK ', ""]")</f>
        <v>['Telkomsel', 'open', 'right', 'open', 'screen', 'NYS', 'white', 'enter', 'apk', 'udh', 'many', 'times',' Try ',' Tetep ',' Enter ',' Telkomsel ',' Please ',' Benin ',' Enter ',' UDH ',' Network ',' Enter ',' APK ', "]</v>
      </c>
      <c r="D12113" s="3">
        <v>1.0</v>
      </c>
    </row>
    <row r="12114" ht="15.75" customHeight="1">
      <c r="A12114" s="1">
        <v>12899.0</v>
      </c>
      <c r="B12114" s="3" t="s">
        <v>355</v>
      </c>
      <c r="C12114" s="3" t="str">
        <f>IFERROR(__xludf.DUMMYFUNCTION("GOOGLETRANSLATE(B12114,""id"",""en"")"),"['open', '']")</f>
        <v>['open', '']</v>
      </c>
      <c r="D12114" s="3">
        <v>1.0</v>
      </c>
    </row>
    <row r="12115" ht="15.75" customHeight="1">
      <c r="A12115" s="1">
        <v>12900.0</v>
      </c>
      <c r="B12115" s="3" t="s">
        <v>11562</v>
      </c>
      <c r="C12115" s="3" t="str">
        <f>IFERROR(__xludf.DUMMYFUNCTION("GOOGLETRANSLATE(B12115,""id"",""en"")"),"['already', 'Week', 'White', 'Spot', 'term', 'opened', 'accessed', 'too lag', 'daily', 'daily', 'check', '']")</f>
        <v>['already', 'Week', 'White', 'Spot', 'term', 'opened', 'accessed', 'too lag', 'daily', 'daily', 'check', '']</v>
      </c>
      <c r="D12115" s="3">
        <v>1.0</v>
      </c>
    </row>
    <row r="12116" ht="15.75" customHeight="1">
      <c r="A12116" s="1">
        <v>12901.0</v>
      </c>
      <c r="B12116" s="3" t="s">
        <v>11563</v>
      </c>
      <c r="C12116" s="3" t="str">
        <f>IFERROR(__xludf.DUMMYFUNCTION("GOOGLETRANSLATE(B12116,""id"",""en"")"),"['Provider', 'ugly', 'week', 'response', 'application', 'ngeblank', ""]")</f>
        <v>['Provider', 'ugly', 'week', 'response', 'application', 'ngeblank', "]</v>
      </c>
      <c r="D12116" s="3">
        <v>1.0</v>
      </c>
    </row>
    <row r="12117" ht="15.75" customHeight="1">
      <c r="A12117" s="1">
        <v>12902.0</v>
      </c>
      <c r="B12117" s="3" t="s">
        <v>11564</v>
      </c>
      <c r="C12117" s="3" t="str">
        <f>IFERROR(__xludf.DUMMYFUNCTION("GOOGLETRANSLATE(B12117,""id"",""en"")"),"['Package', 'Telkomsel', '']")</f>
        <v>['Package', 'Telkomsel', '']</v>
      </c>
      <c r="D12117" s="3">
        <v>5.0</v>
      </c>
    </row>
    <row r="12118" ht="15.75" customHeight="1">
      <c r="A12118" s="1">
        <v>12903.0</v>
      </c>
      <c r="B12118" s="3" t="s">
        <v>11565</v>
      </c>
      <c r="C12118" s="3" t="str">
        <f>IFERROR(__xludf.DUMMYFUNCTION("GOOGLETRANSLATE(B12118,""id"",""en"")"),"['confused', 'Telkomsel', 'checked', 'pulse', 'buy', 'package', 'internet', 'waduhhhhh']")</f>
        <v>['confused', 'Telkomsel', 'checked', 'pulse', 'buy', 'package', 'internet', 'waduhhhhh']</v>
      </c>
      <c r="D12118" s="3">
        <v>1.0</v>
      </c>
    </row>
    <row r="12119" ht="15.75" customHeight="1">
      <c r="A12119" s="1">
        <v>12904.0</v>
      </c>
      <c r="B12119" s="3" t="s">
        <v>706</v>
      </c>
      <c r="C12119" s="3" t="str">
        <f>IFERROR(__xludf.DUMMYFUNCTION("GOOGLETRANSLATE(B12119,""id"",""en"")"),"['Good', 'like']")</f>
        <v>['Good', 'like']</v>
      </c>
      <c r="D12119" s="3">
        <v>4.0</v>
      </c>
    </row>
    <row r="12120" ht="15.75" customHeight="1">
      <c r="A12120" s="1">
        <v>12906.0</v>
      </c>
      <c r="B12120" s="3" t="s">
        <v>11566</v>
      </c>
      <c r="C12120" s="3" t="str">
        <f>IFERROR(__xludf.DUMMYFUNCTION("GOOGLETRANSLATE(B12120,""id"",""en"")"),"['BSA', 'opened', 'screen', 'white']")</f>
        <v>['BSA', 'opened', 'screen', 'white']</v>
      </c>
      <c r="D12120" s="3">
        <v>2.0</v>
      </c>
    </row>
    <row r="12121" ht="15.75" customHeight="1">
      <c r="A12121" s="1">
        <v>12907.0</v>
      </c>
      <c r="B12121" s="3" t="s">
        <v>11567</v>
      </c>
      <c r="C12121" s="3" t="str">
        <f>IFERROR(__xludf.DUMMYFUNCTION("GOOGLETRANSLATE(B12121,""id"",""en"")"),"['', 'Open', 'application', 'Please', 'explanation', ""]")</f>
        <v>['', 'Open', 'application', 'Please', 'explanation', "]</v>
      </c>
      <c r="D12121" s="3">
        <v>2.0</v>
      </c>
    </row>
    <row r="12122" ht="15.75" customHeight="1">
      <c r="A12122" s="1">
        <v>12908.0</v>
      </c>
      <c r="B12122" s="3" t="s">
        <v>11568</v>
      </c>
      <c r="C12122" s="3" t="str">
        <f>IFERROR(__xludf.DUMMYFUNCTION("GOOGLETRANSLATE(B12122,""id"",""en"")"),"['Leech', 'land', 'strangling', 'people']")</f>
        <v>['Leech', 'land', 'strangling', 'people']</v>
      </c>
      <c r="D12122" s="3">
        <v>1.0</v>
      </c>
    </row>
    <row r="12123" ht="15.75" customHeight="1">
      <c r="A12123" s="1">
        <v>12909.0</v>
      </c>
      <c r="B12123" s="3" t="s">
        <v>859</v>
      </c>
      <c r="C12123" s="3" t="str">
        <f>IFERROR(__xludf.DUMMYFUNCTION("GOOGLETRANSLATE(B12123,""id"",""en"")"),"['help', '']")</f>
        <v>['help', '']</v>
      </c>
      <c r="D12123" s="3">
        <v>5.0</v>
      </c>
    </row>
    <row r="12124" ht="15.75" customHeight="1">
      <c r="A12124" s="1">
        <v>12910.0</v>
      </c>
      <c r="B12124" s="3" t="s">
        <v>11569</v>
      </c>
      <c r="C12124" s="3" t="str">
        <f>IFERROR(__xludf.DUMMYFUNCTION("GOOGLETRANSLATE(B12124,""id"",""en"")"),"['Please', 'sorry', 'list', 'quota', 'Telkomsel', 'error', 'then', 'pulse', 'truncated', 'quota', 'enter']")</f>
        <v>['Please', 'sorry', 'list', 'quota', 'Telkomsel', 'error', 'then', 'pulse', 'truncated', 'quota', 'enter']</v>
      </c>
      <c r="D12124" s="3">
        <v>1.0</v>
      </c>
    </row>
    <row r="12125" ht="15.75" customHeight="1">
      <c r="A12125" s="1">
        <v>12911.0</v>
      </c>
      <c r="B12125" s="3" t="s">
        <v>11570</v>
      </c>
      <c r="C12125" s="3" t="str">
        <f>IFERROR(__xludf.DUMMYFUNCTION("GOOGLETRANSLATE(B12125,""id"",""en"")"),"['Sis', 'internet', 'slow', 'open', 'pending', 'internet', 'local', 'the problem', ""]")</f>
        <v>['Sis', 'internet', 'slow', 'open', 'pending', 'internet', 'local', 'the problem', "]</v>
      </c>
      <c r="D12125" s="3">
        <v>1.0</v>
      </c>
    </row>
    <row r="12126" ht="15.75" customHeight="1">
      <c r="A12126" s="1">
        <v>12912.0</v>
      </c>
      <c r="B12126" s="3" t="s">
        <v>11571</v>
      </c>
      <c r="C12126" s="3" t="str">
        <f>IFERROR(__xludf.DUMMYFUNCTION("GOOGLETRANSLATE(B12126,""id"",""en"")"),"['Disappointed', 'Update', 'Open', 'right', 'Apus', 'Download', 'LGI']")</f>
        <v>['Disappointed', 'Update', 'Open', 'right', 'Apus', 'Download', 'LGI']</v>
      </c>
      <c r="D12126" s="3">
        <v>1.0</v>
      </c>
    </row>
    <row r="12127" ht="15.75" customHeight="1">
      <c r="A12127" s="1">
        <v>12913.0</v>
      </c>
      <c r="B12127" s="3" t="s">
        <v>11572</v>
      </c>
      <c r="C12127" s="3" t="str">
        <f>IFERROR(__xludf.DUMMYFUNCTION("GOOGLETRANSLATE(B12127,""id"",""en"")"),"['Open', 'Application', 'Network', 'Sekenceng', 'Internet']")</f>
        <v>['Open', 'Application', 'Network', 'Sekenceng', 'Internet']</v>
      </c>
      <c r="D12127" s="3">
        <v>2.0</v>
      </c>
    </row>
    <row r="12128" ht="15.75" customHeight="1">
      <c r="A12128" s="1">
        <v>12914.0</v>
      </c>
      <c r="B12128" s="3" t="s">
        <v>11573</v>
      </c>
      <c r="C12128" s="3" t="str">
        <f>IFERROR(__xludf.DUMMYFUNCTION("GOOGLETRANSLATE(B12128,""id"",""en"")"),"['Knp', 'right', 'contents',' pulse ',' jdi ',' pulse ',' yng ',' buy ',' sms', 'enter', 'jumbah', 'check', ' JDI ',' BNR ',' Disappointed ',' Telkomsel ',' UDH ',' Signal ',' Karuan ',' Severe ']")</f>
        <v>['Knp', 'right', 'contents',' pulse ',' jdi ',' pulse ',' yng ',' buy ',' sms', 'enter', 'jumbah', 'check', ' JDI ',' BNR ',' Disappointed ',' Telkomsel ',' UDH ',' Signal ',' Karuan ',' Severe ']</v>
      </c>
      <c r="D12128" s="3">
        <v>1.0</v>
      </c>
    </row>
    <row r="12129" ht="15.75" customHeight="1">
      <c r="A12129" s="1">
        <v>12915.0</v>
      </c>
      <c r="B12129" s="3" t="s">
        <v>10287</v>
      </c>
      <c r="C12129" s="3" t="str">
        <f>IFERROR(__xludf.DUMMYFUNCTION("GOOGLETRANSLATE(B12129,""id"",""en"")"),"['enter', 'screen', 'white']")</f>
        <v>['enter', 'screen', 'white']</v>
      </c>
      <c r="D12129" s="3">
        <v>2.0</v>
      </c>
    </row>
    <row r="12130" ht="15.75" customHeight="1">
      <c r="A12130" s="1">
        <v>12916.0</v>
      </c>
      <c r="B12130" s="3" t="s">
        <v>11574</v>
      </c>
      <c r="C12130" s="3" t="str">
        <f>IFERROR(__xludf.DUMMYFUNCTION("GOOGLETRANSLATE(B12130,""id"",""en"")"),"['difficult', 'times', 'open']")</f>
        <v>['difficult', 'times', 'open']</v>
      </c>
      <c r="D12130" s="3">
        <v>5.0</v>
      </c>
    </row>
    <row r="12131" ht="15.75" customHeight="1">
      <c r="A12131" s="1">
        <v>12917.0</v>
      </c>
      <c r="B12131" s="3" t="s">
        <v>11575</v>
      </c>
      <c r="C12131" s="3" t="str">
        <f>IFERROR(__xludf.DUMMYFUNCTION("GOOGLETRANSLATE(B12131,""id"",""en"")"),"['Loak', ""]")</f>
        <v>['Loak', "]</v>
      </c>
      <c r="D12131" s="3">
        <v>1.0</v>
      </c>
    </row>
    <row r="12132" ht="15.75" customHeight="1">
      <c r="A12132" s="1">
        <v>12918.0</v>
      </c>
      <c r="B12132" s="3" t="s">
        <v>11576</v>
      </c>
      <c r="C12132" s="3" t="str">
        <f>IFERROR(__xludf.DUMMYFUNCTION("GOOGLETRANSLATE(B12132,""id"",""en"")"),"['WOI', 'Benerin', 'signal', 'bang', 'signal', 'ugly', 'really', 'Gue', 'City']")</f>
        <v>['WOI', 'Benerin', 'signal', 'bang', 'signal', 'ugly', 'really', 'Gue', 'City']</v>
      </c>
      <c r="D12132" s="3">
        <v>1.0</v>
      </c>
    </row>
    <row r="12133" ht="15.75" customHeight="1">
      <c r="A12133" s="1">
        <v>12919.0</v>
      </c>
      <c r="B12133" s="3" t="s">
        <v>11577</v>
      </c>
      <c r="C12133" s="3" t="str">
        <f>IFERROR(__xludf.DUMMYFUNCTION("GOOGLETRANSLATE(B12133,""id"",""en"")"),"['Provider', 'garbage', 'run out', 'transaction', 'gopay', 'entry', 'package', 'provider', 'mending', 'provider', 'junk', 'match']")</f>
        <v>['Provider', 'garbage', 'run out', 'transaction', 'gopay', 'entry', 'package', 'provider', 'mending', 'provider', 'junk', 'match']</v>
      </c>
      <c r="D12133" s="3">
        <v>1.0</v>
      </c>
    </row>
    <row r="12134" ht="15.75" customHeight="1">
      <c r="A12134" s="1">
        <v>12920.0</v>
      </c>
      <c r="B12134" s="3" t="s">
        <v>11578</v>
      </c>
      <c r="C12134" s="3" t="str">
        <f>IFERROR(__xludf.DUMMYFUNCTION("GOOGLETRANSLATE(B12134,""id"",""en"")"),"['Love', 'Telkomsel']")</f>
        <v>['Love', 'Telkomsel']</v>
      </c>
      <c r="D12134" s="3">
        <v>5.0</v>
      </c>
    </row>
    <row r="12135" ht="15.75" customHeight="1">
      <c r="A12135" s="1">
        <v>12921.0</v>
      </c>
      <c r="B12135" s="3" t="s">
        <v>11579</v>
      </c>
      <c r="C12135" s="3" t="str">
        <f>IFERROR(__xludf.DUMMYFUNCTION("GOOGLETRANSLATE(B12135,""id"",""en"")"),"['APK', 'makes it easy', 'users', 'Telkomsel', '']")</f>
        <v>['APK', 'makes it easy', 'users', 'Telkomsel', '']</v>
      </c>
      <c r="D12135" s="3">
        <v>5.0</v>
      </c>
    </row>
    <row r="12136" ht="15.75" customHeight="1">
      <c r="A12136" s="1">
        <v>12922.0</v>
      </c>
      <c r="B12136" s="3" t="s">
        <v>11580</v>
      </c>
      <c r="C12136" s="3" t="str">
        <f>IFERROR(__xludf.DUMMYFUNCTION("GOOGLETRANSLATE(B12136,""id"",""en"")"),"['network', 'gajelas', 'slow', 'severe', 'used to', 'good', 'slow', 'severe', 'report', 'gada', 'solution']")</f>
        <v>['network', 'gajelas', 'slow', 'severe', 'used to', 'good', 'slow', 'severe', 'report', 'gada', 'solution']</v>
      </c>
      <c r="D12136" s="3">
        <v>1.0</v>
      </c>
    </row>
    <row r="12137" ht="15.75" customHeight="1">
      <c r="A12137" s="1">
        <v>12923.0</v>
      </c>
      <c r="B12137" s="3" t="s">
        <v>11581</v>
      </c>
      <c r="C12137" s="3" t="str">
        <f>IFERROR(__xludf.DUMMYFUNCTION("GOOGLETRANSLATE(B12137,""id"",""en"")"),"['Eliminated', 'Advertising', 'Restless', 'Appearance', 'Ad', 'SLL', 'Disturbing', 'MHN', 'Evaluation', ""]")</f>
        <v>['Eliminated', 'Advertising', 'Restless', 'Appearance', 'Ad', 'SLL', 'Disturbing', 'MHN', 'Evaluation', "]</v>
      </c>
      <c r="D12137" s="3">
        <v>1.0</v>
      </c>
    </row>
    <row r="12138" ht="15.75" customHeight="1">
      <c r="A12138" s="1">
        <v>12924.0</v>
      </c>
      <c r="B12138" s="3" t="s">
        <v>11582</v>
      </c>
      <c r="C12138" s="3" t="str">
        <f>IFERROR(__xludf.DUMMYFUNCTION("GOOGLETRANSLATE(B12138,""id"",""en"")"),"['Upgrade', 'appears', 'screen', 'white']")</f>
        <v>['Upgrade', 'appears', 'screen', 'white']</v>
      </c>
      <c r="D12138" s="3">
        <v>1.0</v>
      </c>
    </row>
    <row r="12139" ht="15.75" customHeight="1">
      <c r="A12139" s="1">
        <v>12925.0</v>
      </c>
      <c r="B12139" s="3" t="s">
        <v>11583</v>
      </c>
      <c r="C12139" s="3" t="str">
        <f>IFERROR(__xludf.DUMMYFUNCTION("GOOGLETRANSLATE(B12139,""id"",""en"")"),"['Cie', 'bankrupt', 'network', 'slow', 'tin', 'cie', 'lid', 'company', 'believed', 'package', 'doang', 'expensive', ' kntle ']")</f>
        <v>['Cie', 'bankrupt', 'network', 'slow', 'tin', 'cie', 'lid', 'company', 'believed', 'package', 'doang', 'expensive', ' kntle ']</v>
      </c>
      <c r="D12139" s="3">
        <v>1.0</v>
      </c>
    </row>
    <row r="12140" ht="15.75" customHeight="1">
      <c r="A12140" s="1">
        <v>12926.0</v>
      </c>
      <c r="B12140" s="3" t="s">
        <v>180</v>
      </c>
      <c r="C12140" s="3" t="str">
        <f>IFERROR(__xludf.DUMMYFUNCTION("GOOGLETRANSLATE(B12140,""id"",""en"")"),"['hopefully']")</f>
        <v>['hopefully']</v>
      </c>
      <c r="D12140" s="3">
        <v>5.0</v>
      </c>
    </row>
    <row r="12141" ht="15.75" customHeight="1">
      <c r="A12141" s="1">
        <v>12927.0</v>
      </c>
      <c r="B12141" s="3" t="s">
        <v>11584</v>
      </c>
      <c r="C12141" s="3" t="str">
        <f>IFERROR(__xludf.DUMMYFUNCTION("GOOGLETRANSLATE(B12141,""id"",""en"")"),"['Just', 'cave', 'buy', 'pket', 'no', 'entry', 'gyma', 'pulse', 'cave', 'ajah', 'lost', 'pket', ' No ',' msuk ', ""]")</f>
        <v>['Just', 'cave', 'buy', 'pket', 'no', 'entry', 'gyma', 'pulse', 'cave', 'ajah', 'lost', 'pket', ' No ',' msuk ', "]</v>
      </c>
      <c r="D12141" s="3">
        <v>3.0</v>
      </c>
    </row>
    <row r="12142" ht="15.75" customHeight="1">
      <c r="A12142" s="1">
        <v>12928.0</v>
      </c>
      <c r="B12142" s="3" t="s">
        <v>11585</v>
      </c>
      <c r="C12142" s="3" t="str">
        <f>IFERROR(__xludf.DUMMYFUNCTION("GOOGLETRANSLATE(B12142,""id"",""en"")"),"['The application', 'gabisa', 'opened', 'knp', 'blank', 'white', 'entry', 'enter']")</f>
        <v>['The application', 'gabisa', 'opened', 'knp', 'blank', 'white', 'entry', 'enter']</v>
      </c>
      <c r="D12142" s="3">
        <v>1.0</v>
      </c>
    </row>
    <row r="12143" ht="15.75" customHeight="1">
      <c r="A12143" s="1">
        <v>12929.0</v>
      </c>
      <c r="B12143" s="3" t="s">
        <v>11586</v>
      </c>
      <c r="C12143" s="3" t="str">
        <f>IFERROR(__xludf.DUMMYFUNCTION("GOOGLETRANSLATE(B12143,""id"",""en"")"),"['blank', 'white', 'surprised', 'dehhh', 'how', 'please', 'as soon as possible', 'fix', 'apk', 'promo', ""]")</f>
        <v>['blank', 'white', 'surprised', 'dehhh', 'how', 'please', 'as soon as possible', 'fix', 'apk', 'promo', "]</v>
      </c>
      <c r="D12143" s="3">
        <v>2.0</v>
      </c>
    </row>
    <row r="12144" ht="15.75" customHeight="1">
      <c r="A12144" s="1">
        <v>12930.0</v>
      </c>
      <c r="B12144" s="3" t="s">
        <v>11587</v>
      </c>
      <c r="C12144" s="3" t="str">
        <f>IFERROR(__xludf.DUMMYFUNCTION("GOOGLETRANSLATE(B12144,""id"",""en"")"),"['right', 'updet', 'bru', 'sya', 'pnya', 'nga', 'open', 'min', 'tolng', 'fix', 'bug', 'what', ' BTW ',' Sya ',' comfortable ',' PKE ',' MyTelkomsel ',' Nga ',' Ribet ']")</f>
        <v>['right', 'updet', 'bru', 'sya', 'pnya', 'nga', 'open', 'min', 'tolng', 'fix', 'bug', 'what', ' BTW ',' Sya ',' comfortable ',' PKE ',' MyTelkomsel ',' Nga ',' Ribet ']</v>
      </c>
      <c r="D12144" s="3">
        <v>5.0</v>
      </c>
    </row>
    <row r="12145" ht="15.75" customHeight="1">
      <c r="A12145" s="1">
        <v>12931.0</v>
      </c>
      <c r="B12145" s="3" t="s">
        <v>11588</v>
      </c>
      <c r="C12145" s="3" t="str">
        <f>IFERROR(__xludf.DUMMYFUNCTION("GOOGLETRANSLATE(B12145,""id"",""en"")"),"['crazy', 'signal', 'good', 'really', 'kayak', 'indihome', 'already', 'dead']")</f>
        <v>['crazy', 'signal', 'good', 'really', 'kayak', 'indihome', 'already', 'dead']</v>
      </c>
      <c r="D12145" s="3">
        <v>1.0</v>
      </c>
    </row>
    <row r="12146" ht="15.75" customHeight="1">
      <c r="A12146" s="1">
        <v>12932.0</v>
      </c>
      <c r="B12146" s="3" t="s">
        <v>11589</v>
      </c>
      <c r="C12146" s="3" t="str">
        <f>IFERROR(__xludf.DUMMYFUNCTION("GOOGLETRANSLATE(B12146,""id"",""en"")"),"['updated', 'blank', 'White', 'buy', 'package', 'combo', 'Sakti', 'GB', 'Gopay', 'smooth', 'already', 'clock', ' Enter ',' enter ',' quota ']")</f>
        <v>['updated', 'blank', 'White', 'buy', 'package', 'combo', 'Sakti', 'GB', 'Gopay', 'smooth', 'already', 'clock', ' Enter ',' enter ',' quota ']</v>
      </c>
      <c r="D12146" s="3">
        <v>5.0</v>
      </c>
    </row>
    <row r="12147" ht="15.75" customHeight="1">
      <c r="A12147" s="1">
        <v>12933.0</v>
      </c>
      <c r="B12147" s="3" t="s">
        <v>11590</v>
      </c>
      <c r="C12147" s="3" t="str">
        <f>IFERROR(__xludf.DUMMYFUNCTION("GOOGLETRANSLATE(B12147,""id"",""en"")"),"['Star', 'Price', 'Package', 'Data']")</f>
        <v>['Star', 'Price', 'Package', 'Data']</v>
      </c>
      <c r="D12147" s="3">
        <v>2.0</v>
      </c>
    </row>
    <row r="12148" ht="15.75" customHeight="1">
      <c r="A12148" s="1">
        <v>12934.0</v>
      </c>
      <c r="B12148" s="3" t="s">
        <v>11591</v>
      </c>
      <c r="C12148" s="3" t="str">
        <f>IFERROR(__xludf.DUMMYFUNCTION("GOOGLETRANSLATE(B12148,""id"",""en"")"),"['strange', 'told', 'update', 'application', 'update', 'open', 'enter', 'email', 'bsa', 'download', 'bsa', 'dowload', ' Android ',' Version ',' Heeyy ',' Application ',' Rich ',' Gini ',' Serving ',' Want ',' Serve ', ""]")</f>
        <v>['strange', 'told', 'update', 'application', 'update', 'open', 'enter', 'email', 'bsa', 'download', 'bsa', 'dowload', ' Android ',' Version ',' Heeyy ',' Application ',' Rich ',' Gini ',' Serving ',' Want ',' Serve ', "]</v>
      </c>
      <c r="D12148" s="3">
        <v>3.0</v>
      </c>
    </row>
    <row r="12149" ht="15.75" customHeight="1">
      <c r="A12149" s="1">
        <v>12935.0</v>
      </c>
      <c r="B12149" s="3" t="s">
        <v>11592</v>
      </c>
      <c r="C12149" s="3" t="str">
        <f>IFERROR(__xludf.DUMMYFUNCTION("GOOGLETRANSLATE(B12149,""id"",""en"")"),"['Support', 'Activity', 'in the past', 'pandemic']")</f>
        <v>['Support', 'Activity', 'in the past', 'pandemic']</v>
      </c>
      <c r="D12149" s="3">
        <v>5.0</v>
      </c>
    </row>
    <row r="12150" ht="15.75" customHeight="1">
      <c r="A12150" s="1">
        <v>12936.0</v>
      </c>
      <c r="B12150" s="3" t="s">
        <v>11593</v>
      </c>
      <c r="C12150" s="3" t="str">
        <f>IFERROR(__xludf.DUMMYFUNCTION("GOOGLETRANSLATE(B12150,""id"",""en"")"),"['slow', 'loss', 'loss', 'buy', 'package', 'expensive']")</f>
        <v>['slow', 'loss', 'loss', 'buy', 'package', 'expensive']</v>
      </c>
      <c r="D12150" s="3">
        <v>1.0</v>
      </c>
    </row>
    <row r="12151" ht="15.75" customHeight="1">
      <c r="A12151" s="1">
        <v>12937.0</v>
      </c>
      <c r="B12151" s="3" t="s">
        <v>11594</v>
      </c>
      <c r="C12151" s="3" t="str">
        <f>IFERROR(__xludf.DUMMYFUNCTION("GOOGLETRANSLATE(B12151,""id"",""en"")"),"['Purpose', 'Update', 'Open', 'Applikasu', 'Ngajakin', 'fight', 'yak', ""]")</f>
        <v>['Purpose', 'Update', 'Open', 'Applikasu', 'Ngajakin', 'fight', 'yak', "]</v>
      </c>
      <c r="D12151" s="3">
        <v>1.0</v>
      </c>
    </row>
    <row r="12152" ht="15.75" customHeight="1">
      <c r="A12152" s="1">
        <v>12938.0</v>
      </c>
      <c r="B12152" s="3" t="s">
        <v>11595</v>
      </c>
      <c r="C12152" s="3" t="str">
        <f>IFERROR(__xludf.DUMMYFUNCTION("GOOGLETRANSLATE(B12152,""id"",""en"")"),"['Disappointed', 'really', 'already', 'subscribe', 'Telkomsel', 'contents',' pulse ',' chopped ',' arrears', 'package', 'emergency', 'rich', ' So ']")</f>
        <v>['Disappointed', 'really', 'already', 'subscribe', 'Telkomsel', 'contents',' pulse ',' chopped ',' arrears', 'package', 'emergency', 'rich', ' So ']</v>
      </c>
      <c r="D12152" s="3">
        <v>1.0</v>
      </c>
    </row>
    <row r="12153" ht="15.75" customHeight="1">
      <c r="A12153" s="1">
        <v>12939.0</v>
      </c>
      <c r="B12153" s="3" t="s">
        <v>11596</v>
      </c>
      <c r="C12153" s="3" t="str">
        <f>IFERROR(__xludf.DUMMYFUNCTION("GOOGLETRANSLATE(B12153,""id"",""en"")"),"['Increase', 'Service']")</f>
        <v>['Increase', 'Service']</v>
      </c>
      <c r="D12153" s="3">
        <v>5.0</v>
      </c>
    </row>
    <row r="12154" ht="15.75" customHeight="1">
      <c r="A12154" s="1">
        <v>12940.0</v>
      </c>
      <c r="B12154" s="3" t="s">
        <v>11597</v>
      </c>
      <c r="C12154" s="3" t="str">
        <f>IFERROR(__xludf.DUMMYFUNCTION("GOOGLETRANSLATE(B12154,""id"",""en"")"),"['easy', 'check', 'package', 'buy', 'package']")</f>
        <v>['easy', 'check', 'package', 'buy', 'package']</v>
      </c>
      <c r="D12154" s="3">
        <v>4.0</v>
      </c>
    </row>
    <row r="12155" ht="15.75" customHeight="1">
      <c r="A12155" s="1">
        <v>12941.0</v>
      </c>
      <c r="B12155" s="3" t="s">
        <v>11598</v>
      </c>
      <c r="C12155" s="3" t="str">
        <f>IFERROR(__xludf.DUMMYFUNCTION("GOOGLETRANSLATE(B12155,""id"",""en"")"),"['Fast', 'mantab']")</f>
        <v>['Fast', 'mantab']</v>
      </c>
      <c r="D12155" s="3">
        <v>5.0</v>
      </c>
    </row>
    <row r="12156" ht="15.75" customHeight="1">
      <c r="A12156" s="1">
        <v>12942.0</v>
      </c>
      <c r="B12156" s="3" t="s">
        <v>11599</v>
      </c>
      <c r="C12156" s="3" t="str">
        <f>IFERROR(__xludf.DUMMYFUNCTION("GOOGLETRANSLATE(B12156,""id"",""en"")"),"['easy', 'in', 'use']")</f>
        <v>['easy', 'in', 'use']</v>
      </c>
      <c r="D12156" s="3">
        <v>5.0</v>
      </c>
    </row>
    <row r="12157" ht="15.75" customHeight="1">
      <c r="A12157" s="1">
        <v>12943.0</v>
      </c>
      <c r="B12157" s="3" t="s">
        <v>11600</v>
      </c>
      <c r="C12157" s="3" t="str">
        <f>IFERROR(__xludf.DUMMYFUNCTION("GOOGLETRANSLATE(B12157,""id"",""en"")"),"['Open', 'The application', 'week', 'screen', 'white', ""]")</f>
        <v>['Open', 'The application', 'week', 'screen', 'white', "]</v>
      </c>
      <c r="D12157" s="3">
        <v>1.0</v>
      </c>
    </row>
    <row r="12158" ht="15.75" customHeight="1">
      <c r="A12158" s="1">
        <v>12944.0</v>
      </c>
      <c r="B12158" s="3" t="s">
        <v>11601</v>
      </c>
      <c r="C12158" s="3" t="str">
        <f>IFERROR(__xludf.DUMMYFUNCTION("GOOGLETRANSLATE(B12158,""id"",""en"")"),"['bgs', 'dpn']")</f>
        <v>['bgs', 'dpn']</v>
      </c>
      <c r="D12158" s="3">
        <v>5.0</v>
      </c>
    </row>
    <row r="12159" ht="15.75" customHeight="1">
      <c r="A12159" s="1">
        <v>12945.0</v>
      </c>
      <c r="B12159" s="3" t="s">
        <v>11602</v>
      </c>
      <c r="C12159" s="3" t="str">
        <f>IFERROR(__xludf.DUMMYFUNCTION("GOOGLETRANSLATE(B12159,""id"",""en"")"),"['The application', 'go', 'severe', ""]")</f>
        <v>['The application', 'go', 'severe', "]</v>
      </c>
      <c r="D12159" s="3">
        <v>1.0</v>
      </c>
    </row>
    <row r="12160" ht="15.75" customHeight="1">
      <c r="A12160" s="1">
        <v>12946.0</v>
      </c>
      <c r="B12160" s="3" t="s">
        <v>11603</v>
      </c>
      <c r="C12160" s="3" t="str">
        <f>IFERROR(__xludf.DUMMYFUNCTION("GOOGLETRANSLATE(B12160,""id"",""en"")"),"['Telkomsel', 'please']")</f>
        <v>['Telkomsel', 'please']</v>
      </c>
      <c r="D12160" s="3">
        <v>1.0</v>
      </c>
    </row>
    <row r="12161" ht="15.75" customHeight="1">
      <c r="A12161" s="1">
        <v>12947.0</v>
      </c>
      <c r="B12161" s="3" t="s">
        <v>11604</v>
      </c>
      <c r="C12161" s="3" t="str">
        <f>IFERROR(__xludf.DUMMYFUNCTION("GOOGLETRANSLATE(B12161,""id"",""en"")"),"['Telkomsel', 'network', 'main', 'region', 'NKRI', 'forward', 'Telkomsel', 'Indonesia', ""]")</f>
        <v>['Telkomsel', 'network', 'main', 'region', 'NKRI', 'forward', 'Telkomsel', 'Indonesia', "]</v>
      </c>
      <c r="D12161" s="3">
        <v>5.0</v>
      </c>
    </row>
    <row r="12162" ht="15.75" customHeight="1">
      <c r="A12162" s="1">
        <v>12949.0</v>
      </c>
      <c r="B12162" s="3" t="s">
        <v>11605</v>
      </c>
      <c r="C12162" s="3" t="str">
        <f>IFERROR(__xludf.DUMMYFUNCTION("GOOGLETRANSLATE(B12162,""id"",""en"")"),"['Please', 'fix', 'app', 'open', 'response', 'blank', '']")</f>
        <v>['Please', 'fix', 'app', 'open', 'response', 'blank', '']</v>
      </c>
      <c r="D12162" s="3">
        <v>1.0</v>
      </c>
    </row>
    <row r="12163" ht="15.75" customHeight="1">
      <c r="A12163" s="1">
        <v>12950.0</v>
      </c>
      <c r="B12163" s="3" t="s">
        <v>11606</v>
      </c>
      <c r="C12163" s="3" t="str">
        <f>IFERROR(__xludf.DUMMYFUNCTION("GOOGLETRANSLATE(B12163,""id"",""en"")"),"['buy', 'quota', 'must "",' patient ',' level ',' browsing ',' slow ',' ']")</f>
        <v>['buy', 'quota', 'must ",' patient ',' level ',' browsing ',' slow ',' ']</v>
      </c>
      <c r="D12163" s="3">
        <v>1.0</v>
      </c>
    </row>
    <row r="12164" ht="15.75" customHeight="1">
      <c r="A12164" s="1">
        <v>12951.0</v>
      </c>
      <c r="B12164" s="3" t="s">
        <v>11607</v>
      </c>
      <c r="C12164" s="3" t="str">
        <f>IFERROR(__xludf.DUMMYFUNCTION("GOOGLETRANSLATE(B12164,""id"",""en"")"),"['Network', 'bad', 'lag', 'severe', 'sometimes',' signal ',' direct ',' ping ',' red ',' beg ',' repaired ',' network ',' rich ',' gini ',' then ',' subscription ',' disappointed ']")</f>
        <v>['Network', 'bad', 'lag', 'severe', 'sometimes',' signal ',' direct ',' ping ',' red ',' beg ',' repaired ',' network ',' rich ',' gini ',' then ',' subscription ',' disappointed ']</v>
      </c>
      <c r="D12164" s="3">
        <v>1.0</v>
      </c>
    </row>
    <row r="12165" ht="15.75" customHeight="1">
      <c r="A12165" s="1">
        <v>12952.0</v>
      </c>
      <c r="B12165" s="3" t="s">
        <v>11608</v>
      </c>
      <c r="C12165" s="3" t="str">
        <f>IFERROR(__xludf.DUMMYFUNCTION("GOOGLETRANSLATE(B12165,""id"",""en"")"),"['Please', 'admin', 'Telkomsel', 'application', 'open', 'click', 'application', 'cma', 'white', 'doang', 'ngak', 'need', ' really ',' application ',' please ',' policy ', ""]")</f>
        <v>['Please', 'admin', 'Telkomsel', 'application', 'open', 'click', 'application', 'cma', 'white', 'doang', 'ngak', 'need', ' really ',' application ',' please ',' policy ', "]</v>
      </c>
      <c r="D12165" s="3">
        <v>1.0</v>
      </c>
    </row>
    <row r="12166" ht="15.75" customHeight="1">
      <c r="A12166" s="1">
        <v>12953.0</v>
      </c>
      <c r="B12166" s="3" t="s">
        <v>11609</v>
      </c>
      <c r="C12166" s="3" t="str">
        <f>IFERROR(__xludf.DUMMYFUNCTION("GOOGLETRANSLATE(B12166,""id"",""en"")"),"['Good', 'Mahalan', 'promo', 'use', 'card']")</f>
        <v>['Good', 'Mahalan', 'promo', 'use', 'card']</v>
      </c>
      <c r="D12166" s="3">
        <v>4.0</v>
      </c>
    </row>
    <row r="12167" ht="15.75" customHeight="1">
      <c r="A12167" s="1">
        <v>12954.0</v>
      </c>
      <c r="B12167" s="3" t="s">
        <v>11610</v>
      </c>
      <c r="C12167" s="3" t="str">
        <f>IFERROR(__xludf.DUMMYFUNCTION("GOOGLETRANSLATE(B12167,""id"",""en"")"),"['Please', 'Telkomsel', 'Blank', 'opened', 'Uninstall', 'Install', 'reset', 'ttp']")</f>
        <v>['Please', 'Telkomsel', 'Blank', 'opened', 'Uninstall', 'Install', 'reset', 'ttp']</v>
      </c>
      <c r="D12167" s="3">
        <v>4.0</v>
      </c>
    </row>
    <row r="12168" ht="15.75" customHeight="1">
      <c r="A12168" s="1">
        <v>12955.0</v>
      </c>
      <c r="B12168" s="3" t="s">
        <v>11611</v>
      </c>
      <c r="C12168" s="3" t="str">
        <f>IFERROR(__xludf.DUMMYFUNCTION("GOOGLETRANSLATE(B12168,""id"",""en"")"),"['The application', 'opened', 'Telkomsel', 'Hallo', 'user']")</f>
        <v>['The application', 'opened', 'Telkomsel', 'Hallo', 'user']</v>
      </c>
      <c r="D12168" s="3">
        <v>1.0</v>
      </c>
    </row>
    <row r="12169" ht="15.75" customHeight="1">
      <c r="A12169" s="1">
        <v>12956.0</v>
      </c>
      <c r="B12169" s="3" t="s">
        <v>11612</v>
      </c>
      <c r="C12169" s="3" t="str">
        <f>IFERROR(__xludf.DUMMYFUNCTION("GOOGLETRANSLATE(B12169,""id"",""en"")"),"['Gini', 'APP', 'JLAS', 'Disappointed', 'Blank', 'Already', 'Open', 'App', 'White', ""]")</f>
        <v>['Gini', 'APP', 'JLAS', 'Disappointed', 'Blank', 'Already', 'Open', 'App', 'White', "]</v>
      </c>
      <c r="D12169" s="3">
        <v>1.0</v>
      </c>
    </row>
    <row r="12170" ht="15.75" customHeight="1">
      <c r="A12170" s="1">
        <v>12957.0</v>
      </c>
      <c r="B12170" s="3" t="s">
        <v>11613</v>
      </c>
      <c r="C12170" s="3" t="str">
        <f>IFERROR(__xludf.DUMMYFUNCTION("GOOGLETRANSLATE(B12170,""id"",""en"")"),"['price', 'quota', 'expensive', 'friendly', 'pouch', 'student']")</f>
        <v>['price', 'quota', 'expensive', 'friendly', 'pouch', 'student']</v>
      </c>
      <c r="D12170" s="3">
        <v>1.0</v>
      </c>
    </row>
    <row r="12171" ht="15.75" customHeight="1">
      <c r="A12171" s="1">
        <v>12958.0</v>
      </c>
      <c r="B12171" s="3" t="s">
        <v>11614</v>
      </c>
      <c r="C12171" s="3" t="str">
        <f>IFERROR(__xludf.DUMMYFUNCTION("GOOGLETRANSLATE(B12171,""id"",""en"")"),"['Opened', 'my cellphone', 'Error', 'What', 'The application', ""]")</f>
        <v>['Opened', 'my cellphone', 'Error', 'What', 'The application', "]</v>
      </c>
      <c r="D12171" s="3">
        <v>1.0</v>
      </c>
    </row>
    <row r="12172" ht="15.75" customHeight="1">
      <c r="A12172" s="1">
        <v>12960.0</v>
      </c>
      <c r="B12172" s="3" t="s">
        <v>11615</v>
      </c>
      <c r="C12172" s="3" t="str">
        <f>IFERROR(__xludf.DUMMYFUNCTION("GOOGLETRANSLATE(B12172,""id"",""en"")"),"['Good', 'makes it easy', 'service']")</f>
        <v>['Good', 'makes it easy', 'service']</v>
      </c>
      <c r="D12172" s="3">
        <v>5.0</v>
      </c>
    </row>
    <row r="12173" ht="15.75" customHeight="1">
      <c r="A12173" s="1">
        <v>12961.0</v>
      </c>
      <c r="B12173" s="3" t="s">
        <v>11616</v>
      </c>
      <c r="C12173" s="3" t="str">
        <f>IFERROR(__xludf.DUMMYFUNCTION("GOOGLETRANSLATE(B12173,""id"",""en"")"),"['ehh', 'Telkomsel', 'network', 'already', 'a month', 'ugly', 'signal', 'Telkomsel', 'fix', 'astaghfirullah', 'disappointed', 'user', ' signal ',' ugly ',' fix ']")</f>
        <v>['ehh', 'Telkomsel', 'network', 'already', 'a month', 'ugly', 'signal', 'Telkomsel', 'fix', 'astaghfirullah', 'disappointed', 'user', ' signal ',' ugly ',' fix ']</v>
      </c>
      <c r="D12173" s="3">
        <v>1.0</v>
      </c>
    </row>
    <row r="12174" ht="15.75" customHeight="1">
      <c r="A12174" s="1">
        <v>12962.0</v>
      </c>
      <c r="B12174" s="3" t="s">
        <v>11617</v>
      </c>
      <c r="C12174" s="3" t="str">
        <f>IFERROR(__xludf.DUMMYFUNCTION("GOOGLETRANSLATE(B12174,""id"",""en"")"),"['Update', 'spend', 'battery']")</f>
        <v>['Update', 'spend', 'battery']</v>
      </c>
      <c r="D12174" s="3">
        <v>1.0</v>
      </c>
    </row>
    <row r="12175" ht="15.75" customHeight="1">
      <c r="A12175" s="1">
        <v>12963.0</v>
      </c>
      <c r="B12175" s="3" t="s">
        <v>11618</v>
      </c>
      <c r="C12175" s="3" t="str">
        <f>IFERROR(__xludf.DUMMYFUNCTION("GOOGLETRANSLATE(B12175,""id"",""en"")"),"['Downlod', 'installed', 'application', 'open']")</f>
        <v>['Downlod', 'installed', 'application', 'open']</v>
      </c>
      <c r="D12175" s="3">
        <v>2.0</v>
      </c>
    </row>
    <row r="12176" ht="15.75" customHeight="1">
      <c r="A12176" s="1">
        <v>12964.0</v>
      </c>
      <c r="B12176" s="3" t="s">
        <v>11619</v>
      </c>
      <c r="C12176" s="3" t="str">
        <f>IFERROR(__xludf.DUMMYFUNCTION("GOOGLETRANSLATE(B12176,""id"",""en"")"),"['Helping', 'concise', 'Information', 'Accurate', 'Status', 'Card', 'SIM']")</f>
        <v>['Helping', 'concise', 'Information', 'Accurate', 'Status', 'Card', 'SIM']</v>
      </c>
      <c r="D12176" s="3">
        <v>4.0</v>
      </c>
    </row>
    <row r="12177" ht="15.75" customHeight="1">
      <c r="A12177" s="1">
        <v>12966.0</v>
      </c>
      <c r="B12177" s="3" t="s">
        <v>11620</v>
      </c>
      <c r="C12177" s="3" t="str">
        <f>IFERROR(__xludf.DUMMYFUNCTION("GOOGLETRANSLATE(B12177,""id"",""en"")"),"['signalny', 'Buriikkkkkkkk']")</f>
        <v>['signalny', 'Buriikkkkkkkk']</v>
      </c>
      <c r="D12177" s="3">
        <v>1.0</v>
      </c>
    </row>
    <row r="12178" ht="15.75" customHeight="1">
      <c r="A12178" s="1">
        <v>12967.0</v>
      </c>
      <c r="B12178" s="3" t="s">
        <v>11621</v>
      </c>
      <c r="C12178" s="3" t="str">
        <f>IFERROR(__xludf.DUMMYFUNCTION("GOOGLETRANSLATE(B12178,""id"",""en"")"),"['interested']")</f>
        <v>['interested']</v>
      </c>
      <c r="D12178" s="3">
        <v>5.0</v>
      </c>
    </row>
    <row r="12179" ht="15.75" customHeight="1">
      <c r="A12179" s="1">
        <v>12968.0</v>
      </c>
      <c r="B12179" s="3" t="s">
        <v>11622</v>
      </c>
      <c r="C12179" s="3" t="str">
        <f>IFERROR(__xludf.DUMMYFUNCTION("GOOGLETRANSLATE(B12179,""id"",""en"")"),"['eko', 'drpd', 'ngebacot', 'replace', 'provider', 'told', 'comment', 'bnyk', 'protest', 'Telkomsel', 'funny', ""]")</f>
        <v>['eko', 'drpd', 'ngebacot', 'replace', 'provider', 'told', 'comment', 'bnyk', 'protest', 'Telkomsel', 'funny', "]</v>
      </c>
      <c r="D12179" s="3">
        <v>5.0</v>
      </c>
    </row>
    <row r="12180" ht="15.75" customHeight="1">
      <c r="A12180" s="1">
        <v>12969.0</v>
      </c>
      <c r="B12180" s="3" t="s">
        <v>11623</v>
      </c>
      <c r="C12180" s="3" t="str">
        <f>IFERROR(__xludf.DUMMYFUNCTION("GOOGLETRANSLATE(B12180,""id"",""en"")"),"['Jringan', 'slow', 'buy', 'quota', 'mhal', 'TPI', 'Sometimes',' missing ',' please ',' price ',' according to ',' service ',' Yng ',' laq ',' squeezed ']")</f>
        <v>['Jringan', 'slow', 'buy', 'quota', 'mhal', 'TPI', 'Sometimes',' missing ',' please ',' price ',' according to ',' service ',' Yng ',' laq ',' squeezed ']</v>
      </c>
      <c r="D12180" s="3">
        <v>1.0</v>
      </c>
    </row>
    <row r="12181" ht="15.75" customHeight="1">
      <c r="A12181" s="1">
        <v>12970.0</v>
      </c>
      <c r="B12181" s="3" t="s">
        <v>11624</v>
      </c>
      <c r="C12181" s="3" t="str">
        <f>IFERROR(__xludf.DUMMYFUNCTION("GOOGLETRANSLATE(B12181,""id"",""en"")"),"['Lumping', 'Credit', 'Cut', 'Males', 'Gue', '']")</f>
        <v>['Lumping', 'Credit', 'Cut', 'Males', 'Gue', '']</v>
      </c>
      <c r="D12181" s="3">
        <v>1.0</v>
      </c>
    </row>
    <row r="12182" ht="15.75" customHeight="1">
      <c r="A12182" s="1">
        <v>12971.0</v>
      </c>
      <c r="B12182" s="3" t="s">
        <v>11625</v>
      </c>
      <c r="C12182" s="3" t="str">
        <f>IFERROR(__xludf.DUMMYFUNCTION("GOOGLETRANSLATE(B12182,""id"",""en"")"),"['JDI', 'LBH', 'Masterhh']")</f>
        <v>['JDI', 'LBH', 'Masterhh']</v>
      </c>
      <c r="D12182" s="3">
        <v>4.0</v>
      </c>
    </row>
    <row r="12183" ht="15.75" customHeight="1">
      <c r="A12183" s="1">
        <v>12972.0</v>
      </c>
      <c r="B12183" s="3" t="s">
        <v>11626</v>
      </c>
      <c r="C12183" s="3" t="str">
        <f>IFERROR(__xludf.DUMMYFUNCTION("GOOGLETRANSLATE(B12183,""id"",""en"")"),"['Please', 'Package', 'Internet', 'Nast', 'Price', 'Thank you']")</f>
        <v>['Please', 'Package', 'Internet', 'Nast', 'Price', 'Thank you']</v>
      </c>
      <c r="D12183" s="3">
        <v>3.0</v>
      </c>
    </row>
    <row r="12184" ht="15.75" customHeight="1">
      <c r="A12184" s="1">
        <v>12973.0</v>
      </c>
      <c r="B12184" s="3" t="s">
        <v>11627</v>
      </c>
      <c r="C12184" s="3" t="str">
        <f>IFERROR(__xludf.DUMMYFUNCTION("GOOGLETRANSLATE(B12184,""id"",""en"")"),"['Paketan', 'lbh', 'cheap']")</f>
        <v>['Paketan', 'lbh', 'cheap']</v>
      </c>
      <c r="D12184" s="3">
        <v>5.0</v>
      </c>
    </row>
    <row r="12185" ht="15.75" customHeight="1">
      <c r="A12185" s="1">
        <v>12974.0</v>
      </c>
      <c r="B12185" s="3" t="s">
        <v>11628</v>
      </c>
      <c r="C12185" s="3" t="str">
        <f>IFERROR(__xludf.DUMMYFUNCTION("GOOGLETRANSLATE(B12185,""id"",""en"")"),"['Application', 'opened', 'already', ""]")</f>
        <v>['Application', 'opened', 'already', "]</v>
      </c>
      <c r="D12185" s="3">
        <v>1.0</v>
      </c>
    </row>
    <row r="12186" ht="15.75" customHeight="1">
      <c r="A12186" s="1">
        <v>12977.0</v>
      </c>
      <c r="B12186" s="3" t="s">
        <v>11629</v>
      </c>
      <c r="C12186" s="3" t="str">
        <f>IFERROR(__xludf.DUMMYFUNCTION("GOOGLETRANSLATE(B12186,""id"",""en"")"),"['Enter', 'Easy', 'Language', 'Easy', 'Understand']")</f>
        <v>['Enter', 'Easy', 'Language', 'Easy', 'Understand']</v>
      </c>
      <c r="D12186" s="3">
        <v>5.0</v>
      </c>
    </row>
    <row r="12187" ht="15.75" customHeight="1">
      <c r="A12187" s="1">
        <v>12978.0</v>
      </c>
      <c r="B12187" s="3" t="s">
        <v>11630</v>
      </c>
      <c r="C12187" s="3" t="str">
        <f>IFERROR(__xludf.DUMMYFUNCTION("GOOGLETRANSLATE(B12187,""id"",""en"")"),"['The network', 'bad', 'application', 'Telkomsel', 'nggk', 'download', 'people', 'poor', '']")</f>
        <v>['The network', 'bad', 'application', 'Telkomsel', 'nggk', 'download', 'people', 'poor', '']</v>
      </c>
      <c r="D12187" s="3">
        <v>1.0</v>
      </c>
    </row>
    <row r="12188" ht="15.75" customHeight="1">
      <c r="A12188" s="1">
        <v>12979.0</v>
      </c>
      <c r="B12188" s="3" t="s">
        <v>11631</v>
      </c>
      <c r="C12188" s="3" t="str">
        <f>IFERROR(__xludf.DUMMYFUNCTION("GOOGLETRANSLATE(B12188,""id"",""en"")"),"['Lemoooooot', 'really', 'package', 'expensive', 'strangling', 'people', 'earn', 'paspasan', 'darling', 'number', 'already', 'replace', ' ']")</f>
        <v>['Lemoooooot', 'really', 'package', 'expensive', 'strangling', 'people', 'earn', 'paspasan', 'darling', 'number', 'already', 'replace', ' ']</v>
      </c>
      <c r="D12188" s="3">
        <v>1.0</v>
      </c>
    </row>
    <row r="12189" ht="15.75" customHeight="1">
      <c r="A12189" s="1">
        <v>12980.0</v>
      </c>
      <c r="B12189" s="3" t="s">
        <v>11632</v>
      </c>
      <c r="C12189" s="3" t="str">
        <f>IFERROR(__xludf.DUMMYFUNCTION("GOOGLETRANSLATE(B12189,""id"",""en"")"),"['Signal', 'sea', 'Sepinggan', 'Balikpapan', 'ugly']")</f>
        <v>['Signal', 'sea', 'Sepinggan', 'Balikpapan', 'ugly']</v>
      </c>
      <c r="D12189" s="3">
        <v>1.0</v>
      </c>
    </row>
    <row r="12190" ht="15.75" customHeight="1">
      <c r="A12190" s="1">
        <v>12981.0</v>
      </c>
      <c r="B12190" s="3" t="s">
        <v>11633</v>
      </c>
      <c r="C12190" s="3" t="str">
        <f>IFERROR(__xludf.DUMMYFUNCTION("GOOGLETRANSLATE(B12190,""id"",""en"")"),"['Sorry', 'Aaya', 'collapsed', 'Bintangba', 'Karana', 'Severe', 'Update', 'Open', 'Ngablank', 'Jadinlayar', 'White', 'Doang', ' Access', 'Enter', 'Telkomsel', '']")</f>
        <v>['Sorry', 'Aaya', 'collapsed', 'Bintangba', 'Karana', 'Severe', 'Update', 'Open', 'Ngablank', 'Jadinlayar', 'White', 'Doang', ' Access', 'Enter', 'Telkomsel', '']</v>
      </c>
      <c r="D12190" s="3">
        <v>1.0</v>
      </c>
    </row>
    <row r="12191" ht="15.75" customHeight="1">
      <c r="A12191" s="1">
        <v>12982.0</v>
      </c>
      <c r="B12191" s="3" t="s">
        <v>11634</v>
      </c>
      <c r="C12191" s="3" t="str">
        <f>IFERROR(__xludf.DUMMYFUNCTION("GOOGLETRANSLATE(B12191,""id"",""en"")"),"['slow', 'min', 'screen', 'white', 'doang', 'network', 'ugly', 'quality', 'what', 'pokonya', 'speed', 'bagan', ' Below it ',' down ',' sorry ',' just ',' reality ',' in the field ']")</f>
        <v>['slow', 'min', 'screen', 'white', 'doang', 'network', 'ugly', 'quality', 'what', 'pokonya', 'speed', 'bagan', ' Below it ',' down ',' sorry ',' just ',' reality ',' in the field ']</v>
      </c>
      <c r="D12191" s="3">
        <v>1.0</v>
      </c>
    </row>
    <row r="12192" ht="15.75" customHeight="1">
      <c r="A12192" s="1">
        <v>12983.0</v>
      </c>
      <c r="B12192" s="3" t="s">
        <v>11635</v>
      </c>
      <c r="C12192" s="3" t="str">
        <f>IFERROR(__xludf.DUMMYFUNCTION("GOOGLETRANSLATE(B12192,""id"",""en"")"),"['disappointing', 'live', 'package', 'second', 'eat', 'pulse', 'no', 'responsibility', 'responsibility', 'buy', 'package', 'pulse', ' doang ',' no ',' operator ',' next door ',' balance ',' no ',' buy ',' package ',' data ',' balance ',' wallet ',' mendin"&amp;"g ',' no ' , 'Application', 'Mending', 'buy', 'type', 'manual']")</f>
        <v>['disappointing', 'live', 'package', 'second', 'eat', 'pulse', 'no', 'responsibility', 'responsibility', 'buy', 'package', 'pulse', ' doang ',' no ',' operator ',' next door ',' balance ',' no ',' buy ',' package ',' data ',' balance ',' wallet ',' mending ',' no ' , 'Application', 'Mending', 'buy', 'type', 'manual']</v>
      </c>
      <c r="D12192" s="3">
        <v>1.0</v>
      </c>
    </row>
    <row r="12193" ht="15.75" customHeight="1">
      <c r="A12193" s="1">
        <v>12984.0</v>
      </c>
      <c r="B12193" s="3" t="s">
        <v>11636</v>
      </c>
      <c r="C12193" s="3" t="str">
        <f>IFERROR(__xludf.DUMMYFUNCTION("GOOGLETRANSLATE(B12193,""id"",""en"")"),"['Steady', 'just', 'mihil']")</f>
        <v>['Steady', 'just', 'mihil']</v>
      </c>
      <c r="D12193" s="3">
        <v>5.0</v>
      </c>
    </row>
    <row r="12194" ht="15.75" customHeight="1">
      <c r="A12194" s="1">
        <v>12985.0</v>
      </c>
      <c r="B12194" s="3" t="s">
        <v>11637</v>
      </c>
      <c r="C12194" s="3" t="str">
        <f>IFERROR(__xludf.DUMMYFUNCTION("GOOGLETRANSLATE(B12194,""id"",""en"")"),"['The package', 'clock', 'per day', 'just', 'clock']")</f>
        <v>['The package', 'clock', 'per day', 'just', 'clock']</v>
      </c>
      <c r="D12194" s="3">
        <v>2.0</v>
      </c>
    </row>
    <row r="12195" ht="15.75" customHeight="1">
      <c r="A12195" s="1">
        <v>12986.0</v>
      </c>
      <c r="B12195" s="3" t="s">
        <v>11638</v>
      </c>
      <c r="C12195" s="3" t="str">
        <f>IFERROR(__xludf.DUMMYFUNCTION("GOOGLETRANSLATE(B12195,""id"",""en"")"),"['sekrang', 'app', 'opened', 'cman', 'screen', 'white', 'response', 'padah', 'pgn', 'buy', 'package', 'inet', ' JDI ',' Ribet ',' PDHL ',' App ',' Package ',' Murmer ',' Please ',' Repaired ',' Bug ']")</f>
        <v>['sekrang', 'app', 'opened', 'cman', 'screen', 'white', 'response', 'padah', 'pgn', 'buy', 'package', 'inet', ' JDI ',' Ribet ',' PDHL ',' App ',' Package ',' Murmer ',' Please ',' Repaired ',' Bug ']</v>
      </c>
      <c r="D12195" s="3">
        <v>3.0</v>
      </c>
    </row>
    <row r="12196" ht="15.75" customHeight="1">
      <c r="A12196" s="1">
        <v>12987.0</v>
      </c>
      <c r="B12196" s="3" t="s">
        <v>11639</v>
      </c>
      <c r="C12196" s="3" t="str">
        <f>IFERROR(__xludf.DUMMYFUNCTION("GOOGLETRANSLATE(B12196,""id"",""en"")"),"['How', 'no', 'access', 'Telkomsel', '']")</f>
        <v>['How', 'no', 'access', 'Telkomsel', '']</v>
      </c>
      <c r="D12196" s="3">
        <v>1.0</v>
      </c>
    </row>
    <row r="12197" ht="15.75" customHeight="1">
      <c r="A12197" s="1">
        <v>12988.0</v>
      </c>
      <c r="B12197" s="3" t="s">
        <v>11640</v>
      </c>
      <c r="C12197" s="3" t="str">
        <f>IFERROR(__xludf.DUMMYFUNCTION("GOOGLETRANSLATE(B12197,""id"",""en"")"),"['knp', 'thisiII', 'screen', 'white', 'muluuu']")</f>
        <v>['knp', 'thisiII', 'screen', 'white', 'muluuu']</v>
      </c>
      <c r="D12197" s="3">
        <v>1.0</v>
      </c>
    </row>
    <row r="12198" ht="15.75" customHeight="1">
      <c r="A12198" s="1">
        <v>12989.0</v>
      </c>
      <c r="B12198" s="3" t="s">
        <v>11641</v>
      </c>
      <c r="C12198" s="3" t="str">
        <f>IFERROR(__xludf.DUMMYFUNCTION("GOOGLETRANSLATE(B12198,""id"",""en"")"),"['Thank you', 'Karna', 'fast', 'buy', 'data']")</f>
        <v>['Thank you', 'Karna', 'fast', 'buy', 'data']</v>
      </c>
      <c r="D12198" s="3">
        <v>5.0</v>
      </c>
    </row>
    <row r="12199" ht="15.75" customHeight="1">
      <c r="A12199" s="1">
        <v>12990.0</v>
      </c>
      <c r="B12199" s="3" t="s">
        <v>11642</v>
      </c>
      <c r="C12199" s="3" t="str">
        <f>IFERROR(__xludf.DUMMYFUNCTION("GOOGLETRANSLATE(B12199,""id"",""en"")"),"['Use', 'APK', 'EASY']")</f>
        <v>['Use', 'APK', 'EASY']</v>
      </c>
      <c r="D12199" s="3">
        <v>5.0</v>
      </c>
    </row>
    <row r="12200" ht="15.75" customHeight="1">
      <c r="A12200" s="1">
        <v>12991.0</v>
      </c>
      <c r="B12200" s="3" t="s">
        <v>11643</v>
      </c>
      <c r="C12200" s="3" t="str">
        <f>IFERROR(__xludf.DUMMYFUNCTION("GOOGLETRANSLATE(B12200,""id"",""en"")"),"['Kenpa', 'Alplikasi', 'Update', 'Opened', 'Application', 'Telkomsel', 'Error', 'Dri', 'Office', 'Center', 'Please', 'Repaired', ' The application ',' belongs', 'BUMN', 'KOQ', 'Taman']")</f>
        <v>['Kenpa', 'Alplikasi', 'Update', 'Opened', 'Application', 'Telkomsel', 'Error', 'Dri', 'Office', 'Center', 'Please', 'Repaired', ' The application ',' belongs', 'BUMN', 'KOQ', 'Taman']</v>
      </c>
      <c r="D12200" s="3">
        <v>5.0</v>
      </c>
    </row>
    <row r="12201" ht="15.75" customHeight="1">
      <c r="A12201" s="1">
        <v>12992.0</v>
      </c>
      <c r="B12201" s="3" t="s">
        <v>1257</v>
      </c>
      <c r="C12201" s="3" t="str">
        <f>IFERROR(__xludf.DUMMYFUNCTION("GOOGLETRANSLATE(B12201,""id"",""en"")"),"['Opened']")</f>
        <v>['Opened']</v>
      </c>
      <c r="D12201" s="3">
        <v>5.0</v>
      </c>
    </row>
    <row r="12202" ht="15.75" customHeight="1">
      <c r="A12202" s="1">
        <v>12993.0</v>
      </c>
      <c r="B12202" s="3" t="s">
        <v>11644</v>
      </c>
      <c r="C12202" s="3" t="str">
        <f>IFERROR(__xludf.DUMMYFUNCTION("GOOGLETRANSLATE(B12202,""id"",""en"")"),"['application', 'error', 'signal', 'ugly', 'Telkomsel']")</f>
        <v>['application', 'error', 'signal', 'ugly', 'Telkomsel']</v>
      </c>
      <c r="D12202" s="3">
        <v>1.0</v>
      </c>
    </row>
    <row r="12203" ht="15.75" customHeight="1">
      <c r="A12203" s="1">
        <v>12994.0</v>
      </c>
      <c r="B12203" s="3" t="s">
        <v>11645</v>
      </c>
      <c r="C12203" s="3" t="str">
        <f>IFERROR(__xludf.DUMMYFUNCTION("GOOGLETRANSLATE(B12203,""id"",""en"")"),"['Legah', 'Update', 'White', 'Screen', 'appears', ""]")</f>
        <v>['Legah', 'Update', 'White', 'Screen', 'appears', "]</v>
      </c>
      <c r="D12203" s="3">
        <v>1.0</v>
      </c>
    </row>
    <row r="12204" ht="15.75" customHeight="1">
      <c r="A12204" s="1">
        <v>12995.0</v>
      </c>
      <c r="B12204" s="3" t="s">
        <v>11646</v>
      </c>
      <c r="C12204" s="3" t="str">
        <f>IFERROR(__xludf.DUMMYFUNCTION("GOOGLETRANSLATE(B12204,""id"",""en"")"),"['Open', 'MyTelkom', '']")</f>
        <v>['Open', 'MyTelkom', '']</v>
      </c>
      <c r="D12204" s="3">
        <v>5.0</v>
      </c>
    </row>
    <row r="12205" ht="15.75" customHeight="1">
      <c r="A12205" s="1">
        <v>12996.0</v>
      </c>
      <c r="B12205" s="3" t="s">
        <v>11647</v>
      </c>
      <c r="C12205" s="3" t="str">
        <f>IFERROR(__xludf.DUMMYFUNCTION("GOOGLETRANSLATE(B12205,""id"",""en"")"),"['signal', 'kayak', 'belongs', 'BUMN', '']")</f>
        <v>['signal', 'kayak', 'belongs', 'BUMN', '']</v>
      </c>
      <c r="D12205" s="3">
        <v>1.0</v>
      </c>
    </row>
    <row r="12206" ht="15.75" customHeight="1">
      <c r="A12206" s="1">
        <v>12997.0</v>
      </c>
      <c r="B12206" s="3" t="s">
        <v>11648</v>
      </c>
      <c r="C12206" s="3" t="str">
        <f>IFERROR(__xludf.DUMMYFUNCTION("GOOGLETRANSLATE(B12206,""id"",""en"")"),"['apk', 'error', 'screen', 'white']")</f>
        <v>['apk', 'error', 'screen', 'white']</v>
      </c>
      <c r="D12206" s="3">
        <v>1.0</v>
      </c>
    </row>
    <row r="12207" ht="15.75" customHeight="1">
      <c r="A12207" s="1">
        <v>12998.0</v>
      </c>
      <c r="B12207" s="3" t="s">
        <v>11649</v>
      </c>
      <c r="C12207" s="3" t="str">
        <f>IFERROR(__xludf.DUMMYFUNCTION("GOOGLETRANSLATE(B12207,""id"",""en"")"),"['best', 'safest', 'guaranteed']")</f>
        <v>['best', 'safest', 'guaranteed']</v>
      </c>
      <c r="D12207" s="3">
        <v>5.0</v>
      </c>
    </row>
    <row r="12208" ht="15.75" customHeight="1">
      <c r="A12208" s="1">
        <v>12999.0</v>
      </c>
      <c r="B12208" s="3" t="s">
        <v>11650</v>
      </c>
      <c r="C12208" s="3" t="str">
        <f>IFERROR(__xludf.DUMMYFUNCTION("GOOGLETRANSLATE(B12208,""id"",""en"")"),"['application', 'open', 'times', 'install', 'reset']")</f>
        <v>['application', 'open', 'times', 'install', 'reset']</v>
      </c>
      <c r="D12208" s="3">
        <v>1.0</v>
      </c>
    </row>
    <row r="12209" ht="15.75" customHeight="1">
      <c r="A12209" s="1">
        <v>13000.0</v>
      </c>
      <c r="B12209" s="3" t="s">
        <v>11651</v>
      </c>
      <c r="C12209" s="3" t="str">
        <f>IFERROR(__xludf.DUMMYFUNCTION("GOOGLETRANSLATE(B12209,""id"",""en"")"),"['After', 'update', 'blank', 'color', 'white', 'appears', 'clear', '']")</f>
        <v>['After', 'update', 'blank', 'color', 'white', 'appears', 'clear', '']</v>
      </c>
      <c r="D12209" s="3">
        <v>1.0</v>
      </c>
    </row>
    <row r="12210" ht="15.75" customHeight="1">
      <c r="A12210" s="1">
        <v>13001.0</v>
      </c>
      <c r="B12210" s="3" t="s">
        <v>11652</v>
      </c>
      <c r="C12210" s="3" t="str">
        <f>IFERROR(__xludf.DUMMYFUNCTION("GOOGLETRANSLATE(B12210,""id"",""en"")"),"['Please', 'cheap']")</f>
        <v>['Please', 'cheap']</v>
      </c>
      <c r="D12210" s="3">
        <v>5.0</v>
      </c>
    </row>
    <row r="12211" ht="15.75" customHeight="1">
      <c r="A12211" s="1">
        <v>13002.0</v>
      </c>
      <c r="B12211" s="3" t="s">
        <v>11653</v>
      </c>
      <c r="C12211" s="3" t="str">
        <f>IFERROR(__xludf.DUMMYFUNCTION("GOOGLETRANSLATE(B12211,""id"",""en"")"),"['ugly', 'application', 'download', 'open', '']")</f>
        <v>['ugly', 'application', 'download', 'open', '']</v>
      </c>
      <c r="D12211" s="3">
        <v>1.0</v>
      </c>
    </row>
    <row r="12212" ht="15.75" customHeight="1">
      <c r="A12212" s="1">
        <v>13003.0</v>
      </c>
      <c r="B12212" s="3" t="s">
        <v>11654</v>
      </c>
      <c r="C12212" s="3" t="str">
        <f>IFERROR(__xludf.DUMMYFUNCTION("GOOGLETRANSLATE(B12212,""id"",""en"")"),"['regret', 'bid', 'Telkomsel', 'changed', 'card', 'Hello', 'stop', 'subscription', 'card', 'Hello', 'stay', 'Tlp', ' Telkomsel ',' lie ',' trapped ',' grapitan ',' already ',' that's', 'bill', 'swell', 'disappointed', 'Telkom', 'cell', ""]")</f>
        <v>['regret', 'bid', 'Telkomsel', 'changed', 'card', 'Hello', 'stop', 'subscription', 'card', 'Hello', 'stay', 'Tlp', ' Telkomsel ',' lie ',' trapped ',' grapitan ',' already ',' that's', 'bill', 'swell', 'disappointed', 'Telkom', 'cell', "]</v>
      </c>
      <c r="D12212" s="3">
        <v>1.0</v>
      </c>
    </row>
    <row r="12213" ht="15.75" customHeight="1">
      <c r="A12213" s="1">
        <v>13004.0</v>
      </c>
      <c r="B12213" s="3" t="s">
        <v>11655</v>
      </c>
      <c r="C12213" s="3" t="str">
        <f>IFERROR(__xludf.DUMMYFUNCTION("GOOGLETRANSLATE(B12213,""id"",""en"")"),"['Mantul', 'car', 'heart']")</f>
        <v>['Mantul', 'car', 'heart']</v>
      </c>
      <c r="D12213" s="3">
        <v>5.0</v>
      </c>
    </row>
    <row r="12214" ht="15.75" customHeight="1">
      <c r="A12214" s="1">
        <v>13005.0</v>
      </c>
      <c r="B12214" s="3" t="s">
        <v>11656</v>
      </c>
      <c r="C12214" s="3" t="str">
        <f>IFERROR(__xludf.DUMMYFUNCTION("GOOGLETRANSLATE(B12214,""id"",""en"")"),"['Good', 'Nambah', 'here', 'Nambah', 'expensive']")</f>
        <v>['Good', 'Nambah', 'here', 'Nambah', 'expensive']</v>
      </c>
      <c r="D12214" s="3">
        <v>3.0</v>
      </c>
    </row>
    <row r="12215" ht="15.75" customHeight="1">
      <c r="A12215" s="1">
        <v>13006.0</v>
      </c>
      <c r="B12215" s="3" t="s">
        <v>11657</v>
      </c>
      <c r="C12215" s="3" t="str">
        <f>IFERROR(__xludf.DUMMYFUNCTION("GOOGLETRANSLATE(B12215,""id"",""en"")"),"['Help', 'hope', 'promo']")</f>
        <v>['Help', 'hope', 'promo']</v>
      </c>
      <c r="D12215" s="3">
        <v>5.0</v>
      </c>
    </row>
    <row r="12216" ht="15.75" customHeight="1">
      <c r="A12216" s="1">
        <v>13007.0</v>
      </c>
      <c r="B12216" s="3" t="s">
        <v>11658</v>
      </c>
      <c r="C12216" s="3" t="str">
        <f>IFERROR(__xludf.DUMMYFUNCTION("GOOGLETRANSLATE(B12216,""id"",""en"")"),"['Telkomsel', 'KOQ', 'opened', 'Many', 'Uinstal', 'Install', 'screen', 'white', 'trs', 'please', 'ksh', 'jwban']")</f>
        <v>['Telkomsel', 'KOQ', 'opened', 'Many', 'Uinstal', 'Install', 'screen', 'white', 'trs', 'please', 'ksh', 'jwban']</v>
      </c>
      <c r="D12216" s="3">
        <v>1.0</v>
      </c>
    </row>
    <row r="12217" ht="15.75" customHeight="1">
      <c r="A12217" s="1">
        <v>13008.0</v>
      </c>
      <c r="B12217" s="3" t="s">
        <v>11659</v>
      </c>
      <c r="C12217" s="3" t="str">
        <f>IFERROR(__xludf.DUMMYFUNCTION("GOOGLETRANSLATE(B12217,""id"",""en"")"),"['Opened', 'Vivo']")</f>
        <v>['Opened', 'Vivo']</v>
      </c>
      <c r="D12217" s="3">
        <v>1.0</v>
      </c>
    </row>
    <row r="12218" ht="15.75" customHeight="1">
      <c r="A12218" s="1">
        <v>13009.0</v>
      </c>
      <c r="B12218" s="3" t="s">
        <v>11660</v>
      </c>
      <c r="C12218" s="3" t="str">
        <f>IFERROR(__xludf.DUMMYFUNCTION("GOOGLETRANSLATE(B12218,""id"",""en"")"),"['The application', 'Ngadat']")</f>
        <v>['The application', 'Ngadat']</v>
      </c>
      <c r="D12218" s="3">
        <v>3.0</v>
      </c>
    </row>
    <row r="12219" ht="15.75" customHeight="1">
      <c r="A12219" s="1">
        <v>13010.0</v>
      </c>
      <c r="B12219" s="3" t="s">
        <v>11661</v>
      </c>
      <c r="C12219" s="3" t="str">
        <f>IFERROR(__xludf.DUMMYFUNCTION("GOOGLETRANSLATE(B12219,""id"",""en"")"),"['Bot']")</f>
        <v>['Bot']</v>
      </c>
      <c r="D12219" s="3">
        <v>1.0</v>
      </c>
    </row>
    <row r="12220" ht="15.75" customHeight="1">
      <c r="A12220" s="1">
        <v>13011.0</v>
      </c>
      <c r="B12220" s="3" t="s">
        <v>11662</v>
      </c>
      <c r="C12220" s="3" t="str">
        <f>IFERROR(__xludf.DUMMYFUNCTION("GOOGLETRANSLATE(B12220,""id"",""en"")"),"['', 'opened', 'directors', 'expert', 'I think', 'hahahaha']")</f>
        <v>['', 'opened', 'directors', 'expert', 'I think', 'hahahaha']</v>
      </c>
      <c r="D12220" s="3">
        <v>1.0</v>
      </c>
    </row>
    <row r="12221" ht="15.75" customHeight="1">
      <c r="A12221" s="1">
        <v>13012.0</v>
      </c>
      <c r="B12221" s="3" t="s">
        <v>11663</v>
      </c>
      <c r="C12221" s="3" t="str">
        <f>IFERROR(__xludf.DUMMYFUNCTION("GOOGLETRANSLATE(B12221,""id"",""en"")"),"['System', 'Point', 'Point', 'Reedem', 'Try', 'Many', 'Say "",' System ',' Busy ',' Star ',' Star ',' Love ',' ',' Delete ',' Sevah ',' ']")</f>
        <v>['System', 'Point', 'Point', 'Reedem', 'Try', 'Many', 'Say ",' System ',' Busy ',' Star ',' Star ',' Love ',' ',' Delete ',' Sevah ',' ']</v>
      </c>
      <c r="D12221" s="3">
        <v>1.0</v>
      </c>
    </row>
    <row r="12222" ht="15.75" customHeight="1">
      <c r="A12222" s="1">
        <v>13013.0</v>
      </c>
      <c r="B12222" s="3" t="s">
        <v>11664</v>
      </c>
      <c r="C12222" s="3" t="str">
        <f>IFERROR(__xludf.DUMMYFUNCTION("GOOGLETRANSLATE(B12222,""id"",""en"")"),"['weve', 'regret', 'already', 'network', 'ugly', 'update', 'app', 'open', 'app', 'white', 'enter', 'package', ' Pualing ',' expensive ',' partner ',' Telkomsel ',' know ',' connection ',' officials', 'doank', 'server', 'laptop', 'doank', 'change', 'star' "&amp;", 'resolved', ""]")</f>
        <v>['weve', 'regret', 'already', 'network', 'ugly', 'update', 'app', 'open', 'app', 'white', 'enter', 'package', ' Pualing ',' expensive ',' partner ',' Telkomsel ',' know ',' connection ',' officials', 'doank', 'server', 'laptop', 'doank', 'change', 'star' , 'resolved', "]</v>
      </c>
      <c r="D12222" s="3">
        <v>1.0</v>
      </c>
    </row>
    <row r="12223" ht="15.75" customHeight="1">
      <c r="A12223" s="1">
        <v>13014.0</v>
      </c>
      <c r="B12223" s="3" t="s">
        <v>11665</v>
      </c>
      <c r="C12223" s="3" t="str">
        <f>IFERROR(__xludf.DUMMYFUNCTION("GOOGLETRANSLATE(B12223,""id"",""en"")"),"['Good', 'fast', '']")</f>
        <v>['Good', 'fast', '']</v>
      </c>
      <c r="D12223" s="3">
        <v>5.0</v>
      </c>
    </row>
    <row r="12224" ht="15.75" customHeight="1">
      <c r="A12224" s="1">
        <v>13015.0</v>
      </c>
      <c r="B12224" s="3" t="s">
        <v>11666</v>
      </c>
      <c r="C12224" s="3" t="str">
        <f>IFERROR(__xludf.DUMMYFUNCTION("GOOGLETRANSLATE(B12224,""id"",""en"")"),"['Good', 'trusted']")</f>
        <v>['Good', 'trusted']</v>
      </c>
      <c r="D12224" s="3">
        <v>5.0</v>
      </c>
    </row>
    <row r="12225" ht="15.75" customHeight="1">
      <c r="A12225" s="1">
        <v>13016.0</v>
      </c>
      <c r="B12225" s="3" t="s">
        <v>11667</v>
      </c>
      <c r="C12225" s="3" t="str">
        <f>IFERROR(__xludf.DUMMYFUNCTION("GOOGLETRANSLATE(B12225,""id"",""en"")"),"['Network', 'already', 'Different', 'customers',' workers', 'consumers',' disappointed ',' heavy ',' price ',' expensive ',' connection ',' disappointing ',' Lite ',' Wait ',' malem ',' clock ',' and then ',' network ',' missing ',' missing ']")</f>
        <v>['Network', 'already', 'Different', 'customers',' workers', 'consumers',' disappointed ',' heavy ',' price ',' expensive ',' connection ',' disappointing ',' Lite ',' Wait ',' malem ',' clock ',' and then ',' network ',' missing ',' missing ']</v>
      </c>
      <c r="D12225" s="3">
        <v>1.0</v>
      </c>
    </row>
    <row r="12226" ht="15.75" customHeight="1">
      <c r="A12226" s="1">
        <v>13017.0</v>
      </c>
      <c r="B12226" s="3" t="s">
        <v>11668</v>
      </c>
      <c r="C12226" s="3" t="str">
        <f>IFERROR(__xludf.DUMMYFUNCTION("GOOGLETRANSLATE(B12226,""id"",""en"")"),"['package', 'expensive', 'yaa', 'hahaa', 'bang', '']")</f>
        <v>['package', 'expensive', 'yaa', 'hahaa', 'bang', '']</v>
      </c>
      <c r="D12226" s="3">
        <v>3.0</v>
      </c>
    </row>
    <row r="12227" ht="15.75" customHeight="1">
      <c r="A12227" s="1">
        <v>13018.0</v>
      </c>
      <c r="B12227" s="3" t="s">
        <v>11669</v>
      </c>
      <c r="C12227" s="3" t="str">
        <f>IFERROR(__xludf.DUMMYFUNCTION("GOOGLETRANSLATE(B12227,""id"",""en"")"),"['Knp', 'White', 'all']")</f>
        <v>['Knp', 'White', 'all']</v>
      </c>
      <c r="D12227" s="3">
        <v>5.0</v>
      </c>
    </row>
    <row r="12228" ht="15.75" customHeight="1">
      <c r="A12228" s="1">
        <v>13019.0</v>
      </c>
      <c r="B12228" s="3" t="s">
        <v>11670</v>
      </c>
      <c r="C12228" s="3" t="str">
        <f>IFERROR(__xludf.DUMMYFUNCTION("GOOGLETRANSLATE(B12228,""id"",""en"")"),"['Not bad', 'help', 'place']")</f>
        <v>['Not bad', 'help', 'place']</v>
      </c>
      <c r="D12228" s="3">
        <v>4.0</v>
      </c>
    </row>
    <row r="12229" ht="15.75" customHeight="1">
      <c r="A12229" s="1">
        <v>13020.0</v>
      </c>
      <c r="B12229" s="3" t="s">
        <v>11671</v>
      </c>
      <c r="C12229" s="3" t="str">
        <f>IFERROR(__xludf.DUMMYFUNCTION("GOOGLETRANSLATE(B12229,""id"",""en"")"),"['Telkomsel', 'era', 'plump', 'signal', 'difficult', 'card', 'doank', 'expensive', 'signal', 'slow', 'auto', 'indosat', ' GPP ',' cheap ',' spec ',' cheap ',' ']")</f>
        <v>['Telkomsel', 'era', 'plump', 'signal', 'difficult', 'card', 'doank', 'expensive', 'signal', 'slow', 'auto', 'indosat', ' GPP ',' cheap ',' spec ',' cheap ',' ']</v>
      </c>
      <c r="D12229" s="3">
        <v>1.0</v>
      </c>
    </row>
    <row r="12230" ht="15.75" customHeight="1">
      <c r="A12230" s="1">
        <v>13021.0</v>
      </c>
      <c r="B12230" s="3" t="s">
        <v>11672</v>
      </c>
      <c r="C12230" s="3" t="str">
        <f>IFERROR(__xludf.DUMMYFUNCTION("GOOGLETRANSLATE(B12230,""id"",""en"")"),"['update', 'koq', 'opened', 'screen', 'white']")</f>
        <v>['update', 'koq', 'opened', 'screen', 'white']</v>
      </c>
      <c r="D12230" s="3">
        <v>2.0</v>
      </c>
    </row>
    <row r="12231" ht="15.75" customHeight="1">
      <c r="A12231" s="1">
        <v>13022.0</v>
      </c>
      <c r="B12231" s="3" t="s">
        <v>11673</v>
      </c>
      <c r="C12231" s="3" t="str">
        <f>IFERROR(__xludf.DUMMYFUNCTION("GOOGLETRANSLATE(B12231,""id"",""en"")"),"['cave', 'buy', 'quota', 'youtube', 'signal', 'like', 'ngeeleg', 'play', 'game', 'cave', 'quota', 'watch', ' right ',' cave ',' watch ',' Disney ',' underlook ',' quota ',' main ',' quota ',' watch ',' lose ']")</f>
        <v>['cave', 'buy', 'quota', 'youtube', 'signal', 'like', 'ngeeleg', 'play', 'game', 'cave', 'quota', 'watch', ' right ',' cave ',' watch ',' Disney ',' underlook ',' quota ',' main ',' quota ',' watch ',' lose ']</v>
      </c>
      <c r="D12231" s="3">
        <v>2.0</v>
      </c>
    </row>
    <row r="12232" ht="15.75" customHeight="1">
      <c r="A12232" s="1">
        <v>13023.0</v>
      </c>
      <c r="B12232" s="3" t="s">
        <v>11674</v>
      </c>
      <c r="C12232" s="3" t="str">
        <f>IFERROR(__xludf.DUMMYFUNCTION("GOOGLETRANSLATE(B12232,""id"",""en"")"),"['fed up', 'Telkomsel', 'connection', 'rotten', 'internet', 'call', 'difficult', 'bangse', ""]")</f>
        <v>['fed up', 'Telkomsel', 'connection', 'rotten', 'internet', 'call', 'difficult', 'bangse', "]</v>
      </c>
      <c r="D12232" s="3">
        <v>1.0</v>
      </c>
    </row>
    <row r="12233" ht="15.75" customHeight="1">
      <c r="A12233" s="1">
        <v>13024.0</v>
      </c>
      <c r="B12233" s="3" t="s">
        <v>11675</v>
      </c>
      <c r="C12233" s="3" t="str">
        <f>IFERROR(__xludf.DUMMYFUNCTION("GOOGLETRANSLATE(B12233,""id"",""en"")"),"['White', 'Screens', 'Benerin']")</f>
        <v>['White', 'Screens', 'Benerin']</v>
      </c>
      <c r="D12233" s="3">
        <v>1.0</v>
      </c>
    </row>
    <row r="12234" ht="15.75" customHeight="1">
      <c r="A12234" s="1">
        <v>13025.0</v>
      </c>
      <c r="B12234" s="3" t="s">
        <v>11676</v>
      </c>
      <c r="C12234" s="3" t="str">
        <f>IFERROR(__xludf.DUMMYFUNCTION("GOOGLETRANSLATE(B12234,""id"",""en"")"),"['Aduhh', 'right', 'opened', 'screen', 'white', 'doang', 'already', 'wait', 'for days',' open ',' already ',' install ',' Uninstall ',' open ',' hteh ',' change ',' card ',' ']")</f>
        <v>['Aduhh', 'right', 'opened', 'screen', 'white', 'doang', 'already', 'wait', 'for days',' open ',' already ',' install ',' Uninstall ',' open ',' hteh ',' change ',' card ',' ']</v>
      </c>
      <c r="D12234" s="3">
        <v>1.0</v>
      </c>
    </row>
    <row r="12235" ht="15.75" customHeight="1">
      <c r="A12235" s="1">
        <v>13026.0</v>
      </c>
      <c r="B12235" s="3" t="s">
        <v>11677</v>
      </c>
      <c r="C12235" s="3" t="str">
        <f>IFERROR(__xludf.DUMMYFUNCTION("GOOGLETRANSLATE(B12235,""id"",""en"")"),"['package', 'internet', 'expensive', 'bnagt']")</f>
        <v>['package', 'internet', 'expensive', 'bnagt']</v>
      </c>
      <c r="D12235" s="3">
        <v>1.0</v>
      </c>
    </row>
    <row r="12236" ht="15.75" customHeight="1">
      <c r="A12236" s="1">
        <v>13027.0</v>
      </c>
      <c r="B12236" s="3" t="s">
        <v>11678</v>
      </c>
      <c r="C12236" s="3" t="str">
        <f>IFERROR(__xludf.DUMMYFUNCTION("GOOGLETRANSLATE(B12236,""id"",""en"")"),"['Practical', 'Partners', 'Good', 'Job']")</f>
        <v>['Practical', 'Partners', 'Good', 'Job']</v>
      </c>
      <c r="D12236" s="3">
        <v>5.0</v>
      </c>
    </row>
    <row r="12237" ht="15.75" customHeight="1">
      <c r="A12237" s="1">
        <v>13028.0</v>
      </c>
      <c r="B12237" s="3" t="s">
        <v>11679</v>
      </c>
      <c r="C12237" s="3" t="str">
        <f>IFERROR(__xludf.DUMMYFUNCTION("GOOGLETRANSLATE(B12237,""id"",""en"")"),"['Friendly', 'Where']")</f>
        <v>['Friendly', 'Where']</v>
      </c>
      <c r="D12237" s="3">
        <v>5.0</v>
      </c>
    </row>
    <row r="12238" ht="15.75" customHeight="1">
      <c r="A12238" s="1">
        <v>13029.0</v>
      </c>
      <c r="B12238" s="3" t="s">
        <v>11680</v>
      </c>
      <c r="C12238" s="3" t="str">
        <f>IFERROR(__xludf.DUMMYFUNCTION("GOOGLETRANSLATE(B12238,""id"",""en"")"),"['easy', 'confusing']")</f>
        <v>['easy', 'confusing']</v>
      </c>
      <c r="D12238" s="3">
        <v>5.0</v>
      </c>
    </row>
    <row r="12239" ht="15.75" customHeight="1">
      <c r="A12239" s="1">
        <v>13030.0</v>
      </c>
      <c r="B12239" s="3" t="s">
        <v>11681</v>
      </c>
      <c r="C12239" s="3" t="str">
        <f>IFERROR(__xludf.DUMMYFUNCTION("GOOGLETRANSLATE(B12239,""id"",""en"")"),"['Review', 'Delete', 'Haduhhh', 'APUS', 'Min', 'Please', 'APK', 'Telkomsel', 'Fix', 'Sampe', 'Masig', 'White', ' Screen ',' Android ',' Access']")</f>
        <v>['Review', 'Delete', 'Haduhhh', 'APUS', 'Min', 'Please', 'APK', 'Telkomsel', 'Fix', 'Sampe', 'Masig', 'White', ' Screen ',' Android ',' Access']</v>
      </c>
      <c r="D12239" s="3">
        <v>1.0</v>
      </c>
    </row>
    <row r="12240" ht="15.75" customHeight="1">
      <c r="A12240" s="1">
        <v>13033.0</v>
      </c>
      <c r="B12240" s="3" t="s">
        <v>11682</v>
      </c>
      <c r="C12240" s="3" t="str">
        <f>IFERROR(__xludf.DUMMYFUNCTION("GOOGLETRANSLATE(B12240,""id"",""en"")"),"['koq', 'price', 'package', 'combo']")</f>
        <v>['koq', 'price', 'package', 'combo']</v>
      </c>
      <c r="D12240" s="3">
        <v>1.0</v>
      </c>
    </row>
    <row r="12241" ht="15.75" customHeight="1">
      <c r="A12241" s="1">
        <v>13034.0</v>
      </c>
      <c r="B12241" s="3" t="s">
        <v>312</v>
      </c>
      <c r="C12241" s="3" t="str">
        <f>IFERROR(__xludf.DUMMYFUNCTION("GOOGLETRANSLATE(B12241,""id"",""en"")"),"['best']")</f>
        <v>['best']</v>
      </c>
      <c r="D12241" s="3">
        <v>5.0</v>
      </c>
    </row>
    <row r="12242" ht="15.75" customHeight="1">
      <c r="A12242" s="1">
        <v>13035.0</v>
      </c>
      <c r="B12242" s="3" t="s">
        <v>11683</v>
      </c>
      <c r="C12242" s="3" t="str">
        <f>IFERROR(__xludf.DUMMYFUNCTION("GOOGLETRANSLATE(B12242,""id"",""en"")"),"['Network', 'wifi', 'Telkom', 'slow', 'disappointing', 'Telkomsel']")</f>
        <v>['Network', 'wifi', 'Telkom', 'slow', 'disappointing', 'Telkomsel']</v>
      </c>
      <c r="D12242" s="3">
        <v>2.0</v>
      </c>
    </row>
    <row r="12243" ht="15.75" customHeight="1">
      <c r="A12243" s="1">
        <v>13036.0</v>
      </c>
      <c r="B12243" s="3" t="s">
        <v>11684</v>
      </c>
      <c r="C12243" s="3" t="str">
        <f>IFERROR(__xludf.DUMMYFUNCTION("GOOGLETRANSLATE(B12243,""id"",""en"")"),"['Come on', 'Leave', 'Whatever', 'Type', 'Products', 'Telkom', 'Disappointing', 'Customer', '']")</f>
        <v>['Come on', 'Leave', 'Whatever', 'Type', 'Products', 'Telkom', 'Disappointing', 'Customer', '']</v>
      </c>
      <c r="D12243" s="3">
        <v>1.0</v>
      </c>
    </row>
    <row r="12244" ht="15.75" customHeight="1">
      <c r="A12244" s="1">
        <v>13037.0</v>
      </c>
      <c r="B12244" s="3" t="s">
        <v>5594</v>
      </c>
      <c r="C12244" s="3" t="str">
        <f>IFERROR(__xludf.DUMMYFUNCTION("GOOGLETRANSLATE(B12244,""id"",""en"")"),"['Service', 'fast']")</f>
        <v>['Service', 'fast']</v>
      </c>
      <c r="D12244" s="3">
        <v>3.0</v>
      </c>
    </row>
    <row r="12245" ht="15.75" customHeight="1">
      <c r="A12245" s="1">
        <v>13038.0</v>
      </c>
      <c r="B12245" s="3" t="s">
        <v>11685</v>
      </c>
      <c r="C12245" s="3" t="str">
        <f>IFERROR(__xludf.DUMMYFUNCTION("GOOGLETRANSLATE(B12245,""id"",""en"")"),"['heavy', 'open', 'signal', 'stable', 'network', 'Telkomsel', 'kek', 'garbage']")</f>
        <v>['heavy', 'open', 'signal', 'stable', 'network', 'Telkomsel', 'kek', 'garbage']</v>
      </c>
      <c r="D12245" s="3">
        <v>4.0</v>
      </c>
    </row>
    <row r="12246" ht="15.75" customHeight="1">
      <c r="A12246" s="1">
        <v>13039.0</v>
      </c>
      <c r="B12246" s="3" t="s">
        <v>11686</v>
      </c>
      <c r="C12246" s="3" t="str">
        <f>IFERROR(__xludf.DUMMYFUNCTION("GOOGLETRANSLATE(B12246,""id"",""en"")"),"['The application', 'opened', 'White']")</f>
        <v>['The application', 'opened', 'White']</v>
      </c>
      <c r="D12246" s="3">
        <v>1.0</v>
      </c>
    </row>
    <row r="12247" ht="15.75" customHeight="1">
      <c r="A12247" s="1">
        <v>13040.0</v>
      </c>
      <c r="B12247" s="3" t="s">
        <v>11687</v>
      </c>
      <c r="C12247" s="3" t="str">
        <f>IFERROR(__xludf.DUMMYFUNCTION("GOOGLETRANSLATE(B12247,""id"",""en"")"),"['Star', 'promo', 'internet', 'cheap', 'kayak']")</f>
        <v>['Star', 'promo', 'internet', 'cheap', 'kayak']</v>
      </c>
      <c r="D12247" s="3">
        <v>3.0</v>
      </c>
    </row>
    <row r="12248" ht="15.75" customHeight="1">
      <c r="A12248" s="1">
        <v>13041.0</v>
      </c>
      <c r="B12248" s="3" t="s">
        <v>11688</v>
      </c>
      <c r="C12248" s="3" t="str">
        <f>IFERROR(__xludf.DUMMYFUNCTION("GOOGLETRANSLATE(B12248,""id"",""en"")"),"['Sip', 'okay', 'network', 'best']")</f>
        <v>['Sip', 'okay', 'network', 'best']</v>
      </c>
      <c r="D12248" s="3">
        <v>5.0</v>
      </c>
    </row>
    <row r="12249" ht="15.75" customHeight="1">
      <c r="A12249" s="1">
        <v>13042.0</v>
      </c>
      <c r="B12249" s="3" t="s">
        <v>11689</v>
      </c>
      <c r="C12249" s="3" t="str">
        <f>IFERROR(__xludf.DUMMYFUNCTION("GOOGLETRANSLATE(B12249,""id"",""en"")"),"['app', 'no', 'opened', 'difficult', 'send', 'notice', 'before', 'confusion', 'looked', 'all night', 'policy', 'huft', ' ']")</f>
        <v>['app', 'no', 'opened', 'difficult', 'send', 'notice', 'before', 'confusion', 'looked', 'all night', 'policy', 'huft', ' ']</v>
      </c>
      <c r="D12249" s="3">
        <v>1.0</v>
      </c>
    </row>
    <row r="12250" ht="15.75" customHeight="1">
      <c r="A12250" s="1">
        <v>13043.0</v>
      </c>
      <c r="B12250" s="3" t="s">
        <v>11690</v>
      </c>
      <c r="C12250" s="3" t="str">
        <f>IFERROR(__xludf.DUMMYFUNCTION("GOOGLETRANSLATE(B12250,""id"",""en"")"),"['Wonder', 'card', 'move', 'telephone', 'sms',' thank ',' sms', 'usage', 'quota', 'internet', 'consequently', 'sms',' Credit ',' Reduced ',' A Week ',' Credit ',' Cut "", '']")</f>
        <v>['Wonder', 'card', 'move', 'telephone', 'sms',' thank ',' sms', 'usage', 'quota', 'internet', 'consequently', 'sms',' Credit ',' Reduced ',' A Week ',' Credit ',' Cut ", '']</v>
      </c>
      <c r="D12250" s="3">
        <v>1.0</v>
      </c>
    </row>
    <row r="12251" ht="15.75" customHeight="1">
      <c r="A12251" s="1">
        <v>13044.0</v>
      </c>
      <c r="B12251" s="3" t="s">
        <v>11691</v>
      </c>
      <c r="C12251" s="3" t="str">
        <f>IFERROR(__xludf.DUMMYFUNCTION("GOOGLETRANSLATE(B12251,""id"",""en"")"),"['Quality', 'Network', 'Top']")</f>
        <v>['Quality', 'Network', 'Top']</v>
      </c>
      <c r="D12251" s="3">
        <v>5.0</v>
      </c>
    </row>
    <row r="12252" ht="15.75" customHeight="1">
      <c r="A12252" s="1">
        <v>13045.0</v>
      </c>
      <c r="B12252" s="3" t="s">
        <v>11692</v>
      </c>
      <c r="C12252" s="3" t="str">
        <f>IFERROR(__xludf.DUMMYFUNCTION("GOOGLETRANSLATE(B12252,""id"",""en"")"),"['Good', 'buy', 'quota', 'pulse', '']")</f>
        <v>['Good', 'buy', 'quota', 'pulse', '']</v>
      </c>
      <c r="D12252" s="3">
        <v>5.0</v>
      </c>
    </row>
    <row r="12253" ht="15.75" customHeight="1">
      <c r="A12253" s="1">
        <v>13047.0</v>
      </c>
      <c r="B12253" s="3" t="s">
        <v>6621</v>
      </c>
      <c r="C12253" s="3" t="str">
        <f>IFERROR(__xludf.DUMMYFUNCTION("GOOGLETRANSLATE(B12253,""id"",""en"")"),"['really good', '']")</f>
        <v>['really good', '']</v>
      </c>
      <c r="D12253" s="3">
        <v>5.0</v>
      </c>
    </row>
    <row r="12254" ht="15.75" customHeight="1">
      <c r="A12254" s="1">
        <v>13048.0</v>
      </c>
      <c r="B12254" s="3" t="s">
        <v>11693</v>
      </c>
      <c r="C12254" s="3" t="str">
        <f>IFERROR(__xludf.DUMMYFUNCTION("GOOGLETRANSLATE(B12254,""id"",""en"")"),"['Alhamdulillah', 'price', 'package', 'cheap', 'manyin', 'promo', '']")</f>
        <v>['Alhamdulillah', 'price', 'package', 'cheap', 'manyin', 'promo', '']</v>
      </c>
      <c r="D12254" s="3">
        <v>5.0</v>
      </c>
    </row>
    <row r="12255" ht="15.75" customHeight="1">
      <c r="A12255" s="1">
        <v>13049.0</v>
      </c>
      <c r="B12255" s="3" t="s">
        <v>11694</v>
      </c>
      <c r="C12255" s="3" t="str">
        <f>IFERROR(__xludf.DUMMYFUNCTION("GOOGLETRANSLATE(B12255,""id"",""en"")"),"['APK', '']")</f>
        <v>['APK', '']</v>
      </c>
      <c r="D12255" s="3">
        <v>2.0</v>
      </c>
    </row>
    <row r="12256" ht="15.75" customHeight="1">
      <c r="A12256" s="1">
        <v>13050.0</v>
      </c>
      <c r="B12256" s="3" t="s">
        <v>11695</v>
      </c>
      <c r="C12256" s="3" t="str">
        <f>IFERROR(__xludf.DUMMYFUNCTION("GOOGLETRANSLATE(B12256,""id"",""en"")"),"['Buy', 'Package', 'Direct', 'Enter']")</f>
        <v>['Buy', 'Package', 'Direct', 'Enter']</v>
      </c>
      <c r="D12256" s="3">
        <v>5.0</v>
      </c>
    </row>
    <row r="12257" ht="15.75" customHeight="1">
      <c r="A12257" s="1">
        <v>13051.0</v>
      </c>
      <c r="B12257" s="3" t="s">
        <v>11696</v>
      </c>
      <c r="C12257" s="3" t="str">
        <f>IFERROR(__xludf.DUMMYFUNCTION("GOOGLETRANSLATE(B12257,""id"",""en"")"),"['Hello', 'users',' contents', 'reset', 'pulse', 'chick', 'Gara', 'Gara', 'package', 'used', 'quota', 'Telkom', ' telling you', '']")</f>
        <v>['Hello', 'users',' contents', 'reset', 'pulse', 'chick', 'Gara', 'Gara', 'package', 'used', 'quota', 'Telkom', ' telling you', '']</v>
      </c>
      <c r="D12257" s="3">
        <v>1.0</v>
      </c>
    </row>
    <row r="12258" ht="15.75" customHeight="1">
      <c r="A12258" s="1">
        <v>13052.0</v>
      </c>
      <c r="B12258" s="3" t="s">
        <v>11697</v>
      </c>
      <c r="C12258" s="3" t="str">
        <f>IFERROR(__xludf.DUMMYFUNCTION("GOOGLETRANSLATE(B12258,""id"",""en"")"),"['application', 'opened', 'screen', 'white', 'tok', ""]")</f>
        <v>['application', 'opened', 'screen', 'white', 'tok', "]</v>
      </c>
      <c r="D12258" s="3">
        <v>5.0</v>
      </c>
    </row>
    <row r="12259" ht="15.75" customHeight="1">
      <c r="A12259" s="1">
        <v>13053.0</v>
      </c>
      <c r="B12259" s="3" t="s">
        <v>11698</v>
      </c>
      <c r="C12259" s="3" t="str">
        <f>IFERROR(__xludf.DUMMYFUNCTION("GOOGLETRANSLATE(B12259,""id"",""en"")"),"['Suda', 'Exchange', 'Points']")</f>
        <v>['Suda', 'Exchange', 'Points']</v>
      </c>
      <c r="D12259" s="3">
        <v>5.0</v>
      </c>
    </row>
    <row r="12260" ht="15.75" customHeight="1">
      <c r="A12260" s="1">
        <v>13054.0</v>
      </c>
      <c r="B12260" s="3" t="s">
        <v>11699</v>
      </c>
      <c r="C12260" s="3" t="str">
        <f>IFERROR(__xludf.DUMMYFUNCTION("GOOGLETRANSLATE(B12260,""id"",""en"")"),"['Disappointed', 'Customer', 'loyal', 'Telkomsel', 'Network', 'poor', 'Padahala', 'City', 'please', 'Telokomsel', 'improving', 'Ter', ' Distruption ',' trimakasih ',' ']")</f>
        <v>['Disappointed', 'Customer', 'loyal', 'Telkomsel', 'Network', 'poor', 'Padahala', 'City', 'please', 'Telokomsel', 'improving', 'Ter', ' Distruption ',' trimakasih ',' ']</v>
      </c>
      <c r="D12260" s="3">
        <v>1.0</v>
      </c>
    </row>
    <row r="12261" ht="15.75" customHeight="1">
      <c r="A12261" s="1">
        <v>13055.0</v>
      </c>
      <c r="B12261" s="3" t="s">
        <v>859</v>
      </c>
      <c r="C12261" s="3" t="str">
        <f>IFERROR(__xludf.DUMMYFUNCTION("GOOGLETRANSLATE(B12261,""id"",""en"")"),"['help', '']")</f>
        <v>['help', '']</v>
      </c>
      <c r="D12261" s="3">
        <v>5.0</v>
      </c>
    </row>
    <row r="12262" ht="15.75" customHeight="1">
      <c r="A12262" s="1">
        <v>13056.0</v>
      </c>
      <c r="B12262" s="3" t="s">
        <v>11700</v>
      </c>
      <c r="C12262" s="3" t="str">
        <f>IFERROR(__xludf.DUMMYFUNCTION("GOOGLETRANSLATE(B12262,""id"",""en"")"),"['Disappointing', 'APL', 'entered', 'paying', 'just', 'love', 'Watu', 'second', 'move', 'difficult', 'buy', 'package']")</f>
        <v>['Disappointing', 'APL', 'entered', 'paying', 'just', 'love', 'Watu', 'second', 'move', 'difficult', 'buy', 'package']</v>
      </c>
      <c r="D12262" s="3">
        <v>1.0</v>
      </c>
    </row>
    <row r="12263" ht="15.75" customHeight="1">
      <c r="A12263" s="1">
        <v>13057.0</v>
      </c>
      <c r="B12263" s="3" t="s">
        <v>11701</v>
      </c>
      <c r="C12263" s="3" t="str">
        <f>IFERROR(__xludf.DUMMYFUNCTION("GOOGLETRANSLATE(B12263,""id"",""en"")"),"['Application', 'right', 'Open', 'White', 'Screen', 'already', 'Uninstall', 'Install', 'alternating', 'right', 'Login', 'waduhh', ' How ',' Please ',' Fix ',' Application ',' MyTelkomsel ',' Error ',' Mulu ', ""]")</f>
        <v>['Application', 'right', 'Open', 'White', 'Screen', 'already', 'Uninstall', 'Install', 'alternating', 'right', 'Login', 'waduhh', ' How ',' Please ',' Fix ',' Application ',' MyTelkomsel ',' Error ',' Mulu ', "]</v>
      </c>
      <c r="D12263" s="3">
        <v>1.0</v>
      </c>
    </row>
    <row r="12264" ht="15.75" customHeight="1">
      <c r="A12264" s="1">
        <v>13058.0</v>
      </c>
      <c r="B12264" s="3" t="s">
        <v>11702</v>
      </c>
      <c r="C12264" s="3" t="str">
        <f>IFERROR(__xludf.DUMMYFUNCTION("GOOGLETRANSLATE(B12264,""id"",""en"")"),"['signal', 'Kenceng', 'skrang', 'error', 'surprised', 'smpe', 'kpn', 'bni', 'pke', 'internet', 'jga', 'paid', ' Free ',' like ',' then ',' mnding ',' replace ',' provider ',' ']")</f>
        <v>['signal', 'Kenceng', 'skrang', 'error', 'surprised', 'smpe', 'kpn', 'bni', 'pke', 'internet', 'jga', 'paid', ' Free ',' like ',' then ',' mnding ',' replace ',' provider ',' ']</v>
      </c>
      <c r="D12264" s="3">
        <v>3.0</v>
      </c>
    </row>
    <row r="12265" ht="15.75" customHeight="1">
      <c r="A12265" s="1">
        <v>13059.0</v>
      </c>
      <c r="B12265" s="3" t="s">
        <v>11703</v>
      </c>
      <c r="C12265" s="3" t="str">
        <f>IFERROR(__xludf.DUMMYFUNCTION("GOOGLETRANSLATE(B12265,""id"",""en"")"),"['Disappointed', 'Telkomsel', 'Package', 'Nelfon', 'On', 'Buy', 'Gopay', 'emang', 'price', 'disappointed', 'service', 'Telkomsel', ' Harms', 'Mountains',' Telkomsel ', ""]")</f>
        <v>['Disappointed', 'Telkomsel', 'Package', 'Nelfon', 'On', 'Buy', 'Gopay', 'emang', 'price', 'disappointed', 'service', 'Telkomsel', ' Harms', 'Mountains',' Telkomsel ', "]</v>
      </c>
      <c r="D12265" s="3">
        <v>1.0</v>
      </c>
    </row>
    <row r="12266" ht="15.75" customHeight="1">
      <c r="A12266" s="1">
        <v>13060.0</v>
      </c>
      <c r="B12266" s="3" t="s">
        <v>11704</v>
      </c>
      <c r="C12266" s="3" t="str">
        <f>IFERROR(__xludf.DUMMYFUNCTION("GOOGLETRANSLATE(B12266,""id"",""en"")"),"['difficult', 'open', 'accessed', 'Telkomsel']")</f>
        <v>['difficult', 'open', 'accessed', 'Telkomsel']</v>
      </c>
      <c r="D12266" s="3">
        <v>1.0</v>
      </c>
    </row>
    <row r="12267" ht="15.75" customHeight="1">
      <c r="A12267" s="1">
        <v>13061.0</v>
      </c>
      <c r="B12267" s="3" t="s">
        <v>11705</v>
      </c>
      <c r="C12267" s="3" t="str">
        <f>IFERROR(__xludf.DUMMYFUNCTION("GOOGLETRANSLATE(B12267,""id"",""en"")"),"['compilation', 'menu', 'information', 'it's easy']")</f>
        <v>['compilation', 'menu', 'information', 'it's easy']</v>
      </c>
      <c r="D12267" s="3">
        <v>5.0</v>
      </c>
    </row>
    <row r="12268" ht="15.75" customHeight="1">
      <c r="A12268" s="1">
        <v>13062.0</v>
      </c>
      <c r="B12268" s="3" t="s">
        <v>11706</v>
      </c>
      <c r="C12268" s="3" t="str">
        <f>IFERROR(__xludf.DUMMYFUNCTION("GOOGLETRANSLATE(B12268,""id"",""en"")"),"['disruption', 'love', 'purchase', 'package', 'internet', 'enter', 'balance', 'cut', 'purchase', 'application', '']")</f>
        <v>['disruption', 'love', 'purchase', 'package', 'internet', 'enter', 'balance', 'cut', 'purchase', 'application', '']</v>
      </c>
      <c r="D12268" s="3">
        <v>1.0</v>
      </c>
    </row>
    <row r="12269" ht="15.75" customHeight="1">
      <c r="A12269" s="1">
        <v>13063.0</v>
      </c>
      <c r="B12269" s="3" t="s">
        <v>11707</v>
      </c>
      <c r="C12269" s="3" t="str">
        <f>IFERROR(__xludf.DUMMYFUNCTION("GOOGLETRANSLATE(B12269,""id"",""en"")"),"['Stuck', 'White', 'Screen', 'Many', 'Device', 'Network', 'Ram', 'Gede', 'Network', 'Speaking', 'Internal', 'Lega', ' Please, 'Acquired', 'Nurse', 'Viral', 'Customer', 'Move', 'Provider', ""]")</f>
        <v>['Stuck', 'White', 'Screen', 'Many', 'Device', 'Network', 'Ram', 'Gede', 'Network', 'Speaking', 'Internal', 'Lega', ' Please, 'Acquired', 'Nurse', 'Viral', 'Customer', 'Move', 'Provider', "]</v>
      </c>
      <c r="D12269" s="3">
        <v>1.0</v>
      </c>
    </row>
    <row r="12270" ht="15.75" customHeight="1">
      <c r="A12270" s="1">
        <v>13064.0</v>
      </c>
      <c r="B12270" s="3" t="s">
        <v>11708</v>
      </c>
      <c r="C12270" s="3" t="str">
        <f>IFERROR(__xludf.DUMMYFUNCTION("GOOGLETRANSLATE(B12270,""id"",""en"")"),"['customers',' Telkomsel ',' package ',' expensive ',' complain ',' change ',' provider ',' feel ',' cheap ',' Telkomsel ',' network ',' win ',' a little ',' replace ',' card ',' pulse ',' sucked ',' masi ',' has', 'quota', 'internet', 'Telkomsel', 'respo"&amp;"nsible', 'formerly', 'restore' , 'pulse', 'sucked', 'error', 'Telkomsel', '']")</f>
        <v>['customers',' Telkomsel ',' package ',' expensive ',' complain ',' change ',' provider ',' feel ',' cheap ',' Telkomsel ',' network ',' win ',' a little ',' replace ',' card ',' pulse ',' sucked ',' masi ',' has', 'quota', 'internet', 'Telkomsel', 'responsible', 'formerly', 'restore' , 'pulse', 'sucked', 'error', 'Telkomsel', '']</v>
      </c>
      <c r="D12270" s="3">
        <v>1.0</v>
      </c>
    </row>
    <row r="12271" ht="15.75" customHeight="1">
      <c r="A12271" s="1">
        <v>13065.0</v>
      </c>
      <c r="B12271" s="3" t="s">
        <v>11709</v>
      </c>
      <c r="C12271" s="3" t="str">
        <f>IFERROR(__xludf.DUMMYFUNCTION("GOOGLETRANSLATE(B12271,""id"",""en"")"),"['Signal', 'You', 'Area', 'Palembang', 'Beneri', 'Pig']")</f>
        <v>['Signal', 'You', 'Area', 'Palembang', 'Beneri', 'Pig']</v>
      </c>
      <c r="D12271" s="3">
        <v>1.0</v>
      </c>
    </row>
    <row r="12272" ht="15.75" customHeight="1">
      <c r="A12272" s="1">
        <v>13066.0</v>
      </c>
      <c r="B12272" s="3" t="s">
        <v>11710</v>
      </c>
      <c r="C12272" s="3" t="str">
        <f>IFERROR(__xludf.DUMMYFUNCTION("GOOGLETRANSLATE(B12272,""id"",""en"")"),"['Telkomsel', 'Kek', 'buy', 'pulse', 'credit', 'used', 'already', 'APK', 'open', 'intention', 'prime', 'prime', ' ']")</f>
        <v>['Telkomsel', 'Kek', 'buy', 'pulse', 'credit', 'used', 'already', 'APK', 'open', 'intention', 'prime', 'prime', ' ']</v>
      </c>
      <c r="D12272" s="3">
        <v>1.0</v>
      </c>
    </row>
    <row r="12273" ht="15.75" customHeight="1">
      <c r="A12273" s="1">
        <v>13067.0</v>
      </c>
      <c r="B12273" s="3" t="s">
        <v>11711</v>
      </c>
      <c r="C12273" s="3" t="str">
        <f>IFERROR(__xludf.DUMMYFUNCTION("GOOGLETRANSLATE(B12273,""id"",""en"")"),"['', 'OK']")</f>
        <v>['', 'OK']</v>
      </c>
      <c r="D12273" s="3">
        <v>5.0</v>
      </c>
    </row>
    <row r="12274" ht="15.75" customHeight="1">
      <c r="A12274" s="1">
        <v>13068.0</v>
      </c>
      <c r="B12274" s="3" t="s">
        <v>11712</v>
      </c>
      <c r="C12274" s="3" t="str">
        <f>IFERROR(__xludf.DUMMYFUNCTION("GOOGLETRANSLATE(B12274,""id"",""en"")"),"['Application', 'Opened', ""]")</f>
        <v>['Application', 'Opened', "]</v>
      </c>
      <c r="D12274" s="3">
        <v>1.0</v>
      </c>
    </row>
    <row r="12275" ht="15.75" customHeight="1">
      <c r="A12275" s="1">
        <v>13069.0</v>
      </c>
      <c r="B12275" s="3" t="s">
        <v>11713</v>
      </c>
      <c r="C12275" s="3" t="str">
        <f>IFERROR(__xludf.DUMMYFUNCTION("GOOGLETRANSLATE(B12275,""id"",""en"")"),"['The application', 'opened', 'updated', 'Males', 'deh']")</f>
        <v>['The application', 'opened', 'updated', 'Males', 'deh']</v>
      </c>
      <c r="D12275" s="3">
        <v>1.0</v>
      </c>
    </row>
    <row r="12276" ht="15.75" customHeight="1">
      <c r="A12276" s="1">
        <v>13070.0</v>
      </c>
      <c r="B12276" s="3" t="s">
        <v>11714</v>
      </c>
      <c r="C12276" s="3" t="str">
        <f>IFERROR(__xludf.DUMMYFUNCTION("GOOGLETRANSLATE(B12276,""id"",""en"")"),"['access']")</f>
        <v>['access']</v>
      </c>
      <c r="D12276" s="3">
        <v>1.0</v>
      </c>
    </row>
    <row r="12277" ht="15.75" customHeight="1">
      <c r="A12277" s="1">
        <v>13071.0</v>
      </c>
      <c r="B12277" s="3" t="s">
        <v>11715</v>
      </c>
      <c r="C12277" s="3" t="str">
        <f>IFERROR(__xludf.DUMMYFUNCTION("GOOGLETRANSLATE(B12277,""id"",""en"")"),"['oath', 'buy', 'times', 'Package', 'Telkomsel', 'On', 'On', 'Sampe', 'Disappointed', 'Telkomsel']")</f>
        <v>['oath', 'buy', 'times', 'Package', 'Telkomsel', 'On', 'On', 'Sampe', 'Disappointed', 'Telkomsel']</v>
      </c>
      <c r="D12277" s="3">
        <v>1.0</v>
      </c>
    </row>
    <row r="12278" ht="15.75" customHeight="1">
      <c r="A12278" s="1">
        <v>13072.0</v>
      </c>
      <c r="B12278" s="3" t="s">
        <v>11716</v>
      </c>
      <c r="C12278" s="3" t="str">
        <f>IFERROR(__xludf.DUMMYFUNCTION("GOOGLETRANSLATE(B12278,""id"",""en"")"),"['screen', 'white', 'doang', 'open', '']")</f>
        <v>['screen', 'white', 'doang', 'open', '']</v>
      </c>
      <c r="D12278" s="3">
        <v>1.0</v>
      </c>
    </row>
    <row r="12279" ht="15.75" customHeight="1">
      <c r="A12279" s="1">
        <v>13073.0</v>
      </c>
      <c r="B12279" s="3" t="s">
        <v>11717</v>
      </c>
      <c r="C12279" s="3" t="str">
        <f>IFERROR(__xludf.DUMMYFUNCTION("GOOGLETRANSLATE(B12279,""id"",""en"")"),"['Telkomsel', 'Network', 'NGK', 'Good', 'Original', 'Ngelag', 'Severe', 'Raying', 'Buy', 'Package', 'Internet', 'Ngk', ' According to ',' Quality ',' Network ',' ']")</f>
        <v>['Telkomsel', 'Network', 'NGK', 'Good', 'Original', 'Ngelag', 'Severe', 'Raying', 'Buy', 'Package', 'Internet', 'Ngk', ' According to ',' Quality ',' Network ',' ']</v>
      </c>
      <c r="D12279" s="3">
        <v>1.0</v>
      </c>
    </row>
    <row r="12280" ht="15.75" customHeight="1">
      <c r="A12280" s="1">
        <v>13074.0</v>
      </c>
      <c r="B12280" s="3" t="s">
        <v>11718</v>
      </c>
      <c r="C12280" s="3" t="str">
        <f>IFERROR(__xludf.DUMMYFUNCTION("GOOGLETRANSLATE(B12280,""id"",""en"")"),"['Just now', 'buy', 'package', 'until', 'transaction', 'balance', 'gopay', 'cut', 'yes', 'blm', 'entered', '']")</f>
        <v>['Just now', 'buy', 'package', 'until', 'transaction', 'balance', 'gopay', 'cut', 'yes', 'blm', 'entered', '']</v>
      </c>
      <c r="D12280" s="3">
        <v>1.0</v>
      </c>
    </row>
    <row r="12281" ht="15.75" customHeight="1">
      <c r="A12281" s="1">
        <v>13075.0</v>
      </c>
      <c r="B12281" s="3" t="s">
        <v>11719</v>
      </c>
      <c r="C12281" s="3" t="str">
        <f>IFERROR(__xludf.DUMMYFUNCTION("GOOGLETRANSLATE(B12281,""id"",""en"")"),"['Haloo', 'team', 'developer', 'application', 'application', 'MyTelkomsel', 'already', 'opened', 'screen', 'white', 'pray', 'fix', ' Donk ',' ']")</f>
        <v>['Haloo', 'team', 'developer', 'application', 'application', 'MyTelkomsel', 'already', 'opened', 'screen', 'white', 'pray', 'fix', ' Donk ',' ']</v>
      </c>
      <c r="D12281" s="3">
        <v>1.0</v>
      </c>
    </row>
    <row r="12282" ht="15.75" customHeight="1">
      <c r="A12282" s="1">
        <v>13076.0</v>
      </c>
      <c r="B12282" s="3" t="s">
        <v>11720</v>
      </c>
      <c r="C12282" s="3" t="str">
        <f>IFERROR(__xludf.DUMMYFUNCTION("GOOGLETRANSLATE(B12282,""id"",""en"")"),"['Njir', 'Reviews',' direct ',' deleted ',' Bener ',' management ',' application ',' repaired ',' buy ',' package ',' unlimited ',' YouTube ',' Upload ',' Video ',' Sumpot ',' Quota ',' Main ',' Buy ',' Paketan ',' ']")</f>
        <v>['Njir', 'Reviews',' direct ',' deleted ',' Bener ',' management ',' application ',' repaired ',' buy ',' package ',' unlimited ',' YouTube ',' Upload ',' Video ',' Sumpot ',' Quota ',' Main ',' Buy ',' Paketan ',' ']</v>
      </c>
      <c r="D12282" s="3">
        <v>1.0</v>
      </c>
    </row>
    <row r="12283" ht="15.75" customHeight="1">
      <c r="A12283" s="1">
        <v>13077.0</v>
      </c>
      <c r="B12283" s="3" t="s">
        <v>11721</v>
      </c>
      <c r="C12283" s="3" t="str">
        <f>IFERROR(__xludf.DUMMYFUNCTION("GOOGLETRANSLATE(B12283,""id"",""en"")"),"['Forced', 'Change', 'Provider', 'Sya', 'Version', 'Given', 'Blank', 'White', 'SMA', 'Telkomsel', 'Bye', ""]")</f>
        <v>['Forced', 'Change', 'Provider', 'Sya', 'Version', 'Given', 'Blank', 'White', 'SMA', 'Telkomsel', 'Bye', "]</v>
      </c>
      <c r="D12283" s="3">
        <v>1.0</v>
      </c>
    </row>
    <row r="12284" ht="15.75" customHeight="1">
      <c r="A12284" s="1">
        <v>13078.0</v>
      </c>
      <c r="B12284" s="3" t="s">
        <v>11722</v>
      </c>
      <c r="C12284" s="3" t="str">
        <f>IFERROR(__xludf.DUMMYFUNCTION("GOOGLETRANSLATE(B12284,""id"",""en"")"),"['Opened', 'Login', 'Error']")</f>
        <v>['Opened', 'Login', 'Error']</v>
      </c>
      <c r="D12284" s="3">
        <v>4.0</v>
      </c>
    </row>
    <row r="12285" ht="15.75" customHeight="1">
      <c r="A12285" s="1">
        <v>13079.0</v>
      </c>
      <c r="B12285" s="3" t="s">
        <v>11723</v>
      </c>
      <c r="C12285" s="3" t="str">
        <f>IFERROR(__xludf.DUMMYFUNCTION("GOOGLETRANSLATE(B12285,""id"",""en"")"),"['application', 'good', 'complete']")</f>
        <v>['application', 'good', 'complete']</v>
      </c>
      <c r="D12285" s="3">
        <v>3.0</v>
      </c>
    </row>
    <row r="12286" ht="15.75" customHeight="1">
      <c r="A12286" s="1">
        <v>13080.0</v>
      </c>
      <c r="B12286" s="3" t="s">
        <v>11724</v>
      </c>
      <c r="C12286" s="3" t="str">
        <f>IFERROR(__xludf.DUMMYFUNCTION("GOOGLETRANSLATE(B12286,""id"",""en"")"),"['propitional', 'lost', 'opened', 'serper', 'tar', 'opened', 'change', 'star']")</f>
        <v>['propitional', 'lost', 'opened', 'serper', 'tar', 'opened', 'change', 'star']</v>
      </c>
      <c r="D12286" s="3">
        <v>1.0</v>
      </c>
    </row>
    <row r="12287" ht="15.75" customHeight="1">
      <c r="A12287" s="1">
        <v>13081.0</v>
      </c>
      <c r="B12287" s="3" t="s">
        <v>11725</v>
      </c>
      <c r="C12287" s="3" t="str">
        <f>IFERROR(__xludf.DUMMYFUNCTION("GOOGLETRANSLATE(B12287,""id"",""en"")"),"['pulse', 'run out', 'sucked', 'Telkomsel', 'package', 'GB', 'APASI', 'I mean', 'want', 'complement', 'guaaa']")</f>
        <v>['pulse', 'run out', 'sucked', 'Telkomsel', 'package', 'GB', 'APASI', 'I mean', 'want', 'complement', 'guaaa']</v>
      </c>
      <c r="D12287" s="3">
        <v>1.0</v>
      </c>
    </row>
    <row r="12288" ht="15.75" customHeight="1">
      <c r="A12288" s="1">
        <v>13082.0</v>
      </c>
      <c r="B12288" s="3" t="s">
        <v>11726</v>
      </c>
      <c r="C12288" s="3" t="str">
        <f>IFERROR(__xludf.DUMMYFUNCTION("GOOGLETRANSLATE(B12288,""id"",""en"")"),"['Tuker', 'Points', 'Ribet', 'Grapari', 'Service', 'Solution', 'Details', 'Activating', 'Roaming', 'Country', 'Need', ""]")</f>
        <v>['Tuker', 'Points', 'Ribet', 'Grapari', 'Service', 'Solution', 'Details', 'Activating', 'Roaming', 'Country', 'Need', "]</v>
      </c>
      <c r="D12288" s="3">
        <v>1.0</v>
      </c>
    </row>
    <row r="12289" ht="15.75" customHeight="1">
      <c r="A12289" s="1">
        <v>13083.0</v>
      </c>
      <c r="B12289" s="3" t="s">
        <v>11727</v>
      </c>
      <c r="C12289" s="3" t="str">
        <f>IFERROR(__xludf.DUMMYFUNCTION("GOOGLETRANSLATE(B12289,""id"",""en"")"),"['Network', 'Bad', 'Mending', 'Moving', 'Operator', 'Sajah', 'Ngehat', 'Sajas']")</f>
        <v>['Network', 'Bad', 'Mending', 'Moving', 'Operator', 'Sajah', 'Ngehat', 'Sajas']</v>
      </c>
      <c r="D12289" s="3">
        <v>1.0</v>
      </c>
    </row>
    <row r="12290" ht="15.75" customHeight="1">
      <c r="A12290" s="1">
        <v>13084.0</v>
      </c>
      <c r="B12290" s="3" t="s">
        <v>11728</v>
      </c>
      <c r="C12290" s="3" t="str">
        <f>IFERROR(__xludf.DUMMYFUNCTION("GOOGLETRANSLATE(B12290,""id"",""en"")"),"['his slow', 'forgiveness',' bags', 'broken', 'emang', 'packetanku', 'cheap', 'mbok', 'Ojo', 'NEMEN', 'NEMEN', 'REEK', ' The network is', 'Subhanallah', 'emang', 'gave', 'package', 'cheap', 'yawes',' ilangin ',' menu ',' package ',' cheap ',' cook ',' pla"&amp;"y ' , 'MLBB', 'ngellag', 'forgiveness',' right ',' dead ',' internet ',' smooth ',' Jaya ',' Turn ',' War ',' Lag ',' lag ',' Cooperation ',' God ',' fortune ',' blessings', 'that's',' that's']")</f>
        <v>['his slow', 'forgiveness',' bags', 'broken', 'emang', 'packetanku', 'cheap', 'mbok', 'Ojo', 'NEMEN', 'NEMEN', 'REEK', ' The network is', 'Subhanallah', 'emang', 'gave', 'package', 'cheap', 'yawes',' ilangin ',' menu ',' package ',' cheap ',' cook ',' play ' , 'MLBB', 'ngellag', 'forgiveness',' right ',' dead ',' internet ',' smooth ',' Jaya ',' Turn ',' War ',' Lag ',' lag ',' Cooperation ',' God ',' fortune ',' blessings', 'that's',' that's']</v>
      </c>
      <c r="D12290" s="3">
        <v>1.0</v>
      </c>
    </row>
    <row r="12291" ht="15.75" customHeight="1">
      <c r="A12291" s="1">
        <v>13085.0</v>
      </c>
      <c r="B12291" s="3" t="s">
        <v>11729</v>
      </c>
      <c r="C12291" s="3" t="str">
        <f>IFERROR(__xludf.DUMMYFUNCTION("GOOGLETRANSLATE(B12291,""id"",""en"")"),"['Price', 'package', 'expensive']")</f>
        <v>['Price', 'package', 'expensive']</v>
      </c>
      <c r="D12291" s="3">
        <v>1.0</v>
      </c>
    </row>
    <row r="12292" ht="15.75" customHeight="1">
      <c r="A12292" s="1">
        <v>13086.0</v>
      </c>
      <c r="B12292" s="3" t="s">
        <v>11730</v>
      </c>
      <c r="C12292" s="3" t="str">
        <f>IFERROR(__xludf.DUMMYFUNCTION("GOOGLETRANSLATE(B12292,""id"",""en"")"),"['slow', '']")</f>
        <v>['slow', '']</v>
      </c>
      <c r="D12292" s="3">
        <v>4.0</v>
      </c>
    </row>
    <row r="12293" ht="15.75" customHeight="1">
      <c r="A12293" s="1">
        <v>13087.0</v>
      </c>
      <c r="B12293" s="3" t="s">
        <v>11731</v>
      </c>
      <c r="C12293" s="3" t="str">
        <f>IFERROR(__xludf.DUMMYFUNCTION("GOOGLETRANSLATE(B12293,""id"",""en"")"),"['bad', 'network', 'progress',' ugly ',' me ',' pakek ',' Telkomsel ',' uda ',' AFA ',' development ',' related ',' stabilan ',' network ',' good ',' network ',' package ',' expensive ',' network ',' kayak ',' gini ',' poor ']")</f>
        <v>['bad', 'network', 'progress',' ugly ',' me ',' pakek ',' Telkomsel ',' uda ',' AFA ',' development ',' related ',' stabilan ',' network ',' good ',' network ',' package ',' expensive ',' network ',' kayak ',' gini ',' poor ']</v>
      </c>
      <c r="D12293" s="3">
        <v>1.0</v>
      </c>
    </row>
    <row r="12294" ht="15.75" customHeight="1">
      <c r="A12294" s="1">
        <v>13088.0</v>
      </c>
      <c r="B12294" s="3" t="s">
        <v>11732</v>
      </c>
      <c r="C12294" s="3" t="str">
        <f>IFERROR(__xludf.DUMMYFUNCTION("GOOGLETRANSLATE(B12294,""id"",""en"")"),"['HRAPAN', 'Sya', 'as',' Mandarat ',' Hopefully ',' Sugih ',' Sukur ',' Sukur ',' Olih ',' Lottery ',' Telkomsel ',' Putie ',' Love ',' Telkomsel ',' I hope ',' lucky ',' ']")</f>
        <v>['HRAPAN', 'Sya', 'as',' Mandarat ',' Hopefully ',' Sugih ',' Sukur ',' Sukur ',' Olih ',' Lottery ',' Telkomsel ',' Putie ',' Love ',' Telkomsel ',' I hope ',' lucky ',' ']</v>
      </c>
      <c r="D12294" s="3">
        <v>5.0</v>
      </c>
    </row>
    <row r="12295" ht="15.75" customHeight="1">
      <c r="A12295" s="1">
        <v>13089.0</v>
      </c>
      <c r="B12295" s="3" t="s">
        <v>11733</v>
      </c>
      <c r="C12295" s="3" t="str">
        <f>IFERROR(__xludf.DUMMYFUNCTION("GOOGLETRANSLATE(B12295,""id"",""en"")"),"['Palayah', 'Telkomsel', 'Upgrade', 'APK', 'MyTelkomsel', 'Upgrade', 'Device', 'Collapse', 'Star', 'Deh', 'No', 'Kekeke', ' Device ',' my ']")</f>
        <v>['Palayah', 'Telkomsel', 'Upgrade', 'APK', 'MyTelkomsel', 'Upgrade', 'Device', 'Collapse', 'Star', 'Deh', 'No', 'Kekeke', ' Device ',' my ']</v>
      </c>
      <c r="D12295" s="3">
        <v>1.0</v>
      </c>
    </row>
    <row r="12296" ht="15.75" customHeight="1">
      <c r="A12296" s="1">
        <v>13091.0</v>
      </c>
      <c r="B12296" s="3" t="s">
        <v>11734</v>
      </c>
      <c r="C12296" s="3" t="str">
        <f>IFERROR(__xludf.DUMMYFUNCTION("GOOGLETRANSLATE(B12296,""id"",""en"")"),"['Telkomsel', 'Sousal', 'Nganu', 'Yaa', ""]")</f>
        <v>['Telkomsel', 'Sousal', 'Nganu', 'Yaa', "]</v>
      </c>
      <c r="D12296" s="3">
        <v>3.0</v>
      </c>
    </row>
    <row r="12297" ht="15.75" customHeight="1">
      <c r="A12297" s="1">
        <v>13092.0</v>
      </c>
      <c r="B12297" s="3" t="s">
        <v>11735</v>
      </c>
      <c r="C12297" s="3" t="str">
        <f>IFERROR(__xludf.DUMMYFUNCTION("GOOGLETRANSLATE(B12297,""id"",""en"")"),"['APK', 'bikessss']")</f>
        <v>['APK', 'bikessss']</v>
      </c>
      <c r="D12297" s="3">
        <v>1.0</v>
      </c>
    </row>
    <row r="12298" ht="15.75" customHeight="1">
      <c r="A12298" s="1">
        <v>13093.0</v>
      </c>
      <c r="B12298" s="3" t="s">
        <v>11736</v>
      </c>
      <c r="C12298" s="3" t="str">
        <f>IFERROR(__xludf.DUMMYFUNCTION("GOOGLETRANSLATE(B12298,""id"",""en"")"),"['ugly', 'signal', 'network', 'internet', 'repairs',' computer ',' operator ',' lying down ',' understand ',' complaints', 'customer', 'novemberin', ' Robot ',' operator ',' lying down ',' anything ',' complain ',' robot ',' ']")</f>
        <v>['ugly', 'signal', 'network', 'internet', 'repairs',' computer ',' operator ',' lying down ',' understand ',' complaints', 'customer', 'novemberin', ' Robot ',' operator ',' lying down ',' anything ',' complain ',' robot ',' ']</v>
      </c>
      <c r="D12298" s="3">
        <v>1.0</v>
      </c>
    </row>
    <row r="12299" ht="15.75" customHeight="1">
      <c r="A12299" s="1">
        <v>13094.0</v>
      </c>
      <c r="B12299" s="3" t="s">
        <v>11737</v>
      </c>
      <c r="C12299" s="3" t="str">
        <f>IFERROR(__xludf.DUMMYFUNCTION("GOOGLETRANSLATE(B12299,""id"",""en"")"),"['Telkomsel', 'ajink', 'price', 'package', 'expensive', 'network', 'stable', 'bgsd', 'tholol']")</f>
        <v>['Telkomsel', 'ajink', 'price', 'package', 'expensive', 'network', 'stable', 'bgsd', 'tholol']</v>
      </c>
      <c r="D12299" s="3">
        <v>1.0</v>
      </c>
    </row>
    <row r="12300" ht="15.75" customHeight="1">
      <c r="A12300" s="1">
        <v>13095.0</v>
      </c>
      <c r="B12300" s="3" t="s">
        <v>11738</v>
      </c>
      <c r="C12300" s="3" t="str">
        <f>IFERROR(__xludf.DUMMYFUNCTION("GOOGLETRANSLATE(B12300,""id"",""en"")"),"['Hello', 'Telkomsel', 'People', 'Nge', 'Signal', 'Besome', 'Bad', 'Severe', 'Cepet', 'Coerection', 'Lined', 'Kek', ' How ',' Kek ',' Diem ',' already ',' Smok ',' Ngrasain ',' Play ',' Game ',' Ngelag ',' Paraahhh ',' BURIK ']")</f>
        <v>['Hello', 'Telkomsel', 'People', 'Nge', 'Signal', 'Besome', 'Bad', 'Severe', 'Cepet', 'Coerection', 'Lined', 'Kek', ' How ',' Kek ',' Diem ',' already ',' Smok ',' Ngrasain ',' Play ',' Game ',' Ngelag ',' Paraahhh ',' BURIK ']</v>
      </c>
      <c r="D12300" s="3">
        <v>1.0</v>
      </c>
    </row>
    <row r="12301" ht="15.75" customHeight="1">
      <c r="A12301" s="1">
        <v>13096.0</v>
      </c>
      <c r="B12301" s="3" t="s">
        <v>11739</v>
      </c>
      <c r="C12301" s="3" t="str">
        <f>IFERROR(__xludf.DUMMYFUNCTION("GOOGLETRANSLATE(B12301,""id"",""en"")"),"['disappointed', 'all-round', 'expensive', 'service', 'really', 'very "",' bad ',' according to ',' motto ',' customer ',' sympathy ',' klu ',' less ',' star ',' klu ',' love ',' star ',' because 'really', 'ugly', 'pwlayanan']")</f>
        <v>['disappointed', 'all-round', 'expensive', 'service', 'really', 'very ",' bad ',' according to ',' motto ',' customer ',' sympathy ',' klu ',' less ',' star ',' klu ',' love ',' star ',' because 'really', 'ugly', 'pwlayanan']</v>
      </c>
      <c r="D12301" s="3">
        <v>1.0</v>
      </c>
    </row>
    <row r="12302" ht="15.75" customHeight="1">
      <c r="A12302" s="1">
        <v>13097.0</v>
      </c>
      <c r="B12302" s="3" t="s">
        <v>11740</v>
      </c>
      <c r="C12302" s="3" t="str">
        <f>IFERROR(__xludf.DUMMYFUNCTION("GOOGLETRANSLATE(B12302,""id"",""en"")"),"['update', 'just', 'application', 'slow', 'application', 'teremot', 'install', '']")</f>
        <v>['update', 'just', 'application', 'slow', 'application', 'teremot', 'install', '']</v>
      </c>
      <c r="D12302" s="3">
        <v>1.0</v>
      </c>
    </row>
    <row r="12303" ht="15.75" customHeight="1">
      <c r="A12303" s="1">
        <v>13098.0</v>
      </c>
      <c r="B12303" s="3" t="s">
        <v>11741</v>
      </c>
      <c r="C12303" s="3" t="str">
        <f>IFERROR(__xludf.DUMMYFUNCTION("GOOGLETRANSLATE(B12303,""id"",""en"")"),"['fast', 'response']")</f>
        <v>['fast', 'response']</v>
      </c>
      <c r="D12303" s="3">
        <v>5.0</v>
      </c>
    </row>
    <row r="12304" ht="15.75" customHeight="1">
      <c r="A12304" s="1">
        <v>13099.0</v>
      </c>
      <c r="B12304" s="3" t="s">
        <v>11742</v>
      </c>
      <c r="C12304" s="3" t="str">
        <f>IFERROR(__xludf.DUMMYFUNCTION("GOOGLETRANSLATE(B12304,""id"",""en"")"),"['network', 'slow', 'base', 'slow', 'error', 'ugly', 'rank', 'game', 'gara', 'telkomslet', 'uda', 'package', ' expensive ',' appeal ',' network ',' laen ',' expensive ',' doang ',' TPI ',' network ',' slow ']")</f>
        <v>['network', 'slow', 'base', 'slow', 'error', 'ugly', 'rank', 'game', 'gara', 'telkomslet', 'uda', 'package', ' expensive ',' appeal ',' network ',' laen ',' expensive ',' doang ',' TPI ',' network ',' slow ']</v>
      </c>
      <c r="D12304" s="3">
        <v>1.0</v>
      </c>
    </row>
    <row r="12305" ht="15.75" customHeight="1">
      <c r="A12305" s="1">
        <v>13100.0</v>
      </c>
      <c r="B12305" s="3" t="s">
        <v>11743</v>
      </c>
      <c r="C12305" s="3" t="str">
        <f>IFERROR(__xludf.DUMMYFUNCTION("GOOGLETRANSLATE(B12305,""id"",""en"")"),"['Dangangang', 'already', 'week', 'Lampung', 'finished', 'disappointing', ""]")</f>
        <v>['Dangangang', 'already', 'week', 'Lampung', 'finished', 'disappointing', "]</v>
      </c>
      <c r="D12305" s="3">
        <v>4.0</v>
      </c>
    </row>
    <row r="12306" ht="15.75" customHeight="1">
      <c r="A12306" s="1">
        <v>13101.0</v>
      </c>
      <c r="B12306" s="3" t="s">
        <v>11744</v>
      </c>
      <c r="C12306" s="3" t="str">
        <f>IFERROR(__xludf.DUMMYFUNCTION("GOOGLETRANSLATE(B12306,""id"",""en"")"),"['package', 'expensive', 'thank', 'love']")</f>
        <v>['package', 'expensive', 'thank', 'love']</v>
      </c>
      <c r="D12306" s="3">
        <v>2.0</v>
      </c>
    </row>
    <row r="12307" ht="15.75" customHeight="1">
      <c r="A12307" s="1">
        <v>13102.0</v>
      </c>
      <c r="B12307" s="3" t="s">
        <v>11745</v>
      </c>
      <c r="C12307" s="3" t="str">
        <f>IFERROR(__xludf.DUMMYFUNCTION("GOOGLETRANSLATE(B12307,""id"",""en"")"),"['Telkomsel', 'disappointing', 'aspects', 'network', 'signal', 'price', 'package', 'data', 'disappointing']")</f>
        <v>['Telkomsel', 'disappointing', 'aspects', 'network', 'signal', 'price', 'package', 'data', 'disappointing']</v>
      </c>
      <c r="D12307" s="3">
        <v>1.0</v>
      </c>
    </row>
    <row r="12308" ht="15.75" customHeight="1">
      <c r="A12308" s="1">
        <v>13103.0</v>
      </c>
      <c r="B12308" s="3" t="s">
        <v>11746</v>
      </c>
      <c r="C12308" s="3" t="str">
        <f>IFERROR(__xludf.DUMMYFUNCTION("GOOGLETRANSLATE(B12308,""id"",""en"")"),"['oath', 'Telkomsel', 'signal', 'bad', 'really', 'pantesan', 'quota', 'cheap']")</f>
        <v>['oath', 'Telkomsel', 'signal', 'bad', 'really', 'pantesan', 'quota', 'cheap']</v>
      </c>
      <c r="D12308" s="3">
        <v>1.0</v>
      </c>
    </row>
    <row r="12309" ht="15.75" customHeight="1">
      <c r="A12309" s="1">
        <v>13104.0</v>
      </c>
      <c r="B12309" s="3" t="s">
        <v>2212</v>
      </c>
      <c r="C12309" s="3" t="str">
        <f>IFERROR(__xludf.DUMMYFUNCTION("GOOGLETRANSLATE(B12309,""id"",""en"")"),"['easy', 'save']")</f>
        <v>['easy', 'save']</v>
      </c>
      <c r="D12309" s="3">
        <v>5.0</v>
      </c>
    </row>
    <row r="12310" ht="15.75" customHeight="1">
      <c r="A12310" s="1">
        <v>13105.0</v>
      </c>
      <c r="B12310" s="3" t="s">
        <v>11747</v>
      </c>
      <c r="C12310" s="3" t="str">
        <f>IFERROR(__xludf.DUMMYFUNCTION("GOOGLETRANSLATE(B12310,""id"",""en"")"),"['quota', 'pulse', 'rb', 'knp', 'internet', 'suck', 'pulse', 'entry', 'application', 'entered', 'no', '']")</f>
        <v>['quota', 'pulse', 'rb', 'knp', 'internet', 'suck', 'pulse', 'entry', 'application', 'entered', 'no', '']</v>
      </c>
      <c r="D12310" s="3">
        <v>5.0</v>
      </c>
    </row>
    <row r="12311" ht="15.75" customHeight="1">
      <c r="A12311" s="1">
        <v>13106.0</v>
      </c>
      <c r="B12311" s="3" t="s">
        <v>11748</v>
      </c>
      <c r="C12311" s="3" t="str">
        <f>IFERROR(__xludf.DUMMYFUNCTION("GOOGLETRANSLATE(B12311,""id"",""en"")"),"['', 'Bogor', 'Cariu', 'Network', 'Good']")</f>
        <v>['', 'Bogor', 'Cariu', 'Network', 'Good']</v>
      </c>
      <c r="D12311" s="3">
        <v>3.0</v>
      </c>
    </row>
    <row r="12312" ht="15.75" customHeight="1">
      <c r="A12312" s="1">
        <v>13107.0</v>
      </c>
      <c r="B12312" s="3" t="s">
        <v>11749</v>
      </c>
      <c r="C12312" s="3" t="str">
        <f>IFERROR(__xludf.DUMMYFUNCTION("GOOGLETRANSLATE(B12312,""id"",""en"")"),"['Sya', 'buy', 'Package', 'PKE', 'Gojek', 'Paid', 'Gopay', 'Gojek', 'Sya', 'Reduced', 'TPI', 'Telkomsel', ' Sya ',' package ',' buy ',' pay ',' disappointing ',' emg ',' tlg ',' repaired ',' ']")</f>
        <v>['Sya', 'buy', 'Package', 'PKE', 'Gojek', 'Paid', 'Gopay', 'Gojek', 'Sya', 'Reduced', 'TPI', 'Telkomsel', ' Sya ',' package ',' buy ',' pay ',' disappointing ',' emg ',' tlg ',' repaired ',' ']</v>
      </c>
      <c r="D12312" s="3">
        <v>1.0</v>
      </c>
    </row>
    <row r="12313" ht="15.75" customHeight="1">
      <c r="A12313" s="1">
        <v>13108.0</v>
      </c>
      <c r="B12313" s="3" t="s">
        <v>11750</v>
      </c>
      <c r="C12313" s="3" t="str">
        <f>IFERROR(__xludf.DUMMYFUNCTION("GOOGLETRANSLATE(B12313,""id"",""en"")"),"['UDH', 'Application', 'Open', 'White', 'Screen', 'Please', 'Min', 'Fix', 'Balikkin', 'Application', ""]")</f>
        <v>['UDH', 'Application', 'Open', 'White', 'Screen', 'Please', 'Min', 'Fix', 'Balikkin', 'Application', "]</v>
      </c>
      <c r="D12313" s="3">
        <v>1.0</v>
      </c>
    </row>
    <row r="12314" ht="15.75" customHeight="1">
      <c r="A12314" s="1">
        <v>13110.0</v>
      </c>
      <c r="B12314" s="3" t="s">
        <v>11751</v>
      </c>
      <c r="C12314" s="3" t="str">
        <f>IFERROR(__xludf.DUMMYFUNCTION("GOOGLETRANSLATE(B12314,""id"",""en"")"),"['Application', 'Good', 'Hurry', 'Download', 'Register', 'Guys', '']")</f>
        <v>['Application', 'Good', 'Hurry', 'Download', 'Register', 'Guys', '']</v>
      </c>
      <c r="D12314" s="3">
        <v>5.0</v>
      </c>
    </row>
    <row r="12315" ht="15.75" customHeight="1">
      <c r="A12315" s="1">
        <v>13111.0</v>
      </c>
      <c r="B12315" s="3" t="s">
        <v>11752</v>
      </c>
      <c r="C12315" s="3" t="str">
        <f>IFERROR(__xludf.DUMMYFUNCTION("GOOGLETRANSLATE(B12315,""id"",""en"")"),"['Combo', 'Sakti', 'ulnya', 'price', 'rb', 'rb', 'jan', 'search', 'lucky', 'Telkomsel', 'ngawurr', ""]")</f>
        <v>['Combo', 'Sakti', 'ulnya', 'price', 'rb', 'rb', 'jan', 'search', 'lucky', 'Telkomsel', 'ngawurr', "]</v>
      </c>
      <c r="D12315" s="3">
        <v>1.0</v>
      </c>
    </row>
    <row r="12316" ht="15.75" customHeight="1">
      <c r="A12316" s="1">
        <v>13112.0</v>
      </c>
      <c r="B12316" s="3" t="s">
        <v>8024</v>
      </c>
      <c r="C12316" s="3" t="str">
        <f>IFERROR(__xludf.DUMMYFUNCTION("GOOGLETRANSLATE(B12316,""id"",""en"")"),"['promo', '']")</f>
        <v>['promo', '']</v>
      </c>
      <c r="D12316" s="3">
        <v>5.0</v>
      </c>
    </row>
    <row r="12317" ht="15.75" customHeight="1">
      <c r="A12317" s="1">
        <v>13113.0</v>
      </c>
      <c r="B12317" s="3" t="s">
        <v>11753</v>
      </c>
      <c r="C12317" s="3" t="str">
        <f>IFERROR(__xludf.DUMMYFUNCTION("GOOGLETRANSLATE(B12317,""id"",""en"")"),"['update', 'update']")</f>
        <v>['update', 'update']</v>
      </c>
      <c r="D12317" s="3">
        <v>1.0</v>
      </c>
    </row>
    <row r="12318" ht="15.75" customHeight="1">
      <c r="A12318" s="1">
        <v>13114.0</v>
      </c>
      <c r="B12318" s="3" t="s">
        <v>11754</v>
      </c>
      <c r="C12318" s="3" t="str">
        <f>IFERROR(__xludf.DUMMYFUNCTION("GOOGLETRANSLATE(B12318,""id"",""en"")"),"['buy', 'quota', 'send', '']")</f>
        <v>['buy', 'quota', 'send', '']</v>
      </c>
      <c r="D12318" s="3">
        <v>1.0</v>
      </c>
    </row>
    <row r="12319" ht="15.75" customHeight="1">
      <c r="A12319" s="1">
        <v>13115.0</v>
      </c>
      <c r="B12319" s="3" t="s">
        <v>11755</v>
      </c>
      <c r="C12319" s="3" t="str">
        <f>IFERROR(__xludf.DUMMYFUNCTION("GOOGLETRANSLATE(B12319,""id"",""en"")"),"['already', 'download', 'nggk', 'open', 'veryttt', 'disappointing']")</f>
        <v>['already', 'download', 'nggk', 'open', 'veryttt', 'disappointing']</v>
      </c>
      <c r="D12319" s="3">
        <v>1.0</v>
      </c>
    </row>
    <row r="12320" ht="15.75" customHeight="1">
      <c r="A12320" s="1">
        <v>13116.0</v>
      </c>
      <c r="B12320" s="3" t="s">
        <v>11756</v>
      </c>
      <c r="C12320" s="3" t="str">
        <f>IFERROR(__xludf.DUMMYFUNCTION("GOOGLETRANSLATE(B12320,""id"",""en"")"),"['Buy', 'Package', 'Ribet']")</f>
        <v>['Buy', 'Package', 'Ribet']</v>
      </c>
      <c r="D12320" s="3">
        <v>1.0</v>
      </c>
    </row>
    <row r="12321" ht="15.75" customHeight="1">
      <c r="A12321" s="1">
        <v>13118.0</v>
      </c>
      <c r="B12321" s="3" t="s">
        <v>11757</v>
      </c>
      <c r="C12321" s="3" t="str">
        <f>IFERROR(__xludf.DUMMYFUNCTION("GOOGLETRANSLATE(B12321,""id"",""en"")"),"['Good', 'I hope', 'cheap', '']")</f>
        <v>['Good', 'I hope', 'cheap', '']</v>
      </c>
      <c r="D12321" s="3">
        <v>5.0</v>
      </c>
    </row>
    <row r="12322" ht="15.75" customHeight="1">
      <c r="A12322" s="1">
        <v>13119.0</v>
      </c>
      <c r="B12322" s="3" t="s">
        <v>11758</v>
      </c>
      <c r="C12322" s="3" t="str">
        <f>IFERROR(__xludf.DUMMYFUNCTION("GOOGLETRANSLATE(B12322,""id"",""en"")"),"['Star', 'TOP']")</f>
        <v>['Star', 'TOP']</v>
      </c>
      <c r="D12322" s="3">
        <v>5.0</v>
      </c>
    </row>
    <row r="12323" ht="15.75" customHeight="1">
      <c r="A12323" s="1">
        <v>13120.0</v>
      </c>
      <c r="B12323" s="3" t="s">
        <v>11759</v>
      </c>
      <c r="C12323" s="3" t="str">
        <f>IFERROR(__xludf.DUMMYFUNCTION("GOOGLETRANSLATE(B12323,""id"",""en"")"),"['', 'Telkomsel', 'lag', 'mulu', 'kek', 'kntle']")</f>
        <v>['', 'Telkomsel', 'lag', 'mulu', 'kek', 'kntle']</v>
      </c>
      <c r="D12323" s="3">
        <v>1.0</v>
      </c>
    </row>
    <row r="12324" ht="15.75" customHeight="1">
      <c r="A12324" s="1">
        <v>13121.0</v>
      </c>
      <c r="B12324" s="3" t="s">
        <v>11760</v>
      </c>
      <c r="C12324" s="3" t="str">
        <f>IFERROR(__xludf.DUMMYFUNCTION("GOOGLETRANSLATE(B12324,""id"",""en"")"),"['easy', 'buy', 'package', 'data', 'choice', 'package', 'interesting']")</f>
        <v>['easy', 'buy', 'package', 'data', 'choice', 'package', 'interesting']</v>
      </c>
      <c r="D12324" s="3">
        <v>3.0</v>
      </c>
    </row>
    <row r="12325" ht="15.75" customHeight="1">
      <c r="A12325" s="1">
        <v>13122.0</v>
      </c>
      <c r="B12325" s="3" t="s">
        <v>11761</v>
      </c>
      <c r="C12325" s="3" t="str">
        <f>IFERROR(__xludf.DUMMYFUNCTION("GOOGLETRANSLATE(B12325,""id"",""en"")"),"['Try', 'smntara', '']")</f>
        <v>['Try', 'smntara', '']</v>
      </c>
      <c r="D12325" s="3">
        <v>4.0</v>
      </c>
    </row>
    <row r="12326" ht="15.75" customHeight="1">
      <c r="A12326" s="1">
        <v>13123.0</v>
      </c>
      <c r="B12326" s="3" t="s">
        <v>11762</v>
      </c>
      <c r="C12326" s="3" t="str">
        <f>IFERROR(__xludf.DUMMYFUNCTION("GOOGLETRANSLATE(B12326,""id"",""en"")"),"['Please', 'number', 'run out', 'session', 'buy', 'card', 'please', ""]")</f>
        <v>['Please', 'number', 'run out', 'session', 'buy', 'card', 'please', "]</v>
      </c>
      <c r="D12326" s="3">
        <v>2.0</v>
      </c>
    </row>
    <row r="12327" ht="15.75" customHeight="1">
      <c r="A12327" s="1">
        <v>13124.0</v>
      </c>
      <c r="B12327" s="3" t="s">
        <v>11763</v>
      </c>
      <c r="C12327" s="3" t="str">
        <f>IFERROR(__xludf.DUMMYFUNCTION("GOOGLETRANSLATE(B12327,""id"",""en"")"),"['', 'update', 'open', 'turn', 'wife', 'sya', 'version', 'gimna', 'strange']")</f>
        <v>['', 'update', 'open', 'turn', 'wife', 'sya', 'version', 'gimna', 'strange']</v>
      </c>
      <c r="D12327" s="3">
        <v>1.0</v>
      </c>
    </row>
    <row r="12328" ht="15.75" customHeight="1">
      <c r="A12328" s="1">
        <v>13125.0</v>
      </c>
      <c r="B12328" s="3" t="s">
        <v>11764</v>
      </c>
      <c r="C12328" s="3" t="str">
        <f>IFERROR(__xludf.DUMMYFUNCTION("GOOGLETRANSLATE(B12328,""id"",""en"")"),"['', 'Telkomnyet', 'Mantap', '']")</f>
        <v>['', 'Telkomnyet', 'Mantap', '']</v>
      </c>
      <c r="D12328" s="3">
        <v>5.0</v>
      </c>
    </row>
    <row r="12329" ht="15.75" customHeight="1">
      <c r="A12329" s="1">
        <v>13126.0</v>
      </c>
      <c r="B12329" s="3" t="s">
        <v>11765</v>
      </c>
      <c r="C12329" s="3" t="str">
        <f>IFERROR(__xludf.DUMMYFUNCTION("GOOGLETRANSLATE(B12329,""id"",""en"")"),"['Satisfied', 'Application', 'fast', 'really', 'list']")</f>
        <v>['Satisfied', 'Application', 'fast', 'really', 'list']</v>
      </c>
      <c r="D12329" s="3">
        <v>5.0</v>
      </c>
    </row>
    <row r="12330" ht="15.75" customHeight="1">
      <c r="A12330" s="1">
        <v>13127.0</v>
      </c>
      <c r="B12330" s="3" t="s">
        <v>11766</v>
      </c>
      <c r="C12330" s="3" t="str">
        <f>IFERROR(__xludf.DUMMYFUNCTION("GOOGLETRANSLATE(B12330,""id"",""en"")"),"['Payment', 'Telkomsel', 'Accoun', 'Gopay', 'Payment', 'Finish', 'Please', 'Resolved']")</f>
        <v>['Payment', 'Telkomsel', 'Accoun', 'Gopay', 'Payment', 'Finish', 'Please', 'Resolved']</v>
      </c>
      <c r="D12330" s="3">
        <v>1.0</v>
      </c>
    </row>
    <row r="12331" ht="15.75" customHeight="1">
      <c r="A12331" s="1">
        <v>13128.0</v>
      </c>
      <c r="B12331" s="3" t="s">
        <v>11767</v>
      </c>
      <c r="C12331" s="3" t="str">
        <f>IFERROR(__xludf.DUMMYFUNCTION("GOOGLETRANSLATE(B12331,""id"",""en"")"),"['Jringanya', 'Please', 'Stabilize']")</f>
        <v>['Jringanya', 'Please', 'Stabilize']</v>
      </c>
      <c r="D12331" s="3">
        <v>5.0</v>
      </c>
    </row>
    <row r="12332" ht="15.75" customHeight="1">
      <c r="A12332" s="1">
        <v>13129.0</v>
      </c>
      <c r="B12332" s="3" t="s">
        <v>11768</v>
      </c>
      <c r="C12332" s="3" t="str">
        <f>IFERROR(__xludf.DUMMYFUNCTION("GOOGLETRANSLATE(B12332,""id"",""en"")"),"['easy', 'choose', 'package']")</f>
        <v>['easy', 'choose', 'package']</v>
      </c>
      <c r="D12332" s="3">
        <v>5.0</v>
      </c>
    </row>
    <row r="12333" ht="15.75" customHeight="1">
      <c r="A12333" s="1">
        <v>13130.0</v>
      </c>
      <c r="B12333" s="3" t="s">
        <v>11769</v>
      </c>
      <c r="C12333" s="3" t="str">
        <f>IFERROR(__xludf.DUMMYFUNCTION("GOOGLETRANSLATE(B12333,""id"",""en"")"),"['apk', 'taikk', 'buy', 'package', 'transaction', 'payment', 'success',' already ',' cheek ',' bald ',' the package ',' enter ',' Tomorrow ',' Msh ',' Tetep ',' Telkomsel ',' Taiii ', ""]")</f>
        <v>['apk', 'taikk', 'buy', 'package', 'transaction', 'payment', 'success',' already ',' cheek ',' bald ',' the package ',' enter ',' Tomorrow ',' Msh ',' Tetep ',' Telkomsel ',' Taiii ', "]</v>
      </c>
      <c r="D12333" s="3">
        <v>1.0</v>
      </c>
    </row>
    <row r="12334" ht="15.75" customHeight="1">
      <c r="A12334" s="1">
        <v>13131.0</v>
      </c>
      <c r="B12334" s="3" t="s">
        <v>11770</v>
      </c>
      <c r="C12334" s="3" t="str">
        <f>IFERROR(__xludf.DUMMYFUNCTION("GOOGLETRANSLATE(B12334,""id"",""en"")"),"['Mantab', 'Following', 'Development', 'Technology', 'Renewable', '']")</f>
        <v>['Mantab', 'Following', 'Development', 'Technology', 'Renewable', '']</v>
      </c>
      <c r="D12334" s="3">
        <v>5.0</v>
      </c>
    </row>
    <row r="12335" ht="15.75" customHeight="1">
      <c r="A12335" s="1">
        <v>13132.0</v>
      </c>
      <c r="B12335" s="3" t="s">
        <v>11771</v>
      </c>
      <c r="C12335" s="3" t="str">
        <f>IFERROR(__xludf.DUMMYFUNCTION("GOOGLETRANSLATE(B12335,""id"",""en"")"),"['Tetep', 'Severe', 'Say', 'Class', 'Telkomsel', 'Bad', 'Improved']")</f>
        <v>['Tetep', 'Severe', 'Say', 'Class', 'Telkomsel', 'Bad', 'Improved']</v>
      </c>
      <c r="D12335" s="3">
        <v>1.0</v>
      </c>
    </row>
    <row r="12336" ht="15.75" customHeight="1">
      <c r="A12336" s="1">
        <v>13133.0</v>
      </c>
      <c r="B12336" s="3" t="s">
        <v>11772</v>
      </c>
      <c r="C12336" s="3" t="str">
        <f>IFERROR(__xludf.DUMMYFUNCTION("GOOGLETRANSLATE(B12336,""id"",""en"")"),"['difficult', 'entry']")</f>
        <v>['difficult', 'entry']</v>
      </c>
      <c r="D12336" s="3">
        <v>5.0</v>
      </c>
    </row>
    <row r="12337" ht="15.75" customHeight="1">
      <c r="A12337" s="1">
        <v>13134.0</v>
      </c>
      <c r="B12337" s="3" t="s">
        <v>11773</v>
      </c>
      <c r="C12337" s="3" t="str">
        <f>IFERROR(__xludf.DUMMYFUNCTION("GOOGLETRANSLATE(B12337,""id"",""en"")"),"['Disappointed', 'Preiveder', 'Telkomsel', 'Top', 'Credit', 'Gopay', 'Enter', 'Enter', 'Really', 'Disappointed', 'Please', 'Already', ' Bankrupt ',' bankrupt ']")</f>
        <v>['Disappointed', 'Preiveder', 'Telkomsel', 'Top', 'Credit', 'Gopay', 'Enter', 'Enter', 'Really', 'Disappointed', 'Please', 'Already', ' Bankrupt ',' bankrupt ']</v>
      </c>
      <c r="D12337" s="3">
        <v>1.0</v>
      </c>
    </row>
    <row r="12338" ht="15.75" customHeight="1">
      <c r="A12338" s="1">
        <v>13135.0</v>
      </c>
      <c r="B12338" s="3" t="s">
        <v>11774</v>
      </c>
      <c r="C12338" s="3" t="str">
        <f>IFERROR(__xludf.DUMMYFUNCTION("GOOGLETRANSLATE(B12338,""id"",""en"")"),"['aaaaa', 'like', 'really', 'application', 'honest', 'member', 'admin', 'buy', 'promo', 'get', 'GB', 'ilang', ' Try ',' Download ',' Nyari ',' Promo ',' as a result ',' really ',' promo ',' crazy ',' happy ',' Bangeeeet ',' AAAA ',' Lopyu ',' MyTelkomsel "&amp;"' ]")</f>
        <v>['aaaaa', 'like', 'really', 'application', 'honest', 'member', 'admin', 'buy', 'promo', 'get', 'GB', 'ilang', ' Try ',' Download ',' Nyari ',' Promo ',' as a result ',' really ',' promo ',' crazy ',' happy ',' Bangeeeet ',' AAAA ',' Lopyu ',' MyTelkomsel ' ]</v>
      </c>
      <c r="D12338" s="3">
        <v>5.0</v>
      </c>
    </row>
    <row r="12339" ht="15.75" customHeight="1">
      <c r="A12339" s="1">
        <v>13137.0</v>
      </c>
      <c r="B12339" s="3" t="s">
        <v>11775</v>
      </c>
      <c r="C12339" s="3" t="str">
        <f>IFERROR(__xludf.DUMMYFUNCTION("GOOGLETRANSLATE(B12339,""id"",""en"")"),"['Fast', 'Good']")</f>
        <v>['Fast', 'Good']</v>
      </c>
      <c r="D12339" s="3">
        <v>5.0</v>
      </c>
    </row>
    <row r="12340" ht="15.75" customHeight="1">
      <c r="A12340" s="1">
        <v>13138.0</v>
      </c>
      <c r="B12340" s="3" t="s">
        <v>11776</v>
      </c>
      <c r="C12340" s="3" t="str">
        <f>IFERROR(__xludf.DUMMYFUNCTION("GOOGLETRANSLATE(B12340,""id"",""en"")"),"['Telkomsel', 'Member', 'mala', 'cheap', 'mala', 'expensive', 'signal', 'disappointing', 'data', 'expensive', 'signal', 'kek', ' Gini ']")</f>
        <v>['Telkomsel', 'Member', 'mala', 'cheap', 'mala', 'expensive', 'signal', 'disappointing', 'data', 'expensive', 'signal', 'kek', ' Gini ']</v>
      </c>
      <c r="D12340" s="3">
        <v>1.0</v>
      </c>
    </row>
    <row r="12341" ht="15.75" customHeight="1">
      <c r="A12341" s="1">
        <v>13139.0</v>
      </c>
      <c r="B12341" s="3" t="s">
        <v>11777</v>
      </c>
      <c r="C12341" s="3" t="str">
        <f>IFERROR(__xludf.DUMMYFUNCTION("GOOGLETRANSLATE(B12341,""id"",""en"")"),"['Operator', 'BECUS', 'Signal', 'Good', 'Kayak', 'Taik', 'Gakda', 'Change', 'Makinlama', 'ugly', 'Jaringgan', 'already', ' Many ',' times', 'coment', 'improvements',' kayak ',' gini ',' moved ',' operator ',' exsis', 'kenceng']")</f>
        <v>['Operator', 'BECUS', 'Signal', 'Good', 'Kayak', 'Taik', 'Gakda', 'Change', 'Makinlama', 'ugly', 'Jaringgan', 'already', ' Many ',' times', 'coment', 'improvements',' kayak ',' gini ',' moved ',' operator ',' exsis', 'kenceng']</v>
      </c>
      <c r="D12341" s="3">
        <v>1.0</v>
      </c>
    </row>
    <row r="12342" ht="15.75" customHeight="1">
      <c r="A12342" s="1">
        <v>13140.0</v>
      </c>
      <c r="B12342" s="3" t="s">
        <v>11778</v>
      </c>
      <c r="C12342" s="3" t="str">
        <f>IFERROR(__xludf.DUMMYFUNCTION("GOOGLETRANSLATE(B12342,""id"",""en"")"),"['APK', 'Good', 'Useful']")</f>
        <v>['APK', 'Good', 'Useful']</v>
      </c>
      <c r="D12342" s="3">
        <v>5.0</v>
      </c>
    </row>
    <row r="12343" ht="15.75" customHeight="1">
      <c r="A12343" s="1">
        <v>13141.0</v>
      </c>
      <c r="B12343" s="3" t="s">
        <v>11779</v>
      </c>
      <c r="C12343" s="3" t="str">
        <f>IFERROR(__xludf.DUMMYFUNCTION("GOOGLETRANSLATE(B12343,""id"",""en"")"),"['please', 'sympathy', 'performance', 'signal', 'strengthen', 'ngoxy', 'signal', 'slow', 'dapet', 'order', 'already', 'brapa', ' times', 'area', 'slow']")</f>
        <v>['please', 'sympathy', 'performance', 'signal', 'strengthen', 'ngoxy', 'signal', 'slow', 'dapet', 'order', 'already', 'brapa', ' times', 'area', 'slow']</v>
      </c>
      <c r="D12343" s="3">
        <v>1.0</v>
      </c>
    </row>
    <row r="12344" ht="15.75" customHeight="1">
      <c r="A12344" s="1">
        <v>13142.0</v>
      </c>
      <c r="B12344" s="3" t="s">
        <v>5987</v>
      </c>
      <c r="C12344" s="3" t="str">
        <f>IFERROR(__xludf.DUMMYFUNCTION("GOOGLETRANSLATE(B12344,""id"",""en"")"),"['Points']")</f>
        <v>['Points']</v>
      </c>
      <c r="D12344" s="3">
        <v>2.0</v>
      </c>
    </row>
    <row r="12345" ht="15.75" customHeight="1">
      <c r="A12345" s="1">
        <v>13143.0</v>
      </c>
      <c r="B12345" s="3" t="s">
        <v>11780</v>
      </c>
      <c r="C12345" s="3" t="str">
        <f>IFERROR(__xludf.DUMMYFUNCTION("GOOGLETRANSLATE(B12345,""id"",""en"")"),"['hard', 'complicated', 'complaints',' send ',' email ',' twitter ',' already ',' complaints', 'person', 'people', 'repaired', 'slow', ' Moving ',' change ',' provider ']")</f>
        <v>['hard', 'complicated', 'complaints',' send ',' email ',' twitter ',' already ',' complaints', 'person', 'people', 'repaired', 'slow', ' Moving ',' change ',' provider ']</v>
      </c>
      <c r="D12345" s="3">
        <v>1.0</v>
      </c>
    </row>
    <row r="12346" ht="15.75" customHeight="1">
      <c r="A12346" s="1">
        <v>13144.0</v>
      </c>
      <c r="B12346" s="3" t="s">
        <v>11781</v>
      </c>
      <c r="C12346" s="3" t="str">
        <f>IFERROR(__xludf.DUMMYFUNCTION("GOOGLETRANSLATE(B12346,""id"",""en"")"),"['Disappointed', 'apk', 'Telkomsel', 'think', 'Ngeupdate', 'good', 'promo', 'interesting', 'nya', 'ngeupdate', 'bnyak', 'promo', ' cheap ',' update ',' promo ',' missing ',' promo ',' nyaaa ',' expensive ',' ngk ',' affordable ',' according to ',' dlyball"&amp;" ',' gimentaa ',' this' , 'Nyesell', 'Ngeupdate', 'Nya', ""]")</f>
        <v>['Disappointed', 'apk', 'Telkomsel', 'think', 'Ngeupdate', 'good', 'promo', 'interesting', 'nya', 'ngeupdate', 'bnyak', 'promo', ' cheap ',' update ',' promo ',' missing ',' promo ',' nyaaa ',' expensive ',' ngk ',' affordable ',' according to ',' dlyball ',' gimentaa ',' this' , 'Nyesell', 'Ngeupdate', 'Nya', "]</v>
      </c>
      <c r="D12346" s="3">
        <v>5.0</v>
      </c>
    </row>
    <row r="12347" ht="15.75" customHeight="1">
      <c r="A12347" s="1">
        <v>13145.0</v>
      </c>
      <c r="B12347" s="3" t="s">
        <v>11782</v>
      </c>
      <c r="C12347" s="3" t="str">
        <f>IFERROR(__xludf.DUMMYFUNCTION("GOOGLETRANSLATE(B12347,""id"",""en"")"),"['Sngat', 'memalankn']")</f>
        <v>['Sngat', 'memalankn']</v>
      </c>
      <c r="D12347" s="3">
        <v>5.0</v>
      </c>
    </row>
    <row r="12348" ht="15.75" customHeight="1">
      <c r="A12348" s="1">
        <v>13146.0</v>
      </c>
      <c r="B12348" s="3" t="s">
        <v>11783</v>
      </c>
      <c r="C12348" s="3" t="str">
        <f>IFERROR(__xludf.DUMMYFUNCTION("GOOGLETRANSLATE(B12348,""id"",""en"")"),"['Sya', 'wear', 'dumped', 'Dri', 'Please', 'policy', 'Krna', 'package', 'expensive', 'signal', 'slow', 'setiDk', ' balanced ',' package ',' expensive ',' signal ',' good ',' trima ',' love ']")</f>
        <v>['Sya', 'wear', 'dumped', 'Dri', 'Please', 'policy', 'Krna', 'package', 'expensive', 'signal', 'slow', 'setiDk', ' balanced ',' package ',' expensive ',' signal ',' good ',' trima ',' love ']</v>
      </c>
      <c r="D12348" s="3">
        <v>1.0</v>
      </c>
    </row>
    <row r="12349" ht="15.75" customHeight="1">
      <c r="A12349" s="1">
        <v>13147.0</v>
      </c>
      <c r="B12349" s="3" t="s">
        <v>11784</v>
      </c>
      <c r="C12349" s="3" t="str">
        <f>IFERROR(__xludf.DUMMYFUNCTION("GOOGLETRANSLATE(B12349,""id"",""en"")"),"['Please', 'repay', 'signal', 'package', 'expensive', 'signal', 'severe', 'combo', 'Sakti', 'Makemai', 'mobilegend']")</f>
        <v>['Please', 'repay', 'signal', 'package', 'expensive', 'signal', 'severe', 'combo', 'Sakti', 'Makemai', 'mobilegend']</v>
      </c>
      <c r="D12349" s="3">
        <v>1.0</v>
      </c>
    </row>
    <row r="12350" ht="15.75" customHeight="1">
      <c r="A12350" s="1">
        <v>13148.0</v>
      </c>
      <c r="B12350" s="3" t="s">
        <v>11785</v>
      </c>
      <c r="C12350" s="3" t="str">
        <f>IFERROR(__xludf.DUMMYFUNCTION("GOOGLETRANSLATE(B12350,""id"",""en"")"),"['Open', 'Huuuuuuu', 'APK', 'JLAS']")</f>
        <v>['Open', 'Huuuuuuu', 'APK', 'JLAS']</v>
      </c>
      <c r="D12350" s="3">
        <v>1.0</v>
      </c>
    </row>
    <row r="12351" ht="15.75" customHeight="1">
      <c r="A12351" s="1">
        <v>13149.0</v>
      </c>
      <c r="B12351" s="3" t="s">
        <v>68</v>
      </c>
      <c r="C12351" s="3" t="str">
        <f>IFERROR(__xludf.DUMMYFUNCTION("GOOGLETRANSLATE(B12351,""id"",""en"")"),"['steady']")</f>
        <v>['steady']</v>
      </c>
      <c r="D12351" s="3">
        <v>5.0</v>
      </c>
    </row>
    <row r="12352" ht="15.75" customHeight="1">
      <c r="A12352" s="1">
        <v>13150.0</v>
      </c>
      <c r="B12352" s="3" t="s">
        <v>846</v>
      </c>
      <c r="C12352" s="3" t="str">
        <f>IFERROR(__xludf.DUMMYFUNCTION("GOOGLETRANSLATE(B12352,""id"",""en"")"),"['application', 'good']")</f>
        <v>['application', 'good']</v>
      </c>
      <c r="D12352" s="3">
        <v>3.0</v>
      </c>
    </row>
    <row r="12353" ht="15.75" customHeight="1">
      <c r="A12353" s="1">
        <v>13151.0</v>
      </c>
      <c r="B12353" s="3" t="s">
        <v>7590</v>
      </c>
      <c r="C12353" s="3" t="str">
        <f>IFERROR(__xludf.DUMMYFUNCTION("GOOGLETRANSLATE(B12353,""id"",""en"")"),"['', 'Telkomsel', 'opened']")</f>
        <v>['', 'Telkomsel', 'opened']</v>
      </c>
      <c r="D12353" s="3">
        <v>5.0</v>
      </c>
    </row>
    <row r="12354" ht="15.75" customHeight="1">
      <c r="A12354" s="1">
        <v>13152.0</v>
      </c>
      <c r="B12354" s="3" t="s">
        <v>11786</v>
      </c>
      <c r="C12354" s="3" t="str">
        <f>IFERROR(__xludf.DUMMYFUNCTION("GOOGLETRANSLATE(B12354,""id"",""en"")"),"['base', 'sympathy', 'signal', 'slow']")</f>
        <v>['base', 'sympathy', 'signal', 'slow']</v>
      </c>
      <c r="D12354" s="3">
        <v>1.0</v>
      </c>
    </row>
    <row r="12355" ht="15.75" customHeight="1">
      <c r="A12355" s="1">
        <v>13153.0</v>
      </c>
      <c r="B12355" s="3" t="s">
        <v>11787</v>
      </c>
      <c r="C12355" s="3" t="str">
        <f>IFERROR(__xludf.DUMMYFUNCTION("GOOGLETRANSLATE(B12355,""id"",""en"")"),"['Wei', 'Application', 'opened', 'Kayak', 'Error', 'White', 'Screen', 'Litu', 'Abis',' App ',' Force ',' Close ',' How ',' Ngatasnya ',' ']")</f>
        <v>['Wei', 'Application', 'opened', 'Kayak', 'Error', 'White', 'Screen', 'Litu', 'Abis',' App ',' Force ',' Close ',' How ',' Ngatasnya ',' ']</v>
      </c>
      <c r="D12355" s="3">
        <v>1.0</v>
      </c>
    </row>
    <row r="12356" ht="15.75" customHeight="1">
      <c r="A12356" s="1">
        <v>13154.0</v>
      </c>
      <c r="B12356" s="3" t="s">
        <v>11788</v>
      </c>
      <c r="C12356" s="3" t="str">
        <f>IFERROR(__xludf.DUMMYFUNCTION("GOOGLETRANSLATE(B12356,""id"",""en"")"),"['woi', 'telkom', 'anjeng', 'purpose', 'you', 'cut', 'pulse', 'person', 'careless',' data ',' cellular ',' leftover ',' right ',' check ',' sms', 'enter', 'use', 'quota', 'access',' internet ',' non ',' package ',' purpose ',' you ',' anjeeng ' , 'UDH', '"&amp;"Internet', 'Kayak', 'BANGKE', 'MAIN', 'MOTH', 'Credit', 'Weee', 'Really', 'You', 'Card', 'Anjeng', ' Damned ',' Telkomsel ', ""]")</f>
        <v>['woi', 'telkom', 'anjeng', 'purpose', 'you', 'cut', 'pulse', 'person', 'careless',' data ',' cellular ',' leftover ',' right ',' check ',' sms', 'enter', 'use', 'quota', 'access',' internet ',' non ',' package ',' purpose ',' you ',' anjeeng ' , 'UDH', 'Internet', 'Kayak', 'BANGKE', 'MAIN', 'MOTH', 'Credit', 'Weee', 'Really', 'You', 'Card', 'Anjeng', ' Damned ',' Telkomsel ', "]</v>
      </c>
      <c r="D12356" s="3">
        <v>1.0</v>
      </c>
    </row>
    <row r="12357" ht="15.75" customHeight="1">
      <c r="A12357" s="1">
        <v>13155.0</v>
      </c>
      <c r="B12357" s="3" t="s">
        <v>11789</v>
      </c>
      <c r="C12357" s="3" t="str">
        <f>IFERROR(__xludf.DUMMYFUNCTION("GOOGLETRANSLATE(B12357,""id"",""en"")"),"['Thenkyuu', 'Telkomsel', 'accompany me', 'tapiiiii', 'blm', 'lottery', '']")</f>
        <v>['Thenkyuu', 'Telkomsel', 'accompany me', 'tapiiiii', 'blm', 'lottery', '']</v>
      </c>
      <c r="D12357" s="3">
        <v>5.0</v>
      </c>
    </row>
    <row r="12358" ht="15.75" customHeight="1">
      <c r="A12358" s="1">
        <v>13157.0</v>
      </c>
      <c r="B12358" s="3" t="s">
        <v>11790</v>
      </c>
      <c r="C12358" s="3" t="str">
        <f>IFERROR(__xludf.DUMMYFUNCTION("GOOGLETRANSLATE(B12358,""id"",""en"")"),"['', 'Telkomsel', 'help', 'buy', 'pulse', 'package', 'data', 'Come', 'donlowd', 'telkosel']")</f>
        <v>['', 'Telkomsel', 'help', 'buy', 'pulse', 'package', 'data', 'Come', 'donlowd', 'telkosel']</v>
      </c>
      <c r="D12358" s="3">
        <v>5.0</v>
      </c>
    </row>
    <row r="12359" ht="15.75" customHeight="1">
      <c r="A12359" s="1">
        <v>13158.0</v>
      </c>
      <c r="B12359" s="3" t="s">
        <v>11791</v>
      </c>
      <c r="C12359" s="3" t="str">
        <f>IFERROR(__xludf.DUMMYFUNCTION("GOOGLETRANSLATE(B12359,""id"",""en"")"),"['bad', 'quality', 'network', 'deterioration', 'remote', 'blocked', 'emission', 'tower', 'woy', 'position', 'city', 'tower', ' Movers', 'Experience', 'Bad', 'Telkomsel', 'Events',' Cross']")</f>
        <v>['bad', 'quality', 'network', 'deterioration', 'remote', 'blocked', 'emission', 'tower', 'woy', 'position', 'city', 'tower', ' Movers', 'Experience', 'Bad', 'Telkomsel', 'Events',' Cross']</v>
      </c>
      <c r="D12359" s="3">
        <v>1.0</v>
      </c>
    </row>
    <row r="12360" ht="15.75" customHeight="1">
      <c r="A12360" s="1">
        <v>13159.0</v>
      </c>
      <c r="B12360" s="3" t="s">
        <v>11792</v>
      </c>
      <c r="C12360" s="3" t="str">
        <f>IFERROR(__xludf.DUMMYFUNCTION("GOOGLETRANSLATE(B12360,""id"",""en"")"),"['Nyesel', 'gave', 'star', 'Emange', 'Customer', 'Telkomsel', 'Android', 'then', 'Customer', 'people', 'what', 'fair', ' all ',' customers']")</f>
        <v>['Nyesel', 'gave', 'star', 'Emange', 'Customer', 'Telkomsel', 'Android', 'then', 'Customer', 'people', 'what', 'fair', ' all ',' customers']</v>
      </c>
      <c r="D12360" s="3">
        <v>2.0</v>
      </c>
    </row>
    <row r="12361" ht="15.75" customHeight="1">
      <c r="A12361" s="1">
        <v>13161.0</v>
      </c>
      <c r="B12361" s="3" t="s">
        <v>11793</v>
      </c>
      <c r="C12361" s="3" t="str">
        <f>IFERROR(__xludf.DUMMYFUNCTION("GOOGLETRANSLATE(B12361,""id"",""en"")"),"['Network', 'ugly', 'Ngen', ""]")</f>
        <v>['Network', 'ugly', 'Ngen', "]</v>
      </c>
      <c r="D12361" s="3">
        <v>1.0</v>
      </c>
    </row>
    <row r="12362" ht="15.75" customHeight="1">
      <c r="A12362" s="1">
        <v>13162.0</v>
      </c>
      <c r="B12362" s="3" t="s">
        <v>11794</v>
      </c>
      <c r="C12362" s="3" t="str">
        <f>IFERROR(__xludf.DUMMYFUNCTION("GOOGLETRANSLATE(B12362,""id"",""en"")"),"['expensive', 'App', 'Sometimes', 'Switch', 'Provider']")</f>
        <v>['expensive', 'App', 'Sometimes', 'Switch', 'Provider']</v>
      </c>
      <c r="D12362" s="3">
        <v>1.0</v>
      </c>
    </row>
    <row r="12363" ht="15.75" customHeight="1">
      <c r="A12363" s="1">
        <v>13163.0</v>
      </c>
      <c r="B12363" s="3" t="s">
        <v>11795</v>
      </c>
      <c r="C12363" s="3" t="str">
        <f>IFERROR(__xludf.DUMMYFUNCTION("GOOGLETRANSLATE(B12363,""id"",""en"")"),"['Thanks', 'Keep', 'Success', 'Purpose', 'Maksut', 'Akir', 'Akir', 'Saman', ""]")</f>
        <v>['Thanks', 'Keep', 'Success', 'Purpose', 'Maksut', 'Akir', 'Akir', 'Saman', "]</v>
      </c>
      <c r="D12363" s="3">
        <v>5.0</v>
      </c>
    </row>
    <row r="12364" ht="15.75" customHeight="1">
      <c r="A12364" s="1">
        <v>13164.0</v>
      </c>
      <c r="B12364" s="3" t="s">
        <v>11796</v>
      </c>
      <c r="C12364" s="3" t="str">
        <f>IFERROR(__xludf.DUMMYFUNCTION("GOOGLETRANSLATE(B12364,""id"",""en"")"),"['reality', 'network', 'ngk', 'as good', 'ad', 'enjoy', 'quota', 'network', 'class',' telkomsel ',' costumer ',' ngk ',' Buy ',' Package ',' Promo ',' NGK ',' Loss', 'Bandar', ""]")</f>
        <v>['reality', 'network', 'ngk', 'as good', 'ad', 'enjoy', 'quota', 'network', 'class',' telkomsel ',' costumer ',' ngk ',' Buy ',' Package ',' Promo ',' NGK ',' Loss', 'Bandar', "]</v>
      </c>
      <c r="D12364" s="3">
        <v>1.0</v>
      </c>
    </row>
    <row r="12365" ht="15.75" customHeight="1">
      <c r="A12365" s="1">
        <v>13165.0</v>
      </c>
      <c r="B12365" s="3" t="s">
        <v>11797</v>
      </c>
      <c r="C12365" s="3" t="str">
        <f>IFERROR(__xludf.DUMMYFUNCTION("GOOGLETRANSLATE(B12365,""id"",""en"")"),"['pnya', 'bsa', 'open', 'uda', 'bsa', ""]")</f>
        <v>['pnya', 'bsa', 'open', 'uda', 'bsa', "]</v>
      </c>
      <c r="D12365" s="3">
        <v>1.0</v>
      </c>
    </row>
    <row r="12366" ht="15.75" customHeight="1">
      <c r="A12366" s="1">
        <v>13166.0</v>
      </c>
      <c r="B12366" s="3" t="s">
        <v>11798</v>
      </c>
      <c r="C12366" s="3" t="str">
        <f>IFERROR(__xludf.DUMMYFUNCTION("GOOGLETRANSLATE(B12366,""id"",""en"")"),"['application', 'ugly', '']")</f>
        <v>['application', 'ugly', '']</v>
      </c>
      <c r="D12366" s="3">
        <v>1.0</v>
      </c>
    </row>
    <row r="12367" ht="15.75" customHeight="1">
      <c r="A12367" s="1">
        <v>13167.0</v>
      </c>
      <c r="B12367" s="3" t="s">
        <v>11799</v>
      </c>
      <c r="C12367" s="3" t="str">
        <f>IFERROR(__xludf.DUMMYFUNCTION("GOOGLETRANSLATE(B12367,""id"",""en"")"),"['Knpa', 'Open', 'Telkomsel', 'Times', 'Delete', 'Open', 'Disappointed']")</f>
        <v>['Knpa', 'Open', 'Telkomsel', 'Times', 'Delete', 'Open', 'Disappointed']</v>
      </c>
      <c r="D12367" s="3">
        <v>2.0</v>
      </c>
    </row>
    <row r="12368" ht="15.75" customHeight="1">
      <c r="A12368" s="1">
        <v>13168.0</v>
      </c>
      <c r="B12368" s="3" t="s">
        <v>11800</v>
      </c>
      <c r="C12368" s="3" t="str">
        <f>IFERROR(__xludf.DUMMYFUNCTION("GOOGLETRANSLATE(B12368,""id"",""en"")"),"['It's easy', 'transaction', 'Telkomsel']")</f>
        <v>['It's easy', 'transaction', 'Telkomsel']</v>
      </c>
      <c r="D12368" s="3">
        <v>5.0</v>
      </c>
    </row>
    <row r="12369" ht="15.75" customHeight="1">
      <c r="A12369" s="1">
        <v>13169.0</v>
      </c>
      <c r="B12369" s="3" t="s">
        <v>11801</v>
      </c>
      <c r="C12369" s="3" t="str">
        <f>IFERROR(__xludf.DUMMYFUNCTION("GOOGLETRANSLATE(B12369,""id"",""en"")"),"['', 'solution', 'white', 'screen', 'sorry', 'sorry', 'sorry', 'how', 'Telkomsel', 'gini']")</f>
        <v>['', 'solution', 'white', 'screen', 'sorry', 'sorry', 'sorry', 'how', 'Telkomsel', 'gini']</v>
      </c>
      <c r="D12369" s="3">
        <v>1.0</v>
      </c>
    </row>
    <row r="12370" ht="15.75" customHeight="1">
      <c r="A12370" s="1">
        <v>13170.0</v>
      </c>
      <c r="B12370" s="3" t="s">
        <v>11802</v>
      </c>
      <c r="C12370" s="3" t="str">
        <f>IFERROR(__xludf.DUMMYFUNCTION("GOOGLETRANSLATE(B12370,""id"",""en"")"),"['Service', 'satisfying']")</f>
        <v>['Service', 'satisfying']</v>
      </c>
      <c r="D12370" s="3">
        <v>5.0</v>
      </c>
    </row>
    <row r="12371" ht="15.75" customHeight="1">
      <c r="A12371" s="1">
        <v>13171.0</v>
      </c>
      <c r="B12371" s="3" t="s">
        <v>11803</v>
      </c>
      <c r="C12371" s="3" t="str">
        <f>IFERROR(__xludf.DUMMYFUNCTION("GOOGLETRANSLATE(B12371,""id"",""en"")"),"['UDH', 'White', 'Screen', 'Opened', 'Season']")</f>
        <v>['UDH', 'White', 'Screen', 'Opened', 'Season']</v>
      </c>
      <c r="D12371" s="3">
        <v>1.0</v>
      </c>
    </row>
    <row r="12372" ht="15.75" customHeight="1">
      <c r="A12372" s="1">
        <v>13172.0</v>
      </c>
      <c r="B12372" s="3" t="s">
        <v>11804</v>
      </c>
      <c r="C12372" s="3" t="str">
        <f>IFERROR(__xludf.DUMMYFUNCTION("GOOGLETRANSLATE(B12372,""id"",""en"")"),"['Mantep', 'easy', 'buy', 'package', 'pulse', 'telokomsel']")</f>
        <v>['Mantep', 'easy', 'buy', 'package', 'pulse', 'telokomsel']</v>
      </c>
      <c r="D12372" s="3">
        <v>5.0</v>
      </c>
    </row>
    <row r="12373" ht="15.75" customHeight="1">
      <c r="A12373" s="1">
        <v>13173.0</v>
      </c>
      <c r="B12373" s="3" t="s">
        <v>11805</v>
      </c>
      <c r="C12373" s="3" t="str">
        <f>IFERROR(__xludf.DUMMYFUNCTION("GOOGLETRANSLATE(B12373,""id"",""en"")"),"['', 'Open', 'Update', 'Samsung', '']")</f>
        <v>['', 'Open', 'Update', 'Samsung', '']</v>
      </c>
      <c r="D12373" s="3">
        <v>2.0</v>
      </c>
    </row>
    <row r="12374" ht="15.75" customHeight="1">
      <c r="A12374" s="1">
        <v>13174.0</v>
      </c>
      <c r="B12374" s="3" t="s">
        <v>11806</v>
      </c>
      <c r="C12374" s="3" t="str">
        <f>IFERROR(__xludf.DUMMYFUNCTION("GOOGLETRANSLATE(B12374,""id"",""en"")"),"['play', 'game', 'Moba', 'signal', 'missing', '']")</f>
        <v>['play', 'game', 'Moba', 'signal', 'missing', '']</v>
      </c>
      <c r="D12374" s="3">
        <v>1.0</v>
      </c>
    </row>
    <row r="12375" ht="15.75" customHeight="1">
      <c r="A12375" s="1">
        <v>13175.0</v>
      </c>
      <c r="B12375" s="3" t="s">
        <v>11807</v>
      </c>
      <c r="C12375" s="3" t="str">
        <f>IFERROR(__xludf.DUMMYFUNCTION("GOOGLETRANSLATE(B12375,""id"",""en"")"),"['Telkomsel', 'Package', 'Data', 'Cheap']")</f>
        <v>['Telkomsel', 'Package', 'Data', 'Cheap']</v>
      </c>
      <c r="D12375" s="3">
        <v>5.0</v>
      </c>
    </row>
    <row r="12376" ht="15.75" customHeight="1">
      <c r="A12376" s="1">
        <v>13176.0</v>
      </c>
      <c r="B12376" s="3" t="s">
        <v>11808</v>
      </c>
      <c r="C12376" s="3" t="str">
        <f>IFERROR(__xludf.DUMMYFUNCTION("GOOGLETRANSLATE(B12376,""id"",""en"")"),"['package', 'separated', '']")</f>
        <v>['package', 'separated', '']</v>
      </c>
      <c r="D12376" s="3">
        <v>1.0</v>
      </c>
    </row>
    <row r="12377" ht="15.75" customHeight="1">
      <c r="A12377" s="1">
        <v>13177.0</v>
      </c>
      <c r="B12377" s="3" t="s">
        <v>11809</v>
      </c>
      <c r="C12377" s="3" t="str">
        <f>IFERROR(__xludf.DUMMYFUNCTION("GOOGLETRANSLATE(B12377,""id"",""en"")"),"['Love', 'Bintang', 'DLKALAU', 'Good', 'Nambah']")</f>
        <v>['Love', 'Bintang', 'DLKALAU', 'Good', 'Nambah']</v>
      </c>
      <c r="D12377" s="3">
        <v>4.0</v>
      </c>
    </row>
    <row r="12378" ht="15.75" customHeight="1">
      <c r="A12378" s="1">
        <v>13178.0</v>
      </c>
      <c r="B12378" s="3" t="s">
        <v>11810</v>
      </c>
      <c r="C12378" s="3" t="str">
        <f>IFERROR(__xludf.DUMMYFUNCTION("GOOGLETRANSLATE(B12378,""id"",""en"")"),"['Disappointed', 'Application', 'Opened', 'Samasecali', '']")</f>
        <v>['Disappointed', 'Application', 'Opened', 'Samasecali', '']</v>
      </c>
      <c r="D12378" s="3">
        <v>1.0</v>
      </c>
    </row>
    <row r="12379" ht="15.75" customHeight="1">
      <c r="A12379" s="1">
        <v>13179.0</v>
      </c>
      <c r="B12379" s="3" t="s">
        <v>11811</v>
      </c>
      <c r="C12379" s="3" t="str">
        <f>IFERROR(__xludf.DUMMYFUNCTION("GOOGLETRANSLATE(B12379,""id"",""en"")"),"['Good', 'like', 'app', 'belongs',' nation ',' proud ',' recommend ',' family ',' friend ',' Telkomsel ',' communicating ',' because ',' Best ',' Thank you ',' Telkom ',' Hopefully ',' rank ',' Telkomsel ',' Healthy ',' Protection ',' Allah ',' SWT ',' Am"&amp;"in ', ""]")</f>
        <v>['Good', 'like', 'app', 'belongs',' nation ',' proud ',' recommend ',' family ',' friend ',' Telkomsel ',' communicating ',' because ',' Best ',' Thank you ',' Telkom ',' Hopefully ',' rank ',' Telkomsel ',' Healthy ',' Protection ',' Allah ',' SWT ',' Amin ', "]</v>
      </c>
      <c r="D12379" s="3">
        <v>5.0</v>
      </c>
    </row>
    <row r="12380" ht="15.75" customHeight="1">
      <c r="A12380" s="1">
        <v>13180.0</v>
      </c>
      <c r="B12380" s="3" t="s">
        <v>11812</v>
      </c>
      <c r="C12380" s="3" t="str">
        <f>IFERROR(__xludf.DUMMYFUNCTION("GOOGLETRANSLATE(B12380,""id"",""en"")"),"['Telkomsel', 'bad', 'tmbah', 'expensive', 'card', 'changed', 'postpaid', 'slow', 'network']")</f>
        <v>['Telkomsel', 'bad', 'tmbah', 'expensive', 'card', 'changed', 'postpaid', 'slow', 'network']</v>
      </c>
      <c r="D12380" s="3">
        <v>1.0</v>
      </c>
    </row>
    <row r="12381" ht="15.75" customHeight="1">
      <c r="A12381" s="1">
        <v>13181.0</v>
      </c>
      <c r="B12381" s="3" t="s">
        <v>846</v>
      </c>
      <c r="C12381" s="3" t="str">
        <f>IFERROR(__xludf.DUMMYFUNCTION("GOOGLETRANSLATE(B12381,""id"",""en"")"),"['application', 'good']")</f>
        <v>['application', 'good']</v>
      </c>
      <c r="D12381" s="3">
        <v>5.0</v>
      </c>
    </row>
    <row r="12382" ht="15.75" customHeight="1">
      <c r="A12382" s="1">
        <v>13182.0</v>
      </c>
      <c r="B12382" s="3" t="s">
        <v>11813</v>
      </c>
      <c r="C12382" s="3" t="str">
        <f>IFERROR(__xludf.DUMMYFUNCTION("GOOGLETRANSLATE(B12382,""id"",""en"")"),"['Disappointed', 'Quota', 'Thinking', 'YouTube', 'Used', 'Application', 'YouTube']")</f>
        <v>['Disappointed', 'Quota', 'Thinking', 'YouTube', 'Used', 'Application', 'YouTube']</v>
      </c>
      <c r="D12382" s="3">
        <v>1.0</v>
      </c>
    </row>
    <row r="12383" ht="15.75" customHeight="1">
      <c r="A12383" s="1">
        <v>13183.0</v>
      </c>
      <c r="B12383" s="3" t="s">
        <v>11814</v>
      </c>
      <c r="C12383" s="3" t="str">
        <f>IFERROR(__xludf.DUMMYFUNCTION("GOOGLETRANSLATE(B12383,""id"",""en"")"),"['Satisfied', 'Service', 'Information', '']")</f>
        <v>['Satisfied', 'Service', 'Information', '']</v>
      </c>
      <c r="D12383" s="3">
        <v>5.0</v>
      </c>
    </row>
    <row r="12384" ht="15.75" customHeight="1">
      <c r="A12384" s="1">
        <v>13184.0</v>
      </c>
      <c r="B12384" s="3" t="s">
        <v>11815</v>
      </c>
      <c r="C12384" s="3" t="str">
        <f>IFERROR(__xludf.DUMMYFUNCTION("GOOGLETRANSLATE(B12384,""id"",""en"")"),"['MyTelomsel', 'access', 'white', 'prayer']")</f>
        <v>['MyTelomsel', 'access', 'white', 'prayer']</v>
      </c>
      <c r="D12384" s="3">
        <v>3.0</v>
      </c>
    </row>
    <row r="12385" ht="15.75" customHeight="1">
      <c r="A12385" s="1">
        <v>13185.0</v>
      </c>
      <c r="B12385" s="3" t="s">
        <v>11816</v>
      </c>
      <c r="C12385" s="3" t="str">
        <f>IFERROR(__xludf.DUMMYFUNCTION("GOOGLETRANSLATE(B12385,""id"",""en"")"),"['Package', 'Telponsms', 'Footage', 'Gaka', 'appears']")</f>
        <v>['Package', 'Telponsms', 'Footage', 'Gaka', 'appears']</v>
      </c>
      <c r="D12385" s="3">
        <v>5.0</v>
      </c>
    </row>
    <row r="12386" ht="15.75" customHeight="1">
      <c r="A12386" s="1">
        <v>13186.0</v>
      </c>
      <c r="B12386" s="3" t="s">
        <v>11817</v>
      </c>
      <c r="C12386" s="3" t="str">
        <f>IFERROR(__xludf.DUMMYFUNCTION("GOOGLETRANSLATE(B12386,""id"",""en"")"),"['Speed ​​up', 'makes it easier', 'thank you']")</f>
        <v>['Speed ​​up', 'makes it easier', 'thank you']</v>
      </c>
      <c r="D12386" s="3">
        <v>5.0</v>
      </c>
    </row>
    <row r="12387" ht="15.75" customHeight="1">
      <c r="A12387" s="1">
        <v>13187.0</v>
      </c>
      <c r="B12387" s="3" t="s">
        <v>1304</v>
      </c>
      <c r="C12387" s="3" t="str">
        <f>IFERROR(__xludf.DUMMYFUNCTION("GOOGLETRANSLATE(B12387,""id"",""en"")"),"['beneficial']")</f>
        <v>['beneficial']</v>
      </c>
      <c r="D12387" s="3">
        <v>5.0</v>
      </c>
    </row>
    <row r="12388" ht="15.75" customHeight="1">
      <c r="A12388" s="1">
        <v>13188.0</v>
      </c>
      <c r="B12388" s="3" t="s">
        <v>11818</v>
      </c>
      <c r="C12388" s="3" t="str">
        <f>IFERROR(__xludf.DUMMYFUNCTION("GOOGLETRANSLATE(B12388,""id"",""en"")"),"['Package', 'Telkomsel', 'Expensive', 'Combo', 'Sakti', 'Cheap', 'Rb', 'Mending', 'Get', 'Bonus',' Acan ',' Muke ',' gile ',' prodak ',' country ',' expensive ',' dyegeri ',' sendri ',' ']")</f>
        <v>['Package', 'Telkomsel', 'Expensive', 'Combo', 'Sakti', 'Cheap', 'Rb', 'Mending', 'Get', 'Bonus',' Acan ',' Muke ',' gile ',' prodak ',' country ',' expensive ',' dyegeri ',' sendri ',' ']</v>
      </c>
      <c r="D12388" s="3">
        <v>1.0</v>
      </c>
    </row>
    <row r="12389" ht="15.75" customHeight="1">
      <c r="A12389" s="1">
        <v>13189.0</v>
      </c>
      <c r="B12389" s="3" t="s">
        <v>11819</v>
      </c>
      <c r="C12389" s="3" t="str">
        <f>IFERROR(__xludf.DUMMYFUNCTION("GOOGLETRANSLATE(B12389,""id"",""en"")"),"['koq', 'opened', 'appk', 'gmn', 'admin', '']")</f>
        <v>['koq', 'opened', 'appk', 'gmn', 'admin', '']</v>
      </c>
      <c r="D12389" s="3">
        <v>1.0</v>
      </c>
    </row>
    <row r="12390" ht="15.75" customHeight="1">
      <c r="A12390" s="1">
        <v>13190.0</v>
      </c>
      <c r="B12390" s="3" t="s">
        <v>11820</v>
      </c>
      <c r="C12390" s="3" t="str">
        <f>IFERROR(__xludf.DUMMYFUNCTION("GOOGLETRANSLATE(B12390,""id"",""en"")"),"['Sanagat', 'help']")</f>
        <v>['Sanagat', 'help']</v>
      </c>
      <c r="D12390" s="3">
        <v>5.0</v>
      </c>
    </row>
    <row r="12391" ht="15.75" customHeight="1">
      <c r="A12391" s="1">
        <v>13191.0</v>
      </c>
      <c r="B12391" s="3" t="s">
        <v>11821</v>
      </c>
      <c r="C12391" s="3" t="str">
        <f>IFERROR(__xludf.DUMMYFUNCTION("GOOGLETRANSLATE(B12391,""id"",""en"")"),"['UDH', 'loyal', 'Package', 'Telkomsel', 'UDH', 'Monthly', 'Signal', 'Like', 'Down', 'Strange', 'Bngt', 'Comfortable', ' Like ',' Jumping ',' signal ',' right ',' Nge ',' Game ', ""]")</f>
        <v>['UDH', 'loyal', 'Package', 'Telkomsel', 'UDH', 'Monthly', 'Signal', 'Like', 'Down', 'Strange', 'Bngt', 'Comfortable', ' Like ',' Jumping ',' signal ',' right ',' Nge ',' Game ', "]</v>
      </c>
      <c r="D12391" s="3">
        <v>1.0</v>
      </c>
    </row>
    <row r="12392" ht="15.75" customHeight="1">
      <c r="A12392" s="1">
        <v>13192.0</v>
      </c>
      <c r="B12392" s="3" t="s">
        <v>11822</v>
      </c>
      <c r="C12392" s="3" t="str">
        <f>IFERROR(__xludf.DUMMYFUNCTION("GOOGLETRANSLATE(B12392,""id"",""en"")"),"['Signal', 'Not bad', 'Good']")</f>
        <v>['Signal', 'Not bad', 'Good']</v>
      </c>
      <c r="D12392" s="3">
        <v>4.0</v>
      </c>
    </row>
    <row r="12393" ht="15.75" customHeight="1">
      <c r="A12393" s="1">
        <v>13193.0</v>
      </c>
      <c r="B12393" s="3" t="s">
        <v>11823</v>
      </c>
      <c r="C12393" s="3" t="str">
        <f>IFERROR(__xludf.DUMMYFUNCTION("GOOGLETRANSLATE(B12393,""id"",""en"")"),"['Ketin', 'Gajelas', 'signal', 'TB', 'ilang', '']")</f>
        <v>['Ketin', 'Gajelas', 'signal', 'TB', 'ilang', '']</v>
      </c>
      <c r="D12393" s="3">
        <v>2.0</v>
      </c>
    </row>
    <row r="12394" ht="15.75" customHeight="1">
      <c r="A12394" s="1">
        <v>13195.0</v>
      </c>
      <c r="B12394" s="3" t="s">
        <v>11824</v>
      </c>
      <c r="C12394" s="3" t="str">
        <f>IFERROR(__xludf.DUMMYFUNCTION("GOOGLETRANSLATE(B12394,""id"",""en"")"),"['Facilitated']")</f>
        <v>['Facilitated']</v>
      </c>
      <c r="D12394" s="3">
        <v>4.0</v>
      </c>
    </row>
    <row r="12395" ht="15.75" customHeight="1">
      <c r="A12395" s="1">
        <v>13196.0</v>
      </c>
      <c r="B12395" s="3" t="s">
        <v>11825</v>
      </c>
      <c r="C12395" s="3" t="str">
        <f>IFERROR(__xludf.DUMMYFUNCTION("GOOGLETRANSLATE(B12395,""id"",""en"")"),"['The package', 'cheap', 'festive']")</f>
        <v>['The package', 'cheap', 'festive']</v>
      </c>
      <c r="D12395" s="3">
        <v>5.0</v>
      </c>
    </row>
    <row r="12396" ht="15.75" customHeight="1">
      <c r="A12396" s="1">
        <v>13197.0</v>
      </c>
      <c r="B12396" s="3" t="s">
        <v>11826</v>
      </c>
      <c r="C12396" s="3" t="str">
        <f>IFERROR(__xludf.DUMMYFUNCTION("GOOGLETRANSLATE(B12396,""id"",""en"")"),"['Please', 'Maaf', 'Application', 'Open', 'Wear it']")</f>
        <v>['Please', 'Maaf', 'Application', 'Open', 'Wear it']</v>
      </c>
      <c r="D12396" s="3">
        <v>2.0</v>
      </c>
    </row>
    <row r="12397" ht="15.75" customHeight="1">
      <c r="A12397" s="1">
        <v>13198.0</v>
      </c>
      <c r="B12397" s="3" t="s">
        <v>11827</v>
      </c>
      <c r="C12397" s="3" t="str">
        <f>IFERROR(__xludf.DUMMYFUNCTION("GOOGLETRANSLATE(B12397,""id"",""en"")"),"['loss',' really ',' activation ',' card ',' list ',' use ',' nik ',' turn ',' fraud ',' concoction ',' many ',' response ',' Then ',' Data ',' Track ',' Action ',' Criminal ',' Try ',' Search ',' solution ']")</f>
        <v>['loss',' really ',' activation ',' card ',' list ',' use ',' nik ',' turn ',' fraud ',' concoction ',' many ',' response ',' Then ',' Data ',' Track ',' Action ',' Criminal ',' Try ',' Search ',' solution ']</v>
      </c>
      <c r="D12397" s="3">
        <v>1.0</v>
      </c>
    </row>
    <row r="12398" ht="15.75" customHeight="1">
      <c r="A12398" s="1">
        <v>13199.0</v>
      </c>
      <c r="B12398" s="3" t="s">
        <v>11828</v>
      </c>
      <c r="C12398" s="3" t="str">
        <f>IFERROR(__xludf.DUMMYFUNCTION("GOOGLETRANSLATE(B12398,""id"",""en"")"),"['screen', 'white', 'like', 'stain', 'update', 'good', 'upgrade', 'ngak', 'good', ""]")</f>
        <v>['screen', 'white', 'like', 'stain', 'update', 'good', 'upgrade', 'ngak', 'good', "]</v>
      </c>
      <c r="D12398" s="3">
        <v>1.0</v>
      </c>
    </row>
    <row r="12399" ht="15.75" customHeight="1">
      <c r="A12399" s="1">
        <v>13200.0</v>
      </c>
      <c r="B12399" s="3" t="s">
        <v>11829</v>
      </c>
      <c r="C12399" s="3" t="str">
        <f>IFERROR(__xludf.DUMMYFUNCTION("GOOGLETRANSLATE(B12399,""id"",""en"")"),"['', 'Login', 'The application', 'FAILURE', 'HARD', 'LIAT', 'KAILA', 'Remnant', ""]")</f>
        <v>['', 'Login', 'The application', 'FAILURE', 'HARD', 'LIAT', 'KAILA', 'Remnant', "]</v>
      </c>
      <c r="D12399" s="3">
        <v>5.0</v>
      </c>
    </row>
    <row r="12400" ht="15.75" customHeight="1">
      <c r="A12400" s="1">
        <v>13202.0</v>
      </c>
      <c r="B12400" s="3" t="s">
        <v>11830</v>
      </c>
      <c r="C12400" s="3" t="str">
        <f>IFERROR(__xludf.DUMMYFUNCTION("GOOGLETRANSLATE(B12400,""id"",""en"")"),"['Help', 'community', 'dtaku', 'emergency', '']")</f>
        <v>['Help', 'community', 'dtaku', 'emergency', '']</v>
      </c>
      <c r="D12400" s="3">
        <v>5.0</v>
      </c>
    </row>
    <row r="12401" ht="15.75" customHeight="1">
      <c r="A12401" s="1">
        <v>13203.0</v>
      </c>
      <c r="B12401" s="3" t="s">
        <v>11831</v>
      </c>
      <c r="C12401" s="3" t="str">
        <f>IFERROR(__xludf.DUMMYFUNCTION("GOOGLETRANSLATE(B12401,""id"",""en"")"),"['Kebitahan', 'update', 'good']")</f>
        <v>['Kebitahan', 'update', 'good']</v>
      </c>
      <c r="D12401" s="3">
        <v>1.0</v>
      </c>
    </row>
    <row r="12402" ht="15.75" customHeight="1">
      <c r="A12402" s="1">
        <v>13204.0</v>
      </c>
      <c r="B12402" s="3" t="s">
        <v>11832</v>
      </c>
      <c r="C12402" s="3" t="str">
        <f>IFERROR(__xludf.DUMMYFUNCTION("GOOGLETRANSLATE(B12402,""id"",""en"")"),"['Bgus', 'signal', 'Kenceng']")</f>
        <v>['Bgus', 'signal', 'Kenceng']</v>
      </c>
      <c r="D12402" s="3">
        <v>4.0</v>
      </c>
    </row>
    <row r="12403" ht="15.75" customHeight="1">
      <c r="A12403" s="1">
        <v>13205.0</v>
      </c>
      <c r="B12403" s="3" t="s">
        <v>11833</v>
      </c>
      <c r="C12403" s="3" t="str">
        <f>IFERROR(__xludf.DUMMYFUNCTION("GOOGLETRANSLATE(B12403,""id"",""en"")"),"['woooooy', 'The application', 'No.', 'opened', 'Whitescreen', 'Mulu', 'Delete', 'Memory', 'Data', 'Uninstall', 'Then', 'Install', ' White ',' Screen ',' already ',' week ',' loooh ']")</f>
        <v>['woooooy', 'The application', 'No.', 'opened', 'Whitescreen', 'Mulu', 'Delete', 'Memory', 'Data', 'Uninstall', 'Then', 'Install', ' White ',' Screen ',' already ',' week ',' loooh ']</v>
      </c>
      <c r="D12403" s="3">
        <v>1.0</v>
      </c>
    </row>
    <row r="12404" ht="15.75" customHeight="1">
      <c r="A12404" s="1">
        <v>13206.0</v>
      </c>
      <c r="B12404" s="3" t="s">
        <v>11834</v>
      </c>
      <c r="C12404" s="3" t="str">
        <f>IFERROR(__xludf.DUMMYFUNCTION("GOOGLETRANSLATE(B12404,""id"",""en"")"),"['Package', 'really']")</f>
        <v>['Package', 'really']</v>
      </c>
      <c r="D12404" s="3">
        <v>1.0</v>
      </c>
    </row>
    <row r="12405" ht="15.75" customHeight="1">
      <c r="A12405" s="1">
        <v>13207.0</v>
      </c>
      <c r="B12405" s="3" t="s">
        <v>11835</v>
      </c>
      <c r="C12405" s="3" t="str">
        <f>IFERROR(__xludf.DUMMYFUNCTION("GOOGLETRANSLATE(B12405,""id"",""en"")"),"['yes',' update ',' apk ',' mala ',' open ',' yaa ',' sheet ',' white ',' what ',' wrongzzz ',' times', 'install', ' reset ',' star ',' reduced ',' yaa ', ""]")</f>
        <v>['yes',' update ',' apk ',' mala ',' open ',' yaa ',' sheet ',' white ',' what ',' wrongzzz ',' times', 'install', ' reset ',' star ',' reduced ',' yaa ', "]</v>
      </c>
      <c r="D12405" s="3">
        <v>2.0</v>
      </c>
    </row>
    <row r="12406" ht="15.75" customHeight="1">
      <c r="A12406" s="1">
        <v>13208.0</v>
      </c>
      <c r="B12406" s="3" t="s">
        <v>11836</v>
      </c>
      <c r="C12406" s="3" t="str">
        <f>IFERROR(__xludf.DUMMYFUNCTION("GOOGLETRANSLATE(B12406,""id"",""en"")"),"['failed', 'purchase', 'package', 'continuous',' contact ',' Tikak ',' Telkomsel ',' WhatsApp ',' complicated ',' regret ',' buy ',' pulse ',' Wear ',' Telokomsel ']")</f>
        <v>['failed', 'purchase', 'package', 'continuous',' contact ',' Tikak ',' Telkomsel ',' WhatsApp ',' complicated ',' regret ',' buy ',' pulse ',' Wear ',' Telokomsel ']</v>
      </c>
      <c r="D12406" s="3">
        <v>1.0</v>
      </c>
    </row>
    <row r="12407" ht="15.75" customHeight="1">
      <c r="A12407" s="1">
        <v>13210.0</v>
      </c>
      <c r="B12407" s="3" t="s">
        <v>11837</v>
      </c>
      <c r="C12407" s="3" t="str">
        <f>IFERROR(__xludf.DUMMYFUNCTION("GOOGLETRANSLATE(B12407,""id"",""en"")"),"['enter', 'page']")</f>
        <v>['enter', 'page']</v>
      </c>
      <c r="D12407" s="3">
        <v>3.0</v>
      </c>
    </row>
    <row r="12408" ht="15.75" customHeight="1">
      <c r="A12408" s="1">
        <v>13211.0</v>
      </c>
      <c r="B12408" s="3" t="s">
        <v>11838</v>
      </c>
      <c r="C12408" s="3" t="str">
        <f>IFERROR(__xludf.DUMMYFUNCTION("GOOGLETRANSLATE(B12408,""id"",""en"")"),"['Telkomsel', 'plis',' deh ',' drained ',' feeling ',' gapernah ',' buy ',' subscription ',' package ',' emergency ',' run out ',' pulsa ',' Many ',' quota ',' keeleli ',' package ',' emergency ',' Sultan ',' Season ',' bngat ',' loss', 'fill', 'pulse', '"&amp;"then', 'sometimes' , 'package', 'emergency', 'active', 'quota', 'Telkomsel', 'Nipu', ""]")</f>
        <v>['Telkomsel', 'plis',' deh ',' drained ',' feeling ',' gapernah ',' buy ',' subscription ',' package ',' emergency ',' run out ',' pulsa ',' Many ',' quota ',' keeleli ',' package ',' emergency ',' Sultan ',' Season ',' bngat ',' loss', 'fill', 'pulse', 'then', 'sometimes' , 'package', 'emergency', 'active', 'quota', 'Telkomsel', 'Nipu', "]</v>
      </c>
      <c r="D12408" s="3">
        <v>1.0</v>
      </c>
    </row>
    <row r="12409" ht="15.75" customHeight="1">
      <c r="A12409" s="1">
        <v>13212.0</v>
      </c>
      <c r="B12409" s="3" t="s">
        <v>11839</v>
      </c>
      <c r="C12409" s="3" t="str">
        <f>IFERROR(__xludf.DUMMYFUNCTION("GOOGLETRANSLATE(B12409,""id"",""en"")"),"['Telkomsel', 'Lite', 'Download', 'Just', 'Open', 'Android', 'Open', 'Browser', 'Ajah', 'Application', 'Download', 'Ajah', ' screen ',' white ']")</f>
        <v>['Telkomsel', 'Lite', 'Download', 'Just', 'Open', 'Android', 'Open', 'Browser', 'Ajah', 'Application', 'Download', 'Ajah', ' screen ',' white ']</v>
      </c>
      <c r="D12409" s="3">
        <v>1.0</v>
      </c>
    </row>
    <row r="12410" ht="15.75" customHeight="1">
      <c r="A12410" s="1">
        <v>13213.0</v>
      </c>
      <c r="B12410" s="3" t="s">
        <v>11840</v>
      </c>
      <c r="C12410" s="3" t="str">
        <f>IFERROR(__xludf.DUMMYFUNCTION("GOOGLETRANSLATE(B12410,""id"",""en"")"),"['apk', 'Telkomsel', 'benefits', 'open', 'repeat', 'uninstall', 'install', 'please', 'repair']")</f>
        <v>['apk', 'Telkomsel', 'benefits', 'open', 'repeat', 'uninstall', 'install', 'please', 'repair']</v>
      </c>
      <c r="D12410" s="3">
        <v>3.0</v>
      </c>
    </row>
    <row r="12411" ht="15.75" customHeight="1">
      <c r="A12411" s="1">
        <v>13214.0</v>
      </c>
      <c r="B12411" s="3" t="s">
        <v>11841</v>
      </c>
      <c r="C12411" s="3" t="str">
        <f>IFERROR(__xludf.DUMMYFUNCTION("GOOGLETRANSLATE(B12411,""id"",""en"")"),"['Good', 'promo']")</f>
        <v>['Good', 'promo']</v>
      </c>
      <c r="D12411" s="3">
        <v>5.0</v>
      </c>
    </row>
    <row r="12412" ht="15.75" customHeight="1">
      <c r="A12412" s="1">
        <v>13215.0</v>
      </c>
      <c r="B12412" s="3" t="s">
        <v>777</v>
      </c>
      <c r="C12412" s="3" t="str">
        <f>IFERROR(__xludf.DUMMYFUNCTION("GOOGLETRANSLATE(B12412,""id"",""en"")"),"['Application', 'Good', '']")</f>
        <v>['Application', 'Good', '']</v>
      </c>
      <c r="D12412" s="3">
        <v>4.0</v>
      </c>
    </row>
    <row r="12413" ht="15.75" customHeight="1">
      <c r="A12413" s="1">
        <v>13216.0</v>
      </c>
      <c r="B12413" s="3" t="s">
        <v>11842</v>
      </c>
      <c r="C12413" s="3" t="str">
        <f>IFERROR(__xludf.DUMMYFUNCTION("GOOGLETRANSLATE(B12413,""id"",""en"")"),"['Purchase', 'Package', 'Out', 'Update', 'Please', 'Help', 'Contact', 'Customer', 'servicenya']")</f>
        <v>['Purchase', 'Package', 'Out', 'Update', 'Please', 'Help', 'Contact', 'Customer', 'servicenya']</v>
      </c>
      <c r="D12413" s="3">
        <v>1.0</v>
      </c>
    </row>
    <row r="12414" ht="15.75" customHeight="1">
      <c r="A12414" s="1">
        <v>13217.0</v>
      </c>
      <c r="B12414" s="3" t="s">
        <v>11843</v>
      </c>
      <c r="C12414" s="3" t="str">
        <f>IFERROR(__xludf.DUMMYFUNCTION("GOOGLETRANSLATE(B12414,""id"",""en"")"),"['Hello', 'Sis', 'The network', 'like', 'comfortable', 'really', 'Please', 'overcome', ""]")</f>
        <v>['Hello', 'Sis', 'The network', 'like', 'comfortable', 'really', 'Please', 'overcome', "]</v>
      </c>
      <c r="D12414" s="3">
        <v>2.0</v>
      </c>
    </row>
    <row r="12415" ht="15.75" customHeight="1">
      <c r="A12415" s="1">
        <v>13218.0</v>
      </c>
      <c r="B12415" s="3" t="s">
        <v>11844</v>
      </c>
      <c r="C12415" s="3" t="str">
        <f>IFERROR(__xludf.DUMMYFUNCTION("GOOGLETRANSLATE(B12415,""id"",""en"")"),"['multiptenizes', 'bonus', 'quota', 'expensive', 'expensive']")</f>
        <v>['multiptenizes', 'bonus', 'quota', 'expensive', 'expensive']</v>
      </c>
      <c r="D12415" s="3">
        <v>3.0</v>
      </c>
    </row>
    <row r="12416" ht="15.75" customHeight="1">
      <c r="A12416" s="1">
        <v>13219.0</v>
      </c>
      <c r="B12416" s="3" t="s">
        <v>11845</v>
      </c>
      <c r="C12416" s="3" t="str">
        <f>IFERROR(__xludf.DUMMYFUNCTION("GOOGLETRANSLATE(B12416,""id"",""en"")"),"['Telkomsel', 'Top', 'Diamond', 'Game', 'No', 'Update', 'Appears', 'Top', 'Diamond', 'Game', 'Thank you']")</f>
        <v>['Telkomsel', 'Top', 'Diamond', 'Game', 'No', 'Update', 'Appears', 'Top', 'Diamond', 'Game', 'Thank you']</v>
      </c>
      <c r="D12416" s="3">
        <v>5.0</v>
      </c>
    </row>
    <row r="12417" ht="15.75" customHeight="1">
      <c r="A12417" s="1">
        <v>13220.0</v>
      </c>
      <c r="B12417" s="3" t="s">
        <v>11846</v>
      </c>
      <c r="C12417" s="3" t="str">
        <f>IFERROR(__xludf.DUMMYFUNCTION("GOOGLETRANSLATE(B12417,""id"",""en"")"),"['satisfying', 'signal', 'good']")</f>
        <v>['satisfying', 'signal', 'good']</v>
      </c>
      <c r="D12417" s="3">
        <v>5.0</v>
      </c>
    </row>
    <row r="12418" ht="15.75" customHeight="1">
      <c r="A12418" s="1">
        <v>13221.0</v>
      </c>
      <c r="B12418" s="3" t="s">
        <v>11847</v>
      </c>
      <c r="C12418" s="3" t="str">
        <f>IFERROR(__xludf.DUMMYFUNCTION("GOOGLETRANSLATE(B12418,""id"",""en"")"),"['times', 'download', 'DANCOP', 'Login', 'Screen', 'Muncl', 'White']")</f>
        <v>['times', 'download', 'DANCOP', 'Login', 'Screen', 'Muncl', 'White']</v>
      </c>
      <c r="D12418" s="3">
        <v>1.0</v>
      </c>
    </row>
    <row r="12419" ht="15.75" customHeight="1">
      <c r="A12419" s="1">
        <v>13222.0</v>
      </c>
      <c r="B12419" s="3" t="s">
        <v>11848</v>
      </c>
      <c r="C12419" s="3" t="str">
        <f>IFERROR(__xludf.DUMMYFUNCTION("GOOGLETRANSLATE(B12419,""id"",""en"")"),"['Application', 'Telkomsel', 'FIXED', 'Opened', 'Check', 'Package', 'Please', 'Repair']")</f>
        <v>['Application', 'Telkomsel', 'FIXED', 'Opened', 'Check', 'Package', 'Please', 'Repair']</v>
      </c>
      <c r="D12419" s="3">
        <v>1.0</v>
      </c>
    </row>
    <row r="12420" ht="15.75" customHeight="1">
      <c r="A12420" s="1">
        <v>13223.0</v>
      </c>
      <c r="B12420" s="3" t="s">
        <v>11849</v>
      </c>
      <c r="C12420" s="3" t="str">
        <f>IFERROR(__xludf.DUMMYFUNCTION("GOOGLETRANSLATE(B12420,""id"",""en"")"),"['Class', 'Telkomsel', 'APK', 'Open', '']")</f>
        <v>['Class', 'Telkomsel', 'APK', 'Open', '']</v>
      </c>
      <c r="D12420" s="3">
        <v>1.0</v>
      </c>
    </row>
    <row r="12421" ht="15.75" customHeight="1">
      <c r="A12421" s="1">
        <v>13224.0</v>
      </c>
      <c r="B12421" s="3" t="s">
        <v>11850</v>
      </c>
      <c r="C12421" s="3" t="str">
        <f>IFERROR(__xludf.DUMMYFUNCTION("GOOGLETRANSLATE(B12421,""id"",""en"")"),"['Telkomsel', 'ngeecewain', 'signal', 'good', 'package', 'price', 'application', 'even though', 'already', 'Telkomsel', 'gini', 'forced', ' Switch ',' Defend ',' Comfortable ',' ']")</f>
        <v>['Telkomsel', 'ngeecewain', 'signal', 'good', 'package', 'price', 'application', 'even though', 'already', 'Telkomsel', 'gini', 'forced', ' Switch ',' Defend ',' Comfortable ',' ']</v>
      </c>
      <c r="D12421" s="3">
        <v>1.0</v>
      </c>
    </row>
    <row r="12422" ht="15.75" customHeight="1">
      <c r="A12422" s="1">
        <v>13225.0</v>
      </c>
      <c r="B12422" s="3" t="s">
        <v>11851</v>
      </c>
      <c r="C12422" s="3" t="str">
        <f>IFERROR(__xludf.DUMMYFUNCTION("GOOGLETRANSLATE(B12422,""id"",""en"")"),"['', 'lover', 'heavy', 'Telkomsel', 'signal', 'slow']")</f>
        <v>['', 'lover', 'heavy', 'Telkomsel', 'signal', 'slow']</v>
      </c>
      <c r="D12422" s="3">
        <v>4.0</v>
      </c>
    </row>
    <row r="12423" ht="15.75" customHeight="1">
      <c r="A12423" s="1">
        <v>13226.0</v>
      </c>
      <c r="B12423" s="3" t="s">
        <v>11852</v>
      </c>
      <c r="C12423" s="3" t="str">
        <f>IFERROR(__xludf.DUMMYFUNCTION("GOOGLETRANSLATE(B12423,""id"",""en"")"),"['Open', 'Telkomsel', 'Color', 'White', 'Disappointing', 'Telkomsel', 'Helping', 'Screen', 'White', 'appears', ""]")</f>
        <v>['Open', 'Telkomsel', 'Color', 'White', 'Disappointing', 'Telkomsel', 'Helping', 'Screen', 'White', 'appears', "]</v>
      </c>
      <c r="D12423" s="3">
        <v>1.0</v>
      </c>
    </row>
    <row r="12424" ht="15.75" customHeight="1">
      <c r="A12424" s="1">
        <v>13227.0</v>
      </c>
      <c r="B12424" s="3" t="s">
        <v>11853</v>
      </c>
      <c r="C12424" s="3" t="str">
        <f>IFERROR(__xludf.DUMMYFUNCTION("GOOGLETRANSLATE(B12424,""id"",""en"")"),"['Application', 'ugly', 'update', 'opened']")</f>
        <v>['Application', 'ugly', 'update', 'opened']</v>
      </c>
      <c r="D12424" s="3">
        <v>4.0</v>
      </c>
    </row>
    <row r="12425" ht="15.75" customHeight="1">
      <c r="A12425" s="1">
        <v>13228.0</v>
      </c>
      <c r="B12425" s="3" t="s">
        <v>11854</v>
      </c>
      <c r="C12425" s="3" t="str">
        <f>IFERROR(__xludf.DUMMYFUNCTION("GOOGLETRANSLATE(B12425,""id"",""en"")"),"['Telkom', 'Bener', 'Fill', 'Credit', 'Data', 'Sucked', 'Anyingggg', 'Golek', 'Money', 'Angel', 'Massss']")</f>
        <v>['Telkom', 'Bener', 'Fill', 'Credit', 'Data', 'Sucked', 'Anyingggg', 'Golek', 'Money', 'Angel', 'Massss']</v>
      </c>
      <c r="D12425" s="3">
        <v>1.0</v>
      </c>
    </row>
    <row r="12426" ht="15.75" customHeight="1">
      <c r="A12426" s="1">
        <v>13229.0</v>
      </c>
      <c r="B12426" s="3" t="s">
        <v>11855</v>
      </c>
      <c r="C12426" s="3" t="str">
        <f>IFERROR(__xludf.DUMMYFUNCTION("GOOGLETRANSLATE(B12426,""id"",""en"")"),"['apk', 'ngak', 'already', 'diuldate', 'good', 'broken', 'right', 'loading', 'screennya', 'sontuh', 'mulu', 'good', ' Please, 'repaired', 'klaua', 'because', 'number', 'ngak', 'use', 'apk', 'gave', 'star', 'ngak', 'sincere']")</f>
        <v>['apk', 'ngak', 'already', 'diuldate', 'good', 'broken', 'right', 'loading', 'screennya', 'sontuh', 'mulu', 'good', ' Please, 'repaired', 'klaua', 'because', 'number', 'ngak', 'use', 'apk', 'gave', 'star', 'ngak', 'sincere']</v>
      </c>
      <c r="D12426" s="3">
        <v>1.0</v>
      </c>
    </row>
    <row r="12427" ht="15.75" customHeight="1">
      <c r="A12427" s="1">
        <v>13230.0</v>
      </c>
      <c r="B12427" s="3" t="s">
        <v>11856</v>
      </c>
      <c r="C12427" s="3" t="str">
        <f>IFERROR(__xludf.DUMMYFUNCTION("GOOGLETRANSLATE(B12427,""id"",""en"")"),"['Astaghfirullah', 'Call', 'Call', 'Center', 'Application', 'Veronica', 'Migraine', 'Unfortunately', 'Connect', 'Just', 'Template', 'Doank', ' Communication ',' direction ',' loss', 'really', 'rich', 'talk', 'robot', 'unfaedah', 'time', 'wasting', '']")</f>
        <v>['Astaghfirullah', 'Call', 'Call', 'Center', 'Application', 'Veronica', 'Migraine', 'Unfortunately', 'Connect', 'Just', 'Template', 'Doank', ' Communication ',' direction ',' loss', 'really', 'rich', 'talk', 'robot', 'unfaedah', 'time', 'wasting', '']</v>
      </c>
      <c r="D12427" s="3">
        <v>1.0</v>
      </c>
    </row>
    <row r="12428" ht="15.75" customHeight="1">
      <c r="A12428" s="1">
        <v>13231.0</v>
      </c>
      <c r="B12428" s="3" t="s">
        <v>11857</v>
      </c>
      <c r="C12428" s="3" t="str">
        <f>IFERROR(__xludf.DUMMYFUNCTION("GOOGLETRANSLATE(B12428,""id"",""en"")"),"['APL', 'Open', 'GMN', 'boss', '']")</f>
        <v>['APL', 'Open', 'GMN', 'boss', '']</v>
      </c>
      <c r="D12428" s="3">
        <v>5.0</v>
      </c>
    </row>
    <row r="12429" ht="15.75" customHeight="1">
      <c r="A12429" s="1">
        <v>13232.0</v>
      </c>
      <c r="B12429" s="3" t="s">
        <v>11858</v>
      </c>
      <c r="C12429" s="3" t="str">
        <f>IFERROR(__xludf.DUMMYFUNCTION("GOOGLETRANSLATE(B12429,""id"",""en"")"),"['Package', 'LIKE', 'PACKAGE', 'LIKE']")</f>
        <v>['Package', 'LIKE', 'PACKAGE', 'LIKE']</v>
      </c>
      <c r="D12429" s="3">
        <v>5.0</v>
      </c>
    </row>
    <row r="12430" ht="15.75" customHeight="1">
      <c r="A12430" s="1">
        <v>13233.0</v>
      </c>
      <c r="B12430" s="3" t="s">
        <v>11859</v>
      </c>
      <c r="C12430" s="3" t="str">
        <f>IFERROR(__xludf.DUMMYFUNCTION("GOOGLETRANSLATE(B12430,""id"",""en"")"),"['Week', 'APK', 'Open', '']")</f>
        <v>['Week', 'APK', 'Open', '']</v>
      </c>
      <c r="D12430" s="3">
        <v>3.0</v>
      </c>
    </row>
    <row r="12431" ht="15.75" customHeight="1">
      <c r="A12431" s="1">
        <v>13234.0</v>
      </c>
      <c r="B12431" s="3" t="s">
        <v>11860</v>
      </c>
      <c r="C12431" s="3" t="str">
        <f>IFERROR(__xludf.DUMMYFUNCTION("GOOGLETRANSLATE(B12431,""id"",""en"")"),"['What', 'kmrn', 'open', 'apk', 'white', 'twt', 'told', 'wait', 'reply', 'please', 'fix', 'as soon as possible,' need', '']")</f>
        <v>['What', 'kmrn', 'open', 'apk', 'white', 'twt', 'told', 'wait', 'reply', 'please', 'fix', 'as soon as possible,' need', '']</v>
      </c>
      <c r="D12431" s="3">
        <v>1.0</v>
      </c>
    </row>
    <row r="12432" ht="15.75" customHeight="1">
      <c r="A12432" s="1">
        <v>13235.0</v>
      </c>
      <c r="B12432" s="3" t="s">
        <v>11861</v>
      </c>
      <c r="C12432" s="3" t="str">
        <f>IFERROR(__xludf.DUMMYFUNCTION("GOOGLETRANSLATE(B12432,""id"",""en"")"),"['difficult', 'understand']")</f>
        <v>['difficult', 'understand']</v>
      </c>
      <c r="D12432" s="3">
        <v>5.0</v>
      </c>
    </row>
    <row r="12433" ht="15.75" customHeight="1">
      <c r="A12433" s="1">
        <v>13236.0</v>
      </c>
      <c r="B12433" s="3" t="s">
        <v>11862</v>
      </c>
      <c r="C12433" s="3" t="str">
        <f>IFERROR(__xludf.DUMMYFUNCTION("GOOGLETRANSLATE(B12433,""id"",""en"")"),"['signal', 'ugly', 'game', 'vain', 'buy', 'quota']")</f>
        <v>['signal', 'ugly', 'game', 'vain', 'buy', 'quota']</v>
      </c>
      <c r="D12433" s="3">
        <v>1.0</v>
      </c>
    </row>
    <row r="12434" ht="15.75" customHeight="1">
      <c r="A12434" s="1">
        <v>13237.0</v>
      </c>
      <c r="B12434" s="3" t="s">
        <v>11863</v>
      </c>
      <c r="C12434" s="3" t="str">
        <f>IFERROR(__xludf.DUMMYFUNCTION("GOOGLETRANSLATE(B12434,""id"",""en"")"),"['Safe', 'practical', 'Ribet', '']")</f>
        <v>['Safe', 'practical', 'Ribet', '']</v>
      </c>
      <c r="D12434" s="3">
        <v>5.0</v>
      </c>
    </row>
    <row r="12435" ht="15.75" customHeight="1">
      <c r="A12435" s="1">
        <v>13238.0</v>
      </c>
      <c r="B12435" s="3" t="s">
        <v>11864</v>
      </c>
      <c r="C12435" s="3" t="str">
        <f>IFERROR(__xludf.DUMMYFUNCTION("GOOGLETRANSLATE(B12435,""id"",""en"")"),"['Package', 'Combo', 'Tamba', 'Price', 'Wadhu', ""]")</f>
        <v>['Package', 'Combo', 'Tamba', 'Price', 'Wadhu', "]</v>
      </c>
      <c r="D12435" s="3">
        <v>2.0</v>
      </c>
    </row>
    <row r="12436" ht="15.75" customHeight="1">
      <c r="A12436" s="1">
        <v>13239.0</v>
      </c>
      <c r="B12436" s="3" t="s">
        <v>1693</v>
      </c>
      <c r="C12436" s="3" t="str">
        <f>IFERROR(__xludf.DUMMYFUNCTION("GOOGLETRANSLATE(B12436,""id"",""en"")"),"['Satisfied', 'application']")</f>
        <v>['Satisfied', 'application']</v>
      </c>
      <c r="D12436" s="3">
        <v>5.0</v>
      </c>
    </row>
    <row r="12437" ht="15.75" customHeight="1">
      <c r="A12437" s="1">
        <v>13240.0</v>
      </c>
      <c r="B12437" s="3" t="s">
        <v>11865</v>
      </c>
      <c r="C12437" s="3" t="str">
        <f>IFERROR(__xludf.DUMMYFUNCTION("GOOGLETRANSLATE(B12437,""id"",""en"")"),"['The application', 'Open', 'App', 'Software', 'Application', 'NOT', 'Responding', 'proven', 'appears',' Notif ',' Times', 'Open', ' MyTelkomtol ',' button ',' presset ',' pressed ',' delay ',' cost ',' subscription ',' Telkom ',' expensive ',' the applic"&amp;"ations', 'comfortable', 'hopefully', 'in the future' , 'Developer', 'Professional', 'Application', 'MyTelkomTod', '']")</f>
        <v>['The application', 'Open', 'App', 'Software', 'Application', 'NOT', 'Responding', 'proven', 'appears',' Notif ',' Times', 'Open', ' MyTelkomtol ',' button ',' presset ',' pressed ',' delay ',' cost ',' subscription ',' Telkom ',' expensive ',' the applications', 'comfortable', 'hopefully', 'in the future' , 'Developer', 'Professional', 'Application', 'MyTelkomTod', '']</v>
      </c>
      <c r="D12437" s="3">
        <v>3.0</v>
      </c>
    </row>
    <row r="12438" ht="15.75" customHeight="1">
      <c r="A12438" s="1">
        <v>13241.0</v>
      </c>
      <c r="B12438" s="3" t="s">
        <v>11866</v>
      </c>
      <c r="C12438" s="3" t="str">
        <f>IFERROR(__xludf.DUMMYFUNCTION("GOOGLETRANSLATE(B12438,""id"",""en"")"),"['updated', 'appears', 'White', 'Screen', '']")</f>
        <v>['updated', 'appears', 'White', 'Screen', '']</v>
      </c>
      <c r="D12438" s="3">
        <v>1.0</v>
      </c>
    </row>
    <row r="12439" ht="15.75" customHeight="1">
      <c r="A12439" s="1">
        <v>13242.0</v>
      </c>
      <c r="B12439" s="3" t="s">
        <v>11867</v>
      </c>
      <c r="C12439" s="3" t="str">
        <f>IFERROR(__xludf.DUMMYFUNCTION("GOOGLETRANSLATE(B12439,""id"",""en"")"),"['Increase', 'Quality', 'Net', 'Please', 'Attention', 'Region', 'Remote']")</f>
        <v>['Increase', 'Quality', 'Net', 'Please', 'Attention', 'Region', 'Remote']</v>
      </c>
      <c r="D12439" s="3">
        <v>4.0</v>
      </c>
    </row>
    <row r="12440" ht="15.75" customHeight="1">
      <c r="A12440" s="1">
        <v>13243.0</v>
      </c>
      <c r="B12440" s="3" t="s">
        <v>11868</v>
      </c>
      <c r="C12440" s="3" t="str">
        <f>IFERROR(__xludf.DUMMYFUNCTION("GOOGLETRANSLATE(B12440,""id"",""en"")"),"['Edit']")</f>
        <v>['Edit']</v>
      </c>
      <c r="D12440" s="3">
        <v>1.0</v>
      </c>
    </row>
    <row r="12441" ht="15.75" customHeight="1">
      <c r="A12441" s="1">
        <v>13244.0</v>
      </c>
      <c r="B12441" s="3" t="s">
        <v>11869</v>
      </c>
      <c r="C12441" s="3" t="str">
        <f>IFERROR(__xludf.DUMMYFUNCTION("GOOGLETRANSLATE(B12441,""id"",""en"")"),"['Package', 'Cheerful', 'Register', 'Mending', 'Eliminated', 'Menu', 'PHP', 'Already', 'Register', ""]")</f>
        <v>['Package', 'Cheerful', 'Register', 'Mending', 'Eliminated', 'Menu', 'PHP', 'Already', 'Register', "]</v>
      </c>
      <c r="D12441" s="3">
        <v>1.0</v>
      </c>
    </row>
    <row r="12442" ht="15.75" customHeight="1">
      <c r="A12442" s="1">
        <v>13246.0</v>
      </c>
      <c r="B12442" s="3" t="s">
        <v>11870</v>
      </c>
      <c r="C12442" s="3" t="str">
        <f>IFERROR(__xludf.DUMMYFUNCTION("GOOGLETRANSLATE(B12442,""id"",""en"")"),"['Credit check']")</f>
        <v>['Credit check']</v>
      </c>
      <c r="D12442" s="3">
        <v>5.0</v>
      </c>
    </row>
    <row r="12443" ht="15.75" customHeight="1">
      <c r="A12443" s="1">
        <v>13247.0</v>
      </c>
      <c r="B12443" s="3" t="s">
        <v>11871</v>
      </c>
      <c r="C12443" s="3" t="str">
        <f>IFERROR(__xludf.DUMMYFUNCTION("GOOGLETRANSLATE(B12443,""id"",""en"")"),"['Overcome', 'Page', 'White', 'Open', 'Application', 'Telkomsel', 'Times',' Delete ',' Install ',' Reset ',' Tetep ',' Page ',' White ',' Love ',' Solution ',' ']")</f>
        <v>['Overcome', 'Page', 'White', 'Open', 'Application', 'Telkomsel', 'Times',' Delete ',' Install ',' Reset ',' Tetep ',' Page ',' White ',' Love ',' Solution ',' ']</v>
      </c>
      <c r="D12443" s="3">
        <v>3.0</v>
      </c>
    </row>
    <row r="12444" ht="15.75" customHeight="1">
      <c r="A12444" s="1">
        <v>13248.0</v>
      </c>
      <c r="B12444" s="3" t="s">
        <v>11872</v>
      </c>
      <c r="C12444" s="3" t="str">
        <f>IFERROR(__xludf.DUMMYFUNCTION("GOOGLETRANSLATE(B12444,""id"",""en"")"),"['Yesterday', 'Fill', 'Vouch', 'Data', 'Disruption', 'haduhhh']")</f>
        <v>['Yesterday', 'Fill', 'Vouch', 'Data', 'Disruption', 'haduhhh']</v>
      </c>
      <c r="D12444" s="3">
        <v>1.0</v>
      </c>
    </row>
    <row r="12445" ht="15.75" customHeight="1">
      <c r="A12445" s="1">
        <v>13249.0</v>
      </c>
      <c r="B12445" s="3" t="s">
        <v>11873</v>
      </c>
      <c r="C12445" s="3" t="str">
        <f>IFERROR(__xludf.DUMMYFUNCTION("GOOGLETRANSLATE(B12445,""id"",""en"")"),"['APL', 'Good', 'like', 'Bngt', 'Thanks', 'Telkomsel']")</f>
        <v>['APL', 'Good', 'like', 'Bngt', 'Thanks', 'Telkomsel']</v>
      </c>
      <c r="D12445" s="3">
        <v>5.0</v>
      </c>
    </row>
    <row r="12446" ht="15.75" customHeight="1">
      <c r="A12446" s="1">
        <v>13250.0</v>
      </c>
      <c r="B12446" s="3" t="s">
        <v>11874</v>
      </c>
      <c r="C12446" s="3" t="str">
        <f>IFERROR(__xludf.DUMMYFUNCTION("GOOGLETRANSLATE(B12446,""id"",""en"")"),"['It's easy', 'access', 'information', 'Telkomsel']")</f>
        <v>['It's easy', 'access', 'information', 'Telkomsel']</v>
      </c>
      <c r="D12446" s="3">
        <v>5.0</v>
      </c>
    </row>
    <row r="12447" ht="15.75" customHeight="1">
      <c r="A12447" s="1">
        <v>13251.0</v>
      </c>
      <c r="B12447" s="3" t="s">
        <v>11875</v>
      </c>
      <c r="C12447" s="3" t="str">
        <f>IFERROR(__xludf.DUMMYFUNCTION("GOOGLETRANSLATE(B12447,""id"",""en"")"),"['steady', 'all-round', 'bother', 'app', 'free', 'transaction']")</f>
        <v>['steady', 'all-round', 'bother', 'app', 'free', 'transaction']</v>
      </c>
      <c r="D12447" s="3">
        <v>5.0</v>
      </c>
    </row>
    <row r="12448" ht="15.75" customHeight="1">
      <c r="A12448" s="1">
        <v>13252.0</v>
      </c>
      <c r="B12448" s="3" t="s">
        <v>11876</v>
      </c>
      <c r="C12448" s="3" t="str">
        <f>IFERROR(__xludf.DUMMYFUNCTION("GOOGLETRANSLATE(B12448,""id"",""en"")"),"['Service', 'Customer', 'Network', 'Disconnect', 'Tingakatan']")</f>
        <v>['Service', 'Customer', 'Network', 'Disconnect', 'Tingakatan']</v>
      </c>
      <c r="D12448" s="3">
        <v>4.0</v>
      </c>
    </row>
    <row r="12449" ht="15.75" customHeight="1">
      <c r="A12449" s="1">
        <v>13253.0</v>
      </c>
      <c r="B12449" s="3" t="s">
        <v>11877</v>
      </c>
      <c r="C12449" s="3" t="str">
        <f>IFERROR(__xludf.DUMMYFUNCTION("GOOGLETRANSLATE(B12449,""id"",""en"")"),"['Class', 'Telkomsel', 'signal', 'ugly', 'really', ""]")</f>
        <v>['Class', 'Telkomsel', 'signal', 'ugly', 'really', "]</v>
      </c>
      <c r="D12449" s="3">
        <v>1.0</v>
      </c>
    </row>
    <row r="12450" ht="15.75" customHeight="1">
      <c r="A12450" s="1">
        <v>13255.0</v>
      </c>
      <c r="B12450" s="3" t="s">
        <v>11878</v>
      </c>
      <c r="C12450" s="3" t="str">
        <f>IFERROR(__xludf.DUMMYFUNCTION("GOOGLETRANSLATE(B12450,""id"",""en"")"),"['application', 'fraudsters',' description ',' login ',' sampek ',' get ',' quota ',' enter ',' automatically ',' enter ',' liein ',' application ',' Ngadain ',' promo ',' promo ',' cheater ']")</f>
        <v>['application', 'fraudsters',' description ',' login ',' sampek ',' get ',' quota ',' enter ',' automatically ',' enter ',' liein ',' application ',' Ngadain ',' promo ',' promo ',' cheater ']</v>
      </c>
      <c r="D12450" s="3">
        <v>1.0</v>
      </c>
    </row>
    <row r="12451" ht="15.75" customHeight="1">
      <c r="A12451" s="1">
        <v>13256.0</v>
      </c>
      <c r="B12451" s="3" t="s">
        <v>11879</v>
      </c>
      <c r="C12451" s="3" t="str">
        <f>IFERROR(__xludf.DUMMYFUNCTION("GOOGLETRANSLATE(B12451,""id"",""en"")"),"['Signal', 'Internet', 'Loyo']")</f>
        <v>['Signal', 'Internet', 'Loyo']</v>
      </c>
      <c r="D12451" s="3">
        <v>4.0</v>
      </c>
    </row>
    <row r="12452" ht="15.75" customHeight="1">
      <c r="A12452" s="1">
        <v>13257.0</v>
      </c>
      <c r="B12452" s="3" t="s">
        <v>11880</v>
      </c>
      <c r="C12452" s="3" t="str">
        <f>IFERROR(__xludf.DUMMYFUNCTION("GOOGLETRANSLATE(B12452,""id"",""en"")"),"['Good', 'like', '']")</f>
        <v>['Good', 'like', '']</v>
      </c>
      <c r="D12452" s="3">
        <v>5.0</v>
      </c>
    </row>
    <row r="12453" ht="15.75" customHeight="1">
      <c r="A12453" s="1">
        <v>13258.0</v>
      </c>
      <c r="B12453" s="3" t="s">
        <v>11881</v>
      </c>
      <c r="C12453" s="3" t="str">
        <f>IFERROR(__xludf.DUMMYFUNCTION("GOOGLETRANSLATE(B12453,""id"",""en"")"),"['Application', 'Bukak', 'yahhh', 'appears', 'screen', 'white', 'severe', 'Telokmsel']")</f>
        <v>['Application', 'Bukak', 'yahhh', 'appears', 'screen', 'white', 'severe', 'Telokmsel']</v>
      </c>
      <c r="D12453" s="3">
        <v>1.0</v>
      </c>
    </row>
    <row r="12454" ht="15.75" customHeight="1">
      <c r="A12454" s="1">
        <v>13259.0</v>
      </c>
      <c r="B12454" s="3" t="s">
        <v>11882</v>
      </c>
      <c r="C12454" s="3" t="str">
        <f>IFERROR(__xludf.DUMMYFUNCTION("GOOGLETRANSLATE(B12454,""id"",""en"")"),"['Please', 'Change', 'Policy', 'Use', 'Application', 'Customer', 'Given', 'Announcement', 'Wait', 'Customer', 'Grumble', 'APK', ' opened ',' given ',' explanation ',' difficult ',' announcement ',' medsos', 'min', 'skrg']")</f>
        <v>['Please', 'Change', 'Policy', 'Use', 'Application', 'Customer', 'Given', 'Announcement', 'Wait', 'Customer', 'Grumble', 'APK', ' opened ',' given ',' explanation ',' difficult ',' announcement ',' medsos', 'min', 'skrg']</v>
      </c>
      <c r="D12454" s="3">
        <v>1.0</v>
      </c>
    </row>
    <row r="12455" ht="15.75" customHeight="1">
      <c r="A12455" s="1">
        <v>13260.0</v>
      </c>
      <c r="B12455" s="3" t="s">
        <v>11883</v>
      </c>
      <c r="C12455" s="3" t="str">
        <f>IFERROR(__xludf.DUMMYFUNCTION("GOOGLETRANSLATE(B12455,""id"",""en"")"),"['Awaited', 'Promo', 'Sis']")</f>
        <v>['Awaited', 'Promo', 'Sis']</v>
      </c>
      <c r="D12455" s="3">
        <v>5.0</v>
      </c>
    </row>
    <row r="12456" ht="15.75" customHeight="1">
      <c r="A12456" s="1">
        <v>13261.0</v>
      </c>
      <c r="B12456" s="3" t="s">
        <v>11884</v>
      </c>
      <c r="C12456" s="3" t="str">
        <f>IFERROR(__xludf.DUMMYFUNCTION("GOOGLETRANSLATE(B12456,""id"",""en"")"),"['parahhh', 'package', 'expensive', 'signal', 'quality', '']")</f>
        <v>['parahhh', 'package', 'expensive', 'signal', 'quality', '']</v>
      </c>
      <c r="D12456" s="3">
        <v>2.0</v>
      </c>
    </row>
    <row r="12457" ht="15.75" customHeight="1">
      <c r="A12457" s="1">
        <v>13262.0</v>
      </c>
      <c r="B12457" s="3" t="s">
        <v>11885</v>
      </c>
      <c r="C12457" s="3" t="str">
        <f>IFERROR(__xludf.DUMMYFUNCTION("GOOGLETRANSLATE(B12457,""id"",""en"")"),"['TELKOM', 'Kyk', 'Gini', 'Anjiiir', 'quota', 'weekly', 'GB', 'Pakek', 'Keburu', 'Out', 'Loss', 'Harmed']")</f>
        <v>['TELKOM', 'Kyk', 'Gini', 'Anjiiir', 'quota', 'weekly', 'GB', 'Pakek', 'Keburu', 'Out', 'Loss', 'Harmed']</v>
      </c>
      <c r="D12457" s="3">
        <v>1.0</v>
      </c>
    </row>
    <row r="12458" ht="15.75" customHeight="1">
      <c r="A12458" s="1">
        <v>13263.0</v>
      </c>
      <c r="B12458" s="3" t="s">
        <v>11886</v>
      </c>
      <c r="C12458" s="3" t="str">
        <f>IFERROR(__xludf.DUMMYFUNCTION("GOOGLETRANSLATE(B12458,""id"",""en"")"),"['knp', 'screen', 'white', 'open', 'repaired', 'tsel']")</f>
        <v>['knp', 'screen', 'white', 'open', 'repaired', 'tsel']</v>
      </c>
      <c r="D12458" s="3">
        <v>1.0</v>
      </c>
    </row>
    <row r="12459" ht="15.75" customHeight="1">
      <c r="A12459" s="1">
        <v>13264.0</v>
      </c>
      <c r="B12459" s="3" t="s">
        <v>11887</v>
      </c>
      <c r="C12459" s="3" t="str">
        <f>IFERROR(__xludf.DUMMYFUNCTION("GOOGLETRANSLATE(B12459,""id"",""en"")"),"['Sebelom', 'Mintamaaf', 'Mr.', 'Application', 'KOQ', 'Like', 'Bias',' Miggu ',' Yesterday ',' Hbs', 'updet', 'Open', ' Boss', 'Install', 'Maw', 'Open', 'Disappointed', 'Application', 'Ksh', 'Star', 'Regent', '']")</f>
        <v>['Sebelom', 'Mintamaaf', 'Mr.', 'Application', 'KOQ', 'Like', 'Bias',' Miggu ',' Yesterday ',' Hbs', 'updet', 'Open', ' Boss', 'Install', 'Maw', 'Open', 'Disappointed', 'Application', 'Ksh', 'Star', 'Regent', '']</v>
      </c>
      <c r="D12459" s="3">
        <v>1.0</v>
      </c>
    </row>
    <row r="12460" ht="15.75" customHeight="1">
      <c r="A12460" s="1">
        <v>13265.0</v>
      </c>
      <c r="B12460" s="3" t="s">
        <v>11888</v>
      </c>
      <c r="C12460" s="3" t="str">
        <f>IFERROR(__xludf.DUMMYFUNCTION("GOOGLETRANSLATE(B12460,""id"",""en"")"),"['Gabisa', 'use']")</f>
        <v>['Gabisa', 'use']</v>
      </c>
      <c r="D12460" s="3">
        <v>1.0</v>
      </c>
    </row>
    <row r="12461" ht="15.75" customHeight="1">
      <c r="A12461" s="1">
        <v>13267.0</v>
      </c>
      <c r="B12461" s="3" t="s">
        <v>643</v>
      </c>
      <c r="C12461" s="3" t="str">
        <f>IFERROR(__xludf.DUMMYFUNCTION("GOOGLETRANSLATE(B12461,""id"",""en"")"),"['Good', 'fast']")</f>
        <v>['Good', 'fast']</v>
      </c>
      <c r="D12461" s="3">
        <v>5.0</v>
      </c>
    </row>
    <row r="12462" ht="15.75" customHeight="1">
      <c r="A12462" s="1">
        <v>13268.0</v>
      </c>
      <c r="B12462" s="3" t="s">
        <v>11889</v>
      </c>
      <c r="C12462" s="3" t="str">
        <f>IFERROR(__xludf.DUMMYFUNCTION("GOOGLETRANSLATE(B12462,""id"",""en"")"),"['Easy', 'Where']")</f>
        <v>['Easy', 'Where']</v>
      </c>
      <c r="D12462" s="3">
        <v>5.0</v>
      </c>
    </row>
    <row r="12463" ht="15.75" customHeight="1">
      <c r="A12463" s="1">
        <v>13269.0</v>
      </c>
      <c r="B12463" s="3" t="s">
        <v>11890</v>
      </c>
      <c r="C12463" s="3" t="str">
        <f>IFERROR(__xludf.DUMMYFUNCTION("GOOGLETRANSLATE(B12463,""id"",""en"")"),"['buy', 'package', 'internet', 'transaction', 'failed', 'pulse']")</f>
        <v>['buy', 'package', 'internet', 'transaction', 'failed', 'pulse']</v>
      </c>
      <c r="D12463" s="3">
        <v>1.0</v>
      </c>
    </row>
    <row r="12464" ht="15.75" customHeight="1">
      <c r="A12464" s="1">
        <v>13270.0</v>
      </c>
      <c r="B12464" s="3" t="s">
        <v>11891</v>
      </c>
      <c r="C12464" s="3" t="str">
        <f>IFERROR(__xludf.DUMMYFUNCTION("GOOGLETRANSLATE(B12464,""id"",""en"")"),"['Disappointed', 'KNPA', 'Telkomsel', 'opened', 'Dihp', 'Select', 'Customer', '']")</f>
        <v>['Disappointed', 'KNPA', 'Telkomsel', 'opened', 'Dihp', 'Select', 'Customer', '']</v>
      </c>
      <c r="D12464" s="3">
        <v>1.0</v>
      </c>
    </row>
    <row r="12465" ht="15.75" customHeight="1">
      <c r="A12465" s="1">
        <v>13271.0</v>
      </c>
      <c r="B12465" s="3" t="s">
        <v>11892</v>
      </c>
      <c r="C12465" s="3" t="str">
        <f>IFERROR(__xludf.DUMMYFUNCTION("GOOGLETRANSLATE(B12465,""id"",""en"")"),"['Telkomsel', 'Benerin', 'signal', 'already', 'signal', 'ugly', 'get', 'UDH', 'buy', 'quota', 'expensive', 'coakes']")</f>
        <v>['Telkomsel', 'Benerin', 'signal', 'already', 'signal', 'ugly', 'get', 'UDH', 'buy', 'quota', 'expensive', 'coakes']</v>
      </c>
      <c r="D12465" s="3">
        <v>1.0</v>
      </c>
    </row>
    <row r="12466" ht="15.75" customHeight="1">
      <c r="A12466" s="1">
        <v>13272.0</v>
      </c>
      <c r="B12466" s="3" t="s">
        <v>11893</v>
      </c>
      <c r="C12466" s="3" t="str">
        <f>IFERROR(__xludf.DUMMYFUNCTION("GOOGLETRANSLATE(B12466,""id"",""en"")"),"['just', 'win', 'expensive', 'doang', 'search', 'luck', 'doang', 'auto', 'move', 'package', 'data', 'card', ' signal ',' yesterday ',' afternoon ',' des', 'des',' lost ',' search ',' livelihan ',' discharge ',' disadvantage ',' orng ',' kid ',' search ' ,"&amp;" 'genius', 'BUMN', 'Suuiiippp', '']")</f>
        <v>['just', 'win', 'expensive', 'doang', 'search', 'luck', 'doang', 'auto', 'move', 'package', 'data', 'card', ' signal ',' yesterday ',' afternoon ',' des', 'des',' lost ',' search ',' livelihan ',' discharge ',' disadvantage ',' orng ',' kid ',' search ' , 'genius', 'BUMN', 'Suuiiippp', '']</v>
      </c>
      <c r="D12466" s="3">
        <v>1.0</v>
      </c>
    </row>
    <row r="12467" ht="15.75" customHeight="1">
      <c r="A12467" s="1">
        <v>13273.0</v>
      </c>
      <c r="B12467" s="3" t="s">
        <v>11894</v>
      </c>
      <c r="C12467" s="3" t="str">
        <f>IFERROR(__xludf.DUMMYFUNCTION("GOOGLETRANSLATE(B12467,""id"",""en"")"),"['Mantep', 'fast']")</f>
        <v>['Mantep', 'fast']</v>
      </c>
      <c r="D12467" s="3">
        <v>5.0</v>
      </c>
    </row>
    <row r="12468" ht="15.75" customHeight="1">
      <c r="A12468" s="1">
        <v>13274.0</v>
      </c>
      <c r="B12468" s="3" t="s">
        <v>11895</v>
      </c>
      <c r="C12468" s="3" t="str">
        <f>IFERROR(__xludf.DUMMYFUNCTION("GOOGLETRANSLATE(B12468,""id"",""en"")"),"['Ngellag', 'promo', 'signal', 'ugly', 'SEINDONE', 'price', 'expensive', 'SEAINDONE', 'Raying', 'Customer', 'kau']")</f>
        <v>['Ngellag', 'promo', 'signal', 'ugly', 'SEINDONE', 'price', 'expensive', 'SEAINDONE', 'Raying', 'Customer', 'kau']</v>
      </c>
      <c r="D12468" s="3">
        <v>1.0</v>
      </c>
    </row>
    <row r="12469" ht="15.75" customHeight="1">
      <c r="A12469" s="1">
        <v>13276.0</v>
      </c>
      <c r="B12469" s="3" t="s">
        <v>11896</v>
      </c>
      <c r="C12469" s="3" t="str">
        <f>IFERROR(__xludf.DUMMYFUNCTION("GOOGLETRANSLATE(B12469,""id"",""en"")"),"['Telkomsel', 'Operator', 'Best', 'Indonesia', 'Honey', 'Thousand', 'Times',' Honey ',' Mobile ',' Open ',' Application ',' Telkomsel ',' TELKOMSEL ',' Siding ',' Folk ',' Indonesia ',' Telkomsel ',' Application ',' Operators', 'Easy', 'Opened', 'Telkomse"&amp;"l', 'Concerned', 'Business',' Just ' , 'Suggestions', 'Minta', 'Telkomsel', 'Lite', 'Get', 'Play', 'Store', 'Please', 'Great', 'Request', ""]")</f>
        <v>['Telkomsel', 'Operator', 'Best', 'Indonesia', 'Honey', 'Thousand', 'Times',' Honey ',' Mobile ',' Open ',' Application ',' Telkomsel ',' TELKOMSEL ',' Siding ',' Folk ',' Indonesia ',' Telkomsel ',' Application ',' Operators', 'Easy', 'Opened', 'Telkomsel', 'Concerned', 'Business',' Just ' , 'Suggestions', 'Minta', 'Telkomsel', 'Lite', 'Get', 'Play', 'Store', 'Please', 'Great', 'Request', "]</v>
      </c>
      <c r="D12469" s="3">
        <v>5.0</v>
      </c>
    </row>
    <row r="12470" ht="15.75" customHeight="1">
      <c r="A12470" s="1">
        <v>13277.0</v>
      </c>
      <c r="B12470" s="3" t="s">
        <v>11897</v>
      </c>
      <c r="C12470" s="3" t="str">
        <f>IFERROR(__xludf.DUMMYFUNCTION("GOOGLETRANSLATE(B12470,""id"",""en"")"),"['applicationby', 'good', 'help']")</f>
        <v>['applicationby', 'good', 'help']</v>
      </c>
      <c r="D12470" s="3">
        <v>5.0</v>
      </c>
    </row>
    <row r="12471" ht="15.75" customHeight="1">
      <c r="A12471" s="1">
        <v>13278.0</v>
      </c>
      <c r="B12471" s="3" t="s">
        <v>11898</v>
      </c>
      <c r="C12471" s="3" t="str">
        <f>IFERROR(__xludf.DUMMYFUNCTION("GOOGLETRANSLATE(B12471,""id"",""en"")"),"['Disappointed', 'buy', 'pulse', 'right', 'check', 'pulses',' reduced ',' call ',' anything ',' pulse ',' reduced ',' Please ',' His explanation ',' ']")</f>
        <v>['Disappointed', 'buy', 'pulse', 'right', 'check', 'pulses',' reduced ',' call ',' anything ',' pulse ',' reduced ',' Please ',' His explanation ',' ']</v>
      </c>
      <c r="D12471" s="3">
        <v>1.0</v>
      </c>
    </row>
    <row r="12472" ht="15.75" customHeight="1">
      <c r="A12472" s="1">
        <v>13279.0</v>
      </c>
      <c r="B12472" s="3" t="s">
        <v>11899</v>
      </c>
      <c r="C12472" s="3" t="str">
        <f>IFERROR(__xludf.DUMMYFUNCTION("GOOGLETRANSLATE(B12472,""id"",""en"")"),"['Install', 'open', 'knapa', ""]")</f>
        <v>['Install', 'open', 'knapa', "]</v>
      </c>
      <c r="D12472" s="3">
        <v>1.0</v>
      </c>
    </row>
    <row r="12473" ht="15.75" customHeight="1">
      <c r="A12473" s="1">
        <v>13280.0</v>
      </c>
      <c r="B12473" s="3" t="s">
        <v>11900</v>
      </c>
      <c r="C12473" s="3" t="str">
        <f>IFERROR(__xludf.DUMMYFUNCTION("GOOGLETRANSLATE(B12473,""id"",""en"")"),"['The application', 'opened', 'detrimental', 'thank', 'love']")</f>
        <v>['The application', 'opened', 'detrimental', 'thank', 'love']</v>
      </c>
      <c r="D12473" s="3">
        <v>1.0</v>
      </c>
    </row>
    <row r="12474" ht="15.75" customHeight="1">
      <c r="A12474" s="1">
        <v>13281.0</v>
      </c>
      <c r="B12474" s="3" t="s">
        <v>4546</v>
      </c>
      <c r="C12474" s="3" t="str">
        <f>IFERROR(__xludf.DUMMYFUNCTION("GOOGLETRANSLATE(B12474,""id"",""en"")"),"['satisfied']")</f>
        <v>['satisfied']</v>
      </c>
      <c r="D12474" s="3">
        <v>5.0</v>
      </c>
    </row>
    <row r="12475" ht="15.75" customHeight="1">
      <c r="A12475" s="1">
        <v>13282.0</v>
      </c>
      <c r="B12475" s="3" t="s">
        <v>11901</v>
      </c>
      <c r="C12475" s="3" t="str">
        <f>IFERROR(__xludf.DUMMYFUNCTION("GOOGLETRANSLATE(B12475,""id"",""en"")"),"['function', 'really', 'thanks']")</f>
        <v>['function', 'really', 'thanks']</v>
      </c>
      <c r="D12475" s="3">
        <v>4.0</v>
      </c>
    </row>
    <row r="12476" ht="15.75" customHeight="1">
      <c r="A12476" s="1">
        <v>13283.0</v>
      </c>
      <c r="B12476" s="3" t="s">
        <v>11902</v>
      </c>
      <c r="C12476" s="3" t="str">
        <f>IFERROR(__xludf.DUMMYFUNCTION("GOOGLETRANSLATE(B12476,""id"",""en"")"),"['application', 'blank', 'doang', 'boro', 'splash', 'screen', 'ndak', '']")</f>
        <v>['application', 'blank', 'doang', 'boro', 'splash', 'screen', 'ndak', '']</v>
      </c>
      <c r="D12476" s="3">
        <v>1.0</v>
      </c>
    </row>
    <row r="12477" ht="15.75" customHeight="1">
      <c r="A12477" s="1">
        <v>13284.0</v>
      </c>
      <c r="B12477" s="3" t="s">
        <v>11903</v>
      </c>
      <c r="C12477" s="3" t="str">
        <f>IFERROR(__xludf.DUMMYFUNCTION("GOOGLETRANSLATE(B12477,""id"",""en"")"),"['Severe', 'Install', 'kagak', 'open', 'app', 'how', 'solution', '']")</f>
        <v>['Severe', 'Install', 'kagak', 'open', 'app', 'how', 'solution', '']</v>
      </c>
      <c r="D12477" s="3">
        <v>1.0</v>
      </c>
    </row>
    <row r="12478" ht="15.75" customHeight="1">
      <c r="A12478" s="1">
        <v>13285.0</v>
      </c>
      <c r="B12478" s="3" t="s">
        <v>11904</v>
      </c>
      <c r="C12478" s="3" t="str">
        <f>IFERROR(__xludf.DUMMYFUNCTION("GOOGLETRANSLATE(B12478,""id"",""en"")"),"['should', 'open', 'mode', 'data', 'no', 'pnya', 'data', 'open', 'buy', 'complicated', 'open', 'pnya', ' data']")</f>
        <v>['should', 'open', 'mode', 'data', 'no', 'pnya', 'data', 'open', 'buy', 'complicated', 'open', 'pnya', ' data']</v>
      </c>
      <c r="D12478" s="3">
        <v>3.0</v>
      </c>
    </row>
    <row r="12479" ht="15.75" customHeight="1">
      <c r="A12479" s="1">
        <v>13286.0</v>
      </c>
      <c r="B12479" s="3" t="s">
        <v>11905</v>
      </c>
      <c r="C12479" s="3" t="str">
        <f>IFERROR(__xludf.DUMMYFUNCTION("GOOGLETRANSLATE(B12479,""id"",""en"")"),"['update', 'open', 'poor', 'oath', 'times',' nyesel ',' nge ',' updet ',' application ',' gabisa ',' check ',' quota ',' application ',' poor ',' poor ',' poor ',' expensive ',' doang ',' ']")</f>
        <v>['update', 'open', 'poor', 'oath', 'times',' nyesel ',' nge ',' updet ',' application ',' gabisa ',' check ',' quota ',' application ',' poor ',' poor ',' poor ',' expensive ',' doang ',' ']</v>
      </c>
      <c r="D12479" s="3">
        <v>1.0</v>
      </c>
    </row>
    <row r="12480" ht="15.75" customHeight="1">
      <c r="A12480" s="1">
        <v>13287.0</v>
      </c>
      <c r="B12480" s="3" t="s">
        <v>11906</v>
      </c>
      <c r="C12480" s="3" t="str">
        <f>IFERROR(__xludf.DUMMYFUNCTION("GOOGLETRANSLATE(B12480,""id"",""en"")"),"['Min', 'please', 'buy', 'quota', 'gamemax', 'pub', 'right', 'skrng', 'check', 'please', 'fix']")</f>
        <v>['Min', 'please', 'buy', 'quota', 'gamemax', 'pub', 'right', 'skrng', 'check', 'please', 'fix']</v>
      </c>
      <c r="D12480" s="3">
        <v>1.0</v>
      </c>
    </row>
    <row r="12481" ht="15.75" customHeight="1">
      <c r="A12481" s="1">
        <v>13288.0</v>
      </c>
      <c r="B12481" s="3" t="s">
        <v>11907</v>
      </c>
      <c r="C12481" s="3" t="str">
        <f>IFERROR(__xludf.DUMMYFUNCTION("GOOGLETRANSLATE(B12481,""id"",""en"")"),"['Knpa', 'UDH', 'Download', 'LGI', 'blank', 'GTU', 'please', 'prbaiki', 'bug', 'Telkomsel', ""]")</f>
        <v>['Knpa', 'UDH', 'Download', 'LGI', 'blank', 'GTU', 'please', 'prbaiki', 'bug', 'Telkomsel', "]</v>
      </c>
      <c r="D12481" s="3">
        <v>3.0</v>
      </c>
    </row>
    <row r="12482" ht="15.75" customHeight="1">
      <c r="A12482" s="1">
        <v>13289.0</v>
      </c>
      <c r="B12482" s="3" t="s">
        <v>11908</v>
      </c>
      <c r="C12482" s="3" t="str">
        <f>IFERROR(__xludf.DUMMYFUNCTION("GOOGLETRANSLATE(B12482,""id"",""en"")"),"['Lawak', 'gabisa', 'access', 'already', 'repeated', 'times', 'Installulang', 'tetep', 'gabisa']")</f>
        <v>['Lawak', 'gabisa', 'access', 'already', 'repeated', 'times', 'Installulang', 'tetep', 'gabisa']</v>
      </c>
      <c r="D12482" s="3">
        <v>1.0</v>
      </c>
    </row>
    <row r="12483" ht="15.75" customHeight="1">
      <c r="A12483" s="1">
        <v>13290.0</v>
      </c>
      <c r="B12483" s="3" t="s">
        <v>11909</v>
      </c>
      <c r="C12483" s="3" t="str">
        <f>IFERROR(__xludf.DUMMYFUNCTION("GOOGLETRANSLATE(B12483,""id"",""en"")"),"['Please', 'Sorry', 'Telkomsel', 'Open', 'updet', 'Person', 'the latest', 'tdak', 'open', 'persist', 'open', 'disappointed', ' Please ',' repaired ',' ']")</f>
        <v>['Please', 'Sorry', 'Telkomsel', 'Open', 'updet', 'Person', 'the latest', 'tdak', 'open', 'persist', 'open', 'disappointed', ' Please ',' repaired ',' ']</v>
      </c>
      <c r="D12483" s="3">
        <v>3.0</v>
      </c>
    </row>
    <row r="12484" ht="15.75" customHeight="1">
      <c r="A12484" s="1">
        <v>13291.0</v>
      </c>
      <c r="B12484" s="3" t="s">
        <v>11910</v>
      </c>
      <c r="C12484" s="3" t="str">
        <f>IFERROR(__xludf.DUMMYFUNCTION("GOOGLETRANSLATE(B12484,""id"",""en"")"),"['', 'Telkomsel', 'help', 'information']")</f>
        <v>['', 'Telkomsel', 'help', 'information']</v>
      </c>
      <c r="D12484" s="3">
        <v>5.0</v>
      </c>
    </row>
    <row r="12485" ht="15.75" customHeight="1">
      <c r="A12485" s="1">
        <v>13292.0</v>
      </c>
      <c r="B12485" s="3" t="s">
        <v>11911</v>
      </c>
      <c r="C12485" s="3" t="str">
        <f>IFERROR(__xludf.DUMMYFUNCTION("GOOGLETRANSLATE(B12485,""id"",""en"")"),"['Login', 'Ribet', 'slow', 'Log', 'Out', 'Mulu']")</f>
        <v>['Login', 'Ribet', 'slow', 'Log', 'Out', 'Mulu']</v>
      </c>
      <c r="D12485" s="3">
        <v>1.0</v>
      </c>
    </row>
    <row r="12486" ht="15.75" customHeight="1">
      <c r="A12486" s="1">
        <v>13293.0</v>
      </c>
      <c r="B12486" s="3" t="s">
        <v>11912</v>
      </c>
      <c r="C12486" s="3" t="str">
        <f>IFERROR(__xludf.DUMMYFUNCTION("GOOGLETRANSLATE(B12486,""id"",""en"")"),"['right', 'update', 'app', 'entry', 'white', 'doang', 'screen', 'strange']")</f>
        <v>['right', 'update', 'app', 'entry', 'white', 'doang', 'screen', 'strange']</v>
      </c>
      <c r="D12486" s="3">
        <v>1.0</v>
      </c>
    </row>
    <row r="12487" ht="15.75" customHeight="1">
      <c r="A12487" s="1">
        <v>13295.0</v>
      </c>
      <c r="B12487" s="3" t="s">
        <v>11913</v>
      </c>
      <c r="C12487" s="3" t="str">
        <f>IFERROR(__xludf.DUMMYFUNCTION("GOOGLETRANSLATE(B12487,""id"",""en"")"),"['knapa', 'network', 'tekomsel', 'sometimes', 'change', 'rain', 'detrimental', 'barmain', 'game', 'disappointed', '']")</f>
        <v>['knapa', 'network', 'tekomsel', 'sometimes', 'change', 'rain', 'detrimental', 'barmain', 'game', 'disappointed', '']</v>
      </c>
      <c r="D12487" s="3">
        <v>1.0</v>
      </c>
    </row>
    <row r="12488" ht="15.75" customHeight="1">
      <c r="A12488" s="1">
        <v>13296.0</v>
      </c>
      <c r="B12488" s="3" t="s">
        <v>11914</v>
      </c>
      <c r="C12488" s="3" t="str">
        <f>IFERROR(__xludf.DUMMYFUNCTION("GOOGLETRANSLATE(B12488,""id"",""en"")"),"['Application', 'opened', 'appears',' screen ',' white ',' many times', 'times',' restart ',' disappointed ',' service ',' bad ',' use ',' cards', 'disappointing', '']")</f>
        <v>['Application', 'opened', 'appears',' screen ',' white ',' many times', 'times',' restart ',' disappointed ',' service ',' bad ',' use ',' cards', 'disappointing', '']</v>
      </c>
      <c r="D12488" s="3">
        <v>1.0</v>
      </c>
    </row>
    <row r="12489" ht="15.75" customHeight="1">
      <c r="A12489" s="1">
        <v>13297.0</v>
      </c>
      <c r="B12489" s="3" t="s">
        <v>11915</v>
      </c>
      <c r="C12489" s="3" t="str">
        <f>IFERROR(__xludf.DUMMYFUNCTION("GOOGLETRANSLATE(B12489,""id"",""en"")"),"['Trima', 'Love', 'Telkomsel', 'Easy', 'Ribet', '']")</f>
        <v>['Trima', 'Love', 'Telkomsel', 'Easy', 'Ribet', '']</v>
      </c>
      <c r="D12489" s="3">
        <v>5.0</v>
      </c>
    </row>
    <row r="12490" ht="15.75" customHeight="1">
      <c r="A12490" s="1">
        <v>13298.0</v>
      </c>
      <c r="B12490" s="3" t="s">
        <v>859</v>
      </c>
      <c r="C12490" s="3" t="str">
        <f>IFERROR(__xludf.DUMMYFUNCTION("GOOGLETRANSLATE(B12490,""id"",""en"")"),"['help', '']")</f>
        <v>['help', '']</v>
      </c>
      <c r="D12490" s="3">
        <v>5.0</v>
      </c>
    </row>
    <row r="12491" ht="15.75" customHeight="1">
      <c r="A12491" s="1">
        <v>13299.0</v>
      </c>
      <c r="B12491" s="3" t="s">
        <v>11916</v>
      </c>
      <c r="C12491" s="3" t="str">
        <f>IFERROR(__xludf.DUMMYFUNCTION("GOOGLETRANSLATE(B12491,""id"",""en"")"),"['Application', 'Open', 'UDH', 'Delete', 'Download', 'reset', 'BSA', 'Open', 'Open', 'TPI', 'SNDRI', 'Minute', ' SNDRI ',' Application ',' UDH ',' Kyk ',' Gini ',' Kirain ',' Update ',' Ato ',' Improvement ',' High School ',' BSA ', ""]")</f>
        <v>['Application', 'Open', 'UDH', 'Delete', 'Download', 'reset', 'BSA', 'Open', 'Open', 'TPI', 'SNDRI', 'Minute', ' SNDRI ',' Application ',' UDH ',' Kyk ',' Gini ',' Kirain ',' Update ',' Ato ',' Improvement ',' High School ',' BSA ', "]</v>
      </c>
      <c r="D12491" s="3">
        <v>1.0</v>
      </c>
    </row>
    <row r="12492" ht="15.75" customHeight="1">
      <c r="A12492" s="1">
        <v>13300.0</v>
      </c>
      <c r="B12492" s="3" t="s">
        <v>11917</v>
      </c>
      <c r="C12492" s="3" t="str">
        <f>IFERROR(__xludf.DUMMYFUNCTION("GOOGLETRANSLATE(B12492,""id"",""en"")"),"['White', 'Screen', 'right', 'Read', 'Review', 'Update', 'UDH', 'Clean', 'Memory', 'Plus',' Uninstall ',' Download ',' back ',' installation ',' couple ']")</f>
        <v>['White', 'Screen', 'right', 'Read', 'Review', 'Update', 'UDH', 'Clean', 'Memory', 'Plus',' Uninstall ',' Download ',' back ',' installation ',' couple ']</v>
      </c>
      <c r="D12492" s="3">
        <v>1.0</v>
      </c>
    </row>
    <row r="12493" ht="15.75" customHeight="1">
      <c r="A12493" s="1">
        <v>13301.0</v>
      </c>
      <c r="B12493" s="3" t="s">
        <v>11918</v>
      </c>
      <c r="C12493" s="3" t="str">
        <f>IFERROR(__xludf.DUMMYFUNCTION("GOOGLETRANSLATE(B12493,""id"",""en"")"),"['Mantab', 'complement', 'direct', 'respond', 'clock', 'signal', 'normal', 'mantab']")</f>
        <v>['Mantab', 'complement', 'direct', 'respond', 'clock', 'signal', 'normal', 'mantab']</v>
      </c>
      <c r="D12493" s="3">
        <v>5.0</v>
      </c>
    </row>
    <row r="12494" ht="15.75" customHeight="1">
      <c r="A12494" s="1">
        <v>13302.0</v>
      </c>
      <c r="B12494" s="3" t="s">
        <v>11919</v>
      </c>
      <c r="C12494" s="3" t="str">
        <f>IFERROR(__xludf.DUMMYFUNCTION("GOOGLETRANSLATE(B12494,""id"",""en"")"),"['spirit', 'consumer']")</f>
        <v>['spirit', 'consumer']</v>
      </c>
      <c r="D12494" s="3">
        <v>4.0</v>
      </c>
    </row>
    <row r="12495" ht="15.75" customHeight="1">
      <c r="A12495" s="1">
        <v>13303.0</v>
      </c>
      <c r="B12495" s="3" t="s">
        <v>11920</v>
      </c>
      <c r="C12495" s="3" t="str">
        <f>IFERROR(__xludf.DUMMYFUNCTION("GOOGLETRANSLATE(B12495,""id"",""en"")"),"['Conference']")</f>
        <v>['Conference']</v>
      </c>
      <c r="D12495" s="3">
        <v>5.0</v>
      </c>
    </row>
    <row r="12496" ht="15.75" customHeight="1">
      <c r="A12496" s="1">
        <v>13305.0</v>
      </c>
      <c r="B12496" s="3" t="s">
        <v>11921</v>
      </c>
      <c r="C12496" s="3" t="str">
        <f>IFERROR(__xludf.DUMMYFUNCTION("GOOGLETRANSLATE(B12496,""id"",""en"")"),"['expensive', 'delicious']")</f>
        <v>['expensive', 'delicious']</v>
      </c>
      <c r="D12496" s="3">
        <v>5.0</v>
      </c>
    </row>
    <row r="12497" ht="15.75" customHeight="1">
      <c r="A12497" s="1">
        <v>13306.0</v>
      </c>
      <c r="B12497" s="3" t="s">
        <v>11922</v>
      </c>
      <c r="C12497" s="3" t="str">
        <f>IFERROR(__xludf.DUMMYFUNCTION("GOOGLETRANSLATE(B12497,""id"",""en"")"),"['Destroyed', 'Severe', 'White', 'Screen', 'Doank', 'appears',' Lost ',' smartfren ',' yaaaa ',' red ',' plate ',' red ',' Amburdul ',' regime ']")</f>
        <v>['Destroyed', 'Severe', 'White', 'Screen', 'Doank', 'appears',' Lost ',' smartfren ',' yaaaa ',' red ',' plate ',' red ',' Amburdul ',' regime ']</v>
      </c>
      <c r="D12497" s="3">
        <v>1.0</v>
      </c>
    </row>
    <row r="12498" ht="15.75" customHeight="1">
      <c r="A12498" s="1">
        <v>13307.0</v>
      </c>
      <c r="B12498" s="3" t="s">
        <v>11923</v>
      </c>
      <c r="C12498" s="3" t="str">
        <f>IFERROR(__xludf.DUMMYFUNCTION("GOOGLETRANSLATE(B12498,""id"",""en"")"),"['Cman', 'appears', 'White', 'Screen']")</f>
        <v>['Cman', 'appears', 'White', 'Screen']</v>
      </c>
      <c r="D12498" s="3">
        <v>1.0</v>
      </c>
    </row>
    <row r="12499" ht="15.75" customHeight="1">
      <c r="A12499" s="1">
        <v>13308.0</v>
      </c>
      <c r="B12499" s="3" t="s">
        <v>11924</v>
      </c>
      <c r="C12499" s="3" t="str">
        <f>IFERROR(__xludf.DUMMYFUNCTION("GOOGLETRANSLATE(B12499,""id"",""en"")"),"['The application', 'good', 'useful', 'customers', 'Telkomsel', 'responsive', 'heavy', 'run', 'light', ""]")</f>
        <v>['The application', 'good', 'useful', 'customers', 'Telkomsel', 'responsive', 'heavy', 'run', 'light', "]</v>
      </c>
      <c r="D12499" s="3">
        <v>5.0</v>
      </c>
    </row>
    <row r="12500" ht="15.75" customHeight="1">
      <c r="A12500" s="1">
        <v>13310.0</v>
      </c>
      <c r="B12500" s="3" t="s">
        <v>11925</v>
      </c>
      <c r="C12500" s="3" t="str">
        <f>IFERROR(__xludf.DUMMYFUNCTION("GOOGLETRANSLATE(B12500,""id"",""en"")"),"['Disappointed', 'Telkom', 'Males',' Come on ',' Fill ',' Pulse ',' Lansung ',' Out ',' Remnant ',' Silver ',' Return ',' Credit ',' Mea ',' Search ',' Money ',' tired ', ""]")</f>
        <v>['Disappointed', 'Telkom', 'Males',' Come on ',' Fill ',' Pulse ',' Lansung ',' Out ',' Remnant ',' Silver ',' Return ',' Credit ',' Mea ',' Search ',' Money ',' tired ', "]</v>
      </c>
      <c r="D12500" s="3">
        <v>1.0</v>
      </c>
    </row>
    <row r="12501" ht="15.75" customHeight="1">
      <c r="A12501" s="1">
        <v>13311.0</v>
      </c>
      <c r="B12501" s="3" t="s">
        <v>11778</v>
      </c>
      <c r="C12501" s="3" t="str">
        <f>IFERROR(__xludf.DUMMYFUNCTION("GOOGLETRANSLATE(B12501,""id"",""en"")"),"['APK', 'Good', 'Useful']")</f>
        <v>['APK', 'Good', 'Useful']</v>
      </c>
      <c r="D12501" s="3">
        <v>5.0</v>
      </c>
    </row>
    <row r="12502" ht="15.75" customHeight="1">
      <c r="A12502" s="1">
        <v>13312.0</v>
      </c>
      <c r="B12502" s="3" t="s">
        <v>11926</v>
      </c>
      <c r="C12502" s="3" t="str">
        <f>IFERROR(__xludf.DUMMYFUNCTION("GOOGLETRANSLATE(B12502,""id"",""en"")"),"['Update', 'Adin', 'Lock', 'Lock', 'Credit', 'Credit', 'Masi', 'Masih', 'Quota', 'Masi', 'Full', 'TPI', ' turn on ',' data ',' pulses', 'sumps',' record ',' record ',' Features', 'Lock', 'pulse', 'kebaca', 'update', 'quota', 'doang' ]")</f>
        <v>['Update', 'Adin', 'Lock', 'Lock', 'Credit', 'Credit', 'Masi', 'Masih', 'Quota', 'Masi', 'Full', 'TPI', ' turn on ',' data ',' pulses', 'sumps',' record ',' record ',' Features', 'Lock', 'pulse', 'kebaca', 'update', 'quota', 'doang' ]</v>
      </c>
      <c r="D12502" s="3">
        <v>1.0</v>
      </c>
    </row>
    <row r="12503" ht="15.75" customHeight="1">
      <c r="A12503" s="1">
        <v>13313.0</v>
      </c>
      <c r="B12503" s="3" t="s">
        <v>11927</v>
      </c>
      <c r="C12503" s="3" t="str">
        <f>IFERROR(__xludf.DUMMYFUNCTION("GOOGLETRANSLATE(B12503,""id"",""en"")"),"['The application', 'not', 'opened', 'color', 'screen', 'blank', 'white', 'difficult', 'transaction', 'let', 'made easier', 'customer', ' Betah ']")</f>
        <v>['The application', 'not', 'opened', 'color', 'screen', 'blank', 'white', 'difficult', 'transaction', 'let', 'made easier', 'customer', ' Betah ']</v>
      </c>
      <c r="D12503" s="3">
        <v>1.0</v>
      </c>
    </row>
    <row r="12504" ht="15.75" customHeight="1">
      <c r="A12504" s="1">
        <v>13314.0</v>
      </c>
      <c r="B12504" s="3" t="s">
        <v>11928</v>
      </c>
      <c r="C12504" s="3" t="str">
        <f>IFERROR(__xludf.DUMMYFUNCTION("GOOGLETRANSLATE(B12504,""id"",""en"")"),"['want to', '']")</f>
        <v>['want to', '']</v>
      </c>
      <c r="D12504" s="3">
        <v>5.0</v>
      </c>
    </row>
    <row r="12505" ht="15.75" customHeight="1">
      <c r="A12505" s="1">
        <v>13315.0</v>
      </c>
      <c r="B12505" s="3" t="s">
        <v>11929</v>
      </c>
      <c r="C12505" s="3" t="str">
        <f>IFERROR(__xludf.DUMMYFUNCTION("GOOGLETRANSLATE(B12505,""id"",""en"")"),"['rank', 'Directors',' Dear ',' Please ',' Fix ',' Sitem ',' Network ',' Add ',' Nambah ',' ugly ',' Signal ',' Use ',' Change ',' Provider ',' aje ']")</f>
        <v>['rank', 'Directors',' Dear ',' Please ',' Fix ',' Sitem ',' Network ',' Add ',' Nambah ',' ugly ',' Signal ',' Use ',' Change ',' Provider ',' aje ']</v>
      </c>
      <c r="D12505" s="3">
        <v>1.0</v>
      </c>
    </row>
    <row r="12506" ht="15.75" customHeight="1">
      <c r="A12506" s="1">
        <v>13316.0</v>
      </c>
      <c r="B12506" s="3" t="s">
        <v>11930</v>
      </c>
      <c r="C12506" s="3" t="str">
        <f>IFERROR(__xludf.DUMMYFUNCTION("GOOGLETRANSLATE(B12506,""id"",""en"")"),"['Overcome', 'Update', 'Application', 'Opened']")</f>
        <v>['Overcome', 'Update', 'Application', 'Opened']</v>
      </c>
      <c r="D12506" s="3">
        <v>1.0</v>
      </c>
    </row>
    <row r="12507" ht="15.75" customHeight="1">
      <c r="A12507" s="1">
        <v>13317.0</v>
      </c>
      <c r="B12507" s="3" t="s">
        <v>11931</v>
      </c>
      <c r="C12507" s="3" t="str">
        <f>IFERROR(__xludf.DUMMYFUNCTION("GOOGLETRANSLATE(B12507,""id"",""en"")"),"['Update', 'Open', 'The application', 'Uninstall', 'Install', 'reset', 'ttep', 'just', 'Stuck', 'White', 'Screen', 'Udh', ' Really ',' Telkomsel ',' Times', 'Disappointed', '']")</f>
        <v>['Update', 'Open', 'The application', 'Uninstall', 'Install', 'reset', 'ttep', 'just', 'Stuck', 'White', 'Screen', 'Udh', ' Really ',' Telkomsel ',' Times', 'Disappointed', '']</v>
      </c>
      <c r="D12507" s="3">
        <v>1.0</v>
      </c>
    </row>
    <row r="12508" ht="15.75" customHeight="1">
      <c r="A12508" s="1">
        <v>13318.0</v>
      </c>
      <c r="B12508" s="3" t="s">
        <v>11932</v>
      </c>
      <c r="C12508" s="3" t="str">
        <f>IFERROR(__xludf.DUMMYFUNCTION("GOOGLETRANSLATE(B12508,""id"",""en"")"),"['knpa', 'Telkomsel', 'update', 'screen', 'white', ""]")</f>
        <v>['knpa', 'Telkomsel', 'update', 'screen', 'white', "]</v>
      </c>
      <c r="D12508" s="3">
        <v>1.0</v>
      </c>
    </row>
    <row r="12509" ht="15.75" customHeight="1">
      <c r="A12509" s="1">
        <v>13319.0</v>
      </c>
      <c r="B12509" s="3" t="s">
        <v>11933</v>
      </c>
      <c r="C12509" s="3" t="str">
        <f>IFERROR(__xludf.DUMMYFUNCTION("GOOGLETRANSLATE(B12509,""id"",""en"")"),"['Please', 'Update', 'Program', 'Review', 'Launching', 'Consumer', 'Loss', 'Severe', ""]")</f>
        <v>['Please', 'Update', 'Program', 'Review', 'Launching', 'Consumer', 'Loss', 'Severe', "]</v>
      </c>
      <c r="D12509" s="3">
        <v>1.0</v>
      </c>
    </row>
    <row r="12510" ht="15.75" customHeight="1">
      <c r="A12510" s="1">
        <v>13320.0</v>
      </c>
      <c r="B12510" s="3" t="s">
        <v>11934</v>
      </c>
      <c r="C12510" s="3" t="str">
        <f>IFERROR(__xludf.DUMMYFUNCTION("GOOGLETRANSLATE(B12510,""id"",""en"")"),"['Choice']")</f>
        <v>['Choice']</v>
      </c>
      <c r="D12510" s="3">
        <v>4.0</v>
      </c>
    </row>
    <row r="12511" ht="15.75" customHeight="1">
      <c r="A12511" s="1">
        <v>13321.0</v>
      </c>
      <c r="B12511" s="3" t="s">
        <v>11935</v>
      </c>
      <c r="C12511" s="3" t="str">
        <f>IFERROR(__xludf.DUMMYFUNCTION("GOOGLETRANSLATE(B12511,""id"",""en"")"),"['Thank "",' Love ',' Telkomsel ',' Application ',' Help ',""]")</f>
        <v>['Thank ",' Love ',' Telkomsel ',' Application ',' Help ',"]</v>
      </c>
      <c r="D12511" s="3">
        <v>4.0</v>
      </c>
    </row>
    <row r="12512" ht="15.75" customHeight="1">
      <c r="A12512" s="1">
        <v>13322.0</v>
      </c>
      <c r="B12512" s="3" t="s">
        <v>11936</v>
      </c>
      <c r="C12512" s="3" t="str">
        <f>IFERROR(__xludf.DUMMYFUNCTION("GOOGLETRANSLATE(B12512,""id"",""en"")"),"['Please', 'enter', 'APK', 'disappointing']")</f>
        <v>['Please', 'enter', 'APK', 'disappointing']</v>
      </c>
      <c r="D12512" s="3">
        <v>1.0</v>
      </c>
    </row>
    <row r="12513" ht="15.75" customHeight="1">
      <c r="A12513" s="1">
        <v>13323.0</v>
      </c>
      <c r="B12513" s="3" t="s">
        <v>11937</v>
      </c>
      <c r="C12513" s="3" t="str">
        <f>IFERROR(__xludf.DUMMYFUNCTION("GOOGLETRANSLATE(B12513,""id"",""en"")"),"['easy', 'access', 'info', 'Telkomsel']")</f>
        <v>['easy', 'access', 'info', 'Telkomsel']</v>
      </c>
      <c r="D12513" s="3">
        <v>5.0</v>
      </c>
    </row>
    <row r="12514" ht="15.75" customHeight="1">
      <c r="A12514" s="1">
        <v>13324.0</v>
      </c>
      <c r="B12514" s="3" t="s">
        <v>11938</v>
      </c>
      <c r="C12514" s="3" t="str">
        <f>IFERROR(__xludf.DUMMYFUNCTION("GOOGLETRANSLATE(B12514,""id"",""en"")"),"['Star', 'Karna']")</f>
        <v>['Star', 'Karna']</v>
      </c>
      <c r="D12514" s="3">
        <v>2.0</v>
      </c>
    </row>
    <row r="12515" ht="15.75" customHeight="1">
      <c r="A12515" s="1">
        <v>13325.0</v>
      </c>
      <c r="B12515" s="3" t="s">
        <v>11939</v>
      </c>
      <c r="C12515" s="3" t="str">
        <f>IFERROR(__xludf.DUMMYFUNCTION("GOOGLETRANSLATE(B12515,""id"",""en"")"),"['', 'Uninstall', 'Tide', 'Application', 'Msh', 'Screen', 'White', 'Alias',' Error ',' Chat ',' Have ',' Wait ',' Hri ',' UDH ',' HRI ',' report ',' Nggk ',' poor ',' UDH ',' GTU ',' reporting ',' convoluted ',' kdang ',' bot ',' nggk ', 'DIBLS', 'Review'"&amp;", 'TLG', 'Fix', 'APLKSI', 'NGGK', 'BNYK', 'KSH', 'Bintang', ""]")</f>
        <v>['', 'Uninstall', 'Tide', 'Application', 'Msh', 'Screen', 'White', 'Alias',' Error ',' Chat ',' Have ',' Wait ',' Hri ',' UDH ',' HRI ',' report ',' Nggk ',' poor ',' UDH ',' GTU ',' reporting ',' convoluted ',' kdang ',' bot ',' nggk ', 'DIBLS', 'Review', 'TLG', 'Fix', 'APLKSI', 'NGGK', 'BNYK', 'KSH', 'Bintang', "]</v>
      </c>
      <c r="D12515" s="3">
        <v>1.0</v>
      </c>
    </row>
    <row r="12516" ht="15.75" customHeight="1">
      <c r="A12516" s="1">
        <v>13326.0</v>
      </c>
      <c r="B12516" s="3" t="s">
        <v>11940</v>
      </c>
      <c r="C12516" s="3" t="str">
        <f>IFERROR(__xludf.DUMMYFUNCTION("GOOGLETRANSLATE(B12516,""id"",""en"")"),"['Good', 'Where']")</f>
        <v>['Good', 'Where']</v>
      </c>
      <c r="D12516" s="3">
        <v>4.0</v>
      </c>
    </row>
    <row r="12517" ht="15.75" customHeight="1">
      <c r="A12517" s="1">
        <v>13327.0</v>
      </c>
      <c r="B12517" s="3" t="s">
        <v>11941</v>
      </c>
      <c r="C12517" s="3" t="str">
        <f>IFERROR(__xludf.DUMMYFUNCTION("GOOGLETRANSLATE(B12517,""id"",""en"")"),"['White', 'Screen', 'Open', '']")</f>
        <v>['White', 'Screen', 'Open', '']</v>
      </c>
      <c r="D12517" s="3">
        <v>1.0</v>
      </c>
    </row>
    <row r="12518" ht="15.75" customHeight="1">
      <c r="A12518" s="1">
        <v>13328.0</v>
      </c>
      <c r="B12518" s="3" t="s">
        <v>11942</v>
      </c>
      <c r="C12518" s="3" t="str">
        <f>IFERROR(__xludf.DUMMYFUNCTION("GOOGLETRANSLATE(B12518,""id"",""en"")"),"['thank', 'love', 'Telkomsel', 'additional', 'quota', 'rupiah', '']")</f>
        <v>['thank', 'love', 'Telkomsel', 'additional', 'quota', 'rupiah', '']</v>
      </c>
      <c r="D12518" s="3">
        <v>4.0</v>
      </c>
    </row>
    <row r="12519" ht="15.75" customHeight="1">
      <c r="A12519" s="1">
        <v>13329.0</v>
      </c>
      <c r="B12519" s="3" t="s">
        <v>11943</v>
      </c>
      <c r="C12519" s="3" t="str">
        <f>IFERROR(__xludf.DUMMYFUNCTION("GOOGLETRANSLATE(B12519,""id"",""en"")"),"['Good', 'package', 'according to', 'needs', 'home', 'home', 'right', 'really', 'cheap', '']")</f>
        <v>['Good', 'package', 'according to', 'needs', 'home', 'home', 'right', 'really', 'cheap', '']</v>
      </c>
      <c r="D12519" s="3">
        <v>5.0</v>
      </c>
    </row>
    <row r="12520" ht="15.75" customHeight="1">
      <c r="A12520" s="1">
        <v>13330.0</v>
      </c>
      <c r="B12520" s="3" t="s">
        <v>11944</v>
      </c>
      <c r="C12520" s="3" t="str">
        <f>IFERROR(__xludf.DUMMYFUNCTION("GOOGLETRANSLATE(B12520,""id"",""en"")"),"['app', 'dbuka', 'upgrade', 'tlng', 'dperbanding', 'systemny']")</f>
        <v>['app', 'dbuka', 'upgrade', 'tlng', 'dperbanding', 'systemny']</v>
      </c>
      <c r="D12520" s="3">
        <v>1.0</v>
      </c>
    </row>
    <row r="12521" ht="15.75" customHeight="1">
      <c r="A12521" s="1">
        <v>13331.0</v>
      </c>
      <c r="B12521" s="3" t="s">
        <v>11945</v>
      </c>
      <c r="C12521" s="3" t="str">
        <f>IFERROR(__xludf.DUMMYFUNCTION("GOOGLETRANSLATE(B12521,""id"",""en"")"),"['downlod', 'application', 'Nda', 'open', 'just', 'display', 'kasi', 'full', 'memori', 'auto', 'delete', 'Nda', ' goods']")</f>
        <v>['downlod', 'application', 'Nda', 'open', 'just', 'display', 'kasi', 'full', 'memori', 'auto', 'delete', 'Nda', ' goods']</v>
      </c>
      <c r="D12521" s="3">
        <v>1.0</v>
      </c>
    </row>
    <row r="12522" ht="15.75" customHeight="1">
      <c r="A12522" s="1">
        <v>13332.0</v>
      </c>
      <c r="B12522" s="3" t="s">
        <v>11946</v>
      </c>
      <c r="C12522" s="3" t="str">
        <f>IFERROR(__xludf.DUMMYFUNCTION("GOOGLETRANSLATE(B12522,""id"",""en"")"),"['Service', 'Price', 'Compared', 'Reverse']")</f>
        <v>['Service', 'Price', 'Compared', 'Reverse']</v>
      </c>
      <c r="D12522" s="3">
        <v>1.0</v>
      </c>
    </row>
    <row r="12523" ht="15.75" customHeight="1">
      <c r="A12523" s="1">
        <v>13333.0</v>
      </c>
      <c r="B12523" s="3" t="s">
        <v>11947</v>
      </c>
      <c r="C12523" s="3" t="str">
        <f>IFERROR(__xludf.DUMMYFUNCTION("GOOGLETRANSLATE(B12523,""id"",""en"")"),"['Easy', 'smooth']")</f>
        <v>['Easy', 'smooth']</v>
      </c>
      <c r="D12523" s="3">
        <v>5.0</v>
      </c>
    </row>
    <row r="12524" ht="15.75" customHeight="1">
      <c r="A12524" s="1">
        <v>13334.0</v>
      </c>
      <c r="B12524" s="3" t="s">
        <v>11948</v>
      </c>
      <c r="C12524" s="3" t="str">
        <f>IFERROR(__xludf.DUMMYFUNCTION("GOOGLETRANSLATE(B12524,""id"",""en"")"),"['application', 'makes it easier', 'help', 'transaction', 'purchase', 'pulse', 'check', 'purchase', 'quota']")</f>
        <v>['application', 'makes it easier', 'help', 'transaction', 'purchase', 'pulse', 'check', 'purchase', 'quota']</v>
      </c>
      <c r="D12524" s="3">
        <v>5.0</v>
      </c>
    </row>
    <row r="12525" ht="15.75" customHeight="1">
      <c r="A12525" s="1">
        <v>13335.0</v>
      </c>
      <c r="B12525" s="3" t="s">
        <v>31</v>
      </c>
      <c r="C12525" s="3" t="str">
        <f>IFERROR(__xludf.DUMMYFUNCTION("GOOGLETRANSLATE(B12525,""id"",""en"")"),"['Application', 'Open', '']")</f>
        <v>['Application', 'Open', '']</v>
      </c>
      <c r="D12525" s="3">
        <v>1.0</v>
      </c>
    </row>
    <row r="12526" ht="15.75" customHeight="1">
      <c r="A12526" s="1">
        <v>13336.0</v>
      </c>
      <c r="B12526" s="3" t="s">
        <v>11949</v>
      </c>
      <c r="C12526" s="3" t="str">
        <f>IFERROR(__xludf.DUMMYFUNCTION("GOOGLETRANSLATE(B12526,""id"",""en"")"),"['Satisfied', 'transaction']")</f>
        <v>['Satisfied', 'transaction']</v>
      </c>
      <c r="D12526" s="3">
        <v>5.0</v>
      </c>
    </row>
    <row r="12527" ht="15.75" customHeight="1">
      <c r="A12527" s="1">
        <v>13337.0</v>
      </c>
      <c r="B12527" s="3" t="s">
        <v>11950</v>
      </c>
      <c r="C12527" s="3" t="str">
        <f>IFERROR(__xludf.DUMMYFUNCTION("GOOGLETRANSLATE(B12527,""id"",""en"")"),"['application', 'open', 'UDH', 'update', 'convenience', 'make it difficult', 'application', 'open']")</f>
        <v>['application', 'open', 'UDH', 'update', 'convenience', 'make it difficult', 'application', 'open']</v>
      </c>
      <c r="D12527" s="3">
        <v>1.0</v>
      </c>
    </row>
    <row r="12528" ht="15.75" customHeight="1">
      <c r="A12528" s="1">
        <v>13338.0</v>
      </c>
      <c r="B12528" s="3" t="s">
        <v>11951</v>
      </c>
      <c r="C12528" s="3" t="str">
        <f>IFERROR(__xludf.DUMMYFUNCTION("GOOGLETRANSLATE(B12528,""id"",""en"")"),"['disappointing', 'Blank', 'Blank', 'Turn on', 'cellphone', 'Nge', 'Blank', 'Many', 'Times',' Uninstall ',' Install ',' Masi ',' Ngeblank ',' Really ']")</f>
        <v>['disappointing', 'Blank', 'Blank', 'Turn on', 'cellphone', 'Nge', 'Blank', 'Many', 'Times',' Uninstall ',' Install ',' Masi ',' Ngeblank ',' Really ']</v>
      </c>
      <c r="D12528" s="3">
        <v>1.0</v>
      </c>
    </row>
    <row r="12529" ht="15.75" customHeight="1">
      <c r="A12529" s="1">
        <v>13339.0</v>
      </c>
      <c r="B12529" s="3" t="s">
        <v>1257</v>
      </c>
      <c r="C12529" s="3" t="str">
        <f>IFERROR(__xludf.DUMMYFUNCTION("GOOGLETRANSLATE(B12529,""id"",""en"")"),"['Opened']")</f>
        <v>['Opened']</v>
      </c>
      <c r="D12529" s="3">
        <v>1.0</v>
      </c>
    </row>
    <row r="12530" ht="15.75" customHeight="1">
      <c r="A12530" s="1">
        <v>13340.0</v>
      </c>
      <c r="B12530" s="3" t="s">
        <v>11952</v>
      </c>
      <c r="C12530" s="3" t="str">
        <f>IFERROR(__xludf.DUMMYFUNCTION("GOOGLETRANSLATE(B12530,""id"",""en"")"),"['kenpa', 'buy', 'package', 'internet', 'example', 'rich', 'tranquility', 'youtube', 'day', 'unlimited', 'lost', 'package', ' Internet ',' night ',' missing ',' funny ',' Please ',' Benerin ', ""]")</f>
        <v>['kenpa', 'buy', 'package', 'internet', 'example', 'rich', 'tranquility', 'youtube', 'day', 'unlimited', 'lost', 'package', ' Internet ',' night ',' missing ',' funny ',' Please ',' Benerin ', "]</v>
      </c>
      <c r="D12530" s="3">
        <v>3.0</v>
      </c>
    </row>
    <row r="12531" ht="15.75" customHeight="1">
      <c r="A12531" s="1">
        <v>13341.0</v>
      </c>
      <c r="B12531" s="3" t="s">
        <v>11953</v>
      </c>
      <c r="C12531" s="3" t="str">
        <f>IFERROR(__xludf.DUMMYFUNCTION("GOOGLETRANSLATE(B12531,""id"",""en"")"),"['wooIiiii', 'please', 'fix', 'application', 'blank', 'white', 'doang']")</f>
        <v>['wooIiiii', 'please', 'fix', 'application', 'blank', 'white', 'doang']</v>
      </c>
      <c r="D12531" s="3">
        <v>1.0</v>
      </c>
    </row>
    <row r="12532" ht="15.75" customHeight="1">
      <c r="A12532" s="1">
        <v>13342.0</v>
      </c>
      <c r="B12532" s="3" t="s">
        <v>11954</v>
      </c>
      <c r="C12532" s="3" t="str">
        <f>IFERROR(__xludf.DUMMYFUNCTION("GOOGLETRANSLATE(B12532,""id"",""en"")"),"['Applikasinx', 'Good']")</f>
        <v>['Applikasinx', 'Good']</v>
      </c>
      <c r="D12532" s="3">
        <v>5.0</v>
      </c>
    </row>
    <row r="12533" ht="15.75" customHeight="1">
      <c r="A12533" s="1">
        <v>13343.0</v>
      </c>
      <c r="B12533" s="3" t="s">
        <v>11955</v>
      </c>
      <c r="C12533" s="3" t="str">
        <f>IFERROR(__xludf.DUMMYFUNCTION("GOOGLETRANSLATE(B12533,""id"",""en"")"),"['Open', 'App', 'smooth', 'open', 'Telkomsel', 'road', 'already', 'so', 'network', 'ugly']")</f>
        <v>['Open', 'App', 'smooth', 'open', 'Telkomsel', 'road', 'already', 'so', 'network', 'ugly']</v>
      </c>
      <c r="D12533" s="3">
        <v>2.0</v>
      </c>
    </row>
    <row r="12534" ht="15.75" customHeight="1">
      <c r="A12534" s="1">
        <v>13344.0</v>
      </c>
      <c r="B12534" s="3" t="s">
        <v>11956</v>
      </c>
      <c r="C12534" s="3" t="str">
        <f>IFERROR(__xludf.DUMMYFUNCTION("GOOGLETRANSLATE(B12534,""id"",""en"")"),"['application', 'unlimited', 'sold', 'separate', 'used', 'quota', 'pulses',' wasteful ',' already ',' ngaduin ',' Telkomsel ',' gave ',' Reward ',' replace ',' loss', 'bug', ""]")</f>
        <v>['application', 'unlimited', 'sold', 'separate', 'used', 'quota', 'pulses',' wasteful ',' already ',' ngaduin ',' Telkomsel ',' gave ',' Reward ',' replace ',' loss', 'bug', "]</v>
      </c>
      <c r="D12534" s="3">
        <v>1.0</v>
      </c>
    </row>
    <row r="12535" ht="15.75" customHeight="1">
      <c r="A12535" s="1">
        <v>13345.0</v>
      </c>
      <c r="B12535" s="3" t="s">
        <v>11957</v>
      </c>
      <c r="C12535" s="3" t="str">
        <f>IFERROR(__xludf.DUMMYFUNCTION("GOOGLETRANSLATE(B12535,""id"",""en"")"),"['', 'Clay', 'comment', 'Install', 'APL', 'hundreds',' Android ',' and above ',' hahaha ',' yes', 'bad', 'his service', 'already ',' Install ',' times', 'Ngeblak', 'White', '']")</f>
        <v>['', 'Clay', 'comment', 'Install', 'APL', 'hundreds',' Android ',' and above ',' hahaha ',' yes', 'bad', 'his service', 'already ',' Install ',' times', 'Ngeblak', 'White', '']</v>
      </c>
      <c r="D12535" s="3">
        <v>1.0</v>
      </c>
    </row>
    <row r="12536" ht="15.75" customHeight="1">
      <c r="A12536" s="1">
        <v>13346.0</v>
      </c>
      <c r="B12536" s="3" t="s">
        <v>859</v>
      </c>
      <c r="C12536" s="3" t="str">
        <f>IFERROR(__xludf.DUMMYFUNCTION("GOOGLETRANSLATE(B12536,""id"",""en"")"),"['help', '']")</f>
        <v>['help', '']</v>
      </c>
      <c r="D12536" s="3">
        <v>5.0</v>
      </c>
    </row>
    <row r="12537" ht="15.75" customHeight="1">
      <c r="A12537" s="1">
        <v>13347.0</v>
      </c>
      <c r="B12537" s="3" t="s">
        <v>11958</v>
      </c>
      <c r="C12537" s="3" t="str">
        <f>IFERROR(__xludf.DUMMYFUNCTION("GOOGLETRANSLATE(B12537,""id"",""en"")"),"['Please', 'Price', 'Package', 'Reduce', 'Kasian', 'Covid', 'Covid', 'Hard', 'Work', 'Income', 'No', 'Generate', ' love ',' star ',' application ',' good ',' really ']")</f>
        <v>['Please', 'Price', 'Package', 'Reduce', 'Kasian', 'Covid', 'Covid', 'Hard', 'Work', 'Income', 'No', 'Generate', ' love ',' star ',' application ',' good ',' really ']</v>
      </c>
      <c r="D12537" s="3">
        <v>5.0</v>
      </c>
    </row>
    <row r="12538" ht="15.75" customHeight="1">
      <c r="A12538" s="1">
        <v>13349.0</v>
      </c>
      <c r="B12538" s="3" t="s">
        <v>11959</v>
      </c>
      <c r="C12538" s="3" t="str">
        <f>IFERROR(__xludf.DUMMYFUNCTION("GOOGLETRANSLATE(B12538,""id"",""en"")"),"['Sorry', 'application', 'open']")</f>
        <v>['Sorry', 'application', 'open']</v>
      </c>
      <c r="D12538" s="3">
        <v>2.0</v>
      </c>
    </row>
    <row r="12539" ht="15.75" customHeight="1">
      <c r="A12539" s="1">
        <v>13350.0</v>
      </c>
      <c r="B12539" s="3" t="s">
        <v>11960</v>
      </c>
      <c r="C12539" s="3" t="str">
        <f>IFERROR(__xludf.DUMMYFUNCTION("GOOGLETRANSLATE(B12539,""id"",""en"")"),"['Gabisa', 'opened', 'buset']")</f>
        <v>['Gabisa', 'opened', 'buset']</v>
      </c>
      <c r="D12539" s="3">
        <v>2.0</v>
      </c>
    </row>
    <row r="12540" ht="15.75" customHeight="1">
      <c r="A12540" s="1">
        <v>13352.0</v>
      </c>
      <c r="B12540" s="3" t="s">
        <v>11961</v>
      </c>
      <c r="C12540" s="3" t="str">
        <f>IFERROR(__xludf.DUMMYFUNCTION("GOOGLETRANSLATE(B12540,""id"",""en"")"),"['star', 'Lower', 'Application', 'Open', 'already', 'Dinstall', 'reset', ""]")</f>
        <v>['star', 'Lower', 'Application', 'Open', 'already', 'Dinstall', 'reset', "]</v>
      </c>
      <c r="D12540" s="3">
        <v>1.0</v>
      </c>
    </row>
    <row r="12541" ht="15.75" customHeight="1">
      <c r="A12541" s="1">
        <v>13353.0</v>
      </c>
      <c r="B12541" s="3" t="s">
        <v>8097</v>
      </c>
      <c r="C12541" s="3" t="str">
        <f>IFERROR(__xludf.DUMMYFUNCTION("GOOGLETRANSLATE(B12541,""id"",""en"")"),"['Price', 'Package', 'Data', 'Expensive']")</f>
        <v>['Price', 'Package', 'Data', 'Expensive']</v>
      </c>
      <c r="D12541" s="3">
        <v>1.0</v>
      </c>
    </row>
    <row r="12542" ht="15.75" customHeight="1">
      <c r="A12542" s="1">
        <v>13354.0</v>
      </c>
      <c r="B12542" s="3" t="s">
        <v>11962</v>
      </c>
      <c r="C12542" s="3" t="str">
        <f>IFERROR(__xludf.DUMMYFUNCTION("GOOGLETRANSLATE(B12542,""id"",""en"")"),"['The application', 'ugly', 'gabisa', 'opened', '']")</f>
        <v>['The application', 'ugly', 'gabisa', 'opened', '']</v>
      </c>
      <c r="D12542" s="3">
        <v>1.0</v>
      </c>
    </row>
    <row r="12543" ht="15.75" customHeight="1">
      <c r="A12543" s="1">
        <v>13355.0</v>
      </c>
      <c r="B12543" s="3" t="s">
        <v>11963</v>
      </c>
      <c r="C12543" s="3" t="str">
        <f>IFERROR(__xludf.DUMMYFUNCTION("GOOGLETRANSLATE(B12543,""id"",""en"")"),"['Knp', 'Telkomsel', 'Hbs', 'Install', 'reset', 'go', 'please', 'donk', 'tsel', 'uda', ""]")</f>
        <v>['Knp', 'Telkomsel', 'Hbs', 'Install', 'reset', 'go', 'please', 'donk', 'tsel', 'uda', "]</v>
      </c>
      <c r="D12543" s="3">
        <v>3.0</v>
      </c>
    </row>
    <row r="12544" ht="15.75" customHeight="1">
      <c r="A12544" s="1">
        <v>13356.0</v>
      </c>
      <c r="B12544" s="3" t="s">
        <v>11964</v>
      </c>
      <c r="C12544" s="3" t="str">
        <f>IFERROR(__xludf.DUMMYFUNCTION("GOOGLETRANSLATE(B12544,""id"",""en"")"),"['Wowww', 'help', 'buy', 'package', 'easy', 'fast', 'ngak', 'package', 'complicated', 'kani', 'value', 'star', ' Deh ']")</f>
        <v>['Wowww', 'help', 'buy', 'package', 'easy', 'fast', 'ngak', 'package', 'complicated', 'kani', 'value', 'star', ' Deh ']</v>
      </c>
      <c r="D12544" s="3">
        <v>5.0</v>
      </c>
    </row>
    <row r="12545" ht="15.75" customHeight="1">
      <c r="A12545" s="1">
        <v>13357.0</v>
      </c>
      <c r="B12545" s="3" t="s">
        <v>11965</v>
      </c>
      <c r="C12545" s="3" t="str">
        <f>IFERROR(__xludf.DUMMYFUNCTION("GOOGLETRANSLATE(B12545,""id"",""en"")"),"['', 'Love', 'Bintang', 'IsyaAllah', 'Win', '']")</f>
        <v>['', 'Love', 'Bintang', 'IsyaAllah', 'Win', '']</v>
      </c>
      <c r="D12545" s="3">
        <v>4.0</v>
      </c>
    </row>
    <row r="12546" ht="15.75" customHeight="1">
      <c r="A12546" s="1">
        <v>13358.0</v>
      </c>
      <c r="B12546" s="3" t="s">
        <v>11966</v>
      </c>
      <c r="C12546" s="3" t="str">
        <f>IFERROR(__xludf.DUMMYFUNCTION("GOOGLETRANSLATE(B12546,""id"",""en"")"),"['No', 'opened', 'users', 'Telkomsel', 'On', 'Open', 'application', '']")</f>
        <v>['No', 'opened', 'users', 'Telkomsel', 'On', 'Open', 'application', '']</v>
      </c>
      <c r="D12546" s="3">
        <v>3.0</v>
      </c>
    </row>
    <row r="12547" ht="15.75" customHeight="1">
      <c r="A12547" s="1">
        <v>13359.0</v>
      </c>
      <c r="B12547" s="3" t="s">
        <v>11967</v>
      </c>
      <c r="C12547" s="3" t="str">
        <f>IFERROR(__xludf.DUMMYFUNCTION("GOOGLETRANSLATE(B12547,""id"",""en"")"),"['APL', 'Good', 'Darling', 'Download', 'Package', 'Free', 'Package', 'Combo', 'Sakti', 'Unlimited', 'Network', 'Internet', ' Disconnect ',' break up ']")</f>
        <v>['APL', 'Good', 'Darling', 'Download', 'Package', 'Free', 'Package', 'Combo', 'Sakti', 'Unlimited', 'Network', 'Internet', ' Disconnect ',' break up ']</v>
      </c>
      <c r="D12547" s="3">
        <v>4.0</v>
      </c>
    </row>
    <row r="12548" ht="15.75" customHeight="1">
      <c r="A12548" s="1">
        <v>13360.0</v>
      </c>
      <c r="B12548" s="3" t="s">
        <v>11968</v>
      </c>
      <c r="C12548" s="3" t="str">
        <f>IFERROR(__xludf.DUMMYFUNCTION("GOOGLETRANSLATE(B12548,""id"",""en"")"),"['', 'Install', 'opened', 'Delete', 'Out', 'Install', 'opened']")</f>
        <v>['', 'Install', 'opened', 'Delete', 'Out', 'Install', 'opened']</v>
      </c>
      <c r="D12548" s="3">
        <v>1.0</v>
      </c>
    </row>
    <row r="12549" ht="15.75" customHeight="1">
      <c r="A12549" s="1">
        <v>13361.0</v>
      </c>
      <c r="B12549" s="3" t="s">
        <v>11969</v>
      </c>
      <c r="C12549" s="3" t="str">
        <f>IFERROR(__xludf.DUMMYFUNCTION("GOOGLETRANSLATE(B12549,""id"",""en"")"),"['hope', 'Telkomsel', 'improving', 'quality', 'network', 'Indonesia', 'already', 'buy', 'package', 'expensive', 'the network', 'taik']")</f>
        <v>['hope', 'Telkomsel', 'improving', 'quality', 'network', 'Indonesia', 'already', 'buy', 'package', 'expensive', 'the network', 'taik']</v>
      </c>
      <c r="D12549" s="3">
        <v>1.0</v>
      </c>
    </row>
    <row r="12550" ht="15.75" customHeight="1">
      <c r="A12550" s="1">
        <v>13362.0</v>
      </c>
      <c r="B12550" s="3" t="s">
        <v>11970</v>
      </c>
      <c r="C12550" s="3" t="str">
        <f>IFERROR(__xludf.DUMMYFUNCTION("GOOGLETRANSLATE(B12550,""id"",""en"")"),"['Sorry', 'Lower', 'right', 'opened', 'blank', 'child', 'troubled', 'or', 'how', 'application', 'smooth', 'Telkomsel', ' Please ',' Fix ',' subscription ',' Satisfied ',' Thank you ']")</f>
        <v>['Sorry', 'Lower', 'right', 'opened', 'blank', 'child', 'troubled', 'or', 'how', 'application', 'smooth', 'Telkomsel', ' Please ',' Fix ',' subscription ',' Satisfied ',' Thank you ']</v>
      </c>
      <c r="D12550" s="3">
        <v>3.0</v>
      </c>
    </row>
    <row r="12551" ht="15.75" customHeight="1">
      <c r="A12551" s="1">
        <v>13363.0</v>
      </c>
      <c r="B12551" s="3" t="s">
        <v>11971</v>
      </c>
      <c r="C12551" s="3" t="str">
        <f>IFERROR(__xludf.DUMMYFUNCTION("GOOGLETRANSLATE(B12551,""id"",""en"")"),"['Trimakasih', 'Telkomsel', 'blessings', 'Telkomsel', 'easy', 'open', 'card', 'blocked', 'app', 'samggat', 'help', ""]")</f>
        <v>['Trimakasih', 'Telkomsel', 'blessings', 'Telkomsel', 'easy', 'open', 'card', 'blocked', 'app', 'samggat', 'help', "]</v>
      </c>
      <c r="D12551" s="3">
        <v>5.0</v>
      </c>
    </row>
    <row r="12552" ht="15.75" customHeight="1">
      <c r="A12552" s="1">
        <v>13364.0</v>
      </c>
      <c r="B12552" s="3" t="s">
        <v>11972</v>
      </c>
      <c r="C12552" s="3" t="str">
        <f>IFERROR(__xludf.DUMMYFUNCTION("GOOGLETRANSLATE(B12552,""id"",""en"")"),"['Hayoo', 'already', 'update', 'enter', 'just', 'blank', 'white', 'doang', 'uninstall', 'install', 'reset', 'already', ' Results', 'complain', 'Install', 'Install', 'reset', 'Delete', 'cache', 'data', 'Try', 'version', 'Lite', 'blah', 'blah' , 'blah', 're"&amp;"sults',' nihil ',' nyahan ',' telkomsel ',' ntar ',' migration ',' mass', 'lho', 'gercep', 'repair', 'dissapointed', ' ']")</f>
        <v>['Hayoo', 'already', 'update', 'enter', 'just', 'blank', 'white', 'doang', 'uninstall', 'install', 'reset', 'already', ' Results', 'complain', 'Install', 'Install', 'reset', 'Delete', 'cache', 'data', 'Try', 'version', 'Lite', 'blah', 'blah' , 'blah', 'results',' nihil ',' nyahan ',' telkomsel ',' ntar ',' migration ',' mass', 'lho', 'gercep', 'repair', 'dissapointed', ' ']</v>
      </c>
      <c r="D12552" s="3">
        <v>1.0</v>
      </c>
    </row>
    <row r="12553" ht="15.75" customHeight="1">
      <c r="A12553" s="1">
        <v>13365.0</v>
      </c>
      <c r="B12553" s="3" t="s">
        <v>11973</v>
      </c>
      <c r="C12553" s="3" t="str">
        <f>IFERROR(__xludf.DUMMYFUNCTION("GOOGLETRANSLATE(B12553,""id"",""en"")"),"['Surprised']")</f>
        <v>['Surprised']</v>
      </c>
      <c r="D12553" s="3">
        <v>5.0</v>
      </c>
    </row>
    <row r="12554" ht="15.75" customHeight="1">
      <c r="A12554" s="1">
        <v>13366.0</v>
      </c>
      <c r="B12554" s="3" t="s">
        <v>11974</v>
      </c>
      <c r="C12554" s="3" t="str">
        <f>IFERROR(__xludf.DUMMYFUNCTION("GOOGLETRANSLATE(B12554,""id"",""en"")"),"['Sorry', 'Star', 'collapsed', 'intention', 'MyTelkomsel', 'fix', 'application', 'troubled', '']")</f>
        <v>['Sorry', 'Star', 'collapsed', 'intention', 'MyTelkomsel', 'fix', 'application', 'troubled', '']</v>
      </c>
      <c r="D12554" s="3">
        <v>1.0</v>
      </c>
    </row>
    <row r="12555" ht="15.75" customHeight="1">
      <c r="A12555" s="1">
        <v>13367.0</v>
      </c>
      <c r="B12555" s="3" t="s">
        <v>7508</v>
      </c>
      <c r="C12555" s="3" t="str">
        <f>IFERROR(__xludf.DUMMYFUNCTION("GOOGLETRANSLATE(B12555,""id"",""en"")"),"['Easy', 'Telkomsel']")</f>
        <v>['Easy', 'Telkomsel']</v>
      </c>
      <c r="D12555" s="3">
        <v>5.0</v>
      </c>
    </row>
    <row r="12556" ht="15.75" customHeight="1">
      <c r="A12556" s="1">
        <v>13368.0</v>
      </c>
      <c r="B12556" s="3" t="s">
        <v>11975</v>
      </c>
      <c r="C12556" s="3" t="str">
        <f>IFERROR(__xludf.DUMMYFUNCTION("GOOGLETRANSLATE(B12556,""id"",""en"")"),"['right', 'play', 'game', 'signal', 'sometimes', 'ilang', 'woy', 'play', 'game', 'anything', 'ilang', '']")</f>
        <v>['right', 'play', 'game', 'signal', 'sometimes', 'ilang', 'woy', 'play', 'game', 'anything', 'ilang', '']</v>
      </c>
      <c r="D12556" s="3">
        <v>1.0</v>
      </c>
    </row>
    <row r="12557" ht="15.75" customHeight="1">
      <c r="A12557" s="1">
        <v>13369.0</v>
      </c>
      <c r="B12557" s="3" t="s">
        <v>6352</v>
      </c>
      <c r="C12557" s="3" t="str">
        <f>IFERROR(__xludf.DUMMYFUNCTION("GOOGLETRANSLATE(B12557,""id"",""en"")"),"['useful', '']")</f>
        <v>['useful', '']</v>
      </c>
      <c r="D12557" s="3">
        <v>5.0</v>
      </c>
    </row>
    <row r="12558" ht="15.75" customHeight="1">
      <c r="A12558" s="1">
        <v>13370.0</v>
      </c>
      <c r="B12558" s="3" t="s">
        <v>11976</v>
      </c>
      <c r="C12558" s="3" t="str">
        <f>IFERROR(__xludf.DUMMYFUNCTION("GOOGLETRANSLATE(B12558,""id"",""en"")"),"['application', 'blank', 'white', 'ugly', 'really', 'update', '']")</f>
        <v>['application', 'blank', 'white', 'ugly', 'really', 'update', '']</v>
      </c>
      <c r="D12558" s="3">
        <v>1.0</v>
      </c>
    </row>
    <row r="12559" ht="15.75" customHeight="1">
      <c r="A12559" s="1">
        <v>13371.0</v>
      </c>
      <c r="B12559" s="3" t="s">
        <v>11977</v>
      </c>
      <c r="C12559" s="3" t="str">
        <f>IFERROR(__xludf.DUMMYFUNCTION("GOOGLETRANSLATE(B12559,""id"",""en"")"),"['Haaii', 'ADM', 'Application', 'Kebuka', ""]")</f>
        <v>['Haaii', 'ADM', 'Application', 'Kebuka', "]</v>
      </c>
      <c r="D12559" s="3">
        <v>5.0</v>
      </c>
    </row>
    <row r="12560" ht="15.75" customHeight="1">
      <c r="A12560" s="1">
        <v>13372.0</v>
      </c>
      <c r="B12560" s="3" t="s">
        <v>11978</v>
      </c>
      <c r="C12560" s="3" t="str">
        <f>IFERROR(__xludf.DUMMYFUNCTION("GOOGLETRANSLATE(B12560,""id"",""en"")"),"['APK', 'Useful', 'Ngai', 'Dowload', 'Open', '']")</f>
        <v>['APK', 'Useful', 'Ngai', 'Dowload', 'Open', '']</v>
      </c>
      <c r="D12560" s="3">
        <v>1.0</v>
      </c>
    </row>
    <row r="12561" ht="15.75" customHeight="1">
      <c r="A12561" s="1">
        <v>13373.0</v>
      </c>
      <c r="B12561" s="3" t="s">
        <v>11979</v>
      </c>
      <c r="C12561" s="3" t="str">
        <f>IFERROR(__xludf.DUMMYFUNCTION("GOOGLETRANSLATE(B12561,""id"",""en"")"),"['blank', 'white', 'apdet']")</f>
        <v>['blank', 'white', 'apdet']</v>
      </c>
      <c r="D12561" s="3">
        <v>1.0</v>
      </c>
    </row>
    <row r="12562" ht="15.75" customHeight="1">
      <c r="A12562" s="1">
        <v>13374.0</v>
      </c>
      <c r="B12562" s="3" t="s">
        <v>11980</v>
      </c>
      <c r="C12562" s="3" t="str">
        <f>IFERROR(__xludf.DUMMYFUNCTION("GOOGLETRANSLATE(B12562,""id"",""en"")"),"['Sangan', 'Recommended']")</f>
        <v>['Sangan', 'Recommended']</v>
      </c>
      <c r="D12562" s="3">
        <v>4.0</v>
      </c>
    </row>
    <row r="12563" ht="15.75" customHeight="1">
      <c r="A12563" s="1">
        <v>13375.0</v>
      </c>
      <c r="B12563" s="3" t="s">
        <v>11981</v>
      </c>
      <c r="C12563" s="3" t="str">
        <f>IFERROR(__xludf.DUMMYFUNCTION("GOOGLETRANSLATE(B12563,""id"",""en"")"),"['APK', 'White', 'Screen', 'Access', '']")</f>
        <v>['APK', 'White', 'Screen', 'Access', '']</v>
      </c>
      <c r="D12563" s="3">
        <v>1.0</v>
      </c>
    </row>
    <row r="12564" ht="15.75" customHeight="1">
      <c r="A12564" s="1">
        <v>13376.0</v>
      </c>
      <c r="B12564" s="3" t="s">
        <v>11982</v>
      </c>
      <c r="C12564" s="3" t="str">
        <f>IFERROR(__xludf.DUMMYFUNCTION("GOOGLETRANSLATE(B12564,""id"",""en"")"),"['ugly', 'apk', 'buy', 'package', 'times',' description ',' success', 'internet', 'enter', 'contact', 'callcenter', 'description', ' Activation ',' pulse ',' buy ',' package ',' pulse ',' sumps', 'run out', 'disappointing', 'consumer', 'star', 'telkomcel'"&amp;"]")</f>
        <v>['ugly', 'apk', 'buy', 'package', 'times',' description ',' success', 'internet', 'enter', 'contact', 'callcenter', 'description', ' Activation ',' pulse ',' buy ',' package ',' pulse ',' sumps', 'run out', 'disappointing', 'consumer', 'star', 'telkomcel']</v>
      </c>
      <c r="D12564" s="3">
        <v>1.0</v>
      </c>
    </row>
    <row r="12565" ht="15.75" customHeight="1">
      <c r="A12565" s="1">
        <v>13377.0</v>
      </c>
      <c r="B12565" s="3" t="s">
        <v>11983</v>
      </c>
      <c r="C12565" s="3" t="str">
        <f>IFERROR(__xludf.DUMMYFUNCTION("GOOGLETRANSLATE(B12565,""id"",""en"")"),"['updated', 'application', 'opened', 'look', 'white', 'continued', 'mean', 'try', 'parahh', 'bangett', '']")</f>
        <v>['updated', 'application', 'opened', 'look', 'white', 'continued', 'mean', 'try', 'parahh', 'bangett', '']</v>
      </c>
      <c r="D12565" s="3">
        <v>1.0</v>
      </c>
    </row>
    <row r="12566" ht="15.75" customHeight="1">
      <c r="A12566" s="1">
        <v>13378.0</v>
      </c>
      <c r="B12566" s="3" t="s">
        <v>11984</v>
      </c>
      <c r="C12566" s="3" t="str">
        <f>IFERROR(__xludf.DUMMYFUNCTION("GOOGLETRANSLATE(B12566,""id"",""en"")"),"['Week', 'buja', 'lgi', 'telkomsel', 'bad']")</f>
        <v>['Week', 'buja', 'lgi', 'telkomsel', 'bad']</v>
      </c>
      <c r="D12566" s="3">
        <v>1.0</v>
      </c>
    </row>
    <row r="12567" ht="15.75" customHeight="1">
      <c r="A12567" s="1">
        <v>13379.0</v>
      </c>
      <c r="B12567" s="3" t="s">
        <v>11985</v>
      </c>
      <c r="C12567" s="3" t="str">
        <f>IFERROR(__xludf.DUMMYFUNCTION("GOOGLETRANSLATE(B12567,""id"",""en"")"),"['application', 'makes it easy', 'customer', 'buy', 'package', 'according to', 'need', 'informative', 'information', 'Telkomsel', 'point', 'information', ' Promo ',' Thank you ',' Telkomsel ',' Jaya ',' ']")</f>
        <v>['application', 'makes it easy', 'customer', 'buy', 'package', 'according to', 'need', 'informative', 'information', 'Telkomsel', 'point', 'information', ' Promo ',' Thank you ',' Telkomsel ',' Jaya ',' ']</v>
      </c>
      <c r="D12567" s="3">
        <v>5.0</v>
      </c>
    </row>
    <row r="12568" ht="15.75" customHeight="1">
      <c r="A12568" s="1">
        <v>13380.0</v>
      </c>
      <c r="B12568" s="3" t="s">
        <v>11986</v>
      </c>
      <c r="C12568" s="3" t="str">
        <f>IFERROR(__xludf.DUMMYFUNCTION("GOOGLETRANSLATE(B12568,""id"",""en"")"),"['Cheap', 'Kouta', 'Student']")</f>
        <v>['Cheap', 'Kouta', 'Student']</v>
      </c>
      <c r="D12568" s="3">
        <v>5.0</v>
      </c>
    </row>
    <row r="12569" ht="15.75" customHeight="1">
      <c r="A12569" s="1">
        <v>13381.0</v>
      </c>
      <c r="B12569" s="3" t="s">
        <v>11987</v>
      </c>
      <c r="C12569" s="3" t="str">
        <f>IFERROR(__xludf.DUMMYFUNCTION("GOOGLETRANSLATE(B12569,""id"",""en"")"),"['network', 'slow', 'Temptap', 'access',' Telkomsel ',' Seneng ',' Feature ',' just ',' update ',' why ',' app ',' Bukak ',' Good ',' Zonk ',' Wait ',' Blom ',' Recover ',' Lower ',' Bintang ',' ']")</f>
        <v>['network', 'slow', 'Temptap', 'access',' Telkomsel ',' Seneng ',' Feature ',' just ',' update ',' why ',' app ',' Bukak ',' Good ',' Zonk ',' Wait ',' Blom ',' Recover ',' Lower ',' Bintang ',' ']</v>
      </c>
      <c r="D12569" s="3">
        <v>5.0</v>
      </c>
    </row>
    <row r="12570" ht="15.75" customHeight="1">
      <c r="A12570" s="1">
        <v>13382.0</v>
      </c>
      <c r="B12570" s="3" t="s">
        <v>11988</v>
      </c>
      <c r="C12570" s="3" t="str">
        <f>IFERROR(__xludf.DUMMYFUNCTION("GOOGLETRANSLATE(B12570,""id"",""en"")"),"['Hello', 'Mengontoot', 'Signal', 'Price', 'Already', 'Mengontoot']")</f>
        <v>['Hello', 'Mengontoot', 'Signal', 'Price', 'Already', 'Mengontoot']</v>
      </c>
      <c r="D12570" s="3">
        <v>1.0</v>
      </c>
    </row>
    <row r="12571" ht="15.75" customHeight="1">
      <c r="A12571" s="1">
        <v>13383.0</v>
      </c>
      <c r="B12571" s="3" t="s">
        <v>11989</v>
      </c>
      <c r="C12571" s="3" t="str">
        <f>IFERROR(__xludf.DUMMYFUNCTION("GOOGLETRANSLATE(B12571,""id"",""en"")"),"['Ogin']")</f>
        <v>['Ogin']</v>
      </c>
      <c r="D12571" s="3">
        <v>1.0</v>
      </c>
    </row>
    <row r="12572" ht="15.75" customHeight="1">
      <c r="A12572" s="1">
        <v>13384.0</v>
      </c>
      <c r="B12572" s="3" t="s">
        <v>11990</v>
      </c>
      <c r="C12572" s="3" t="str">
        <f>IFERROR(__xludf.DUMMYFUNCTION("GOOGLETRANSLATE(B12572,""id"",""en"")"),"['disappointed', 'application', 'buy', 'package', 'giga', 'price', 'disappear', 'promo', 'star', 'rotten', 'promo', ""]")</f>
        <v>['disappointed', 'application', 'buy', 'package', 'giga', 'price', 'disappear', 'promo', 'star', 'rotten', 'promo', "]</v>
      </c>
      <c r="D12572" s="3">
        <v>1.0</v>
      </c>
    </row>
    <row r="12573" ht="15.75" customHeight="1">
      <c r="A12573" s="1">
        <v>13385.0</v>
      </c>
      <c r="B12573" s="3" t="s">
        <v>11991</v>
      </c>
      <c r="C12573" s="3" t="str">
        <f>IFERROR(__xludf.DUMMYFUNCTION("GOOGLETRANSLATE(B12573,""id"",""en"")"),"['Kouta', 'Divided', 'Deal', 'Change', 'Providers']")</f>
        <v>['Kouta', 'Divided', 'Deal', 'Change', 'Providers']</v>
      </c>
      <c r="D12573" s="3">
        <v>1.0</v>
      </c>
    </row>
    <row r="12574" ht="15.75" customHeight="1">
      <c r="A12574" s="1">
        <v>13388.0</v>
      </c>
      <c r="B12574" s="3" t="s">
        <v>11992</v>
      </c>
      <c r="C12574" s="3" t="str">
        <f>IFERROR(__xludf.DUMMYFUNCTION("GOOGLETRANSLATE(B12574,""id"",""en"")"),"['application', 'Telkomsel', 'difficult', 'open', 'already', 'a week', 'thisiii', 'difficult', 'hadehhhh']")</f>
        <v>['application', 'Telkomsel', 'difficult', 'open', 'already', 'a week', 'thisiii', 'difficult', 'hadehhhh']</v>
      </c>
      <c r="D12574" s="3">
        <v>1.0</v>
      </c>
    </row>
    <row r="12575" ht="15.75" customHeight="1">
      <c r="A12575" s="1">
        <v>13389.0</v>
      </c>
      <c r="B12575" s="3" t="s">
        <v>11993</v>
      </c>
      <c r="C12575" s="3" t="str">
        <f>IFERROR(__xludf.DUMMYFUNCTION("GOOGLETRANSLATE(B12575,""id"",""en"")"),"['open', 'application', 'screen', 'blank', 'white', 'date', 'bill', 'please', 'fix']")</f>
        <v>['open', 'application', 'screen', 'blank', 'white', 'date', 'bill', 'please', 'fix']</v>
      </c>
      <c r="D12575" s="3">
        <v>1.0</v>
      </c>
    </row>
    <row r="12576" ht="15.75" customHeight="1">
      <c r="A12576" s="1">
        <v>13390.0</v>
      </c>
      <c r="B12576" s="3" t="s">
        <v>11994</v>
      </c>
      <c r="C12576" s="3" t="str">
        <f>IFERROR(__xludf.DUMMYFUNCTION("GOOGLETRANSLATE(B12576,""id"",""en"")"),"['Over', 'customers',' Telkomsel ',' disappointed ',' work ',' disturbed ',' Gara ',' signal ',' bad ',' info ',' network ',' operator ',' Sinyalnyal ',' good ',' already ',' tired ',' tlkomsel ',' replace ', ""]")</f>
        <v>['Over', 'customers',' Telkomsel ',' disappointed ',' work ',' disturbed ',' Gara ',' signal ',' bad ',' info ',' network ',' operator ',' Sinyalnyal ',' good ',' already ',' tired ',' tlkomsel ',' replace ', "]</v>
      </c>
      <c r="D12576" s="3">
        <v>1.0</v>
      </c>
    </row>
    <row r="12577" ht="15.75" customHeight="1">
      <c r="A12577" s="1">
        <v>13391.0</v>
      </c>
      <c r="B12577" s="3" t="s">
        <v>11995</v>
      </c>
      <c r="C12577" s="3" t="str">
        <f>IFERROR(__xludf.DUMMYFUNCTION("GOOGLETRANSLATE(B12577,""id"",""en"")"),"['apk', 'Telkomsel', 'easy', 'access',' need ',' pulse ',' quota ',' data ',' program ',' promo ',' pokonya ',' help ',' ']")</f>
        <v>['apk', 'Telkomsel', 'easy', 'access',' need ',' pulse ',' quota ',' data ',' program ',' promo ',' pokonya ',' help ',' ']</v>
      </c>
      <c r="D12577" s="3">
        <v>5.0</v>
      </c>
    </row>
    <row r="12578" ht="15.75" customHeight="1">
      <c r="A12578" s="1">
        <v>13392.0</v>
      </c>
      <c r="B12578" s="3" t="s">
        <v>11996</v>
      </c>
      <c r="C12578" s="3" t="str">
        <f>IFERROR(__xludf.DUMMYFUNCTION("GOOGLETRANSLATE(B12578,""id"",""en"")"),"['Customer', 'loyal', 'Telkomsel', 'I hope', 'advanced', ""]")</f>
        <v>['Customer', 'loyal', 'Telkomsel', 'I hope', 'advanced', "]</v>
      </c>
      <c r="D12578" s="3">
        <v>5.0</v>
      </c>
    </row>
    <row r="12579" ht="15.75" customHeight="1">
      <c r="A12579" s="1">
        <v>13393.0</v>
      </c>
      <c r="B12579" s="3" t="s">
        <v>11997</v>
      </c>
      <c r="C12579" s="3" t="str">
        <f>IFERROR(__xludf.DUMMYFUNCTION("GOOGLETRANSLATE(B12579,""id"",""en"")"),"['Lemmot', 'Please', 'Bag', 'Consumers', 'Disappointed']")</f>
        <v>['Lemmot', 'Please', 'Bag', 'Consumers', 'Disappointed']</v>
      </c>
      <c r="D12579" s="3">
        <v>4.0</v>
      </c>
    </row>
    <row r="12580" ht="15.75" customHeight="1">
      <c r="A12580" s="1">
        <v>13394.0</v>
      </c>
      <c r="B12580" s="3" t="s">
        <v>11998</v>
      </c>
      <c r="C12580" s="3" t="str">
        <f>IFERROR(__xludf.DUMMYFUNCTION("GOOGLETRANSLATE(B12580,""id"",""en"")"),"['', 'opened', 'kluar', 'white']")</f>
        <v>['', 'opened', 'kluar', 'white']</v>
      </c>
      <c r="D12580" s="3">
        <v>1.0</v>
      </c>
    </row>
    <row r="12581" ht="15.75" customHeight="1">
      <c r="A12581" s="1">
        <v>13395.0</v>
      </c>
      <c r="B12581" s="3" t="s">
        <v>11999</v>
      </c>
      <c r="C12581" s="3" t="str">
        <f>IFERROR(__xludf.DUMMYFUNCTION("GOOGLETRANSLATE(B12581,""id"",""en"")"),"['The application', 'slow', 'uninstall', 'times', 'signal', 'stable', 'open', 'application', 'smooth', ""]")</f>
        <v>['The application', 'slow', 'uninstall', 'times', 'signal', 'stable', 'open', 'application', 'smooth', "]</v>
      </c>
      <c r="D12581" s="3">
        <v>1.0</v>
      </c>
    </row>
    <row r="12582" ht="15.75" customHeight="1">
      <c r="A12582" s="1">
        <v>13396.0</v>
      </c>
      <c r="B12582" s="3" t="s">
        <v>12000</v>
      </c>
      <c r="C12582" s="3" t="str">
        <f>IFERROR(__xludf.DUMMYFUNCTION("GOOGLETRANSLATE(B12582,""id"",""en"")"),"['service', 'tdak', 'bsa', 'network', 'slow']")</f>
        <v>['service', 'tdak', 'bsa', 'network', 'slow']</v>
      </c>
      <c r="D12582" s="3">
        <v>1.0</v>
      </c>
    </row>
    <row r="12583" ht="15.75" customHeight="1">
      <c r="A12583" s="1">
        <v>13397.0</v>
      </c>
      <c r="B12583" s="3" t="s">
        <v>12001</v>
      </c>
      <c r="C12583" s="3" t="str">
        <f>IFERROR(__xludf.DUMMYFUNCTION("GOOGLETRANSLATE(B12583,""id"",""en"")"),"['Star', 'disappointing', 'enter', 'Telkomsel', 'screen', 'looks', 'white']")</f>
        <v>['Star', 'disappointing', 'enter', 'Telkomsel', 'screen', 'looks', 'white']</v>
      </c>
      <c r="D12583" s="3">
        <v>1.0</v>
      </c>
    </row>
    <row r="12584" ht="15.75" customHeight="1">
      <c r="A12584" s="1">
        <v>13399.0</v>
      </c>
      <c r="B12584" s="3" t="s">
        <v>12002</v>
      </c>
      <c r="C12584" s="3" t="str">
        <f>IFERROR(__xludf.DUMMYFUNCTION("GOOGLETRANSLATE(B12584,""id"",""en"")"),"['Network', 'ugly', 'klw', 'malem']")</f>
        <v>['Network', 'ugly', 'klw', 'malem']</v>
      </c>
      <c r="D12584" s="3">
        <v>1.0</v>
      </c>
    </row>
    <row r="12585" ht="15.75" customHeight="1">
      <c r="A12585" s="1">
        <v>13400.0</v>
      </c>
      <c r="B12585" s="3" t="s">
        <v>10184</v>
      </c>
      <c r="C12585" s="3" t="str">
        <f>IFERROR(__xludf.DUMMYFUNCTION("GOOGLETRANSLATE(B12585,""id"",""en"")"),"['easy', 'access']")</f>
        <v>['easy', 'access']</v>
      </c>
      <c r="D12585" s="3">
        <v>4.0</v>
      </c>
    </row>
    <row r="12586" ht="15.75" customHeight="1">
      <c r="A12586" s="1">
        <v>13401.0</v>
      </c>
      <c r="B12586" s="3" t="s">
        <v>12003</v>
      </c>
      <c r="C12586" s="3" t="str">
        <f>IFERROR(__xludf.DUMMYFUNCTION("GOOGLETRANSLATE(B12586,""id"",""en"")"),"['YES', 'MANAB', 'MGA', 'CURRENT', 'TRUS', 'TENKOMSEL']")</f>
        <v>['YES', 'MANAB', 'MGA', 'CURRENT', 'TRUS', 'TENKOMSEL']</v>
      </c>
      <c r="D12586" s="3">
        <v>1.0</v>
      </c>
    </row>
    <row r="12587" ht="15.75" customHeight="1">
      <c r="A12587" s="1">
        <v>13402.0</v>
      </c>
      <c r="B12587" s="3" t="s">
        <v>12004</v>
      </c>
      <c r="C12587" s="3" t="str">
        <f>IFERROR(__xludf.DUMMYFUNCTION("GOOGLETRANSLATE(B12587,""id"",""en"")"),"['Sis', 'Open', '']")</f>
        <v>['Sis', 'Open', '']</v>
      </c>
      <c r="D12587" s="3">
        <v>2.0</v>
      </c>
    </row>
    <row r="12588" ht="15.75" customHeight="1">
      <c r="A12588" s="1">
        <v>13403.0</v>
      </c>
      <c r="B12588" s="3" t="s">
        <v>12005</v>
      </c>
      <c r="C12588" s="3" t="str">
        <f>IFERROR(__xludf.DUMMYFUNCTION("GOOGLETRANSLATE(B12588,""id"",""en"")"),"['signal', 'ugly', 'safe', 'Maen', 'game', 'change', 'card', 'tomorrow', 'bye', ""]")</f>
        <v>['signal', 'ugly', 'safe', 'Maen', 'game', 'change', 'card', 'tomorrow', 'bye', "]</v>
      </c>
      <c r="D12588" s="3">
        <v>1.0</v>
      </c>
    </row>
    <row r="12589" ht="15.75" customHeight="1">
      <c r="A12589" s="1">
        <v>13404.0</v>
      </c>
      <c r="B12589" s="3" t="s">
        <v>12006</v>
      </c>
      <c r="C12589" s="3" t="str">
        <f>IFERROR(__xludf.DUMMYFUNCTION("GOOGLETRANSLATE(B12589,""id"",""en"")"),"['updet', 'knapa', 'opened', 'already', 'try', 'uninstall', 'then', 'download', 'tetep', 'open']")</f>
        <v>['updet', 'knapa', 'opened', 'already', 'try', 'uninstall', 'then', 'download', 'tetep', 'open']</v>
      </c>
      <c r="D12589" s="3">
        <v>1.0</v>
      </c>
    </row>
    <row r="12590" ht="15.75" customHeight="1">
      <c r="A12590" s="1">
        <v>13406.0</v>
      </c>
      <c r="B12590" s="3" t="s">
        <v>12007</v>
      </c>
      <c r="C12590" s="3" t="str">
        <f>IFERROR(__xludf.DUMMYFUNCTION("GOOGLETRANSLATE(B12590,""id"",""en"")"),"['signal', 'ugly', 'really', 'telkomsel', 'buffering', 'play', 'game', 'gosh', 'please', 'enhanced', 'tired', 'already', ' Pay ',' expensive ',' buffering ']")</f>
        <v>['signal', 'ugly', 'really', 'telkomsel', 'buffering', 'play', 'game', 'gosh', 'please', 'enhanced', 'tired', 'already', ' Pay ',' expensive ',' buffering ']</v>
      </c>
      <c r="D12590" s="3">
        <v>1.0</v>
      </c>
    </row>
    <row r="12591" ht="15.75" customHeight="1">
      <c r="A12591" s="1">
        <v>13407.0</v>
      </c>
      <c r="B12591" s="3" t="s">
        <v>12008</v>
      </c>
      <c r="C12591" s="3" t="str">
        <f>IFERROR(__xludf.DUMMYFUNCTION("GOOGLETRANSLATE(B12591,""id"",""en"")"),"['White', 'Screen', 'Mulu', 'Gabisa', 'Open', 'Samsek', 'Read', 'Review', 'Please', 'Min', 'explained', 'mksd']")</f>
        <v>['White', 'Screen', 'Mulu', 'Gabisa', 'Open', 'Samsek', 'Read', 'Review', 'Please', 'Min', 'explained', 'mksd']</v>
      </c>
      <c r="D12591" s="3">
        <v>1.0</v>
      </c>
    </row>
    <row r="12592" ht="15.75" customHeight="1">
      <c r="A12592" s="1">
        <v>13408.0</v>
      </c>
      <c r="B12592" s="3" t="s">
        <v>12009</v>
      </c>
      <c r="C12592" s="3" t="str">
        <f>IFERROR(__xludf.DUMMYFUNCTION("GOOGLETRANSLATE(B12592,""id"",""en"")"),"['The network', 'Ngelag', 'really', ""]")</f>
        <v>['The network', 'Ngelag', 'really', "]</v>
      </c>
      <c r="D12592" s="3">
        <v>1.0</v>
      </c>
    </row>
    <row r="12593" ht="15.75" customHeight="1">
      <c r="A12593" s="1">
        <v>13409.0</v>
      </c>
      <c r="B12593" s="3" t="s">
        <v>12010</v>
      </c>
      <c r="C12593" s="3" t="str">
        <f>IFERROR(__xludf.DUMMYFUNCTION("GOOGLETRANSLATE(B12593,""id"",""en"")"),"['package', 'emergency', 'see', 'charging', 'pulse', 'cave', 'then', 'continuous',' no 'disappointed', 'bet']")</f>
        <v>['package', 'emergency', 'see', 'charging', 'pulse', 'cave', 'then', 'continuous',' no 'disappointed', 'bet']</v>
      </c>
      <c r="D12593" s="3">
        <v>1.0</v>
      </c>
    </row>
    <row r="12594" ht="15.75" customHeight="1">
      <c r="A12594" s="1">
        <v>13410.0</v>
      </c>
      <c r="B12594" s="3" t="s">
        <v>12011</v>
      </c>
      <c r="C12594" s="3" t="str">
        <f>IFERROR(__xludf.DUMMYFUNCTION("GOOGLETRANSLATE(B12594,""id"",""en"")"),"['Exchange', 'Points', 'Car']")</f>
        <v>['Exchange', 'Points', 'Car']</v>
      </c>
      <c r="D12594" s="3">
        <v>5.0</v>
      </c>
    </row>
    <row r="12595" ht="15.75" customHeight="1">
      <c r="A12595" s="1">
        <v>13411.0</v>
      </c>
      <c r="B12595" s="3" t="s">
        <v>12012</v>
      </c>
      <c r="C12595" s="3" t="str">
        <f>IFERROR(__xludf.DUMMYFUNCTION("GOOGLETRANSLATE(B12595,""id"",""en"")"),"['The network', 'Gembel', 'Bagusan', 'Forest']")</f>
        <v>['The network', 'Gembel', 'Bagusan', 'Forest']</v>
      </c>
      <c r="D12595" s="3">
        <v>1.0</v>
      </c>
    </row>
    <row r="12596" ht="15.75" customHeight="1">
      <c r="A12596" s="1">
        <v>13412.0</v>
      </c>
      <c r="B12596" s="3" t="s">
        <v>12013</v>
      </c>
      <c r="C12596" s="3" t="str">
        <f>IFERROR(__xludf.DUMMYFUNCTION("GOOGLETRANSLATE(B12596,""id"",""en"")"),"['', 'sympathy', 'package', 'combo', 'pain', '']")</f>
        <v>['', 'sympathy', 'package', 'combo', 'pain', '']</v>
      </c>
      <c r="D12596" s="3">
        <v>5.0</v>
      </c>
    </row>
    <row r="12597" ht="15.75" customHeight="1">
      <c r="A12597" s="1">
        <v>13413.0</v>
      </c>
      <c r="B12597" s="3" t="s">
        <v>12014</v>
      </c>
      <c r="C12597" s="3" t="str">
        <f>IFERROR(__xludf.DUMMYFUNCTION("GOOGLETRANSLATE(B12597,""id"",""en"")"),"['Good', 'Melehoy', 'Telkomsel', 'as cool as', 'price', 'love', 'star', 'ajj', 'his official', 'panic', ""]")</f>
        <v>['Good', 'Melehoy', 'Telkomsel', 'as cool as', 'price', 'love', 'star', 'ajj', 'his official', 'panic', "]</v>
      </c>
      <c r="D12597" s="3">
        <v>1.0</v>
      </c>
    </row>
    <row r="12598" ht="15.75" customHeight="1">
      <c r="A12598" s="1">
        <v>13414.0</v>
      </c>
      <c r="B12598" s="3" t="s">
        <v>12015</v>
      </c>
      <c r="C12598" s="3" t="str">
        <f>IFERROR(__xludf.DUMMYFUNCTION("GOOGLETRANSLATE(B12598,""id"",""en"")"),"['Awas', 'NUB']")</f>
        <v>['Awas', 'NUB']</v>
      </c>
      <c r="D12598" s="3">
        <v>5.0</v>
      </c>
    </row>
    <row r="12599" ht="15.75" customHeight="1">
      <c r="A12599" s="1">
        <v>13415.0</v>
      </c>
      <c r="B12599" s="3" t="s">
        <v>12016</v>
      </c>
      <c r="C12599" s="3" t="str">
        <f>IFERROR(__xludf.DUMMYFUNCTION("GOOGLETRANSLATE(B12599,""id"",""en"")"),"['Steady', 'Sousal', 'Kenceng', 'Wherever', 'Ngeta']")</f>
        <v>['Steady', 'Sousal', 'Kenceng', 'Wherever', 'Ngeta']</v>
      </c>
      <c r="D12599" s="3">
        <v>5.0</v>
      </c>
    </row>
    <row r="12600" ht="15.75" customHeight="1">
      <c r="A12600" s="1">
        <v>13416.0</v>
      </c>
      <c r="B12600" s="3" t="s">
        <v>12017</v>
      </c>
      <c r="C12600" s="3" t="str">
        <f>IFERROR(__xludf.DUMMYFUNCTION("GOOGLETRANSLATE(B12600,""id"",""en"")"),"['already', 'application', 'opened', 'Memory', 'application', 'application', 'palak', 'ahhh']")</f>
        <v>['already', 'application', 'opened', 'Memory', 'application', 'application', 'palak', 'ahhh']</v>
      </c>
      <c r="D12600" s="3">
        <v>1.0</v>
      </c>
    </row>
    <row r="12601" ht="15.75" customHeight="1">
      <c r="A12601" s="1">
        <v>13417.0</v>
      </c>
      <c r="B12601" s="3" t="s">
        <v>3533</v>
      </c>
      <c r="C12601" s="3" t="str">
        <f>IFERROR(__xludf.DUMMYFUNCTION("GOOGLETRANSLATE(B12601,""id"",""en"")"),"['change point']")</f>
        <v>['change point']</v>
      </c>
      <c r="D12601" s="3">
        <v>3.0</v>
      </c>
    </row>
    <row r="12602" ht="15.75" customHeight="1">
      <c r="A12602" s="1">
        <v>13418.0</v>
      </c>
      <c r="B12602" s="3" t="s">
        <v>12018</v>
      </c>
      <c r="C12602" s="3" t="str">
        <f>IFERROR(__xludf.DUMMYFUNCTION("GOOGLETRANSLATE(B12602,""id"",""en"")"),"['buy', 'package', 'dicam', 'clock', 'enter', 'package', 'please', 'please', 'interested', 'astaghfirullah']")</f>
        <v>['buy', 'package', 'dicam', 'clock', 'enter', 'package', 'please', 'please', 'interested', 'astaghfirullah']</v>
      </c>
      <c r="D12602" s="3">
        <v>1.0</v>
      </c>
    </row>
    <row r="12603" ht="15.75" customHeight="1">
      <c r="A12603" s="1">
        <v>13419.0</v>
      </c>
      <c r="B12603" s="3" t="s">
        <v>12019</v>
      </c>
      <c r="C12603" s="3" t="str">
        <f>IFERROR(__xludf.DUMMYFUNCTION("GOOGLETRANSLATE(B12603,""id"",""en"")"),"['Star', 'because', 'Points', 'already', 'Exchange', 'Ama', 'Package', 'Data', 'Disappointing', 'Kayak', 'Kayak']")</f>
        <v>['Star', 'because', 'Points', 'already', 'Exchange', 'Ama', 'Package', 'Data', 'Disappointing', 'Kayak', 'Kayak']</v>
      </c>
      <c r="D12603" s="3">
        <v>2.0</v>
      </c>
    </row>
    <row r="12604" ht="15.75" customHeight="1">
      <c r="A12604" s="1">
        <v>13420.0</v>
      </c>
      <c r="B12604" s="3" t="s">
        <v>12020</v>
      </c>
      <c r="C12604" s="3" t="str">
        <f>IFERROR(__xludf.DUMMYFUNCTION("GOOGLETRANSLATE(B12604,""id"",""en"")"),"['The network', 'Bener', 'Kek', 'skrg', 'good', 'threat']")</f>
        <v>['The network', 'Bener', 'Kek', 'skrg', 'good', 'threat']</v>
      </c>
      <c r="D12604" s="3">
        <v>4.0</v>
      </c>
    </row>
    <row r="12605" ht="15.75" customHeight="1">
      <c r="A12605" s="1">
        <v>13421.0</v>
      </c>
      <c r="B12605" s="3" t="s">
        <v>12021</v>
      </c>
      <c r="C12605" s="3" t="str">
        <f>IFERROR(__xludf.DUMMYFUNCTION("GOOGLETRANSLATE(B12605,""id"",""en"")"),"['Use', 'Telkomsel', 'Good', 'Open', 'Application']")</f>
        <v>['Use', 'Telkomsel', 'Good', 'Open', 'Application']</v>
      </c>
      <c r="D12605" s="3">
        <v>1.0</v>
      </c>
    </row>
    <row r="12606" ht="15.75" customHeight="1">
      <c r="A12606" s="1">
        <v>13422.0</v>
      </c>
      <c r="B12606" s="3" t="s">
        <v>12022</v>
      </c>
      <c r="C12606" s="3" t="str">
        <f>IFERROR(__xludf.DUMMYFUNCTION("GOOGLETRANSLATE(B12606,""id"",""en"")"),"['Please', 'Telkomsel', 'Normal', 'The Network', 'User', 'Telkomsel', 'Disappointed', 'Disappointed']")</f>
        <v>['Please', 'Telkomsel', 'Normal', 'The Network', 'User', 'Telkomsel', 'Disappointed', 'Disappointed']</v>
      </c>
      <c r="D12606" s="3">
        <v>1.0</v>
      </c>
    </row>
    <row r="12607" ht="15.75" customHeight="1">
      <c r="A12607" s="1">
        <v>13423.0</v>
      </c>
      <c r="B12607" s="3" t="s">
        <v>12023</v>
      </c>
      <c r="C12607" s="3" t="str">
        <f>IFERROR(__xludf.DUMMYFUNCTION("GOOGLETRANSLATE(B12607,""id"",""en"")"),"['Network', 'slow', 'Package', 'Hello', 'GB', 'Clock', 'Sampe', ""]")</f>
        <v>['Network', 'slow', 'Package', 'Hello', 'GB', 'Clock', 'Sampe', "]</v>
      </c>
      <c r="D12607" s="3">
        <v>1.0</v>
      </c>
    </row>
    <row r="12608" ht="15.75" customHeight="1">
      <c r="A12608" s="1">
        <v>13425.0</v>
      </c>
      <c r="B12608" s="3" t="s">
        <v>12024</v>
      </c>
      <c r="C12608" s="3" t="str">
        <f>IFERROR(__xludf.DUMMYFUNCTION("GOOGLETRANSLATE(B12608,""id"",""en"")"),"['Network', 'slow', 'week']")</f>
        <v>['Network', 'slow', 'week']</v>
      </c>
      <c r="D12608" s="3">
        <v>1.0</v>
      </c>
    </row>
    <row r="12609" ht="15.75" customHeight="1">
      <c r="A12609" s="1">
        <v>13426.0</v>
      </c>
      <c r="B12609" s="3" t="s">
        <v>12025</v>
      </c>
      <c r="C12609" s="3" t="str">
        <f>IFERROR(__xludf.DUMMYFUNCTION("GOOGLETRANSLATE(B12609,""id"",""en"")"),"['Price', 'Combo', 'sick', 'Yesterday', 'Hadeh', 'Ride in', 'Price', 'Please', 'Ride', 'Performance', 'Sousal', 'expensive', ' Doang ',' Ngelag ',' Pandemic ',' Price ',' Package ',' Hmm ']")</f>
        <v>['Price', 'Combo', 'sick', 'Yesterday', 'Hadeh', 'Ride in', 'Price', 'Please', 'Ride', 'Performance', 'Sousal', 'expensive', ' Doang ',' Ngelag ',' Pandemic ',' Price ',' Package ',' Hmm ']</v>
      </c>
      <c r="D12609" s="3">
        <v>3.0</v>
      </c>
    </row>
    <row r="12610" ht="15.75" customHeight="1">
      <c r="A12610" s="1">
        <v>13427.0</v>
      </c>
      <c r="B12610" s="3" t="s">
        <v>12026</v>
      </c>
      <c r="C12610" s="3" t="str">
        <f>IFERROR(__xludf.DUMMYFUNCTION("GOOGLETRANSLATE(B12610,""id"",""en"")"),"['easy', 'cheap', 'Sunyal', 'good', 'really', 'tsel', 'mantaaaaaapp']")</f>
        <v>['easy', 'cheap', 'Sunyal', 'good', 'really', 'tsel', 'mantaaaaaapp']</v>
      </c>
      <c r="D12610" s="3">
        <v>5.0</v>
      </c>
    </row>
    <row r="12611" ht="15.75" customHeight="1">
      <c r="A12611" s="1">
        <v>13428.0</v>
      </c>
      <c r="B12611" s="3" t="s">
        <v>12027</v>
      </c>
      <c r="C12611" s="3" t="str">
        <f>IFERROR(__xludf.DUMMYFUNCTION("GOOGLETRANSLATE(B12611,""id"",""en"")"),"['Telkomsel', 'bankrupt', 'kah', ""]")</f>
        <v>['Telkomsel', 'bankrupt', 'kah', "]</v>
      </c>
      <c r="D12611" s="3">
        <v>1.0</v>
      </c>
    </row>
    <row r="12612" ht="15.75" customHeight="1">
      <c r="A12612" s="1">
        <v>13429.0</v>
      </c>
      <c r="B12612" s="3" t="s">
        <v>4434</v>
      </c>
      <c r="C12612" s="3" t="str">
        <f>IFERROR(__xludf.DUMMYFUNCTION("GOOGLETRANSLATE(B12612,""id"",""en"")"),"['Application', 'opened', '']")</f>
        <v>['Application', 'opened', '']</v>
      </c>
      <c r="D12612" s="3">
        <v>1.0</v>
      </c>
    </row>
    <row r="12613" ht="15.75" customHeight="1">
      <c r="A12613" s="1">
        <v>13430.0</v>
      </c>
      <c r="B12613" s="3" t="s">
        <v>12028</v>
      </c>
      <c r="C12613" s="3" t="str">
        <f>IFERROR(__xludf.DUMMYFUNCTION("GOOGLETRANSLATE(B12613,""id"",""en"")"),"['Knp', 'Lowding']")</f>
        <v>['Knp', 'Lowding']</v>
      </c>
      <c r="D12613" s="3">
        <v>5.0</v>
      </c>
    </row>
    <row r="12614" ht="15.75" customHeight="1">
      <c r="A12614" s="1">
        <v>13432.0</v>
      </c>
      <c r="B12614" s="3" t="s">
        <v>12029</v>
      </c>
      <c r="C12614" s="3" t="str">
        <f>IFERROR(__xludf.DUMMYFUNCTION("GOOGLETRANSLATE(B12614,""id"",""en"")"),"['Glad', 'Sakali']")</f>
        <v>['Glad', 'Sakali']</v>
      </c>
      <c r="D12614" s="3">
        <v>5.0</v>
      </c>
    </row>
    <row r="12615" ht="15.75" customHeight="1">
      <c r="A12615" s="1">
        <v>13433.0</v>
      </c>
      <c r="B12615" s="3" t="s">
        <v>12030</v>
      </c>
      <c r="C12615" s="3" t="str">
        <f>IFERROR(__xludf.DUMMYFUNCTION("GOOGLETRANSLATE(B12615,""id"",""en"")"),"['signal', 'good', 'Nge', 'game', '']")</f>
        <v>['signal', 'good', 'Nge', 'game', '']</v>
      </c>
      <c r="D12615" s="3">
        <v>3.0</v>
      </c>
    </row>
    <row r="12616" ht="15.75" customHeight="1">
      <c r="A12616" s="1">
        <v>13434.0</v>
      </c>
      <c r="B12616" s="3" t="s">
        <v>12031</v>
      </c>
      <c r="C12616" s="3" t="str">
        <f>IFERROR(__xludf.DUMMYFUNCTION("GOOGLETRANSLATE(B12616,""id"",""en"")"),"['Boss',' poor ',' Meet ',' Veronika ',' difficult ',' poor ',' application ',' convenient ',' simple ',' callcenterhalo ',' telephone ',' slow ',' ']")</f>
        <v>['Boss',' poor ',' Meet ',' Veronika ',' difficult ',' poor ',' application ',' convenient ',' simple ',' callcenterhalo ',' telephone ',' slow ',' ']</v>
      </c>
      <c r="D12616" s="3">
        <v>1.0</v>
      </c>
    </row>
    <row r="12617" ht="15.75" customHeight="1">
      <c r="A12617" s="1">
        <v>13435.0</v>
      </c>
      <c r="B12617" s="3" t="s">
        <v>12032</v>
      </c>
      <c r="C12617" s="3" t="str">
        <f>IFERROR(__xludf.DUMMYFUNCTION("GOOGLETRANSLATE(B12617,""id"",""en"")"),"['Leet', 'mah', 'high', 'tolng', 'pebaik', 'customers', 'Telkomsel', 'switch', 'operator']")</f>
        <v>['Leet', 'mah', 'high', 'tolng', 'pebaik', 'customers', 'Telkomsel', 'switch', 'operator']</v>
      </c>
      <c r="D12617" s="3">
        <v>2.0</v>
      </c>
    </row>
    <row r="12618" ht="15.75" customHeight="1">
      <c r="A12618" s="1">
        <v>13436.0</v>
      </c>
      <c r="B12618" s="3" t="s">
        <v>12033</v>
      </c>
      <c r="C12618" s="3" t="str">
        <f>IFERROR(__xludf.DUMMYFUNCTION("GOOGLETRANSLATE(B12618,""id"",""en"")"),"['Paketannya', 'Mulu', 'Price']")</f>
        <v>['Paketannya', 'Mulu', 'Price']</v>
      </c>
      <c r="D12618" s="3">
        <v>3.0</v>
      </c>
    </row>
    <row r="12619" ht="15.75" customHeight="1">
      <c r="A12619" s="1">
        <v>13437.0</v>
      </c>
      <c r="B12619" s="3" t="s">
        <v>12034</v>
      </c>
      <c r="C12619" s="3" t="str">
        <f>IFERROR(__xludf.DUMMYFUNCTION("GOOGLETRANSLATE(B12619,""id"",""en"")"),"['kaka', 'contents',' pulse ',' thousand ',' Malaysia ',' Indonesia ',' pulses', 'enter', 'times',' seller ',' pulses', 'love', ' Evidence ',' pulses', 'sent', 'confused', 'problematic', 'seller', 'pulses',' Telkomsel ',' ']")</f>
        <v>['kaka', 'contents',' pulse ',' thousand ',' Malaysia ',' Indonesia ',' pulses', 'enter', 'times',' seller ',' pulses', 'love', ' Evidence ',' pulses', 'sent', 'confused', 'problematic', 'seller', 'pulses',' Telkomsel ',' ']</v>
      </c>
      <c r="D12619" s="3">
        <v>1.0</v>
      </c>
    </row>
    <row r="12620" ht="15.75" customHeight="1">
      <c r="A12620" s="1">
        <v>13438.0</v>
      </c>
      <c r="B12620" s="3" t="s">
        <v>12035</v>
      </c>
      <c r="C12620" s="3" t="str">
        <f>IFERROR(__xludf.DUMMYFUNCTION("GOOGLETRANSLATE(B12620,""id"",""en"")"),"['Price', 'Package', 'Data', 'Malal', 'Clock', 'Lost', 'Network', 'Disappointed', '']")</f>
        <v>['Price', 'Package', 'Data', 'Malal', 'Clock', 'Lost', 'Network', 'Disappointed', '']</v>
      </c>
      <c r="D12620" s="3">
        <v>1.0</v>
      </c>
    </row>
    <row r="12621" ht="15.75" customHeight="1">
      <c r="A12621" s="1">
        <v>13439.0</v>
      </c>
      <c r="B12621" s="3" t="s">
        <v>12036</v>
      </c>
      <c r="C12621" s="3" t="str">
        <f>IFERROR(__xludf.DUMMYFUNCTION("GOOGLETRANSLATE(B12621,""id"",""en"")"),"['Network', 'Telkomsel', 'Leet', 'ugly', 'Seindonesia', 'Disappointed']")</f>
        <v>['Network', 'Telkomsel', 'Leet', 'ugly', 'Seindonesia', 'Disappointed']</v>
      </c>
      <c r="D12621" s="3">
        <v>1.0</v>
      </c>
    </row>
    <row r="12622" ht="15.75" customHeight="1">
      <c r="A12622" s="1">
        <v>13440.0</v>
      </c>
      <c r="B12622" s="3" t="s">
        <v>12037</v>
      </c>
      <c r="C12622" s="3" t="str">
        <f>IFERROR(__xludf.DUMMYFUNCTION("GOOGLETRANSLATE(B12622,""id"",""en"")"),"['thank', 'love', 'application', 'makes it easier', 'search', 'choice', 'package', 'package', 'data']")</f>
        <v>['thank', 'love', 'application', 'makes it easier', 'search', 'choice', 'package', 'package', 'data']</v>
      </c>
      <c r="D12622" s="3">
        <v>5.0</v>
      </c>
    </row>
    <row r="12623" ht="15.75" customHeight="1">
      <c r="A12623" s="1">
        <v>13441.0</v>
      </c>
      <c r="B12623" s="3" t="s">
        <v>12038</v>
      </c>
      <c r="C12623" s="3" t="str">
        <f>IFERROR(__xludf.DUMMYFUNCTION("GOOGLETRANSLATE(B12623,""id"",""en"")"),"['Good', 'transaction']")</f>
        <v>['Good', 'transaction']</v>
      </c>
      <c r="D12623" s="3">
        <v>5.0</v>
      </c>
    </row>
    <row r="12624" ht="15.75" customHeight="1">
      <c r="A12624" s="1">
        <v>13442.0</v>
      </c>
      <c r="B12624" s="3" t="s">
        <v>12039</v>
      </c>
      <c r="C12624" s="3" t="str">
        <f>IFERROR(__xludf.DUMMYFUNCTION("GOOGLETRANSLATE(B12624,""id"",""en"")"),"['Telkomsel', 'kpn', 'nyelesein', 'pulse', 'suck', 'klau', 'quota', 'hbis',' company ',' kek ',' telkomsel ',' features', ' Stop ',' Data ',' Klau ',' quota ',' already ',' Bukn ',' send ',' message ',' wear ',' access', 'internet', 'pulses',' non ' , 'pa"&amp;"ckage', 'forgiveness',' deh ',' use ',' telkomsel ',' quality ',' according to ',' price ',' comment ',' telkomsel ',' stupid ',' congratulations', ' Looking ',' Untunng ',' bnykk ']")</f>
        <v>['Telkomsel', 'kpn', 'nyelesein', 'pulse', 'suck', 'klau', 'quota', 'hbis',' company ',' kek ',' telkomsel ',' features', ' Stop ',' Data ',' Klau ',' quota ',' already ',' Bukn ',' send ',' message ',' wear ',' access', 'internet', 'pulses',' non ' , 'package', 'forgiveness',' deh ',' use ',' telkomsel ',' quality ',' according to ',' price ',' comment ',' telkomsel ',' stupid ',' congratulations', ' Looking ',' Untunng ',' bnykk ']</v>
      </c>
      <c r="D12624" s="3">
        <v>1.0</v>
      </c>
    </row>
    <row r="12625" ht="15.75" customHeight="1">
      <c r="A12625" s="1">
        <v>13443.0</v>
      </c>
      <c r="B12625" s="3" t="s">
        <v>12040</v>
      </c>
      <c r="C12625" s="3" t="str">
        <f>IFERROR(__xludf.DUMMYFUNCTION("GOOGLETRANSLATE(B12625,""id"",""en"")"),"['BSA', 'Open', 'Delete', 'reset', 'dowload', 'Lebh', 'bsa']")</f>
        <v>['BSA', 'Open', 'Delete', 'reset', 'dowload', 'Lebh', 'bsa']</v>
      </c>
      <c r="D12625" s="3">
        <v>1.0</v>
      </c>
    </row>
    <row r="12626" ht="15.75" customHeight="1">
      <c r="A12626" s="1">
        <v>13444.0</v>
      </c>
      <c r="B12626" s="3" t="s">
        <v>12041</v>
      </c>
      <c r="C12626" s="3" t="str">
        <f>IFERROR(__xludf.DUMMYFUNCTION("GOOGLETRANSLATE(B12626,""id"",""en"")"),"['please', 'network', 'signal', 'good', 'play', 'game', 'lag', '']")</f>
        <v>['please', 'network', 'signal', 'good', 'play', 'game', 'lag', '']</v>
      </c>
      <c r="D12626" s="3">
        <v>5.0</v>
      </c>
    </row>
    <row r="12627" ht="15.75" customHeight="1">
      <c r="A12627" s="1">
        <v>13445.0</v>
      </c>
      <c r="B12627" s="3" t="s">
        <v>12042</v>
      </c>
      <c r="C12627" s="3" t="str">
        <f>IFERROR(__xludf.DUMMYFUNCTION("GOOGLETRANSLATE(B12627,""id"",""en"")"),"['network', 'Telkomsel', 'ugly', 'notification', 'package', 'run out', 'pulse', 'taken', 'until', 'package', 'no', 'nyampe', ' Where ',' Loss', 'MB', 'Already', 'Tired', 'Give', 'Review', 'Repair']")</f>
        <v>['network', 'Telkomsel', 'ugly', 'notification', 'package', 'run out', 'pulse', 'taken', 'until', 'package', 'no', 'nyampe', ' Where ',' Loss', 'MB', 'Already', 'Tired', 'Give', 'Review', 'Repair']</v>
      </c>
      <c r="D12627" s="3">
        <v>1.0</v>
      </c>
    </row>
    <row r="12628" ht="15.75" customHeight="1">
      <c r="A12628" s="1">
        <v>13446.0</v>
      </c>
      <c r="B12628" s="3" t="s">
        <v>12043</v>
      </c>
      <c r="C12628" s="3" t="str">
        <f>IFERROR(__xludf.DUMMYFUNCTION("GOOGLETRANSLATE(B12628,""id"",""en"")"),"['Jaringa', 'ugly', 'buy', 'package', 'expensive', 'kayak', 'nggk', 'pay', 'suggest', 'use', 'telkomsel']")</f>
        <v>['Jaringa', 'ugly', 'buy', 'package', 'expensive', 'kayak', 'nggk', 'pay', 'suggest', 'use', 'telkomsel']</v>
      </c>
      <c r="D12628" s="3">
        <v>1.0</v>
      </c>
    </row>
    <row r="12629" ht="15.75" customHeight="1">
      <c r="A12629" s="1">
        <v>13447.0</v>
      </c>
      <c r="B12629" s="3" t="s">
        <v>12044</v>
      </c>
      <c r="C12629" s="3" t="str">
        <f>IFERROR(__xludf.DUMMYFUNCTION("GOOGLETRANSLATE(B12629,""id"",""en"")"),"['Telkomsel', 'ngecirewain', 'right', 'opened', 'App', 'screen', 'white', 'appears', 'assisted', 'app', 'Telkomsel', ""]")</f>
        <v>['Telkomsel', 'ngecirewain', 'right', 'opened', 'App', 'screen', 'white', 'appears', 'assisted', 'app', 'Telkomsel', "]</v>
      </c>
      <c r="D12629" s="3">
        <v>2.0</v>
      </c>
    </row>
    <row r="12630" ht="15.75" customHeight="1">
      <c r="A12630" s="1">
        <v>13448.0</v>
      </c>
      <c r="B12630" s="3" t="s">
        <v>12045</v>
      </c>
      <c r="C12630" s="3" t="str">
        <f>IFERROR(__xludf.DUMMYFUNCTION("GOOGLETRANSLATE(B12630,""id"",""en"")"),"['already', 'Install', 'suru', 'update', 'already', 'update', 'apk', 'ttp', 'suru', 'update', 'pdhl', 'play', ' Store ',' button ',' update ',' stay ',' open ',' ']")</f>
        <v>['already', 'Install', 'suru', 'update', 'already', 'update', 'apk', 'ttp', 'suru', 'update', 'pdhl', 'play', ' Store ',' button ',' update ',' stay ',' open ',' ']</v>
      </c>
      <c r="D12630" s="3">
        <v>1.0</v>
      </c>
    </row>
    <row r="12631" ht="15.75" customHeight="1">
      <c r="A12631" s="1">
        <v>13449.0</v>
      </c>
      <c r="B12631" s="3" t="s">
        <v>12046</v>
      </c>
      <c r="C12631" s="3" t="str">
        <f>IFERROR(__xludf.DUMMYFUNCTION("GOOGLETRANSLATE(B12631,""id"",""en"")"),"['Deck', 'NGK', 'ISA', 'Open']")</f>
        <v>['Deck', 'NGK', 'ISA', 'Open']</v>
      </c>
      <c r="D12631" s="3">
        <v>5.0</v>
      </c>
    </row>
    <row r="12632" ht="15.75" customHeight="1">
      <c r="A12632" s="1">
        <v>13450.0</v>
      </c>
      <c r="B12632" s="3" t="s">
        <v>12047</v>
      </c>
      <c r="C12632" s="3" t="str">
        <f>IFERROR(__xludf.DUMMYFUNCTION("GOOGLETRANSLATE(B12632,""id"",""en"")"),"['application', 'ngeblank', 'white', 'open', 'troubling', 'mending', 'move', 'provieder', 'mandatory', 'love', 'star', ""]")</f>
        <v>['application', 'ngeblank', 'white', 'open', 'troubling', 'mending', 'move', 'provieder', 'mandatory', 'love', 'star', "]</v>
      </c>
      <c r="D12632" s="3">
        <v>1.0</v>
      </c>
    </row>
    <row r="12633" ht="15.75" customHeight="1">
      <c r="A12633" s="1">
        <v>13451.0</v>
      </c>
      <c r="B12633" s="3" t="s">
        <v>12048</v>
      </c>
      <c r="C12633" s="3" t="str">
        <f>IFERROR(__xludf.DUMMYFUNCTION("GOOGLETRANSLATE(B12633,""id"",""en"")"),"['App', 'Error', 'Open', 'Paraah']")</f>
        <v>['App', 'Error', 'Open', 'Paraah']</v>
      </c>
      <c r="D12633" s="3">
        <v>1.0</v>
      </c>
    </row>
    <row r="12634" ht="15.75" customHeight="1">
      <c r="A12634" s="1">
        <v>13453.0</v>
      </c>
      <c r="B12634" s="3" t="s">
        <v>12049</v>
      </c>
      <c r="C12634" s="3" t="str">
        <f>IFERROR(__xludf.DUMMYFUNCTION("GOOGLETRANSLATE(B12634,""id"",""en"")"),"['Slalu', 'use', 'Telkomsel', 'Darling', 'the card', 'ilang', 'broken', 'because' creation ',' Katin ',' friend ',' Mahala ',' Because ',' comfortable ',' situation ',' anything ',' Full ',' signal ',' audio ',' visual ',' easy ',' best ',' situation ',' "&amp;"anything ',' Indonesia ' , 'Beloved', '']")</f>
        <v>['Slalu', 'use', 'Telkomsel', 'Darling', 'the card', 'ilang', 'broken', 'because' creation ',' Katin ',' friend ',' Mahala ',' Because ',' comfortable ',' situation ',' anything ',' Full ',' signal ',' audio ',' visual ',' easy ',' best ',' situation ',' anything ',' Indonesia ' , 'Beloved', '']</v>
      </c>
      <c r="D12634" s="3">
        <v>5.0</v>
      </c>
    </row>
    <row r="12635" ht="15.75" customHeight="1">
      <c r="A12635" s="1">
        <v>13454.0</v>
      </c>
      <c r="B12635" s="3" t="s">
        <v>12050</v>
      </c>
      <c r="C12635" s="3" t="str">
        <f>IFERROR(__xludf.DUMMYFUNCTION("GOOGLETRANSLATE(B12635,""id"",""en"")"),"['', 'ELEH', 'Application', 'Plat', 'Red', 'Ngblank', 'Cheap', 'Times',' Programer ',' It seems', 'Stable', 'Application', 'Porn ',' ']")</f>
        <v>['', 'ELEH', 'Application', 'Plat', 'Red', 'Ngblank', 'Cheap', 'Times',' Programer ',' It seems', 'Stable', 'Application', 'Porn ',' ']</v>
      </c>
      <c r="D12635" s="3">
        <v>1.0</v>
      </c>
    </row>
    <row r="12636" ht="15.75" customHeight="1">
      <c r="A12636" s="1">
        <v>13455.0</v>
      </c>
      <c r="B12636" s="3" t="s">
        <v>12051</v>
      </c>
      <c r="C12636" s="3" t="str">
        <f>IFERROR(__xludf.DUMMYFUNCTION("GOOGLETRANSLATE(B12636,""id"",""en"")"),"['Severe', 'already', 'The application', 'Gunain', 'already', 'Uninstall', 'Many', 'Ngerugin', 'people', 'really', ""]")</f>
        <v>['Severe', 'already', 'The application', 'Gunain', 'already', 'Uninstall', 'Many', 'Ngerugin', 'people', 'really', "]</v>
      </c>
      <c r="D12636" s="3">
        <v>1.0</v>
      </c>
    </row>
    <row r="12637" ht="15.75" customHeight="1">
      <c r="A12637" s="1">
        <v>13456.0</v>
      </c>
      <c r="B12637" s="3" t="s">
        <v>12052</v>
      </c>
      <c r="C12637" s="3" t="str">
        <f>IFERROR(__xludf.DUMMYFUNCTION("GOOGLETRANSLATE(B12637,""id"",""en"")"),"['Okay', 'really', 'Telkomsel']")</f>
        <v>['Okay', 'really', 'Telkomsel']</v>
      </c>
      <c r="D12637" s="3">
        <v>5.0</v>
      </c>
    </row>
    <row r="12638" ht="15.75" customHeight="1">
      <c r="A12638" s="1">
        <v>13457.0</v>
      </c>
      <c r="B12638" s="3" t="s">
        <v>12053</v>
      </c>
      <c r="C12638" s="3" t="str">
        <f>IFERROR(__xludf.DUMMYFUNCTION("GOOGLETRANSLATE(B12638,""id"",""en"")"),"['Please', 'fix', 'signal', 'Telkomsel', 'rotten', 'signal', 'Telkomsel', 'uda', 'expensive', 'connection', 'down', 'please', ' Adjust ',' Price ',' Quality ',' Signal ',' Price ',' Expensive ',' Quality ',' Signal ',' Severe ',' ']")</f>
        <v>['Please', 'fix', 'signal', 'Telkomsel', 'rotten', 'signal', 'Telkomsel', 'uda', 'expensive', 'connection', 'down', 'please', ' Adjust ',' Price ',' Quality ',' Signal ',' Price ',' Expensive ',' Quality ',' Signal ',' Severe ',' ']</v>
      </c>
      <c r="D12638" s="3">
        <v>1.0</v>
      </c>
    </row>
    <row r="12639" ht="15.75" customHeight="1">
      <c r="A12639" s="1">
        <v>13458.0</v>
      </c>
      <c r="B12639" s="3" t="s">
        <v>12054</v>
      </c>
      <c r="C12639" s="3" t="str">
        <f>IFERROR(__xludf.DUMMYFUNCTION("GOOGLETRANSLATE(B12639,""id"",""en"")"),"['signal', 'Telkomsel', 'Macem', 'ppp', 'package', 'expensive', 'quality', 'network', 'buriiII', 'consumer', 'disappointed']")</f>
        <v>['signal', 'Telkomsel', 'Macem', 'ppp', 'package', 'expensive', 'quality', 'network', 'buriiII', 'consumer', 'disappointed']</v>
      </c>
      <c r="D12639" s="3">
        <v>1.0</v>
      </c>
    </row>
    <row r="12640" ht="15.75" customHeight="1">
      <c r="A12640" s="1">
        <v>13459.0</v>
      </c>
      <c r="B12640" s="3" t="s">
        <v>12055</v>
      </c>
      <c r="C12640" s="3" t="str">
        <f>IFERROR(__xludf.DUMMYFUNCTION("GOOGLETRANSLATE(B12640,""id"",""en"")"),"['Application', 'Okay', 'Signal', 'Bad', 'Service', 'Bad', 'Tower', 'Tower', 'Blackout', 'Electricity', ""]")</f>
        <v>['Application', 'Okay', 'Signal', 'Bad', 'Service', 'Bad', 'Tower', 'Tower', 'Blackout', 'Electricity', "]</v>
      </c>
      <c r="D12640" s="3">
        <v>1.0</v>
      </c>
    </row>
    <row r="12641" ht="15.75" customHeight="1">
      <c r="A12641" s="1">
        <v>13460.0</v>
      </c>
      <c r="B12641" s="3" t="s">
        <v>12056</v>
      </c>
      <c r="C12641" s="3" t="str">
        <f>IFERROR(__xludf.DUMMYFUNCTION("GOOGLETRANSLATE(B12641,""id"",""en"")"),"['disappointing', 'week', 'application', 'tidal', 'opened', 'page', 'white']")</f>
        <v>['disappointing', 'week', 'application', 'tidal', 'opened', 'page', 'white']</v>
      </c>
      <c r="D12641" s="3">
        <v>1.0</v>
      </c>
    </row>
    <row r="12642" ht="15.75" customHeight="1">
      <c r="A12642" s="1">
        <v>13461.0</v>
      </c>
      <c r="B12642" s="3" t="s">
        <v>12057</v>
      </c>
      <c r="C12642" s="3" t="str">
        <f>IFERROR(__xludf.DUMMYFUNCTION("GOOGLETRANSLATE(B12642,""id"",""en"")"),"['Parrrahaaahhhhh', 'people', 'sewot', 'application', 'white', 'screen', 'how', 'cave', 'list', 'package', 'the application', 'error', ' ']")</f>
        <v>['Parrrahaaahhhhh', 'people', 'sewot', 'application', 'white', 'screen', 'how', 'cave', 'list', 'package', 'the application', 'error', ' ']</v>
      </c>
      <c r="D12642" s="3">
        <v>1.0</v>
      </c>
    </row>
    <row r="12643" ht="15.75" customHeight="1">
      <c r="A12643" s="1">
        <v>13462.0</v>
      </c>
      <c r="B12643" s="3" t="s">
        <v>12058</v>
      </c>
      <c r="C12643" s="3" t="str">
        <f>IFERROR(__xludf.DUMMYFUNCTION("GOOGLETRANSLATE(B12643,""id"",""en"")"),"['Steady', 'kmn', 'signal', 'ngaacigg']")</f>
        <v>['Steady', 'kmn', 'signal', 'ngaacigg']</v>
      </c>
      <c r="D12643" s="3">
        <v>5.0</v>
      </c>
    </row>
    <row r="12644" ht="15.75" customHeight="1">
      <c r="A12644" s="1">
        <v>13464.0</v>
      </c>
      <c r="B12644" s="3" t="s">
        <v>12059</v>
      </c>
      <c r="C12644" s="3" t="str">
        <f>IFERROR(__xludf.DUMMYFUNCTION("GOOGLETRANSLATE(B12644,""id"",""en"")"),"['gift', 'pulse', 'cheap', 'promo']")</f>
        <v>['gift', 'pulse', 'cheap', 'promo']</v>
      </c>
      <c r="D12644" s="3">
        <v>5.0</v>
      </c>
    </row>
    <row r="12645" ht="15.75" customHeight="1">
      <c r="A12645" s="1">
        <v>13465.0</v>
      </c>
      <c r="B12645" s="3" t="s">
        <v>12060</v>
      </c>
      <c r="C12645" s="3" t="str">
        <f>IFERROR(__xludf.DUMMYFUNCTION("GOOGLETRANSLATE(B12645,""id"",""en"")"),"['Severe', 'slow', 'Loading', 'Error', 'The application', 'opened']")</f>
        <v>['Severe', 'slow', 'Loading', 'Error', 'The application', 'opened']</v>
      </c>
      <c r="D12645" s="3">
        <v>1.0</v>
      </c>
    </row>
    <row r="12646" ht="15.75" customHeight="1">
      <c r="A12646" s="1">
        <v>13466.0</v>
      </c>
      <c r="B12646" s="3" t="s">
        <v>12061</v>
      </c>
      <c r="C12646" s="3" t="str">
        <f>IFERROR(__xludf.DUMMYFUNCTION("GOOGLETRANSLATE(B12646,""id"",""en"")"),"['Open', 'MyTelkomsel', 'Network', 'smooth', 'Reinstall', 'application', 'number', 'WhatsApp', 'Telkomsel', 'complaint']")</f>
        <v>['Open', 'MyTelkomsel', 'Network', 'smooth', 'Reinstall', 'application', 'number', 'WhatsApp', 'Telkomsel', 'complaint']</v>
      </c>
      <c r="D12646" s="3">
        <v>3.0</v>
      </c>
    </row>
    <row r="12647" ht="15.75" customHeight="1">
      <c r="A12647" s="1">
        <v>13467.0</v>
      </c>
      <c r="B12647" s="3" t="s">
        <v>12062</v>
      </c>
      <c r="C12647" s="3" t="str">
        <f>IFERROR(__xludf.DUMMYFUNCTION("GOOGLETRANSLATE(B12647,""id"",""en"")"),"['Original', 'Disappointed', 'Application', 'Tsel', 'Since', 'Upgrade', 'Screen', 'White', 'Alias',' Blank ',' White ',' Open ',' rich ',' getting ',' bug ',' application ',' that's', 'how', 'Hello', 'already', 'subscription', 'customer', 'loyal', 'mangga"&amp;"t', 'complaint' , 'blank', 'white', 'please', 'noticed', 'fix', '']")</f>
        <v>['Original', 'Disappointed', 'Application', 'Tsel', 'Since', 'Upgrade', 'Screen', 'White', 'Alias',' Blank ',' White ',' Open ',' rich ',' getting ',' bug ',' application ',' that's', 'how', 'Hello', 'already', 'subscription', 'customer', 'loyal', 'manggat', 'complaint' , 'blank', 'white', 'please', 'noticed', 'fix', '']</v>
      </c>
      <c r="D12647" s="3">
        <v>1.0</v>
      </c>
    </row>
    <row r="12648" ht="15.75" customHeight="1">
      <c r="A12648" s="1">
        <v>13469.0</v>
      </c>
      <c r="B12648" s="3" t="s">
        <v>12063</v>
      </c>
      <c r="C12648" s="3" t="str">
        <f>IFERROR(__xludf.DUMMYFUNCTION("GOOGLETRANSLATE(B12648,""id"",""en"")"),"['', 'Telkomsel', 'steady', 'pisan', 'euyy']")</f>
        <v>['', 'Telkomsel', 'steady', 'pisan', 'euyy']</v>
      </c>
      <c r="D12648" s="3">
        <v>5.0</v>
      </c>
    </row>
    <row r="12649" ht="15.75" customHeight="1">
      <c r="A12649" s="1">
        <v>13470.0</v>
      </c>
      <c r="B12649" s="3" t="s">
        <v>12064</v>
      </c>
      <c r="C12649" s="3" t="str">
        <f>IFERROR(__xludf.DUMMYFUNCTION("GOOGLETRANSLATE(B12649,""id"",""en"")"),"['Try', 'Try', 'Wear', 'Provider', 'Signal', 'Amsyong', 'Price', 'Terrible', 'Center', 'City', 'Jakarta', 'Signal', ' Down ',' missing ',' ']")</f>
        <v>['Try', 'Try', 'Wear', 'Provider', 'Signal', 'Amsyong', 'Price', 'Terrible', 'Center', 'City', 'Jakarta', 'Signal', ' Down ',' missing ',' ']</v>
      </c>
      <c r="D12649" s="3">
        <v>1.0</v>
      </c>
    </row>
    <row r="12650" ht="15.75" customHeight="1">
      <c r="A12650" s="1">
        <v>13471.0</v>
      </c>
      <c r="B12650" s="3" t="s">
        <v>12065</v>
      </c>
      <c r="C12650" s="3" t="str">
        <f>IFERROR(__xludf.DUMMYFUNCTION("GOOGLETRANSLATE(B12650,""id"",""en"")"),"['', 'Indihomen', 'package', 'data', 'lag', 'all', 'work', 'ngepain', 'people', 'telkom']")</f>
        <v>['', 'Indihomen', 'package', 'data', 'lag', 'all', 'work', 'ngepain', 'people', 'telkom']</v>
      </c>
      <c r="D12650" s="3">
        <v>1.0</v>
      </c>
    </row>
    <row r="12651" ht="15.75" customHeight="1">
      <c r="A12651" s="1">
        <v>13472.0</v>
      </c>
      <c r="B12651" s="3" t="s">
        <v>12066</v>
      </c>
      <c r="C12651" s="3" t="str">
        <f>IFERROR(__xludf.DUMMYFUNCTION("GOOGLETRANSLATE(B12651,""id"",""en"")"),"['Love', 'Telkomsel', 'Ampe', 'Signal', 'Burik', 'Main', 'Game', 'Red']")</f>
        <v>['Love', 'Telkomsel', 'Ampe', 'Signal', 'Burik', 'Main', 'Game', 'Red']</v>
      </c>
      <c r="D12651" s="3">
        <v>1.0</v>
      </c>
    </row>
    <row r="12652" ht="15.75" customHeight="1">
      <c r="A12652" s="1">
        <v>13473.0</v>
      </c>
      <c r="B12652" s="3" t="s">
        <v>12067</v>
      </c>
      <c r="C12652" s="3" t="str">
        <f>IFERROR(__xludf.DUMMYFUNCTION("GOOGLETRANSLATE(B12652,""id"",""en"")"),"['Help', 'at the moment', 'Need', 'Communication']")</f>
        <v>['Help', 'at the moment', 'Need', 'Communication']</v>
      </c>
      <c r="D12652" s="3">
        <v>5.0</v>
      </c>
    </row>
    <row r="12653" ht="15.75" customHeight="1">
      <c r="A12653" s="1">
        <v>13474.0</v>
      </c>
      <c r="B12653" s="3" t="s">
        <v>12068</v>
      </c>
      <c r="C12653" s="3" t="str">
        <f>IFERROR(__xludf.DUMMYFUNCTION("GOOGLETRANSLATE(B12653,""id"",""en"")"),"['Knp', 'package', 'emergency', 'active', 'pdhl', 'activate', 'package', 'please', 'fix']")</f>
        <v>['Knp', 'package', 'emergency', 'active', 'pdhl', 'activate', 'package', 'please', 'fix']</v>
      </c>
      <c r="D12653" s="3">
        <v>1.0</v>
      </c>
    </row>
    <row r="12654" ht="15.75" customHeight="1">
      <c r="A12654" s="1">
        <v>13475.0</v>
      </c>
      <c r="B12654" s="3" t="s">
        <v>12069</v>
      </c>
      <c r="C12654" s="3" t="str">
        <f>IFERROR(__xludf.DUMMYFUNCTION("GOOGLETRANSLATE(B12654,""id"",""en"")"),"['happy', 'well', 'gift', 'process', 'ribet']")</f>
        <v>['happy', 'well', 'gift', 'process', 'ribet']</v>
      </c>
      <c r="D12654" s="3">
        <v>4.0</v>
      </c>
    </row>
    <row r="12655" ht="15.75" customHeight="1">
      <c r="A12655" s="1">
        <v>13477.0</v>
      </c>
      <c r="B12655" s="3" t="s">
        <v>12070</v>
      </c>
      <c r="C12655" s="3" t="str">
        <f>IFERROR(__xludf.DUMMYFUNCTION("GOOGLETRANSLATE(B12655,""id"",""en"")"),"['Application', 'opened', 'knapa']")</f>
        <v>['Application', 'opened', 'knapa']</v>
      </c>
      <c r="D12655" s="3">
        <v>5.0</v>
      </c>
    </row>
    <row r="12656" ht="15.75" customHeight="1">
      <c r="A12656" s="1">
        <v>13478.0</v>
      </c>
      <c r="B12656" s="3" t="s">
        <v>12071</v>
      </c>
      <c r="C12656" s="3" t="str">
        <f>IFERROR(__xludf.DUMMYFUNCTION("GOOGLETRANSLATE(B12656,""id"",""en"")"),"['Nets', 'stable', 'price', 'quota', 'change', '']")</f>
        <v>['Nets', 'stable', 'price', 'quota', 'change', '']</v>
      </c>
      <c r="D12656" s="3">
        <v>2.0</v>
      </c>
    </row>
    <row r="12657" ht="15.75" customHeight="1">
      <c r="A12657" s="1">
        <v>13479.0</v>
      </c>
      <c r="B12657" s="3" t="s">
        <v>12072</v>
      </c>
      <c r="C12657" s="3" t="str">
        <f>IFERROR(__xludf.DUMMYFUNCTION("GOOGLETRANSLATE(B12657,""id"",""en"")"),"['Engaged', 'opened', 'Disamsung', ""]")</f>
        <v>['Engaged', 'opened', 'Disamsung', "]</v>
      </c>
      <c r="D12657" s="3">
        <v>5.0</v>
      </c>
    </row>
    <row r="12658" ht="15.75" customHeight="1">
      <c r="A12658" s="1">
        <v>13480.0</v>
      </c>
      <c r="B12658" s="3" t="s">
        <v>12073</v>
      </c>
      <c r="C12658" s="3" t="str">
        <f>IFERROR(__xludf.DUMMYFUNCTION("GOOGLETRANSLATE(B12658,""id"",""en"")"),"['White', 'Screen', 'Application', 'Disabled', 'No "",' Beguna ',' Uda ',' Telkomsel ',""]")</f>
        <v>['White', 'Screen', 'Application', 'Disabled', 'No ",' Beguna ',' Uda ',' Telkomsel ',"]</v>
      </c>
      <c r="D12658" s="3">
        <v>1.0</v>
      </c>
    </row>
    <row r="12659" ht="15.75" customHeight="1">
      <c r="A12659" s="1">
        <v>13481.0</v>
      </c>
      <c r="B12659" s="3" t="s">
        <v>12074</v>
      </c>
      <c r="C12659" s="3" t="str">
        <f>IFERROR(__xludf.DUMMYFUNCTION("GOOGLETRANSLATE(B12659,""id"",""en"")"),"['APK', 'opened', 'repaired', 'change', 'star', '']")</f>
        <v>['APK', 'opened', 'repaired', 'change', 'star', '']</v>
      </c>
      <c r="D12659" s="3">
        <v>1.0</v>
      </c>
    </row>
    <row r="12660" ht="15.75" customHeight="1">
      <c r="A12660" s="1">
        <v>13482.0</v>
      </c>
      <c r="B12660" s="3" t="s">
        <v>12075</v>
      </c>
      <c r="C12660" s="3" t="str">
        <f>IFERROR(__xludf.DUMMYFUNCTION("GOOGLETRANSLATE(B12660,""id"",""en"")"),"['', 'Customer', 'loyal', 'Telkomsel', 'TPI', 'PRNH', 'DPT', 'Gift', ""]")</f>
        <v>['', 'Customer', 'loyal', 'Telkomsel', 'TPI', 'PRNH', 'DPT', 'Gift', "]</v>
      </c>
      <c r="D12660" s="3">
        <v>5.0</v>
      </c>
    </row>
    <row r="12661" ht="15.75" customHeight="1">
      <c r="A12661" s="1">
        <v>13483.0</v>
      </c>
      <c r="B12661" s="3" t="s">
        <v>12076</v>
      </c>
      <c r="C12661" s="3" t="str">
        <f>IFERROR(__xludf.DUMMYFUNCTION("GOOGLETRANSLATE(B12661,""id"",""en"")"),"['Please', 'signal', 'slow', 'die', 'electricity', 'PLN', 'signal', 'difficult', 'aka', 'signal', 'signs',' Please ',' Repaired ',' Disappoint ',' Customer ',' ']")</f>
        <v>['Please', 'signal', 'slow', 'die', 'electricity', 'PLN', 'signal', 'difficult', 'aka', 'signal', 'signs',' Please ',' Repaired ',' Disappoint ',' Customer ',' ']</v>
      </c>
      <c r="D12661" s="3">
        <v>4.0</v>
      </c>
    </row>
    <row r="12662" ht="15.75" customHeight="1">
      <c r="A12662" s="1">
        <v>13484.0</v>
      </c>
      <c r="B12662" s="3" t="s">
        <v>12077</v>
      </c>
      <c r="C12662" s="3" t="str">
        <f>IFERROR(__xludf.DUMMYFUNCTION("GOOGLETRANSLATE(B12662,""id"",""en"")"),"['Telkomsel', 'slow', 'really', 'pay', 'expensive', '']")</f>
        <v>['Telkomsel', 'slow', 'really', 'pay', 'expensive', '']</v>
      </c>
      <c r="D12662" s="3">
        <v>1.0</v>
      </c>
    </row>
    <row r="12663" ht="15.75" customHeight="1">
      <c r="A12663" s="1">
        <v>13485.0</v>
      </c>
      <c r="B12663" s="3" t="s">
        <v>5405</v>
      </c>
      <c r="C12663" s="3" t="str">
        <f>IFERROR(__xludf.DUMMYFUNCTION("GOOGLETRANSLATE(B12663,""id"",""en"")"),"['App', 'opened']")</f>
        <v>['App', 'opened']</v>
      </c>
      <c r="D12663" s="3">
        <v>1.0</v>
      </c>
    </row>
    <row r="12664" ht="15.75" customHeight="1">
      <c r="A12664" s="1">
        <v>13486.0</v>
      </c>
      <c r="B12664" s="3" t="s">
        <v>12078</v>
      </c>
      <c r="C12664" s="3" t="str">
        <f>IFERROR(__xludf.DUMMYFUNCTION("GOOGLETRANSLATE(B12664,""id"",""en"")"),"['Open', 'Application', 'Permata', 'Mobilex']")</f>
        <v>['Open', 'Application', 'Permata', 'Mobilex']</v>
      </c>
      <c r="D12664" s="3">
        <v>1.0</v>
      </c>
    </row>
    <row r="12665" ht="15.75" customHeight="1">
      <c r="A12665" s="1">
        <v>13488.0</v>
      </c>
      <c r="B12665" s="3" t="s">
        <v>12079</v>
      </c>
      <c r="C12665" s="3" t="str">
        <f>IFERROR(__xludf.DUMMYFUNCTION("GOOGLETRANSLATE(B12665,""id"",""en"")"),"['Knp', 'enter', 'application', 'Telkomsel']")</f>
        <v>['Knp', 'enter', 'application', 'Telkomsel']</v>
      </c>
      <c r="D12665" s="3">
        <v>1.0</v>
      </c>
    </row>
    <row r="12666" ht="15.75" customHeight="1">
      <c r="A12666" s="1">
        <v>13489.0</v>
      </c>
      <c r="B12666" s="3" t="s">
        <v>12080</v>
      </c>
      <c r="C12666" s="3" t="str">
        <f>IFERROR(__xludf.DUMMYFUNCTION("GOOGLETRANSLATE(B12666,""id"",""en"")"),"['network', 'super', 'Lemott', 'skrng', 'pke', 'Telkomsel', 'telkin', 'pke', 'internet', 'supports', 'really', '']")</f>
        <v>['network', 'super', 'Lemott', 'skrng', 'pke', 'Telkomsel', 'telkin', 'pke', 'internet', 'supports', 'really', '']</v>
      </c>
      <c r="D12666" s="3">
        <v>1.0</v>
      </c>
    </row>
    <row r="12667" ht="15.75" customHeight="1">
      <c r="A12667" s="1">
        <v>13490.0</v>
      </c>
      <c r="B12667" s="3" t="s">
        <v>12081</v>
      </c>
      <c r="C12667" s="3" t="str">
        <f>IFERROR(__xludf.DUMMYFUNCTION("GOOGLETRANSLATE(B12667,""id"",""en"")"),"['Nomer', 'Dilogin', 'Dimy', 'Telkomsel', 'Card', 'Telkomsel', 'Posts',' Please ',' Number ',' Input ',' Number ',' Telkomsel ',' Please help']")</f>
        <v>['Nomer', 'Dilogin', 'Dimy', 'Telkomsel', 'Card', 'Telkomsel', 'Posts',' Please ',' Number ',' Input ',' Number ',' Telkomsel ',' Please help']</v>
      </c>
      <c r="D12667" s="3">
        <v>1.0</v>
      </c>
    </row>
    <row r="12668" ht="15.75" customHeight="1">
      <c r="A12668" s="1">
        <v>13491.0</v>
      </c>
      <c r="B12668" s="3" t="s">
        <v>1555</v>
      </c>
      <c r="C12668" s="3" t="str">
        <f>IFERROR(__xludf.DUMMYFUNCTION("GOOGLETRANSLATE(B12668,""id"",""en"")"),"['application', 'open', '']")</f>
        <v>['application', 'open', '']</v>
      </c>
      <c r="D12668" s="3">
        <v>1.0</v>
      </c>
    </row>
    <row r="12669" ht="15.75" customHeight="1">
      <c r="A12669" s="1">
        <v>13492.0</v>
      </c>
      <c r="B12669" s="3" t="s">
        <v>12082</v>
      </c>
      <c r="C12669" s="3" t="str">
        <f>IFERROR(__xludf.DUMMYFUNCTION("GOOGLETRANSLATE(B12669,""id"",""en"")"),"['Signal', 'Kian', 'Kian', 'ugly', 'Bad', 'Citra', 'Garden', 'Jak', 'West']")</f>
        <v>['Signal', 'Kian', 'Kian', 'ugly', 'Bad', 'Citra', 'Garden', 'Jak', 'West']</v>
      </c>
      <c r="D12669" s="3">
        <v>1.0</v>
      </c>
    </row>
    <row r="12670" ht="15.75" customHeight="1">
      <c r="A12670" s="1">
        <v>13493.0</v>
      </c>
      <c r="B12670" s="3" t="s">
        <v>12083</v>
      </c>
      <c r="C12670" s="3" t="str">
        <f>IFERROR(__xludf.DUMMYFUNCTION("GOOGLETRANSLATE(B12670,""id"",""en"")"),"['Tampilah', 'gift', 'interesting', 'hadian', 'blm', 'get', 'hope', 'gave', 'star', 'get', 'gift', 'car', ' ']")</f>
        <v>['Tampilah', 'gift', 'interesting', 'hadian', 'blm', 'get', 'hope', 'gave', 'star', 'get', 'gift', 'car', ' ']</v>
      </c>
      <c r="D12670" s="3">
        <v>5.0</v>
      </c>
    </row>
    <row r="12671" ht="15.75" customHeight="1">
      <c r="A12671" s="1">
        <v>13494.0</v>
      </c>
      <c r="B12671" s="3" t="s">
        <v>12084</v>
      </c>
      <c r="C12671" s="3" t="str">
        <f>IFERROR(__xludf.DUMMYFUNCTION("GOOGLETRANSLATE(B12671,""id"",""en"")"),"['The network', 'ugly', 'pass', 'at the time', 'rain']")</f>
        <v>['The network', 'ugly', 'pass', 'at the time', 'rain']</v>
      </c>
      <c r="D12671" s="3">
        <v>3.0</v>
      </c>
    </row>
    <row r="12672" ht="15.75" customHeight="1">
      <c r="A12672" s="1">
        <v>13495.0</v>
      </c>
      <c r="B12672" s="3" t="s">
        <v>12085</v>
      </c>
      <c r="C12672" s="3" t="str">
        <f>IFERROR(__xludf.DUMMYFUNCTION("GOOGLETRANSLATE(B12672,""id"",""en"")"),"['Telkomsel', 'sting', 'Severe', 'slow', 'signal', 'annoying', 'play', 'game', 'please', 'fix', 'strong', 'call', ' Doang ']")</f>
        <v>['Telkomsel', 'sting', 'Severe', 'slow', 'signal', 'annoying', 'play', 'game', 'please', 'fix', 'strong', 'call', ' Doang ']</v>
      </c>
      <c r="D12672" s="3">
        <v>1.0</v>
      </c>
    </row>
    <row r="12673" ht="15.75" customHeight="1">
      <c r="A12673" s="1">
        <v>13496.0</v>
      </c>
      <c r="B12673" s="3" t="s">
        <v>12086</v>
      </c>
      <c r="C12673" s="3" t="str">
        <f>IFERROR(__xludf.DUMMYFUNCTION("GOOGLETRANSLATE(B12673,""id"",""en"")"),"['', 'Good', 'Useful', 'Ribet']")</f>
        <v>['', 'Good', 'Useful', 'Ribet']</v>
      </c>
      <c r="D12673" s="3">
        <v>5.0</v>
      </c>
    </row>
    <row r="12674" ht="15.75" customHeight="1">
      <c r="A12674" s="1">
        <v>13497.0</v>
      </c>
      <c r="B12674" s="3" t="s">
        <v>12087</v>
      </c>
      <c r="C12674" s="3" t="str">
        <f>IFERROR(__xludf.DUMMYFUNCTION("GOOGLETRANSLATE(B12674,""id"",""en"")"),"['Constraints', 'access', 'Telkomsel', 'Doang', ""]")</f>
        <v>['Constraints', 'access', 'Telkomsel', 'Doang', "]</v>
      </c>
      <c r="D12674" s="3">
        <v>1.0</v>
      </c>
    </row>
    <row r="12675" ht="15.75" customHeight="1">
      <c r="A12675" s="1">
        <v>13498.0</v>
      </c>
      <c r="B12675" s="3" t="s">
        <v>12088</v>
      </c>
      <c r="C12675" s="3" t="str">
        <f>IFERROR(__xludf.DUMMYFUNCTION("GOOGLETRANSLATE(B12675,""id"",""en"")"),"['Please', 'Network', 'Fix', 'Setabil']")</f>
        <v>['Please', 'Network', 'Fix', 'Setabil']</v>
      </c>
      <c r="D12675" s="3">
        <v>1.0</v>
      </c>
    </row>
    <row r="12676" ht="15.75" customHeight="1">
      <c r="A12676" s="1">
        <v>13499.0</v>
      </c>
      <c r="B12676" s="3" t="s">
        <v>9285</v>
      </c>
      <c r="C12676" s="3" t="str">
        <f>IFERROR(__xludf.DUMMYFUNCTION("GOOGLETRANSLATE(B12676,""id"",""en"")"),"['Application', 'Telkomsel', 'opened', '']")</f>
        <v>['Application', 'Telkomsel', 'opened', '']</v>
      </c>
      <c r="D12676" s="3">
        <v>1.0</v>
      </c>
    </row>
    <row r="12677" ht="15.75" customHeight="1">
      <c r="A12677" s="1">
        <v>13500.0</v>
      </c>
      <c r="B12677" s="3" t="s">
        <v>12089</v>
      </c>
      <c r="C12677" s="3" t="str">
        <f>IFERROR(__xludf.DUMMYFUNCTION("GOOGLETRANSLATE(B12677,""id"",""en"")"),"['Lally', 'promo']")</f>
        <v>['Lally', 'promo']</v>
      </c>
      <c r="D12677" s="3">
        <v>5.0</v>
      </c>
    </row>
    <row r="12678" ht="15.75" customHeight="1">
      <c r="A12678" s="1">
        <v>13501.0</v>
      </c>
      <c r="B12678" s="3" t="s">
        <v>12090</v>
      </c>
      <c r="C12678" s="3" t="str">
        <f>IFERROR(__xludf.DUMMYFUNCTION("GOOGLETRANSLATE(B12678,""id"",""en"")"),"['pulse', 'missing', 'mysterious', 'suck', 'dry', '']")</f>
        <v>['pulse', 'missing', 'mysterious', 'suck', 'dry', '']</v>
      </c>
      <c r="D12678" s="3">
        <v>1.0</v>
      </c>
    </row>
    <row r="12679" ht="15.75" customHeight="1">
      <c r="A12679" s="1">
        <v>13502.0</v>
      </c>
      <c r="B12679" s="3" t="s">
        <v>12091</v>
      </c>
      <c r="C12679" s="3" t="str">
        <f>IFERROR(__xludf.DUMMYFUNCTION("GOOGLETRANSLATE(B12679,""id"",""en"")"),"['', 'intention', 'network', 'good', 'gausah', 'card', 'prime', 'coy', 'bother', 'org', 'hope', 'your day', 'gloomy ']")</f>
        <v>['', 'intention', 'network', 'good', 'gausah', 'card', 'prime', 'coy', 'bother', 'org', 'hope', 'your day', 'gloomy ']</v>
      </c>
      <c r="D12679" s="3">
        <v>1.0</v>
      </c>
    </row>
    <row r="12680" ht="15.75" customHeight="1">
      <c r="A12680" s="1">
        <v>13503.0</v>
      </c>
      <c r="B12680" s="3" t="s">
        <v>12092</v>
      </c>
      <c r="C12680" s="3" t="str">
        <f>IFERROR(__xludf.DUMMYFUNCTION("GOOGLETRANSLATE(B12680,""id"",""en"")"),"['Safety', 'Continue', '']")</f>
        <v>['Safety', 'Continue', '']</v>
      </c>
      <c r="D12680" s="3">
        <v>5.0</v>
      </c>
    </row>
    <row r="12681" ht="15.75" customHeight="1">
      <c r="A12681" s="1">
        <v>13504.0</v>
      </c>
      <c r="B12681" s="3" t="s">
        <v>12093</v>
      </c>
      <c r="C12681" s="3" t="str">
        <f>IFERROR(__xludf.DUMMYFUNCTION("GOOGLETRANSLATE(B12681,""id"",""en"")"),"['Hello', 'Telkomsel', 'Walpaper', 'Change', 'color', 'white', 'then', 'his writing', 'color', 'white', 'Jdnya', 'read', ' ']")</f>
        <v>['Hello', 'Telkomsel', 'Walpaper', 'Change', 'color', 'white', 'then', 'his writing', 'color', 'white', 'Jdnya', 'read', ' ']</v>
      </c>
      <c r="D12681" s="3">
        <v>1.0</v>
      </c>
    </row>
    <row r="12682" ht="15.75" customHeight="1">
      <c r="A12682" s="1">
        <v>13505.0</v>
      </c>
      <c r="B12682" s="3" t="s">
        <v>12094</v>
      </c>
      <c r="C12682" s="3" t="str">
        <f>IFERROR(__xludf.DUMMYFUNCTION("GOOGLETRANSLATE(B12682,""id"",""en"")"),"['Good', 'Search', 'package', 'data', 'cheap', 'get it']")</f>
        <v>['Good', 'Search', 'package', 'data', 'cheap', 'get it']</v>
      </c>
      <c r="D12682" s="3">
        <v>3.0</v>
      </c>
    </row>
    <row r="12683" ht="15.75" customHeight="1">
      <c r="A12683" s="1">
        <v>13506.0</v>
      </c>
      <c r="B12683" s="3" t="s">
        <v>1167</v>
      </c>
      <c r="C12683" s="3" t="str">
        <f>IFERROR(__xludf.DUMMYFUNCTION("GOOGLETRANSLATE(B12683,""id"",""en"")"),"['help']")</f>
        <v>['help']</v>
      </c>
      <c r="D12683" s="3">
        <v>5.0</v>
      </c>
    </row>
    <row r="12684" ht="15.75" customHeight="1">
      <c r="A12684" s="1">
        <v>13508.0</v>
      </c>
      <c r="B12684" s="3" t="s">
        <v>12095</v>
      </c>
      <c r="C12684" s="3" t="str">
        <f>IFERROR(__xludf.DUMMYFUNCTION("GOOGLETRANSLATE(B12684,""id"",""en"")"),"['damn', 'access',' Telkomsel ',' screen ',' just ',' white ',' android ',' access', 'then', 'android', 'sdngkan', 'adroid', ' card ',' Telkomsel ',' sympathy ',' right ',' access', 'Telkomsel', 'eat', 'lucky', 'users',' Telkomsel ',' comfortable ',' syst"&amp;"em ',' service ' , 'Bad', 'Fix', 'System', 'Select', 'Love', 'Android', 'Access', 'Kasi', 'Benefit', 'Telkomsel', 'Android', ""]")</f>
        <v>['damn', 'access',' Telkomsel ',' screen ',' just ',' white ',' android ',' access', 'then', 'android', 'sdngkan', 'adroid', ' card ',' Telkomsel ',' sympathy ',' right ',' access', 'Telkomsel', 'eat', 'lucky', 'users',' Telkomsel ',' comfortable ',' system ',' service ' , 'Bad', 'Fix', 'System', 'Select', 'Love', 'Android', 'Access', 'Kasi', 'Benefit', 'Telkomsel', 'Android', "]</v>
      </c>
      <c r="D12684" s="3">
        <v>1.0</v>
      </c>
    </row>
    <row r="12685" ht="15.75" customHeight="1">
      <c r="A12685" s="1">
        <v>13509.0</v>
      </c>
      <c r="B12685" s="3" t="s">
        <v>12096</v>
      </c>
      <c r="C12685" s="3" t="str">
        <f>IFERROR(__xludf.DUMMYFUNCTION("GOOGLETRANSLATE(B12685,""id"",""en"")"),"['network', 'slow', 'open', 'subtract', 'star']")</f>
        <v>['network', 'slow', 'open', 'subtract', 'star']</v>
      </c>
      <c r="D12685" s="3">
        <v>2.0</v>
      </c>
    </row>
    <row r="12686" ht="15.75" customHeight="1">
      <c r="A12686" s="1">
        <v>13510.0</v>
      </c>
      <c r="B12686" s="3" t="s">
        <v>1780</v>
      </c>
      <c r="C12686" s="3" t="str">
        <f>IFERROR(__xludf.DUMMYFUNCTION("GOOGLETRANSLATE(B12686,""id"",""en"")"),"['hopefully', '']")</f>
        <v>['hopefully', '']</v>
      </c>
      <c r="D12686" s="3">
        <v>5.0</v>
      </c>
    </row>
    <row r="12687" ht="15.75" customHeight="1">
      <c r="A12687" s="1">
        <v>13512.0</v>
      </c>
      <c r="B12687" s="3" t="s">
        <v>12097</v>
      </c>
      <c r="C12687" s="3" t="str">
        <f>IFERROR(__xludf.DUMMYFUNCTION("GOOGLETRANSLATE(B12687,""id"",""en"")"),"['', 'slow']")</f>
        <v>['', 'slow']</v>
      </c>
      <c r="D12687" s="3">
        <v>1.0</v>
      </c>
    </row>
    <row r="12688" ht="15.75" customHeight="1">
      <c r="A12688" s="1">
        <v>13513.0</v>
      </c>
      <c r="B12688" s="3" t="s">
        <v>12098</v>
      </c>
      <c r="C12688" s="3" t="str">
        <f>IFERROR(__xludf.DUMMYFUNCTION("GOOGLETRANSLATE(B12688,""id"",""en"")"),"['Star', 'Disappointed', 'TELKOM', 'Tree', 'ugly', 'Lek', 'Lek', 'Sinyal', 'Disappointing', 'Aseeeem', 'Nge', 'Rank', ' ugly ',' signal ']")</f>
        <v>['Star', 'Disappointed', 'TELKOM', 'Tree', 'ugly', 'Lek', 'Lek', 'Sinyal', 'Disappointing', 'Aseeeem', 'Nge', 'Rank', ' ugly ',' signal ']</v>
      </c>
      <c r="D12688" s="3">
        <v>1.0</v>
      </c>
    </row>
    <row r="12689" ht="15.75" customHeight="1">
      <c r="A12689" s="1">
        <v>13514.0</v>
      </c>
      <c r="B12689" s="3" t="s">
        <v>12099</v>
      </c>
      <c r="C12689" s="3" t="str">
        <f>IFERROR(__xludf.DUMMYFUNCTION("GOOGLETRANSLATE(B12689,""id"",""en"")"),"['Lazy', 'PKE', 'Application', 'Network', 'Leet', '']")</f>
        <v>['Lazy', 'PKE', 'Application', 'Network', 'Leet', '']</v>
      </c>
      <c r="D12689" s="3">
        <v>1.0</v>
      </c>
    </row>
    <row r="12690" ht="15.75" customHeight="1">
      <c r="A12690" s="1">
        <v>13515.0</v>
      </c>
      <c r="B12690" s="3" t="s">
        <v>12100</v>
      </c>
      <c r="C12690" s="3" t="str">
        <f>IFERROR(__xludf.DUMMYFUNCTION("GOOGLETRANSLATE(B12690,""id"",""en"")"),"['confused', 'buy', 'pulse', 'how']")</f>
        <v>['confused', 'buy', 'pulse', 'how']</v>
      </c>
      <c r="D12690" s="3">
        <v>1.0</v>
      </c>
    </row>
    <row r="12691" ht="15.75" customHeight="1">
      <c r="A12691" s="1">
        <v>13516.0</v>
      </c>
      <c r="B12691" s="3" t="s">
        <v>12101</v>
      </c>
      <c r="C12691" s="3" t="str">
        <f>IFERROR(__xludf.DUMMYFUNCTION("GOOGLETRANSLATE(B12691,""id"",""en"")"),"['', 'Sorry', 'The application', 'opened', 'Open', 'Application', 'Telkomsel', 'Please', ""]")</f>
        <v>['', 'Sorry', 'The application', 'opened', 'Open', 'Application', 'Telkomsel', 'Please', "]</v>
      </c>
      <c r="D12691" s="3">
        <v>3.0</v>
      </c>
    </row>
    <row r="12692" ht="15.75" customHeight="1">
      <c r="A12692" s="1">
        <v>13518.0</v>
      </c>
      <c r="B12692" s="3" t="s">
        <v>12102</v>
      </c>
      <c r="C12692" s="3" t="str">
        <f>IFERROR(__xludf.DUMMYFUNCTION("GOOGLETRANSLATE(B12692,""id"",""en"")"),"['Network', 'Good', 'Kiila', 'Open', 'The Application', 'Display', 'Screen', 'White', 'What', '']")</f>
        <v>['Network', 'Good', 'Kiila', 'Open', 'The Application', 'Display', 'Screen', 'White', 'What', '']</v>
      </c>
      <c r="D12692" s="3">
        <v>1.0</v>
      </c>
    </row>
    <row r="12693" ht="15.75" customHeight="1">
      <c r="A12693" s="1">
        <v>13519.0</v>
      </c>
      <c r="B12693" s="3" t="s">
        <v>12103</v>
      </c>
      <c r="C12693" s="3" t="str">
        <f>IFERROR(__xludf.DUMMYFUNCTION("GOOGLETRANSLATE(B12693,""id"",""en"")"),"['buy', 'expensive', 'expensive', 'signal', 'boddy']")</f>
        <v>['buy', 'expensive', 'expensive', 'signal', 'boddy']</v>
      </c>
      <c r="D12693" s="3">
        <v>1.0</v>
      </c>
    </row>
    <row r="12694" ht="15.75" customHeight="1">
      <c r="A12694" s="1">
        <v>13520.0</v>
      </c>
      <c r="B12694" s="3" t="s">
        <v>12104</v>
      </c>
      <c r="C12694" s="3" t="str">
        <f>IFERROR(__xludf.DUMMYFUNCTION("GOOGLETRANSLATE(B12694,""id"",""en"")"),"['Maap', 'love', 'star', 'gabisa', 'check', 'quota', 'network', 'ugly']")</f>
        <v>['Maap', 'love', 'star', 'gabisa', 'check', 'quota', 'network', 'ugly']</v>
      </c>
      <c r="D12694" s="3">
        <v>1.0</v>
      </c>
    </row>
    <row r="12695" ht="15.75" customHeight="1">
      <c r="A12695" s="1">
        <v>13521.0</v>
      </c>
      <c r="B12695" s="3" t="s">
        <v>12105</v>
      </c>
      <c r="C12695" s="3" t="str">
        <f>IFERROR(__xludf.DUMMYFUNCTION("GOOGLETRANSLATE(B12695,""id"",""en"")"),"['Knpa', 'Telkomsel', 'tdak', 'opened', 'please', 'ksih', 'pnjelasan', 'mksih']")</f>
        <v>['Knpa', 'Telkomsel', 'tdak', 'opened', 'please', 'ksih', 'pnjelasan', 'mksih']</v>
      </c>
      <c r="D12695" s="3">
        <v>1.0</v>
      </c>
    </row>
    <row r="12696" ht="15.75" customHeight="1">
      <c r="A12696" s="1">
        <v>13522.0</v>
      </c>
      <c r="B12696" s="3" t="s">
        <v>12106</v>
      </c>
      <c r="C12696" s="3" t="str">
        <f>IFERROR(__xludf.DUMMYFUNCTION("GOOGLETRANSLATE(B12696,""id"",""en"")"),"['easy', 'contents', 'reset', 'package']")</f>
        <v>['easy', 'contents', 'reset', 'package']</v>
      </c>
      <c r="D12696" s="3">
        <v>5.0</v>
      </c>
    </row>
    <row r="12697" ht="15.75" customHeight="1">
      <c r="A12697" s="1">
        <v>13523.0</v>
      </c>
      <c r="B12697" s="3" t="s">
        <v>12107</v>
      </c>
      <c r="C12697" s="3" t="str">
        <f>IFERROR(__xludf.DUMMYFUNCTION("GOOGLETRANSLATE(B12697,""id"",""en"")"),"['Telkomsel', 'network', 'easy', 'ilang', 'make', 'Telkomsel', 'network', 'please', 'repaired', 'leftover', 'quota', 'stay']")</f>
        <v>['Telkomsel', 'network', 'easy', 'ilang', 'make', 'Telkomsel', 'network', 'please', 'repaired', 'leftover', 'quota', 'stay']</v>
      </c>
      <c r="D12697" s="3">
        <v>1.0</v>
      </c>
    </row>
    <row r="12698" ht="15.75" customHeight="1">
      <c r="A12698" s="1">
        <v>13524.0</v>
      </c>
      <c r="B12698" s="3" t="s">
        <v>12108</v>
      </c>
      <c r="C12698" s="3" t="str">
        <f>IFERROR(__xludf.DUMMYFUNCTION("GOOGLETRANSLATE(B12698,""id"",""en"")"),"['', 'application', 'error', 'kalu', 'open', 'ngebleng', 'white', ""]")</f>
        <v>['', 'application', 'error', 'kalu', 'open', 'ngebleng', 'white', "]</v>
      </c>
      <c r="D12698" s="3">
        <v>1.0</v>
      </c>
    </row>
    <row r="12699" ht="15.75" customHeight="1">
      <c r="A12699" s="1">
        <v>13525.0</v>
      </c>
      <c r="B12699" s="3" t="s">
        <v>12109</v>
      </c>
      <c r="C12699" s="3" t="str">
        <f>IFERROR(__xludf.DUMMYFUNCTION("GOOGLETRANSLATE(B12699,""id"",""en"")"),"['Okay', 'package', 'Mactrim', 'Membingungkam']")</f>
        <v>['Okay', 'package', 'Mactrim', 'Membingungkam']</v>
      </c>
      <c r="D12699" s="3">
        <v>1.0</v>
      </c>
    </row>
    <row r="12700" ht="15.75" customHeight="1">
      <c r="A12700" s="1">
        <v>13526.0</v>
      </c>
      <c r="B12700" s="3" t="s">
        <v>1754</v>
      </c>
      <c r="C12700" s="3" t="str">
        <f>IFERROR(__xludf.DUMMYFUNCTION("GOOGLETRANSLATE(B12700,""id"",""en"")"),"['', 'open']")</f>
        <v>['', 'open']</v>
      </c>
      <c r="D12700" s="3">
        <v>1.0</v>
      </c>
    </row>
    <row r="12701" ht="15.75" customHeight="1">
      <c r="A12701" s="1">
        <v>13527.0</v>
      </c>
      <c r="B12701" s="3" t="s">
        <v>12110</v>
      </c>
      <c r="C12701" s="3" t="str">
        <f>IFERROR(__xludf.DUMMYFUNCTION("GOOGLETRANSLATE(B12701,""id"",""en"")"),"['Cheap', 'quota']")</f>
        <v>['Cheap', 'quota']</v>
      </c>
      <c r="D12701" s="3">
        <v>1.0</v>
      </c>
    </row>
    <row r="12702" ht="15.75" customHeight="1">
      <c r="A12702" s="1">
        <v>13528.0</v>
      </c>
      <c r="B12702" s="3" t="s">
        <v>12111</v>
      </c>
      <c r="C12702" s="3" t="str">
        <f>IFERROR(__xludf.DUMMYFUNCTION("GOOGLETRANSLATE(B12702,""id"",""en"")"),"['Please', 'Network', 'Fix', 'Region', 'Telkomsel', 'ugly']")</f>
        <v>['Please', 'Network', 'Fix', 'Region', 'Telkomsel', 'ugly']</v>
      </c>
      <c r="D12702" s="3">
        <v>3.0</v>
      </c>
    </row>
    <row r="12703" ht="15.75" customHeight="1">
      <c r="A12703" s="1">
        <v>13529.0</v>
      </c>
      <c r="B12703" s="3" t="s">
        <v>12112</v>
      </c>
      <c r="C12703" s="3" t="str">
        <f>IFERROR(__xludf.DUMMYFUNCTION("GOOGLETRANSLATE(B12703,""id"",""en"")"),"['process', 'purchase', 'quota', 'slow', 'as a result', 'pulse', 'sucked', 'run out', 'damn', ""]")</f>
        <v>['process', 'purchase', 'quota', 'slow', 'as a result', 'pulse', 'sucked', 'run out', 'damn', "]</v>
      </c>
      <c r="D12703" s="3">
        <v>1.0</v>
      </c>
    </row>
    <row r="12704" ht="15.75" customHeight="1">
      <c r="A12704" s="1">
        <v>13530.0</v>
      </c>
      <c r="B12704" s="3" t="s">
        <v>12113</v>
      </c>
      <c r="C12704" s="3" t="str">
        <f>IFERROR(__xludf.DUMMYFUNCTION("GOOGLETRANSLATE(B12704,""id"",""en"")"),"['already', 'provider', 'price', 'ride', 'satisfaction', 'customer']")</f>
        <v>['already', 'provider', 'price', 'ride', 'satisfaction', 'customer']</v>
      </c>
      <c r="D12704" s="3">
        <v>1.0</v>
      </c>
    </row>
    <row r="12705" ht="15.75" customHeight="1">
      <c r="A12705" s="1">
        <v>13531.0</v>
      </c>
      <c r="B12705" s="3" t="s">
        <v>12114</v>
      </c>
      <c r="C12705" s="3" t="str">
        <f>IFERROR(__xludf.DUMMYFUNCTION("GOOGLETRANSLATE(B12705,""id"",""en"")"),"['Signal', 'Krang', '']")</f>
        <v>['Signal', 'Krang', '']</v>
      </c>
      <c r="D12705" s="3">
        <v>2.0</v>
      </c>
    </row>
    <row r="12706" ht="15.75" customHeight="1">
      <c r="A12706" s="1">
        <v>13532.0</v>
      </c>
      <c r="B12706" s="3" t="s">
        <v>12115</v>
      </c>
      <c r="C12706" s="3" t="str">
        <f>IFERROR(__xludf.DUMMYFUNCTION("GOOGLETRANSLATE(B12706,""id"",""en"")"),"['Steady', 'card', 'Sakti', 'use', 'application', 'Telkomsel']")</f>
        <v>['Steady', 'card', 'Sakti', 'use', 'application', 'Telkomsel']</v>
      </c>
      <c r="D12706" s="3">
        <v>5.0</v>
      </c>
    </row>
    <row r="12707" ht="15.75" customHeight="1">
      <c r="A12707" s="1">
        <v>13533.0</v>
      </c>
      <c r="B12707" s="3" t="s">
        <v>12116</v>
      </c>
      <c r="C12707" s="3" t="str">
        <f>IFERROR(__xludf.DUMMYFUNCTION("GOOGLETRANSLATE(B12707,""id"",""en"")"),"['Service', 'slow', 'buy', 'package', 'quota', 'process', '']")</f>
        <v>['Service', 'slow', 'buy', 'package', 'quota', 'process', '']</v>
      </c>
      <c r="D12707" s="3">
        <v>1.0</v>
      </c>
    </row>
    <row r="12708" ht="15.75" customHeight="1">
      <c r="A12708" s="1">
        <v>13534.0</v>
      </c>
      <c r="B12708" s="3" t="s">
        <v>2127</v>
      </c>
      <c r="C12708" s="3" t="str">
        <f>IFERROR(__xludf.DUMMYFUNCTION("GOOGLETRANSLATE(B12708,""id"",""en"")"),"['easy']")</f>
        <v>['easy']</v>
      </c>
      <c r="D12708" s="3">
        <v>5.0</v>
      </c>
    </row>
    <row r="12709" ht="15.75" customHeight="1">
      <c r="A12709" s="1">
        <v>13535.0</v>
      </c>
      <c r="B12709" s="3" t="s">
        <v>12117</v>
      </c>
      <c r="C12709" s="3" t="str">
        <f>IFERROR(__xludf.DUMMYFUNCTION("GOOGLETRANSLATE(B12709,""id"",""en"")"),"['signal', 'maximum']")</f>
        <v>['signal', 'maximum']</v>
      </c>
      <c r="D12709" s="3">
        <v>5.0</v>
      </c>
    </row>
    <row r="12710" ht="15.75" customHeight="1">
      <c r="A12710" s="1">
        <v>13536.0</v>
      </c>
      <c r="B12710" s="3" t="s">
        <v>12118</v>
      </c>
      <c r="C12710" s="3" t="str">
        <f>IFERROR(__xludf.DUMMYFUNCTION("GOOGLETRANSLATE(B12710,""id"",""en"")"),"['Good', 'deh', 'the application']")</f>
        <v>['Good', 'deh', 'the application']</v>
      </c>
      <c r="D12710" s="3">
        <v>5.0</v>
      </c>
    </row>
    <row r="12711" ht="15.75" customHeight="1">
      <c r="A12711" s="1">
        <v>13537.0</v>
      </c>
      <c r="B12711" s="3" t="s">
        <v>12119</v>
      </c>
      <c r="C12711" s="3" t="str">
        <f>IFERROR(__xludf.DUMMYFUNCTION("GOOGLETRANSLATE(B12711,""id"",""en"")"),"['Season', 'really', 'Telkomsel', 'slow', 'really', 'data', 'internet', 'pulse', 'sucked', 'Sight', 'Telkomsel']")</f>
        <v>['Season', 'really', 'Telkomsel', 'slow', 'really', 'data', 'internet', 'pulse', 'sucked', 'Sight', 'Telkomsel']</v>
      </c>
      <c r="D12711" s="3">
        <v>1.0</v>
      </c>
    </row>
    <row r="12712" ht="15.75" customHeight="1">
      <c r="A12712" s="1">
        <v>13538.0</v>
      </c>
      <c r="B12712" s="3" t="s">
        <v>12120</v>
      </c>
      <c r="C12712" s="3" t="str">
        <f>IFERROR(__xludf.DUMMYFUNCTION("GOOGLETRANSLATE(B12712,""id"",""en"")"),"['December', 'signal', 'ilang', 'date', 'December', 'morning', 'until', 'malem', 'connection', 'severe', '']")</f>
        <v>['December', 'signal', 'ilang', 'date', 'December', 'morning', 'until', 'malem', 'connection', 'severe', '']</v>
      </c>
      <c r="D12712" s="3">
        <v>1.0</v>
      </c>
    </row>
    <row r="12713" ht="15.75" customHeight="1">
      <c r="A12713" s="1">
        <v>13539.0</v>
      </c>
      <c r="B12713" s="3" t="s">
        <v>12121</v>
      </c>
      <c r="C12713" s="3" t="str">
        <f>IFERROR(__xludf.DUMMYFUNCTION("GOOGLETRANSLATE(B12713,""id"",""en"")"),"['Application', 'maaaaantaaaap']")</f>
        <v>['Application', 'maaaaantaaaap']</v>
      </c>
      <c r="D12713" s="3">
        <v>5.0</v>
      </c>
    </row>
    <row r="12714" ht="15.75" customHeight="1">
      <c r="A12714" s="1">
        <v>13540.0</v>
      </c>
      <c r="B12714" s="3" t="s">
        <v>12122</v>
      </c>
      <c r="C12714" s="3" t="str">
        <f>IFERROR(__xludf.DUMMYFUNCTION("GOOGLETRANSLATE(B12714,""id"",""en"")"),"['', 'Lower', 'Application', 'Tida', 'Opened', '']")</f>
        <v>['', 'Lower', 'Application', 'Tida', 'Opened', '']</v>
      </c>
      <c r="D12714" s="3">
        <v>1.0</v>
      </c>
    </row>
    <row r="12715" ht="15.75" customHeight="1">
      <c r="A12715" s="1">
        <v>13541.0</v>
      </c>
      <c r="B12715" s="3" t="s">
        <v>12123</v>
      </c>
      <c r="C12715" s="3" t="str">
        <f>IFERROR(__xludf.DUMMYFUNCTION("GOOGLETRANSLATE(B12715,""id"",""en"")"),"['Telkomsel', 'expensive', 'doang', 'buy', 'kouta', 'divided', 'kouta', 'internet', 'kouta', 'sosmed', 'unlimited', 'kouta', ' Internet ',' Keja ',' Abis', 'Kouta', 'Free', 'Hahahaaaaaaaa', 'Telkomsel', '']")</f>
        <v>['Telkomsel', 'expensive', 'doang', 'buy', 'kouta', 'divided', 'kouta', 'internet', 'kouta', 'sosmed', 'unlimited', 'kouta', ' Internet ',' Keja ',' Abis', 'Kouta', 'Free', 'Hahahaaaaaaaa', 'Telkomsel', '']</v>
      </c>
      <c r="D12715" s="3">
        <v>1.0</v>
      </c>
    </row>
    <row r="12716" ht="15.75" customHeight="1">
      <c r="A12716" s="1">
        <v>13542.0</v>
      </c>
      <c r="B12716" s="3" t="s">
        <v>12124</v>
      </c>
      <c r="C12716" s="3" t="str">
        <f>IFERROR(__xludf.DUMMYFUNCTION("GOOGLETRANSLATE(B12716,""id"",""en"")"),"['Update', 'look', 'change', 'already', 'so', 'like', 'take', 'pulse', 'hadeeehhhh', '']")</f>
        <v>['Update', 'look', 'change', 'already', 'so', 'like', 'take', 'pulse', 'hadeeehhhh', '']</v>
      </c>
      <c r="D12716" s="3">
        <v>1.0</v>
      </c>
    </row>
    <row r="12717" ht="15.75" customHeight="1">
      <c r="A12717" s="1">
        <v>13543.0</v>
      </c>
      <c r="B12717" s="3" t="s">
        <v>12125</v>
      </c>
      <c r="C12717" s="3" t="str">
        <f>IFERROR(__xludf.DUMMYFUNCTION("GOOGLETRANSLATE(B12717,""id"",""en"")"),"['Telkomsel', 'disappointing', 'detrimental', 'users',' buy ',' quota ',' expensive ',' signal ',' full ',' open ',' youtube ',' games', ' jammed ',' rich ',' quota ',' please ',' repaired ',' mentang ',' company ',' rich ',' success', 'complaints',' loss"&amp;"', 'users', ""]")</f>
        <v>['Telkomsel', 'disappointing', 'detrimental', 'users',' buy ',' quota ',' expensive ',' signal ',' full ',' open ',' youtube ',' games', ' jammed ',' rich ',' quota ',' please ',' repaired ',' mentang ',' company ',' rich ',' success', 'complaints',' loss', 'users', "]</v>
      </c>
      <c r="D12717" s="3">
        <v>1.0</v>
      </c>
    </row>
    <row r="12718" ht="15.75" customHeight="1">
      <c r="A12718" s="1">
        <v>13544.0</v>
      </c>
      <c r="B12718" s="3" t="s">
        <v>12126</v>
      </c>
      <c r="C12718" s="3" t="str">
        <f>IFERROR(__xludf.DUMMYFUNCTION("GOOGLETRANSLATE(B12718,""id"",""en"")"),"['Buy', 'Package', '']")</f>
        <v>['Buy', 'Package', '']</v>
      </c>
      <c r="D12718" s="3">
        <v>1.0</v>
      </c>
    </row>
    <row r="12719" ht="15.75" customHeight="1">
      <c r="A12719" s="1">
        <v>13545.0</v>
      </c>
      <c r="B12719" s="3" t="s">
        <v>12127</v>
      </c>
      <c r="C12719" s="3" t="str">
        <f>IFERROR(__xludf.DUMMYFUNCTION("GOOGLETRANSLATE(B12719,""id"",""en"")"),"['Hopefully', 'DPT', 'Gift', 'Aminn', 'Telkmsel', 'Jaya', 'truss']")</f>
        <v>['Hopefully', 'DPT', 'Gift', 'Aminn', 'Telkmsel', 'Jaya', 'truss']</v>
      </c>
      <c r="D12719" s="3">
        <v>3.0</v>
      </c>
    </row>
    <row r="12720" ht="15.75" customHeight="1">
      <c r="A12720" s="1">
        <v>13546.0</v>
      </c>
      <c r="B12720" s="3" t="s">
        <v>12128</v>
      </c>
      <c r="C12720" s="3" t="str">
        <f>IFERROR(__xludf.DUMMYFUNCTION("GOOGLETRANSLATE(B12720,""id"",""en"")"),"['opened', 'network', 'full', 'already', 'wifi', 'tetep', 'opened', 'white', 'screen']")</f>
        <v>['opened', 'network', 'full', 'already', 'wifi', 'tetep', 'opened', 'white', 'screen']</v>
      </c>
      <c r="D12720" s="3">
        <v>1.0</v>
      </c>
    </row>
    <row r="12721" ht="15.75" customHeight="1">
      <c r="A12721" s="1">
        <v>13547.0</v>
      </c>
      <c r="B12721" s="3" t="s">
        <v>12129</v>
      </c>
      <c r="C12721" s="3" t="str">
        <f>IFERROR(__xludf.DUMMYFUNCTION("GOOGLETRANSLATE(B12721,""id"",""en"")"),"['Help', 'Open', 'Telkomsel']")</f>
        <v>['Help', 'Open', 'Telkomsel']</v>
      </c>
      <c r="D12721" s="3">
        <v>4.0</v>
      </c>
    </row>
    <row r="12722" ht="15.75" customHeight="1">
      <c r="A12722" s="1">
        <v>13548.0</v>
      </c>
      <c r="B12722" s="3" t="s">
        <v>12130</v>
      </c>
      <c r="C12722" s="3" t="str">
        <f>IFERROR(__xludf.DUMMYFUNCTION("GOOGLETRANSLATE(B12722,""id"",""en"")"),"['Bad', 'complain', 'fix']")</f>
        <v>['Bad', 'complain', 'fix']</v>
      </c>
      <c r="D12722" s="3">
        <v>1.0</v>
      </c>
    </row>
    <row r="12723" ht="15.75" customHeight="1">
      <c r="A12723" s="1">
        <v>13549.0</v>
      </c>
      <c r="B12723" s="3" t="s">
        <v>12131</v>
      </c>
      <c r="C12723" s="3" t="str">
        <f>IFERROR(__xludf.DUMMYFUNCTION("GOOGLETRANSLATE(B12723,""id"",""en"")"),"['', 'appears', 'Page', 'White', 'Ngerti']")</f>
        <v>['', 'appears', 'Page', 'White', 'Ngerti']</v>
      </c>
      <c r="D12723" s="3">
        <v>1.0</v>
      </c>
    </row>
    <row r="12724" ht="15.75" customHeight="1">
      <c r="A12724" s="1">
        <v>13550.0</v>
      </c>
      <c r="B12724" s="3" t="s">
        <v>12132</v>
      </c>
      <c r="C12724" s="3" t="str">
        <f>IFERROR(__xludf.DUMMYFUNCTION("GOOGLETRANSLATE(B12724,""id"",""en"")"),"['des', 'application', 'open', 'rating', 'star', '']")</f>
        <v>['des', 'application', 'open', 'rating', 'star', '']</v>
      </c>
      <c r="D12724" s="3">
        <v>1.0</v>
      </c>
    </row>
    <row r="12725" ht="15.75" customHeight="1">
      <c r="A12725" s="1">
        <v>13551.0</v>
      </c>
      <c r="B12725" s="3" t="s">
        <v>12133</v>
      </c>
      <c r="C12725" s="3" t="str">
        <f>IFERROR(__xludf.DUMMYFUNCTION("GOOGLETRANSLATE(B12725,""id"",""en"")"),"['Telkomsel', 'network', 'idiot', 'maen', 'game', 'leg', 'tros', 'network', 'ugly']")</f>
        <v>['Telkomsel', 'network', 'idiot', 'maen', 'game', 'leg', 'tros', 'network', 'ugly']</v>
      </c>
      <c r="D12725" s="3">
        <v>1.0</v>
      </c>
    </row>
    <row r="12726" ht="15.75" customHeight="1">
      <c r="A12726" s="1">
        <v>13552.0</v>
      </c>
      <c r="B12726" s="3" t="s">
        <v>12134</v>
      </c>
      <c r="C12726" s="3" t="str">
        <f>IFERROR(__xludf.DUMMYFUNCTION("GOOGLETRANSLATE(B12726,""id"",""en"")"),"['application', 'NDA', 'BSA', 'screen', 'white', 'truss', ""]")</f>
        <v>['application', 'NDA', 'BSA', 'screen', 'white', 'truss', "]</v>
      </c>
      <c r="D12726" s="3">
        <v>1.0</v>
      </c>
    </row>
    <row r="12727" ht="15.75" customHeight="1">
      <c r="A12727" s="1">
        <v>13553.0</v>
      </c>
      <c r="B12727" s="3" t="s">
        <v>12135</v>
      </c>
      <c r="C12727" s="3" t="str">
        <f>IFERROR(__xludf.DUMMYFUNCTION("GOOGLETRANSLATE(B12727,""id"",""en"")"),"['Connection', 'Internet', 'Stable']")</f>
        <v>['Connection', 'Internet', 'Stable']</v>
      </c>
      <c r="D12727" s="3">
        <v>5.0</v>
      </c>
    </row>
    <row r="12728" ht="15.75" customHeight="1">
      <c r="A12728" s="1">
        <v>13554.0</v>
      </c>
      <c r="B12728" s="3" t="s">
        <v>12136</v>
      </c>
      <c r="C12728" s="3" t="str">
        <f>IFERROR(__xludf.DUMMYFUNCTION("GOOGLETRANSLATE(B12728,""id"",""en"")"),"['Sis', 'application', 'Open']")</f>
        <v>['Sis', 'application', 'Open']</v>
      </c>
      <c r="D12728" s="3">
        <v>5.0</v>
      </c>
    </row>
    <row r="12729" ht="15.75" customHeight="1">
      <c r="A12729" s="1">
        <v>13555.0</v>
      </c>
      <c r="B12729" s="3" t="s">
        <v>12137</v>
      </c>
      <c r="C12729" s="3" t="str">
        <f>IFERROR(__xludf.DUMMYFUNCTION("GOOGLETRANSLATE(B12729,""id"",""en"")"),"['Knpa', 'Open', '']")</f>
        <v>['Knpa', 'Open', '']</v>
      </c>
      <c r="D12729" s="3">
        <v>1.0</v>
      </c>
    </row>
    <row r="12730" ht="15.75" customHeight="1">
      <c r="A12730" s="1">
        <v>13556.0</v>
      </c>
      <c r="B12730" s="3" t="s">
        <v>12138</v>
      </c>
      <c r="C12730" s="3" t="str">
        <f>IFERROR(__xludf.DUMMYFUNCTION("GOOGLETRANSLATE(B12730,""id"",""en"")"),"['Points', 'exchanged', 'voucher', 'internet']")</f>
        <v>['Points', 'exchanged', 'voucher', 'internet']</v>
      </c>
      <c r="D12730" s="3">
        <v>3.0</v>
      </c>
    </row>
    <row r="12731" ht="15.75" customHeight="1">
      <c r="A12731" s="1">
        <v>13557.0</v>
      </c>
      <c r="B12731" s="3" t="s">
        <v>12139</v>
      </c>
      <c r="C12731" s="3" t="str">
        <f>IFERROR(__xludf.DUMMYFUNCTION("GOOGLETRANSLATE(B12731,""id"",""en"")"),"['Star', 'try']")</f>
        <v>['Star', 'try']</v>
      </c>
      <c r="D12731" s="3">
        <v>4.0</v>
      </c>
    </row>
    <row r="12732" ht="15.75" customHeight="1">
      <c r="A12732" s="1">
        <v>13558.0</v>
      </c>
      <c r="B12732" s="3" t="s">
        <v>12140</v>
      </c>
      <c r="C12732" s="3" t="str">
        <f>IFERROR(__xludf.DUMMYFUNCTION("GOOGLETRANSLATE(B12732,""id"",""en"")"),"['network', 'telkom', 'slow', 'really', 'disappointed', 'kayak']")</f>
        <v>['network', 'telkom', 'slow', 'really', 'disappointed', 'kayak']</v>
      </c>
      <c r="D12732" s="3">
        <v>1.0</v>
      </c>
    </row>
    <row r="12733" ht="15.75" customHeight="1">
      <c r="A12733" s="1">
        <v>13559.0</v>
      </c>
      <c r="B12733" s="3" t="s">
        <v>12141</v>
      </c>
      <c r="C12733" s="3" t="str">
        <f>IFERROR(__xludf.DUMMYFUNCTION("GOOGLETRANSLATE(B12733,""id"",""en"")"),"['Application', 'Help', 'leftover', 'pulse', 'number', 'surprised', 'see', 'Telkomsel', 'money', 'missing', 'uses',' yaa ',' use ',' telephone ',' sms', 'internet', 'money', 'reduced', 'lock', 'credit', 'Telkomsel', 'kayak', 'network', 'neighbor', 'money'"&amp;" , 'Used', 'Know', 'Update', 'Application', 'Good', 'Display', 'Voice', 'JGK', 'Slow', 'Open', 'Mungki', 'Blom', ' Stable ',' or ',' how ',' ']")</f>
        <v>['Application', 'Help', 'leftover', 'pulse', 'number', 'surprised', 'see', 'Telkomsel', 'money', 'missing', 'uses',' yaa ',' use ',' telephone ',' sms', 'internet', 'money', 'reduced', 'lock', 'credit', 'Telkomsel', 'kayak', 'network', 'neighbor', 'money' , 'Used', 'Know', 'Update', 'Application', 'Good', 'Display', 'Voice', 'JGK', 'Slow', 'Open', 'Mungki', 'Blom', ' Stable ',' or ',' how ',' ']</v>
      </c>
      <c r="D12733" s="3">
        <v>4.0</v>
      </c>
    </row>
    <row r="12734" ht="15.75" customHeight="1">
      <c r="A12734" s="1">
        <v>13560.0</v>
      </c>
      <c r="B12734" s="3" t="s">
        <v>12142</v>
      </c>
      <c r="C12734" s="3" t="str">
        <f>IFERROR(__xludf.DUMMYFUNCTION("GOOGLETRANSLATE(B12734,""id"",""en"")"),"['class',' Telkomsel ',' signal ',' connection ',' kayak ',' edge ',' report ',' told ',' try ',' restart ',' signal ',' mode ',' Aircraft ',' report ',' handling ',' clock ',' ']")</f>
        <v>['class',' Telkomsel ',' signal ',' connection ',' kayak ',' edge ',' report ',' told ',' try ',' restart ',' signal ',' mode ',' Aircraft ',' report ',' handling ',' clock ',' ']</v>
      </c>
      <c r="D12734" s="3">
        <v>1.0</v>
      </c>
    </row>
    <row r="12735" ht="15.75" customHeight="1">
      <c r="A12735" s="1">
        <v>13561.0</v>
      </c>
      <c r="B12735" s="3" t="s">
        <v>12143</v>
      </c>
      <c r="C12735" s="3" t="str">
        <f>IFERROR(__xludf.DUMMYFUNCTION("GOOGLETRANSLATE(B12735,""id"",""en"")"),"['Fix', 'Network', 'Satan', 'Gelek', 'Main', 'Ngeluh', 'Mulu']")</f>
        <v>['Fix', 'Network', 'Satan', 'Gelek', 'Main', 'Ngeluh', 'Mulu']</v>
      </c>
      <c r="D12735" s="3">
        <v>1.0</v>
      </c>
    </row>
    <row r="12736" ht="15.75" customHeight="1">
      <c r="A12736" s="1">
        <v>13562.0</v>
      </c>
      <c r="B12736" s="3" t="s">
        <v>12144</v>
      </c>
      <c r="C12736" s="3" t="str">
        <f>IFERROR(__xludf.DUMMYFUNCTION("GOOGLETRANSLATE(B12736,""id"",""en"")"),"['Telkontol', 'JLK', 'Network']")</f>
        <v>['Telkontol', 'JLK', 'Network']</v>
      </c>
      <c r="D12736" s="3">
        <v>1.0</v>
      </c>
    </row>
    <row r="12737" ht="15.75" customHeight="1">
      <c r="A12737" s="1">
        <v>13563.0</v>
      </c>
      <c r="B12737" s="3" t="s">
        <v>12145</v>
      </c>
      <c r="C12737" s="3" t="str">
        <f>IFERROR(__xludf.DUMMYFUNCTION("GOOGLETRANSLATE(B12737,""id"",""en"")"),"['Already', 'MyTelkomsel', 'Bukak', 'Disappointed', 'Forced', 'Change', 'Card', '']")</f>
        <v>['Already', 'MyTelkomsel', 'Bukak', 'Disappointed', 'Forced', 'Change', 'Card', '']</v>
      </c>
      <c r="D12737" s="3">
        <v>1.0</v>
      </c>
    </row>
    <row r="12738" ht="15.75" customHeight="1">
      <c r="A12738" s="1">
        <v>13565.0</v>
      </c>
      <c r="B12738" s="3" t="s">
        <v>12146</v>
      </c>
      <c r="C12738" s="3" t="str">
        <f>IFERROR(__xludf.DUMMYFUNCTION("GOOGLETRANSLATE(B12738,""id"",""en"")"),"['Please', 'repaired', 'Follow', 'via', 'Twitter', 'Follow', 'direction', 'directed', 'contents', 'pulses', 'etc.']")</f>
        <v>['Please', 'repaired', 'Follow', 'via', 'Twitter', 'Follow', 'direction', 'directed', 'contents', 'pulses', 'etc.']</v>
      </c>
      <c r="D12738" s="3">
        <v>1.0</v>
      </c>
    </row>
    <row r="12739" ht="15.75" customHeight="1">
      <c r="A12739" s="1">
        <v>13567.0</v>
      </c>
      <c r="B12739" s="3" t="s">
        <v>12147</v>
      </c>
      <c r="C12739" s="3" t="str">
        <f>IFERROR(__xludf.DUMMYFUNCTION("GOOGLETRANSLATE(B12739,""id"",""en"")"),"['application', 'knpa', 'bissa', 'open', '']")</f>
        <v>['application', 'knpa', 'bissa', 'open', '']</v>
      </c>
      <c r="D12739" s="3">
        <v>1.0</v>
      </c>
    </row>
    <row r="12740" ht="15.75" customHeight="1">
      <c r="A12740" s="1">
        <v>13568.0</v>
      </c>
      <c r="B12740" s="3" t="s">
        <v>12148</v>
      </c>
      <c r="C12740" s="3" t="str">
        <f>IFERROR(__xludf.DUMMYFUNCTION("GOOGLETRANSLATE(B12740,""id"",""en"")"),"['Good', 'hope', 'package', 'affordable']")</f>
        <v>['Good', 'hope', 'package', 'affordable']</v>
      </c>
      <c r="D12740" s="3">
        <v>5.0</v>
      </c>
    </row>
    <row r="12741" ht="15.75" customHeight="1">
      <c r="A12741" s="1">
        <v>13569.0</v>
      </c>
      <c r="B12741" s="3" t="s">
        <v>12149</v>
      </c>
      <c r="C12741" s="3" t="str">
        <f>IFERROR(__xludf.DUMMYFUNCTION("GOOGLETRANSLATE(B12741,""id"",""en"")"),"['Blank' 'application', 'opened', 'please', 'repaired', 'experience', 'Please', 'Team', 'MyTelkomsel', 'check', 'direct', 'Note', ' Factory ',' Reset ',' Application ',' MyTelkomsel ',' Samsung ',' Onei ',' Android ', ""]")</f>
        <v>['Blank' 'application', 'opened', 'please', 'repaired', 'experience', 'Please', 'Team', 'MyTelkomsel', 'check', 'direct', 'Note', ' Factory ',' Reset ',' Application ',' MyTelkomsel ',' Samsung ',' Onei ',' Android ', "]</v>
      </c>
      <c r="D12741" s="3">
        <v>1.0</v>
      </c>
    </row>
    <row r="12742" ht="15.75" customHeight="1">
      <c r="A12742" s="1">
        <v>13570.0</v>
      </c>
      <c r="B12742" s="3" t="s">
        <v>12150</v>
      </c>
      <c r="C12742" s="3" t="str">
        <f>IFERROR(__xludf.DUMMYFUNCTION("GOOGLETRANSLATE(B12742,""id"",""en"")"),"['subscribe', 'card', 'Hallo', 'failed', 'open', 'Telkomsel', 'version', 'Android', 'Pay', 'thousand', 'trs',' facilities', ' Get ',' disappointing ',' replace ',' already ',' known ',' client ',' relations', 'mirris', ""]")</f>
        <v>['subscribe', 'card', 'Hallo', 'failed', 'open', 'Telkomsel', 'version', 'Android', 'Pay', 'thousand', 'trs',' facilities', ' Get ',' disappointing ',' replace ',' already ',' known ',' client ',' relations', 'mirris', "]</v>
      </c>
      <c r="D12742" s="3">
        <v>1.0</v>
      </c>
    </row>
    <row r="12743" ht="15.75" customHeight="1">
      <c r="A12743" s="1">
        <v>13571.0</v>
      </c>
      <c r="B12743" s="3" t="s">
        <v>12151</v>
      </c>
      <c r="C12743" s="3" t="str">
        <f>IFERROR(__xludf.DUMMYFUNCTION("GOOGLETRANSLATE(B12743,""id"",""en"")"),"['network', 'broken', 'severe', 'bngs', '']")</f>
        <v>['network', 'broken', 'severe', 'bngs', '']</v>
      </c>
      <c r="D12743" s="3">
        <v>1.0</v>
      </c>
    </row>
    <row r="12744" ht="15.75" customHeight="1">
      <c r="A12744" s="1">
        <v>13572.0</v>
      </c>
      <c r="B12744" s="3" t="s">
        <v>12152</v>
      </c>
      <c r="C12744" s="3" t="str">
        <f>IFERROR(__xludf.DUMMYFUNCTION("GOOGLETRANSLATE(B12744,""id"",""en"")"),"['Opened', 'The application', 'boss', 'Parahh', 'Ripuh']")</f>
        <v>['Opened', 'The application', 'boss', 'Parahh', 'Ripuh']</v>
      </c>
      <c r="D12744" s="3">
        <v>1.0</v>
      </c>
    </row>
    <row r="12745" ht="15.75" customHeight="1">
      <c r="A12745" s="1">
        <v>13574.0</v>
      </c>
      <c r="B12745" s="3" t="s">
        <v>12153</v>
      </c>
      <c r="C12745" s="3" t="str">
        <f>IFERROR(__xludf.DUMMYFUNCTION("GOOGLETRANSLATE(B12745,""id"",""en"")"),"['application', 'Gattel', 'bukabaa']")</f>
        <v>['application', 'Gattel', 'bukabaa']</v>
      </c>
      <c r="D12745" s="3">
        <v>1.0</v>
      </c>
    </row>
    <row r="12746" ht="15.75" customHeight="1">
      <c r="A12746" s="1">
        <v>13575.0</v>
      </c>
      <c r="B12746" s="3" t="s">
        <v>12154</v>
      </c>
      <c r="C12746" s="3" t="str">
        <f>IFERROR(__xludf.DUMMYFUNCTION("GOOGLETRANSLATE(B12746,""id"",""en"")"),"['Price', 'expensive', 'signal', 'rotten', 'Telkomsel', 'koyo']")</f>
        <v>['Price', 'expensive', 'signal', 'rotten', 'Telkomsel', 'koyo']</v>
      </c>
      <c r="D12746" s="3">
        <v>1.0</v>
      </c>
    </row>
    <row r="12747" ht="15.75" customHeight="1">
      <c r="A12747" s="1">
        <v>13576.0</v>
      </c>
      <c r="B12747" s="3" t="s">
        <v>12155</v>
      </c>
      <c r="C12747" s="3" t="str">
        <f>IFERROR(__xludf.DUMMYFUNCTION("GOOGLETRANSLATE(B12747,""id"",""en"")"),"['Disruption', 'class', 'BUMN', 'Useful', '']")</f>
        <v>['Disruption', 'class', 'BUMN', 'Useful', '']</v>
      </c>
      <c r="D12747" s="3">
        <v>1.0</v>
      </c>
    </row>
    <row r="12748" ht="15.75" customHeight="1">
      <c r="A12748" s="1">
        <v>13577.0</v>
      </c>
      <c r="B12748" s="3" t="s">
        <v>12156</v>
      </c>
      <c r="C12748" s="3" t="str">
        <f>IFERROR(__xludf.DUMMYFUNCTION("GOOGLETRANSLATE(B12748,""id"",""en"")"),"['Woe', 'how', 'Nii', 'I', 'already', 'download', 'white', 'Doang', 'Please', 'Kasi', 'Penguu', ""]")</f>
        <v>['Woe', 'how', 'Nii', 'I', 'already', 'download', 'white', 'Doang', 'Please', 'Kasi', 'Penguu', "]</v>
      </c>
      <c r="D12748" s="3">
        <v>2.0</v>
      </c>
    </row>
    <row r="12749" ht="15.75" customHeight="1">
      <c r="A12749" s="1">
        <v>13578.0</v>
      </c>
      <c r="B12749" s="3" t="s">
        <v>12157</v>
      </c>
      <c r="C12749" s="3" t="str">
        <f>IFERROR(__xludf.DUMMYFUNCTION("GOOGLETRANSLATE(B12749,""id"",""en"")"),"['Mksih', 'already', 'Ngadain', 'Application', 'Telkomsel', 'Happy', 'Quota', 'Free', 'Tampa', 'Ribut', 'Paketan', 'Cheap', ' inexpensive']")</f>
        <v>['Mksih', 'already', 'Ngadain', 'Application', 'Telkomsel', 'Happy', 'Quota', 'Free', 'Tampa', 'Ribut', 'Paketan', 'Cheap', ' inexpensive']</v>
      </c>
      <c r="D12749" s="3">
        <v>5.0</v>
      </c>
    </row>
    <row r="12750" ht="15.75" customHeight="1">
      <c r="A12750" s="1">
        <v>13579.0</v>
      </c>
      <c r="B12750" s="3" t="s">
        <v>12158</v>
      </c>
      <c r="C12750" s="3" t="str">
        <f>IFERROR(__xludf.DUMMYFUNCTION("GOOGLETRANSLATE(B12750,""id"",""en"")"),"['Mantul', 'The application', '']")</f>
        <v>['Mantul', 'The application', '']</v>
      </c>
      <c r="D12750" s="3">
        <v>5.0</v>
      </c>
    </row>
    <row r="12751" ht="15.75" customHeight="1">
      <c r="A12751" s="1">
        <v>13580.0</v>
      </c>
      <c r="B12751" s="3" t="s">
        <v>362</v>
      </c>
      <c r="C12751" s="3" t="str">
        <f>IFERROR(__xludf.DUMMYFUNCTION("GOOGLETRANSLATE(B12751,""id"",""en"")"),"['Telkomsel', 'best']")</f>
        <v>['Telkomsel', 'best']</v>
      </c>
      <c r="D12751" s="3">
        <v>5.0</v>
      </c>
    </row>
    <row r="12752" ht="15.75" customHeight="1">
      <c r="A12752" s="1">
        <v>13581.0</v>
      </c>
      <c r="B12752" s="3" t="s">
        <v>12159</v>
      </c>
      <c r="C12752" s="3" t="str">
        <f>IFERROR(__xludf.DUMMYFUNCTION("GOOGLETRANSLATE(B12752,""id"",""en"")"),"['APK', 'Open', 'White', 'Screen', 'then', 'Do', 'Move', 'Provider']")</f>
        <v>['APK', 'Open', 'White', 'Screen', 'then', 'Do', 'Move', 'Provider']</v>
      </c>
      <c r="D12752" s="3">
        <v>1.0</v>
      </c>
    </row>
    <row r="12753" ht="15.75" customHeight="1">
      <c r="A12753" s="1">
        <v>13582.0</v>
      </c>
      <c r="B12753" s="3" t="s">
        <v>12160</v>
      </c>
      <c r="C12753" s="3" t="str">
        <f>IFERROR(__xludf.DUMMYFUNCTION("GOOGLETRANSLATE(B12753,""id"",""en"")"),"['Disappointed', 'Telkomsel', 'Open', 'Kirain', 'Error', 'Open', 'Screen', 'White', 'Doang']")</f>
        <v>['Disappointed', 'Telkomsel', 'Open', 'Kirain', 'Error', 'Open', 'Screen', 'White', 'Doang']</v>
      </c>
      <c r="D12753" s="3">
        <v>1.0</v>
      </c>
    </row>
    <row r="12754" ht="15.75" customHeight="1">
      <c r="A12754" s="1">
        <v>13583.0</v>
      </c>
      <c r="B12754" s="3" t="s">
        <v>12161</v>
      </c>
      <c r="C12754" s="3" t="str">
        <f>IFERROR(__xludf.DUMMYFUNCTION("GOOGLETRANSLATE(B12754,""id"",""en"")"),"['The application', 'Wrong', 'Network', 'Telkomsel', 'Please', 'Repaired', 'Region', 'Sumatra', 'Kab', 'Lawas',' North ',' difficult ',' network ',' please ',' fix ',' customer ',' disappointed ',' package ',' buy ',' expensive ',' network ',' slow ',' ']")</f>
        <v>['The application', 'Wrong', 'Network', 'Telkomsel', 'Please', 'Repaired', 'Region', 'Sumatra', 'Kab', 'Lawas',' North ',' difficult ',' network ',' please ',' fix ',' customer ',' disappointed ',' package ',' buy ',' expensive ',' network ',' slow ',' ']</v>
      </c>
      <c r="D12754" s="3">
        <v>5.0</v>
      </c>
    </row>
    <row r="12755" ht="15.75" customHeight="1">
      <c r="A12755" s="1">
        <v>13584.0</v>
      </c>
      <c r="B12755" s="3" t="s">
        <v>12162</v>
      </c>
      <c r="C12755" s="3" t="str">
        <f>IFERROR(__xludf.DUMMYFUNCTION("GOOGLETRANSLATE(B12755,""id"",""en"")"),"['expensive', 'rich', 'slow', 'open', 'application', 'package', 'telefon', 'missing', 'application', 'open', 'blank', 'color', ' White ',' Wess', '']")</f>
        <v>['expensive', 'rich', 'slow', 'open', 'application', 'package', 'telefon', 'missing', 'application', 'open', 'blank', 'color', ' White ',' Wess', '']</v>
      </c>
      <c r="D12755" s="3">
        <v>1.0</v>
      </c>
    </row>
    <row r="12756" ht="15.75" customHeight="1">
      <c r="A12756" s="1">
        <v>13585.0</v>
      </c>
      <c r="B12756" s="3" t="s">
        <v>12163</v>
      </c>
      <c r="C12756" s="3" t="str">
        <f>IFERROR(__xludf.DUMMYFUNCTION("GOOGLETRANSLATE(B12756,""id"",""en"")"),"['here', 'price', 'expensive', 'connection', 'ugly', 'slow', 'muter', 'open', 'application', 'anything', 'pdhl', 'udh', ' Subscriptions', 'Disappointed']")</f>
        <v>['here', 'price', 'expensive', 'connection', 'ugly', 'slow', 'muter', 'open', 'application', 'anything', 'pdhl', 'udh', ' Subscriptions', 'Disappointed']</v>
      </c>
      <c r="D12756" s="3">
        <v>3.0</v>
      </c>
    </row>
    <row r="12757" ht="15.75" customHeight="1">
      <c r="A12757" s="1">
        <v>13586.0</v>
      </c>
      <c r="B12757" s="3" t="s">
        <v>12164</v>
      </c>
      <c r="C12757" s="3" t="str">
        <f>IFERROR(__xludf.DUMMYFUNCTION("GOOGLETRANSLATE(B12757,""id"",""en"")"),"['Login', '']")</f>
        <v>['Login', '']</v>
      </c>
      <c r="D12757" s="3">
        <v>5.0</v>
      </c>
    </row>
    <row r="12758" ht="15.75" customHeight="1">
      <c r="A12758" s="1">
        <v>13587.0</v>
      </c>
      <c r="B12758" s="3" t="s">
        <v>12165</v>
      </c>
      <c r="C12758" s="3" t="str">
        <f>IFERROR(__xludf.DUMMYFUNCTION("GOOGLETRANSLATE(B12758,""id"",""en"")"),"['Manpaat', 'Mr.Mhudence']")</f>
        <v>['Manpaat', 'Mr.Mhudence']</v>
      </c>
      <c r="D12758" s="3">
        <v>4.0</v>
      </c>
    </row>
    <row r="12759" ht="15.75" customHeight="1">
      <c r="A12759" s="1">
        <v>13588.0</v>
      </c>
      <c r="B12759" s="3" t="s">
        <v>12166</v>
      </c>
      <c r="C12759" s="3" t="str">
        <f>IFERROR(__xludf.DUMMYFUNCTION("GOOGLETRANSLATE(B12759,""id"",""en"")"),"['already', 'Download', 'application', 'quota']")</f>
        <v>['already', 'Download', 'application', 'quota']</v>
      </c>
      <c r="D12759" s="3">
        <v>3.0</v>
      </c>
    </row>
    <row r="12760" ht="15.75" customHeight="1">
      <c r="A12760" s="1">
        <v>13589.0</v>
      </c>
      <c r="B12760" s="3" t="s">
        <v>12167</v>
      </c>
      <c r="C12760" s="3" t="str">
        <f>IFERROR(__xludf.DUMMYFUNCTION("GOOGLETRANSLATE(B12760,""id"",""en"")"),"['package', 'internet', 'star', '']")</f>
        <v>['package', 'internet', 'star', '']</v>
      </c>
      <c r="D12760" s="3">
        <v>3.0</v>
      </c>
    </row>
    <row r="12761" ht="15.75" customHeight="1">
      <c r="A12761" s="1">
        <v>13590.0</v>
      </c>
      <c r="B12761" s="3" t="s">
        <v>12168</v>
      </c>
      <c r="C12761" s="3" t="str">
        <f>IFERROR(__xludf.DUMMYFUNCTION("GOOGLETRANSLATE(B12761,""id"",""en"")"),"['Love', 'Telkomsel', 'Karna', 'Package', 'Cheap', 'Network', 'Smooth', 'Like', ""]")</f>
        <v>['Love', 'Telkomsel', 'Karna', 'Package', 'Cheap', 'Network', 'Smooth', 'Like', "]</v>
      </c>
      <c r="D12761" s="3">
        <v>5.0</v>
      </c>
    </row>
    <row r="12762" ht="15.75" customHeight="1">
      <c r="A12762" s="1">
        <v>13591.0</v>
      </c>
      <c r="B12762" s="3" t="s">
        <v>12169</v>
      </c>
      <c r="C12762" s="3" t="str">
        <f>IFERROR(__xludf.DUMMYFUNCTION("GOOGLETRANSLATE(B12762,""id"",""en"")"),"['Satisfied', 'service', 'slow', 'really', 'really', 'wait', '']")</f>
        <v>['Satisfied', 'service', 'slow', 'really', 'really', 'wait', '']</v>
      </c>
      <c r="D12762" s="3">
        <v>1.0</v>
      </c>
    </row>
    <row r="12763" ht="15.75" customHeight="1">
      <c r="A12763" s="1">
        <v>13592.0</v>
      </c>
      <c r="B12763" s="3" t="s">
        <v>12170</v>
      </c>
      <c r="C12763" s="3" t="str">
        <f>IFERROR(__xludf.DUMMYFUNCTION("GOOGLETRANSLATE(B12763,""id"",""en"")"),"['', 'enter', 'APK', '']")</f>
        <v>['', 'enter', 'APK', '']</v>
      </c>
      <c r="D12763" s="3">
        <v>1.0</v>
      </c>
    </row>
    <row r="12764" ht="15.75" customHeight="1">
      <c r="A12764" s="1">
        <v>13593.0</v>
      </c>
      <c r="B12764" s="3" t="s">
        <v>12171</v>
      </c>
      <c r="C12764" s="3" t="str">
        <f>IFERROR(__xludf.DUMMYFUNCTION("GOOGLETRANSLATE(B12764,""id"",""en"")"),"['Telkomsel', 'Best', 'Reach', 'Where', '']")</f>
        <v>['Telkomsel', 'Best', 'Reach', 'Where', '']</v>
      </c>
      <c r="D12764" s="3">
        <v>5.0</v>
      </c>
    </row>
    <row r="12765" ht="15.75" customHeight="1">
      <c r="A12765" s="1">
        <v>13594.0</v>
      </c>
      <c r="B12765" s="3" t="s">
        <v>12172</v>
      </c>
      <c r="C12765" s="3" t="str">
        <f>IFERROR(__xludf.DUMMYFUNCTION("GOOGLETRANSLATE(B12765,""id"",""en"")"),"['Severe', 'subscription', 'Telkom', 'Until', 'Ahir', 'Open', 'Sick', ""]")</f>
        <v>['Severe', 'subscription', 'Telkom', 'Until', 'Ahir', 'Open', 'Sick', "]</v>
      </c>
      <c r="D12765" s="3">
        <v>1.0</v>
      </c>
    </row>
    <row r="12766" ht="15.75" customHeight="1">
      <c r="A12766" s="1">
        <v>13595.0</v>
      </c>
      <c r="B12766" s="3" t="s">
        <v>12173</v>
      </c>
      <c r="C12766" s="3" t="str">
        <f>IFERROR(__xludf.DUMMYFUNCTION("GOOGLETRANSLATE(B12766,""id"",""en"")"),"['Please', 'Feature', 'borrow', 'Pay', 'Cut', 'Credit', 'Notification', 'Customer', 'Extortion', 'Notification', 'Paying', 'Package', ' Emergency ']")</f>
        <v>['Please', 'Feature', 'borrow', 'Pay', 'Cut', 'Credit', 'Notification', 'Customer', 'Extortion', 'Notification', 'Paying', 'Package', ' Emergency ']</v>
      </c>
      <c r="D12766" s="3">
        <v>1.0</v>
      </c>
    </row>
    <row r="12767" ht="15.75" customHeight="1">
      <c r="A12767" s="1">
        <v>13596.0</v>
      </c>
      <c r="B12767" s="3" t="s">
        <v>12174</v>
      </c>
      <c r="C12767" s="3" t="str">
        <f>IFERROR(__xludf.DUMMYFUNCTION("GOOGLETRANSLATE(B12767,""id"",""en"")"),"['Cottage', 'Cabe', 'Downstream', 'Pamulang', 'Tangerang', 'South', 'Network', 'Telkomsel', 'Bener', 'ugly', 'Sunday', 'Blry "",' Ujan ',' Nambah ',' Severe ',' Nyesel ',' Activin ',' Package ',' Sympathy ',' Expensive ',' Doank ',' Quality ',' Minus']")</f>
        <v>['Cottage', 'Cabe', 'Downstream', 'Pamulang', 'Tangerang', 'South', 'Network', 'Telkomsel', 'Bener', 'ugly', 'Sunday', 'Blry ",' Ujan ',' Nambah ',' Severe ',' Nyesel ',' Activin ',' Package ',' Sympathy ',' Expensive ',' Doank ',' Quality ',' Minus']</v>
      </c>
      <c r="D12767" s="3">
        <v>1.0</v>
      </c>
    </row>
    <row r="12768" ht="15.75" customHeight="1">
      <c r="A12768" s="1">
        <v>13597.0</v>
      </c>
      <c r="B12768" s="3" t="s">
        <v>12175</v>
      </c>
      <c r="C12768" s="3" t="str">
        <f>IFERROR(__xludf.DUMMYFUNCTION("GOOGLETRANSLATE(B12768,""id"",""en"")"),"['already', 'outlet', 'Telkomsel', 'mean', 'solved', 'blank', 'white', 'blame', 'supported', 'ehh', 'already', 'install', ' reset ',' tetp ',' how ',' deliberate ',' cover it ',' emang ',' stupid ',' helloo ',' woyy ',' what ',' ']")</f>
        <v>['already', 'outlet', 'Telkomsel', 'mean', 'solved', 'blank', 'white', 'blame', 'supported', 'ehh', 'already', 'install', ' reset ',' tetp ',' how ',' deliberate ',' cover it ',' emang ',' stupid ',' helloo ',' woyy ',' what ',' ']</v>
      </c>
      <c r="D12768" s="3">
        <v>1.0</v>
      </c>
    </row>
    <row r="12769" ht="15.75" customHeight="1">
      <c r="A12769" s="1">
        <v>13598.0</v>
      </c>
      <c r="B12769" s="3" t="s">
        <v>12176</v>
      </c>
      <c r="C12769" s="3" t="str">
        <f>IFERROR(__xludf.DUMMYFUNCTION("GOOGLETRANSLATE(B12769,""id"",""en"")"),"['check', 'package', 'screen', 'white']")</f>
        <v>['check', 'package', 'screen', 'white']</v>
      </c>
      <c r="D12769" s="3">
        <v>1.0</v>
      </c>
    </row>
    <row r="12770" ht="15.75" customHeight="1">
      <c r="A12770" s="1">
        <v>13599.0</v>
      </c>
      <c r="B12770" s="3" t="s">
        <v>12177</v>
      </c>
      <c r="C12770" s="3" t="str">
        <f>IFERROR(__xludf.DUMMYFUNCTION("GOOGLETRANSLATE(B12770,""id"",""en"")"),"['', 'open', 'screen', 'white', '']")</f>
        <v>['', 'open', 'screen', 'white', '']</v>
      </c>
      <c r="D12770" s="3">
        <v>1.0</v>
      </c>
    </row>
    <row r="12771" ht="15.75" customHeight="1">
      <c r="A12771" s="1">
        <v>13600.0</v>
      </c>
      <c r="B12771" s="3" t="s">
        <v>12178</v>
      </c>
      <c r="C12771" s="3" t="str">
        <f>IFERROR(__xludf.DUMMYFUNCTION("GOOGLETRANSLATE(B12771,""id"",""en"")"),"['spec', 'tempe', 'managed', 'country', 'gini']")</f>
        <v>['spec', 'tempe', 'managed', 'country', 'gini']</v>
      </c>
      <c r="D12771" s="3">
        <v>1.0</v>
      </c>
    </row>
    <row r="12772" ht="15.75" customHeight="1">
      <c r="A12772" s="1">
        <v>13601.0</v>
      </c>
      <c r="B12772" s="3" t="s">
        <v>12179</v>
      </c>
      <c r="C12772" s="3" t="str">
        <f>IFERROR(__xludf.DUMMYFUNCTION("GOOGLETRANSLATE(B12772,""id"",""en"")"),"['run out', 'rain', 'signal', 'slow', 'really']")</f>
        <v>['run out', 'rain', 'signal', 'slow', 'really']</v>
      </c>
      <c r="D12772" s="3">
        <v>1.0</v>
      </c>
    </row>
    <row r="12773" ht="15.75" customHeight="1">
      <c r="A12773" s="1">
        <v>13602.0</v>
      </c>
      <c r="B12773" s="3" t="s">
        <v>12180</v>
      </c>
      <c r="C12773" s="3" t="str">
        <f>IFERROR(__xludf.DUMMYFUNCTION("GOOGLETRANSLATE(B12773,""id"",""en"")"),"['', 'Telkomsel', 'Mamang', 'Mantap']")</f>
        <v>['', 'Telkomsel', 'Mamang', 'Mantap']</v>
      </c>
      <c r="D12773" s="3">
        <v>5.0</v>
      </c>
    </row>
    <row r="12774" ht="15.75" customHeight="1">
      <c r="A12774" s="1">
        <v>13603.0</v>
      </c>
      <c r="B12774" s="3" t="s">
        <v>12181</v>
      </c>
      <c r="C12774" s="3" t="str">
        <f>IFERROR(__xludf.DUMMYFUNCTION("GOOGLETRANSLATE(B12774,""id"",""en"")"),"['Telkomsel', 'please', 'quota', 'expensive']")</f>
        <v>['Telkomsel', 'please', 'quota', 'expensive']</v>
      </c>
      <c r="D12774" s="3">
        <v>5.0</v>
      </c>
    </row>
    <row r="12775" ht="15.75" customHeight="1">
      <c r="A12775" s="1">
        <v>13604.0</v>
      </c>
      <c r="B12775" s="3" t="s">
        <v>12182</v>
      </c>
      <c r="C12775" s="3" t="str">
        <f>IFERROR(__xludf.DUMMYFUNCTION("GOOGLETRANSLATE(B12775,""id"",""en"")"),"['Application', 'BANGJE', 'Nga', 'Open', 'Blank', 'White', 'Mulu']")</f>
        <v>['Application', 'BANGJE', 'Nga', 'Open', 'Blank', 'White', 'Mulu']</v>
      </c>
      <c r="D12775" s="3">
        <v>1.0</v>
      </c>
    </row>
    <row r="12776" ht="15.75" customHeight="1">
      <c r="A12776" s="1">
        <v>13605.0</v>
      </c>
      <c r="B12776" s="3" t="s">
        <v>12183</v>
      </c>
      <c r="C12776" s="3" t="str">
        <f>IFERROR(__xludf.DUMMYFUNCTION("GOOGLETRANSLATE(B12776,""id"",""en"")"),"['', 'Greetings',' Walaikum ',' permission ',' Alif ',' Purba ',' Kalu ',' Package ',' Pulse ',' Alip ',' Purba ',' Out ',' Help ',' Ambo ',' school ',' class', 'just', 'money', 'oppung', 'Jakarum', 'ancient', 'darling', 'alif', 'ancient', 'please', 'Help"&amp;"', 'Telkomsel', 'Kasian', 'Ambo', 'Greetings',' Walaikum ',' Low ',' Heart ',' Hand ',' Alif ',' Purba ',' begged ',' Reader ',' Oppung ',' stingy ',' Kerna ',' Life ',' Grace ',' Allah ',' Greetings', 'Walaikum', 'Sorry', ""]")</f>
        <v>['', 'Greetings',' Walaikum ',' permission ',' Alif ',' Purba ',' Kalu ',' Package ',' Pulse ',' Alip ',' Purba ',' Out ',' Help ',' Ambo ',' school ',' class', 'just', 'money', 'oppung', 'Jakarum', 'ancient', 'darling', 'alif', 'ancient', 'please', 'Help', 'Telkomsel', 'Kasian', 'Ambo', 'Greetings',' Walaikum ',' Low ',' Heart ',' Hand ',' Alif ',' Purba ',' begged ',' Reader ',' Oppung ',' stingy ',' Kerna ',' Life ',' Grace ',' Allah ',' Greetings', 'Walaikum', 'Sorry', "]</v>
      </c>
      <c r="D12776" s="3">
        <v>5.0</v>
      </c>
    </row>
    <row r="12777" ht="15.75" customHeight="1">
      <c r="A12777" s="1">
        <v>13606.0</v>
      </c>
      <c r="B12777" s="3" t="s">
        <v>12184</v>
      </c>
      <c r="C12777" s="3" t="str">
        <f>IFERROR(__xludf.DUMMYFUNCTION("GOOGLETRANSLATE(B12777,""id"",""en"")"),"['Sagat', 'Satisfied', 'Degan', 'Package', 'Cheap']")</f>
        <v>['Sagat', 'Satisfied', 'Degan', 'Package', 'Cheap']</v>
      </c>
      <c r="D12777" s="3">
        <v>2.0</v>
      </c>
    </row>
    <row r="12778" ht="15.75" customHeight="1">
      <c r="A12778" s="1">
        <v>13607.0</v>
      </c>
      <c r="B12778" s="3" t="s">
        <v>12185</v>
      </c>
      <c r="C12778" s="3" t="str">
        <f>IFERROR(__xludf.DUMMYFUNCTION("GOOGLETRANSLATE(B12778,""id"",""en"")"),"['traveling', 'Region', 'Telkomsel', 'Thank', 'Love', 'Telkomsel', ""]")</f>
        <v>['traveling', 'Region', 'Telkomsel', 'Thank', 'Love', 'Telkomsel', "]</v>
      </c>
      <c r="D12778" s="3">
        <v>5.0</v>
      </c>
    </row>
    <row r="12779" ht="15.75" customHeight="1">
      <c r="A12779" s="1">
        <v>13608.0</v>
      </c>
      <c r="B12779" s="3" t="s">
        <v>12186</v>
      </c>
      <c r="C12779" s="3" t="str">
        <f>IFERROR(__xludf.DUMMYFUNCTION("GOOGLETRANSLATE(B12779,""id"",""en"")"),"['Disappointed', 'really', 'complain', 'satisfying', 'skrg', 'his condition', 'Sink', 'Urgent', 'confusion', 'disappointed', 'really', 'please', ' Sis', 'Customer', 'Number', '']")</f>
        <v>['Disappointed', 'really', 'complain', 'satisfying', 'skrg', 'his condition', 'Sink', 'Urgent', 'confusion', 'disappointed', 'really', 'please', ' Sis', 'Customer', 'Number', '']</v>
      </c>
      <c r="D12779" s="3">
        <v>1.0</v>
      </c>
    </row>
    <row r="12780" ht="15.75" customHeight="1">
      <c r="A12780" s="1">
        <v>13609.0</v>
      </c>
      <c r="B12780" s="3" t="s">
        <v>12187</v>
      </c>
      <c r="C12780" s="3" t="str">
        <f>IFERROR(__xludf.DUMMYFUNCTION("GOOGLETRANSLATE(B12780,""id"",""en"")"),"['', 'Telkomsel', 'buy', 'package', 'already', 'expensive', 'GB', 'RB', 'love', 'star', ""]")</f>
        <v>['', 'Telkomsel', 'buy', 'package', 'already', 'expensive', 'GB', 'RB', 'love', 'star', "]</v>
      </c>
      <c r="D12780" s="3">
        <v>3.0</v>
      </c>
    </row>
    <row r="12781" ht="15.75" customHeight="1">
      <c r="A12781" s="1">
        <v>13610.0</v>
      </c>
      <c r="B12781" s="3" t="s">
        <v>12188</v>
      </c>
      <c r="C12781" s="3" t="str">
        <f>IFERROR(__xludf.DUMMYFUNCTION("GOOGLETRANSLATE(B12781,""id"",""en"")"),"['Good', 'LEG']")</f>
        <v>['Good', 'LEG']</v>
      </c>
      <c r="D12781" s="3">
        <v>5.0</v>
      </c>
    </row>
    <row r="12782" ht="15.75" customHeight="1">
      <c r="A12782" s="1">
        <v>13611.0</v>
      </c>
      <c r="B12782" s="3" t="s">
        <v>12189</v>
      </c>
      <c r="C12782" s="3" t="str">
        <f>IFERROR(__xludf.DUMMYFUNCTION("GOOGLETRANSLATE(B12782,""id"",""en"")"),"['Good', 'occasioniiiiiiiiii']")</f>
        <v>['Good', 'occasioniiiiiiiiii']</v>
      </c>
      <c r="D12782" s="3">
        <v>5.0</v>
      </c>
    </row>
    <row r="12783" ht="15.75" customHeight="1">
      <c r="A12783" s="1">
        <v>13612.0</v>
      </c>
      <c r="B12783" s="3" t="s">
        <v>12190</v>
      </c>
      <c r="C12783" s="3" t="str">
        <f>IFERROR(__xludf.DUMMYFUNCTION("GOOGLETRANSLATE(B12783,""id"",""en"")"),"['price', 'package', 'expensive', 'network', 'bad']")</f>
        <v>['price', 'package', 'expensive', 'network', 'bad']</v>
      </c>
      <c r="D12783" s="3">
        <v>1.0</v>
      </c>
    </row>
    <row r="12784" ht="15.75" customHeight="1">
      <c r="A12784" s="1">
        <v>13613.0</v>
      </c>
      <c r="B12784" s="3" t="s">
        <v>12191</v>
      </c>
      <c r="C12784" s="3" t="str">
        <f>IFERROR(__xludf.DUMMYFUNCTION("GOOGLETRANSLATE(B12784,""id"",""en"")"),"['Good', 'comfortable', 'Telkomsel', 'trimakasih']")</f>
        <v>['Good', 'comfortable', 'Telkomsel', 'trimakasih']</v>
      </c>
      <c r="D12784" s="3">
        <v>5.0</v>
      </c>
    </row>
    <row r="12785" ht="15.75" customHeight="1">
      <c r="A12785" s="1">
        <v>13614.0</v>
      </c>
      <c r="B12785" s="3" t="s">
        <v>12192</v>
      </c>
      <c r="C12785" s="3" t="str">
        <f>IFERROR(__xludf.DUMMYFUNCTION("GOOGLETRANSLATE(B12785,""id"",""en"")"),"['Hurry', 'donlot', 'application']")</f>
        <v>['Hurry', 'donlot', 'application']</v>
      </c>
      <c r="D12785" s="3">
        <v>5.0</v>
      </c>
    </row>
    <row r="12786" ht="15.75" customHeight="1">
      <c r="A12786" s="1">
        <v>13615.0</v>
      </c>
      <c r="B12786" s="3" t="s">
        <v>12193</v>
      </c>
      <c r="C12786" s="3" t="str">
        <f>IFERROR(__xludf.DUMMYFUNCTION("GOOGLETRANSLATE(B12786,""id"",""en"")"),"['Disappointed', 'really', 'contents',' pulse ',' sms', 'enter', 'right', 'DiChek', 'enter', 'nggk', 'turn on', 'data', ' Cellular ',' Activation ',' Banking ',' please ',' repaired ']")</f>
        <v>['Disappointed', 'really', 'contents',' pulse ',' sms', 'enter', 'right', 'DiChek', 'enter', 'nggk', 'turn on', 'data', ' Cellular ',' Activation ',' Banking ',' please ',' repaired ']</v>
      </c>
      <c r="D12786" s="3">
        <v>1.0</v>
      </c>
    </row>
    <row r="12787" ht="15.75" customHeight="1">
      <c r="A12787" s="1">
        <v>13616.0</v>
      </c>
      <c r="B12787" s="3" t="s">
        <v>12194</v>
      </c>
      <c r="C12787" s="3" t="str">
        <f>IFERROR(__xludf.DUMMYFUNCTION("GOOGLETRANSLATE(B12787,""id"",""en"")"),"['thank', 'love', 'mytelkomsel']")</f>
        <v>['thank', 'love', 'mytelkomsel']</v>
      </c>
      <c r="D12787" s="3">
        <v>5.0</v>
      </c>
    </row>
    <row r="12788" ht="15.75" customHeight="1">
      <c r="A12788" s="1">
        <v>13617.0</v>
      </c>
      <c r="B12788" s="3" t="s">
        <v>12195</v>
      </c>
      <c r="C12788" s="3" t="str">
        <f>IFERROR(__xludf.DUMMYFUNCTION("GOOGLETRANSLATE(B12788,""id"",""en"")"),"['Telkomsel', 'opened', 'Tlong', ""]")</f>
        <v>['Telkomsel', 'opened', 'Tlong', "]</v>
      </c>
      <c r="D12788" s="3">
        <v>1.0</v>
      </c>
    </row>
    <row r="12789" ht="15.75" customHeight="1">
      <c r="A12789" s="1">
        <v>13618.0</v>
      </c>
      <c r="B12789" s="3" t="s">
        <v>12196</v>
      </c>
      <c r="C12789" s="3" t="str">
        <f>IFERROR(__xludf.DUMMYFUNCTION("GOOGLETRANSLATE(B12789,""id"",""en"")"),"['Sorry', 'application', 'difficult', 'open', 'just', 'white', 'plain', 'doang', 'what', 'niii']")</f>
        <v>['Sorry', 'application', 'difficult', 'open', 'just', 'white', 'plain', 'doang', 'what', 'niii']</v>
      </c>
      <c r="D12789" s="3">
        <v>1.0</v>
      </c>
    </row>
    <row r="12790" ht="15.75" customHeight="1">
      <c r="A12790" s="1">
        <v>13619.0</v>
      </c>
      <c r="B12790" s="3" t="s">
        <v>12197</v>
      </c>
      <c r="C12790" s="3" t="str">
        <f>IFERROR(__xludf.DUMMYFUNCTION("GOOGLETRANSLATE(B12790,""id"",""en"")"),"['Application', 'Open', 'Tlp', 'Clock']")</f>
        <v>['Application', 'Open', 'Tlp', 'Clock']</v>
      </c>
      <c r="D12790" s="3">
        <v>5.0</v>
      </c>
    </row>
    <row r="12791" ht="15.75" customHeight="1">
      <c r="A12791" s="1">
        <v>13620.0</v>
      </c>
      <c r="B12791" s="3" t="s">
        <v>12198</v>
      </c>
      <c r="C12791" s="3" t="str">
        <f>IFERROR(__xludf.DUMMYFUNCTION("GOOGLETRANSLATE(B12791,""id"",""en"")"),"['Network', 'Leet', 'Good', 'Move', 'Indosat']")</f>
        <v>['Network', 'Leet', 'Good', 'Move', 'Indosat']</v>
      </c>
      <c r="D12791" s="3">
        <v>1.0</v>
      </c>
    </row>
    <row r="12792" ht="15.75" customHeight="1">
      <c r="A12792" s="1">
        <v>13621.0</v>
      </c>
      <c r="B12792" s="3" t="s">
        <v>12199</v>
      </c>
      <c r="C12792" s="3" t="str">
        <f>IFERROR(__xludf.DUMMYFUNCTION("GOOGLETRANSLATE(B12792,""id"",""en"")"),"['Network', 'Region', 'City', 'Langsa', 'Aceh', 'Please', 'Notice', 'Network', 'Satisfying', 'Package', 'Accept', 'Love', ' ']")</f>
        <v>['Network', 'Region', 'City', 'Langsa', 'Aceh', 'Please', 'Notice', 'Network', 'Satisfying', 'Package', 'Accept', 'Love', ' ']</v>
      </c>
      <c r="D12792" s="3">
        <v>3.0</v>
      </c>
    </row>
    <row r="12793" ht="15.75" customHeight="1">
      <c r="A12793" s="1">
        <v>13622.0</v>
      </c>
      <c r="B12793" s="3" t="s">
        <v>12200</v>
      </c>
      <c r="C12793" s="3" t="str">
        <f>IFERROR(__xludf.DUMMYFUNCTION("GOOGLETRANSLATE(B12793,""id"",""en"")"),"['buy', 'package', 'price', 'RbU', 'pulse', 'mash', 'RbU', 'fail', 'buy', 'Rbu', 'ttp', 'fail', ' BSA ']")</f>
        <v>['buy', 'package', 'price', 'RbU', 'pulse', 'mash', 'RbU', 'fail', 'buy', 'Rbu', 'ttp', 'fail', ' BSA ']</v>
      </c>
      <c r="D12793" s="3">
        <v>1.0</v>
      </c>
    </row>
    <row r="12794" ht="15.75" customHeight="1">
      <c r="A12794" s="1">
        <v>13623.0</v>
      </c>
      <c r="B12794" s="3" t="s">
        <v>12201</v>
      </c>
      <c r="C12794" s="3" t="str">
        <f>IFERROR(__xludf.DUMMYFUNCTION("GOOGLETRANSLATE(B12794,""id"",""en"")"),"['Buy', 'Package', 'Easy']")</f>
        <v>['Buy', 'Package', 'Easy']</v>
      </c>
      <c r="D12794" s="3">
        <v>5.0</v>
      </c>
    </row>
    <row r="12795" ht="15.75" customHeight="1">
      <c r="A12795" s="1">
        <v>13626.0</v>
      </c>
      <c r="B12795" s="3" t="s">
        <v>12202</v>
      </c>
      <c r="C12795" s="3" t="str">
        <f>IFERROR(__xludf.DUMMYFUNCTION("GOOGLETRANSLATE(B12795,""id"",""en"")"),"['Service', 'ugly']")</f>
        <v>['Service', 'ugly']</v>
      </c>
      <c r="D12795" s="3">
        <v>1.0</v>
      </c>
    </row>
    <row r="12796" ht="15.75" customHeight="1">
      <c r="A12796" s="1">
        <v>13627.0</v>
      </c>
      <c r="B12796" s="3" t="s">
        <v>12203</v>
      </c>
      <c r="C12796" s="3" t="str">
        <f>IFERROR(__xludf.DUMMYFUNCTION("GOOGLETRANSLATE(B12796,""id"",""en"")"),"['Sorry', 'Lower', 'Jarga', 'Internet', 'Lemot', '']")</f>
        <v>['Sorry', 'Lower', 'Jarga', 'Internet', 'Lemot', '']</v>
      </c>
      <c r="D12796" s="3">
        <v>1.0</v>
      </c>
    </row>
    <row r="12797" ht="15.75" customHeight="1">
      <c r="A12797" s="1">
        <v>13628.0</v>
      </c>
      <c r="B12797" s="3" t="s">
        <v>12204</v>
      </c>
      <c r="C12797" s="3" t="str">
        <f>IFERROR(__xludf.DUMMYFUNCTION("GOOGLETRANSLATE(B12797,""id"",""en"")"),"['Package', 'Different', 'Different', 'friend', 'package', 'asw']")</f>
        <v>['Package', 'Different', 'Different', 'friend', 'package', 'asw']</v>
      </c>
      <c r="D12797" s="3">
        <v>1.0</v>
      </c>
    </row>
    <row r="12798" ht="15.75" customHeight="1">
      <c r="A12798" s="1">
        <v>13629.0</v>
      </c>
      <c r="B12798" s="3" t="s">
        <v>12205</v>
      </c>
      <c r="C12798" s="3" t="str">
        <f>IFERROR(__xludf.DUMMYFUNCTION("GOOGLETRANSLATE(B12798,""id"",""en"")"),"['Increases', 'Performance', 'APK']")</f>
        <v>['Increases', 'Performance', 'APK']</v>
      </c>
      <c r="D12798" s="3">
        <v>3.0</v>
      </c>
    </row>
    <row r="12799" ht="15.75" customHeight="1">
      <c r="A12799" s="1">
        <v>13630.0</v>
      </c>
      <c r="B12799" s="3" t="s">
        <v>12206</v>
      </c>
      <c r="C12799" s="3" t="str">
        <f>IFERROR(__xludf.DUMMYFUNCTION("GOOGLETRANSLATE(B12799,""id"",""en"")"),"['Tekomsel', 'Limahari', 'opened', 'White', 'Sreen', 'Cook', 'company', 'Telkom', 'Ngatasin', 'poor']")</f>
        <v>['Tekomsel', 'Limahari', 'opened', 'White', 'Sreen', 'Cook', 'company', 'Telkom', 'Ngatasin', 'poor']</v>
      </c>
      <c r="D12799" s="3">
        <v>1.0</v>
      </c>
    </row>
    <row r="12800" ht="15.75" customHeight="1">
      <c r="A12800" s="1">
        <v>13631.0</v>
      </c>
      <c r="B12800" s="3" t="s">
        <v>12207</v>
      </c>
      <c r="C12800" s="3" t="str">
        <f>IFERROR(__xludf.DUMMYFUNCTION("GOOGLETRANSLATE(B12800,""id"",""en"")"),"['regret', 'update', 'customer', 'complain', 'response', 'Telkomsel', '']")</f>
        <v>['regret', 'update', 'customer', 'complain', 'response', 'Telkomsel', '']</v>
      </c>
      <c r="D12800" s="3">
        <v>1.0</v>
      </c>
    </row>
    <row r="12801" ht="15.75" customHeight="1">
      <c r="A12801" s="1">
        <v>13632.0</v>
      </c>
      <c r="B12801" s="3" t="s">
        <v>12208</v>
      </c>
      <c r="C12801" s="3" t="str">
        <f>IFERROR(__xludf.DUMMYFUNCTION("GOOGLETRANSLATE(B12801,""id"",""en"")"),"['Telkomsel', 'pulse', 'ilang', 'belom', 'dipake', 'already', 'ilang', 'pulse', 'emang', 'disruption', 'fix', 'as soon as possible]")</f>
        <v>['Telkomsel', 'pulse', 'ilang', 'belom', 'dipake', 'already', 'ilang', 'pulse', 'emang', 'disruption', 'fix', 'as soon as possible]</v>
      </c>
      <c r="D12801" s="3">
        <v>3.0</v>
      </c>
    </row>
    <row r="12802" ht="15.75" customHeight="1">
      <c r="A12802" s="1">
        <v>13633.0</v>
      </c>
      <c r="B12802" s="3" t="s">
        <v>12209</v>
      </c>
      <c r="C12802" s="3" t="str">
        <f>IFERROR(__xludf.DUMMYFUNCTION("GOOGLETRANSLATE(B12802,""id"",""en"")"),"['waw', 'apk', 'good', 'really', 'cave', 'gnerti', 'thank', 'love', 'Telkomsel', '']")</f>
        <v>['waw', 'apk', 'good', 'really', 'cave', 'gnerti', 'thank', 'love', 'Telkomsel', '']</v>
      </c>
      <c r="D12802" s="3">
        <v>5.0</v>
      </c>
    </row>
    <row r="12803" ht="15.75" customHeight="1">
      <c r="A12803" s="1">
        <v>13634.0</v>
      </c>
      <c r="B12803" s="3" t="s">
        <v>12210</v>
      </c>
      <c r="C12803" s="3" t="str">
        <f>IFERROR(__xludf.DUMMYFUNCTION("GOOGLETRANSLATE(B12803,""id"",""en"")"),"['My advice', 'purchase', 'package', 'provided', 'payment', 'gopay', 'funds', 'udh', 'good']")</f>
        <v>['My advice', 'purchase', 'package', 'provided', 'payment', 'gopay', 'funds', 'udh', 'good']</v>
      </c>
      <c r="D12803" s="3">
        <v>5.0</v>
      </c>
    </row>
    <row r="12804" ht="15.75" customHeight="1">
      <c r="A12804" s="1">
        <v>13635.0</v>
      </c>
      <c r="B12804" s="3" t="s">
        <v>12211</v>
      </c>
      <c r="C12804" s="3" t="str">
        <f>IFERROR(__xludf.DUMMYFUNCTION("GOOGLETRANSLATE(B12804,""id"",""en"")"),"['Need', 'package', 'cheap', 'jealous',' number ',' Telkomsel ',' buy ',' package ',' combo ',' Sakti ',' max ',' cave ',' already ',' Telkomsel ',' buy ',' package ',' expensive ',' ']")</f>
        <v>['Need', 'package', 'cheap', 'jealous',' number ',' Telkomsel ',' buy ',' package ',' combo ',' Sakti ',' max ',' cave ',' already ',' Telkomsel ',' buy ',' package ',' expensive ',' ']</v>
      </c>
      <c r="D12804" s="3">
        <v>4.0</v>
      </c>
    </row>
    <row r="12805" ht="15.75" customHeight="1">
      <c r="A12805" s="1">
        <v>13636.0</v>
      </c>
      <c r="B12805" s="3" t="s">
        <v>12212</v>
      </c>
      <c r="C12805" s="3" t="str">
        <f>IFERROR(__xludf.DUMMYFUNCTION("GOOGLETRANSLATE(B12805,""id"",""en"")"),"['review', 'Delete', 'Lawak', 'price', 'expensive', 'network', 'slow', 'NOT', 'repay', 'lag', 'delete', 'review']")</f>
        <v>['review', 'Delete', 'Lawak', 'price', 'expensive', 'network', 'slow', 'NOT', 'repay', 'lag', 'delete', 'review']</v>
      </c>
      <c r="D12805" s="3">
        <v>1.0</v>
      </c>
    </row>
    <row r="12806" ht="15.75" customHeight="1">
      <c r="A12806" s="1">
        <v>13637.0</v>
      </c>
      <c r="B12806" s="3" t="s">
        <v>12213</v>
      </c>
      <c r="C12806" s="3" t="str">
        <f>IFERROR(__xludf.DUMMYFUNCTION("GOOGLETRANSLATE(B12806,""id"",""en"")"),"['update', 'screen', 'white', '']")</f>
        <v>['update', 'screen', 'white', '']</v>
      </c>
      <c r="D12806" s="3">
        <v>1.0</v>
      </c>
    </row>
    <row r="12807" ht="15.75" customHeight="1">
      <c r="A12807" s="1">
        <v>13638.0</v>
      </c>
      <c r="B12807" s="3" t="s">
        <v>12214</v>
      </c>
      <c r="C12807" s="3" t="str">
        <f>IFERROR(__xludf.DUMMYFUNCTION("GOOGLETRANSLATE(B12807,""id"",""en"")"),"['service', 'ugly', 'waste', 'uda', 'kapok', 'wear', 'Telkomsel']")</f>
        <v>['service', 'ugly', 'waste', 'uda', 'kapok', 'wear', 'Telkomsel']</v>
      </c>
      <c r="D12807" s="3">
        <v>1.0</v>
      </c>
    </row>
    <row r="12808" ht="15.75" customHeight="1">
      <c r="A12808" s="1">
        <v>13639.0</v>
      </c>
      <c r="B12808" s="3" t="s">
        <v>12215</v>
      </c>
      <c r="C12808" s="3" t="str">
        <f>IFERROR(__xludf.DUMMYFUNCTION("GOOGLETRANSLATE(B12808,""id"",""en"")"),"['The network', 'relied on', ""]")</f>
        <v>['The network', 'relied on', "]</v>
      </c>
      <c r="D12808" s="3">
        <v>1.0</v>
      </c>
    </row>
    <row r="12809" ht="15.75" customHeight="1">
      <c r="A12809" s="1">
        <v>13640.0</v>
      </c>
      <c r="B12809" s="3" t="s">
        <v>12216</v>
      </c>
      <c r="C12809" s="3" t="str">
        <f>IFERROR(__xludf.DUMMYFUNCTION("GOOGLETRANSLATE(B12809,""id"",""en"")"),"['Telkomsel', 'Severe', 'ugly', 'Ancrit', 'Bener', 'ugly', 'Bangett', 'Open', 'APK', 'Screen', 'White', 'told', ' Update ',' opened ',' Bener ',' Telkomsel ',' taaaiiiiiiii ',' ']")</f>
        <v>['Telkomsel', 'Severe', 'ugly', 'Ancrit', 'Bener', 'ugly', 'Bangett', 'Open', 'APK', 'Screen', 'White', 'told', ' Update ',' opened ',' Bener ',' Telkomsel ',' taaaiiiiiiii ',' ']</v>
      </c>
      <c r="D12809" s="3">
        <v>1.0</v>
      </c>
    </row>
    <row r="12810" ht="15.75" customHeight="1">
      <c r="A12810" s="1">
        <v>13641.0</v>
      </c>
      <c r="B12810" s="3" t="s">
        <v>12217</v>
      </c>
      <c r="C12810" s="3" t="str">
        <f>IFERROR(__xludf.DUMMYFUNCTION("GOOGLETRANSLATE(B12810,""id"",""en"")"),"['bad', 'package', 'data', 'expensive', 'expensive', 'application', 'function', 'pulse', 'sucked', 'provider', 'disappointing']")</f>
        <v>['bad', 'package', 'data', 'expensive', 'expensive', 'application', 'function', 'pulse', 'sucked', 'provider', 'disappointing']</v>
      </c>
      <c r="D12810" s="3">
        <v>1.0</v>
      </c>
    </row>
    <row r="12811" ht="15.75" customHeight="1">
      <c r="A12811" s="1">
        <v>13642.0</v>
      </c>
      <c r="B12811" s="3" t="s">
        <v>12218</v>
      </c>
      <c r="C12811" s="3" t="str">
        <f>IFERROR(__xludf.DUMMYFUNCTION("GOOGLETRANSLATE(B12811,""id"",""en"")"),"['Unfortunately', 'promo', 'internet', 'Sakti', '']")</f>
        <v>['Unfortunately', 'promo', 'internet', 'Sakti', '']</v>
      </c>
      <c r="D12811" s="3">
        <v>2.0</v>
      </c>
    </row>
    <row r="12812" ht="15.75" customHeight="1">
      <c r="A12812" s="1">
        <v>13643.0</v>
      </c>
      <c r="B12812" s="3" t="s">
        <v>12219</v>
      </c>
      <c r="C12812" s="3" t="str">
        <f>IFERROR(__xludf.DUMMYFUNCTION("GOOGLETRANSLATE(B12812,""id"",""en"")"),"['Good', 'Bermanaf']")</f>
        <v>['Good', 'Bermanaf']</v>
      </c>
      <c r="D12812" s="3">
        <v>4.0</v>
      </c>
    </row>
    <row r="12813" ht="15.75" customHeight="1">
      <c r="A12813" s="1">
        <v>13644.0</v>
      </c>
      <c r="B12813" s="3" t="s">
        <v>12220</v>
      </c>
      <c r="C12813" s="3" t="str">
        <f>IFERROR(__xludf.DUMMYFUNCTION("GOOGLETRANSLATE(B12813,""id"",""en"")"),"['Disappointing', 'Telkomsel', 'signal', 'bad', 'slow', 'tasty', 'really', 'mesk', 'Telkomsel', 'pay', 'package', 'expensive', ' its quality ',' signal ',' ugly ',' loss', 'MERKEK', 'Telkomsel']")</f>
        <v>['Disappointing', 'Telkomsel', 'signal', 'bad', 'slow', 'tasty', 'really', 'mesk', 'Telkomsel', 'pay', 'package', 'expensive', ' its quality ',' signal ',' ugly ',' loss', 'MERKEK', 'Telkomsel']</v>
      </c>
      <c r="D12813" s="3">
        <v>1.0</v>
      </c>
    </row>
    <row r="12814" ht="15.75" customHeight="1">
      <c r="A12814" s="1">
        <v>13645.0</v>
      </c>
      <c r="B12814" s="3" t="s">
        <v>12221</v>
      </c>
      <c r="C12814" s="3" t="str">
        <f>IFERROR(__xludf.DUMMYFUNCTION("GOOGLETRANSLATE(B12814,""id"",""en"")"),"['Love', 'Bintang', 'The application', 'Open']")</f>
        <v>['Love', 'Bintang', 'The application', 'Open']</v>
      </c>
      <c r="D12814" s="3">
        <v>5.0</v>
      </c>
    </row>
    <row r="12815" ht="15.75" customHeight="1">
      <c r="A12815" s="1">
        <v>13646.0</v>
      </c>
      <c r="B12815" s="3" t="s">
        <v>12222</v>
      </c>
      <c r="C12815" s="3" t="str">
        <f>IFERROR(__xludf.DUMMYFUNCTION("GOOGLETRANSLATE(B12815,""id"",""en"")"),"['Dahlah', 'delete', 'Telkomsel', 'Dri', 'face', 'earth', 'UDH', 'use', 'AJG', 'package', 'expensive', 'CPET', ' Abis', 'Ngeleg', 'Severe', 'Want', 'PNDH', 'HOUSE', 'DKET', 'TMPT', 'Pny', 'Telkomsel', 'Udh', 'goiter', 'times' , 'SMA', 'Telkomsel']")</f>
        <v>['Dahlah', 'delete', 'Telkomsel', 'Dri', 'face', 'earth', 'UDH', 'use', 'AJG', 'package', 'expensive', 'CPET', ' Abis', 'Ngeleg', 'Severe', 'Want', 'PNDH', 'HOUSE', 'DKET', 'TMPT', 'Pny', 'Telkomsel', 'Udh', 'goiter', 'times' , 'SMA', 'Telkomsel']</v>
      </c>
      <c r="D12815" s="3">
        <v>1.0</v>
      </c>
    </row>
    <row r="12816" ht="15.75" customHeight="1">
      <c r="A12816" s="1">
        <v>13647.0</v>
      </c>
      <c r="B12816" s="3" t="s">
        <v>12223</v>
      </c>
      <c r="C12816" s="3" t="str">
        <f>IFERROR(__xludf.DUMMYFUNCTION("GOOGLETRANSLATE(B12816,""id"",""en"")"),"['application', 'Telkomsel', 'nggk', 'open', 'grade', 'slow', 'please', 'fix']")</f>
        <v>['application', 'Telkomsel', 'nggk', 'open', 'grade', 'slow', 'please', 'fix']</v>
      </c>
      <c r="D12816" s="3">
        <v>3.0</v>
      </c>
    </row>
    <row r="12817" ht="15.75" customHeight="1">
      <c r="A12817" s="1">
        <v>13648.0</v>
      </c>
      <c r="B12817" s="3" t="s">
        <v>2727</v>
      </c>
      <c r="C12817" s="3" t="str">
        <f>IFERROR(__xludf.DUMMYFUNCTION("GOOGLETRANSLATE(B12817,""id"",""en"")"),"['Opened', '']")</f>
        <v>['Opened', '']</v>
      </c>
      <c r="D12817" s="3">
        <v>2.0</v>
      </c>
    </row>
    <row r="12818" ht="15.75" customHeight="1">
      <c r="A12818" s="1">
        <v>13649.0</v>
      </c>
      <c r="B12818" s="3" t="s">
        <v>12224</v>
      </c>
      <c r="C12818" s="3" t="str">
        <f>IFERROR(__xludf.DUMMYFUNCTION("GOOGLETRANSLATE(B12818,""id"",""en"")"),"['easy', 'check', 'leftover', 'quota', 'practical', 'contents', 'reset', 'pulse', 'complicated', 'home', ""]")</f>
        <v>['easy', 'check', 'leftover', 'quota', 'practical', 'contents', 'reset', 'pulse', 'complicated', 'home', "]</v>
      </c>
      <c r="D12818" s="3">
        <v>5.0</v>
      </c>
    </row>
    <row r="12819" ht="15.75" customHeight="1">
      <c r="A12819" s="1">
        <v>13650.0</v>
      </c>
      <c r="B12819" s="3" t="s">
        <v>12225</v>
      </c>
      <c r="C12819" s="3" t="str">
        <f>IFERROR(__xludf.DUMMYFUNCTION("GOOGLETRANSLATE(B12819,""id"",""en"")"),"['price', 'quota', 'expensive', 'right', 'price', 'rb', 'GB', 'then', 'direct', 'rb', 'right', 'buy', ' UDH ',' RB ',' TRS ',' Signal ',' Like ',' Lost ',' Severe ', ""]")</f>
        <v>['price', 'quota', 'expensive', 'right', 'price', 'rb', 'GB', 'then', 'direct', 'rb', 'right', 'buy', ' UDH ',' RB ',' TRS ',' Signal ',' Like ',' Lost ',' Severe ', "]</v>
      </c>
      <c r="D12819" s="3">
        <v>2.0</v>
      </c>
    </row>
    <row r="12820" ht="15.75" customHeight="1">
      <c r="A12820" s="1">
        <v>13651.0</v>
      </c>
      <c r="B12820" s="3" t="s">
        <v>12226</v>
      </c>
      <c r="C12820" s="3" t="str">
        <f>IFERROR(__xludf.DUMMYFUNCTION("GOOGLETRANSLATE(B12820,""id"",""en"")"),"['complaint', 'dng', 'friend', 'before', 'December', 'application', 'open', 'screen', 'white', 'then', 'many', 'uninstall', ' Install ',' results', 'easy', 'dng', 'application', 'poor', '']")</f>
        <v>['complaint', 'dng', 'friend', 'before', 'December', 'application', 'open', 'screen', 'white', 'then', 'many', 'uninstall', ' Install ',' results', 'easy', 'dng', 'application', 'poor', '']</v>
      </c>
      <c r="D12820" s="3">
        <v>1.0</v>
      </c>
    </row>
    <row r="12821" ht="15.75" customHeight="1">
      <c r="A12821" s="1">
        <v>13652.0</v>
      </c>
      <c r="B12821" s="3" t="s">
        <v>12227</v>
      </c>
      <c r="C12821" s="3" t="str">
        <f>IFERROR(__xludf.DUMMYFUNCTION("GOOGLETRANSLATE(B12821,""id"",""en"")"),"['network', 'abal', 'aball', 'Telkomsel', 'package', 'expensive', 'TPI', 'network', 'Kek', 'Siputt']")</f>
        <v>['network', 'abal', 'aball', 'Telkomsel', 'package', 'expensive', 'TPI', 'network', 'Kek', 'Siputt']</v>
      </c>
      <c r="D12821" s="3">
        <v>5.0</v>
      </c>
    </row>
    <row r="12822" ht="15.75" customHeight="1">
      <c r="A12822" s="1">
        <v>13653.0</v>
      </c>
      <c r="B12822" s="3" t="s">
        <v>12228</v>
      </c>
      <c r="C12822" s="3" t="str">
        <f>IFERROR(__xludf.DUMMYFUNCTION("GOOGLETRANSLATE(B12822,""id"",""en"")"),"['Oklah', 'steady', ""]")</f>
        <v>['Oklah', 'steady', "]</v>
      </c>
      <c r="D12822" s="3">
        <v>5.0</v>
      </c>
    </row>
    <row r="12823" ht="15.75" customHeight="1">
      <c r="A12823" s="1">
        <v>13654.0</v>
      </c>
      <c r="B12823" s="3" t="s">
        <v>12229</v>
      </c>
      <c r="C12823" s="3" t="str">
        <f>IFERROR(__xludf.DUMMYFUNCTION("GOOGLETRANSLATE(B12823,""id"",""en"")"),"['Function']")</f>
        <v>['Function']</v>
      </c>
      <c r="D12823" s="3">
        <v>5.0</v>
      </c>
    </row>
    <row r="12824" ht="15.75" customHeight="1">
      <c r="A12824" s="1">
        <v>13655.0</v>
      </c>
      <c r="B12824" s="3" t="s">
        <v>12230</v>
      </c>
      <c r="C12824" s="3" t="str">
        <f>IFERROR(__xludf.DUMMYFUNCTION("GOOGLETRANSLATE(B12824,""id"",""en"")"),"['update', 'application', 'open', 'check', 'quota', 'bill', 'card', 'hello', 'difficult', ""]")</f>
        <v>['update', 'application', 'open', 'check', 'quota', 'bill', 'card', 'hello', 'difficult', "]</v>
      </c>
      <c r="D12824" s="3">
        <v>1.0</v>
      </c>
    </row>
    <row r="12825" ht="15.75" customHeight="1">
      <c r="A12825" s="1">
        <v>13656.0</v>
      </c>
      <c r="B12825" s="3" t="s">
        <v>12231</v>
      </c>
      <c r="C12825" s="3" t="str">
        <f>IFERROR(__xludf.DUMMYFUNCTION("GOOGLETRANSLATE(B12825,""id"",""en"")"),"['Telkomsel', 'anjg', 'package', 'doang', 'expensive', 'signal', 'garbage', 'cave', 'emotion']")</f>
        <v>['Telkomsel', 'anjg', 'package', 'doang', 'expensive', 'signal', 'garbage', 'cave', 'emotion']</v>
      </c>
      <c r="D12825" s="3">
        <v>1.0</v>
      </c>
    </row>
    <row r="12826" ht="15.75" customHeight="1">
      <c r="A12826" s="1">
        <v>13657.0</v>
      </c>
      <c r="B12826" s="3" t="s">
        <v>12232</v>
      </c>
      <c r="C12826" s="3" t="str">
        <f>IFERROR(__xludf.DUMMYFUNCTION("GOOGLETRANSLATE(B12826,""id"",""en"")"),"['buy', 'quota', 'enter', 'enter', 'quota', 'open', 'blm', 'minute', 'lost', 'pulse', 'thousand', 'lossii', ' UDH ',' Network ',' Leet ']")</f>
        <v>['buy', 'quota', 'enter', 'enter', 'quota', 'open', 'blm', 'minute', 'lost', 'pulse', 'thousand', 'lossii', ' UDH ',' Network ',' Leet ']</v>
      </c>
      <c r="D12826" s="3">
        <v>1.0</v>
      </c>
    </row>
    <row r="12827" ht="15.75" customHeight="1">
      <c r="A12827" s="1">
        <v>13658.0</v>
      </c>
      <c r="B12827" s="3" t="s">
        <v>12233</v>
      </c>
      <c r="C12827" s="3" t="str">
        <f>IFERROR(__xludf.DUMMYFUNCTION("GOOGLETRANSLATE(B12827,""id"",""en"")"),"['MyTelkom', 'Open', 'The application', '']")</f>
        <v>['MyTelkom', 'Open', 'The application', '']</v>
      </c>
      <c r="D12827" s="3">
        <v>1.0</v>
      </c>
    </row>
    <row r="12828" ht="15.75" customHeight="1">
      <c r="A12828" s="1">
        <v>13659.0</v>
      </c>
      <c r="B12828" s="3" t="s">
        <v>12234</v>
      </c>
      <c r="C12828" s="3" t="str">
        <f>IFERROR(__xludf.DUMMYFUNCTION("GOOGLETRANSLATE(B12828,""id"",""en"")"),"['Need', 'input', 'dirty', 'APK', 'sech', 'admin', 'times',' install ',' uninstall ',' msh ',' screen ',' white ',' indeed ',' admin ',' promo ',' screen ',' sapapkah ',' if ',' rating ',' star ',' love ',' situ ',' provider ',' beloved ',' ']")</f>
        <v>['Need', 'input', 'dirty', 'APK', 'sech', 'admin', 'times',' install ',' uninstall ',' msh ',' screen ',' white ',' indeed ',' admin ',' promo ',' screen ',' sapapkah ',' if ',' rating ',' star ',' love ',' situ ',' provider ',' beloved ',' ']</v>
      </c>
      <c r="D12828" s="3">
        <v>1.0</v>
      </c>
    </row>
    <row r="12829" ht="15.75" customHeight="1">
      <c r="A12829" s="1">
        <v>13660.0</v>
      </c>
      <c r="B12829" s="3" t="s">
        <v>12235</v>
      </c>
      <c r="C12829" s="3" t="str">
        <f>IFERROR(__xludf.DUMMYFUNCTION("GOOGLETRANSLATE(B12829,""id"",""en"")"),"['The aolikasi', 'Dipake', 'check', 'quota', 'credit', 'error', 'apilkasi', 'tks',' contacted ',' ajukab ',' complaint ',' application ',' Lhah ',' Dipake ',' Ngadat ',' Mulu ',' What ',' Contact ',' Applications', 'hilarious', ""]")</f>
        <v>['The aolikasi', 'Dipake', 'check', 'quota', 'credit', 'error', 'apilkasi', 'tks',' contacted ',' ajukab ',' complaint ',' application ',' Lhah ',' Dipake ',' Ngadat ',' Mulu ',' What ',' Contact ',' Applications', 'hilarious', "]</v>
      </c>
      <c r="D12829" s="3">
        <v>1.0</v>
      </c>
    </row>
    <row r="12830" ht="15.75" customHeight="1">
      <c r="A12830" s="1">
        <v>13661.0</v>
      </c>
      <c r="B12830" s="3" t="s">
        <v>12236</v>
      </c>
      <c r="C12830" s="3" t="str">
        <f>IFERROR(__xludf.DUMMYFUNCTION("GOOGLETRANSLATE(B12830,""id"",""en"")"),"['App', 'Error', 'Update']")</f>
        <v>['App', 'Error', 'Update']</v>
      </c>
      <c r="D12830" s="3">
        <v>1.0</v>
      </c>
    </row>
    <row r="12831" ht="15.75" customHeight="1">
      <c r="A12831" s="1">
        <v>13662.0</v>
      </c>
      <c r="B12831" s="3" t="s">
        <v>12237</v>
      </c>
      <c r="C12831" s="3" t="str">
        <f>IFERROR(__xludf.DUMMYFUNCTION("GOOGLETRANSLATE(B12831,""id"",""en"")"),"['already', 'Install', 'reset', 'Tetep', 'appears', 'just', 'screen', 'white', 'doang']")</f>
        <v>['already', 'Install', 'reset', 'Tetep', 'appears', 'just', 'screen', 'white', 'doang']</v>
      </c>
      <c r="D12831" s="3">
        <v>1.0</v>
      </c>
    </row>
    <row r="12832" ht="15.75" customHeight="1">
      <c r="A12832" s="1">
        <v>13663.0</v>
      </c>
      <c r="B12832" s="3" t="s">
        <v>12238</v>
      </c>
      <c r="C12832" s="3" t="str">
        <f>IFERROR(__xludf.DUMMYFUNCTION("GOOGLETRANSLATE(B12832,""id"",""en"")"),"['Disappointed', 'Update', 'Application', 'Open', '']")</f>
        <v>['Disappointed', 'Update', 'Application', 'Open', '']</v>
      </c>
      <c r="D12832" s="3">
        <v>1.0</v>
      </c>
    </row>
    <row r="12833" ht="15.75" customHeight="1">
      <c r="A12833" s="1">
        <v>13664.0</v>
      </c>
      <c r="B12833" s="3" t="s">
        <v>12239</v>
      </c>
      <c r="C12833" s="3" t="str">
        <f>IFERROR(__xludf.DUMMYFUNCTION("GOOGLETRANSLATE(B12833,""id"",""en"")"),"['Sorry', 'Lower', 'Bintang', 'Telkomsel', 'Enter', 'System', 'Min', ""]")</f>
        <v>['Sorry', 'Lower', 'Bintang', 'Telkomsel', 'Enter', 'System', 'Min', "]</v>
      </c>
      <c r="D12833" s="3">
        <v>1.0</v>
      </c>
    </row>
    <row r="12834" ht="15.75" customHeight="1">
      <c r="A12834" s="1">
        <v>13665.0</v>
      </c>
      <c r="B12834" s="3" t="s">
        <v>12240</v>
      </c>
      <c r="C12834" s="3" t="str">
        <f>IFERROR(__xludf.DUMMYFUNCTION("GOOGLETRANSLATE(B12834,""id"",""en"")"),"['application', 'hri', 'bsa', 'open']")</f>
        <v>['application', 'hri', 'bsa', 'open']</v>
      </c>
      <c r="D12834" s="3">
        <v>1.0</v>
      </c>
    </row>
    <row r="12835" ht="15.75" customHeight="1">
      <c r="A12835" s="1">
        <v>13666.0</v>
      </c>
      <c r="B12835" s="3" t="s">
        <v>12241</v>
      </c>
      <c r="C12835" s="3" t="str">
        <f>IFERROR(__xludf.DUMMYFUNCTION("GOOGLETRANSLATE(B12835,""id"",""en"")"),"['blank', 'white', 'missing', 'please', 'solution']")</f>
        <v>['blank', 'white', 'missing', 'please', 'solution']</v>
      </c>
      <c r="D12835" s="3">
        <v>1.0</v>
      </c>
    </row>
    <row r="12836" ht="15.75" customHeight="1">
      <c r="A12836" s="1">
        <v>13667.0</v>
      </c>
      <c r="B12836" s="3" t="s">
        <v>12242</v>
      </c>
      <c r="C12836" s="3" t="str">
        <f>IFERROR(__xludf.DUMMYFUNCTION("GOOGLETRANSLATE(B12836,""id"",""en"")"),"['Open', 'Class', 'Telkomsel', 'Ngeselin']")</f>
        <v>['Open', 'Class', 'Telkomsel', 'Ngeselin']</v>
      </c>
      <c r="D12836" s="3">
        <v>1.0</v>
      </c>
    </row>
    <row r="12837" ht="15.75" customHeight="1">
      <c r="A12837" s="1">
        <v>13668.0</v>
      </c>
      <c r="B12837" s="3" t="s">
        <v>12243</v>
      </c>
      <c r="C12837" s="3" t="str">
        <f>IFERROR(__xludf.DUMMYFUNCTION("GOOGLETRANSLATE(B12837,""id"",""en"")"),"['disappointing', 'application', 'open', 'pilan', 'white', 'love', 'bintaang', ""]")</f>
        <v>['disappointing', 'application', 'open', 'pilan', 'white', 'love', 'bintaang', "]</v>
      </c>
      <c r="D12837" s="3">
        <v>1.0</v>
      </c>
    </row>
    <row r="12838" ht="15.75" customHeight="1">
      <c r="A12838" s="1">
        <v>13669.0</v>
      </c>
      <c r="B12838" s="3" t="s">
        <v>1433</v>
      </c>
      <c r="C12838" s="3" t="str">
        <f>IFERROR(__xludf.DUMMYFUNCTION("GOOGLETRANSLATE(B12838,""id"",""en"")"),"['Network', 'BURIK']")</f>
        <v>['Network', 'BURIK']</v>
      </c>
      <c r="D12838" s="3">
        <v>1.0</v>
      </c>
    </row>
    <row r="12839" ht="15.75" customHeight="1">
      <c r="A12839" s="1">
        <v>13670.0</v>
      </c>
      <c r="B12839" s="3" t="s">
        <v>12244</v>
      </c>
      <c r="C12839" s="3" t="str">
        <f>IFERROR(__xludf.DUMMYFUNCTION("GOOGLETRANSLATE(B12839,""id"",""en"")"),"['Hazes']")</f>
        <v>['Hazes']</v>
      </c>
      <c r="D12839" s="3">
        <v>4.0</v>
      </c>
    </row>
    <row r="12840" ht="15.75" customHeight="1">
      <c r="A12840" s="1">
        <v>13671.0</v>
      </c>
      <c r="B12840" s="3" t="s">
        <v>12245</v>
      </c>
      <c r="C12840" s="3" t="str">
        <f>IFERROR(__xludf.DUMMYFUNCTION("GOOGLETRANSLATE(B12840,""id"",""en"")"),"['Error', 'Screen', 'White', 'BLI', 'Package', 'Unlimit', 'Pekah', 'Telkomsel', 'Down', '']")</f>
        <v>['Error', 'Screen', 'White', 'BLI', 'Package', 'Unlimit', 'Pekah', 'Telkomsel', 'Down', '']</v>
      </c>
      <c r="D12840" s="3">
        <v>1.0</v>
      </c>
    </row>
    <row r="12841" ht="15.75" customHeight="1">
      <c r="A12841" s="1">
        <v>13672.0</v>
      </c>
      <c r="B12841" s="3" t="s">
        <v>12246</v>
      </c>
      <c r="C12841" s="3" t="str">
        <f>IFERROR(__xludf.DUMMYFUNCTION("GOOGLETRANSLATE(B12841,""id"",""en"")"),"['signal', 'Telkomsel', 'doang', 'good', 'right', 'already', 'rich', 'taii', 'signal', 'keccewa']")</f>
        <v>['signal', 'Telkomsel', 'doang', 'good', 'right', 'already', 'rich', 'taii', 'signal', 'keccewa']</v>
      </c>
      <c r="D12841" s="3">
        <v>1.0</v>
      </c>
    </row>
    <row r="12842" ht="15.75" customHeight="1">
      <c r="A12842" s="1">
        <v>13673.0</v>
      </c>
      <c r="B12842" s="3" t="s">
        <v>12247</v>
      </c>
      <c r="C12842" s="3" t="str">
        <f>IFERROR(__xludf.DUMMYFUNCTION("GOOGLETRANSLATE(B12842,""id"",""en"")"),"['application', 'error', 'opened', 'Friday', 'gmn', 'have']")</f>
        <v>['application', 'error', 'opened', 'Friday', 'gmn', 'have']</v>
      </c>
      <c r="D12842" s="3">
        <v>1.0</v>
      </c>
    </row>
    <row r="12843" ht="15.75" customHeight="1">
      <c r="A12843" s="1">
        <v>13674.0</v>
      </c>
      <c r="B12843" s="3" t="s">
        <v>12248</v>
      </c>
      <c r="C12843" s="3" t="str">
        <f>IFERROR(__xludf.DUMMYFUNCTION("GOOGLETRANSLATE(B12843,""id"",""en"")"),"['Leet', 'watch', 'YouTube', 'buffering']")</f>
        <v>['Leet', 'watch', 'YouTube', 'buffering']</v>
      </c>
      <c r="D12843" s="3">
        <v>1.0</v>
      </c>
    </row>
    <row r="12844" ht="15.75" customHeight="1">
      <c r="A12844" s="1">
        <v>13675.0</v>
      </c>
      <c r="B12844" s="3" t="s">
        <v>12249</v>
      </c>
      <c r="C12844" s="3" t="str">
        <f>IFERROR(__xludf.DUMMYFUNCTION("GOOGLETRANSLATE(B12844,""id"",""en"")"),"['Knp', 'access', 'user', 'harmed']")</f>
        <v>['Knp', 'access', 'user', 'harmed']</v>
      </c>
      <c r="D12844" s="3">
        <v>1.0</v>
      </c>
    </row>
    <row r="12845" ht="15.75" customHeight="1">
      <c r="A12845" s="1">
        <v>13676.0</v>
      </c>
      <c r="B12845" s="3" t="s">
        <v>12250</v>
      </c>
      <c r="C12845" s="3" t="str">
        <f>IFERROR(__xludf.DUMMYFUNCTION("GOOGLETRANSLATE(B12845,""id"",""en"")"),"['sympathy', 'bapuk', 'already', 'rich', 'card', 'bad']")</f>
        <v>['sympathy', 'bapuk', 'already', 'rich', 'card', 'bad']</v>
      </c>
      <c r="D12845" s="3">
        <v>1.0</v>
      </c>
    </row>
    <row r="12846" ht="15.75" customHeight="1">
      <c r="A12846" s="1">
        <v>13677.0</v>
      </c>
      <c r="B12846" s="3" t="s">
        <v>12251</v>
      </c>
      <c r="C12846" s="3" t="str">
        <f>IFERROR(__xludf.DUMMYFUNCTION("GOOGLETRANSLATE(B12846,""id"",""en"")"),"['Change', 'star', 'update', 'new', 'blenk', 'skali', 'open', 'active', 'card', 'already', 'finished', 'please', ' Fix ',' already ',' input ',' according to ',' feel ']")</f>
        <v>['Change', 'star', 'update', 'new', 'blenk', 'skali', 'open', 'active', 'card', 'already', 'finished', 'please', ' Fix ',' already ',' input ',' according to ',' feel ']</v>
      </c>
      <c r="D12846" s="3">
        <v>1.0</v>
      </c>
    </row>
    <row r="12847" ht="15.75" customHeight="1">
      <c r="A12847" s="1">
        <v>13678.0</v>
      </c>
      <c r="B12847" s="3" t="s">
        <v>12252</v>
      </c>
      <c r="C12847" s="3" t="str">
        <f>IFERROR(__xludf.DUMMYFUNCTION("GOOGLETRANSLATE(B12847,""id"",""en"")"),"['APKIKAKI', 'Open']")</f>
        <v>['APKIKAKI', 'Open']</v>
      </c>
      <c r="D12847" s="3">
        <v>4.0</v>
      </c>
    </row>
    <row r="12848" ht="15.75" customHeight="1">
      <c r="A12848" s="1">
        <v>13679.0</v>
      </c>
      <c r="B12848" s="3" t="s">
        <v>12253</v>
      </c>
      <c r="C12848" s="3" t="str">
        <f>IFERROR(__xludf.DUMMYFUNCTION("GOOGLETRANSLATE(B12848,""id"",""en"")"),"['Package', 'cheap', 'signal', 'good']")</f>
        <v>['Package', 'cheap', 'signal', 'good']</v>
      </c>
      <c r="D12848" s="3">
        <v>5.0</v>
      </c>
    </row>
    <row r="12849" ht="15.75" customHeight="1">
      <c r="A12849" s="1">
        <v>13680.0</v>
      </c>
      <c r="B12849" s="3" t="s">
        <v>12254</v>
      </c>
      <c r="C12849" s="3" t="str">
        <f>IFERROR(__xludf.DUMMYFUNCTION("GOOGLETRANSLATE(B12849,""id"",""en"")"),"['Best']")</f>
        <v>['Best']</v>
      </c>
      <c r="D12849" s="3">
        <v>5.0</v>
      </c>
    </row>
    <row r="12850" ht="15.75" customHeight="1">
      <c r="A12850" s="1">
        <v>13681.0</v>
      </c>
      <c r="B12850" s="3" t="s">
        <v>12255</v>
      </c>
      <c r="C12850" s="3" t="str">
        <f>IFERROR(__xludf.DUMMYFUNCTION("GOOGLETRANSLATE(B12850,""id"",""en"")"),"['application', 'open', 'already', 'alternating', 'delete', 'download', 'reset', 'that's', 'open']")</f>
        <v>['application', 'open', 'already', 'alternating', 'delete', 'download', 'reset', 'that's', 'open']</v>
      </c>
      <c r="D12850" s="3">
        <v>1.0</v>
      </c>
    </row>
    <row r="12851" ht="15.75" customHeight="1">
      <c r="A12851" s="1">
        <v>13682.0</v>
      </c>
      <c r="B12851" s="3" t="s">
        <v>12256</v>
      </c>
      <c r="C12851" s="3" t="str">
        <f>IFERROR(__xludf.DUMMYFUNCTION("GOOGLETRANSLATE(B12851,""id"",""en"")"),"['Sorry', 'Lower', 'Aflication', 'Opened', 'December', 'Network', 'Lemot', 'Consumers', 'THN', 'Harmed', ""]")</f>
        <v>['Sorry', 'Lower', 'Aflication', 'Opened', 'December', 'Network', 'Lemot', 'Consumers', 'THN', 'Harmed', "]</v>
      </c>
      <c r="D12851" s="3">
        <v>1.0</v>
      </c>
    </row>
    <row r="12852" ht="15.75" customHeight="1">
      <c r="A12852" s="1">
        <v>13683.0</v>
      </c>
      <c r="B12852" s="3" t="s">
        <v>12257</v>
      </c>
      <c r="C12852" s="3" t="str">
        <f>IFERROR(__xludf.DUMMYFUNCTION("GOOGLETRANSLATE(B12852,""id"",""en"")"),"['Knap', 'Open', 'The application', 'Please', 'fix', 'network', 'Telkomsel', 'ngeleg', 'thank', 'love']")</f>
        <v>['Knap', 'Open', 'The application', 'Please', 'fix', 'network', 'Telkomsel', 'ngeleg', 'thank', 'love']</v>
      </c>
      <c r="D12852" s="3">
        <v>1.0</v>
      </c>
    </row>
    <row r="12853" ht="15.75" customHeight="1">
      <c r="A12853" s="1">
        <v>13684.0</v>
      </c>
      <c r="B12853" s="3" t="s">
        <v>12258</v>
      </c>
      <c r="C12853" s="3" t="str">
        <f>IFERROR(__xludf.DUMMYFUNCTION("GOOGLETRANSLATE(B12853,""id"",""en"")"),"['', 'open', 'application']")</f>
        <v>['', 'open', 'application']</v>
      </c>
      <c r="D12853" s="3">
        <v>3.0</v>
      </c>
    </row>
    <row r="12854" ht="15.75" customHeight="1">
      <c r="A12854" s="1">
        <v>13685.0</v>
      </c>
      <c r="B12854" s="3" t="s">
        <v>12259</v>
      </c>
      <c r="C12854" s="3" t="str">
        <f>IFERROR(__xludf.DUMMYFUNCTION("GOOGLETRANSLATE(B12854,""id"",""en"")"),"['Tsel', 'Delicious',' quota ',' Abis', 'Tollikan', 'Credit', 'ksel', 'pulse', 'buy', 'quota', 'Toll "",""]")</f>
        <v>['Tsel', 'Delicious',' quota ',' Abis', 'Tollikan', 'Credit', 'ksel', 'pulse', 'buy', 'quota', 'Toll ","]</v>
      </c>
      <c r="D12854" s="3">
        <v>1.0</v>
      </c>
    </row>
    <row r="12855" ht="15.75" customHeight="1">
      <c r="A12855" s="1">
        <v>13686.0</v>
      </c>
      <c r="B12855" s="3" t="s">
        <v>12260</v>
      </c>
      <c r="C12855" s="3" t="str">
        <f>IFERROR(__xludf.DUMMYFUNCTION("GOOGLETRANSLATE(B12855,""id"",""en"")"),"['signal', 'might', 'might', 'bad']")</f>
        <v>['signal', 'might', 'might', 'bad']</v>
      </c>
      <c r="D12855" s="3">
        <v>1.0</v>
      </c>
    </row>
    <row r="12856" ht="15.75" customHeight="1">
      <c r="A12856" s="1">
        <v>13687.0</v>
      </c>
      <c r="B12856" s="3" t="s">
        <v>12261</v>
      </c>
      <c r="C12856" s="3" t="str">
        <f>IFERROR(__xludf.DUMMYFUNCTION("GOOGLETRANSLATE(B12856,""id"",""en"")"),"['The network', 'bad', 'Ampunnnn', '']")</f>
        <v>['The network', 'bad', 'Ampunnnn', '']</v>
      </c>
      <c r="D12856" s="3">
        <v>2.0</v>
      </c>
    </row>
    <row r="12857" ht="15.75" customHeight="1">
      <c r="A12857" s="1">
        <v>13688.0</v>
      </c>
      <c r="B12857" s="3" t="s">
        <v>12262</v>
      </c>
      <c r="C12857" s="3" t="str">
        <f>IFERROR(__xludf.DUMMYFUNCTION("GOOGLETRANSLATE(B12857,""id"",""en"")"),"['application', 'opened', 'times', 'installed', 'reset', 'opened', 'application', 'update', 'please', 'repair', 'star']")</f>
        <v>['application', 'opened', 'times', 'installed', 'reset', 'opened', 'application', 'update', 'please', 'repair', 'star']</v>
      </c>
      <c r="D12857" s="3">
        <v>1.0</v>
      </c>
    </row>
    <row r="12858" ht="15.75" customHeight="1">
      <c r="A12858" s="1">
        <v>13689.0</v>
      </c>
      <c r="B12858" s="3" t="s">
        <v>12263</v>
      </c>
      <c r="C12858" s="3" t="str">
        <f>IFERROR(__xludf.DUMMYFUNCTION("GOOGLETRANSLATE(B12858,""id"",""en"")"),"['application', 'steady', 'easy', 'ribet']")</f>
        <v>['application', 'steady', 'easy', 'ribet']</v>
      </c>
      <c r="D12858" s="3">
        <v>5.0</v>
      </c>
    </row>
    <row r="12859" ht="15.75" customHeight="1">
      <c r="A12859" s="1">
        <v>13690.0</v>
      </c>
      <c r="B12859" s="3" t="s">
        <v>12264</v>
      </c>
      <c r="C12859" s="3" t="str">
        <f>IFERROR(__xludf.DUMMYFUNCTION("GOOGLETRANSLATE(B12859,""id"",""en"")"),"['Lemot', 'Move', 'Hallo', '']")</f>
        <v>['Lemot', 'Move', 'Hallo', '']</v>
      </c>
      <c r="D12859" s="3">
        <v>2.0</v>
      </c>
    </row>
    <row r="12860" ht="15.75" customHeight="1">
      <c r="A12860" s="1">
        <v>13691.0</v>
      </c>
      <c r="B12860" s="3" t="s">
        <v>12265</v>
      </c>
      <c r="C12860" s="3" t="str">
        <f>IFERROR(__xludf.DUMMYFUNCTION("GOOGLETRANSLATE(B12860,""id"",""en"")"),"['Satisfied', 'Anyway']")</f>
        <v>['Satisfied', 'Anyway']</v>
      </c>
      <c r="D12860" s="3">
        <v>5.0</v>
      </c>
    </row>
    <row r="12861" ht="15.75" customHeight="1">
      <c r="A12861" s="1">
        <v>13692.0</v>
      </c>
      <c r="B12861" s="3" t="s">
        <v>12266</v>
      </c>
      <c r="C12861" s="3" t="str">
        <f>IFERROR(__xludf.DUMMYFUNCTION("GOOGLETRANSLATE(B12861,""id"",""en"")"),"['application', 'Open', 'December', 'White', 'Screen','As', 'poor', 'package', 'expensive', 'quality', 'application', 'ugly' Signal ',' slow ',' expensive ',' good ', ""]")</f>
        <v>['application', 'Open', 'December', 'White', 'Screen','As', 'poor', 'package', 'expensive', 'quality', 'application', 'ugly' Signal ',' slow ',' expensive ',' good ', "]</v>
      </c>
      <c r="D12861" s="3">
        <v>1.0</v>
      </c>
    </row>
    <row r="12862" ht="15.75" customHeight="1">
      <c r="A12862" s="1">
        <v>13693.0</v>
      </c>
      <c r="B12862" s="3" t="s">
        <v>12267</v>
      </c>
      <c r="C12862" s="3" t="str">
        <f>IFERROR(__xludf.DUMMYFUNCTION("GOOGLETRANSLATE(B12862,""id"",""en"")"),"['White', 'weird']")</f>
        <v>['White', 'weird']</v>
      </c>
      <c r="D12862" s="3">
        <v>1.0</v>
      </c>
    </row>
    <row r="12863" ht="15.75" customHeight="1">
      <c r="A12863" s="1">
        <v>13694.0</v>
      </c>
      <c r="B12863" s="3" t="s">
        <v>12268</v>
      </c>
      <c r="C12863" s="3" t="str">
        <f>IFERROR(__xludf.DUMMYFUNCTION("GOOGLETRANSLATE(B12863,""id"",""en"")"),"['Good', 'doang', 'mah', 'pulp', 'network', 'bad', 'really']")</f>
        <v>['Good', 'doang', 'mah', 'pulp', 'network', 'bad', 'really']</v>
      </c>
      <c r="D12863" s="3">
        <v>1.0</v>
      </c>
    </row>
    <row r="12864" ht="15.75" customHeight="1">
      <c r="A12864" s="1">
        <v>13695.0</v>
      </c>
      <c r="B12864" s="3" t="s">
        <v>12269</v>
      </c>
      <c r="C12864" s="3" t="str">
        <f>IFERROR(__xludf.DUMMYFUNCTION("GOOGLETRANSLATE(B12864,""id"",""en"")"),"['login', 'easy']")</f>
        <v>['login', 'easy']</v>
      </c>
      <c r="D12864" s="3">
        <v>5.0</v>
      </c>
    </row>
    <row r="12865" ht="15.75" customHeight="1">
      <c r="A12865" s="1">
        <v>13696.0</v>
      </c>
      <c r="B12865" s="3" t="s">
        <v>12270</v>
      </c>
      <c r="C12865" s="3" t="str">
        <f>IFERROR(__xludf.DUMMYFUNCTION("GOOGLETRANSLATE(B12865,""id"",""en"")"),"['Steady', 'fast', 'easy']")</f>
        <v>['Steady', 'fast', 'easy']</v>
      </c>
      <c r="D12865" s="3">
        <v>5.0</v>
      </c>
    </row>
    <row r="12866" ht="15.75" customHeight="1">
      <c r="A12866" s="1">
        <v>13697.0</v>
      </c>
      <c r="B12866" s="3" t="s">
        <v>12271</v>
      </c>
      <c r="C12866" s="3" t="str">
        <f>IFERROR(__xludf.DUMMYFUNCTION("GOOGLETRANSLATE(B12866,""id"",""en"")"),"['Gabisa', 'open', 'Application', 'Telkomsel', 'PDHL', 'UDH', 'Uninstall', 'TRS', 'Install', 'Tetep', 'gabisa', 'go', ' Gabisa ',' see ',' information ',' leftover ',' quota ',' disappointed ',' bgttt ']")</f>
        <v>['Gabisa', 'open', 'Application', 'Telkomsel', 'PDHL', 'UDH', 'Uninstall', 'TRS', 'Install', 'Tetep', 'gabisa', 'go', ' Gabisa ',' see ',' information ',' leftover ',' quota ',' disappointed ',' bgttt ']</v>
      </c>
      <c r="D12866" s="3">
        <v>1.0</v>
      </c>
    </row>
    <row r="12867" ht="15.75" customHeight="1">
      <c r="A12867" s="1">
        <v>13698.0</v>
      </c>
      <c r="B12867" s="3" t="s">
        <v>12272</v>
      </c>
      <c r="C12867" s="3" t="str">
        <f>IFERROR(__xludf.DUMMYFUNCTION("GOOGLETRANSLATE(B12867,""id"",""en"")"),"['Kecera', 'really', 'error', 'Mulu', 'Bukak', 'the application']")</f>
        <v>['Kecera', 'really', 'error', 'Mulu', 'Bukak', 'the application']</v>
      </c>
      <c r="D12867" s="3">
        <v>1.0</v>
      </c>
    </row>
    <row r="12868" ht="15.75" customHeight="1">
      <c r="A12868" s="1">
        <v>13699.0</v>
      </c>
      <c r="B12868" s="3" t="s">
        <v>12273</v>
      </c>
      <c r="C12868" s="3" t="str">
        <f>IFERROR(__xludf.DUMMYFUNCTION("GOOGLETRANSLATE(B12868,""id"",""en"")"),"['The application', 'Open', 'Udh', 'Dowlod', 'Tetep', 'Luka', 'Lemot', 'Telkomsel']")</f>
        <v>['The application', 'Open', 'Udh', 'Dowlod', 'Tetep', 'Luka', 'Lemot', 'Telkomsel']</v>
      </c>
      <c r="D12868" s="3">
        <v>1.0</v>
      </c>
    </row>
    <row r="12869" ht="15.75" customHeight="1">
      <c r="A12869" s="1">
        <v>13700.0</v>
      </c>
      <c r="B12869" s="3" t="s">
        <v>12274</v>
      </c>
      <c r="C12869" s="3" t="str">
        <f>IFERROR(__xludf.DUMMYFUNCTION("GOOGLETRANSLATE(B12869,""id"",""en"")"),"['thank', 'love', 'Telkomsel', 'application', 'Telkomsel', 'easy', 'fast', 'purchase', 'package']")</f>
        <v>['thank', 'love', 'Telkomsel', 'application', 'Telkomsel', 'easy', 'fast', 'purchase', 'package']</v>
      </c>
      <c r="D12869" s="3">
        <v>1.0</v>
      </c>
    </row>
    <row r="12870" ht="15.75" customHeight="1">
      <c r="A12870" s="1">
        <v>13701.0</v>
      </c>
      <c r="B12870" s="3" t="s">
        <v>12275</v>
      </c>
      <c r="C12870" s="3" t="str">
        <f>IFERROR(__xludf.DUMMYFUNCTION("GOOGLETRANSLATE(B12870,""id"",""en"")"),"['White', 'screen', 'handling', 'Perusaan', 'class', 'Telkomsel', 'really', 'embarrassing', 'notification', 'Customer', ""]")</f>
        <v>['White', 'screen', 'handling', 'Perusaan', 'class', 'Telkomsel', 'really', 'embarrassing', 'notification', 'Customer', "]</v>
      </c>
      <c r="D12870" s="3">
        <v>1.0</v>
      </c>
    </row>
    <row r="12871" ht="15.75" customHeight="1">
      <c r="A12871" s="1">
        <v>13702.0</v>
      </c>
      <c r="B12871" s="3" t="s">
        <v>12276</v>
      </c>
      <c r="C12871" s="3" t="str">
        <f>IFERROR(__xludf.DUMMYFUNCTION("GOOGLETRANSLATE(B12871,""id"",""en"")"),"['hope', 'useful', 'people', 'need', 'hope', 'win', 'need', 'really', 'aamiin']")</f>
        <v>['hope', 'useful', 'people', 'need', 'hope', 'win', 'need', 'really', 'aamiin']</v>
      </c>
      <c r="D12871" s="3">
        <v>5.0</v>
      </c>
    </row>
    <row r="12872" ht="15.75" customHeight="1">
      <c r="A12872" s="1">
        <v>13703.0</v>
      </c>
      <c r="B12872" s="3" t="s">
        <v>12277</v>
      </c>
      <c r="C12872" s="3" t="str">
        <f>IFERROR(__xludf.DUMMYFUNCTION("GOOGLETRANSLATE(B12872,""id"",""en"")"),"['Credit', 'Cut', 'Paketan']")</f>
        <v>['Credit', 'Cut', 'Paketan']</v>
      </c>
      <c r="D12872" s="3">
        <v>1.0</v>
      </c>
    </row>
    <row r="12873" ht="15.75" customHeight="1">
      <c r="A12873" s="1">
        <v>13704.0</v>
      </c>
      <c r="B12873" s="3" t="s">
        <v>12278</v>
      </c>
      <c r="C12873" s="3" t="str">
        <f>IFERROR(__xludf.DUMMYFUNCTION("GOOGLETRANSLATE(B12873,""id"",""en"")"),"['blank', 'white']")</f>
        <v>['blank', 'white']</v>
      </c>
      <c r="D12873" s="3">
        <v>1.0</v>
      </c>
    </row>
    <row r="12874" ht="15.75" customHeight="1">
      <c r="A12874" s="1">
        <v>13705.0</v>
      </c>
      <c r="B12874" s="3" t="s">
        <v>12279</v>
      </c>
      <c r="C12874" s="3" t="str">
        <f>IFERROR(__xludf.DUMMYFUNCTION("GOOGLETRANSLATE(B12874,""id"",""en"")"),"['Mass', 'Captipin', 'Package', 'Data', 'Direct', 'Suck', 'thousand', 'Citakipin', 'Data', 'Detik', 'Donk']")</f>
        <v>['Mass', 'Captipin', 'Package', 'Data', 'Direct', 'Suck', 'thousand', 'Citakipin', 'Data', 'Detik', 'Donk']</v>
      </c>
      <c r="D12874" s="3">
        <v>2.0</v>
      </c>
    </row>
    <row r="12875" ht="15.75" customHeight="1">
      <c r="A12875" s="1">
        <v>13706.0</v>
      </c>
      <c r="B12875" s="3" t="s">
        <v>12280</v>
      </c>
      <c r="C12875" s="3" t="str">
        <f>IFERROR(__xludf.DUMMYFUNCTION("GOOGLETRANSLATE(B12875,""id"",""en"")"),"['sorry', 'love', 'star', 'open', 'application', 'open', ""]")</f>
        <v>['sorry', 'love', 'star', 'open', 'application', 'open', "]</v>
      </c>
      <c r="D12875" s="3">
        <v>1.0</v>
      </c>
    </row>
    <row r="12876" ht="15.75" customHeight="1">
      <c r="A12876" s="1">
        <v>13707.0</v>
      </c>
      <c r="B12876" s="3" t="s">
        <v>12281</v>
      </c>
      <c r="C12876" s="3" t="str">
        <f>IFERROR(__xludf.DUMMYFUNCTION("GOOGLETRANSLATE(B12876,""id"",""en"")"),"['Help', 'fun']")</f>
        <v>['Help', 'fun']</v>
      </c>
      <c r="D12876" s="3">
        <v>5.0</v>
      </c>
    </row>
    <row r="12877" ht="15.75" customHeight="1">
      <c r="A12877" s="1">
        <v>13708.0</v>
      </c>
      <c r="B12877" s="3" t="s">
        <v>12282</v>
      </c>
      <c r="C12877" s="3" t="str">
        <f>IFERROR(__xludf.DUMMYFUNCTION("GOOGLETRANSLATE(B12877,""id"",""en"")"),"['difficult', 'open', 'difficult', 'capeee', 'dehhh']")</f>
        <v>['difficult', 'open', 'difficult', 'capeee', 'dehhh']</v>
      </c>
      <c r="D12877" s="3">
        <v>1.0</v>
      </c>
    </row>
    <row r="12878" ht="15.75" customHeight="1">
      <c r="A12878" s="1">
        <v>13709.0</v>
      </c>
      <c r="B12878" s="3" t="s">
        <v>1294</v>
      </c>
      <c r="C12878" s="3" t="str">
        <f>IFERROR(__xludf.DUMMYFUNCTION("GOOGLETRANSLATE(B12878,""id"",""en"")"),"['APK', 'Help']")</f>
        <v>['APK', 'Help']</v>
      </c>
      <c r="D12878" s="3">
        <v>5.0</v>
      </c>
    </row>
    <row r="12879" ht="15.75" customHeight="1">
      <c r="A12879" s="1">
        <v>13710.0</v>
      </c>
      <c r="B12879" s="3" t="s">
        <v>12283</v>
      </c>
      <c r="C12879" s="3" t="str">
        <f>IFERROR(__xludf.DUMMYFUNCTION("GOOGLETRANSLATE(B12879,""id"",""en"")"),"['Already', 'Open', 'App']")</f>
        <v>['Already', 'Open', 'App']</v>
      </c>
      <c r="D12879" s="3">
        <v>1.0</v>
      </c>
    </row>
    <row r="12880" ht="15.75" customHeight="1">
      <c r="A12880" s="1">
        <v>13711.0</v>
      </c>
      <c r="B12880" s="3" t="s">
        <v>12284</v>
      </c>
      <c r="C12880" s="3" t="str">
        <f>IFERROR(__xludf.DUMMYFUNCTION("GOOGLETRANSLATE(B12880,""id"",""en"")"),"['ugly', 'option', 'promo', 'internet', 'choice']")</f>
        <v>['ugly', 'option', 'promo', 'internet', 'choice']</v>
      </c>
      <c r="D12880" s="3">
        <v>2.0</v>
      </c>
    </row>
    <row r="12881" ht="15.75" customHeight="1">
      <c r="A12881" s="1">
        <v>13712.0</v>
      </c>
      <c r="B12881" s="3" t="s">
        <v>12285</v>
      </c>
      <c r="C12881" s="3" t="str">
        <f>IFERROR(__xludf.DUMMYFUNCTION("GOOGLETRANSLATE(B12881,""id"",""en"")"),"['application', 'good', 'love', 'star', 'discount', 'cheap', 'kouta', 'gb']")</f>
        <v>['application', 'good', 'love', 'star', 'discount', 'cheap', 'kouta', 'gb']</v>
      </c>
      <c r="D12881" s="3">
        <v>5.0</v>
      </c>
    </row>
    <row r="12882" ht="15.75" customHeight="1">
      <c r="A12882" s="1">
        <v>13713.0</v>
      </c>
      <c r="B12882" s="3" t="s">
        <v>12286</v>
      </c>
      <c r="C12882" s="3" t="str">
        <f>IFERROR(__xludf.DUMMYFUNCTION("GOOGLETRANSLATE(B12882,""id"",""en"")"),"['Please', 'Application', 'Open', '']")</f>
        <v>['Please', 'Application', 'Open', '']</v>
      </c>
      <c r="D12882" s="3">
        <v>1.0</v>
      </c>
    </row>
    <row r="12883" ht="15.75" customHeight="1">
      <c r="A12883" s="1">
        <v>13714.0</v>
      </c>
      <c r="B12883" s="3" t="s">
        <v>4859</v>
      </c>
      <c r="C12883" s="3" t="str">
        <f>IFERROR(__xludf.DUMMYFUNCTION("GOOGLETRANSLATE(B12883,""id"",""en"")"),"['APK', 'Good', '']")</f>
        <v>['APK', 'Good', '']</v>
      </c>
      <c r="D12883" s="3">
        <v>3.0</v>
      </c>
    </row>
    <row r="12884" ht="15.75" customHeight="1">
      <c r="A12884" s="1">
        <v>13715.0</v>
      </c>
      <c r="B12884" s="3" t="s">
        <v>12287</v>
      </c>
      <c r="C12884" s="3" t="str">
        <f>IFERROR(__xludf.DUMMYFUNCTION("GOOGLETRANSLATE(B12884,""id"",""en"")"),"['Sorry', 'users', 'Telkomsel', 'Android', 'version', 'gabisa', 'how', 'solution', 'please', ""]")</f>
        <v>['Sorry', 'users', 'Telkomsel', 'Android', 'version', 'gabisa', 'how', 'solution', 'please', "]</v>
      </c>
      <c r="D12884" s="3">
        <v>1.0</v>
      </c>
    </row>
    <row r="12885" ht="15.75" customHeight="1">
      <c r="A12885" s="1">
        <v>13716.0</v>
      </c>
      <c r="B12885" s="3" t="s">
        <v>12288</v>
      </c>
      <c r="C12885" s="3" t="str">
        <f>IFERROR(__xludf.DUMMYFUNCTION("GOOGLETRANSLATE(B12885,""id"",""en"")"),"['Damaged', 'Kah', 'Install', 'Blank', 'White', 'Check', 'Quota', 'Blank', 'White', ""]")</f>
        <v>['Damaged', 'Kah', 'Install', 'Blank', 'White', 'Check', 'Quota', 'Blank', 'White', "]</v>
      </c>
      <c r="D12885" s="3">
        <v>1.0</v>
      </c>
    </row>
    <row r="12886" ht="15.75" customHeight="1">
      <c r="A12886" s="1">
        <v>13718.0</v>
      </c>
      <c r="B12886" s="3" t="s">
        <v>12289</v>
      </c>
      <c r="C12886" s="3" t="str">
        <f>IFERROR(__xludf.DUMMYFUNCTION("GOOGLETRANSLATE(B12886,""id"",""en"")"),"['Sometimes',' seku ',' session ',' then ',' forced ',' log ',' link ',' oath ',' complicated ',' really ',' application ',' price ',' package ',' application ',' expensive ',' expensive ',' mending ',' buy ',' counter ']")</f>
        <v>['Sometimes',' seku ',' session ',' then ',' forced ',' log ',' link ',' oath ',' complicated ',' really ',' application ',' price ',' package ',' application ',' expensive ',' expensive ',' mending ',' buy ',' counter ']</v>
      </c>
      <c r="D12886" s="3">
        <v>1.0</v>
      </c>
    </row>
    <row r="12887" ht="15.75" customHeight="1">
      <c r="A12887" s="1">
        <v>13719.0</v>
      </c>
      <c r="B12887" s="3" t="s">
        <v>12290</v>
      </c>
      <c r="C12887" s="3" t="str">
        <f>IFERROR(__xludf.DUMMYFUNCTION("GOOGLETRANSLATE(B12887,""id"",""en"")"),"['Hopefully', 'In the future', 'Increase']")</f>
        <v>['Hopefully', 'In the future', 'Increase']</v>
      </c>
      <c r="D12887" s="3">
        <v>5.0</v>
      </c>
    </row>
    <row r="12888" ht="15.75" customHeight="1">
      <c r="A12888" s="1">
        <v>13720.0</v>
      </c>
      <c r="B12888" s="3" t="s">
        <v>943</v>
      </c>
      <c r="C12888" s="3" t="str">
        <f>IFERROR(__xludf.DUMMYFUNCTION("GOOGLETRANSLATE(B12888,""id"",""en"")"),"['satisfying']")</f>
        <v>['satisfying']</v>
      </c>
      <c r="D12888" s="3">
        <v>5.0</v>
      </c>
    </row>
    <row r="12889" ht="15.75" customHeight="1">
      <c r="A12889" s="1">
        <v>13721.0</v>
      </c>
      <c r="B12889" s="3" t="s">
        <v>12291</v>
      </c>
      <c r="C12889" s="3" t="str">
        <f>IFERROR(__xludf.DUMMYFUNCTION("GOOGLETRANSLATE(B12889,""id"",""en"")"),"['complaints',' customers', 'Telkomsel', 'subscription', 'BKN', 'a year', 'TPI', 'MSH', 'BLM', 'improvement', 'msh', 'blank', ' white ',' hadeuuh ',' please ',' response ',' fast ',' give ',' told ',' complaints', 'email', 'please', 'fast', 'fix', 'applic"&amp;"ation' , 'Telkomsel', '']")</f>
        <v>['complaints',' customers', 'Telkomsel', 'subscription', 'BKN', 'a year', 'TPI', 'MSH', 'BLM', 'improvement', 'msh', 'blank', ' white ',' hadeuuh ',' please ',' response ',' fast ',' give ',' told ',' complaints', 'email', 'please', 'fast', 'fix', 'application' , 'Telkomsel', '']</v>
      </c>
      <c r="D12889" s="3">
        <v>1.0</v>
      </c>
    </row>
    <row r="12890" ht="15.75" customHeight="1">
      <c r="A12890" s="1">
        <v>13722.0</v>
      </c>
      <c r="B12890" s="3" t="s">
        <v>12292</v>
      </c>
      <c r="C12890" s="3" t="str">
        <f>IFERROR(__xludf.DUMMYFUNCTION("GOOGLETRANSLATE(B12890,""id"",""en"")"),"['already', 'application', 'open']")</f>
        <v>['already', 'application', 'open']</v>
      </c>
      <c r="D12890" s="3">
        <v>1.0</v>
      </c>
    </row>
    <row r="12891" ht="15.75" customHeight="1">
      <c r="A12891" s="1">
        <v>13723.0</v>
      </c>
      <c r="B12891" s="3" t="s">
        <v>12293</v>
      </c>
      <c r="C12891" s="3" t="str">
        <f>IFERROR(__xludf.DUMMYFUNCTION("GOOGLETRANSLATE(B12891,""id"",""en"")"),"['Hi', 'Telkomsel', 'Application', 'Open', 'Lower', 'Bintang', 'Application', 'Normal', 'Love', 'Star', ""]")</f>
        <v>['Hi', 'Telkomsel', 'Application', 'Open', 'Lower', 'Bintang', 'Application', 'Normal', 'Love', 'Star', "]</v>
      </c>
      <c r="D12891" s="3">
        <v>1.0</v>
      </c>
    </row>
    <row r="12892" ht="15.75" customHeight="1">
      <c r="A12892" s="1">
        <v>13724.0</v>
      </c>
      <c r="B12892" s="3" t="s">
        <v>7817</v>
      </c>
      <c r="C12892" s="3" t="str">
        <f>IFERROR(__xludf.DUMMYFUNCTION("GOOGLETRANSLATE(B12892,""id"",""en"")"),"['Knp', 'Open']")</f>
        <v>['Knp', 'Open']</v>
      </c>
      <c r="D12892" s="3">
        <v>3.0</v>
      </c>
    </row>
    <row r="12893" ht="15.75" customHeight="1">
      <c r="A12893" s="1">
        <v>13725.0</v>
      </c>
      <c r="B12893" s="3" t="s">
        <v>12294</v>
      </c>
      <c r="C12893" s="3" t="str">
        <f>IFERROR(__xludf.DUMMYFUNCTION("GOOGLETRANSLATE(B12893,""id"",""en"")"),"['Network', 'internet', 'bnerin', 'pke', 'game', 'ilang']")</f>
        <v>['Network', 'internet', 'bnerin', 'pke', 'game', 'ilang']</v>
      </c>
      <c r="D12893" s="3">
        <v>1.0</v>
      </c>
    </row>
    <row r="12894" ht="15.75" customHeight="1">
      <c r="A12894" s="1">
        <v>13726.0</v>
      </c>
      <c r="B12894" s="3" t="s">
        <v>12295</v>
      </c>
      <c r="C12894" s="3" t="str">
        <f>IFERROR(__xludf.DUMMYFUNCTION("GOOGLETRANSLATE(B12894,""id"",""en"")"),"['Cool', 'promo', 'Telkomsel']")</f>
        <v>['Cool', 'promo', 'Telkomsel']</v>
      </c>
      <c r="D12894" s="3">
        <v>4.0</v>
      </c>
    </row>
    <row r="12895" ht="15.75" customHeight="1">
      <c r="A12895" s="1">
        <v>13727.0</v>
      </c>
      <c r="B12895" s="3" t="s">
        <v>12296</v>
      </c>
      <c r="C12895" s="3" t="str">
        <f>IFERROR(__xludf.DUMMYFUNCTION("GOOGLETRANSLATE(B12895,""id"",""en"")"),"['application', 'Telkomsel', 'easy', 'buy', 'pulse', 'package', 'pay', 'bill', 'check', 'quota', 'exchange', 'point', ' gifts', 'presses',' choose ',' numbers', 'check', 'pulses',' sorry ',' request ',' process', 'please', 'try', 'simpilk', 'repeat' , 're"&amp;"set', 'many', 'times', 'Sunday', '']")</f>
        <v>['application', 'Telkomsel', 'easy', 'buy', 'pulse', 'package', 'pay', 'bill', 'check', 'quota', 'exchange', 'point', ' gifts', 'presses',' choose ',' numbers', 'check', 'pulses',' sorry ',' request ',' process', 'please', 'try', 'simpilk', 'repeat' , 'reset', 'many', 'times', 'Sunday', '']</v>
      </c>
      <c r="D12895" s="3">
        <v>2.0</v>
      </c>
    </row>
    <row r="12896" ht="15.75" customHeight="1">
      <c r="A12896" s="1">
        <v>13728.0</v>
      </c>
      <c r="B12896" s="3" t="s">
        <v>12297</v>
      </c>
      <c r="C12896" s="3" t="str">
        <f>IFERROR(__xludf.DUMMYFUNCTION("GOOGLETRANSLATE(B12896,""id"",""en"")"),"['sorry', 'love', 'star', 'strange', 'access', 'Telkomsel', 'uninstall', 'then', 'down', 'ttp', ""]")</f>
        <v>['sorry', 'love', 'star', 'strange', 'access', 'Telkomsel', 'uninstall', 'then', 'down', 'ttp', "]</v>
      </c>
      <c r="D12896" s="3">
        <v>1.0</v>
      </c>
    </row>
    <row r="12897" ht="15.75" customHeight="1">
      <c r="A12897" s="1">
        <v>13729.0</v>
      </c>
      <c r="B12897" s="3" t="s">
        <v>12298</v>
      </c>
      <c r="C12897" s="3" t="str">
        <f>IFERROR(__xludf.DUMMYFUNCTION("GOOGLETRANSLATE(B12897,""id"",""en"")"),"['A Week', 'Yesterday', 'Application', 'Telkomsel', 'Open', 'Pas',' Open ',' Screen ',' White ',' Appear ',' Menu ',' Home ',' try ',' use ',' wifi ',' package ',' data ',' internet ',' open ',' output ',' beg ',' love ',' solution ',' min ',' ']")</f>
        <v>['A Week', 'Yesterday', 'Application', 'Telkomsel', 'Open', 'Pas',' Open ',' Screen ',' White ',' Appear ',' Menu ',' Home ',' try ',' use ',' wifi ',' package ',' data ',' internet ',' open ',' output ',' beg ',' love ',' solution ',' min ',' ']</v>
      </c>
      <c r="D12897" s="3">
        <v>3.0</v>
      </c>
    </row>
    <row r="12898" ht="15.75" customHeight="1">
      <c r="A12898" s="1">
        <v>13730.0</v>
      </c>
      <c r="B12898" s="3" t="s">
        <v>12299</v>
      </c>
      <c r="C12898" s="3" t="str">
        <f>IFERROR(__xludf.DUMMYFUNCTION("GOOGLETRANSLATE(B12898,""id"",""en"")"),"['Nga', 'open', 'app', 'gmn', 'buy', 'package']")</f>
        <v>['Nga', 'open', 'app', 'gmn', 'buy', 'package']</v>
      </c>
      <c r="D12898" s="3">
        <v>1.0</v>
      </c>
    </row>
    <row r="12899" ht="15.75" customHeight="1">
      <c r="A12899" s="1">
        <v>13731.0</v>
      </c>
      <c r="B12899" s="3" t="s">
        <v>12300</v>
      </c>
      <c r="C12899" s="3" t="str">
        <f>IFERROR(__xludf.DUMMYFUNCTION("GOOGLETRANSLATE(B12899,""id"",""en"")"),"['Lola', '']")</f>
        <v>['Lola', '']</v>
      </c>
      <c r="D12899" s="3">
        <v>1.0</v>
      </c>
    </row>
    <row r="12900" ht="15.75" customHeight="1">
      <c r="A12900" s="1">
        <v>13732.0</v>
      </c>
      <c r="B12900" s="3" t="s">
        <v>12301</v>
      </c>
      <c r="C12900" s="3" t="str">
        <f>IFERROR(__xludf.DUMMYFUNCTION("GOOGLETRANSLATE(B12900,""id"",""en"")"),"['Telkomsel', 'package', 'Sultan', 'Network', 'homeless',' ride ',' quality ',' network ',' money ',' corruption ',' upsss', 'mending', ' sell ',' provider ',' assistance ',' internet ',' citizens', 'need', 'weve', 'guard', 'quality', 'mending', 'down', '"&amp;"price', 'torture' , 'Customer', 'Dzolim', 'ente', '']")</f>
        <v>['Telkomsel', 'package', 'Sultan', 'Network', 'homeless',' ride ',' quality ',' network ',' money ',' corruption ',' upsss', 'mending', ' sell ',' provider ',' assistance ',' internet ',' citizens', 'need', 'weve', 'guard', 'quality', 'mending', 'down', 'price', 'torture' , 'Customer', 'Dzolim', 'ente', '']</v>
      </c>
      <c r="D12900" s="3">
        <v>1.0</v>
      </c>
    </row>
    <row r="12901" ht="15.75" customHeight="1">
      <c r="A12901" s="1">
        <v>13733.0</v>
      </c>
      <c r="B12901" s="3" t="s">
        <v>12302</v>
      </c>
      <c r="C12901" s="3" t="str">
        <f>IFERROR(__xludf.DUMMYFUNCTION("GOOGLETRANSLATE(B12901,""id"",""en"")"),"['hustleuuuuukkk', 'change', 'mngkin', 'image', 'boycott', 'Telkomsel', 'app', 'change', ""]")</f>
        <v>['hustleuuuuukkk', 'change', 'mngkin', 'image', 'boycott', 'Telkomsel', 'app', 'change', "]</v>
      </c>
      <c r="D12901" s="3">
        <v>1.0</v>
      </c>
    </row>
    <row r="12902" ht="15.75" customHeight="1">
      <c r="A12902" s="1">
        <v>13734.0</v>
      </c>
      <c r="B12902" s="3" t="s">
        <v>12303</v>
      </c>
      <c r="C12902" s="3" t="str">
        <f>IFERROR(__xludf.DUMMYFUNCTION("GOOGLETRANSLATE(B12902,""id"",""en"")"),"['Ndak', 'Reels', 'opened']")</f>
        <v>['Ndak', 'Reels', 'opened']</v>
      </c>
      <c r="D12902" s="3">
        <v>1.0</v>
      </c>
    </row>
    <row r="12903" ht="15.75" customHeight="1">
      <c r="A12903" s="1">
        <v>13735.0</v>
      </c>
      <c r="B12903" s="3" t="s">
        <v>12304</v>
      </c>
      <c r="C12903" s="3" t="str">
        <f>IFERROR(__xludf.DUMMYFUNCTION("GOOGLETRANSLATE(B12903,""id"",""en"")"),"['App', 'opened', 'Delete', 'then' Download ',' Kek ',' That's', '']")</f>
        <v>['App', 'opened', 'Delete', 'then' Download ',' Kek ',' That's', '']</v>
      </c>
      <c r="D12903" s="3">
        <v>1.0</v>
      </c>
    </row>
    <row r="12904" ht="15.75" customHeight="1">
      <c r="A12904" s="1">
        <v>13736.0</v>
      </c>
      <c r="B12904" s="3" t="s">
        <v>12305</v>
      </c>
      <c r="C12904" s="3" t="str">
        <f>IFERROR(__xludf.DUMMYFUNCTION("GOOGLETRANSLATE(B12904,""id"",""en"")"),"['Convenience', 'really', 'App', 'Bagsssssssssssssss', 'Bangettt', '']")</f>
        <v>['Convenience', 'really', 'App', 'Bagsssssssssssssss', 'Bangettt', '']</v>
      </c>
      <c r="D12904" s="3">
        <v>5.0</v>
      </c>
    </row>
    <row r="12905" ht="15.75" customHeight="1">
      <c r="A12905" s="1">
        <v>13737.0</v>
      </c>
      <c r="B12905" s="3" t="s">
        <v>12306</v>
      </c>
      <c r="C12905" s="3" t="str">
        <f>IFERROR(__xludf.DUMMYFUNCTION("GOOGLETRANSLATE(B12905,""id"",""en"")"),"['TOP', 'pulses', ""]")</f>
        <v>['TOP', 'pulses', "]</v>
      </c>
      <c r="D12905" s="3">
        <v>1.0</v>
      </c>
    </row>
    <row r="12906" ht="15.75" customHeight="1">
      <c r="A12906" s="1">
        <v>13738.0</v>
      </c>
      <c r="B12906" s="3" t="s">
        <v>12307</v>
      </c>
      <c r="C12906" s="3" t="str">
        <f>IFERROR(__xludf.DUMMYFUNCTION("GOOGLETRANSLATE(B12906,""id"",""en"")"),"['Application', 'White', 'Screenn', 'Doang', 'Update', ""]")</f>
        <v>['Application', 'White', 'Screenn', 'Doang', 'Update', "]</v>
      </c>
      <c r="D12906" s="3">
        <v>1.0</v>
      </c>
    </row>
    <row r="12907" ht="15.75" customHeight="1">
      <c r="A12907" s="1">
        <v>13739.0</v>
      </c>
      <c r="B12907" s="3" t="s">
        <v>2023</v>
      </c>
      <c r="C12907" s="3" t="str">
        <f>IFERROR(__xludf.DUMMYFUNCTION("GOOGLETRANSLATE(B12907,""id"",""en"")"),"['Open', 'The application', '']")</f>
        <v>['Open', 'The application', '']</v>
      </c>
      <c r="D12907" s="3">
        <v>1.0</v>
      </c>
    </row>
    <row r="12908" ht="15.75" customHeight="1">
      <c r="A12908" s="1">
        <v>13740.0</v>
      </c>
      <c r="B12908" s="3" t="s">
        <v>12308</v>
      </c>
      <c r="C12908" s="3" t="str">
        <f>IFERROR(__xludf.DUMMYFUNCTION("GOOGLETRANSLATE(B12908,""id"",""en"")"),"['updet', 'open', '']")</f>
        <v>['updet', 'open', '']</v>
      </c>
      <c r="D12908" s="3">
        <v>1.0</v>
      </c>
    </row>
    <row r="12909" ht="15.75" customHeight="1">
      <c r="A12909" s="1">
        <v>13741.0</v>
      </c>
      <c r="B12909" s="3" t="s">
        <v>12309</v>
      </c>
      <c r="C12909" s="3" t="str">
        <f>IFERROR(__xludf.DUMMYFUNCTION("GOOGLETRANSLATE(B12909,""id"",""en"")"),"['The application', 'function', 'restart', 'delete', 'data', 'suggested', 'Telkomsel', 'email', 'white', 'screen', ""]")</f>
        <v>['The application', 'function', 'restart', 'delete', 'data', 'suggested', 'Telkomsel', 'email', 'white', 'screen', "]</v>
      </c>
      <c r="D12909" s="3">
        <v>1.0</v>
      </c>
    </row>
    <row r="12910" ht="15.75" customHeight="1">
      <c r="A12910" s="1">
        <v>13742.0</v>
      </c>
      <c r="B12910" s="3" t="s">
        <v>12310</v>
      </c>
      <c r="C12910" s="3" t="str">
        <f>IFERROR(__xludf.DUMMYFUNCTION("GOOGLETRANSLATE(B12910,""id"",""en"")"),"['Ribet', 'Telkomsel', ""]")</f>
        <v>['Ribet', 'Telkomsel', "]</v>
      </c>
      <c r="D12910" s="3">
        <v>1.0</v>
      </c>
    </row>
    <row r="12911" ht="15.75" customHeight="1">
      <c r="A12911" s="1">
        <v>13743.0</v>
      </c>
      <c r="B12911" s="3" t="s">
        <v>12311</v>
      </c>
      <c r="C12911" s="3" t="str">
        <f>IFERROR(__xludf.DUMMYFUNCTION("GOOGLETRANSLATE(B12911,""id"",""en"")"),"['Good', 'like', 'bngt']")</f>
        <v>['Good', 'like', 'bngt']</v>
      </c>
      <c r="D12911" s="3">
        <v>5.0</v>
      </c>
    </row>
    <row r="12912" ht="15.75" customHeight="1">
      <c r="A12912" s="1">
        <v>13744.0</v>
      </c>
      <c r="B12912" s="3" t="s">
        <v>12312</v>
      </c>
      <c r="C12912" s="3" t="str">
        <f>IFERROR(__xludf.DUMMYFUNCTION("GOOGLETRANSLATE(B12912,""id"",""en"")"),"['Sorry', 'Love', 'Star', 'Umtuk', 'Nuka', 'App', 'Telkomsel', 'Umduh', 'Times',' Try ',' Install ',' Uninstall ',' Open ',' please ',' informasih ',' klw ',' emang ',' app ',' ']")</f>
        <v>['Sorry', 'Love', 'Star', 'Umtuk', 'Nuka', 'App', 'Telkomsel', 'Umduh', 'Times',' Try ',' Install ',' Uninstall ',' Open ',' please ',' informasih ',' klw ',' emang ',' app ',' ']</v>
      </c>
      <c r="D12912" s="3">
        <v>2.0</v>
      </c>
    </row>
    <row r="12913" ht="15.75" customHeight="1">
      <c r="A12913" s="1">
        <v>13745.0</v>
      </c>
      <c r="B12913" s="3" t="s">
        <v>12313</v>
      </c>
      <c r="C12913" s="3" t="str">
        <f>IFERROR(__xludf.DUMMYFUNCTION("GOOGLETRANSLATE(B12913,""id"",""en"")"),"['Sorry', 'Dri', 'Sunday', 'Yesterday', 'Application', 'Telkomsel', 'opened', 'Yaaa', 'Look', 'complain', 'TPI', 'SPRTI', ' Yaaa ',' Heloooo ',' ']")</f>
        <v>['Sorry', 'Dri', 'Sunday', 'Yesterday', 'Application', 'Telkomsel', 'opened', 'Yaaa', 'Look', 'complain', 'TPI', 'SPRTI', ' Yaaa ',' Heloooo ',' ']</v>
      </c>
      <c r="D12913" s="3">
        <v>1.0</v>
      </c>
    </row>
    <row r="12914" ht="15.75" customHeight="1">
      <c r="A12914" s="1">
        <v>13746.0</v>
      </c>
      <c r="B12914" s="3" t="s">
        <v>12314</v>
      </c>
      <c r="C12914" s="3" t="str">
        <f>IFERROR(__xludf.DUMMYFUNCTION("GOOGLETRANSLATE(B12914,""id"",""en"")"),"['Loe', 'UDH', 'SLK']")</f>
        <v>['Loe', 'UDH', 'SLK']</v>
      </c>
      <c r="D12914" s="3">
        <v>1.0</v>
      </c>
    </row>
    <row r="12915" ht="15.75" customHeight="1">
      <c r="A12915" s="1">
        <v>13747.0</v>
      </c>
      <c r="B12915" s="3" t="s">
        <v>12315</v>
      </c>
      <c r="C12915" s="3" t="str">
        <f>IFERROR(__xludf.DUMMYFUNCTION("GOOGLETRANSLATE(B12915,""id"",""en"")"),"['', 'NGK', 'Open']")</f>
        <v>['', 'NGK', 'Open']</v>
      </c>
      <c r="D12915" s="3">
        <v>1.0</v>
      </c>
    </row>
    <row r="12916" ht="15.75" customHeight="1">
      <c r="A12916" s="1">
        <v>13748.0</v>
      </c>
      <c r="B12916" s="3" t="s">
        <v>12316</v>
      </c>
      <c r="C12916" s="3" t="str">
        <f>IFERROR(__xludf.DUMMYFUNCTION("GOOGLETRANSLATE(B12916,""id"",""en"")"),"['Sorry', 'Sis',' Knp ',' Signal ',' Telkomsel ',' Jdi ',' Lemot ',' Bet ',' Oath ',' Lying ',' Game ',' Emotion ',' ']")</f>
        <v>['Sorry', 'Sis',' Knp ',' Signal ',' Telkomsel ',' Jdi ',' Lemot ',' Bet ',' Oath ',' Lying ',' Game ',' Emotion ',' ']</v>
      </c>
      <c r="D12916" s="3">
        <v>1.0</v>
      </c>
    </row>
    <row r="12917" ht="15.75" customHeight="1">
      <c r="A12917" s="1">
        <v>13749.0</v>
      </c>
      <c r="B12917" s="3" t="s">
        <v>12317</v>
      </c>
      <c r="C12917" s="3" t="str">
        <f>IFERROR(__xludf.DUMMYFUNCTION("GOOGLETRANSLATE(B12917,""id"",""en"")"),"['apk', 'open', 'check', 'pulse', 'kouta', 'manual', '']")</f>
        <v>['apk', 'open', 'check', 'pulse', 'kouta', 'manual', '']</v>
      </c>
      <c r="D12917" s="3">
        <v>1.0</v>
      </c>
    </row>
    <row r="12918" ht="15.75" customHeight="1">
      <c r="A12918" s="1">
        <v>13750.0</v>
      </c>
      <c r="B12918" s="3" t="s">
        <v>12318</v>
      </c>
      <c r="C12918" s="3" t="str">
        <f>IFERROR(__xludf.DUMMYFUNCTION("GOOGLETRANSLATE(B12918,""id"",""en"")"),"['Install', 'reset', 'msh', 'halam', 'white', 'class', 'Telkomsel', 'gini', 'doang', ""]")</f>
        <v>['Install', 'reset', 'msh', 'halam', 'white', 'class', 'Telkomsel', 'gini', 'doang', "]</v>
      </c>
      <c r="D12918" s="3">
        <v>1.0</v>
      </c>
    </row>
    <row r="12919" ht="15.75" customHeight="1">
      <c r="A12919" s="1">
        <v>13751.0</v>
      </c>
      <c r="B12919" s="3" t="s">
        <v>12319</v>
      </c>
      <c r="C12919" s="3" t="str">
        <f>IFERROR(__xludf.DUMMYFUNCTION("GOOGLETRANSLATE(B12919,""id"",""en"")"),"['APL', 'MyTelkosel', 'already', 'a week', 'opened', 'screen', 'white', 'check', 'quota']")</f>
        <v>['APL', 'MyTelkosel', 'already', 'a week', 'opened', 'screen', 'white', 'check', 'quota']</v>
      </c>
      <c r="D12919" s="3">
        <v>2.0</v>
      </c>
    </row>
    <row r="12920" ht="15.75" customHeight="1">
      <c r="A12920" s="1">
        <v>13752.0</v>
      </c>
      <c r="B12920" s="3" t="s">
        <v>12320</v>
      </c>
      <c r="C12920" s="3" t="str">
        <f>IFERROR(__xludf.DUMMYFUNCTION("GOOGLETRANSLATE(B12920,""id"",""en"")"),"['hem', 'network', 'nga', 'slow', 'please', 'fix', 'telkomsek']")</f>
        <v>['hem', 'network', 'nga', 'slow', 'please', 'fix', 'telkomsek']</v>
      </c>
      <c r="D12920" s="3">
        <v>5.0</v>
      </c>
    </row>
    <row r="12921" ht="15.75" customHeight="1">
      <c r="A12921" s="1">
        <v>13753.0</v>
      </c>
      <c r="B12921" s="3" t="s">
        <v>12321</v>
      </c>
      <c r="C12921" s="3" t="str">
        <f>IFERROR(__xludf.DUMMYFUNCTION("GOOGLETRANSLATE(B12921,""id"",""en"")"),"['Cave', 'Saranin', 'Telkomsel', 'Asuuu', 'really', 'network', 'intention', 'effort', 'really', 'disappointing', 'network', 'Different', ' Out ']")</f>
        <v>['Cave', 'Saranin', 'Telkomsel', 'Asuuu', 'really', 'network', 'intention', 'effort', 'really', 'disappointing', 'network', 'Different', ' Out ']</v>
      </c>
      <c r="D12921" s="3">
        <v>1.0</v>
      </c>
    </row>
    <row r="12922" ht="15.75" customHeight="1">
      <c r="A12922" s="1">
        <v>13754.0</v>
      </c>
      <c r="B12922" s="3" t="s">
        <v>12322</v>
      </c>
      <c r="C12922" s="3" t="str">
        <f>IFERROR(__xludf.DUMMYFUNCTION("GOOGLETRANSLATE(B12922,""id"",""en"")"),"['difficult', 'arising', 'update']")</f>
        <v>['difficult', 'arising', 'update']</v>
      </c>
      <c r="D12922" s="3">
        <v>4.0</v>
      </c>
    </row>
    <row r="12923" ht="15.75" customHeight="1">
      <c r="A12923" s="1">
        <v>13755.0</v>
      </c>
      <c r="B12923" s="3" t="s">
        <v>12323</v>
      </c>
      <c r="C12923" s="3" t="str">
        <f>IFERROR(__xludf.DUMMYFUNCTION("GOOGLETRANSLATE(B12923,""id"",""en"")"),"['The information', 'easy', 'Understand']")</f>
        <v>['The information', 'easy', 'Understand']</v>
      </c>
      <c r="D12923" s="3">
        <v>5.0</v>
      </c>
    </row>
    <row r="12924" ht="15.75" customHeight="1">
      <c r="A12924" s="1">
        <v>13756.0</v>
      </c>
      <c r="B12924" s="3" t="s">
        <v>12324</v>
      </c>
      <c r="C12924" s="3" t="str">
        <f>IFERROR(__xludf.DUMMYFUNCTION("GOOGLETRANSLATE(B12924,""id"",""en"")"),"['Telkomsel', 'bgmn', 'application', 'mggu', 'screen', 'blank', 'open', 'Samsung', 'disappointing', 'solution', '']")</f>
        <v>['Telkomsel', 'bgmn', 'application', 'mggu', 'screen', 'blank', 'open', 'Samsung', 'disappointing', 'solution', '']</v>
      </c>
      <c r="D12924" s="3">
        <v>1.0</v>
      </c>
    </row>
    <row r="12925" ht="15.75" customHeight="1">
      <c r="A12925" s="1">
        <v>13757.0</v>
      </c>
      <c r="B12925" s="3" t="s">
        <v>12325</v>
      </c>
      <c r="C12925" s="3" t="str">
        <f>IFERROR(__xludf.DUMMYFUNCTION("GOOGLETRANSLATE(B12925,""id"",""en"")"),"['', 'Dbuka', 'Denwell', 'update', 'right', 'already', 'update', 'denguka', 'dumps',' update ',' pdhal ',' already ',' update ',' Hadehh ']")</f>
        <v>['', 'Dbuka', 'Denwell', 'update', 'right', 'already', 'update', 'denguka', 'dumps',' update ',' pdhal ',' already ',' update ',' Hadehh ']</v>
      </c>
      <c r="D12925" s="3">
        <v>1.0</v>
      </c>
    </row>
    <row r="12926" ht="15.75" customHeight="1">
      <c r="A12926" s="1">
        <v>13758.0</v>
      </c>
      <c r="B12926" s="3" t="s">
        <v>12326</v>
      </c>
      <c r="C12926" s="3" t="str">
        <f>IFERROR(__xludf.DUMMYFUNCTION("GOOGLETRANSLATE(B12926,""id"",""en"")"),"['Telkomsel', 'Open', 'Uninstall', 'Download', 'How', 'Min']")</f>
        <v>['Telkomsel', 'Open', 'Uninstall', 'Download', 'How', 'Min']</v>
      </c>
      <c r="D12926" s="3">
        <v>1.0</v>
      </c>
    </row>
    <row r="12927" ht="15.75" customHeight="1">
      <c r="A12927" s="1">
        <v>13759.0</v>
      </c>
      <c r="B12927" s="3" t="s">
        <v>12327</v>
      </c>
      <c r="C12927" s="3" t="str">
        <f>IFERROR(__xludf.DUMMYFUNCTION("GOOGLETRANSLATE(B12927,""id"",""en"")"),"['', 'Telkomsel', 'Error', 'Severe', 'Opened', 'Lola', ""]")</f>
        <v>['', 'Telkomsel', 'Error', 'Severe', 'Opened', 'Lola', "]</v>
      </c>
      <c r="D12927" s="3">
        <v>2.0</v>
      </c>
    </row>
    <row r="12928" ht="15.75" customHeight="1">
      <c r="A12928" s="1">
        <v>13760.0</v>
      </c>
      <c r="B12928" s="3" t="s">
        <v>12328</v>
      </c>
      <c r="C12928" s="3" t="str">
        <f>IFERROR(__xludf.DUMMYFUNCTION("GOOGLETRANSLATE(B12928,""id"",""en"")"),"['Since', 'refurbished', 'BSA', 'opened', 'Ngeblank', 'then', '']")</f>
        <v>['Since', 'refurbished', 'BSA', 'opened', 'Ngeblank', 'then', '']</v>
      </c>
      <c r="D12928" s="3">
        <v>2.0</v>
      </c>
    </row>
    <row r="12929" ht="15.75" customHeight="1">
      <c r="A12929" s="1">
        <v>13761.0</v>
      </c>
      <c r="B12929" s="3" t="s">
        <v>12329</v>
      </c>
      <c r="C12929" s="3" t="str">
        <f>IFERROR(__xludf.DUMMYFUNCTION("GOOGLETRANSLATE(B12929,""id"",""en"")"),"['Open', 'Application', 'Download']")</f>
        <v>['Open', 'Application', 'Download']</v>
      </c>
      <c r="D12929" s="3">
        <v>1.0</v>
      </c>
    </row>
    <row r="12930" ht="15.75" customHeight="1">
      <c r="A12930" s="1">
        <v>13762.0</v>
      </c>
      <c r="B12930" s="3" t="s">
        <v>12330</v>
      </c>
      <c r="C12930" s="3" t="str">
        <f>IFERROR(__xludf.DUMMYFUNCTION("GOOGLETRANSLATE(B12930,""id"",""en"")"),"['Helpful', 'Hopefully', 'Rich', 'Telkomsel']")</f>
        <v>['Helpful', 'Hopefully', 'Rich', 'Telkomsel']</v>
      </c>
      <c r="D12930" s="3">
        <v>5.0</v>
      </c>
    </row>
    <row r="12931" ht="15.75" customHeight="1">
      <c r="A12931" s="1">
        <v>13763.0</v>
      </c>
      <c r="B12931" s="3" t="s">
        <v>12331</v>
      </c>
      <c r="C12931" s="3" t="str">
        <f>IFERROR(__xludf.DUMMYFUNCTION("GOOGLETRANSLATE(B12931,""id"",""en"")"),"['Good', 'Please', 'Increase', 'Nda', 'Lemot']")</f>
        <v>['Good', 'Please', 'Increase', 'Nda', 'Lemot']</v>
      </c>
      <c r="D12931" s="3">
        <v>3.0</v>
      </c>
    </row>
    <row r="12932" ht="15.75" customHeight="1">
      <c r="A12932" s="1">
        <v>13764.0</v>
      </c>
      <c r="B12932" s="3" t="s">
        <v>12332</v>
      </c>
      <c r="C12932" s="3" t="str">
        <f>IFERROR(__xludf.DUMMYFUNCTION("GOOGLETRANSLATE(B12932,""id"",""en"")"),"['pig', 'Telkomsel', 'already', 'package', 'expensive', 'leg', 'jncok']")</f>
        <v>['pig', 'Telkomsel', 'already', 'package', 'expensive', 'leg', 'jncok']</v>
      </c>
      <c r="D12932" s="3">
        <v>1.0</v>
      </c>
    </row>
    <row r="12933" ht="15.75" customHeight="1">
      <c r="A12933" s="1">
        <v>13765.0</v>
      </c>
      <c r="B12933" s="3" t="s">
        <v>12333</v>
      </c>
      <c r="C12933" s="3" t="str">
        <f>IFERROR(__xludf.DUMMYFUNCTION("GOOGLETRANSLATE(B12933,""id"",""en"")"),"['Lower', 'star', 'Telkomsel', 'opened', 'out', 'screen', 'white', ""]")</f>
        <v>['Lower', 'star', 'Telkomsel', 'opened', 'out', 'screen', 'white', "]</v>
      </c>
      <c r="D12933" s="3">
        <v>1.0</v>
      </c>
    </row>
    <row r="12934" ht="15.75" customHeight="1">
      <c r="A12934" s="1">
        <v>13766.0</v>
      </c>
      <c r="B12934" s="3" t="s">
        <v>12334</v>
      </c>
      <c r="C12934" s="3" t="str">
        <f>IFERROR(__xludf.DUMMYFUNCTION("GOOGLETRANSLATE(B12934,""id"",""en"")"),"['Application', 'best', 'results',' quota ',' pulse ',' buy ',' quota ',' pulse ',' please ',' fix ',' quality ',' network ',' Sometimes', 'slow', 'its network', 'already', 'please', 'Attention', 'fix', 'Telkomsel']")</f>
        <v>['Application', 'best', 'results',' quota ',' pulse ',' buy ',' quota ',' pulse ',' please ',' fix ',' quality ',' network ',' Sometimes', 'slow', 'its network', 'already', 'please', 'Attention', 'fix', 'Telkomsel']</v>
      </c>
      <c r="D12934" s="3">
        <v>5.0</v>
      </c>
    </row>
    <row r="12935" ht="15.75" customHeight="1">
      <c r="A12935" s="1">
        <v>13767.0</v>
      </c>
      <c r="B12935" s="3" t="s">
        <v>12335</v>
      </c>
      <c r="C12935" s="3" t="str">
        <f>IFERROR(__xludf.DUMMYFUNCTION("GOOGLETRANSLATE(B12935,""id"",""en"")"),"['difficult', 'entry', 'annoying', 'expensive', 'service', 'failed', 'severe', '']")</f>
        <v>['difficult', 'entry', 'annoying', 'expensive', 'service', 'failed', 'severe', '']</v>
      </c>
      <c r="D12935" s="3">
        <v>1.0</v>
      </c>
    </row>
    <row r="12936" ht="15.75" customHeight="1">
      <c r="A12936" s="1">
        <v>13768.0</v>
      </c>
      <c r="B12936" s="3" t="s">
        <v>12336</v>
      </c>
      <c r="C12936" s="3" t="str">
        <f>IFERROR(__xludf.DUMMYFUNCTION("GOOGLETRANSLATE(B12936,""id"",""en"")"),"['Help', 'Mytekomsel', 'buy', 'pulse', 'complicated', 'kluar']")</f>
        <v>['Help', 'Mytekomsel', 'buy', 'pulse', 'complicated', 'kluar']</v>
      </c>
      <c r="D12936" s="3">
        <v>5.0</v>
      </c>
    </row>
    <row r="12937" ht="15.75" customHeight="1">
      <c r="A12937" s="1">
        <v>13769.0</v>
      </c>
      <c r="B12937" s="3" t="s">
        <v>12337</v>
      </c>
      <c r="C12937" s="3" t="str">
        <f>IFERROR(__xludf.DUMMYFUNCTION("GOOGLETRANSLATE(B12937,""id"",""en"")"),"['Limit', 'version', 'Android', 'Kasian', 'version', 'access', 'please', 'repair', ""]")</f>
        <v>['Limit', 'version', 'Android', 'Kasian', 'version', 'access', 'please', 'repair', "]</v>
      </c>
      <c r="D12937" s="3">
        <v>1.0</v>
      </c>
    </row>
    <row r="12938" ht="15.75" customHeight="1">
      <c r="A12938" s="1">
        <v>13771.0</v>
      </c>
      <c r="B12938" s="3" t="s">
        <v>12338</v>
      </c>
      <c r="C12938" s="3" t="str">
        <f>IFERROR(__xludf.DUMMYFUNCTION("GOOGLETRANSLATE(B12938,""id"",""en"")"),"['', 'Semplak', 'Bogor', 'signal', 'ngellag', 'Bener', ""]")</f>
        <v>['', 'Semplak', 'Bogor', 'signal', 'ngellag', 'Bener', "]</v>
      </c>
      <c r="D12938" s="3">
        <v>1.0</v>
      </c>
    </row>
    <row r="12939" ht="15.75" customHeight="1">
      <c r="A12939" s="1">
        <v>13772.0</v>
      </c>
      <c r="B12939" s="3" t="s">
        <v>12339</v>
      </c>
      <c r="C12939" s="3" t="str">
        <f>IFERROR(__xludf.DUMMYFUNCTION("GOOGLETRANSLATE(B12939,""id"",""en"")"),"['Package', 'expensive', 'loss', 'make', 'card', 'Telkomsel', 'Mending', 'card', 'im', '']")</f>
        <v>['Package', 'expensive', 'loss', 'make', 'card', 'Telkomsel', 'Mending', 'card', 'im', '']</v>
      </c>
      <c r="D12939" s="3">
        <v>1.0</v>
      </c>
    </row>
    <row r="12940" ht="15.75" customHeight="1">
      <c r="A12940" s="1">
        <v>13773.0</v>
      </c>
      <c r="B12940" s="3" t="s">
        <v>12340</v>
      </c>
      <c r="C12940" s="3" t="str">
        <f>IFERROR(__xludf.DUMMYFUNCTION("GOOGLETRANSLATE(B12940,""id"",""en"")"),"['Open', 'Telkomsel', 'Delete', 'Install', 'Tetep', 'Open']")</f>
        <v>['Open', 'Telkomsel', 'Delete', 'Install', 'Tetep', 'Open']</v>
      </c>
      <c r="D12940" s="3">
        <v>2.0</v>
      </c>
    </row>
    <row r="12941" ht="15.75" customHeight="1">
      <c r="A12941" s="1">
        <v>13775.0</v>
      </c>
      <c r="B12941" s="3" t="s">
        <v>12341</v>
      </c>
      <c r="C12941" s="3" t="str">
        <f>IFERROR(__xludf.DUMMYFUNCTION("GOOGLETRANSLATE(B12941,""id"",""en"")"),"['Telkomsel', 'package', 'already']")</f>
        <v>['Telkomsel', 'package', 'already']</v>
      </c>
      <c r="D12941" s="3">
        <v>5.0</v>
      </c>
    </row>
    <row r="12942" ht="15.75" customHeight="1">
      <c r="A12942" s="1">
        <v>13776.0</v>
      </c>
      <c r="B12942" s="3" t="s">
        <v>12342</v>
      </c>
      <c r="C12942" s="3" t="str">
        <f>IFERROR(__xludf.DUMMYFUNCTION("GOOGLETRANSLATE(B12942,""id"",""en"")"),"['The application', 'Lambaatt', 'signal', 'good', 'slow', 'update', 'slow', '']")</f>
        <v>['The application', 'Lambaatt', 'signal', 'good', 'slow', 'update', 'slow', '']</v>
      </c>
      <c r="D12942" s="3">
        <v>2.0</v>
      </c>
    </row>
    <row r="12943" ht="15.75" customHeight="1">
      <c r="A12943" s="1">
        <v>13777.0</v>
      </c>
      <c r="B12943" s="3" t="s">
        <v>12343</v>
      </c>
      <c r="C12943" s="3" t="str">
        <f>IFERROR(__xludf.DUMMYFUNCTION("GOOGLETRANSLATE(B12943,""id"",""en"")"),"['Kirain', 'Application', 'Blank', 'Fast', 'Acquired', 'Continue', 'Keburu', 'Rumping', 'Customer']")</f>
        <v>['Kirain', 'Application', 'Blank', 'Fast', 'Acquired', 'Continue', 'Keburu', 'Rumping', 'Customer']</v>
      </c>
      <c r="D12943" s="3">
        <v>1.0</v>
      </c>
    </row>
    <row r="12944" ht="15.75" customHeight="1">
      <c r="A12944" s="1">
        <v>13778.0</v>
      </c>
      <c r="B12944" s="3" t="s">
        <v>12344</v>
      </c>
      <c r="C12944" s="3" t="str">
        <f>IFERROR(__xludf.DUMMYFUNCTION("GOOGLETRANSLATE(B12944,""id"",""en"")"),"['Application', 'opened', 'December', '']")</f>
        <v>['Application', 'opened', 'December', '']</v>
      </c>
      <c r="D12944" s="3">
        <v>2.0</v>
      </c>
    </row>
    <row r="12945" ht="15.75" customHeight="1">
      <c r="A12945" s="1">
        <v>13779.0</v>
      </c>
      <c r="B12945" s="3" t="s">
        <v>12345</v>
      </c>
      <c r="C12945" s="3" t="str">
        <f>IFERROR(__xludf.DUMMYFUNCTION("GOOGLETRANSLATE(B12945,""id"",""en"")"),"['Telkomsel', 'thieves',' pulses', 'buy', 'already', 'lost', 'rb', 'that's',' fill ',' dries', 'run out', 'make', ' already ',' run out ',' data ',' Enda ',' turned on ',' annoyed ',' ']")</f>
        <v>['Telkomsel', 'thieves',' pulses', 'buy', 'already', 'lost', 'rb', 'that's',' fill ',' dries', 'run out', 'make', ' already ',' run out ',' data ',' Enda ',' turned on ',' annoyed ',' ']</v>
      </c>
      <c r="D12945" s="3">
        <v>1.0</v>
      </c>
    </row>
    <row r="12946" ht="15.75" customHeight="1">
      <c r="A12946" s="1">
        <v>13781.0</v>
      </c>
      <c r="B12946" s="3" t="s">
        <v>12346</v>
      </c>
      <c r="C12946" s="3" t="str">
        <f>IFERROR(__xludf.DUMMYFUNCTION("GOOGLETRANSLATE(B12946,""id"",""en"")"),"['application', 'disturbing', 'Kouta', 'Open', 'Facebook', 'Presidential', 'loan', 'cover', 'Facebook', 'love', 'star', 'annoyed', ' Application ',' Delete ',' Application ',' Karna ',' Annoyed ',' Disturbs', 'Facebook', 'Application', 'ugly', ""]")</f>
        <v>['application', 'disturbing', 'Kouta', 'Open', 'Facebook', 'Presidential', 'loan', 'cover', 'Facebook', 'love', 'star', 'annoyed', ' Application ',' Delete ',' Application ',' Karna ',' Annoyed ',' Disturbs', 'Facebook', 'Application', 'ugly', "]</v>
      </c>
      <c r="D12946" s="3">
        <v>1.0</v>
      </c>
    </row>
    <row r="12947" ht="15.75" customHeight="1">
      <c r="A12947" s="1">
        <v>13782.0</v>
      </c>
      <c r="B12947" s="3" t="s">
        <v>12347</v>
      </c>
      <c r="C12947" s="3" t="str">
        <f>IFERROR(__xludf.DUMMYFUNCTION("GOOGLETRANSLATE(B12947,""id"",""en"")"),"['Good', 'bnyak', 'promo']")</f>
        <v>['Good', 'bnyak', 'promo']</v>
      </c>
      <c r="D12947" s="3">
        <v>2.0</v>
      </c>
    </row>
    <row r="12948" ht="15.75" customHeight="1">
      <c r="A12948" s="1">
        <v>13783.0</v>
      </c>
      <c r="B12948" s="3" t="s">
        <v>12348</v>
      </c>
      <c r="C12948" s="3" t="str">
        <f>IFERROR(__xludf.DUMMYFUNCTION("GOOGLETRANSLATE(B12948,""id"",""en"")"),"['Hopefully', 'promo', 'internet', 'cheap', 'affordable']")</f>
        <v>['Hopefully', 'promo', 'internet', 'cheap', 'affordable']</v>
      </c>
      <c r="D12948" s="3">
        <v>5.0</v>
      </c>
    </row>
    <row r="12949" ht="15.75" customHeight="1">
      <c r="A12949" s="1">
        <v>13784.0</v>
      </c>
      <c r="B12949" s="3" t="s">
        <v>12349</v>
      </c>
      <c r="C12949" s="3" t="str">
        <f>IFERROR(__xludf.DUMMYFUNCTION("GOOGLETRANSLATE(B12949,""id"",""en"")"),"['it looks', 'screen', 'white', 'go', '']")</f>
        <v>['it looks', 'screen', 'white', 'go', '']</v>
      </c>
      <c r="D12949" s="3">
        <v>2.0</v>
      </c>
    </row>
    <row r="12950" ht="15.75" customHeight="1">
      <c r="A12950" s="1">
        <v>13785.0</v>
      </c>
      <c r="B12950" s="3" t="s">
        <v>12350</v>
      </c>
      <c r="C12950" s="3" t="str">
        <f>IFERROR(__xludf.DUMMYFUNCTION("GOOGLETRANSLATE(B12950,""id"",""en"")"),"['biscilah', 'get', 'car']")</f>
        <v>['biscilah', 'get', 'car']</v>
      </c>
      <c r="D12950" s="3">
        <v>5.0</v>
      </c>
    </row>
    <row r="12951" ht="15.75" customHeight="1">
      <c r="A12951" s="1">
        <v>13786.0</v>
      </c>
      <c r="B12951" s="3" t="s">
        <v>12351</v>
      </c>
      <c r="C12951" s="3" t="str">
        <f>IFERROR(__xludf.DUMMYFUNCTION("GOOGLETRANSLATE(B12951,""id"",""en"")"),"['Ngak', 'Open', 'Overcome', 'renewed']")</f>
        <v>['Ngak', 'Open', 'Overcome', 'renewed']</v>
      </c>
      <c r="D12951" s="3">
        <v>1.0</v>
      </c>
    </row>
    <row r="12952" ht="15.75" customHeight="1">
      <c r="A12952" s="1">
        <v>13787.0</v>
      </c>
      <c r="B12952" s="3" t="s">
        <v>12352</v>
      </c>
      <c r="C12952" s="3" t="str">
        <f>IFERROR(__xludf.DUMMYFUNCTION("GOOGLETRANSLATE(B12952,""id"",""en"")"),"['Times', 'Install', 'reset', 'right', 'open', 'screen', 'white', '']")</f>
        <v>['Times', 'Install', 'reset', 'right', 'open', 'screen', 'white', '']</v>
      </c>
      <c r="D12952" s="3">
        <v>1.0</v>
      </c>
    </row>
    <row r="12953" ht="15.75" customHeight="1">
      <c r="A12953" s="1">
        <v>13788.0</v>
      </c>
      <c r="B12953" s="3" t="s">
        <v>12353</v>
      </c>
      <c r="C12953" s="3" t="str">
        <f>IFERROR(__xludf.DUMMYFUNCTION("GOOGLETRANSLATE(B12953,""id"",""en"")"),"['Disappointedaaaa', 'ttep', 'download', 'reset', 'bsa', 'opened', 'telkomsel', 'skrg', 'please', 'sprti', 'ball', 'opera', ' Klau ',' BSA ',' opened ',' smpai ',' date ',' des', 'blame', 'move', 'heart', 'comfortable', 'skrg', 'telkomsel', 'pdhl' , 'PDHL"&amp;"', 'Customers', 'Faithful', 'Download', 'APK', 'Telkomsel', 'Dithn', ""]")</f>
        <v>['Disappointedaaaa', 'ttep', 'download', 'reset', 'bsa', 'opened', 'telkomsel', 'skrg', 'please', 'sprti', 'ball', 'opera', ' Klau ',' BSA ',' opened ',' smpai ',' date ',' des', 'blame', 'move', 'heart', 'comfortable', 'skrg', 'telkomsel', 'pdhl' , 'PDHL', 'Customers', 'Faithful', 'Download', 'APK', 'Telkomsel', 'Dithn', "]</v>
      </c>
      <c r="D12953" s="3">
        <v>1.0</v>
      </c>
    </row>
    <row r="12954" ht="15.75" customHeight="1">
      <c r="A12954" s="1">
        <v>13789.0</v>
      </c>
      <c r="B12954" s="3" t="s">
        <v>12354</v>
      </c>
      <c r="C12954" s="3" t="str">
        <f>IFERROR(__xludf.DUMMYFUNCTION("GOOGLETRANSLATE(B12954,""id"",""en"")"),"['BYK', 'complaints', 'APKNE', 'ISO', 'Bukak', 'Download', 'Crhrom', 'Version', 'Asked', 'Screen', 'White', 'truss']")</f>
        <v>['BYK', 'complaints', 'APKNE', 'ISO', 'Bukak', 'Download', 'Crhrom', 'Version', 'Asked', 'Screen', 'White', 'truss']</v>
      </c>
      <c r="D12954" s="3">
        <v>5.0</v>
      </c>
    </row>
    <row r="12955" ht="15.75" customHeight="1">
      <c r="A12955" s="1">
        <v>13790.0</v>
      </c>
      <c r="B12955" s="3" t="s">
        <v>12355</v>
      </c>
      <c r="C12955" s="3" t="str">
        <f>IFERROR(__xludf.DUMMYFUNCTION("GOOGLETRANSLATE(B12955,""id"",""en"")"),"['Please', 'obstacles', 'fast', 'fix', 'subscribe', 'already', 'tlong', 'disappointing', '']")</f>
        <v>['Please', 'obstacles', 'fast', 'fix', 'subscribe', 'already', 'tlong', 'disappointing', '']</v>
      </c>
      <c r="D12955" s="3">
        <v>3.0</v>
      </c>
    </row>
    <row r="12956" ht="15.75" customHeight="1">
      <c r="A12956" s="1">
        <v>13791.0</v>
      </c>
      <c r="B12956" s="3" t="s">
        <v>12356</v>
      </c>
      <c r="C12956" s="3" t="str">
        <f>IFERROR(__xludf.DUMMYFUNCTION("GOOGLETRANSLATE(B12956,""id"",""en"")"),"['signal', 'slow', 'a week', 'difficult', 'already', 'package', 'unlimited', 'thousand', 'move', 'card', 'gini']")</f>
        <v>['signal', 'slow', 'a week', 'difficult', 'already', 'package', 'unlimited', 'thousand', 'move', 'card', 'gini']</v>
      </c>
      <c r="D12956" s="3">
        <v>1.0</v>
      </c>
    </row>
    <row r="12957" ht="15.75" customHeight="1">
      <c r="A12957" s="1">
        <v>13792.0</v>
      </c>
      <c r="B12957" s="3" t="s">
        <v>12357</v>
      </c>
      <c r="C12957" s="3" t="str">
        <f>IFERROR(__xludf.DUMMYFUNCTION("GOOGLETRANSLATE(B12957,""id"",""en"")"),"['application', 'check', 'buy', 'quota', 'see', 'active', 'use', 'use', 'era', 'technology', 'sophisticated', 'application', ' Access', 'White', 'Blank', 'Sunday', 'Install', 'Really', 'era', 'internet', '']")</f>
        <v>['application', 'check', 'buy', 'quota', 'see', 'active', 'use', 'use', 'era', 'technology', 'sophisticated', 'application', ' Access', 'White', 'Blank', 'Sunday', 'Install', 'Really', 'era', 'internet', '']</v>
      </c>
      <c r="D12957" s="3">
        <v>1.0</v>
      </c>
    </row>
    <row r="12958" ht="15.75" customHeight="1">
      <c r="A12958" s="1">
        <v>13793.0</v>
      </c>
      <c r="B12958" s="3" t="s">
        <v>12358</v>
      </c>
      <c r="C12958" s="3" t="str">
        <f>IFERROR(__xludf.DUMMYFUNCTION("GOOGLETRANSLATE(B12958,""id"",""en"")"),"['Network', 'slow', 'already', 'expensive', 'package', 'TPI', 'slow', 'network']")</f>
        <v>['Network', 'slow', 'already', 'expensive', 'package', 'TPI', 'slow', 'network']</v>
      </c>
      <c r="D12958" s="3">
        <v>1.0</v>
      </c>
    </row>
    <row r="12959" ht="15.75" customHeight="1">
      <c r="A12959" s="1">
        <v>13794.0</v>
      </c>
      <c r="B12959" s="3" t="s">
        <v>12359</v>
      </c>
      <c r="C12959" s="3" t="str">
        <f>IFERROR(__xludf.DUMMYFUNCTION("GOOGLETRANSLATE(B12959,""id"",""en"")"),"['Alhamdulillah', 'Yach', '']")</f>
        <v>['Alhamdulillah', 'Yach', '']</v>
      </c>
      <c r="D12959" s="3">
        <v>5.0</v>
      </c>
    </row>
    <row r="12960" ht="15.75" customHeight="1">
      <c r="A12960" s="1">
        <v>13795.0</v>
      </c>
      <c r="B12960" s="3" t="s">
        <v>12360</v>
      </c>
      <c r="C12960" s="3" t="str">
        <f>IFERROR(__xludf.DUMMYFUNCTION("GOOGLETRANSLATE(B12960,""id"",""en"")"),"['Open', 'App']")</f>
        <v>['Open', 'App']</v>
      </c>
      <c r="D12960" s="3">
        <v>1.0</v>
      </c>
    </row>
    <row r="12961" ht="15.75" customHeight="1">
      <c r="A12961" s="1">
        <v>13796.0</v>
      </c>
      <c r="B12961" s="3" t="s">
        <v>12361</v>
      </c>
      <c r="C12961" s="3" t="str">
        <f>IFERROR(__xludf.DUMMYFUNCTION("GOOGLETRANSLATE(B12961,""id"",""en"")"),"['Application', 'GOB', 'KKKKK', 'Package', 'Internet', 'Remnant', 'take', 'pulse', 'plis',' min ',' kyk ',' provider ',' take it ',' pulse ',' gblkkkkkkkkk ']")</f>
        <v>['Application', 'GOB', 'KKKKK', 'Package', 'Internet', 'Remnant', 'take', 'pulse', 'plis',' min ',' kyk ',' provider ',' take it ',' pulse ',' gblkkkkkkkkk ']</v>
      </c>
      <c r="D12961" s="3">
        <v>3.0</v>
      </c>
    </row>
    <row r="12962" ht="15.75" customHeight="1">
      <c r="A12962" s="1">
        <v>13797.0</v>
      </c>
      <c r="B12962" s="3" t="s">
        <v>12362</v>
      </c>
      <c r="C12962" s="3" t="str">
        <f>IFERROR(__xludf.DUMMYFUNCTION("GOOGLETRANSLATE(B12962,""id"",""en"")"),"['Mantap', 'euyyyy']")</f>
        <v>['Mantap', 'euyyyy']</v>
      </c>
      <c r="D12962" s="3">
        <v>4.0</v>
      </c>
    </row>
    <row r="12963" ht="15.75" customHeight="1">
      <c r="A12963" s="1">
        <v>13798.0</v>
      </c>
      <c r="B12963" s="3" t="s">
        <v>12363</v>
      </c>
      <c r="C12963" s="3" t="str">
        <f>IFERROR(__xludf.DUMMYFUNCTION("GOOGLETRANSLATE(B12963,""id"",""en"")"),"['Sorry', 'Constraints', 'Min', 'Network', 'Telkomsel', 'Lemot', 'Quota', 'Please', 'Help', 'Min', ""]")</f>
        <v>['Sorry', 'Constraints', 'Min', 'Network', 'Telkomsel', 'Lemot', 'Quota', 'Please', 'Help', 'Min', "]</v>
      </c>
      <c r="D12963" s="3">
        <v>1.0</v>
      </c>
    </row>
    <row r="12964" ht="15.75" customHeight="1">
      <c r="A12964" s="1">
        <v>13799.0</v>
      </c>
      <c r="B12964" s="3" t="s">
        <v>12364</v>
      </c>
      <c r="C12964" s="3" t="str">
        <f>IFERROR(__xludf.DUMMYFUNCTION("GOOGLETRANSLATE(B12964,""id"",""en"")"),"['Sya', 'already', 'makai', 'application', 'sngat', 'mmbantu', 'sya', 'dri', 'aspect', 'material', 'krna', 'pket', ' Special ',' cheap ',' bnget ',' thk ',' Telkomsel ',' ']")</f>
        <v>['Sya', 'already', 'makai', 'application', 'sngat', 'mmbantu', 'sya', 'dri', 'aspect', 'material', 'krna', 'pket', ' Special ',' cheap ',' bnget ',' thk ',' Telkomsel ',' ']</v>
      </c>
      <c r="D12964" s="3">
        <v>5.0</v>
      </c>
    </row>
    <row r="12965" ht="15.75" customHeight="1">
      <c r="A12965" s="1">
        <v>13800.0</v>
      </c>
      <c r="B12965" s="3" t="s">
        <v>12365</v>
      </c>
      <c r="C12965" s="3" t="str">
        <f>IFERROR(__xludf.DUMMYFUNCTION("GOOGLETRANSLATE(B12965,""id"",""en"")"),"['signal', 'bad', 'package', 'main']")</f>
        <v>['signal', 'bad', 'package', 'main']</v>
      </c>
      <c r="D12965" s="3">
        <v>1.0</v>
      </c>
    </row>
    <row r="12966" ht="15.75" customHeight="1">
      <c r="A12966" s="1">
        <v>13801.0</v>
      </c>
      <c r="B12966" s="3" t="s">
        <v>7400</v>
      </c>
      <c r="C12966" s="3" t="str">
        <f>IFERROR(__xludf.DUMMYFUNCTION("GOOGLETRANSLATE(B12966,""id"",""en"")"),"['The application', 'opened', '']")</f>
        <v>['The application', 'opened', '']</v>
      </c>
      <c r="D12966" s="3">
        <v>1.0</v>
      </c>
    </row>
    <row r="12967" ht="15.75" customHeight="1">
      <c r="A12967" s="1">
        <v>13802.0</v>
      </c>
      <c r="B12967" s="3" t="s">
        <v>12366</v>
      </c>
      <c r="C12967" s="3" t="str">
        <f>IFERROR(__xludf.DUMMYFUNCTION("GOOGLETRANSLATE(B12967,""id"",""en"")"),"['fast', 'good', 'beg', 'level', 'performance', 'network', '']")</f>
        <v>['fast', 'good', 'beg', 'level', 'performance', 'network', '']</v>
      </c>
      <c r="D12967" s="3">
        <v>5.0</v>
      </c>
    </row>
    <row r="12968" ht="15.75" customHeight="1">
      <c r="A12968" s="1">
        <v>13803.0</v>
      </c>
      <c r="B12968" s="3" t="s">
        <v>12367</v>
      </c>
      <c r="C12968" s="3" t="str">
        <f>IFERROR(__xludf.DUMMYFUNCTION("GOOGLETRANSLATE(B12968,""id"",""en"")"),"['satisfying', 'package', 'cheap', 'festive']")</f>
        <v>['satisfying', 'package', 'cheap', 'festive']</v>
      </c>
      <c r="D12968" s="3">
        <v>5.0</v>
      </c>
    </row>
    <row r="12969" ht="15.75" customHeight="1">
      <c r="A12969" s="1">
        <v>13804.0</v>
      </c>
      <c r="B12969" s="3" t="s">
        <v>12368</v>
      </c>
      <c r="C12969" s="3" t="str">
        <f>IFERROR(__xludf.DUMMYFUNCTION("GOOGLETRANSLATE(B12969,""id"",""en"")"),"['Opened', 'The network', 'slow', '']")</f>
        <v>['Opened', 'The network', 'slow', '']</v>
      </c>
      <c r="D12969" s="3">
        <v>1.0</v>
      </c>
    </row>
    <row r="12970" ht="15.75" customHeight="1">
      <c r="A12970" s="1">
        <v>13805.0</v>
      </c>
      <c r="B12970" s="3" t="s">
        <v>12369</v>
      </c>
      <c r="C12970" s="3" t="str">
        <f>IFERROR(__xludf.DUMMYFUNCTION("GOOGLETRANSLATE(B12970,""id"",""en"")"),"['Network', 'broke', 'slow']")</f>
        <v>['Network', 'broke', 'slow']</v>
      </c>
      <c r="D12970" s="3">
        <v>1.0</v>
      </c>
    </row>
    <row r="12971" ht="15.75" customHeight="1">
      <c r="A12971" s="1">
        <v>13806.0</v>
      </c>
      <c r="B12971" s="3" t="s">
        <v>12370</v>
      </c>
      <c r="C12971" s="3" t="str">
        <f>IFERROR(__xludf.DUMMYFUNCTION("GOOGLETRANSLATE(B12971,""id"",""en"")"),"['Hello', 'Telkomsel', 'quota', 'main', 'sumps',' already ',' bei ',' package ',' unli ',' youtube ',' youtube ',' tetep ',' Sumpot ',' quota ',' main ']")</f>
        <v>['Hello', 'Telkomsel', 'quota', 'main', 'sumps',' already ',' bei ',' package ',' unli ',' youtube ',' youtube ',' tetep ',' Sumpot ',' quota ',' main ']</v>
      </c>
      <c r="D12971" s="3">
        <v>1.0</v>
      </c>
    </row>
    <row r="12972" ht="15.75" customHeight="1">
      <c r="A12972" s="1">
        <v>13807.0</v>
      </c>
      <c r="B12972" s="3" t="s">
        <v>12371</v>
      </c>
      <c r="C12972" s="3" t="str">
        <f>IFERROR(__xludf.DUMMYFUNCTION("GOOGLETRANSLATE(B12972,""id"",""en"")"),"['For', 'Telkomsel', 'Please', 'Disturbed', 'Scroll', 'Home', 'LGI', 'Fun', 'Play', 'Slalu', 'Appearing', 'Notification', ' Free ',' Get ',' Loans', 'NGK', 'Click', 'Salah', 'Only', 'NGK', 'Forced', 'Click', 'Free', 'Quota', 'Byk' , 'NGK', 'PKE', 'Grtis',"&amp;"' Open ',' See ',' Photo ',' Click ',' Photo ',' Select ',' Menu ',' Data ',' Data ',' Plisss', 'interrupted', '']")</f>
        <v>['For', 'Telkomsel', 'Please', 'Disturbed', 'Scroll', 'Home', 'LGI', 'Fun', 'Play', 'Slalu', 'Appearing', 'Notification', ' Free ',' Get ',' Loans', 'NGK', 'Click', 'Salah', 'Only', 'NGK', 'Forced', 'Click', 'Free', 'Quota', 'Byk' , 'NGK', 'PKE', 'Grtis',' Open ',' See ',' Photo ',' Click ',' Photo ',' Select ',' Menu ',' Data ',' Data ',' Plisss', 'interrupted', '']</v>
      </c>
      <c r="D12972" s="3">
        <v>2.0</v>
      </c>
    </row>
    <row r="12973" ht="15.75" customHeight="1">
      <c r="A12973" s="1">
        <v>13808.0</v>
      </c>
      <c r="B12973" s="3" t="s">
        <v>12372</v>
      </c>
      <c r="C12973" s="3" t="str">
        <f>IFERROR(__xludf.DUMMYFUNCTION("GOOGLETRANSLATE(B12973,""id"",""en"")"),"['Love', 'Bitang', 'kareanana', 'the application', 'difficult', 'Bukak', 'already', 'updete', 'maki', 'difficult', 'entry']")</f>
        <v>['Love', 'Bitang', 'kareanana', 'the application', 'difficult', 'Bukak', 'already', 'updete', 'maki', 'difficult', 'entry']</v>
      </c>
      <c r="D12973" s="3">
        <v>1.0</v>
      </c>
    </row>
    <row r="12974" ht="15.75" customHeight="1">
      <c r="A12974" s="1">
        <v>13809.0</v>
      </c>
      <c r="B12974" s="3" t="s">
        <v>12373</v>
      </c>
      <c r="C12974" s="3" t="str">
        <f>IFERROR(__xludf.DUMMYFUNCTION("GOOGLETRANSLATE(B12974,""id"",""en"")"),"['Confused', 'Loading']")</f>
        <v>['Confused', 'Loading']</v>
      </c>
      <c r="D12974" s="3">
        <v>3.0</v>
      </c>
    </row>
    <row r="12975" ht="15.75" customHeight="1">
      <c r="A12975" s="1">
        <v>13810.0</v>
      </c>
      <c r="B12975" s="3" t="s">
        <v>12374</v>
      </c>
      <c r="C12975" s="3" t="str">
        <f>IFERROR(__xludf.DUMMYFUNCTION("GOOGLETRANSLATE(B12975,""id"",""en"")"),"['best', 'mantul', 'my boss']")</f>
        <v>['best', 'mantul', 'my boss']</v>
      </c>
      <c r="D12975" s="3">
        <v>5.0</v>
      </c>
    </row>
    <row r="12976" ht="15.75" customHeight="1">
      <c r="A12976" s="1">
        <v>13811.0</v>
      </c>
      <c r="B12976" s="3" t="s">
        <v>12375</v>
      </c>
      <c r="C12976" s="3" t="str">
        <f>IFERROR(__xludf.DUMMYFUNCTION("GOOGLETRANSLATE(B12976,""id"",""en"")"),"['Application', 'Telkomsel', 'opened', 'date', 'December', 'report', 'Via', 'Veronica', 'telegram', 'many', 'uninstall', 'install', ' Tetep ',' White ',' Screen ',' Delete ',' Cache ',' Tetep ',' Change ',' Gag ',' Buy ',' Package ',' Internet ',' Deh ']")</f>
        <v>['Application', 'Telkomsel', 'opened', 'date', 'December', 'report', 'Via', 'Veronica', 'telegram', 'many', 'uninstall', 'install', ' Tetep ',' White ',' Screen ',' Delete ',' Cache ',' Tetep ',' Change ',' Gag ',' Buy ',' Package ',' Internet ',' Deh ']</v>
      </c>
      <c r="D12976" s="3">
        <v>2.0</v>
      </c>
    </row>
    <row r="12977" ht="15.75" customHeight="1">
      <c r="A12977" s="1">
        <v>13812.0</v>
      </c>
      <c r="B12977" s="3" t="s">
        <v>12376</v>
      </c>
      <c r="C12977" s="3" t="str">
        <f>IFERROR(__xludf.DUMMYFUNCTION("GOOGLETRANSLATE(B12977,""id"",""en"")"),"['screen', 'white', 'update']")</f>
        <v>['screen', 'white', 'update']</v>
      </c>
      <c r="D12977" s="3">
        <v>1.0</v>
      </c>
    </row>
    <row r="12978" ht="15.75" customHeight="1">
      <c r="A12978" s="1">
        <v>13813.0</v>
      </c>
      <c r="B12978" s="3" t="s">
        <v>12377</v>
      </c>
      <c r="C12978" s="3" t="str">
        <f>IFERROR(__xludf.DUMMYFUNCTION("GOOGLETRANSLATE(B12978,""id"",""en"")"),"['Out', 'Update', 'Telkomsel', 'BSA', 'Open', 'White']")</f>
        <v>['Out', 'Update', 'Telkomsel', 'BSA', 'Open', 'White']</v>
      </c>
      <c r="D12978" s="3">
        <v>1.0</v>
      </c>
    </row>
    <row r="12979" ht="15.75" customHeight="1">
      <c r="A12979" s="1">
        <v>13815.0</v>
      </c>
      <c r="B12979" s="3" t="s">
        <v>12378</v>
      </c>
      <c r="C12979" s="3" t="str">
        <f>IFERROR(__xludf.DUMMYFUNCTION("GOOGLETRANSLATE(B12979,""id"",""en"")"),"['Update', 'NGK', 'Enter', 'Application', 'Telkomsel']")</f>
        <v>['Update', 'NGK', 'Enter', 'Application', 'Telkomsel']</v>
      </c>
      <c r="D12979" s="3">
        <v>5.0</v>
      </c>
    </row>
    <row r="12980" ht="15.75" customHeight="1">
      <c r="A12980" s="1">
        <v>13816.0</v>
      </c>
      <c r="B12980" s="3" t="s">
        <v>12379</v>
      </c>
      <c r="C12980" s="3" t="str">
        <f>IFERROR(__xludf.DUMMYFUNCTION("GOOGLETRANSLATE(B12980,""id"",""en"")"),"['blank']")</f>
        <v>['blank']</v>
      </c>
      <c r="D12980" s="3">
        <v>1.0</v>
      </c>
    </row>
    <row r="12981" ht="15.75" customHeight="1">
      <c r="A12981" s="1">
        <v>13817.0</v>
      </c>
      <c r="B12981" s="3" t="s">
        <v>12380</v>
      </c>
      <c r="C12981" s="3" t="str">
        <f>IFERROR(__xludf.DUMMYFUNCTION("GOOGLETRANSLATE(B12981,""id"",""en"")"),"['Jozz']")</f>
        <v>['Jozz']</v>
      </c>
      <c r="D12981" s="3">
        <v>4.0</v>
      </c>
    </row>
    <row r="12982" ht="15.75" customHeight="1">
      <c r="A12982" s="1">
        <v>13818.0</v>
      </c>
      <c r="B12982" s="3" t="s">
        <v>12381</v>
      </c>
      <c r="C12982" s="3" t="str">
        <f>IFERROR(__xludf.DUMMYFUNCTION("GOOGLETRANSLATE(B12982,""id"",""en"")"),"['Just', 'suggestion', 'in the cheapkn', 'little', ""]")</f>
        <v>['Just', 'suggestion', 'in the cheapkn', 'little', "]</v>
      </c>
      <c r="D12982" s="3">
        <v>5.0</v>
      </c>
    </row>
    <row r="12983" ht="15.75" customHeight="1">
      <c r="A12983" s="1">
        <v>13819.0</v>
      </c>
      <c r="B12983" s="3" t="s">
        <v>12382</v>
      </c>
      <c r="C12983" s="3" t="str">
        <f>IFERROR(__xludf.DUMMYFUNCTION("GOOGLETRANSLATE(B12983,""id"",""en"")"),"['network', 'slow', 'reset', 'arising', 'network', 'lost', 'missing', 'network', 'think', 'buy', 'package', 'internet', ' Telkomsel ']")</f>
        <v>['network', 'slow', 'reset', 'arising', 'network', 'lost', 'missing', 'network', 'think', 'buy', 'package', 'internet', ' Telkomsel ']</v>
      </c>
      <c r="D12983" s="3">
        <v>1.0</v>
      </c>
    </row>
    <row r="12984" ht="15.75" customHeight="1">
      <c r="A12984" s="1">
        <v>13820.0</v>
      </c>
      <c r="B12984" s="3" t="s">
        <v>12383</v>
      </c>
      <c r="C12984" s="3" t="str">
        <f>IFERROR(__xludf.DUMMYFUNCTION("GOOGLETRANSLATE(B12984,""id"",""en"")"),"['Sorry', 'Love', 'Star', 'December', 'Application', 'NGK', 'Opened', 'Harm', '']")</f>
        <v>['Sorry', 'Love', 'Star', 'December', 'Application', 'NGK', 'Opened', 'Harm', '']</v>
      </c>
      <c r="D12984" s="3">
        <v>1.0</v>
      </c>
    </row>
    <row r="12985" ht="15.75" customHeight="1">
      <c r="A12985" s="1">
        <v>13821.0</v>
      </c>
      <c r="B12985" s="3" t="s">
        <v>12384</v>
      </c>
      <c r="C12985" s="3" t="str">
        <f>IFERROR(__xludf.DUMMYFUNCTION("GOOGLETRANSLATE(B12985,""id"",""en"")"),"['Good', 'really', 'application', 'makes it easy']")</f>
        <v>['Good', 'really', 'application', 'makes it easy']</v>
      </c>
      <c r="D12985" s="3">
        <v>5.0</v>
      </c>
    </row>
    <row r="12986" ht="15.75" customHeight="1">
      <c r="A12986" s="1">
        <v>13822.0</v>
      </c>
      <c r="B12986" s="3" t="s">
        <v>12385</v>
      </c>
      <c r="C12986" s="3" t="str">
        <f>IFERROR(__xludf.DUMMYFUNCTION("GOOGLETRANSLATE(B12986,""id"",""en"")"),"['signal', 'slow', 'expensive', 'loss', 'oath', 'Telkomsel']")</f>
        <v>['signal', 'slow', 'expensive', 'loss', 'oath', 'Telkomsel']</v>
      </c>
      <c r="D12986" s="3">
        <v>1.0</v>
      </c>
    </row>
    <row r="12987" ht="15.75" customHeight="1">
      <c r="A12987" s="1">
        <v>13823.0</v>
      </c>
      <c r="B12987" s="3" t="s">
        <v>12386</v>
      </c>
      <c r="C12987" s="3" t="str">
        <f>IFERROR(__xludf.DUMMYFUNCTION("GOOGLETRANSLATE(B12987,""id"",""en"")"),"['comment', 'build', 'fix', 'please', 'fix', 'app', 'application', 'screen', 'white', 'disappointing', 'transaction', 'quota', ' Data ',' app ',' open ',' fix ',' thx ']")</f>
        <v>['comment', 'build', 'fix', 'please', 'fix', 'app', 'application', 'screen', 'white', 'disappointing', 'transaction', 'quota', ' Data ',' app ',' open ',' fix ',' thx ']</v>
      </c>
      <c r="D12987" s="3">
        <v>1.0</v>
      </c>
    </row>
    <row r="12988" ht="15.75" customHeight="1">
      <c r="A12988" s="1">
        <v>13824.0</v>
      </c>
      <c r="B12988" s="3" t="s">
        <v>12387</v>
      </c>
      <c r="C12988" s="3" t="str">
        <f>IFERROR(__xludf.DUMMYFUNCTION("GOOGLETRANSLATE(B12988,""id"",""en"")"),"['buy', 'package', 'expensive', 'buy', 'package', 'data', 'because' need ',' because ',' duits ',' base ',' Telkomsel ',' disappointing']")</f>
        <v>['buy', 'package', 'expensive', 'buy', 'package', 'data', 'because' need ',' because ',' duits ',' base ',' Telkomsel ',' disappointing']</v>
      </c>
      <c r="D12988" s="3">
        <v>1.0</v>
      </c>
    </row>
    <row r="12989" ht="15.75" customHeight="1">
      <c r="A12989" s="1">
        <v>13826.0</v>
      </c>
      <c r="B12989" s="3" t="s">
        <v>12388</v>
      </c>
      <c r="C12989" s="3" t="str">
        <f>IFERROR(__xludf.DUMMYFUNCTION("GOOGLETRANSLATE(B12989,""id"",""en"")"),"['Please', 'network', 'fix', 'network', 'extensive', 'slow', 'BUMN', 'signal', 'repair']")</f>
        <v>['Please', 'network', 'fix', 'network', 'extensive', 'slow', 'BUMN', 'signal', 'repair']</v>
      </c>
      <c r="D12989" s="3">
        <v>1.0</v>
      </c>
    </row>
    <row r="12990" ht="15.75" customHeight="1">
      <c r="A12990" s="1">
        <v>13828.0</v>
      </c>
      <c r="B12990" s="3" t="s">
        <v>12389</v>
      </c>
      <c r="C12990" s="3" t="str">
        <f>IFERROR(__xludf.DUMMYFUNCTION("GOOGLETRANSLATE(B12990,""id"",""en"")"),"['Steady', 'Telkomsel', 'bnyak', 'promo']")</f>
        <v>['Steady', 'Telkomsel', 'bnyak', 'promo']</v>
      </c>
      <c r="D12990" s="3">
        <v>5.0</v>
      </c>
    </row>
    <row r="12991" ht="15.75" customHeight="1">
      <c r="A12991" s="1">
        <v>13829.0</v>
      </c>
      <c r="B12991" s="3" t="s">
        <v>12390</v>
      </c>
      <c r="C12991" s="3" t="str">
        <f>IFERROR(__xludf.DUMMYFUNCTION("GOOGLETRANSLATE(B12991,""id"",""en"")"),"['Difficult', 'Open', 'Disappointed']")</f>
        <v>['Difficult', 'Open', 'Disappointed']</v>
      </c>
      <c r="D12991" s="3">
        <v>2.0</v>
      </c>
    </row>
    <row r="12992" ht="15.75" customHeight="1">
      <c r="A12992" s="1">
        <v>13831.0</v>
      </c>
      <c r="B12992" s="3" t="s">
        <v>12391</v>
      </c>
      <c r="C12992" s="3" t="str">
        <f>IFERROR(__xludf.DUMMYFUNCTION("GOOGLETRANSLATE(B12992,""id"",""en"")"),"['application', 'open', 'helloooo', 'let', 'work', 'fix', 'sleeprr']")</f>
        <v>['application', 'open', 'helloooo', 'let', 'work', 'fix', 'sleeprr']</v>
      </c>
      <c r="D12992" s="3">
        <v>1.0</v>
      </c>
    </row>
    <row r="12993" ht="15.75" customHeight="1">
      <c r="A12993" s="1">
        <v>13832.0</v>
      </c>
      <c r="B12993" s="3" t="s">
        <v>12392</v>
      </c>
      <c r="C12993" s="3" t="str">
        <f>IFERROR(__xludf.DUMMYFUNCTION("GOOGLETRANSLATE(B12993,""id"",""en"")"),"['application', 'Maytelkomselq', 'open', 'how', '']")</f>
        <v>['application', 'Maytelkomselq', 'open', 'how', '']</v>
      </c>
      <c r="D12993" s="3">
        <v>3.0</v>
      </c>
    </row>
    <row r="12994" ht="15.75" customHeight="1">
      <c r="A12994" s="1">
        <v>13833.0</v>
      </c>
      <c r="B12994" s="3" t="s">
        <v>12393</v>
      </c>
      <c r="C12994" s="3" t="str">
        <f>IFERROR(__xludf.DUMMYFUNCTION("GOOGLETRANSLATE(B12994,""id"",""en"")"),"['Abis',' Exchange ',' Points', 'Quota', 'Internet', 'GB', 'Use', 'Credit', 'Cut', 'Internet', 'GB', 'Sampe', ' ']")</f>
        <v>['Abis',' Exchange ',' Points', 'Quota', 'Internet', 'GB', 'Use', 'Credit', 'Cut', 'Internet', 'GB', 'Sampe', ' ']</v>
      </c>
      <c r="D12994" s="3">
        <v>1.0</v>
      </c>
    </row>
    <row r="12995" ht="15.75" customHeight="1">
      <c r="A12995" s="1">
        <v>13834.0</v>
      </c>
      <c r="B12995" s="3" t="s">
        <v>12394</v>
      </c>
      <c r="C12995" s="3" t="str">
        <f>IFERROR(__xludf.DUMMYFUNCTION("GOOGLETRANSLATE(B12995,""id"",""en"")"),"['', 'open', 'application', 'uninstall']")</f>
        <v>['', 'open', 'application', 'uninstall']</v>
      </c>
      <c r="D12995" s="3">
        <v>2.0</v>
      </c>
    </row>
    <row r="12996" ht="15.75" customHeight="1">
      <c r="A12996" s="1">
        <v>13835.0</v>
      </c>
      <c r="B12996" s="3" t="s">
        <v>12395</v>
      </c>
      <c r="C12996" s="3" t="str">
        <f>IFERROR(__xludf.DUMMYFUNCTION("GOOGLETRANSLATE(B12996,""id"",""en"")"),"['Thank you', 'GB']")</f>
        <v>['Thank you', 'GB']</v>
      </c>
      <c r="D12996" s="3">
        <v>5.0</v>
      </c>
    </row>
    <row r="12997" ht="15.75" customHeight="1">
      <c r="A12997" s="1">
        <v>13837.0</v>
      </c>
      <c r="B12997" s="3" t="s">
        <v>12396</v>
      </c>
      <c r="C12997" s="3" t="str">
        <f>IFERROR(__xludf.DUMMYFUNCTION("GOOGLETRANSLATE(B12997,""id"",""en"")"),"['update', 'signal', 'difficult']")</f>
        <v>['update', 'signal', 'difficult']</v>
      </c>
      <c r="D12997" s="3">
        <v>3.0</v>
      </c>
    </row>
    <row r="12998" ht="15.75" customHeight="1">
      <c r="A12998" s="1">
        <v>13839.0</v>
      </c>
      <c r="B12998" s="3" t="s">
        <v>12397</v>
      </c>
      <c r="C12998" s="3" t="str">
        <f>IFERROR(__xludf.DUMMYFUNCTION("GOOGLETRANSLATE(B12998,""id"",""en"")"),"['Ujan', 'Ngadat']")</f>
        <v>['Ujan', 'Ngadat']</v>
      </c>
      <c r="D12998" s="3">
        <v>3.0</v>
      </c>
    </row>
    <row r="12999" ht="15.75" customHeight="1">
      <c r="A12999" s="1">
        <v>13840.0</v>
      </c>
      <c r="B12999" s="3" t="s">
        <v>12398</v>
      </c>
      <c r="C12999" s="3" t="str">
        <f>IFERROR(__xludf.DUMMYFUNCTION("GOOGLETRANSLATE(B12999,""id"",""en"")"),"['The network', 'Telkomsel', 'ugly', 'how', '']")</f>
        <v>['The network', 'Telkomsel', 'ugly', 'how', '']</v>
      </c>
      <c r="D12999" s="3">
        <v>2.0</v>
      </c>
    </row>
    <row r="13000" ht="15.75" customHeight="1">
      <c r="A13000" s="1">
        <v>13841.0</v>
      </c>
      <c r="B13000" s="3" t="s">
        <v>12399</v>
      </c>
      <c r="C13000" s="3" t="str">
        <f>IFERROR(__xludf.DUMMYFUNCTION("GOOGLETRANSLATE(B13000,""id"",""en"")"),"['Sorry', 'star', 'times',' in ',' brp ',' hri ',' ssah ',' really ',' open ',' apikasiny ',' gmbr ',' white ',' Doang ',' pdhal ',' UDH ',' Sya ',' Install ',' reset ',' application ',' Telkomsel ', ""]")</f>
        <v>['Sorry', 'star', 'times',' in ',' brp ',' hri ',' ssah ',' really ',' open ',' apikasiny ',' gmbr ',' white ',' Doang ',' pdhal ',' UDH ',' Sya ',' Install ',' reset ',' application ',' Telkomsel ', "]</v>
      </c>
      <c r="D13000" s="3">
        <v>1.0</v>
      </c>
    </row>
    <row r="13001" ht="15.75" customHeight="1">
      <c r="A13001" s="1">
        <v>13842.0</v>
      </c>
      <c r="B13001" s="3" t="s">
        <v>9737</v>
      </c>
      <c r="C13001" s="3" t="str">
        <f>IFERROR(__xludf.DUMMYFUNCTION("GOOGLETRANSLATE(B13001,""id"",""en"")"),"['Telkomsel', 'opened', ""]")</f>
        <v>['Telkomsel', 'opened', "]</v>
      </c>
      <c r="D13001" s="3">
        <v>5.0</v>
      </c>
    </row>
    <row r="13002" ht="15.75" customHeight="1">
      <c r="A13002" s="1">
        <v>13843.0</v>
      </c>
      <c r="B13002" s="3" t="s">
        <v>12400</v>
      </c>
      <c r="C13002" s="3" t="str">
        <f>IFERROR(__xludf.DUMMYFUNCTION("GOOGLETRANSLATE(B13002,""id"",""en"")"),"['Love', 'Bintang', 'Karna', 'Try']")</f>
        <v>['Love', 'Bintang', 'Karna', 'Try']</v>
      </c>
      <c r="D13002" s="3">
        <v>3.0</v>
      </c>
    </row>
    <row r="13003" ht="15.75" customHeight="1">
      <c r="A13003" s="1">
        <v>13845.0</v>
      </c>
      <c r="B13003" s="3" t="s">
        <v>12401</v>
      </c>
      <c r="C13003" s="3" t="str">
        <f>IFERROR(__xludf.DUMMYFUNCTION("GOOGLETRANSLATE(B13003,""id"",""en"")"),"['Application', 'not', 'opened', 'bangse', 'state', 'quality', 'eat', 'salary', 'blind']")</f>
        <v>['Application', 'not', 'opened', 'bangse', 'state', 'quality', 'eat', 'salary', 'blind']</v>
      </c>
      <c r="D13003" s="3">
        <v>1.0</v>
      </c>
    </row>
    <row r="13004" ht="15.75" customHeight="1">
      <c r="A13004" s="1">
        <v>13847.0</v>
      </c>
      <c r="B13004" s="3" t="s">
        <v>12402</v>
      </c>
      <c r="C13004" s="3" t="str">
        <f>IFERROR(__xludf.DUMMYFUNCTION("GOOGLETRANSLATE(B13004,""id"",""en"")"),"['Disappointed', 'Rise', 'Credit', 'Quota', 'MyTelkomsel', 'Direct', 'Gelonjat', 'Expensive', 'Sexali', 'Please', 'Dinurunin', 'Price', ' yeah ',' community ',' wear ',' circles', 'doang', 'make', 'thk']")</f>
        <v>['Disappointed', 'Rise', 'Credit', 'Quota', 'MyTelkomsel', 'Direct', 'Gelonjat', 'Expensive', 'Sexali', 'Please', 'Dinurunin', 'Price', ' yeah ',' community ',' wear ',' circles', 'doang', 'make', 'thk']</v>
      </c>
      <c r="D13004" s="3">
        <v>1.0</v>
      </c>
    </row>
    <row r="13005" ht="15.75" customHeight="1">
      <c r="A13005" s="1">
        <v>13848.0</v>
      </c>
      <c r="B13005" s="3" t="s">
        <v>12403</v>
      </c>
      <c r="C13005" s="3" t="str">
        <f>IFERROR(__xludf.DUMMYFUNCTION("GOOGLETRANSLATE(B13005,""id"",""en"")"),"['apples', 'open', 'install', 'reset', 'tetep', 'open']")</f>
        <v>['apples', 'open', 'install', 'reset', 'tetep', 'open']</v>
      </c>
      <c r="D13005" s="3">
        <v>2.0</v>
      </c>
    </row>
    <row r="13006" ht="15.75" customHeight="1">
      <c r="A13006" s="1">
        <v>13849.0</v>
      </c>
      <c r="B13006" s="3" t="s">
        <v>12404</v>
      </c>
      <c r="C13006" s="3" t="str">
        <f>IFERROR(__xludf.DUMMYFUNCTION("GOOGLETRANSLATE(B13006,""id"",""en"")"),"['Application', 'Telkomsel', 'Ngeblank', 'White', 'NGK', 'Open']")</f>
        <v>['Application', 'Telkomsel', 'Ngeblank', 'White', 'NGK', 'Open']</v>
      </c>
      <c r="D13006" s="3">
        <v>1.0</v>
      </c>
    </row>
    <row r="13007" ht="15.75" customHeight="1">
      <c r="A13007" s="1">
        <v>13850.0</v>
      </c>
      <c r="B13007" s="3" t="s">
        <v>12405</v>
      </c>
      <c r="C13007" s="3" t="str">
        <f>IFERROR(__xludf.DUMMYFUNCTION("GOOGLETRANSLATE(B13007,""id"",""en"")"),"['Telkomsel', 'Top', 'trimakasih']")</f>
        <v>['Telkomsel', 'Top', 'trimakasih']</v>
      </c>
      <c r="D13007" s="3">
        <v>5.0</v>
      </c>
    </row>
    <row r="13008" ht="15.75" customHeight="1">
      <c r="A13008" s="1">
        <v>13851.0</v>
      </c>
      <c r="B13008" s="3" t="s">
        <v>12406</v>
      </c>
      <c r="C13008" s="3" t="str">
        <f>IFERROR(__xludf.DUMMYFUNCTION("GOOGLETRANSLATE(B13008,""id"",""en"")"),"['Application', 'Open', 'Error']")</f>
        <v>['Application', 'Open', 'Error']</v>
      </c>
      <c r="D13008" s="3">
        <v>1.0</v>
      </c>
    </row>
    <row r="13009" ht="15.75" customHeight="1">
      <c r="A13009" s="1">
        <v>13852.0</v>
      </c>
      <c r="B13009" s="3" t="s">
        <v>12407</v>
      </c>
      <c r="C13009" s="3" t="str">
        <f>IFERROR(__xludf.DUMMYFUNCTION("GOOGLETRANSLATE(B13009,""id"",""en"")"),"['UDH', 'Smok', 'Open', 'Telkomsel', 'Difficult', 'Knp', ""]")</f>
        <v>['UDH', 'Smok', 'Open', 'Telkomsel', 'Difficult', 'Knp', "]</v>
      </c>
      <c r="D13009" s="3">
        <v>2.0</v>
      </c>
    </row>
    <row r="13010" ht="15.75" customHeight="1">
      <c r="A13010" s="1">
        <v>13853.0</v>
      </c>
      <c r="B13010" s="3" t="s">
        <v>12408</v>
      </c>
      <c r="C13010" s="3" t="str">
        <f>IFERROR(__xludf.DUMMYFUNCTION("GOOGLETRANSLATE(B13010,""id"",""en"")"),"['Telkomsel', 'Ngec', 'Looks', 'Network', 'repaired', 'repaired', 'missing', ""]")</f>
        <v>['Telkomsel', 'Ngec', 'Looks', 'Network', 'repaired', 'repaired', 'missing', "]</v>
      </c>
      <c r="D13010" s="3">
        <v>1.0</v>
      </c>
    </row>
    <row r="13011" ht="15.75" customHeight="1">
      <c r="A13011" s="1">
        <v>13854.0</v>
      </c>
      <c r="B13011" s="3" t="s">
        <v>12409</v>
      </c>
      <c r="C13011" s="3" t="str">
        <f>IFERROR(__xludf.DUMMYFUNCTION("GOOGLETRANSLATE(B13011,""id"",""en"")"),"['buy', 'package', 'easy', '']")</f>
        <v>['buy', 'package', 'easy', '']</v>
      </c>
      <c r="D13011" s="3">
        <v>5.0</v>
      </c>
    </row>
    <row r="13012" ht="15.75" customHeight="1">
      <c r="A13012" s="1">
        <v>13855.0</v>
      </c>
      <c r="B13012" s="3" t="s">
        <v>12410</v>
      </c>
      <c r="C13012" s="3" t="str">
        <f>IFERROR(__xludf.DUMMYFUNCTION("GOOGLETRANSLATE(B13012,""id"",""en"")"),"['Application', 'Needs', 'Internet', 'Help', 'Easy', '']")</f>
        <v>['Application', 'Needs', 'Internet', 'Help', 'Easy', '']</v>
      </c>
      <c r="D13012" s="3">
        <v>5.0</v>
      </c>
    </row>
    <row r="13013" ht="15.75" customHeight="1">
      <c r="A13013" s="1">
        <v>13856.0</v>
      </c>
      <c r="B13013" s="3" t="s">
        <v>12411</v>
      </c>
      <c r="C13013" s="3" t="str">
        <f>IFERROR(__xludf.DUMMYFUNCTION("GOOGLETRANSLATE(B13013,""id"",""en"")"),"['Price', 'Package', 'Ngilake', 'Network', 'Nnya', 'Jugak', 'Ngilak', 'Leet', 'Severe', ""]")</f>
        <v>['Price', 'Package', 'Ngilake', 'Network', 'Nnya', 'Jugak', 'Ngilak', 'Leet', 'Severe', "]</v>
      </c>
      <c r="D13013" s="3">
        <v>1.0</v>
      </c>
    </row>
    <row r="13014" ht="15.75" customHeight="1">
      <c r="A13014" s="1">
        <v>13857.0</v>
      </c>
      <c r="B13014" s="3" t="s">
        <v>8216</v>
      </c>
      <c r="C13014" s="3" t="str">
        <f>IFERROR(__xludf.DUMMYFUNCTION("GOOGLETRANSLATE(B13014,""id"",""en"")"),"['App', 'Telkomsel', 'Open', '']")</f>
        <v>['App', 'Telkomsel', 'Open', '']</v>
      </c>
      <c r="D13014" s="3">
        <v>5.0</v>
      </c>
    </row>
    <row r="13015" ht="15.75" customHeight="1">
      <c r="A13015" s="1">
        <v>13858.0</v>
      </c>
      <c r="B13015" s="3" t="s">
        <v>12412</v>
      </c>
      <c r="C13015" s="3" t="str">
        <f>IFERROR(__xludf.DUMMYFUNCTION("GOOGLETRANSLATE(B13015,""id"",""en"")"),"['try', 'times', 'easy', '']")</f>
        <v>['try', 'times', 'easy', '']</v>
      </c>
      <c r="D13015" s="3">
        <v>3.0</v>
      </c>
    </row>
    <row r="13016" ht="15.75" customHeight="1">
      <c r="A13016" s="1">
        <v>13859.0</v>
      </c>
      <c r="B13016" s="3" t="s">
        <v>12413</v>
      </c>
      <c r="C13016" s="3" t="str">
        <f>IFERROR(__xludf.DUMMYFUNCTION("GOOGLETRANSLATE(B13016,""id"",""en"")"),"['Out', 'update', 'APK', 'opened', 'disappointing']")</f>
        <v>['Out', 'update', 'APK', 'opened', 'disappointing']</v>
      </c>
      <c r="D13016" s="3">
        <v>1.0</v>
      </c>
    </row>
    <row r="13017" ht="15.75" customHeight="1">
      <c r="A13017" s="1">
        <v>13860.0</v>
      </c>
      <c r="B13017" s="3" t="s">
        <v>12414</v>
      </c>
      <c r="C13017" s="3" t="str">
        <f>IFERROR(__xludf.DUMMYFUNCTION("GOOGLETRANSLATE(B13017,""id"",""en"")"),"['Ngak', 'opened', 'APKX']")</f>
        <v>['Ngak', 'opened', 'APKX']</v>
      </c>
      <c r="D13017" s="3">
        <v>1.0</v>
      </c>
    </row>
    <row r="13018" ht="15.75" customHeight="1">
      <c r="A13018" s="1">
        <v>13861.0</v>
      </c>
      <c r="B13018" s="3" t="s">
        <v>12415</v>
      </c>
      <c r="C13018" s="3" t="str">
        <f>IFERROR(__xludf.DUMMYFUNCTION("GOOGLETRANSLATE(B13018,""id"",""en"")"),"['Hadia']")</f>
        <v>['Hadia']</v>
      </c>
      <c r="D13018" s="3">
        <v>5.0</v>
      </c>
    </row>
    <row r="13019" ht="15.75" customHeight="1">
      <c r="A13019" s="1">
        <v>13862.0</v>
      </c>
      <c r="B13019" s="3" t="s">
        <v>12416</v>
      </c>
      <c r="C13019" s="3" t="str">
        <f>IFERROR(__xludf.DUMMYFUNCTION("GOOGLETRANSLATE(B13019,""id"",""en"")"),"['Open', 'application', 'screen', 'white', 'please', 'repaired', 'how', '']")</f>
        <v>['Open', 'application', 'screen', 'white', 'please', 'repaired', 'how', '']</v>
      </c>
      <c r="D13019" s="3">
        <v>3.0</v>
      </c>
    </row>
    <row r="13020" ht="15.75" customHeight="1">
      <c r="A13020" s="1">
        <v>13864.0</v>
      </c>
      <c r="B13020" s="3" t="s">
        <v>12417</v>
      </c>
      <c r="C13020" s="3" t="str">
        <f>IFERROR(__xludf.DUMMYFUNCTION("GOOGLETRANSLATE(B13020,""id"",""en"")"),"['', 'Telkomsel', 'slow', 'open', 'the application', 'love', 'star']")</f>
        <v>['', 'Telkomsel', 'slow', 'open', 'the application', 'love', 'star']</v>
      </c>
      <c r="D13020" s="3">
        <v>1.0</v>
      </c>
    </row>
    <row r="13021" ht="15.75" customHeight="1">
      <c r="A13021" s="1">
        <v>13865.0</v>
      </c>
      <c r="B13021" s="3" t="s">
        <v>12418</v>
      </c>
      <c r="C13021" s="3" t="str">
        <f>IFERROR(__xludf.DUMMYFUNCTION("GOOGLETRANSLATE(B13021,""id"",""en"")"),"['Telkomsel', 'network', 'stable', 'signal', 'fast', 'watch', 'vidio', 'loading', 'really', 'already', 'restart', 'cellphone']")</f>
        <v>['Telkomsel', 'network', 'stable', 'signal', 'fast', 'watch', 'vidio', 'loading', 'really', 'already', 'restart', 'cellphone']</v>
      </c>
      <c r="D13021" s="3">
        <v>1.0</v>
      </c>
    </row>
    <row r="13022" ht="15.75" customHeight="1">
      <c r="A13022" s="1">
        <v>13866.0</v>
      </c>
      <c r="B13022" s="3" t="s">
        <v>12419</v>
      </c>
      <c r="C13022" s="3" t="str">
        <f>IFERROR(__xludf.DUMMYFUNCTION("GOOGLETRANSLATE(B13022,""id"",""en"")"),"['uda', 'customers',' Negeluh ',' pulse ',' sucked ',' should ',' direct ',' improve ',' hub ',' mimin ',' hub ',' hub ',' Eyes', 'Read', 'Complaints',' Customers', 'Credit', 'Salah', 'Credit', 'Fear', 'Package', 'Data', 'Take', 'Data', 'Masi' , 'Maling',"&amp;" 'pulses',' silent ',' should ',' increase ',' funds', 'credit', 'credit', 'directly', 'fast', 'spent', 'thief', ' ']")</f>
        <v>['uda', 'customers',' Negeluh ',' pulse ',' sucked ',' should ',' direct ',' improve ',' hub ',' mimin ',' hub ',' hub ',' Eyes', 'Read', 'Complaints',' Customers', 'Credit', 'Salah', 'Credit', 'Fear', 'Package', 'Data', 'Take', 'Data', 'Masi' , 'Maling', 'pulses',' silent ',' should ',' increase ',' funds', 'credit', 'credit', 'directly', 'fast', 'spent', 'thief', ' ']</v>
      </c>
      <c r="D13022" s="3">
        <v>1.0</v>
      </c>
    </row>
    <row r="13023" ht="15.75" customHeight="1">
      <c r="A13023" s="1">
        <v>13867.0</v>
      </c>
      <c r="B13023" s="3" t="s">
        <v>12420</v>
      </c>
      <c r="C13023" s="3" t="str">
        <f>IFERROR(__xludf.DUMMYFUNCTION("GOOGLETRANSLATE(B13023,""id"",""en"")"),"['Help']")</f>
        <v>['Help']</v>
      </c>
      <c r="D13023" s="3">
        <v>5.0</v>
      </c>
    </row>
    <row r="13024" ht="15.75" customHeight="1">
      <c r="A13024" s="1">
        <v>13868.0</v>
      </c>
      <c r="B13024" s="3" t="s">
        <v>12421</v>
      </c>
      <c r="C13024" s="3" t="str">
        <f>IFERROR(__xludf.DUMMYFUNCTION("GOOGLETRANSLATE(B13024,""id"",""en"")"),"['kouta', 'affordable']")</f>
        <v>['kouta', 'affordable']</v>
      </c>
      <c r="D13024" s="3">
        <v>3.0</v>
      </c>
    </row>
    <row r="13025" ht="15.75" customHeight="1">
      <c r="A13025" s="1">
        <v>13869.0</v>
      </c>
      <c r="B13025" s="3" t="s">
        <v>12422</v>
      </c>
      <c r="C13025" s="3" t="str">
        <f>IFERROR(__xludf.DUMMYFUNCTION("GOOGLETRANSLATE(B13025,""id"",""en"")"),"['Mantep', 'help']")</f>
        <v>['Mantep', 'help']</v>
      </c>
      <c r="D13025" s="3">
        <v>5.0</v>
      </c>
    </row>
    <row r="13026" ht="15.75" customHeight="1">
      <c r="A13026" s="1">
        <v>13870.0</v>
      </c>
      <c r="B13026" s="3" t="s">
        <v>12423</v>
      </c>
      <c r="C13026" s="3" t="str">
        <f>IFERROR(__xludf.DUMMYFUNCTION("GOOGLETRANSLATE(B13026,""id"",""en"")"),"['Provider', 'best', 'era', 'just', 'Telkomsel', ""]")</f>
        <v>['Provider', 'best', 'era', 'just', 'Telkomsel', "]</v>
      </c>
      <c r="D13026" s="3">
        <v>5.0</v>
      </c>
    </row>
    <row r="13027" ht="15.75" customHeight="1">
      <c r="A13027" s="1">
        <v>13871.0</v>
      </c>
      <c r="B13027" s="3" t="s">
        <v>12424</v>
      </c>
      <c r="C13027" s="3" t="str">
        <f>IFERROR(__xludf.DUMMYFUNCTION("GOOGLETRANSLATE(B13027,""id"",""en"")"),"['A Week', 'Application', 'Error', 'Screen', 'White', 'Empty', 'Loading', 'Appears',' Whatever ',' Network ',' Severe ',' Down ',' slow ',' quota ',' fast ',' run out ',' expensive ',' wants', 'Telkomsel', '']")</f>
        <v>['A Week', 'Application', 'Error', 'Screen', 'White', 'Empty', 'Loading', 'Appears',' Whatever ',' Network ',' Severe ',' Down ',' slow ',' quota ',' fast ',' run out ',' expensive ',' wants', 'Telkomsel', '']</v>
      </c>
      <c r="D13027" s="3">
        <v>1.0</v>
      </c>
    </row>
    <row r="13028" ht="15.75" customHeight="1">
      <c r="A13028" s="1">
        <v>13872.0</v>
      </c>
      <c r="B13028" s="3" t="s">
        <v>12425</v>
      </c>
      <c r="C13028" s="3" t="str">
        <f>IFERROR(__xludf.DUMMYFUNCTION("GOOGLETRANSLATE(B13028,""id"",""en"")"),"['Severe', 'Install', 'Install', 'open']")</f>
        <v>['Severe', 'Install', 'Install', 'open']</v>
      </c>
      <c r="D13028" s="3">
        <v>1.0</v>
      </c>
    </row>
    <row r="13029" ht="15.75" customHeight="1">
      <c r="A13029" s="1">
        <v>13873.0</v>
      </c>
      <c r="B13029" s="3" t="s">
        <v>12426</v>
      </c>
      <c r="C13029" s="3" t="str">
        <f>IFERROR(__xludf.DUMMYFUNCTION("GOOGLETRANSLATE(B13029,""id"",""en"")"),"['Satisfied', 'Application', '']")</f>
        <v>['Satisfied', 'Application', '']</v>
      </c>
      <c r="D13029" s="3">
        <v>5.0</v>
      </c>
    </row>
    <row r="13030" ht="15.75" customHeight="1">
      <c r="A13030" s="1">
        <v>13874.0</v>
      </c>
      <c r="B13030" s="3" t="s">
        <v>12427</v>
      </c>
      <c r="C13030" s="3" t="str">
        <f>IFERROR(__xludf.DUMMYFUNCTION("GOOGLETRANSLATE(B13030,""id"",""en"")"),"['Application', 'Telkomsel', 'Performing', 'Sya', 'Wear', 'Application', 'TPI', 'Upgrade', 'Expandgraded', 'Open', 'Square', 'White', ' Ngeblank ',' disappointing ',' application ',' Customer ',' Easy ',' Mare ',' ']")</f>
        <v>['Application', 'Telkomsel', 'Performing', 'Sya', 'Wear', 'Application', 'TPI', 'Upgrade', 'Expandgraded', 'Open', 'Square', 'White', ' Ngeblank ',' disappointing ',' application ',' Customer ',' Easy ',' Mare ',' ']</v>
      </c>
      <c r="D13030" s="3">
        <v>1.0</v>
      </c>
    </row>
    <row r="13031" ht="15.75" customHeight="1">
      <c r="A13031" s="1">
        <v>13875.0</v>
      </c>
      <c r="B13031" s="3" t="s">
        <v>12428</v>
      </c>
      <c r="C13031" s="3" t="str">
        <f>IFERROR(__xludf.DUMMYFUNCTION("GOOGLETRANSLATE(B13031,""id"",""en"")"),"['update', 'opened', 'disappointed', 'hope', 'repaired', 'application', '']")</f>
        <v>['update', 'opened', 'disappointed', 'hope', 'repaired', 'application', '']</v>
      </c>
      <c r="D13031" s="3">
        <v>1.0</v>
      </c>
    </row>
    <row r="13032" ht="15.75" customHeight="1">
      <c r="A13032" s="1">
        <v>13876.0</v>
      </c>
      <c r="B13032" s="3" t="s">
        <v>12429</v>
      </c>
      <c r="C13032" s="3" t="str">
        <f>IFERROR(__xludf.DUMMYFUNCTION("GOOGLETRANSLATE(B13032,""id"",""en"")"),"['open', 'block', 'card', 'difficult', 'forgiveness', 'makes it easy', 'make it difficult', ""]")</f>
        <v>['open', 'block', 'card', 'difficult', 'forgiveness', 'makes it easy', 'make it difficult', "]</v>
      </c>
      <c r="D13032" s="3">
        <v>1.0</v>
      </c>
    </row>
    <row r="13033" ht="15.75" customHeight="1">
      <c r="A13033" s="1">
        <v>13877.0</v>
      </c>
      <c r="B13033" s="3" t="s">
        <v>12430</v>
      </c>
      <c r="C13033" s="3" t="str">
        <f>IFERROR(__xludf.DUMMYFUNCTION("GOOGLETRANSLATE(B13033,""id"",""en"")"),"['Application', 'right', 'opened', 'stak', 'look', 'white']")</f>
        <v>['Application', 'right', 'opened', 'stak', 'look', 'white']</v>
      </c>
      <c r="D13033" s="3">
        <v>1.0</v>
      </c>
    </row>
    <row r="13034" ht="15.75" customHeight="1">
      <c r="A13034" s="1">
        <v>13878.0</v>
      </c>
      <c r="B13034" s="3" t="s">
        <v>12431</v>
      </c>
      <c r="C13034" s="3" t="str">
        <f>IFERROR(__xludf.DUMMYFUNCTION("GOOGLETRANSLATE(B13034,""id"",""en"")"),"['Purchase', 'Package', 'Balance', 'Credit', '']")</f>
        <v>['Purchase', 'Package', 'Balance', 'Credit', '']</v>
      </c>
      <c r="D13034" s="3">
        <v>2.0</v>
      </c>
    </row>
    <row r="13035" ht="15.75" customHeight="1">
      <c r="A13035" s="1">
        <v>13879.0</v>
      </c>
      <c r="B13035" s="3" t="s">
        <v>12432</v>
      </c>
      <c r="C13035" s="3" t="str">
        <f>IFERROR(__xludf.DUMMYFUNCTION("GOOGLETRANSLATE(B13035,""id"",""en"")"),"['HQRI', 'open', 'Telkomsel', 'check', 'package', 'slow', 'Telkomsel', ""]")</f>
        <v>['HQRI', 'open', 'Telkomsel', 'check', 'package', 'slow', 'Telkomsel', "]</v>
      </c>
      <c r="D13035" s="3">
        <v>3.0</v>
      </c>
    </row>
    <row r="13036" ht="15.75" customHeight="1">
      <c r="A13036" s="1">
        <v>13880.0</v>
      </c>
      <c r="B13036" s="3" t="s">
        <v>6120</v>
      </c>
      <c r="C13036" s="3" t="str">
        <f>IFERROR(__xludf.DUMMYFUNCTION("GOOGLETRANSLATE(B13036,""id"",""en"")"),"['signal', 'good']")</f>
        <v>['signal', 'good']</v>
      </c>
      <c r="D13036" s="3">
        <v>4.0</v>
      </c>
    </row>
    <row r="13037" ht="15.75" customHeight="1">
      <c r="A13037" s="1">
        <v>13881.0</v>
      </c>
      <c r="B13037" s="3" t="s">
        <v>12433</v>
      </c>
      <c r="C13037" s="3" t="str">
        <f>IFERROR(__xludf.DUMMYFUNCTION("GOOGLETRANSLATE(B13037,""id"",""en"")"),"['Hello', 'min', 'complaints',' package ',' internet ',' like ',' buy ',' package ',' internet ',' gamemax ',' silver ',' gold ',' Diamont ',' Package ',' Dipake ',' Access', 'Game', 'Free', 'Fire', 'Mobile', 'Legend', 'Hopefully', 'Admin', 'Help', ""]")</f>
        <v>['Hello', 'min', 'complaints',' package ',' internet ',' like ',' buy ',' package ',' internet ',' gamemax ',' silver ',' gold ',' Diamont ',' Package ',' Dipake ',' Access', 'Game', 'Free', 'Fire', 'Mobile', 'Legend', 'Hopefully', 'Admin', 'Help', "]</v>
      </c>
      <c r="D13037" s="3">
        <v>4.0</v>
      </c>
    </row>
    <row r="13038" ht="15.75" customHeight="1">
      <c r="A13038" s="1">
        <v>13882.0</v>
      </c>
      <c r="B13038" s="3" t="s">
        <v>12434</v>
      </c>
      <c r="C13038" s="3" t="str">
        <f>IFERROR(__xludf.DUMMYFUNCTION("GOOGLETRANSLATE(B13038,""id"",""en"")"),"['Application', 'Bodong', 'Ngak', 'Asked', '']")</f>
        <v>['Application', 'Bodong', 'Ngak', 'Asked', '']</v>
      </c>
      <c r="D13038" s="3">
        <v>1.0</v>
      </c>
    </row>
    <row r="13039" ht="15.75" customHeight="1">
      <c r="A13039" s="1">
        <v>13883.0</v>
      </c>
      <c r="B13039" s="3" t="s">
        <v>12435</v>
      </c>
      <c r="C13039" s="3" t="str">
        <f>IFERROR(__xludf.DUMMYFUNCTION("GOOGLETRANSLATE(B13039,""id"",""en"")"),"['smrenjak', 'updet', 'application', 'Telkomsel', 'screen', 'full', 'white', 'ngk', 'login', 'mimin', 'solution', 'nya']")</f>
        <v>['smrenjak', 'updet', 'application', 'Telkomsel', 'screen', 'full', 'white', 'ngk', 'login', 'mimin', 'solution', 'nya']</v>
      </c>
      <c r="D13039" s="3">
        <v>1.0</v>
      </c>
    </row>
    <row r="13040" ht="15.75" customHeight="1">
      <c r="A13040" s="1">
        <v>13884.0</v>
      </c>
      <c r="B13040" s="3" t="s">
        <v>12436</v>
      </c>
      <c r="C13040" s="3" t="str">
        <f>IFERROR(__xludf.DUMMYFUNCTION("GOOGLETRANSLATE(B13040,""id"",""en"")"),"['Burok', 'Network', 'Minus', '']")</f>
        <v>['Burok', 'Network', 'Minus', '']</v>
      </c>
      <c r="D13040" s="3">
        <v>1.0</v>
      </c>
    </row>
    <row r="13041" ht="15.75" customHeight="1">
      <c r="A13041" s="1">
        <v>13885.0</v>
      </c>
      <c r="B13041" s="3" t="s">
        <v>12437</v>
      </c>
      <c r="C13041" s="3" t="str">
        <f>IFERROR(__xludf.DUMMYFUNCTION("GOOGLETRANSLATE(B13041,""id"",""en"")"),"['Package', 'expensive', 'bonus',' kouta ',' gara ',' replace ',' card ',' info ',' bonus', 'network', 'fit', 'network', ' Stable ',' enter ',' pulse ',' pictured ',' bangse ',' weve ',' hope ',' buy ',' package ',' Telkomsel ']")</f>
        <v>['Package', 'expensive', 'bonus',' kouta ',' gara ',' replace ',' card ',' info ',' bonus', 'network', 'fit', 'network', ' Stable ',' enter ',' pulse ',' pictured ',' bangse ',' weve ',' hope ',' buy ',' package ',' Telkomsel ']</v>
      </c>
      <c r="D13041" s="3">
        <v>1.0</v>
      </c>
    </row>
    <row r="13042" ht="15.75" customHeight="1">
      <c r="A13042" s="1">
        <v>13887.0</v>
      </c>
      <c r="B13042" s="3" t="s">
        <v>12438</v>
      </c>
      <c r="C13042" s="3" t="str">
        <f>IFERROR(__xludf.DUMMYFUNCTION("GOOGLETRANSLATE(B13042,""id"",""en"")"),"['Telkomsel', 'strange', 'abis', 'update', 'no', 'open']")</f>
        <v>['Telkomsel', 'strange', 'abis', 'update', 'no', 'open']</v>
      </c>
      <c r="D13042" s="3">
        <v>1.0</v>
      </c>
    </row>
    <row r="13043" ht="15.75" customHeight="1">
      <c r="A13043" s="1">
        <v>13888.0</v>
      </c>
      <c r="B13043" s="3" t="s">
        <v>12439</v>
      </c>
      <c r="C13043" s="3" t="str">
        <f>IFERROR(__xludf.DUMMYFUNCTION("GOOGLETRANSLATE(B13043,""id"",""en"")"),"['Buy', 'Package', 'Combo', 'Sakti', 'Telkomsel', 'thousand', 'Package', 'Data', 'Unlimited', 'Telkomsel', 'Telkomsel', ' Operator ',' Package ',' Internet ',' Package ',' Phone ']")</f>
        <v>['Buy', 'Package', 'Combo', 'Sakti', 'Telkomsel', 'thousand', 'Package', 'Data', 'Unlimited', 'Telkomsel', 'Telkomsel', ' Operator ',' Package ',' Internet ',' Package ',' Phone ']</v>
      </c>
      <c r="D13043" s="3">
        <v>1.0</v>
      </c>
    </row>
    <row r="13044" ht="15.75" customHeight="1">
      <c r="A13044" s="1">
        <v>13889.0</v>
      </c>
      <c r="B13044" s="3" t="s">
        <v>12440</v>
      </c>
      <c r="C13044" s="3" t="str">
        <f>IFERROR(__xludf.DUMMYFUNCTION("GOOGLETRANSLATE(B13044,""id"",""en"")"),"['Anying', 'Telkom', 'pig', 'Package', 'Mulu', 'Anying', 'already', 'Duid', 'Difficult', 'Ride', 'Ngilak', 'Jembud']")</f>
        <v>['Anying', 'Telkom', 'pig', 'Package', 'Mulu', 'Anying', 'already', 'Duid', 'Difficult', 'Ride', 'Ngilak', 'Jembud']</v>
      </c>
      <c r="D13044" s="3">
        <v>1.0</v>
      </c>
    </row>
    <row r="13045" ht="15.75" customHeight="1">
      <c r="A13045" s="1">
        <v>13890.0</v>
      </c>
      <c r="B13045" s="3" t="s">
        <v>12441</v>
      </c>
      <c r="C13045" s="3" t="str">
        <f>IFERROR(__xludf.DUMMYFUNCTION("GOOGLETRANSLATE(B13045,""id"",""en"")"),"['Sya', 'proud', 'Telkomsel']")</f>
        <v>['Sya', 'proud', 'Telkomsel']</v>
      </c>
      <c r="D13045" s="3">
        <v>5.0</v>
      </c>
    </row>
    <row r="13046" ht="15.75" customHeight="1">
      <c r="A13046" s="1">
        <v>13891.0</v>
      </c>
      <c r="B13046" s="3" t="s">
        <v>12442</v>
      </c>
      <c r="C13046" s="3" t="str">
        <f>IFERROR(__xludf.DUMMYFUNCTION("GOOGLETRANSLATE(B13046,""id"",""en"")"),"['application', 'MyTelkomsel', 'open', 'already', 'email', 'messenger', 'answer', 'muter', 'sorry', 'discomfort', 'customer', 'Telkomsel', ' The service is', 'disappointing', 'Sorry', 'discomfort', '']")</f>
        <v>['application', 'MyTelkomsel', 'open', 'already', 'email', 'messenger', 'answer', 'muter', 'sorry', 'discomfort', 'customer', 'Telkomsel', ' The service is', 'disappointing', 'Sorry', 'discomfort', '']</v>
      </c>
      <c r="D13046" s="3">
        <v>1.0</v>
      </c>
    </row>
    <row r="13047" ht="15.75" customHeight="1">
      <c r="A13047" s="1">
        <v>13892.0</v>
      </c>
      <c r="B13047" s="3" t="s">
        <v>12443</v>
      </c>
      <c r="C13047" s="3" t="str">
        <f>IFERROR(__xludf.DUMMYFUNCTION("GOOGLETRANSLATE(B13047,""id"",""en"")"),"['Plusin', 'Reward', 'Apus']")</f>
        <v>['Plusin', 'Reward', 'Apus']</v>
      </c>
      <c r="D13047" s="3">
        <v>4.0</v>
      </c>
    </row>
    <row r="13048" ht="15.75" customHeight="1">
      <c r="A13048" s="1">
        <v>13893.0</v>
      </c>
      <c r="B13048" s="3" t="s">
        <v>12444</v>
      </c>
      <c r="C13048" s="3" t="str">
        <f>IFERROR(__xludf.DUMMYFUNCTION("GOOGLETRANSLATE(B13048,""id"",""en"")"),"['It's easy', 'difficult', 'open', 'block', 'card', 'convoluted', 'turn', ""]")</f>
        <v>['It's easy', 'difficult', 'open', 'block', 'card', 'convoluted', 'turn', "]</v>
      </c>
      <c r="D13048" s="3">
        <v>1.0</v>
      </c>
    </row>
    <row r="13049" ht="15.75" customHeight="1">
      <c r="A13049" s="1">
        <v>13894.0</v>
      </c>
      <c r="B13049" s="3" t="s">
        <v>12445</v>
      </c>
      <c r="C13049" s="3" t="str">
        <f>IFERROR(__xludf.DUMMYFUNCTION("GOOGLETRANSLATE(B13049,""id"",""en"")"),"['Hadehhh', 'smooth', 'the network', 'slow', 'send', 'task', 'late', 'tollg', 'action', 'continued', 'Udh', 'use', ' cards', 'tired', 'slow', 'wonder', 'network', '']")</f>
        <v>['Hadehhh', 'smooth', 'the network', 'slow', 'send', 'task', 'late', 'tollg', 'action', 'continued', 'Udh', 'use', ' cards', 'tired', 'slow', 'wonder', 'network', '']</v>
      </c>
      <c r="D13049" s="3">
        <v>1.0</v>
      </c>
    </row>
    <row r="13050" ht="15.75" customHeight="1">
      <c r="A13050" s="1">
        <v>13895.0</v>
      </c>
      <c r="B13050" s="3" t="s">
        <v>12446</v>
      </c>
      <c r="C13050" s="3" t="str">
        <f>IFERROR(__xludf.DUMMYFUNCTION("GOOGLETRANSLATE(B13050,""id"",""en"")"),"['Sorry', 'Disappointed', 'Package', 'Data', 'Credit', 'Disappear', 'Nth', 'Where', 'Setting', 'Set', 'Pulses',' Make ',' User ',' comfortable ']")</f>
        <v>['Sorry', 'Disappointed', 'Package', 'Data', 'Credit', 'Disappear', 'Nth', 'Where', 'Setting', 'Set', 'Pulses',' Make ',' User ',' comfortable ']</v>
      </c>
      <c r="D13050" s="3">
        <v>2.0</v>
      </c>
    </row>
    <row r="13051" ht="15.75" customHeight="1">
      <c r="A13051" s="1">
        <v>13897.0</v>
      </c>
      <c r="B13051" s="3" t="s">
        <v>12447</v>
      </c>
      <c r="C13051" s="3" t="str">
        <f>IFERROR(__xludf.DUMMYFUNCTION("GOOGLETRANSLATE(B13051,""id"",""en"")"),"['Help', 'Anyway', 'Recommended']")</f>
        <v>['Help', 'Anyway', 'Recommended']</v>
      </c>
      <c r="D13051" s="3">
        <v>5.0</v>
      </c>
    </row>
    <row r="13052" ht="15.75" customHeight="1">
      <c r="A13052" s="1">
        <v>13898.0</v>
      </c>
      <c r="B13052" s="3" t="s">
        <v>12448</v>
      </c>
      <c r="C13052" s="3" t="str">
        <f>IFERROR(__xludf.DUMMYFUNCTION("GOOGLETRANSLATE(B13052,""id"",""en"")"),"['Price', 'Package', 'internet', 'PPN', 'Nain', '']")</f>
        <v>['Price', 'Package', 'internet', 'PPN', 'Nain', '']</v>
      </c>
      <c r="D13052" s="3">
        <v>1.0</v>
      </c>
    </row>
    <row r="13053" ht="15.75" customHeight="1">
      <c r="A13053" s="1">
        <v>13899.0</v>
      </c>
      <c r="B13053" s="3" t="s">
        <v>12449</v>
      </c>
      <c r="C13053" s="3" t="str">
        <f>IFERROR(__xludf.DUMMYFUNCTION("GOOGLETRANSLATE(B13053,""id"",""en"")"),"['Disappointed', 'Open', 'Application', 'Enter', 'trs']")</f>
        <v>['Disappointed', 'Open', 'Application', 'Enter', 'trs']</v>
      </c>
      <c r="D13053" s="3">
        <v>2.0</v>
      </c>
    </row>
    <row r="13054" ht="15.75" customHeight="1">
      <c r="A13054" s="1">
        <v>13900.0</v>
      </c>
      <c r="B13054" s="3" t="s">
        <v>12450</v>
      </c>
      <c r="C13054" s="3" t="str">
        <f>IFERROR(__xludf.DUMMYFUNCTION("GOOGLETRANSLATE(B13054,""id"",""en"")"),"['App', 'opened', 'Ngeblank', 'White', ""]")</f>
        <v>['App', 'opened', 'Ngeblank', 'White', "]</v>
      </c>
      <c r="D13054" s="3">
        <v>1.0</v>
      </c>
    </row>
    <row r="13055" ht="15.75" customHeight="1">
      <c r="A13055" s="1">
        <v>13901.0</v>
      </c>
      <c r="B13055" s="3" t="s">
        <v>12451</v>
      </c>
      <c r="C13055" s="3" t="str">
        <f>IFERROR(__xludf.DUMMYFUNCTION("GOOGLETRANSLATE(B13055,""id"",""en"")"),"['Download', 'Telkomsel', 'opened']")</f>
        <v>['Download', 'Telkomsel', 'opened']</v>
      </c>
      <c r="D13055" s="3">
        <v>2.0</v>
      </c>
    </row>
    <row r="13056" ht="15.75" customHeight="1">
      <c r="A13056" s="1">
        <v>13902.0</v>
      </c>
      <c r="B13056" s="3" t="s">
        <v>12452</v>
      </c>
      <c r="C13056" s="3" t="str">
        <f>IFERROR(__xludf.DUMMYFUNCTION("GOOGLETRANSLATE(B13056,""id"",""en"")"),"['Enter', 'account', 'number', 'session']")</f>
        <v>['Enter', 'account', 'number', 'session']</v>
      </c>
      <c r="D13056" s="3">
        <v>1.0</v>
      </c>
    </row>
    <row r="13057" ht="15.75" customHeight="1">
      <c r="A13057" s="1">
        <v>13903.0</v>
      </c>
      <c r="B13057" s="3" t="s">
        <v>12453</v>
      </c>
      <c r="C13057" s="3" t="str">
        <f>IFERROR(__xludf.DUMMYFUNCTION("GOOGLETRANSLATE(B13057,""id"",""en"")"),"['Network', 'Telkomsel', 'error']")</f>
        <v>['Network', 'Telkomsel', 'error']</v>
      </c>
      <c r="D13057" s="3">
        <v>5.0</v>
      </c>
    </row>
    <row r="13058" ht="15.75" customHeight="1">
      <c r="A13058" s="1">
        <v>13904.0</v>
      </c>
      <c r="B13058" s="3" t="s">
        <v>12454</v>
      </c>
      <c r="C13058" s="3" t="str">
        <f>IFERROR(__xludf.DUMMYFUNCTION("GOOGLETRANSLATE(B13058,""id"",""en"")"),"['updated', 'application', 'opened', 'white', 'screen', 'updated']")</f>
        <v>['updated', 'application', 'opened', 'white', 'screen', 'updated']</v>
      </c>
      <c r="D13058" s="3">
        <v>1.0</v>
      </c>
    </row>
    <row r="13059" ht="15.75" customHeight="1">
      <c r="A13059" s="1">
        <v>13905.0</v>
      </c>
      <c r="B13059" s="3" t="s">
        <v>12455</v>
      </c>
      <c r="C13059" s="3" t="str">
        <f>IFERROR(__xludf.DUMMYFUNCTION("GOOGLETRANSLATE(B13059,""id"",""en"")"),"['Screen', 'White', 'Bukak', 'Telkomsel', 'Gini', 'Buy', 'Package', 'Ooii']")</f>
        <v>['Screen', 'White', 'Bukak', 'Telkomsel', 'Gini', 'Buy', 'Package', 'Ooii']</v>
      </c>
      <c r="D13059" s="3">
        <v>1.0</v>
      </c>
    </row>
    <row r="13060" ht="15.75" customHeight="1">
      <c r="A13060" s="1">
        <v>13906.0</v>
      </c>
      <c r="B13060" s="3" t="s">
        <v>12456</v>
      </c>
      <c r="C13060" s="3" t="str">
        <f>IFERROR(__xludf.DUMMYFUNCTION("GOOGLETRANSLATE(B13060,""id"",""en"")"),"['Kenceng', 'Network', 'Down', 'Taik', '']")</f>
        <v>['Kenceng', 'Network', 'Down', 'Taik', '']</v>
      </c>
      <c r="D13060" s="3">
        <v>1.0</v>
      </c>
    </row>
    <row r="13061" ht="15.75" customHeight="1">
      <c r="A13061" s="1">
        <v>13907.0</v>
      </c>
      <c r="B13061" s="3" t="s">
        <v>12457</v>
      </c>
      <c r="C13061" s="3" t="str">
        <f>IFERROR(__xludf.DUMMYFUNCTION("GOOGLETRANSLATE(B13061,""id"",""en"")"),"['', 'Telkomsel', 'open', 'package', 'data', 'network', 'normal', ""]")</f>
        <v>['', 'Telkomsel', 'open', 'package', 'data', 'network', 'normal', "]</v>
      </c>
      <c r="D13061" s="3">
        <v>2.0</v>
      </c>
    </row>
    <row r="13062" ht="15.75" customHeight="1">
      <c r="A13062" s="1">
        <v>13908.0</v>
      </c>
      <c r="B13062" s="3" t="s">
        <v>12458</v>
      </c>
      <c r="C13062" s="3" t="str">
        <f>IFERROR(__xludf.DUMMYFUNCTION("GOOGLETRANSLATE(B13062,""id"",""en"")"),"['', 'Ampe', 'error', 'money', 'improvement', 'apk', 'talking', 'nti', 'makein', 'donation', 'you', '']")</f>
        <v>['', 'Ampe', 'error', 'money', 'improvement', 'apk', 'talking', 'nti', 'makein', 'donation', 'you', '']</v>
      </c>
      <c r="D13062" s="3">
        <v>1.0</v>
      </c>
    </row>
    <row r="13063" ht="15.75" customHeight="1">
      <c r="A13063" s="1">
        <v>13909.0</v>
      </c>
      <c r="B13063" s="3" t="s">
        <v>12459</v>
      </c>
      <c r="C13063" s="3" t="str">
        <f>IFERROR(__xludf.DUMMYFUNCTION("GOOGLETRANSLATE(B13063,""id"",""en"")"),"['Update', 'use', 'quota', 'late', 'control', 'conceding', 'quota', 'run out', 'hope', 'fix', 'trims']")</f>
        <v>['Update', 'use', 'quota', 'late', 'control', 'conceding', 'quota', 'run out', 'hope', 'fix', 'trims']</v>
      </c>
      <c r="D13063" s="3">
        <v>3.0</v>
      </c>
    </row>
    <row r="13064" ht="15.75" customHeight="1">
      <c r="A13064" s="1">
        <v>13910.0</v>
      </c>
      <c r="B13064" s="3" t="s">
        <v>12460</v>
      </c>
      <c r="C13064" s="3" t="str">
        <f>IFERROR(__xludf.DUMMYFUNCTION("GOOGLETRANSLATE(B13064,""id"",""en"")"),"['Lower', 'Minutes', 'Application', 'Opened']")</f>
        <v>['Lower', 'Minutes', 'Application', 'Opened']</v>
      </c>
      <c r="D13064" s="3">
        <v>3.0</v>
      </c>
    </row>
    <row r="13065" ht="15.75" customHeight="1">
      <c r="A13065" s="1">
        <v>13911.0</v>
      </c>
      <c r="B13065" s="3" t="s">
        <v>12461</v>
      </c>
      <c r="C13065" s="3" t="str">
        <f>IFERROR(__xludf.DUMMYFUNCTION("GOOGLETRANSLATE(B13065,""id"",""en"")"),"['exchange', 'coin', '']")</f>
        <v>['exchange', 'coin', '']</v>
      </c>
      <c r="D13065" s="3">
        <v>1.0</v>
      </c>
    </row>
    <row r="13066" ht="15.75" customHeight="1">
      <c r="A13066" s="1">
        <v>13912.0</v>
      </c>
      <c r="B13066" s="3" t="s">
        <v>12462</v>
      </c>
      <c r="C13066" s="3" t="str">
        <f>IFERROR(__xludf.DUMMYFUNCTION("GOOGLETRANSLATE(B13066,""id"",""en"")"),"['user', 'card', 'promo']")</f>
        <v>['user', 'card', 'promo']</v>
      </c>
      <c r="D13066" s="3">
        <v>3.0</v>
      </c>
    </row>
    <row r="13067" ht="15.75" customHeight="1">
      <c r="A13067" s="1">
        <v>13913.0</v>
      </c>
      <c r="B13067" s="3" t="s">
        <v>12463</v>
      </c>
      <c r="C13067" s="3" t="str">
        <f>IFERROR(__xludf.DUMMYFUNCTION("GOOGLETRANSLATE(B13067,""id"",""en"")"),"['Teach', 'Donk', 'Application', 'MyTelkomsel']")</f>
        <v>['Teach', 'Donk', 'Application', 'MyTelkomsel']</v>
      </c>
      <c r="D13067" s="3">
        <v>5.0</v>
      </c>
    </row>
    <row r="13068" ht="15.75" customHeight="1">
      <c r="A13068" s="1">
        <v>13914.0</v>
      </c>
      <c r="B13068" s="3" t="s">
        <v>12464</v>
      </c>
      <c r="C13068" s="3" t="str">
        <f>IFERROR(__xludf.DUMMYFUNCTION("GOOGLETRANSLATE(B13068,""id"",""en"")"),"['Network', 'Save', 'Telkomsel', 'mantaaaap']")</f>
        <v>['Network', 'Save', 'Telkomsel', 'mantaaaap']</v>
      </c>
      <c r="D13068" s="3">
        <v>5.0</v>
      </c>
    </row>
    <row r="13069" ht="15.75" customHeight="1">
      <c r="A13069" s="1">
        <v>13915.0</v>
      </c>
      <c r="B13069" s="3" t="s">
        <v>12465</v>
      </c>
      <c r="C13069" s="3" t="str">
        <f>IFERROR(__xludf.DUMMYFUNCTION("GOOGLETRANSLATE(B13069,""id"",""en"")"),"['It's easy', 'buy', 'Package', 'Data', 'TLP']")</f>
        <v>['It's easy', 'buy', 'Package', 'Data', 'TLP']</v>
      </c>
      <c r="D13069" s="3">
        <v>5.0</v>
      </c>
    </row>
    <row r="13070" ht="15.75" customHeight="1">
      <c r="A13070" s="1">
        <v>13916.0</v>
      </c>
      <c r="B13070" s="3" t="s">
        <v>12466</v>
      </c>
      <c r="C13070" s="3" t="str">
        <f>IFERROR(__xludf.DUMMYFUNCTION("GOOGLETRANSLATE(B13070,""id"",""en"")"),"['Sagat', 'easy', 'to', 'buy', 'pulse', 'or', 'internet']")</f>
        <v>['Sagat', 'easy', 'to', 'buy', 'pulse', 'or', 'internet']</v>
      </c>
      <c r="D13070" s="3">
        <v>5.0</v>
      </c>
    </row>
    <row r="13071" ht="15.75" customHeight="1">
      <c r="A13071" s="1">
        <v>13917.0</v>
      </c>
      <c r="B13071" s="3" t="s">
        <v>12467</v>
      </c>
      <c r="C13071" s="3" t="str">
        <f>IFERROR(__xludf.DUMMYFUNCTION("GOOGLETRANSLATE(B13071,""id"",""en"")"),"['already', 'buy', 'package', 'take', 'quota', 'pulse', 'detrimental']")</f>
        <v>['already', 'buy', 'package', 'take', 'quota', 'pulse', 'detrimental']</v>
      </c>
      <c r="D13071" s="3">
        <v>1.0</v>
      </c>
    </row>
    <row r="13072" ht="15.75" customHeight="1">
      <c r="A13072" s="1">
        <v>13918.0</v>
      </c>
      <c r="B13072" s="3" t="s">
        <v>12468</v>
      </c>
      <c r="C13072" s="3" t="str">
        <f>IFERROR(__xludf.DUMMYFUNCTION("GOOGLETRANSLATE(B13072,""id"",""en"")"),"['Help', 'buy', 'pulse', 'package', 'Telkomsel', '']")</f>
        <v>['Help', 'buy', 'pulse', 'package', 'Telkomsel', '']</v>
      </c>
      <c r="D13072" s="3">
        <v>3.0</v>
      </c>
    </row>
    <row r="13073" ht="15.75" customHeight="1">
      <c r="A13073" s="1">
        <v>13919.0</v>
      </c>
      <c r="B13073" s="3" t="s">
        <v>12469</v>
      </c>
      <c r="C13073" s="3" t="str">
        <f>IFERROR(__xludf.DUMMYFUNCTION("GOOGLETRANSLATE(B13073,""id"",""en"")"),"['interesting', 'easy', 'information']")</f>
        <v>['interesting', 'easy', 'information']</v>
      </c>
      <c r="D13073" s="3">
        <v>5.0</v>
      </c>
    </row>
    <row r="13074" ht="15.75" customHeight="1">
      <c r="A13074" s="1">
        <v>13920.0</v>
      </c>
      <c r="B13074" s="3" t="s">
        <v>12470</v>
      </c>
      <c r="C13074" s="3" t="str">
        <f>IFERROR(__xludf.DUMMYFUNCTION("GOOGLETRANSLATE(B13074,""id"",""en"")"),"['card', 'missing', 'block', 'card', 'open', 'block', 'difficult', 'forgiveness',' telephone ',' turn ',' busy ',' busy ',' repeated ',' command ',' bored ',' ']")</f>
        <v>['card', 'missing', 'block', 'card', 'open', 'block', 'difficult', 'forgiveness',' telephone ',' turn ',' busy ',' busy ',' repeated ',' command ',' bored ',' ']</v>
      </c>
      <c r="D13074" s="3">
        <v>1.0</v>
      </c>
    </row>
    <row r="13075" ht="15.75" customHeight="1">
      <c r="A13075" s="1">
        <v>13921.0</v>
      </c>
      <c r="B13075" s="3" t="s">
        <v>12471</v>
      </c>
      <c r="C13075" s="3" t="str">
        <f>IFERROR(__xludf.DUMMYFUNCTION("GOOGLETRANSLATE(B13075,""id"",""en"")"),"['Nasea', 'Application', 'Disight', 'Buy', 'Package', 'YouTube', 'Daily', 'Select', 'Temple', 'TPI', 'Kantel', 'Internet', ' night ',' ulqng ',' gmna ',' ']")</f>
        <v>['Nasea', 'Application', 'Disight', 'Buy', 'Package', 'YouTube', 'Daily', 'Select', 'Temple', 'TPI', 'Kantel', 'Internet', ' night ',' ulqng ',' gmna ',' ']</v>
      </c>
      <c r="D13075" s="3">
        <v>1.0</v>
      </c>
    </row>
    <row r="13076" ht="15.75" customHeight="1">
      <c r="A13076" s="1">
        <v>13922.0</v>
      </c>
      <c r="B13076" s="3" t="s">
        <v>12472</v>
      </c>
      <c r="C13076" s="3" t="str">
        <f>IFERROR(__xludf.DUMMYFUNCTION("GOOGLETRANSLATE(B13076,""id"",""en"")"),"['application', 'Telkomsel', 'disappointed', 'application', 'opened', 'please', 'repaired', ""]")</f>
        <v>['application', 'Telkomsel', 'disappointed', 'application', 'opened', 'please', 'repaired', "]</v>
      </c>
      <c r="D13076" s="3">
        <v>1.0</v>
      </c>
    </row>
    <row r="13077" ht="15.75" customHeight="1">
      <c r="A13077" s="1">
        <v>13923.0</v>
      </c>
      <c r="B13077" s="3" t="s">
        <v>12473</v>
      </c>
      <c r="C13077" s="3" t="str">
        <f>IFERROR(__xludf.DUMMYFUNCTION("GOOGLETRANSLATE(B13077,""id"",""en"")"),"['College', 'Telkomsel', 'entered', 'Tlkomsel', 'pulse', 'Abis', 'Please', 'Fix', 'Kerugan', 'Telkomsel', 'Taun', 'GNI']")</f>
        <v>['College', 'Telkomsel', 'entered', 'Tlkomsel', 'pulse', 'Abis', 'Please', 'Fix', 'Kerugan', 'Telkomsel', 'Taun', 'GNI']</v>
      </c>
      <c r="D13077" s="3">
        <v>1.0</v>
      </c>
    </row>
    <row r="13078" ht="15.75" customHeight="1">
      <c r="A13078" s="1">
        <v>13924.0</v>
      </c>
      <c r="B13078" s="3" t="s">
        <v>4471</v>
      </c>
      <c r="C13078" s="3" t="str">
        <f>IFERROR(__xludf.DUMMYFUNCTION("GOOGLETRANSLATE(B13078,""id"",""en"")"),"['Like', 'application']")</f>
        <v>['Like', 'application']</v>
      </c>
      <c r="D13078" s="3">
        <v>5.0</v>
      </c>
    </row>
    <row r="13079" ht="15.75" customHeight="1">
      <c r="A13079" s="1">
        <v>13925.0</v>
      </c>
      <c r="B13079" s="3" t="s">
        <v>12474</v>
      </c>
      <c r="C13079" s="3" t="str">
        <f>IFERROR(__xludf.DUMMYFUNCTION("GOOGLETRANSLATE(B13079,""id"",""en"")"),"['', 'Since', 'Update', 'Open', 'Samsung', '']")</f>
        <v>['', 'Since', 'Update', 'Open', 'Samsung', '']</v>
      </c>
      <c r="D13079" s="3">
        <v>1.0</v>
      </c>
    </row>
    <row r="13080" ht="15.75" customHeight="1">
      <c r="A13080" s="1">
        <v>13926.0</v>
      </c>
      <c r="B13080" s="3" t="s">
        <v>12475</v>
      </c>
      <c r="C13080" s="3" t="str">
        <f>IFERROR(__xludf.DUMMYFUNCTION("GOOGLETRANSLATE(B13080,""id"",""en"")"),"['Uninstall', 'Install', 'Error', '']")</f>
        <v>['Uninstall', 'Install', 'Error', '']</v>
      </c>
      <c r="D13080" s="3">
        <v>2.0</v>
      </c>
    </row>
    <row r="13081" ht="15.75" customHeight="1">
      <c r="A13081" s="1">
        <v>13927.0</v>
      </c>
      <c r="B13081" s="3" t="s">
        <v>12476</v>
      </c>
      <c r="C13081" s="3" t="str">
        <f>IFERROR(__xludf.DUMMYFUNCTION("GOOGLETRANSLATE(B13081,""id"",""en"")"),"['feature', 'key', 'pulse', 'no', 'run out', 'pulse', 'automatic']")</f>
        <v>['feature', 'key', 'pulse', 'no', 'run out', 'pulse', 'automatic']</v>
      </c>
      <c r="D13081" s="3">
        <v>5.0</v>
      </c>
    </row>
    <row r="13082" ht="15.75" customHeight="1">
      <c r="A13082" s="1">
        <v>13928.0</v>
      </c>
      <c r="B13082" s="3" t="s">
        <v>12477</v>
      </c>
      <c r="C13082" s="3" t="str">
        <f>IFERROR(__xludf.DUMMYFUNCTION("GOOGLETRANSLATE(B13082,""id"",""en"")"),"['hope', 'festive', 'bonus', 'cheap', 'buy', 'package', 'out', 'thank you', 'You', 'Telkomsel', ""]")</f>
        <v>['hope', 'festive', 'bonus', 'cheap', 'buy', 'package', 'out', 'thank you', 'You', 'Telkomsel', "]</v>
      </c>
      <c r="D13082" s="3">
        <v>5.0</v>
      </c>
    </row>
    <row r="13083" ht="15.75" customHeight="1">
      <c r="A13083" s="1">
        <v>13929.0</v>
      </c>
      <c r="B13083" s="3" t="s">
        <v>12478</v>
      </c>
      <c r="C13083" s="3" t="str">
        <f>IFERROR(__xludf.DUMMYFUNCTION("GOOGLETRANSLATE(B13083,""id"",""en"")"),"['pulse', 'Sumpot', 'Mulu']")</f>
        <v>['pulse', 'Sumpot', 'Mulu']</v>
      </c>
      <c r="D13083" s="3">
        <v>1.0</v>
      </c>
    </row>
    <row r="13084" ht="15.75" customHeight="1">
      <c r="A13084" s="1">
        <v>13930.0</v>
      </c>
      <c r="B13084" s="3" t="s">
        <v>12479</v>
      </c>
      <c r="C13084" s="3" t="str">
        <f>IFERROR(__xludf.DUMMYFUNCTION("GOOGLETRANSLATE(B13084,""id"",""en"")"),"['user', 'Telkomsel', 'price', 'package', 'expensive', 'signal', 'ilang', 'Hadehhhhhhhhhh']")</f>
        <v>['user', 'Telkomsel', 'price', 'package', 'expensive', 'signal', 'ilang', 'Hadehhhhhhhhhh']</v>
      </c>
      <c r="D13084" s="3">
        <v>1.0</v>
      </c>
    </row>
    <row r="13085" ht="15.75" customHeight="1">
      <c r="A13085" s="1">
        <v>13931.0</v>
      </c>
      <c r="B13085" s="3" t="s">
        <v>12480</v>
      </c>
      <c r="C13085" s="3" t="str">
        <f>IFERROR(__xludf.DUMMYFUNCTION("GOOGLETRANSLATE(B13085,""id"",""en"")"),"['Steady', 'Easy', 'Buy', 'Package']")</f>
        <v>['Steady', 'Easy', 'Buy', 'Package']</v>
      </c>
      <c r="D13085" s="3">
        <v>5.0</v>
      </c>
    </row>
    <row r="13086" ht="15.75" customHeight="1">
      <c r="A13086" s="1">
        <v>13932.0</v>
      </c>
      <c r="B13086" s="3" t="s">
        <v>12481</v>
      </c>
      <c r="C13086" s="3" t="str">
        <f>IFERROR(__xludf.DUMMYFUNCTION("GOOGLETRANSLATE(B13086,""id"",""en"")"),"['star', 'deh', 'mah', 'just', 'quarter', 'star', 'open', 'mytelkomsel', 'hard', 'crazy', 'application', 'ngak', ' Intention ',' already ',' Bulakbalik ',' Install ',' Tetep ',' Ngak ',' Just ',' Ngeblank ',' White ',' Want ',' Atha ',' Telkomsel ']")</f>
        <v>['star', 'deh', 'mah', 'just', 'quarter', 'star', 'open', 'mytelkomsel', 'hard', 'crazy', 'application', 'ngak', ' Intention ',' already ',' Bulakbalik ',' Install ',' Tetep ',' Ngak ',' Just ',' Ngeblank ',' White ',' Want ',' Atha ',' Telkomsel ']</v>
      </c>
      <c r="D13086" s="3">
        <v>1.0</v>
      </c>
    </row>
    <row r="13087" ht="15.75" customHeight="1">
      <c r="A13087" s="1">
        <v>13933.0</v>
      </c>
      <c r="B13087" s="3" t="s">
        <v>12482</v>
      </c>
      <c r="C13087" s="3" t="str">
        <f>IFERROR(__xludf.DUMMYFUNCTION("GOOGLETRANSLATE(B13087,""id"",""en"")"),"['Knpa', 'Semnjak', 'Update', 'Application', 'Opened', 'Useful']")</f>
        <v>['Knpa', 'Semnjak', 'Update', 'Application', 'Opened', 'Useful']</v>
      </c>
      <c r="D13087" s="3">
        <v>1.0</v>
      </c>
    </row>
    <row r="13088" ht="15.75" customHeight="1">
      <c r="A13088" s="1">
        <v>13934.0</v>
      </c>
      <c r="B13088" s="3" t="s">
        <v>12483</v>
      </c>
      <c r="C13088" s="3" t="str">
        <f>IFERROR(__xludf.DUMMYFUNCTION("GOOGLETRANSLATE(B13088,""id"",""en"")"),"['Update', 'opened']")</f>
        <v>['Update', 'opened']</v>
      </c>
      <c r="D13088" s="3">
        <v>1.0</v>
      </c>
    </row>
    <row r="13089" ht="15.75" customHeight="1">
      <c r="A13089" s="1">
        <v>13935.0</v>
      </c>
      <c r="B13089" s="3" t="s">
        <v>12484</v>
      </c>
      <c r="C13089" s="3" t="str">
        <f>IFERROR(__xludf.DUMMYFUNCTION("GOOGLETRANSLATE(B13089,""id"",""en"")"),"['Application', 'Error', 'Opened', 'Blink', 'Screen', 'White', 'Professional', ""]")</f>
        <v>['Application', 'Error', 'Opened', 'Blink', 'Screen', 'White', 'Professional', "]</v>
      </c>
      <c r="D13089" s="3">
        <v>1.0</v>
      </c>
    </row>
    <row r="13090" ht="15.75" customHeight="1">
      <c r="A13090" s="1">
        <v>13936.0</v>
      </c>
      <c r="B13090" s="3" t="s">
        <v>12485</v>
      </c>
      <c r="C13090" s="3" t="str">
        <f>IFERROR(__xludf.DUMMYFUNCTION("GOOGLETRANSLATE(B13090,""id"",""en"")"),"['White', 'Screen', 'application', 'used', 'already', 'quality', 'application', 'bad']")</f>
        <v>['White', 'Screen', 'application', 'used', 'already', 'quality', 'application', 'bad']</v>
      </c>
      <c r="D13090" s="3">
        <v>1.0</v>
      </c>
    </row>
    <row r="13091" ht="15.75" customHeight="1">
      <c r="A13091" s="1">
        <v>13938.0</v>
      </c>
      <c r="B13091" s="3" t="s">
        <v>12486</v>
      </c>
      <c r="C13091" s="3" t="str">
        <f>IFERROR(__xludf.DUMMYFUNCTION("GOOGLETRANSLATE(B13091,""id"",""en"")"),"['Telkomsel', 'NDA', 'BSA', 'Bukak', ""]")</f>
        <v>['Telkomsel', 'NDA', 'BSA', 'Bukak', "]</v>
      </c>
      <c r="D13091" s="3">
        <v>1.0</v>
      </c>
    </row>
    <row r="13092" ht="15.75" customHeight="1">
      <c r="A13092" s="1">
        <v>13939.0</v>
      </c>
      <c r="B13092" s="3" t="s">
        <v>12487</v>
      </c>
      <c r="C13092" s="3" t="str">
        <f>IFERROR(__xludf.DUMMYFUNCTION("GOOGLETRANSLATE(B13092,""id"",""en"")"),"['promo', 'gedek', 'thanks', 'Telkomsel', '']")</f>
        <v>['promo', 'gedek', 'thanks', 'Telkomsel', '']</v>
      </c>
      <c r="D13092" s="3">
        <v>5.0</v>
      </c>
    </row>
    <row r="13093" ht="15.75" customHeight="1">
      <c r="A13093" s="1">
        <v>13940.0</v>
      </c>
      <c r="B13093" s="3" t="s">
        <v>12488</v>
      </c>
      <c r="C13093" s="3" t="str">
        <f>IFERROR(__xludf.DUMMYFUNCTION("GOOGLETRANSLATE(B13093,""id"",""en"")"),"['App', 'Telkomsel', 'opened', '']")</f>
        <v>['App', 'Telkomsel', 'opened', '']</v>
      </c>
      <c r="D13093" s="3">
        <v>3.0</v>
      </c>
    </row>
    <row r="13094" ht="15.75" customHeight="1">
      <c r="A13094" s="1">
        <v>13941.0</v>
      </c>
      <c r="B13094" s="3" t="s">
        <v>12489</v>
      </c>
      <c r="C13094" s="3" t="str">
        <f>IFERROR(__xludf.DUMMYFUNCTION("GOOGLETRANSLATE(B13094,""id"",""en"")"),"['customers',' Telkomsel ',' disappointed ',' really ',' price ',' already ',' expensive ',' signal ',' full ',' slow ',' yesterday ',' no ',' critical', '']")</f>
        <v>['customers',' Telkomsel ',' disappointed ',' really ',' price ',' already ',' expensive ',' signal ',' full ',' slow ',' yesterday ',' no ',' critical', '']</v>
      </c>
      <c r="D13094" s="3">
        <v>1.0</v>
      </c>
    </row>
    <row r="13095" ht="15.75" customHeight="1">
      <c r="A13095" s="1">
        <v>13942.0</v>
      </c>
      <c r="B13095" s="3" t="s">
        <v>12490</v>
      </c>
      <c r="C13095" s="3" t="str">
        <f>IFERROR(__xludf.DUMMYFUNCTION("GOOGLETRANSLATE(B13095,""id"",""en"")"),"['Sorry', 'Love', 'Star', 'Upgrade', 'Version', 'Latest', 'Application', 'Opened', 'Times',' Uninstall ',' Install ',' TTP ',' Opened ',' ']")</f>
        <v>['Sorry', 'Love', 'Star', 'Upgrade', 'Version', 'Latest', 'Application', 'Opened', 'Times',' Uninstall ',' Install ',' TTP ',' Opened ',' ']</v>
      </c>
      <c r="D13095" s="3">
        <v>1.0</v>
      </c>
    </row>
    <row r="13096" ht="15.75" customHeight="1">
      <c r="A13096" s="1">
        <v>13943.0</v>
      </c>
      <c r="B13096" s="3" t="s">
        <v>12491</v>
      </c>
      <c r="C13096" s="3" t="str">
        <f>IFERROR(__xludf.DUMMYFUNCTION("GOOGLETRANSLATE(B13096,""id"",""en"")"),"['week', 'application', 'Telkomsel', 'opened', 'blank', 'white', 'grapari', 'said', 'application', 'problematic', 'told', 'Wait', ' Update ',' Waiting ',' ']")</f>
        <v>['week', 'application', 'Telkomsel', 'opened', 'blank', 'white', 'grapari', 'said', 'application', 'problematic', 'told', 'Wait', ' Update ',' Waiting ',' ']</v>
      </c>
      <c r="D13096" s="3">
        <v>1.0</v>
      </c>
    </row>
    <row r="13097" ht="15.75" customHeight="1">
      <c r="A13097" s="1">
        <v>13944.0</v>
      </c>
      <c r="B13097" s="3" t="s">
        <v>12492</v>
      </c>
      <c r="C13097" s="3" t="str">
        <f>IFERROR(__xludf.DUMMYFUNCTION("GOOGLETRANSLATE(B13097,""id"",""en"")"),"['buy', 'package', 'data', 'promo', 'use', 'account', 'fund', 'ovo', 'contents', 'pulses', ""]")</f>
        <v>['buy', 'package', 'data', 'promo', 'use', 'account', 'fund', 'ovo', 'contents', 'pulses', "]</v>
      </c>
      <c r="D13097" s="3">
        <v>1.0</v>
      </c>
    </row>
    <row r="13098" ht="15.75" customHeight="1">
      <c r="A13098" s="1">
        <v>13945.0</v>
      </c>
      <c r="B13098" s="3" t="s">
        <v>12493</v>
      </c>
      <c r="C13098" s="3" t="str">
        <f>IFERROR(__xludf.DUMMYFUNCTION("GOOGLETRANSLATE(B13098,""id"",""en"")"),"['Sorry', 'Lower', 'Star', 'December', 'Application', 'Telkomsel', 'Open', 'Squeezed', 'Application', 'Damaged', 'Please', 'Fix', ' Application ',' Telkomsel ']")</f>
        <v>['Sorry', 'Lower', 'Star', 'December', 'Application', 'Telkomsel', 'Open', 'Squeezed', 'Application', 'Damaged', 'Please', 'Fix', ' Application ',' Telkomsel ']</v>
      </c>
      <c r="D13098" s="3">
        <v>1.0</v>
      </c>
    </row>
    <row r="13099" ht="15.75" customHeight="1">
      <c r="A13099" s="1">
        <v>13946.0</v>
      </c>
      <c r="B13099" s="3" t="s">
        <v>12494</v>
      </c>
      <c r="C13099" s="3" t="str">
        <f>IFERROR(__xludf.DUMMYFUNCTION("GOOGLETRANSLATE(B13099,""id"",""en"")"),"['signal', 'rotten', 'quota', 'network', 'kayak', 'snail', ""]")</f>
        <v>['signal', 'rotten', 'quota', 'network', 'kayak', 'snail', "]</v>
      </c>
      <c r="D13099" s="3">
        <v>1.0</v>
      </c>
    </row>
    <row r="13100" ht="15.75" customHeight="1">
      <c r="A13100" s="1">
        <v>13947.0</v>
      </c>
      <c r="B13100" s="3" t="s">
        <v>12495</v>
      </c>
      <c r="C13100" s="3" t="str">
        <f>IFERROR(__xludf.DUMMYFUNCTION("GOOGLETRANSLATE(B13100,""id"",""en"")"),"['guys',' already ',' update ',' application ',' KSL ',' Gara ',' right ',' enter ',' the application ',' screen ',' white ',' Mulu ',' I ',' Kasih ',' solution ',' HPS ',' Application ',' MyTelkomsel ',' Download ',' Aptoid ',' Google ',' MSK ',' Applica"&amp;"tion ',' Permissions' , 'APK', 'Semamcam', 'CRI', 'Application', 'MyTelkomsel', 'scroll', 'above', 'pressure', 'the application', 'pressing', 'version', 'Select', ' Download ',' PRNH ',' Update ',' Application ',' DPT ',' Update ',' HPS ',' Application ',"&amp;"' Aptoide ',' Need ', ""]")</f>
        <v>['guys',' already ',' update ',' application ',' KSL ',' Gara ',' right ',' enter ',' the application ',' screen ',' white ',' Mulu ',' I ',' Kasih ',' solution ',' HPS ',' Application ',' MyTelkomsel ',' Download ',' Aptoid ',' Google ',' MSK ',' Application ',' Permissions' , 'APK', 'Semamcam', 'CRI', 'Application', 'MyTelkomsel', 'scroll', 'above', 'pressure', 'the application', 'pressing', 'version', 'Select', ' Download ',' PRNH ',' Update ',' Application ',' DPT ',' Update ',' HPS ',' Application ',' Aptoide ',' Need ', "]</v>
      </c>
      <c r="D13100" s="3">
        <v>5.0</v>
      </c>
    </row>
    <row r="13101" ht="15.75" customHeight="1">
      <c r="A13101" s="1">
        <v>13949.0</v>
      </c>
      <c r="B13101" s="3" t="s">
        <v>12496</v>
      </c>
      <c r="C13101" s="3" t="str">
        <f>IFERROR(__xludf.DUMMYFUNCTION("GOOGLETRANSLATE(B13101,""id"",""en"")"),"['Lally', 'promo', 'Telkomsel', '']")</f>
        <v>['Lally', 'promo', 'Telkomsel', '']</v>
      </c>
      <c r="D13101" s="3">
        <v>4.0</v>
      </c>
    </row>
    <row r="13102" ht="15.75" customHeight="1">
      <c r="A13102" s="1">
        <v>13950.0</v>
      </c>
      <c r="B13102" s="3" t="s">
        <v>12497</v>
      </c>
      <c r="C13102" s="3" t="str">
        <f>IFERROR(__xludf.DUMMYFUNCTION("GOOGLETRANSLATE(B13102,""id"",""en"")"),"['a year', 'connection', 'internet', 'severe', 'really', 'noon', 'night', 'super', 'slow', 'price', 'network', 'internet', ' Severe ',' Rely on ',' Disappointed ',' Severe ',' Please ',' Fix ',' User ',' Telkomsel ',' Complaining ',' ']")</f>
        <v>['a year', 'connection', 'internet', 'severe', 'really', 'noon', 'night', 'super', 'slow', 'price', 'network', 'internet', ' Severe ',' Rely on ',' Disappointed ',' Severe ',' Please ',' Fix ',' User ',' Telkomsel ',' Complaining ',' ']</v>
      </c>
      <c r="D13102" s="3">
        <v>1.0</v>
      </c>
    </row>
    <row r="13103" ht="15.75" customHeight="1">
      <c r="A13103" s="1">
        <v>13951.0</v>
      </c>
      <c r="B13103" s="3" t="s">
        <v>12498</v>
      </c>
      <c r="C13103" s="3" t="str">
        <f>IFERROR(__xludf.DUMMYFUNCTION("GOOGLETRANSLATE(B13103,""id"",""en"")"),"['expensive', 'quota', 'internet']")</f>
        <v>['expensive', 'quota', 'internet']</v>
      </c>
      <c r="D13103" s="3">
        <v>3.0</v>
      </c>
    </row>
    <row r="13104" ht="15.75" customHeight="1">
      <c r="A13104" s="1">
        <v>13952.0</v>
      </c>
      <c r="B13104" s="3" t="s">
        <v>12499</v>
      </c>
      <c r="C13104" s="3" t="str">
        <f>IFERROR(__xludf.DUMMYFUNCTION("GOOGLETRANSLATE(B13104,""id"",""en"")"),"['application', 'opened', 'already', 'tried', 'really', 'uninstall', 'trs',' downlod ',' repeat ',' reset ',' signal ',' ugly ',' Package ',' expensive ',' ']")</f>
        <v>['application', 'opened', 'already', 'tried', 'really', 'uninstall', 'trs',' downlod ',' repeat ',' reset ',' signal ',' ugly ',' Package ',' expensive ',' ']</v>
      </c>
      <c r="D13104" s="3">
        <v>3.0</v>
      </c>
    </row>
    <row r="13105" ht="15.75" customHeight="1">
      <c r="A13105" s="1">
        <v>13953.0</v>
      </c>
      <c r="B13105" s="3" t="s">
        <v>12500</v>
      </c>
      <c r="C13105" s="3" t="str">
        <f>IFERROR(__xludf.DUMMYFUNCTION("GOOGLETRANSLATE(B13105,""id"",""en"")"),"['knpa', 'til', 'open', 'screen', 'white', 'appear']")</f>
        <v>['knpa', 'til', 'open', 'screen', 'white', 'appear']</v>
      </c>
      <c r="D13105" s="3">
        <v>2.0</v>
      </c>
    </row>
    <row r="13106" ht="15.75" customHeight="1">
      <c r="A13106" s="1">
        <v>13954.0</v>
      </c>
      <c r="B13106" s="3" t="s">
        <v>12501</v>
      </c>
      <c r="C13106" s="3" t="str">
        <f>IFERROR(__xludf.DUMMYFUNCTION("GOOGLETRANSLATE(B13106,""id"",""en"")"),"['The application', 'buy', 'package', 'internet', 'detrimental']")</f>
        <v>['The application', 'buy', 'package', 'internet', 'detrimental']</v>
      </c>
      <c r="D13106" s="3">
        <v>1.0</v>
      </c>
    </row>
    <row r="13107" ht="15.75" customHeight="1">
      <c r="A13107" s="1">
        <v>13955.0</v>
      </c>
      <c r="B13107" s="3" t="s">
        <v>12502</v>
      </c>
      <c r="C13107" s="3" t="str">
        <f>IFERROR(__xludf.DUMMYFUNCTION("GOOGLETRANSLATE(B13107,""id"",""en"")"),"['knp', 'open', 'application', 'already', 'update', 'please', 'min', '']")</f>
        <v>['knp', 'open', 'application', 'already', 'update', 'please', 'min', '']</v>
      </c>
      <c r="D13107" s="3">
        <v>1.0</v>
      </c>
    </row>
    <row r="13108" ht="15.75" customHeight="1">
      <c r="A13108" s="1">
        <v>13956.0</v>
      </c>
      <c r="B13108" s="3" t="s">
        <v>12503</v>
      </c>
      <c r="C13108" s="3" t="str">
        <f>IFERROR(__xludf.DUMMYFUNCTION("GOOGLETRANSLATE(B13108,""id"",""en"")"),"['Please', 'network', 'improve', 'min', 'network', 'broken', 'really', 'Please', 'pay attention', 'buy', 'quota', 'use', ' Money ',' borne ',' BPJS ',' ']")</f>
        <v>['Please', 'network', 'improve', 'min', 'network', 'broken', 'really', 'Please', 'pay attention', 'buy', 'quota', 'use', ' Money ',' borne ',' BPJS ',' ']</v>
      </c>
      <c r="D13108" s="3">
        <v>1.0</v>
      </c>
    </row>
    <row r="13109" ht="15.75" customHeight="1">
      <c r="A13109" s="1">
        <v>13957.0</v>
      </c>
      <c r="B13109" s="3" t="s">
        <v>12504</v>
      </c>
      <c r="C13109" s="3" t="str">
        <f>IFERROR(__xludf.DUMMYFUNCTION("GOOGLETRANSLATE(B13109,""id"",""en"")"),"['here', 'Lost', 'Respect', 'BUMN', 'expensive', 'yes',' network ',' kagak ',' klalu ',' report ',' wait ',' Then ',' Kyak ',' Help ',' Parahhhhh ',' Mending ',' Use ',' Three ',' Cheap ',' Network ']")</f>
        <v>['here', 'Lost', 'Respect', 'BUMN', 'expensive', 'yes',' network ',' kagak ',' klalu ',' report ',' wait ',' Then ',' Kyak ',' Help ',' Parahhhhh ',' Mending ',' Use ',' Three ',' Cheap ',' Network ']</v>
      </c>
      <c r="D13109" s="3">
        <v>1.0</v>
      </c>
    </row>
    <row r="13110" ht="15.75" customHeight="1">
      <c r="A13110" s="1">
        <v>13958.0</v>
      </c>
      <c r="B13110" s="3" t="s">
        <v>12505</v>
      </c>
      <c r="C13110" s="3" t="str">
        <f>IFERROR(__xludf.DUMMYFUNCTION("GOOGLETRANSLATE(B13110,""id"",""en"")"),"['MyTelkomsel', 'Displays', 'Figure', 'White', 'It', 'Device', 'Samsung', 'Download', 'Kaga', 'Opened', 'trimakasih', ""]")</f>
        <v>['MyTelkomsel', 'Displays', 'Figure', 'White', 'It', 'Device', 'Samsung', 'Download', 'Kaga', 'Opened', 'trimakasih', "]</v>
      </c>
      <c r="D13110" s="3">
        <v>1.0</v>
      </c>
    </row>
    <row r="13111" ht="15.75" customHeight="1">
      <c r="A13111" s="1">
        <v>13959.0</v>
      </c>
      <c r="B13111" s="3" t="s">
        <v>12506</v>
      </c>
      <c r="C13111" s="3" t="str">
        <f>IFERROR(__xludf.DUMMYFUNCTION("GOOGLETRANSLATE(B13111,""id"",""en"")"),"['', 'Reduce', 'starnyalahhhh', 'update', 'entry', 'boro', 'loading', 'rich', 'error', 'so', 'how', 'sich', "" ]")</f>
        <v>['', 'Reduce', 'starnyalahhhh', 'update', 'entry', 'boro', 'loading', 'rich', 'error', 'so', 'how', 'sich', " ]</v>
      </c>
      <c r="D13111" s="3">
        <v>2.0</v>
      </c>
    </row>
    <row r="13112" ht="15.75" customHeight="1">
      <c r="A13112" s="1">
        <v>13960.0</v>
      </c>
      <c r="B13112" s="3" t="s">
        <v>12507</v>
      </c>
      <c r="C13112" s="3" t="str">
        <f>IFERROR(__xludf.DUMMYFUNCTION("GOOGLETRANSLATE(B13112,""id"",""en"")"),"['MyTelkomsel', 'good']")</f>
        <v>['MyTelkomsel', 'good']</v>
      </c>
      <c r="D13112" s="3">
        <v>5.0</v>
      </c>
    </row>
    <row r="13113" ht="15.75" customHeight="1">
      <c r="A13113" s="1">
        <v>13961.0</v>
      </c>
      <c r="B13113" s="3" t="s">
        <v>12508</v>
      </c>
      <c r="C13113" s="3" t="str">
        <f>IFERROR(__xludf.DUMMYFUNCTION("GOOGLETRANSLATE(B13113,""id"",""en"")"),"['Severe', 'application', 'buy', 'package', 'description', 'conection', 'error', 'please', 'related', 'repaired', ""]")</f>
        <v>['Severe', 'application', 'buy', 'package', 'description', 'conection', 'error', 'please', 'related', 'repaired', "]</v>
      </c>
      <c r="D13113" s="3">
        <v>1.0</v>
      </c>
    </row>
    <row r="13114" ht="15.75" customHeight="1">
      <c r="A13114" s="1">
        <v>13962.0</v>
      </c>
      <c r="B13114" s="3" t="s">
        <v>12509</v>
      </c>
      <c r="C13114" s="3" t="str">
        <f>IFERROR(__xludf.DUMMYFUNCTION("GOOGLETRANSLATE(B13114,""id"",""en"")"),"['The application', 'steady', 'engine', 'complete', 'promo', 'prize', 'tantalizing', ""]")</f>
        <v>['The application', 'steady', 'engine', 'complete', 'promo', 'prize', 'tantalizing', "]</v>
      </c>
      <c r="D13114" s="3">
        <v>5.0</v>
      </c>
    </row>
    <row r="13115" ht="15.75" customHeight="1">
      <c r="A13115" s="1">
        <v>13964.0</v>
      </c>
      <c r="B13115" s="3" t="s">
        <v>12510</v>
      </c>
      <c r="C13115" s="3" t="str">
        <f>IFERROR(__xludf.DUMMYFUNCTION("GOOGLETRANSLATE(B13115,""id"",""en"")"),"['application', 'blang', 'screen', 'white', 'complaints', 'login', 'application', 'poor']")</f>
        <v>['application', 'blang', 'screen', 'white', 'complaints', 'login', 'application', 'poor']</v>
      </c>
      <c r="D13115" s="3">
        <v>1.0</v>
      </c>
    </row>
    <row r="13116" ht="15.75" customHeight="1">
      <c r="A13116" s="1">
        <v>13965.0</v>
      </c>
      <c r="B13116" s="3" t="s">
        <v>12511</v>
      </c>
      <c r="C13116" s="3" t="str">
        <f>IFERROR(__xludf.DUMMYFUNCTION("GOOGLETRANSLATE(B13116,""id"",""en"")"),"['The application', 'slow']")</f>
        <v>['The application', 'slow']</v>
      </c>
      <c r="D13116" s="3">
        <v>1.0</v>
      </c>
    </row>
    <row r="13117" ht="15.75" customHeight="1">
      <c r="A13117" s="1">
        <v>13966.0</v>
      </c>
      <c r="B13117" s="3" t="s">
        <v>12512</v>
      </c>
      <c r="C13117" s="3" t="str">
        <f>IFERROR(__xludf.DUMMYFUNCTION("GOOGLETRANSLATE(B13117,""id"",""en"")"),"['transaction', 'easy']")</f>
        <v>['transaction', 'easy']</v>
      </c>
      <c r="D13117" s="3">
        <v>5.0</v>
      </c>
    </row>
    <row r="13118" ht="15.75" customHeight="1">
      <c r="A13118" s="1">
        <v>13967.0</v>
      </c>
      <c r="B13118" s="3" t="s">
        <v>12513</v>
      </c>
      <c r="C13118" s="3" t="str">
        <f>IFERROR(__xludf.DUMMYFUNCTION("GOOGLETRANSLATE(B13118,""id"",""en"")"),"['Open', 'Fix', 'Customer', 'Run']")</f>
        <v>['Open', 'Fix', 'Customer', 'Run']</v>
      </c>
      <c r="D13118" s="3">
        <v>1.0</v>
      </c>
    </row>
    <row r="13119" ht="15.75" customHeight="1">
      <c r="A13119" s="1">
        <v>13968.0</v>
      </c>
      <c r="B13119" s="3" t="s">
        <v>12514</v>
      </c>
      <c r="C13119" s="3" t="str">
        <f>IFERROR(__xludf.DUMMYFUNCTION("GOOGLETRANSLATE(B13119,""id"",""en"")"),"['Good', 'Respon', 'satisfying', 'Customer']")</f>
        <v>['Good', 'Respon', 'satisfying', 'Customer']</v>
      </c>
      <c r="D13119" s="3">
        <v>5.0</v>
      </c>
    </row>
    <row r="13120" ht="15.75" customHeight="1">
      <c r="A13120" s="1">
        <v>13969.0</v>
      </c>
      <c r="B13120" s="3" t="s">
        <v>12515</v>
      </c>
      <c r="C13120" s="3" t="str">
        <f>IFERROR(__xludf.DUMMYFUNCTION("GOOGLETRANSLATE(B13120,""id"",""en"")"),"['network', 'signal', 'difficult', 'slow', 'nettingam', 'biggest', 'Indonesia', 'guarantee', 'customer', 'loyal', 'Telkomsel', 'disappointed', ' Recommend ',' Telkomsel ',' usage ',' data ',' ']")</f>
        <v>['network', 'signal', 'difficult', 'slow', 'nettingam', 'biggest', 'Indonesia', 'guarantee', 'customer', 'loyal', 'Telkomsel', 'disappointed', ' Recommend ',' Telkomsel ',' usage ',' data ',' ']</v>
      </c>
      <c r="D13120" s="3">
        <v>1.0</v>
      </c>
    </row>
    <row r="13121" ht="15.75" customHeight="1">
      <c r="A13121" s="1">
        <v>13970.0</v>
      </c>
      <c r="B13121" s="3" t="s">
        <v>12516</v>
      </c>
      <c r="C13121" s="3" t="str">
        <f>IFERROR(__xludf.DUMMYFUNCTION("GOOGLETRANSLATE(B13121,""id"",""en"")"),"['', 'area', 'internet', 'Telkomsel', 'msh', 'blm', ""]")</f>
        <v>['', 'area', 'internet', 'Telkomsel', 'msh', 'blm', "]</v>
      </c>
      <c r="D13121" s="3">
        <v>5.0</v>
      </c>
    </row>
    <row r="13122" ht="15.75" customHeight="1">
      <c r="A13122" s="1">
        <v>13971.0</v>
      </c>
      <c r="B13122" s="3" t="s">
        <v>12517</v>
      </c>
      <c r="C13122" s="3" t="str">
        <f>IFERROR(__xludf.DUMMYFUNCTION("GOOGLETRANSLATE(B13122,""id"",""en"")"),"['Telkomsel', 'knp', 'min', 'please', 'clarification']")</f>
        <v>['Telkomsel', 'knp', 'min', 'please', 'clarification']</v>
      </c>
      <c r="D13122" s="3">
        <v>1.0</v>
      </c>
    </row>
    <row r="13123" ht="15.75" customHeight="1">
      <c r="A13123" s="1">
        <v>13972.0</v>
      </c>
      <c r="B13123" s="3" t="s">
        <v>12518</v>
      </c>
      <c r="C13123" s="3" t="str">
        <f>IFERROR(__xludf.DUMMYFUNCTION("GOOGLETRANSLATE(B13123,""id"",""en"")"),"['enter', 'menu', 'ngeblang', 'color', 'white']")</f>
        <v>['enter', 'menu', 'ngeblang', 'color', 'white']</v>
      </c>
      <c r="D13123" s="3">
        <v>1.0</v>
      </c>
    </row>
    <row r="13124" ht="15.75" customHeight="1">
      <c r="A13124" s="1">
        <v>13973.0</v>
      </c>
      <c r="B13124" s="3" t="s">
        <v>12519</v>
      </c>
      <c r="C13124" s="3" t="str">
        <f>IFERROR(__xludf.DUMMYFUNCTION("GOOGLETRANSLATE(B13124,""id"",""en"")"),"['Package', 'Data', 'expensive', 'please', 'collapsed', 'price', 'kouta']")</f>
        <v>['Package', 'Data', 'expensive', 'please', 'collapsed', 'price', 'kouta']</v>
      </c>
      <c r="D13124" s="3">
        <v>2.0</v>
      </c>
    </row>
    <row r="13125" ht="15.75" customHeight="1">
      <c r="A13125" s="1">
        <v>13974.0</v>
      </c>
      <c r="B13125" s="3" t="s">
        <v>12520</v>
      </c>
      <c r="C13125" s="3" t="str">
        <f>IFERROR(__xludf.DUMMYFUNCTION("GOOGLETRANSLATE(B13125,""id"",""en"")"),"['WOI', 'Signal', 'Telkomsel', 'Kek', 'possession', 'COK', 'SMPE', 'Stress',' Makekny ',' KLK ',' Signal ',' Orng ',' emotions', 'mending', 'gsh', 'bro', 'btw', 'pray', 'hope', 'change', 'card', 'telkomsel', 'push', 'ngeeleg', 'idiot' ]")</f>
        <v>['WOI', 'Signal', 'Telkomsel', 'Kek', 'possession', 'COK', 'SMPE', 'Stress',' Makekny ',' KLK ',' Signal ',' Orng ',' emotions', 'mending', 'gsh', 'bro', 'btw', 'pray', 'hope', 'change', 'card', 'telkomsel', 'push', 'ngeeleg', 'idiot' ]</v>
      </c>
      <c r="D13125" s="3">
        <v>1.0</v>
      </c>
    </row>
    <row r="13126" ht="15.75" customHeight="1">
      <c r="A13126" s="1">
        <v>13975.0</v>
      </c>
      <c r="B13126" s="3" t="s">
        <v>12521</v>
      </c>
      <c r="C13126" s="3" t="str">
        <f>IFERROR(__xludf.DUMMYFUNCTION("GOOGLETRANSLATE(B13126,""id"",""en"")"),"['Open', 'Aaplika', 'MyTelkomsel']")</f>
        <v>['Open', 'Aaplika', 'MyTelkomsel']</v>
      </c>
      <c r="D13126" s="3">
        <v>1.0</v>
      </c>
    </row>
    <row r="13127" ht="15.75" customHeight="1">
      <c r="A13127" s="1">
        <v>13976.0</v>
      </c>
      <c r="B13127" s="3" t="s">
        <v>12522</v>
      </c>
      <c r="C13127" s="3" t="str">
        <f>IFERROR(__xludf.DUMMYFUNCTION("GOOGLETRANSLATE(B13127,""id"",""en"")"),"['', 'Install', 'Lake', 'appears',' Haya ',' White ',' Signal ',' Embossed ',' Sinking ',' City ',' Suburbs', 'Sayu', 'Price ',' quota ',' expensive ',' ']")</f>
        <v>['', 'Install', 'Lake', 'appears',' Haya ',' White ',' Signal ',' Embossed ',' Sinking ',' City ',' Suburbs', 'Sayu', 'Price ',' quota ',' expensive ',' ']</v>
      </c>
      <c r="D13127" s="3">
        <v>1.0</v>
      </c>
    </row>
    <row r="13128" ht="15.75" customHeight="1">
      <c r="A13128" s="1">
        <v>13977.0</v>
      </c>
      <c r="B13128" s="3" t="s">
        <v>12523</v>
      </c>
      <c r="C13128" s="3" t="str">
        <f>IFERROR(__xludf.DUMMYFUNCTION("GOOGLETRANSLATE(B13128,""id"",""en"")"),"['Not bad', 'cool', 'buy', 'package']")</f>
        <v>['Not bad', 'cool', 'buy', 'package']</v>
      </c>
      <c r="D13128" s="3">
        <v>5.0</v>
      </c>
    </row>
    <row r="13129" ht="15.75" customHeight="1">
      <c r="A13129" s="1">
        <v>13978.0</v>
      </c>
      <c r="B13129" s="3" t="s">
        <v>12524</v>
      </c>
      <c r="C13129" s="3" t="str">
        <f>IFERROR(__xludf.DUMMYFUNCTION("GOOGLETRANSLATE(B13129,""id"",""en"")"),"['Sorry', 'love', 'star', 'Telkomsel', 'slow']")</f>
        <v>['Sorry', 'love', 'star', 'Telkomsel', 'slow']</v>
      </c>
      <c r="D13129" s="3">
        <v>3.0</v>
      </c>
    </row>
    <row r="13130" ht="15.75" customHeight="1">
      <c r="A13130" s="1">
        <v>13979.0</v>
      </c>
      <c r="B13130" s="3" t="s">
        <v>12525</v>
      </c>
      <c r="C13130" s="3" t="str">
        <f>IFERROR(__xludf.DUMMYFUNCTION("GOOGLETRANSLATE(B13130,""id"",""en"")"),"['difficult', 'open', 'Telkomsel', 'please', 'made easier', 'Loading', ""]")</f>
        <v>['difficult', 'open', 'Telkomsel', 'please', 'made easier', 'Loading', "]</v>
      </c>
      <c r="D13130" s="3">
        <v>5.0</v>
      </c>
    </row>
    <row r="13131" ht="15.75" customHeight="1">
      <c r="A13131" s="1">
        <v>13980.0</v>
      </c>
      <c r="B13131" s="3" t="s">
        <v>12526</v>
      </c>
      <c r="C13131" s="3" t="str">
        <f>IFERROR(__xludf.DUMMYFUNCTION("GOOGLETRANSLATE(B13131,""id"",""en"")"),"['already', 'expensive', 'slow', 'application', 'Bentar', 'Mintak', 'upgrade', 'pulak', 'dubuka', 'the application', 'what' do ',' upgrade ',' Application ',' Open ']")</f>
        <v>['already', 'expensive', 'slow', 'application', 'Bentar', 'Mintak', 'upgrade', 'pulak', 'dubuka', 'the application', 'what' do ',' upgrade ',' Application ',' Open ']</v>
      </c>
      <c r="D13131" s="3">
        <v>1.0</v>
      </c>
    </row>
    <row r="13132" ht="15.75" customHeight="1">
      <c r="A13132" s="1">
        <v>13981.0</v>
      </c>
      <c r="B13132" s="3" t="s">
        <v>12527</v>
      </c>
      <c r="C13132" s="3" t="str">
        <f>IFERROR(__xludf.DUMMYFUNCTION("GOOGLETRANSLATE(B13132,""id"",""en"")"),"['Help', 'check', 'pulse', 'quota', 'data', '']")</f>
        <v>['Help', 'check', 'pulse', 'quota', 'data', '']</v>
      </c>
      <c r="D13132" s="3">
        <v>5.0</v>
      </c>
    </row>
    <row r="13133" ht="15.75" customHeight="1">
      <c r="A13133" s="1">
        <v>13982.0</v>
      </c>
      <c r="B13133" s="3" t="s">
        <v>12528</v>
      </c>
      <c r="C13133" s="3" t="str">
        <f>IFERROR(__xludf.DUMMYFUNCTION("GOOGLETRANSLATE(B13133,""id"",""en"")"),"['Telokomsel', 'Rich', 'Taiiii', 'Package', 'Expensive', '']")</f>
        <v>['Telokomsel', 'Rich', 'Taiiii', 'Package', 'Expensive', '']</v>
      </c>
      <c r="D13133" s="3">
        <v>1.0</v>
      </c>
    </row>
    <row r="13134" ht="15.75" customHeight="1">
      <c r="A13134" s="1">
        <v>13983.0</v>
      </c>
      <c r="B13134" s="3" t="s">
        <v>12529</v>
      </c>
      <c r="C13134" s="3" t="str">
        <f>IFERROR(__xludf.DUMMYFUNCTION("GOOGLETRANSLATE(B13134,""id"",""en"")"),"['Help', 'When', 'Whatever', 'Hope', ""]")</f>
        <v>['Help', 'When', 'Whatever', 'Hope', "]</v>
      </c>
      <c r="D13134" s="3">
        <v>5.0</v>
      </c>
    </row>
    <row r="13135" ht="15.75" customHeight="1">
      <c r="A13135" s="1">
        <v>13984.0</v>
      </c>
      <c r="B13135" s="3" t="s">
        <v>12530</v>
      </c>
      <c r="C13135" s="3" t="str">
        <f>IFERROR(__xludf.DUMMYFUNCTION("GOOGLETRANSLATE(B13135,""id"",""en"")"),"['Steady', 'Live', 'game', 'smooth', 'just', 'sometimes', 'sometimes', 'lag']")</f>
        <v>['Steady', 'Live', 'game', 'smooth', 'just', 'sometimes', 'sometimes', 'lag']</v>
      </c>
      <c r="D13135" s="3">
        <v>5.0</v>
      </c>
    </row>
    <row r="13136" ht="15.75" customHeight="1">
      <c r="A13136" s="1">
        <v>13985.0</v>
      </c>
      <c r="B13136" s="3" t="s">
        <v>1816</v>
      </c>
      <c r="C13136" s="3" t="str">
        <f>IFERROR(__xludf.DUMMYFUNCTION("GOOGLETRANSLATE(B13136,""id"",""en"")"),"['', 'Telkomsel', 'best']")</f>
        <v>['', 'Telkomsel', 'best']</v>
      </c>
      <c r="D13136" s="3">
        <v>5.0</v>
      </c>
    </row>
    <row r="13137" ht="15.75" customHeight="1">
      <c r="A13137" s="1">
        <v>13986.0</v>
      </c>
      <c r="B13137" s="3" t="s">
        <v>12531</v>
      </c>
      <c r="C13137" s="3" t="str">
        <f>IFERROR(__xludf.DUMMYFUNCTION("GOOGLETRANSLATE(B13137,""id"",""en"")"),"['good', 'speed', 'internet', 'normal', 'please', 'getting', 'package', 'combo', 'saktinya', 'jangn', 'expensive', 'then' price', '']")</f>
        <v>['good', 'speed', 'internet', 'normal', 'please', 'getting', 'package', 'combo', 'saktinya', 'jangn', 'expensive', 'then' price', '']</v>
      </c>
      <c r="D13137" s="3">
        <v>3.0</v>
      </c>
    </row>
    <row r="13138" ht="15.75" customHeight="1">
      <c r="A13138" s="1">
        <v>13987.0</v>
      </c>
      <c r="B13138" s="3" t="s">
        <v>12532</v>
      </c>
      <c r="C13138" s="3" t="str">
        <f>IFERROR(__xludf.DUMMYFUNCTION("GOOGLETRANSLATE(B13138,""id"",""en"")"),"['screen', 'white', 'application', 'open', 'uninstall', 'many', 'times', 'paraah', ""]")</f>
        <v>['screen', 'white', 'application', 'open', 'uninstall', 'many', 'times', 'paraah', "]</v>
      </c>
      <c r="D13138" s="3">
        <v>1.0</v>
      </c>
    </row>
    <row r="13139" ht="15.75" customHeight="1">
      <c r="A13139" s="1">
        <v>13988.0</v>
      </c>
      <c r="B13139" s="3" t="s">
        <v>12533</v>
      </c>
      <c r="C13139" s="3" t="str">
        <f>IFERROR(__xludf.DUMMYFUNCTION("GOOGLETRANSLATE(B13139,""id"",""en"")"),"['Please', 'less',' burden ',' buy ',' package ',' telkomselllllllllllllllllllllllllll")</f>
        <v>['Please', 'less',' burden ',' buy ',' package ',' telkomselllllllllllllllllllllllllll</v>
      </c>
      <c r="D13139" s="3">
        <v>5.0</v>
      </c>
    </row>
    <row r="13140" ht="15.75" customHeight="1">
      <c r="A13140" s="1">
        <v>13989.0</v>
      </c>
      <c r="B13140" s="3" t="s">
        <v>12534</v>
      </c>
      <c r="C13140" s="3" t="str">
        <f>IFERROR(__xludf.DUMMYFUNCTION("GOOGLETRANSLATE(B13140,""id"",""en"")"),"['Application', 'opened', 'screen', 'white', 'empty', ""]")</f>
        <v>['Application', 'opened', 'screen', 'white', 'empty', "]</v>
      </c>
      <c r="D13140" s="3">
        <v>1.0</v>
      </c>
    </row>
    <row r="13141" ht="15.75" customHeight="1">
      <c r="A13141" s="1">
        <v>13990.0</v>
      </c>
      <c r="B13141" s="3" t="s">
        <v>12535</v>
      </c>
      <c r="C13141" s="3" t="str">
        <f>IFERROR(__xludf.DUMMYFUNCTION("GOOGLETRANSLATE(B13141,""id"",""en"")"),"['', 'initiative', 'Benerin', 'your signal', 'bad', 'kah', 'tlkmsl', 'ugly']")</f>
        <v>['', 'initiative', 'Benerin', 'your signal', 'bad', 'kah', 'tlkmsl', 'ugly']</v>
      </c>
      <c r="D13141" s="3">
        <v>1.0</v>
      </c>
    </row>
    <row r="13142" ht="15.75" customHeight="1">
      <c r="A13142" s="1">
        <v>13991.0</v>
      </c>
      <c r="B13142" s="3" t="s">
        <v>12536</v>
      </c>
      <c r="C13142" s="3" t="str">
        <f>IFERROR(__xludf.DUMMYFUNCTION("GOOGLETRANSLATE(B13142,""id"",""en"")"),"['week', 'application', 'open', 'buy', 'data', 'application', 'application', 'kayak', 'gini']")</f>
        <v>['week', 'application', 'open', 'buy', 'data', 'application', 'application', 'kayak', 'gini']</v>
      </c>
      <c r="D13142" s="3">
        <v>1.0</v>
      </c>
    </row>
    <row r="13143" ht="15.75" customHeight="1">
      <c r="A13143" s="1">
        <v>13992.0</v>
      </c>
      <c r="B13143" s="3" t="s">
        <v>12537</v>
      </c>
      <c r="C13143" s="3" t="str">
        <f>IFERROR(__xludf.DUMMYFUNCTION("GOOGLETRANSLATE(B13143,""id"",""en"")"),"['Telkomsel', 'Dear', 'KAMPUNAN', 'Love', 'First', 'Biasaka', 'Costs',' Package ',' Add to ',' Please ',' Consider ',' Want ',' THR ',' Package ',' Credit ',' A Year ',' Thanks']")</f>
        <v>['Telkomsel', 'Dear', 'KAMPUNAN', 'Love', 'First', 'Biasaka', 'Costs',' Package ',' Add to ',' Please ',' Consider ',' Want ',' THR ',' Package ',' Credit ',' A Year ',' Thanks']</v>
      </c>
      <c r="D13143" s="3">
        <v>4.0</v>
      </c>
    </row>
    <row r="13144" ht="15.75" customHeight="1">
      <c r="A13144" s="1">
        <v>13993.0</v>
      </c>
      <c r="B13144" s="3" t="s">
        <v>12538</v>
      </c>
      <c r="C13144" s="3" t="str">
        <f>IFERROR(__xludf.DUMMYFUNCTION("GOOGLETRANSLATE(B13144,""id"",""en"")"),"['annoyed', 'pulse', 'pressed', 'package', 'data', 'run out', 'confirm', 'anything', 'pulse', 'finished', 'sms',' tariff ',' Internet ',' non ',' package ',' right ',' check ',' pulse ',' UDH ',' pdhal ',' pulse ',' filled ',' RB ',' topup ',' base ' , 'M"&amp;"aling', 'sympathy', 'Telkomsel', '']")</f>
        <v>['annoyed', 'pulse', 'pressed', 'package', 'data', 'run out', 'confirm', 'anything', 'pulse', 'finished', 'sms',' tariff ',' Internet ',' non ',' package ',' right ',' check ',' pulse ',' UDH ',' pdhal ',' pulse ',' filled ',' RB ',' topup ',' base ' , 'Maling', 'sympathy', 'Telkomsel', '']</v>
      </c>
      <c r="D13144" s="3">
        <v>1.0</v>
      </c>
    </row>
    <row r="13145" ht="15.75" customHeight="1">
      <c r="A13145" s="1">
        <v>13994.0</v>
      </c>
      <c r="B13145" s="3" t="s">
        <v>12539</v>
      </c>
      <c r="C13145" s="3" t="str">
        <f>IFERROR(__xludf.DUMMYFUNCTION("GOOGLETRANSLATE(B13145,""id"",""en"")"),"['Kasi', 'Bintang', 'Network', 'Telkomsel', 'Bad', 'Village', 'Penfui', 'East', 'NTT', 'Network', 'Jumping', 'Price', ' expensive ',' according to ',' quality ',' ']")</f>
        <v>['Kasi', 'Bintang', 'Network', 'Telkomsel', 'Bad', 'Village', 'Penfui', 'East', 'NTT', 'Network', 'Jumping', 'Price', ' expensive ',' according to ',' quality ',' ']</v>
      </c>
      <c r="D13145" s="3">
        <v>1.0</v>
      </c>
    </row>
    <row r="13146" ht="15.75" customHeight="1">
      <c r="A13146" s="1">
        <v>13995.0</v>
      </c>
      <c r="B13146" s="3" t="s">
        <v>12540</v>
      </c>
      <c r="C13146" s="3" t="str">
        <f>IFERROR(__xludf.DUMMYFUNCTION("GOOGLETRANSLATE(B13146,""id"",""en"")"),"['smooth', 'refurbished', 'blank', 'pitih', 'doank']")</f>
        <v>['smooth', 'refurbished', 'blank', 'pitih', 'doank']</v>
      </c>
      <c r="D13146" s="3">
        <v>1.0</v>
      </c>
    </row>
    <row r="13147" ht="15.75" customHeight="1">
      <c r="A13147" s="1">
        <v>13996.0</v>
      </c>
      <c r="B13147" s="3" t="s">
        <v>12541</v>
      </c>
      <c r="C13147" s="3" t="str">
        <f>IFERROR(__xludf.DUMMYFUNCTION("GOOGLETRANSLATE(B13147,""id"",""en"")"),"['like', 'application', 'debeessss', '']")</f>
        <v>['like', 'application', 'debeessss', '']</v>
      </c>
      <c r="D13147" s="3">
        <v>5.0</v>
      </c>
    </row>
    <row r="13148" ht="15.75" customHeight="1">
      <c r="A13148" s="1">
        <v>13997.0</v>
      </c>
      <c r="B13148" s="3" t="s">
        <v>12542</v>
      </c>
      <c r="C13148" s="3" t="str">
        <f>IFERROR(__xludf.DUMMYFUNCTION("GOOGLETRANSLATE(B13148,""id"",""en"")"),"['user', 'loyal', 'application', 'Telkomsel', 'disappointed', 'December', 'application', 'opened', 'blank', 'color', 'white', 'thox', ' Please ',' repaired ',' Telkomsel ',' Thank ',' Love ',' ']")</f>
        <v>['user', 'loyal', 'application', 'Telkomsel', 'disappointed', 'December', 'application', 'opened', 'blank', 'color', 'white', 'thox', ' Please ',' repaired ',' Telkomsel ',' Thank ',' Love ',' ']</v>
      </c>
      <c r="D13148" s="3">
        <v>2.0</v>
      </c>
    </row>
    <row r="13149" ht="15.75" customHeight="1">
      <c r="A13149" s="1">
        <v>13998.0</v>
      </c>
      <c r="B13149" s="3" t="s">
        <v>12543</v>
      </c>
      <c r="C13149" s="3" t="str">
        <f>IFERROR(__xludf.DUMMYFUNCTION("GOOGLETRANSLATE(B13149,""id"",""en"")"),"['Sinyal', 'stable', 'MyTelkomsel', 'Ngak', 'opened', 'screen', 'white', 'Please', 'noticed', ""]")</f>
        <v>['Sinyal', 'stable', 'MyTelkomsel', 'Ngak', 'opened', 'screen', 'white', 'Please', 'noticed', "]</v>
      </c>
      <c r="D13149" s="3">
        <v>1.0</v>
      </c>
    </row>
    <row r="13150" ht="15.75" customHeight="1">
      <c r="A13150" s="1">
        <v>13999.0</v>
      </c>
      <c r="B13150" s="3" t="s">
        <v>12544</v>
      </c>
      <c r="C13150" s="3" t="str">
        <f>IFERROR(__xludf.DUMMYFUNCTION("GOOGLETRANSLATE(B13150,""id"",""en"")"),"['Get', 'Hadia']")</f>
        <v>['Get', 'Hadia']</v>
      </c>
      <c r="D13150" s="3">
        <v>5.0</v>
      </c>
    </row>
    <row r="13151" ht="15.75" customHeight="1">
      <c r="A13151" s="1">
        <v>14000.0</v>
      </c>
      <c r="B13151" s="3" t="s">
        <v>2795</v>
      </c>
      <c r="C13151" s="3" t="str">
        <f>IFERROR(__xludf.DUMMYFUNCTION("GOOGLETRANSLATE(B13151,""id"",""en"")"),"['Use', 'Telkomsel']")</f>
        <v>['Use', 'Telkomsel']</v>
      </c>
      <c r="D13151" s="3">
        <v>4.0</v>
      </c>
    </row>
    <row r="13152" ht="15.75" customHeight="1">
      <c r="A13152" s="1">
        <v>14001.0</v>
      </c>
      <c r="B13152" s="3" t="s">
        <v>12545</v>
      </c>
      <c r="C13152" s="3" t="str">
        <f>IFERROR(__xludf.DUMMYFUNCTION("GOOGLETRANSLATE(B13152,""id"",""en"")"),"['run out', 'package', 'main', 'leftover', 'package', 'unlimited', 'slow', 'normal', 'difficult', 'play', 'game']")</f>
        <v>['run out', 'package', 'main', 'leftover', 'package', 'unlimited', 'slow', 'normal', 'difficult', 'play', 'game']</v>
      </c>
      <c r="D13152" s="3">
        <v>1.0</v>
      </c>
    </row>
    <row r="13153" ht="15.75" customHeight="1">
      <c r="A13153" s="1">
        <v>14002.0</v>
      </c>
      <c r="B13153" s="3" t="s">
        <v>12546</v>
      </c>
      <c r="C13153" s="3" t="str">
        <f>IFERROR(__xludf.DUMMYFUNCTION("GOOGLETRANSLATE(B13153,""id"",""en"")"),"['apk', 'okay', 'package', 'expensive', 'different', 'package', 'next door', 'price', 'cheap']")</f>
        <v>['apk', 'okay', 'package', 'expensive', 'different', 'package', 'next door', 'price', 'cheap']</v>
      </c>
      <c r="D13153" s="3">
        <v>2.0</v>
      </c>
    </row>
    <row r="13154" ht="15.75" customHeight="1">
      <c r="A13154" s="1">
        <v>14003.0</v>
      </c>
      <c r="B13154" s="3" t="s">
        <v>12547</v>
      </c>
      <c r="C13154" s="3" t="str">
        <f>IFERROR(__xludf.DUMMYFUNCTION("GOOGLETRANSLATE(B13154,""id"",""en"")"),"['Level', 'Promo', 'Telkomsel', 'Nya']")</f>
        <v>['Level', 'Promo', 'Telkomsel', 'Nya']</v>
      </c>
      <c r="D13154" s="3">
        <v>5.0</v>
      </c>
    </row>
    <row r="13155" ht="15.75" customHeight="1">
      <c r="A13155" s="1">
        <v>14004.0</v>
      </c>
      <c r="B13155" s="3" t="s">
        <v>12548</v>
      </c>
      <c r="C13155" s="3" t="str">
        <f>IFERROR(__xludf.DUMMYFUNCTION("GOOGLETRANSLATE(B13155,""id"",""en"")"),"['Nakar', 'coin', 'can', 'klu', 'bsa', 'puh', 'hrs',' pke ',' plsa ',' mls', 'ahh', 'mndi', ' MKE ',' KRTU ',' SBLH ',' BSA ',' Face ',' Coins', 'DGA', 'Package', 'Data', 'TRS', 'MTONG', 'PLSA', 'KLU' , 'Nukar', 'coin', 'hrs', 'plsa', 'pecma', 'coin', 'tp"&amp;"i', 'bsh', 'exchange']")</f>
        <v>['Nakar', 'coin', 'can', 'klu', 'bsa', 'puh', 'hrs',' pke ',' plsa ',' mls', 'ahh', 'mndi', ' MKE ',' KRTU ',' SBLH ',' BSA ',' Face ',' Coins', 'DGA', 'Package', 'Data', 'TRS', 'MTONG', 'PLSA', 'KLU' , 'Nukar', 'coin', 'hrs', 'plsa', 'pecma', 'coin', 'tpi', 'bsh', 'exchange']</v>
      </c>
      <c r="D13155" s="3">
        <v>1.0</v>
      </c>
    </row>
    <row r="13156" ht="15.75" customHeight="1">
      <c r="A13156" s="1">
        <v>14005.0</v>
      </c>
      <c r="B13156" s="3" t="s">
        <v>12549</v>
      </c>
      <c r="C13156" s="3" t="str">
        <f>IFERROR(__xludf.DUMMYFUNCTION("GOOGLETRANSLATE(B13156,""id"",""en"")"),"['Star', 'application', 'defective', 'opened', 'disappointed', 'really', 'nget', 'nget', 'Telkomsel', ""]")</f>
        <v>['Star', 'application', 'defective', 'opened', 'disappointed', 'really', 'nget', 'nget', 'Telkomsel', "]</v>
      </c>
      <c r="D13156" s="3">
        <v>1.0</v>
      </c>
    </row>
    <row r="13157" ht="15.75" customHeight="1">
      <c r="A13157" s="1">
        <v>14006.0</v>
      </c>
      <c r="B13157" s="3" t="s">
        <v>12550</v>
      </c>
      <c r="C13157" s="3" t="str">
        <f>IFERROR(__xludf.DUMMYFUNCTION("GOOGLETRANSLATE(B13157,""id"",""en"")"),"['', 'Application', 'Open', '']")</f>
        <v>['', 'Application', 'Open', '']</v>
      </c>
      <c r="D13157" s="3">
        <v>1.0</v>
      </c>
    </row>
    <row r="13158" ht="15.75" customHeight="1">
      <c r="A13158" s="1">
        <v>14007.0</v>
      </c>
      <c r="B13158" s="3" t="s">
        <v>12551</v>
      </c>
      <c r="C13158" s="3" t="str">
        <f>IFERROR(__xludf.DUMMYFUNCTION("GOOGLETRANSLATE(B13158,""id"",""en"")"),"['times',' Cot ',' Kelen ',' told ',' Inila ',' Cht ',' Inilaa ',' Ngewakili ',' Everything ',' Ribetin ',' Need ',' Telkomsel ',' again ', ""]")</f>
        <v>['times',' Cot ',' Kelen ',' told ',' Inila ',' Cht ',' Inilaa ',' Ngewakili ',' Everything ',' Ribetin ',' Need ',' Telkomsel ',' again ', "]</v>
      </c>
      <c r="D13158" s="3">
        <v>1.0</v>
      </c>
    </row>
    <row r="13159" ht="15.75" customHeight="1">
      <c r="A13159" s="1">
        <v>14008.0</v>
      </c>
      <c r="B13159" s="3" t="s">
        <v>12552</v>
      </c>
      <c r="C13159" s="3" t="str">
        <f>IFERROR(__xludf.DUMMYFUNCTION("GOOGLETRANSLATE(B13159,""id"",""en"")"),"['My APK', 'vaginal discharge', 'opened']")</f>
        <v>['My APK', 'vaginal discharge', 'opened']</v>
      </c>
      <c r="D13159" s="3">
        <v>1.0</v>
      </c>
    </row>
    <row r="13160" ht="15.75" customHeight="1">
      <c r="A13160" s="1">
        <v>14009.0</v>
      </c>
      <c r="B13160" s="3" t="s">
        <v>12553</v>
      </c>
      <c r="C13160" s="3" t="str">
        <f>IFERROR(__xludf.DUMMYFUNCTION("GOOGLETRANSLATE(B13160,""id"",""en"")"),"['paraaaah', 'skrg', 'Telkomsel', 'Massa', 'hit', 'zone', 'buy', 'package', 'area', 'regret', 'now', 'Ngsi', ' Paketan ',' sympathy ',' hit ',' zone ',' right ',' DFTAR ',' list ',' Kampung ',' ']")</f>
        <v>['paraaaah', 'skrg', 'Telkomsel', 'Massa', 'hit', 'zone', 'buy', 'package', 'area', 'regret', 'now', 'Ngsi', ' Paketan ',' sympathy ',' hit ',' zone ',' right ',' DFTAR ',' list ',' Kampung ',' ']</v>
      </c>
      <c r="D13160" s="3">
        <v>1.0</v>
      </c>
    </row>
    <row r="13161" ht="15.75" customHeight="1">
      <c r="A13161" s="1">
        <v>14010.0</v>
      </c>
      <c r="B13161" s="3" t="s">
        <v>12554</v>
      </c>
      <c r="C13161" s="3" t="str">
        <f>IFERROR(__xludf.DUMMYFUNCTION("GOOGLETRANSLATE(B13161,""id"",""en"")"),"['fare', 'internet', 'expensive', 'rare', 'contents', 'pulse', 'can', 'quota', 'internet', 'free', 'thank', 'love']")</f>
        <v>['fare', 'internet', 'expensive', 'rare', 'contents', 'pulse', 'can', 'quota', 'internet', 'free', 'thank', 'love']</v>
      </c>
      <c r="D13161" s="3">
        <v>5.0</v>
      </c>
    </row>
    <row r="13162" ht="15.75" customHeight="1">
      <c r="A13162" s="1">
        <v>14011.0</v>
      </c>
      <c r="B13162" s="3" t="s">
        <v>9019</v>
      </c>
      <c r="C13162" s="3" t="str">
        <f>IFERROR(__xludf.DUMMYFUNCTION("GOOGLETRANSLATE(B13162,""id"",""en"")"),"['Open', 'APK']")</f>
        <v>['Open', 'APK']</v>
      </c>
      <c r="D13162" s="3">
        <v>2.0</v>
      </c>
    </row>
    <row r="13163" ht="15.75" customHeight="1">
      <c r="A13163" s="1">
        <v>14012.0</v>
      </c>
      <c r="B13163" s="3" t="s">
        <v>12555</v>
      </c>
      <c r="C13163" s="3" t="str">
        <f>IFERROR(__xludf.DUMMYFUNCTION("GOOGLETRANSLATE(B13163,""id"",""en"")"),"['Maap', 'application', 'open', 'color', 'white', 'appear']")</f>
        <v>['Maap', 'application', 'open', 'color', 'white', 'appear']</v>
      </c>
      <c r="D13163" s="3">
        <v>1.0</v>
      </c>
    </row>
    <row r="13164" ht="15.75" customHeight="1">
      <c r="A13164" s="1">
        <v>14013.0</v>
      </c>
      <c r="B13164" s="3" t="s">
        <v>12556</v>
      </c>
      <c r="C13164" s="3" t="str">
        <f>IFERROR(__xludf.DUMMYFUNCTION("GOOGLETRANSLATE(B13164,""id"",""en"")"),"['like', 'application', 'help', ""]")</f>
        <v>['like', 'application', 'help', "]</v>
      </c>
      <c r="D13164" s="3">
        <v>5.0</v>
      </c>
    </row>
    <row r="13165" ht="15.75" customHeight="1">
      <c r="A13165" s="1">
        <v>14014.0</v>
      </c>
      <c r="B13165" s="3" t="s">
        <v>12557</v>
      </c>
      <c r="C13165" s="3" t="str">
        <f>IFERROR(__xludf.DUMMYFUNCTION("GOOGLETRANSLATE(B13165,""id"",""en"")"),"['Helpful', 'See', 'Package', 'Buy']")</f>
        <v>['Helpful', 'See', 'Package', 'Buy']</v>
      </c>
      <c r="D13165" s="3">
        <v>5.0</v>
      </c>
    </row>
    <row r="13166" ht="15.75" customHeight="1">
      <c r="A13166" s="1">
        <v>14016.0</v>
      </c>
      <c r="B13166" s="3" t="s">
        <v>12558</v>
      </c>
      <c r="C13166" s="3" t="str">
        <f>IFERROR(__xludf.DUMMYFUNCTION("GOOGLETRANSLATE(B13166,""id"",""en"")"),"['easy', 'buy', 'pulse', 'application', 'Telkomsel', 'opened', 'Telkomsel', 'Trabel', 'Application', 'Telkomsel', 'opened', ""]")</f>
        <v>['easy', 'buy', 'pulse', 'application', 'Telkomsel', 'opened', 'Telkomsel', 'Trabel', 'Application', 'Telkomsel', 'opened', "]</v>
      </c>
      <c r="D13166" s="3">
        <v>2.0</v>
      </c>
    </row>
    <row r="13167" ht="15.75" customHeight="1">
      <c r="A13167" s="1">
        <v>14017.0</v>
      </c>
      <c r="B13167" s="3" t="s">
        <v>12559</v>
      </c>
      <c r="C13167" s="3" t="str">
        <f>IFERROR(__xludf.DUMMYFUNCTION("GOOGLETRANSLATE(B13167,""id"",""en"")"),"['Open', 'Application', 'Please', 'Fix', '']")</f>
        <v>['Open', 'Application', 'Please', 'Fix', '']</v>
      </c>
      <c r="D13167" s="3">
        <v>1.0</v>
      </c>
    </row>
    <row r="13168" ht="15.75" customHeight="1">
      <c r="A13168" s="1">
        <v>14018.0</v>
      </c>
      <c r="B13168" s="3" t="s">
        <v>12560</v>
      </c>
      <c r="C13168" s="3" t="str">
        <f>IFERROR(__xludf.DUMMYFUNCTION("GOOGLETRANSLATE(B13168,""id"",""en"")"),"['BSA', 'opened']")</f>
        <v>['BSA', 'opened']</v>
      </c>
      <c r="D13168" s="3">
        <v>1.0</v>
      </c>
    </row>
    <row r="13169" ht="15.75" customHeight="1">
      <c r="A13169" s="1">
        <v>14019.0</v>
      </c>
      <c r="B13169" s="3" t="s">
        <v>12561</v>
      </c>
      <c r="C13169" s="3" t="str">
        <f>IFERROR(__xludf.DUMMYFUNCTION("GOOGLETRANSLATE(B13169,""id"",""en"")"),"['APK', 'Good', 'like', '']")</f>
        <v>['APK', 'Good', 'like', '']</v>
      </c>
      <c r="D13169" s="3">
        <v>5.0</v>
      </c>
    </row>
    <row r="13170" ht="15.75" customHeight="1">
      <c r="A13170" s="1">
        <v>14020.0</v>
      </c>
      <c r="B13170" s="3" t="s">
        <v>986</v>
      </c>
      <c r="C13170" s="3" t="str">
        <f>IFERROR(__xludf.DUMMYFUNCTION("GOOGLETRANSLATE(B13170,""id"",""en"")"),"['service', '']")</f>
        <v>['service', '']</v>
      </c>
      <c r="D13170" s="3">
        <v>5.0</v>
      </c>
    </row>
    <row r="13171" ht="15.75" customHeight="1">
      <c r="A13171" s="1">
        <v>14021.0</v>
      </c>
      <c r="B13171" s="3" t="s">
        <v>12562</v>
      </c>
      <c r="C13171" s="3" t="str">
        <f>IFERROR(__xludf.DUMMYFUNCTION("GOOGLETRANSLATE(B13171,""id"",""en"")"),"['Mentang', 'UDH', 'Upgrade', 'UDH', 'Support', 'System', 'App', 'Tengok']")</f>
        <v>['Mentang', 'UDH', 'Upgrade', 'UDH', 'Support', 'System', 'App', 'Tengok']</v>
      </c>
      <c r="D13171" s="3">
        <v>1.0</v>
      </c>
    </row>
    <row r="13172" ht="15.75" customHeight="1">
      <c r="A13172" s="1">
        <v>14022.0</v>
      </c>
      <c r="B13172" s="3" t="s">
        <v>12563</v>
      </c>
      <c r="C13172" s="3" t="str">
        <f>IFERROR(__xludf.DUMMYFUNCTION("GOOGLETRANSLATE(B13172,""id"",""en"")"),"['Good', 'makes it easy', '']")</f>
        <v>['Good', 'makes it easy', '']</v>
      </c>
      <c r="D13172" s="3">
        <v>5.0</v>
      </c>
    </row>
    <row r="13173" ht="15.75" customHeight="1">
      <c r="A13173" s="1">
        <v>14023.0</v>
      </c>
      <c r="B13173" s="3" t="s">
        <v>12564</v>
      </c>
      <c r="C13173" s="3" t="str">
        <f>IFERROR(__xludf.DUMMYFUNCTION("GOOGLETRANSLATE(B13173,""id"",""en"")"),"['play', 'pub', 'nge', 'lag', 'play', 'mobile', 'legend', 'nge', 'lag', 'price', 'expensive', 'signal', ' Ngellag ',' Dahlah ',' ']")</f>
        <v>['play', 'pub', 'nge', 'lag', 'play', 'mobile', 'legend', 'nge', 'lag', 'price', 'expensive', 'signal', ' Ngellag ',' Dahlah ',' ']</v>
      </c>
      <c r="D13173" s="3">
        <v>1.0</v>
      </c>
    </row>
    <row r="13174" ht="15.75" customHeight="1">
      <c r="A13174" s="1">
        <v>14024.0</v>
      </c>
      <c r="B13174" s="3" t="s">
        <v>10184</v>
      </c>
      <c r="C13174" s="3" t="str">
        <f>IFERROR(__xludf.DUMMYFUNCTION("GOOGLETRANSLATE(B13174,""id"",""en"")"),"['easy', 'access']")</f>
        <v>['easy', 'access']</v>
      </c>
      <c r="D13174" s="3">
        <v>5.0</v>
      </c>
    </row>
    <row r="13175" ht="15.75" customHeight="1">
      <c r="A13175" s="1">
        <v>14025.0</v>
      </c>
      <c r="B13175" s="3" t="s">
        <v>12565</v>
      </c>
      <c r="C13175" s="3" t="str">
        <f>IFERROR(__xludf.DUMMYFUNCTION("GOOGLETRANSLATE(B13175,""id"",""en"")"),"['Make', 'Package', 'Cheap', 'User', 'Telkomsel', 'People']")</f>
        <v>['Make', 'Package', 'Cheap', 'User', 'Telkomsel', 'People']</v>
      </c>
      <c r="D13175" s="3">
        <v>5.0</v>
      </c>
    </row>
    <row r="13176" ht="15.75" customHeight="1">
      <c r="A13176" s="1">
        <v>14026.0</v>
      </c>
      <c r="B13176" s="3" t="s">
        <v>12566</v>
      </c>
      <c r="C13176" s="3" t="str">
        <f>IFERROR(__xludf.DUMMYFUNCTION("GOOGLETRANSLATE(B13176,""id"",""en"")"),"['rotten', 'application', 'open', 'blank', 'white', 'buy', 'package', '']")</f>
        <v>['rotten', 'application', 'open', 'blank', 'white', 'buy', 'package', '']</v>
      </c>
      <c r="D13176" s="3">
        <v>1.0</v>
      </c>
    </row>
    <row r="13177" ht="15.75" customHeight="1">
      <c r="A13177" s="1">
        <v>14027.0</v>
      </c>
      <c r="B13177" s="3" t="s">
        <v>12567</v>
      </c>
      <c r="C13177" s="3" t="str">
        <f>IFERROR(__xludf.DUMMYFUNCTION("GOOGLETRANSLATE(B13177,""id"",""en"")"),"['', 'activated', 'package', 'suck', 'pulse', 'steal', 'money', 'willing', 'suck', 'pulses', 'base', 'thief', "" ]")</f>
        <v>['', 'activated', 'package', 'suck', 'pulse', 'steal', 'money', 'willing', 'suck', 'pulses', 'base', 'thief', " ]</v>
      </c>
      <c r="D13177" s="3">
        <v>1.0</v>
      </c>
    </row>
    <row r="13178" ht="15.75" customHeight="1">
      <c r="A13178" s="1">
        <v>14028.0</v>
      </c>
      <c r="B13178" s="3" t="s">
        <v>12568</v>
      </c>
      <c r="C13178" s="3" t="str">
        <f>IFERROR(__xludf.DUMMYFUNCTION("GOOGLETRANSLATE(B13178,""id"",""en"")"),"['signal', 'internet', 'okay']")</f>
        <v>['signal', 'internet', 'okay']</v>
      </c>
      <c r="D13178" s="3">
        <v>4.0</v>
      </c>
    </row>
    <row r="13179" ht="15.75" customHeight="1">
      <c r="A13179" s="1">
        <v>14029.0</v>
      </c>
      <c r="B13179" s="3" t="s">
        <v>12569</v>
      </c>
      <c r="C13179" s="3" t="str">
        <f>IFERROR(__xludf.DUMMYFUNCTION("GOOGLETRANSLATE(B13179,""id"",""en"")"),"['Application', 'opened', 'Disappointed', 'opened', 'star', 'Changed', '']")</f>
        <v>['Application', 'opened', 'Disappointed', 'opened', 'star', 'Changed', '']</v>
      </c>
      <c r="D13179" s="3">
        <v>1.0</v>
      </c>
    </row>
    <row r="13180" ht="15.75" customHeight="1">
      <c r="A13180" s="1">
        <v>14030.0</v>
      </c>
      <c r="B13180" s="3" t="s">
        <v>12570</v>
      </c>
      <c r="C13180" s="3" t="str">
        <f>IFERROR(__xludf.DUMMYFUNCTION("GOOGLETRANSLATE(B13180,""id"",""en"")"),"['expensive', 'signal', 'chapter', '']")</f>
        <v>['expensive', 'signal', 'chapter', '']</v>
      </c>
      <c r="D13180" s="3">
        <v>1.0</v>
      </c>
    </row>
    <row r="13181" ht="15.75" customHeight="1">
      <c r="A13181" s="1">
        <v>14031.0</v>
      </c>
      <c r="B13181" s="3" t="s">
        <v>12571</v>
      </c>
      <c r="C13181" s="3" t="str">
        <f>IFERROR(__xludf.DUMMYFUNCTION("GOOGLETRANSLATE(B13181,""id"",""en"")"),"['Kirain', 'Doang', 'the screen', 'White', 'right', 'Open', 'intentional', 'Consumer', 'Switch', 'Telkomsel', 'BUMN', 'Closed', ' Replaced ',' Private ',' ']")</f>
        <v>['Kirain', 'Doang', 'the screen', 'White', 'right', 'Open', 'intentional', 'Consumer', 'Switch', 'Telkomsel', 'BUMN', 'Closed', ' Replaced ',' Private ',' ']</v>
      </c>
      <c r="D13181" s="3">
        <v>5.0</v>
      </c>
    </row>
    <row r="13182" ht="15.75" customHeight="1">
      <c r="A13182" s="1">
        <v>14032.0</v>
      </c>
      <c r="B13182" s="3" t="s">
        <v>12572</v>
      </c>
      <c r="C13182" s="3" t="str">
        <f>IFERROR(__xludf.DUMMYFUNCTION("GOOGLETRANSLATE(B13182,""id"",""en"")"),"['Indonesian', 'healthy', 'peace', 'prosper']")</f>
        <v>['Indonesian', 'healthy', 'peace', 'prosper']</v>
      </c>
      <c r="D13182" s="3">
        <v>5.0</v>
      </c>
    </row>
    <row r="13183" ht="15.75" customHeight="1">
      <c r="A13183" s="1">
        <v>14033.0</v>
      </c>
      <c r="B13183" s="3" t="s">
        <v>12573</v>
      </c>
      <c r="C13183" s="3" t="str">
        <f>IFERROR(__xludf.DUMMYFUNCTION("GOOGLETRANSLATE(B13183,""id"",""en"")"),"['DiFix', 'Android', '']")</f>
        <v>['DiFix', 'Android', '']</v>
      </c>
      <c r="D13183" s="3">
        <v>5.0</v>
      </c>
    </row>
    <row r="13184" ht="15.75" customHeight="1">
      <c r="A13184" s="1">
        <v>14034.0</v>
      </c>
      <c r="B13184" s="3" t="s">
        <v>12574</v>
      </c>
      <c r="C13184" s="3" t="str">
        <f>IFERROR(__xludf.DUMMYFUNCTION("GOOGLETRANSLATE(B13184,""id"",""en"")"),"['Knp', 'enter', 'open', 'application']")</f>
        <v>['Knp', 'enter', 'open', 'application']</v>
      </c>
      <c r="D13184" s="3">
        <v>5.0</v>
      </c>
    </row>
    <row r="13185" ht="15.75" customHeight="1">
      <c r="A13185" s="1">
        <v>14035.0</v>
      </c>
      <c r="B13185" s="3" t="s">
        <v>12575</v>
      </c>
      <c r="C13185" s="3" t="str">
        <f>IFERROR(__xludf.DUMMYFUNCTION("GOOGLETRANSLATE(B13185,""id"",""en"")"),"['Telkomsel', 'Bloon', 'buy', 'package', 'difficult', 'pulse', 'buy', 'package', 'Bloon', '']")</f>
        <v>['Telkomsel', 'Bloon', 'buy', 'package', 'difficult', 'pulse', 'buy', 'package', 'Bloon', '']</v>
      </c>
      <c r="D13185" s="3">
        <v>1.0</v>
      </c>
    </row>
    <row r="13186" ht="15.75" customHeight="1">
      <c r="A13186" s="1">
        <v>14036.0</v>
      </c>
      <c r="B13186" s="3" t="s">
        <v>12576</v>
      </c>
      <c r="C13186" s="3" t="str">
        <f>IFERROR(__xludf.DUMMYFUNCTION("GOOGLETRANSLATE(B13186,""id"",""en"")"),"['Loading', 'Open', 'Application', 'Telkomsel', 'ugly', 'Fermor']")</f>
        <v>['Loading', 'Open', 'Application', 'Telkomsel', 'ugly', 'Fermor']</v>
      </c>
      <c r="D13186" s="3">
        <v>1.0</v>
      </c>
    </row>
    <row r="13187" ht="15.75" customHeight="1">
      <c r="A13187" s="1">
        <v>14037.0</v>
      </c>
      <c r="B13187" s="3" t="s">
        <v>12577</v>
      </c>
      <c r="C13187" s="3" t="str">
        <f>IFERROR(__xludf.DUMMYFUNCTION("GOOGLETRANSLATE(B13187,""id"",""en"")"),"['update', 'open']")</f>
        <v>['update', 'open']</v>
      </c>
      <c r="D13187" s="3">
        <v>1.0</v>
      </c>
    </row>
    <row r="13188" ht="15.75" customHeight="1">
      <c r="A13188" s="1">
        <v>14038.0</v>
      </c>
      <c r="B13188" s="3" t="s">
        <v>12578</v>
      </c>
      <c r="C13188" s="3" t="str">
        <f>IFERROR(__xludf.DUMMYFUNCTION("GOOGLETRANSLATE(B13188,""id"",""en"")"),"['Sometimes', 'Error']")</f>
        <v>['Sometimes', 'Error']</v>
      </c>
      <c r="D13188" s="3">
        <v>5.0</v>
      </c>
    </row>
    <row r="13189" ht="15.75" customHeight="1">
      <c r="A13189" s="1">
        <v>14039.0</v>
      </c>
      <c r="B13189" s="3" t="s">
        <v>12579</v>
      </c>
      <c r="C13189" s="3" t="str">
        <f>IFERROR(__xludf.DUMMYFUNCTION("GOOGLETRANSLATE(B13189,""id"",""en"")"),"['Application', 'right', 'opened', 'difficult']")</f>
        <v>['Application', 'right', 'opened', 'difficult']</v>
      </c>
      <c r="D13189" s="3">
        <v>1.0</v>
      </c>
    </row>
    <row r="13190" ht="15.75" customHeight="1">
      <c r="A13190" s="1">
        <v>14040.0</v>
      </c>
      <c r="B13190" s="3" t="s">
        <v>12580</v>
      </c>
      <c r="C13190" s="3" t="str">
        <f>IFERROR(__xludf.DUMMYFUNCTION("GOOGLETRANSLATE(B13190,""id"",""en"")"),"['Application', 'Taik', 'open', 'Many', 'times', 'Download', 'reset', 'open', 'bgsat']")</f>
        <v>['Application', 'Taik', 'open', 'Many', 'times', 'Download', 'reset', 'open', 'bgsat']</v>
      </c>
      <c r="D13190" s="3">
        <v>1.0</v>
      </c>
    </row>
    <row r="13191" ht="15.75" customHeight="1">
      <c r="A13191" s="1">
        <v>14041.0</v>
      </c>
      <c r="B13191" s="3" t="s">
        <v>12581</v>
      </c>
      <c r="C13191" s="3" t="str">
        <f>IFERROR(__xludf.DUMMYFUNCTION("GOOGLETRANSLATE(B13191,""id"",""en"")"),"['Fix', 'like', 'Purchase', 'Package', 'repeat', 'Karna', 'purchase', 'process',' mind ',' process', 'fail', 'do', ' Purchases', 'Packages',' Different ',' times', 'Cancel', 'Process',' Third ', ""]")</f>
        <v>['Fix', 'like', 'Purchase', 'Package', 'repeat', 'Karna', 'purchase', 'process',' mind ',' process', 'fail', 'do', ' Purchases', 'Packages',' Different ',' times', 'Cancel', 'Process',' Third ', "]</v>
      </c>
      <c r="D13191" s="3">
        <v>2.0</v>
      </c>
    </row>
    <row r="13192" ht="15.75" customHeight="1">
      <c r="A13192" s="1">
        <v>14042.0</v>
      </c>
      <c r="B13192" s="3" t="s">
        <v>12582</v>
      </c>
      <c r="C13192" s="3" t="str">
        <f>IFERROR(__xludf.DUMMYFUNCTION("GOOGLETRANSLATE(B13192,""id"",""en"")"),"['sorry', 'times',' love ',' star ',' Akhr ',' speed ',' internet ',' slow ',' area ',' difficult ',' contact ',' service ',' application', '']")</f>
        <v>['sorry', 'times',' love ',' star ',' Akhr ',' speed ',' internet ',' slow ',' area ',' difficult ',' contact ',' service ',' application', '']</v>
      </c>
      <c r="D13192" s="3">
        <v>2.0</v>
      </c>
    </row>
    <row r="13193" ht="15.75" customHeight="1">
      <c r="A13193" s="1">
        <v>14043.0</v>
      </c>
      <c r="B13193" s="3" t="s">
        <v>12583</v>
      </c>
      <c r="C13193" s="3" t="str">
        <f>IFERROR(__xludf.DUMMYFUNCTION("GOOGLETRANSLATE(B13193,""id"",""en"")"),"['Alhamdulillah', 'already', 'promo', 'economical', 'money', 'promo', 'sinynya', 'bad', 'really', 'please', 'repaired', 'send', ' Tasks', 'late', 'Sometimes',' Until ',' For ',' Wait ',' Sent ']")</f>
        <v>['Alhamdulillah', 'already', 'promo', 'economical', 'money', 'promo', 'sinynya', 'bad', 'really', 'please', 'repaired', 'send', ' Tasks', 'late', 'Sometimes',' Until ',' For ',' Wait ',' Sent ']</v>
      </c>
      <c r="D13193" s="3">
        <v>4.0</v>
      </c>
    </row>
    <row r="13194" ht="15.75" customHeight="1">
      <c r="A13194" s="1">
        <v>14044.0</v>
      </c>
      <c r="B13194" s="3" t="s">
        <v>12584</v>
      </c>
      <c r="C13194" s="3" t="str">
        <f>IFERROR(__xludf.DUMMYFUNCTION("GOOGLETRANSLATE(B13194,""id"",""en"")"),"['Addition', 'number', 'application', 'Useful', '']")</f>
        <v>['Addition', 'number', 'application', 'Useful', '']</v>
      </c>
      <c r="D13194" s="3">
        <v>1.0</v>
      </c>
    </row>
    <row r="13195" ht="15.75" customHeight="1">
      <c r="A13195" s="1">
        <v>14045.0</v>
      </c>
      <c r="B13195" s="3" t="s">
        <v>12585</v>
      </c>
      <c r="C13195" s="3" t="str">
        <f>IFERROR(__xludf.DUMMYFUNCTION("GOOGLETRANSLATE(B13195,""id"",""en"")"),"['price', 'expensive', 'quality', 'signal', 'satisfying', 'please', 'Dunkk', 'repaired', 'saturated', 'application', 'run', 'loading', ' Mulu ']")</f>
        <v>['price', 'expensive', 'quality', 'signal', 'satisfying', 'please', 'Dunkk', 'repaired', 'saturated', 'application', 'run', 'loading', ' Mulu ']</v>
      </c>
      <c r="D13195" s="3">
        <v>1.0</v>
      </c>
    </row>
    <row r="13196" ht="15.75" customHeight="1">
      <c r="A13196" s="1">
        <v>14046.0</v>
      </c>
      <c r="B13196" s="3" t="s">
        <v>12586</v>
      </c>
      <c r="C13196" s="3" t="str">
        <f>IFERROR(__xludf.DUMMYFUNCTION("GOOGLETRANSLATE(B13196,""id"",""en"")"),"['', 'Nggk', 'opened', 'UDH', 'Uninstall', 'dwonload', 'Tetep', 'Nggk', 'opened', 'screen', 'white', ""]")</f>
        <v>['', 'Nggk', 'opened', 'UDH', 'Uninstall', 'dwonload', 'Tetep', 'Nggk', 'opened', 'screen', 'white', "]</v>
      </c>
      <c r="D13196" s="3">
        <v>1.0</v>
      </c>
    </row>
    <row r="13197" ht="15.75" customHeight="1">
      <c r="A13197" s="1">
        <v>14047.0</v>
      </c>
      <c r="B13197" s="3" t="s">
        <v>12587</v>
      </c>
      <c r="C13197" s="3" t="str">
        <f>IFERROR(__xludf.DUMMYFUNCTION("GOOGLETRANSLATE(B13197,""id"",""en"")"),"['Where', 'Exchange', 'Points', 'balance', 'Linkaja', 'admin', ""]")</f>
        <v>['Where', 'Exchange', 'Points', 'balance', 'Linkaja', 'admin', "]</v>
      </c>
      <c r="D13197" s="3">
        <v>5.0</v>
      </c>
    </row>
    <row r="13198" ht="15.75" customHeight="1">
      <c r="A13198" s="1">
        <v>14048.0</v>
      </c>
      <c r="B13198" s="3" t="s">
        <v>12588</v>
      </c>
      <c r="C13198" s="3" t="str">
        <f>IFERROR(__xludf.DUMMYFUNCTION("GOOGLETRANSLATE(B13198,""id"",""en"")"),"['like', 'really', 'just']")</f>
        <v>['like', 'really', 'just']</v>
      </c>
      <c r="D13198" s="3">
        <v>5.0</v>
      </c>
    </row>
    <row r="13199" ht="15.75" customHeight="1">
      <c r="A13199" s="1">
        <v>14049.0</v>
      </c>
      <c r="B13199" s="3" t="s">
        <v>12589</v>
      </c>
      <c r="C13199" s="3" t="str">
        <f>IFERROR(__xludf.DUMMYFUNCTION("GOOGLETRANSLATE(B13199,""id"",""en"")"),"['price', 'package', 'quota', 'fox', 'fox', 'mulu', 'package', 'use', 'appears',' network ',' bad ',' class', ' BUMN ']")</f>
        <v>['price', 'package', 'quota', 'fox', 'fox', 'mulu', 'package', 'use', 'appears',' network ',' bad ',' class', ' BUMN ']</v>
      </c>
      <c r="D13199" s="3">
        <v>1.0</v>
      </c>
    </row>
    <row r="13200" ht="15.75" customHeight="1">
      <c r="A13200" s="1">
        <v>14050.0</v>
      </c>
      <c r="B13200" s="3" t="s">
        <v>12590</v>
      </c>
      <c r="C13200" s="3" t="str">
        <f>IFERROR(__xludf.DUMMYFUNCTION("GOOGLETRANSLATE(B13200,""id"",""en"")"),"['package', 'expensive', 'signal', 'like', 'error']")</f>
        <v>['package', 'expensive', 'signal', 'like', 'error']</v>
      </c>
      <c r="D13200" s="3">
        <v>3.0</v>
      </c>
    </row>
    <row r="13201" ht="15.75" customHeight="1">
      <c r="A13201" s="1">
        <v>14051.0</v>
      </c>
      <c r="B13201" s="3" t="s">
        <v>12591</v>
      </c>
      <c r="C13201" s="3" t="str">
        <f>IFERROR(__xludf.DUMMYFUNCTION("GOOGLETRANSLATE(B13201,""id"",""en"")"),"['wahahaha', 'Review', 'full', 'emotion', 'delete', 'emang', 'looks',' good ',' emang ',' telkomsel ',' buy ',' package ',' a month ',' times', 'price', 'Dinaikin', 'touch', 'numbers',' save ',' need ',' college ',' online ',' imagine ',' ride ',' expensi"&amp;"ve ' , 'uda', 'royal', 'buy', 'package', 'telkomsel', 'quality', 'ugly', 'price', 'expensive', '']")</f>
        <v>['wahahaha', 'Review', 'full', 'emotion', 'delete', 'emang', 'looks',' good ',' emang ',' telkomsel ',' buy ',' package ',' a month ',' times', 'price', 'Dinaikin', 'touch', 'numbers',' save ',' need ',' college ',' online ',' imagine ',' ride ',' expensive ' , 'uda', 'royal', 'buy', 'package', 'telkomsel', 'quality', 'ugly', 'price', 'expensive', '']</v>
      </c>
      <c r="D13201" s="3">
        <v>1.0</v>
      </c>
    </row>
    <row r="13202" ht="15.75" customHeight="1">
      <c r="A13202" s="1">
        <v>14052.0</v>
      </c>
      <c r="B13202" s="3" t="s">
        <v>12592</v>
      </c>
      <c r="C13202" s="3" t="str">
        <f>IFERROR(__xludf.DUMMYFUNCTION("GOOGLETRANSLATE(B13202,""id"",""en"")"),"['Good', 'Tetab', 'Increase', '']")</f>
        <v>['Good', 'Tetab', 'Increase', '']</v>
      </c>
      <c r="D13202" s="3">
        <v>5.0</v>
      </c>
    </row>
    <row r="13203" ht="15.75" customHeight="1">
      <c r="A13203" s="1">
        <v>14053.0</v>
      </c>
      <c r="B13203" s="3" t="s">
        <v>12593</v>
      </c>
      <c r="C13203" s="3" t="str">
        <f>IFERROR(__xludf.DUMMYFUNCTION("GOOGLETRANSLATE(B13203,""id"",""en"")"),"['Downloaded', 'opened', 'Disappointed']")</f>
        <v>['Downloaded', 'opened', 'Disappointed']</v>
      </c>
      <c r="D13203" s="3">
        <v>1.0</v>
      </c>
    </row>
    <row r="13204" ht="15.75" customHeight="1">
      <c r="A13204" s="1">
        <v>14054.0</v>
      </c>
      <c r="B13204" s="3" t="s">
        <v>12594</v>
      </c>
      <c r="C13204" s="3" t="str">
        <f>IFERROR(__xludf.DUMMYFUNCTION("GOOGLETRANSLATE(B13204,""id"",""en"")"),"['APL', 'DPT', 'Opened']")</f>
        <v>['APL', 'DPT', 'Opened']</v>
      </c>
      <c r="D13204" s="3">
        <v>1.0</v>
      </c>
    </row>
    <row r="13205" ht="15.75" customHeight="1">
      <c r="A13205" s="1">
        <v>14055.0</v>
      </c>
      <c r="B13205" s="3" t="s">
        <v>12595</v>
      </c>
      <c r="C13205" s="3" t="str">
        <f>IFERROR(__xludf.DUMMYFUNCTION("GOOGLETRANSLATE(B13205,""id"",""en"")"),"['The application', 'opened', 'ugly', 'really', 'because', 'network', 'emang', 'the application', 'error', 'sya', 'uninstall', '']")</f>
        <v>['The application', 'opened', 'ugly', 'really', 'because', 'network', 'emang', 'the application', 'error', 'sya', 'uninstall', '']</v>
      </c>
      <c r="D13205" s="3">
        <v>1.0</v>
      </c>
    </row>
    <row r="13206" ht="15.75" customHeight="1">
      <c r="A13206" s="1">
        <v>14056.0</v>
      </c>
      <c r="B13206" s="3" t="s">
        <v>12596</v>
      </c>
      <c r="C13206" s="3" t="str">
        <f>IFERROR(__xludf.DUMMYFUNCTION("GOOGLETRANSLATE(B13206,""id"",""en"")"),"['MNTP', 'fast', '']")</f>
        <v>['MNTP', 'fast', '']</v>
      </c>
      <c r="D13206" s="3">
        <v>5.0</v>
      </c>
    </row>
    <row r="13207" ht="15.75" customHeight="1">
      <c r="A13207" s="1">
        <v>14057.0</v>
      </c>
      <c r="B13207" s="3" t="s">
        <v>1555</v>
      </c>
      <c r="C13207" s="3" t="str">
        <f>IFERROR(__xludf.DUMMYFUNCTION("GOOGLETRANSLATE(B13207,""id"",""en"")"),"['application', 'open', '']")</f>
        <v>['application', 'open', '']</v>
      </c>
      <c r="D13207" s="3">
        <v>1.0</v>
      </c>
    </row>
    <row r="13208" ht="15.75" customHeight="1">
      <c r="A13208" s="1">
        <v>14058.0</v>
      </c>
      <c r="B13208" s="3" t="s">
        <v>12597</v>
      </c>
      <c r="C13208" s="3" t="str">
        <f>IFERROR(__xludf.DUMMYFUNCTION("GOOGLETRANSLATE(B13208,""id"",""en"")"),"['Application', 'Tita']")</f>
        <v>['Application', 'Tita']</v>
      </c>
      <c r="D13208" s="3">
        <v>2.0</v>
      </c>
    </row>
    <row r="13209" ht="15.75" customHeight="1">
      <c r="A13209" s="1">
        <v>14059.0</v>
      </c>
      <c r="B13209" s="3" t="s">
        <v>12598</v>
      </c>
      <c r="C13209" s="3" t="str">
        <f>IFERROR(__xludf.DUMMYFUNCTION("GOOGLETRANSLATE(B13209,""id"",""en"")"),"['entry', 'application', 'enter', 'the application', 'color', 'white', 'please', 'fix']")</f>
        <v>['entry', 'application', 'enter', 'the application', 'color', 'white', 'please', 'fix']</v>
      </c>
      <c r="D13209" s="3">
        <v>1.0</v>
      </c>
    </row>
    <row r="13210" ht="15.75" customHeight="1">
      <c r="A13210" s="1">
        <v>14060.0</v>
      </c>
      <c r="B13210" s="3" t="s">
        <v>12599</v>
      </c>
      <c r="C13210" s="3" t="str">
        <f>IFERROR(__xludf.DUMMYFUNCTION("GOOGLETRANSLATE(B13210,""id"",""en"")"),"['The application', 'okay', 'really', 'help', 'check', 'package', 'buy', 'pulse', 'pay', 'shopeepay', 'poko', 'steady']")</f>
        <v>['The application', 'okay', 'really', 'help', 'check', 'package', 'buy', 'pulse', 'pay', 'shopeepay', 'poko', 'steady']</v>
      </c>
      <c r="D13210" s="3">
        <v>5.0</v>
      </c>
    </row>
    <row r="13211" ht="15.75" customHeight="1">
      <c r="A13211" s="1">
        <v>14061.0</v>
      </c>
      <c r="B13211" s="3" t="s">
        <v>12600</v>
      </c>
      <c r="C13211" s="3" t="str">
        <f>IFERROR(__xludf.DUMMYFUNCTION("GOOGLETRANSLATE(B13211,""id"",""en"")"),"['Satisfied', 'service', 'MyTelkomsel']")</f>
        <v>['Satisfied', 'service', 'MyTelkomsel']</v>
      </c>
      <c r="D13211" s="3">
        <v>5.0</v>
      </c>
    </row>
    <row r="13212" ht="15.75" customHeight="1">
      <c r="A13212" s="1">
        <v>14062.0</v>
      </c>
      <c r="B13212" s="3" t="s">
        <v>12601</v>
      </c>
      <c r="C13212" s="3" t="str">
        <f>IFERROR(__xludf.DUMMYFUNCTION("GOOGLETRANSLATE(B13212,""id"",""en"")"),"['Application', 'Telkomsel', 'Damaged']")</f>
        <v>['Application', 'Telkomsel', 'Damaged']</v>
      </c>
      <c r="D13212" s="3">
        <v>2.0</v>
      </c>
    </row>
    <row r="13213" ht="15.75" customHeight="1">
      <c r="A13213" s="1">
        <v>14063.0</v>
      </c>
      <c r="B13213" s="3" t="s">
        <v>12602</v>
      </c>
      <c r="C13213" s="3" t="str">
        <f>IFERROR(__xludf.DUMMYFUNCTION("GOOGLETRANSLATE(B13213,""id"",""en"")"),"['Pulse', 'Sumpot', 'Transaction']")</f>
        <v>['Pulse', 'Sumpot', 'Transaction']</v>
      </c>
      <c r="D13213" s="3">
        <v>1.0</v>
      </c>
    </row>
    <row r="13214" ht="15.75" customHeight="1">
      <c r="A13214" s="1">
        <v>14064.0</v>
      </c>
      <c r="B13214" s="3" t="s">
        <v>5328</v>
      </c>
      <c r="C13214" s="3" t="str">
        <f>IFERROR(__xludf.DUMMYFUNCTION("GOOGLETRANSLATE(B13214,""id"",""en"")"),"['signal', 'missing']")</f>
        <v>['signal', 'missing']</v>
      </c>
      <c r="D13214" s="3">
        <v>1.0</v>
      </c>
    </row>
    <row r="13215" ht="15.75" customHeight="1">
      <c r="A13215" s="1">
        <v>14065.0</v>
      </c>
      <c r="B13215" s="3" t="s">
        <v>2127</v>
      </c>
      <c r="C13215" s="3" t="str">
        <f>IFERROR(__xludf.DUMMYFUNCTION("GOOGLETRANSLATE(B13215,""id"",""en"")"),"['easy']")</f>
        <v>['easy']</v>
      </c>
      <c r="D13215" s="3">
        <v>5.0</v>
      </c>
    </row>
    <row r="13216" ht="15.75" customHeight="1">
      <c r="A13216" s="1">
        <v>14066.0</v>
      </c>
      <c r="B13216" s="3" t="s">
        <v>12603</v>
      </c>
      <c r="C13216" s="3" t="str">
        <f>IFERROR(__xludf.DUMMYFUNCTION("GOOGLETRANSLATE(B13216,""id"",""en"")"),"['Steady', 'promo', '']")</f>
        <v>['Steady', 'promo', '']</v>
      </c>
      <c r="D13216" s="3">
        <v>5.0</v>
      </c>
    </row>
    <row r="13217" ht="15.75" customHeight="1">
      <c r="A13217" s="1">
        <v>14068.0</v>
      </c>
      <c r="B13217" s="3" t="s">
        <v>12604</v>
      </c>
      <c r="C13217" s="3" t="str">
        <f>IFERROR(__xludf.DUMMYFUNCTION("GOOGLETRANSLATE(B13217,""id"",""en"")"),"['pulse', 'ribuku', 'missing', 'quota', 'a day', 'sells', 'expends', 'money']")</f>
        <v>['pulse', 'ribuku', 'missing', 'quota', 'a day', 'sells', 'expends', 'money']</v>
      </c>
      <c r="D13217" s="3">
        <v>1.0</v>
      </c>
    </row>
    <row r="13218" ht="15.75" customHeight="1">
      <c r="A13218" s="1">
        <v>14070.0</v>
      </c>
      <c r="B13218" s="3" t="s">
        <v>12605</v>
      </c>
      <c r="C13218" s="3" t="str">
        <f>IFERROR(__xludf.DUMMYFUNCTION("GOOGLETRANSLATE(B13218,""id"",""en"")"),"['package', 'expensive', 'network', 'severe', 'ngeleg']")</f>
        <v>['package', 'expensive', 'network', 'severe', 'ngeleg']</v>
      </c>
      <c r="D13218" s="3">
        <v>1.0</v>
      </c>
    </row>
    <row r="13219" ht="15.75" customHeight="1">
      <c r="A13219" s="1">
        <v>14071.0</v>
      </c>
      <c r="B13219" s="3" t="s">
        <v>12606</v>
      </c>
      <c r="C13219" s="3" t="str">
        <f>IFERROR(__xludf.DUMMYFUNCTION("GOOGLETRANSLATE(B13219,""id"",""en"")"),"['price', 'many', 'times', 'folding', 'populat', 'sorry', 'star', 'Lower', '']")</f>
        <v>['price', 'many', 'times', 'folding', 'populat', 'sorry', 'star', 'Lower', '']</v>
      </c>
      <c r="D13219" s="3">
        <v>1.0</v>
      </c>
    </row>
    <row r="13220" ht="15.75" customHeight="1">
      <c r="A13220" s="1">
        <v>14072.0</v>
      </c>
      <c r="B13220" s="3" t="s">
        <v>12607</v>
      </c>
      <c r="C13220" s="3" t="str">
        <f>IFERROR(__xludf.DUMMYFUNCTION("GOOGLETRANSLATE(B13220,""id"",""en"")"),"['trimakasi', 'fabricated']")</f>
        <v>['trimakasi', 'fabricated']</v>
      </c>
      <c r="D13220" s="3">
        <v>5.0</v>
      </c>
    </row>
    <row r="13221" ht="15.75" customHeight="1">
      <c r="A13221" s="1">
        <v>14073.0</v>
      </c>
      <c r="B13221" s="3" t="s">
        <v>12608</v>
      </c>
      <c r="C13221" s="3" t="str">
        <f>IFERROR(__xludf.DUMMYFUNCTION("GOOGLETRANSLATE(B13221,""id"",""en"")"),"['Wonder', 'fill', 'Rbu']")</f>
        <v>['Wonder', 'fill', 'Rbu']</v>
      </c>
      <c r="D13221" s="3">
        <v>3.0</v>
      </c>
    </row>
    <row r="13222" ht="15.75" customHeight="1">
      <c r="A13222" s="1">
        <v>14074.0</v>
      </c>
      <c r="B13222" s="3" t="s">
        <v>12609</v>
      </c>
      <c r="C13222" s="3" t="str">
        <f>IFERROR(__xludf.DUMMYFUNCTION("GOOGLETRANSLATE(B13222,""id"",""en"")"),"['', 'apk', 'skarng', 'bsa', 'open', 'error', 'trs',' masi ',' open ',' plis', 'repair', 'apk', 'knpa ',' PAS ',' APDED ',' BSA ',' BKA ']")</f>
        <v>['', 'apk', 'skarng', 'bsa', 'open', 'error', 'trs',' masi ',' open ',' plis', 'repair', 'apk', 'knpa ',' PAS ',' APDED ',' BSA ',' BKA ']</v>
      </c>
      <c r="D13222" s="3">
        <v>1.0</v>
      </c>
    </row>
    <row r="13223" ht="15.75" customHeight="1">
      <c r="A13223" s="1">
        <v>14075.0</v>
      </c>
      <c r="B13223" s="3" t="s">
        <v>12610</v>
      </c>
      <c r="C13223" s="3" t="str">
        <f>IFERROR(__xludf.DUMMYFUNCTION("GOOGLETRANSLATE(B13223,""id"",""en"")"),"['users', 'Telkomsel', 'signal', 'Telkomsel', 'bad', 'please', 'repair', 'idiot']")</f>
        <v>['users', 'Telkomsel', 'signal', 'Telkomsel', 'bad', 'please', 'repair', 'idiot']</v>
      </c>
      <c r="D13223" s="3">
        <v>1.0</v>
      </c>
    </row>
    <row r="13224" ht="15.75" customHeight="1">
      <c r="A13224" s="1">
        <v>14076.0</v>
      </c>
      <c r="B13224" s="3" t="s">
        <v>12611</v>
      </c>
      <c r="C13224" s="3" t="str">
        <f>IFERROR(__xludf.DUMMYFUNCTION("GOOGLETRANSLATE(B13224,""id"",""en"")"),"['boss', 'application', 'open', '']")</f>
        <v>['boss', 'application', 'open', '']</v>
      </c>
      <c r="D13224" s="3">
        <v>1.0</v>
      </c>
    </row>
    <row r="13225" ht="15.75" customHeight="1">
      <c r="A13225" s="1">
        <v>14077.0</v>
      </c>
      <c r="B13225" s="3" t="s">
        <v>12612</v>
      </c>
      <c r="C13225" s="3" t="str">
        <f>IFERROR(__xludf.DUMMYFUNCTION("GOOGLETRANSLATE(B13225,""id"",""en"")"),"['Sorry', 'application', 'open', 'Yesterday', 'open', 'trimakasih', ""]")</f>
        <v>['Sorry', 'application', 'open', 'Yesterday', 'open', 'trimakasih', "]</v>
      </c>
      <c r="D13225" s="3">
        <v>5.0</v>
      </c>
    </row>
    <row r="13226" ht="15.75" customHeight="1">
      <c r="A13226" s="1">
        <v>14078.0</v>
      </c>
      <c r="B13226" s="3" t="s">
        <v>12613</v>
      </c>
      <c r="C13226" s="3" t="str">
        <f>IFERROR(__xludf.DUMMYFUNCTION("GOOGLETRANSLATE(B13226,""id"",""en"")"),"['Price', 'expensive', 'network', 'slow', 'Hope', 'fix']")</f>
        <v>['Price', 'expensive', 'network', 'slow', 'Hope', 'fix']</v>
      </c>
      <c r="D13226" s="3">
        <v>5.0</v>
      </c>
    </row>
    <row r="13227" ht="15.75" customHeight="1">
      <c r="A13227" s="1">
        <v>14079.0</v>
      </c>
      <c r="B13227" s="3" t="s">
        <v>12614</v>
      </c>
      <c r="C13227" s="3" t="str">
        <f>IFERROR(__xludf.DUMMYFUNCTION("GOOGLETRANSLATE(B13227,""id"",""en"")"),"['repeat', 'ndownload', 'open']")</f>
        <v>['repeat', 'ndownload', 'open']</v>
      </c>
      <c r="D13227" s="3">
        <v>1.0</v>
      </c>
    </row>
    <row r="13228" ht="15.75" customHeight="1">
      <c r="A13228" s="1">
        <v>14080.0</v>
      </c>
      <c r="B13228" s="3" t="s">
        <v>12615</v>
      </c>
      <c r="C13228" s="3" t="str">
        <f>IFERROR(__xludf.DUMMYFUNCTION("GOOGLETRANSLATE(B13228,""id"",""en"")"),"['Application', 'Telkomsel', 'Open', '']")</f>
        <v>['Application', 'Telkomsel', 'Open', '']</v>
      </c>
      <c r="D13228" s="3">
        <v>1.0</v>
      </c>
    </row>
    <row r="13229" ht="15.75" customHeight="1">
      <c r="A13229" s="1">
        <v>14081.0</v>
      </c>
      <c r="B13229" s="3" t="s">
        <v>12616</v>
      </c>
      <c r="C13229" s="3" t="str">
        <f>IFERROR(__xludf.DUMMYFUNCTION("GOOGLETRANSLATE(B13229,""id"",""en"")"),"['Severe', 'The network', 'emang', 'improvement', '']")</f>
        <v>['Severe', 'The network', 'emang', 'improvement', '']</v>
      </c>
      <c r="D13229" s="3">
        <v>2.0</v>
      </c>
    </row>
    <row r="13230" ht="15.75" customHeight="1">
      <c r="A13230" s="1">
        <v>14082.0</v>
      </c>
      <c r="B13230" s="3" t="s">
        <v>100</v>
      </c>
      <c r="C13230" s="3" t="str">
        <f>IFERROR(__xludf.DUMMYFUNCTION("GOOGLETRANSLATE(B13230,""id"",""en"")"),"['star']")</f>
        <v>['star']</v>
      </c>
      <c r="D13230" s="3">
        <v>5.0</v>
      </c>
    </row>
    <row r="13231" ht="15.75" customHeight="1">
      <c r="A13231" s="1">
        <v>14083.0</v>
      </c>
      <c r="B13231" s="3" t="s">
        <v>12617</v>
      </c>
      <c r="C13231" s="3" t="str">
        <f>IFERROR(__xludf.DUMMYFUNCTION("GOOGLETRANSLATE(B13231,""id"",""en"")"),"['opened', 'application', 'Telkomsel', 'emang', 'Telkomsel', 'fix', 'ngakunya', 'network', 'biggest', 'indonesia', 'complaint', 'consumer', ' responded to ',' service ',' bad ']")</f>
        <v>['opened', 'application', 'Telkomsel', 'emang', 'Telkomsel', 'fix', 'ngakunya', 'network', 'biggest', 'indonesia', 'complaint', 'consumer', ' responded to ',' service ',' bad ']</v>
      </c>
      <c r="D13231" s="3">
        <v>1.0</v>
      </c>
    </row>
    <row r="13232" ht="15.75" customHeight="1">
      <c r="A13232" s="1">
        <v>14084.0</v>
      </c>
      <c r="B13232" s="3" t="s">
        <v>12618</v>
      </c>
      <c r="C13232" s="3" t="str">
        <f>IFERROR(__xludf.DUMMYFUNCTION("GOOGLETRANSLATE(B13232,""id"",""en"")"),"['already', 'open', 'the application', 'delete', 'the application', 'until', 'news',' klu ',' the application ',' Please ',' sorry ',' love ',' star', '']")</f>
        <v>['already', 'open', 'the application', 'delete', 'the application', 'until', 'news',' klu ',' the application ',' Please ',' sorry ',' love ',' star', '']</v>
      </c>
      <c r="D13232" s="3">
        <v>1.0</v>
      </c>
    </row>
    <row r="13233" ht="15.75" customHeight="1">
      <c r="A13233" s="1">
        <v>14085.0</v>
      </c>
      <c r="B13233" s="3" t="s">
        <v>12619</v>
      </c>
      <c r="C13233" s="3" t="str">
        <f>IFERROR(__xludf.DUMMYFUNCTION("GOOGLETRANSLATE(B13233,""id"",""en"")"),"['hope', 'promo']")</f>
        <v>['hope', 'promo']</v>
      </c>
      <c r="D13233" s="3">
        <v>5.0</v>
      </c>
    </row>
    <row r="13234" ht="15.75" customHeight="1">
      <c r="A13234" s="1">
        <v>14086.0</v>
      </c>
      <c r="B13234" s="3" t="s">
        <v>12620</v>
      </c>
      <c r="C13234" s="3" t="str">
        <f>IFERROR(__xludf.DUMMYFUNCTION("GOOGLETRANSLATE(B13234,""id"",""en"")"),"['Update', 'Application', 'MyTelkomsel', 'opened', 'Try', 'Uninstall', 'Install', 'reset', 'open', 'the application', 'Henk', 'Please', ' Repair ',' tks']")</f>
        <v>['Update', 'Application', 'MyTelkomsel', 'opened', 'Try', 'Uninstall', 'Install', 'reset', 'open', 'the application', 'Henk', 'Please', ' Repair ',' tks']</v>
      </c>
      <c r="D13234" s="3">
        <v>1.0</v>
      </c>
    </row>
    <row r="13235" ht="15.75" customHeight="1">
      <c r="A13235" s="1">
        <v>14087.0</v>
      </c>
      <c r="B13235" s="3" t="s">
        <v>12621</v>
      </c>
      <c r="C13235" s="3" t="str">
        <f>IFERROR(__xludf.DUMMYFUNCTION("GOOGLETRANSLATE(B13235,""id"",""en"")"),"['Please', 'min', 'apk', 'ngak', 'bukak', 'already', 'hpus', 'install', 'ttap', 'ngak']")</f>
        <v>['Please', 'min', 'apk', 'ngak', 'bukak', 'already', 'hpus', 'install', 'ttap', 'ngak']</v>
      </c>
      <c r="D13235" s="3">
        <v>4.0</v>
      </c>
    </row>
    <row r="13236" ht="15.75" customHeight="1">
      <c r="A13236" s="1">
        <v>14088.0</v>
      </c>
      <c r="B13236" s="3" t="s">
        <v>12622</v>
      </c>
      <c r="C13236" s="3" t="str">
        <f>IFERROR(__xludf.DUMMYFUNCTION("GOOGLETRANSLATE(B13236,""id"",""en"")"),"['expensive', 'package', '']")</f>
        <v>['expensive', 'package', '']</v>
      </c>
      <c r="D13236" s="3">
        <v>3.0</v>
      </c>
    </row>
    <row r="13237" ht="15.75" customHeight="1">
      <c r="A13237" s="1">
        <v>14089.0</v>
      </c>
      <c r="B13237" s="3" t="s">
        <v>12623</v>
      </c>
      <c r="C13237" s="3" t="str">
        <f>IFERROR(__xludf.DUMMYFUNCTION("GOOGLETRANSLATE(B13237,""id"",""en"")"),"['Package', 'Internet', 'Out', 'Direct', 'Cut', 'Daily', 'Notification', 'Credit', 'Reduced', 'Notification']")</f>
        <v>['Package', 'Internet', 'Out', 'Direct', 'Cut', 'Daily', 'Notification', 'Credit', 'Reduced', 'Notification']</v>
      </c>
      <c r="D13237" s="3">
        <v>1.0</v>
      </c>
    </row>
    <row r="13238" ht="15.75" customHeight="1">
      <c r="A13238" s="1">
        <v>14090.0</v>
      </c>
      <c r="B13238" s="3" t="s">
        <v>12624</v>
      </c>
      <c r="C13238" s="3" t="str">
        <f>IFERROR(__xludf.DUMMYFUNCTION("GOOGLETRANSLATE(B13238,""id"",""en"")"),"['Okey', 'help']")</f>
        <v>['Okey', 'help']</v>
      </c>
      <c r="D13238" s="3">
        <v>5.0</v>
      </c>
    </row>
    <row r="13239" ht="15.75" customHeight="1">
      <c r="A13239" s="1">
        <v>14093.0</v>
      </c>
      <c r="B13239" s="3" t="s">
        <v>12625</v>
      </c>
      <c r="C13239" s="3" t="str">
        <f>IFERROR(__xludf.DUMMYFUNCTION("GOOGLETRANSLATE(B13239,""id"",""en"")"),"['TERRTI', 'Problems',' Telkomsel ',' White ',' Screen ',' MNT ',' Telkomsel ',' SGRA ',' Bertindon ',' because ',' Udh ',' Telkomsel ',' card ',' Gede ',' PERRH ',' GNTI ',' number ',' Ampek ',' skrg ']")</f>
        <v>['TERRTI', 'Problems',' Telkomsel ',' White ',' Screen ',' MNT ',' Telkomsel ',' SGRA ',' Bertindon ',' because ',' Udh ',' Telkomsel ',' card ',' Gede ',' PERRH ',' GNTI ',' number ',' Ampek ',' skrg ']</v>
      </c>
      <c r="D13239" s="3">
        <v>3.0</v>
      </c>
    </row>
    <row r="13240" ht="15.75" customHeight="1">
      <c r="A13240" s="1">
        <v>14094.0</v>
      </c>
      <c r="B13240" s="3" t="s">
        <v>12626</v>
      </c>
      <c r="C13240" s="3" t="str">
        <f>IFERROR(__xludf.DUMMYFUNCTION("GOOGLETRANSLATE(B13240,""id"",""en"")"),"['Week', 'Open', 'MyTelkomsel', 'Check', 'Remnant', 'Quota', 'Figure', 'Application', 'MyTelkomsel', 'Open', 'Please', 'Attention']")</f>
        <v>['Week', 'Open', 'MyTelkomsel', 'Check', 'Remnant', 'Quota', 'Figure', 'Application', 'MyTelkomsel', 'Open', 'Please', 'Attention']</v>
      </c>
      <c r="D13240" s="3">
        <v>5.0</v>
      </c>
    </row>
    <row r="13241" ht="15.75" customHeight="1">
      <c r="A13241" s="1">
        <v>14095.0</v>
      </c>
      <c r="B13241" s="3" t="s">
        <v>12627</v>
      </c>
      <c r="C13241" s="3" t="str">
        <f>IFERROR(__xludf.DUMMYFUNCTION("GOOGLETRANSLATE(B13241,""id"",""en"")"),"['Open', 'application', 'already', 'week', 'open', 'difficult', 'buy', 'quota', 'check', 'please', 'donk', 'action', ' Continue ',' ']")</f>
        <v>['Open', 'application', 'already', 'week', 'open', 'difficult', 'buy', 'quota', 'check', 'please', 'donk', 'action', ' Continue ',' ']</v>
      </c>
      <c r="D13241" s="3">
        <v>1.0</v>
      </c>
    </row>
    <row r="13242" ht="15.75" customHeight="1">
      <c r="A13242" s="1">
        <v>14096.0</v>
      </c>
      <c r="B13242" s="3" t="s">
        <v>12628</v>
      </c>
      <c r="C13242" s="3" t="str">
        <f>IFERROR(__xludf.DUMMYFUNCTION("GOOGLETRANSLATE(B13242,""id"",""en"")"),"['Application', 'Telkomsel']")</f>
        <v>['Application', 'Telkomsel']</v>
      </c>
      <c r="D13242" s="3">
        <v>5.0</v>
      </c>
    </row>
    <row r="13243" ht="15.75" customHeight="1">
      <c r="A13243" s="1">
        <v>14097.0</v>
      </c>
      <c r="B13243" s="3" t="s">
        <v>12629</v>
      </c>
      <c r="C13243" s="3" t="str">
        <f>IFERROR(__xludf.DUMMYFUNCTION("GOOGLETRANSLATE(B13243,""id"",""en"")"),"['really', 'logout']")</f>
        <v>['really', 'logout']</v>
      </c>
      <c r="D13243" s="3">
        <v>3.0</v>
      </c>
    </row>
    <row r="13244" ht="15.75" customHeight="1">
      <c r="A13244" s="1">
        <v>14098.0</v>
      </c>
      <c r="B13244" s="3" t="s">
        <v>12630</v>
      </c>
      <c r="C13244" s="3" t="str">
        <f>IFERROR(__xludf.DUMMYFUNCTION("GOOGLETRANSLATE(B13244,""id"",""en"")"),"['ugly', 'login']")</f>
        <v>['ugly', 'login']</v>
      </c>
      <c r="D13244" s="3">
        <v>5.0</v>
      </c>
    </row>
    <row r="13245" ht="15.75" customHeight="1">
      <c r="A13245" s="1">
        <v>14099.0</v>
      </c>
      <c r="B13245" s="3" t="s">
        <v>12631</v>
      </c>
      <c r="C13245" s="3" t="str">
        <f>IFERROR(__xludf.DUMMYFUNCTION("GOOGLETRANSLATE(B13245,""id"",""en"")"),"['virtue', 'bgus', 'application', '']")</f>
        <v>['virtue', 'bgus', 'application', '']</v>
      </c>
      <c r="D13245" s="3">
        <v>5.0</v>
      </c>
    </row>
    <row r="13246" ht="15.75" customHeight="1">
      <c r="A13246" s="1">
        <v>14101.0</v>
      </c>
      <c r="B13246" s="3" t="s">
        <v>12632</v>
      </c>
      <c r="C13246" s="3" t="str">
        <f>IFERROR(__xludf.DUMMYFUNCTION("GOOGLETRANSLATE(B13246,""id"",""en"")"),"['subscription', 'Sometimes', 'like', 'no', 'open']")</f>
        <v>['subscription', 'Sometimes', 'like', 'no', 'open']</v>
      </c>
      <c r="D13246" s="3">
        <v>4.0</v>
      </c>
    </row>
    <row r="13247" ht="15.75" customHeight="1">
      <c r="A13247" s="1">
        <v>14102.0</v>
      </c>
      <c r="B13247" s="3" t="s">
        <v>12633</v>
      </c>
      <c r="C13247" s="3" t="str">
        <f>IFERROR(__xludf.DUMMYFUNCTION("GOOGLETRANSLATE(B13247,""id"",""en"")"),"['Telkomsel', 'Satisfied', 'Heart']")</f>
        <v>['Telkomsel', 'Satisfied', 'Heart']</v>
      </c>
      <c r="D13247" s="3">
        <v>5.0</v>
      </c>
    </row>
    <row r="13248" ht="15.75" customHeight="1">
      <c r="A13248" s="1">
        <v>14103.0</v>
      </c>
      <c r="B13248" s="3" t="s">
        <v>12634</v>
      </c>
      <c r="C13248" s="3" t="str">
        <f>IFERROR(__xludf.DUMMYFUNCTION("GOOGLETRANSLATE(B13248,""id"",""en"")"),"['experience', 'decline', 'quality', 'network', 'week', 'bln', 'December', '']")</f>
        <v>['experience', 'decline', 'quality', 'network', 'week', 'bln', 'December', '']</v>
      </c>
      <c r="D13248" s="3">
        <v>4.0</v>
      </c>
    </row>
    <row r="13249" ht="15.75" customHeight="1">
      <c r="A13249" s="1">
        <v>14104.0</v>
      </c>
      <c r="B13249" s="3" t="s">
        <v>12635</v>
      </c>
      <c r="C13249" s="3" t="str">
        <f>IFERROR(__xludf.DUMMYFUNCTION("GOOGLETRANSLATE(B13249,""id"",""en"")"),"['UDH', 'BBR', 'The application', 'opened', 'Uninstall', 'Install', 'reset', 'open', 'detrimental']")</f>
        <v>['UDH', 'BBR', 'The application', 'opened', 'Uninstall', 'Install', 'reset', 'open', 'detrimental']</v>
      </c>
      <c r="D13249" s="3">
        <v>1.0</v>
      </c>
    </row>
    <row r="13250" ht="15.75" customHeight="1">
      <c r="A13250" s="1">
        <v>14105.0</v>
      </c>
      <c r="B13250" s="3" t="s">
        <v>12636</v>
      </c>
      <c r="C13250" s="3" t="str">
        <f>IFERROR(__xludf.DUMMYFUNCTION("GOOGLETRANSLATE(B13250,""id"",""en"")"),"['UPGRID', 'Open', 'Ngebleng', 'Screen', 'White']")</f>
        <v>['UPGRID', 'Open', 'Ngebleng', 'Screen', 'White']</v>
      </c>
      <c r="D13250" s="3">
        <v>1.0</v>
      </c>
    </row>
    <row r="13251" ht="15.75" customHeight="1">
      <c r="A13251" s="1">
        <v>14106.0</v>
      </c>
      <c r="B13251" s="3" t="s">
        <v>12637</v>
      </c>
      <c r="C13251" s="3" t="str">
        <f>IFERROR(__xludf.DUMMYFUNCTION("GOOGLETRANSLATE(B13251,""id"",""en"")"),"['Okay', 'really', 'boss']")</f>
        <v>['Okay', 'really', 'boss']</v>
      </c>
      <c r="D13251" s="3">
        <v>5.0</v>
      </c>
    </row>
    <row r="13252" ht="15.75" customHeight="1">
      <c r="A13252" s="1">
        <v>14107.0</v>
      </c>
      <c r="B13252" s="3" t="s">
        <v>12638</v>
      </c>
      <c r="C13252" s="3" t="str">
        <f>IFERROR(__xludf.DUMMYFUNCTION("GOOGLETRANSLATE(B13252,""id"",""en"")"),"['', 'update', 'Sharpen', 'deteriorate', 'screen', 'white', 'doang']")</f>
        <v>['', 'update', 'Sharpen', 'deteriorate', 'screen', 'white', 'doang']</v>
      </c>
      <c r="D13252" s="3">
        <v>1.0</v>
      </c>
    </row>
    <row r="13253" ht="15.75" customHeight="1">
      <c r="A13253" s="1">
        <v>14108.0</v>
      </c>
      <c r="B13253" s="3" t="s">
        <v>12639</v>
      </c>
      <c r="C13253" s="3" t="str">
        <f>IFERROR(__xludf.DUMMYFUNCTION("GOOGLETRANSLATE(B13253,""id"",""en"")"),"['Severe', 'apk', 'gkk', 'used', 'update', 'no', '']")</f>
        <v>['Severe', 'apk', 'gkk', 'used', 'update', 'no', '']</v>
      </c>
      <c r="D13253" s="3">
        <v>1.0</v>
      </c>
    </row>
    <row r="13254" ht="15.75" customHeight="1">
      <c r="A13254" s="1">
        <v>14109.0</v>
      </c>
      <c r="B13254" s="3" t="s">
        <v>12640</v>
      </c>
      <c r="C13254" s="3" t="str">
        <f>IFERROR(__xludf.DUMMYFUNCTION("GOOGLETRANSLATE(B13254,""id"",""en"")"),"['coin', 'Sya', 'exchange', 'money', 'suda', 'enter', 'address', 'sma', 'fsbuk', 'google', 'nam']")</f>
        <v>['coin', 'Sya', 'exchange', 'money', 'suda', 'enter', 'address', 'sma', 'fsbuk', 'google', 'nam']</v>
      </c>
      <c r="D13254" s="3">
        <v>5.0</v>
      </c>
    </row>
    <row r="13255" ht="15.75" customHeight="1">
      <c r="A13255" s="1">
        <v>14110.0</v>
      </c>
      <c r="B13255" s="3" t="s">
        <v>12641</v>
      </c>
      <c r="C13255" s="3" t="str">
        <f>IFERROR(__xludf.DUMMYFUNCTION("GOOGLETRANSLATE(B13255,""id"",""en"")"),"['easy', 'wear', 'bnyak', 'discount', 'bonus', 'jdi', 'steady']")</f>
        <v>['easy', 'wear', 'bnyak', 'discount', 'bonus', 'jdi', 'steady']</v>
      </c>
      <c r="D13255" s="3">
        <v>4.0</v>
      </c>
    </row>
    <row r="13256" ht="15.75" customHeight="1">
      <c r="A13256" s="1">
        <v>14111.0</v>
      </c>
      <c r="B13256" s="3" t="s">
        <v>12642</v>
      </c>
      <c r="C13256" s="3" t="str">
        <f>IFERROR(__xludf.DUMMYFUNCTION("GOOGLETRANSLATE(B13256,""id"",""en"")"),"['Good', 'package', 'suits', 'price']")</f>
        <v>['Good', 'package', 'suits', 'price']</v>
      </c>
      <c r="D13256" s="3">
        <v>4.0</v>
      </c>
    </row>
    <row r="13257" ht="15.75" customHeight="1">
      <c r="A13257" s="1">
        <v>14112.0</v>
      </c>
      <c r="B13257" s="3" t="s">
        <v>12643</v>
      </c>
      <c r="C13257" s="3" t="str">
        <f>IFERROR(__xludf.DUMMYFUNCTION("GOOGLETRANSLATE(B13257,""id"",""en"")"),"['Severe', 'application', 'open']")</f>
        <v>['Severe', 'application', 'open']</v>
      </c>
      <c r="D13257" s="3">
        <v>5.0</v>
      </c>
    </row>
    <row r="13258" ht="15.75" customHeight="1">
      <c r="A13258" s="1">
        <v>14113.0</v>
      </c>
      <c r="B13258" s="3" t="s">
        <v>12644</v>
      </c>
      <c r="C13258" s="3" t="str">
        <f>IFERROR(__xludf.DUMMYFUNCTION("GOOGLETRANSLATE(B13258,""id"",""en"")"),"['network', 'weak', 'expensive', 'application', 'difficult', 'opened', 'garbage', 'basics']")</f>
        <v>['network', 'weak', 'expensive', 'application', 'difficult', 'opened', 'garbage', 'basics']</v>
      </c>
      <c r="D13258" s="3">
        <v>1.0</v>
      </c>
    </row>
    <row r="13259" ht="15.75" customHeight="1">
      <c r="A13259" s="1">
        <v>14114.0</v>
      </c>
      <c r="B13259" s="3" t="s">
        <v>12645</v>
      </c>
      <c r="C13259" s="3" t="str">
        <f>IFERROR(__xludf.DUMMYFUNCTION("GOOGLETRANSLATE(B13259,""id"",""en"")"),"['tariff', 'expensive', 'signal', 'stable', 'poor']")</f>
        <v>['tariff', 'expensive', 'signal', 'stable', 'poor']</v>
      </c>
      <c r="D13259" s="3">
        <v>1.0</v>
      </c>
    </row>
    <row r="13260" ht="15.75" customHeight="1">
      <c r="A13260" s="1">
        <v>14115.0</v>
      </c>
      <c r="B13260" s="3" t="s">
        <v>12646</v>
      </c>
      <c r="C13260" s="3" t="str">
        <f>IFERROR(__xludf.DUMMYFUNCTION("GOOGLETRANSLATE(B13260,""id"",""en"")"),"['Telkomsel', 'slow', 'gini', 'open', 'application', 'muter']")</f>
        <v>['Telkomsel', 'slow', 'gini', 'open', 'application', 'muter']</v>
      </c>
      <c r="D13260" s="3">
        <v>2.0</v>
      </c>
    </row>
    <row r="13261" ht="15.75" customHeight="1">
      <c r="A13261" s="1">
        <v>14116.0</v>
      </c>
      <c r="B13261" s="3" t="s">
        <v>12647</v>
      </c>
      <c r="C13261" s="3" t="str">
        <f>IFERROR(__xludf.DUMMYFUNCTION("GOOGLETRANSLATE(B13261,""id"",""en"")"),"['A week', 'a week', 'Application', 'Telkomsel', 'Open', 'Bleng', 'White', 'Mulu']")</f>
        <v>['A week', 'a week', 'Application', 'Telkomsel', 'Open', 'Bleng', 'White', 'Mulu']</v>
      </c>
      <c r="D13261" s="3">
        <v>3.0</v>
      </c>
    </row>
    <row r="13262" ht="15.75" customHeight="1">
      <c r="A13262" s="1">
        <v>14117.0</v>
      </c>
      <c r="B13262" s="3" t="s">
        <v>12648</v>
      </c>
      <c r="C13262" s="3" t="str">
        <f>IFERROR(__xludf.DUMMYFUNCTION("GOOGLETRANSLATE(B13262,""id"",""en"")"),"['Sagat', 'meebatu']")</f>
        <v>['Sagat', 'meebatu']</v>
      </c>
      <c r="D13262" s="3">
        <v>5.0</v>
      </c>
    </row>
    <row r="13263" ht="15.75" customHeight="1">
      <c r="A13263" s="1">
        <v>14118.0</v>
      </c>
      <c r="B13263" s="3" t="s">
        <v>12649</v>
      </c>
      <c r="C13263" s="3" t="str">
        <f>IFERROR(__xludf.DUMMYFUNCTION("GOOGLETRANSLATE(B13263,""id"",""en"")"),"['Good', 'steady']")</f>
        <v>['Good', 'steady']</v>
      </c>
      <c r="D13263" s="3">
        <v>5.0</v>
      </c>
    </row>
    <row r="13264" ht="15.75" customHeight="1">
      <c r="A13264" s="1">
        <v>14119.0</v>
      </c>
      <c r="B13264" s="3" t="s">
        <v>12650</v>
      </c>
      <c r="C13264" s="3" t="str">
        <f>IFERROR(__xludf.DUMMYFUNCTION("GOOGLETRANSLATE(B13264,""id"",""en"")"),"['Success', 'Telkomsel', 'card', 'Hello']")</f>
        <v>['Success', 'Telkomsel', 'card', 'Hello']</v>
      </c>
      <c r="D13264" s="3">
        <v>5.0</v>
      </c>
    </row>
    <row r="13265" ht="15.75" customHeight="1">
      <c r="A13265" s="1">
        <v>14120.0</v>
      </c>
      <c r="B13265" s="3" t="s">
        <v>12651</v>
      </c>
      <c r="C13265" s="3" t="str">
        <f>IFERROR(__xludf.DUMMYFUNCTION("GOOGLETRANSLATE(B13265,""id"",""en"")"),"['signal', 'fix']")</f>
        <v>['signal', 'fix']</v>
      </c>
      <c r="D13265" s="3">
        <v>3.0</v>
      </c>
    </row>
    <row r="13266" ht="15.75" customHeight="1">
      <c r="A13266" s="1">
        <v>14121.0</v>
      </c>
      <c r="B13266" s="3" t="s">
        <v>12652</v>
      </c>
      <c r="C13266" s="3" t="str">
        <f>IFERROR(__xludf.DUMMYFUNCTION("GOOGLETRANSLATE(B13266,""id"",""en"")"),"['version', 'forced', 'Search', 'version', 'Lawas', 'please', 'repair']")</f>
        <v>['version', 'forced', 'Search', 'version', 'Lawas', 'please', 'repair']</v>
      </c>
      <c r="D13266" s="3">
        <v>2.0</v>
      </c>
    </row>
    <row r="13267" ht="15.75" customHeight="1">
      <c r="A13267" s="1">
        <v>14122.0</v>
      </c>
      <c r="B13267" s="3" t="s">
        <v>12653</v>
      </c>
      <c r="C13267" s="3" t="str">
        <f>IFERROR(__xludf.DUMMYFUNCTION("GOOGLETRANSLATE(B13267,""id"",""en"")"),"['Wonder', 'Provider', 'Network', 'My APK', 'Leet', 'Really', 'Difficult', 'Open', 'APK', 'Model', 'Try', ""]")</f>
        <v>['Wonder', 'Provider', 'Network', 'My APK', 'Leet', 'Really', 'Difficult', 'Open', 'APK', 'Model', 'Try', "]</v>
      </c>
      <c r="D13267" s="3">
        <v>1.0</v>
      </c>
    </row>
    <row r="13268" ht="15.75" customHeight="1">
      <c r="A13268" s="1">
        <v>14123.0</v>
      </c>
      <c r="B13268" s="3" t="s">
        <v>12654</v>
      </c>
      <c r="C13268" s="3" t="str">
        <f>IFERROR(__xludf.DUMMYFUNCTION("GOOGLETRANSLATE(B13268,""id"",""en"")"),"['service', '']")</f>
        <v>['service', '']</v>
      </c>
      <c r="D13268" s="3">
        <v>5.0</v>
      </c>
    </row>
    <row r="13269" ht="15.75" customHeight="1">
      <c r="A13269" s="1">
        <v>14124.0</v>
      </c>
      <c r="B13269" s="3" t="s">
        <v>12655</v>
      </c>
      <c r="C13269" s="3" t="str">
        <f>IFERROR(__xludf.DUMMYFUNCTION("GOOGLETRANSLATE(B13269,""id"",""en"")"),"['Out', 'Upgrade', 'Application', 'Open', '']")</f>
        <v>['Out', 'Upgrade', 'Application', 'Open', '']</v>
      </c>
      <c r="D13269" s="3">
        <v>1.0</v>
      </c>
    </row>
    <row r="13270" ht="15.75" customHeight="1">
      <c r="A13270" s="1">
        <v>14125.0</v>
      </c>
      <c r="B13270" s="3" t="s">
        <v>12656</v>
      </c>
      <c r="C13270" s="3" t="str">
        <f>IFERROR(__xludf.DUMMYFUNCTION("GOOGLETRANSLATE(B13270,""id"",""en"")"),"['Lazy', 'Telkomsel', 'Like', 'Logout', 'Logout', 'Login', 'Truuss']")</f>
        <v>['Lazy', 'Telkomsel', 'Like', 'Logout', 'Logout', 'Login', 'Truuss']</v>
      </c>
      <c r="D13270" s="3">
        <v>3.0</v>
      </c>
    </row>
    <row r="13271" ht="15.75" customHeight="1">
      <c r="A13271" s="1">
        <v>14126.0</v>
      </c>
      <c r="B13271" s="3" t="s">
        <v>12657</v>
      </c>
      <c r="C13271" s="3" t="str">
        <f>IFERROR(__xludf.DUMMYFUNCTION("GOOGLETRANSLATE(B13271,""id"",""en"")"),"['difficult', 'opened', 'oldaaa', '']")</f>
        <v>['difficult', 'opened', 'oldaaa', '']</v>
      </c>
      <c r="D13271" s="3">
        <v>1.0</v>
      </c>
    </row>
    <row r="13272" ht="15.75" customHeight="1">
      <c r="A13272" s="1">
        <v>14127.0</v>
      </c>
      <c r="B13272" s="3" t="s">
        <v>12658</v>
      </c>
      <c r="C13272" s="3" t="str">
        <f>IFERROR(__xludf.DUMMYFUNCTION("GOOGLETRANSLATE(B13272,""id"",""en"")"),"['Telkomsel', 'oyee']")</f>
        <v>['Telkomsel', 'oyee']</v>
      </c>
      <c r="D13272" s="3">
        <v>5.0</v>
      </c>
    </row>
    <row r="13273" ht="15.75" customHeight="1">
      <c r="A13273" s="1">
        <v>14128.0</v>
      </c>
      <c r="B13273" s="3" t="s">
        <v>12659</v>
      </c>
      <c r="C13273" s="3" t="str">
        <f>IFERROR(__xludf.DUMMYFUNCTION("GOOGLETRANSLATE(B13273,""id"",""en"")"),"['hope', 'bring', 'blessing', '']")</f>
        <v>['hope', 'bring', 'blessing', '']</v>
      </c>
      <c r="D13273" s="3">
        <v>5.0</v>
      </c>
    </row>
    <row r="13274" ht="15.75" customHeight="1">
      <c r="A13274" s="1">
        <v>14129.0</v>
      </c>
      <c r="B13274" s="3" t="s">
        <v>12660</v>
      </c>
      <c r="C13274" s="3" t="str">
        <f>IFERROR(__xludf.DUMMYFUNCTION("GOOGLETRANSLATE(B13274,""id"",""en"")"),"['White', 'screen', 'application', 'go', 'that way', 'renewal', 'newest']")</f>
        <v>['White', 'screen', 'application', 'go', 'that way', 'renewal', 'newest']</v>
      </c>
      <c r="D13274" s="3">
        <v>1.0</v>
      </c>
    </row>
    <row r="13275" ht="15.75" customHeight="1">
      <c r="A13275" s="1">
        <v>14130.0</v>
      </c>
      <c r="B13275" s="3" t="s">
        <v>12661</v>
      </c>
      <c r="C13275" s="3" t="str">
        <f>IFERROR(__xludf.DUMMYFUNCTION("GOOGLETRANSLATE(B13275,""id"",""en"")"),"['Expand', 'Network', 'Javanese', 'West', 'Region', 'Kab', 'Sukabumi', 'Kab', 'Cianur', 'Especially', 'Region', 'Jampang', ' South ',' Thank you ']")</f>
        <v>['Expand', 'Network', 'Javanese', 'West', 'Region', 'Kab', 'Sukabumi', 'Kab', 'Cianur', 'Especially', 'Region', 'Jampang', ' South ',' Thank you ']</v>
      </c>
      <c r="D13275" s="3">
        <v>4.0</v>
      </c>
    </row>
    <row r="13276" ht="15.75" customHeight="1">
      <c r="A13276" s="1">
        <v>14132.0</v>
      </c>
      <c r="B13276" s="3" t="s">
        <v>12662</v>
      </c>
      <c r="C13276" s="3" t="str">
        <f>IFERROR(__xludf.DUMMYFUNCTION("GOOGLETRANSLATE(B13276,""id"",""en"")"),"['Karna', 'Kemain', 'Maj', 'Enter', 'screen', 'White', 'Install', 'reset', 'Really', 'disappointing', 'BUMN', 'LHO', ' Profider ',' Self-Home ',' ']")</f>
        <v>['Karna', 'Kemain', 'Maj', 'Enter', 'screen', 'White', 'Install', 'reset', 'Really', 'disappointing', 'BUMN', 'LHO', ' Profider ',' Self-Home ',' ']</v>
      </c>
      <c r="D13276" s="3">
        <v>2.0</v>
      </c>
    </row>
    <row r="13277" ht="15.75" customHeight="1">
      <c r="A13277" s="1">
        <v>14133.0</v>
      </c>
      <c r="B13277" s="3" t="s">
        <v>12663</v>
      </c>
      <c r="C13277" s="3" t="str">
        <f>IFERROR(__xludf.DUMMYFUNCTION("GOOGLETRANSLATE(B13277,""id"",""en"")"),"['Harini', 'application', 'opened', 'appears', 'screen', 'white', 'blank', 'Please', 'repaired', ""]")</f>
        <v>['Harini', 'application', 'opened', 'appears', 'screen', 'white', 'blank', 'Please', 'repaired', "]</v>
      </c>
      <c r="D13277" s="3">
        <v>1.0</v>
      </c>
    </row>
    <row r="13278" ht="15.75" customHeight="1">
      <c r="A13278" s="1">
        <v>14134.0</v>
      </c>
      <c r="B13278" s="3" t="s">
        <v>12664</v>
      </c>
      <c r="C13278" s="3" t="str">
        <f>IFERROR(__xludf.DUMMYFUNCTION("GOOGLETRANSLATE(B13278,""id"",""en"")"),"['Open', 'MyTelkomsel', 'Google', 'application', 'already', '']")</f>
        <v>['Open', 'MyTelkomsel', 'Google', 'application', 'already', '']</v>
      </c>
      <c r="D13278" s="3">
        <v>2.0</v>
      </c>
    </row>
    <row r="13279" ht="15.75" customHeight="1">
      <c r="A13279" s="1">
        <v>14135.0</v>
      </c>
      <c r="B13279" s="3" t="s">
        <v>12665</v>
      </c>
      <c r="C13279" s="3" t="str">
        <f>IFERROR(__xludf.DUMMYFUNCTION("GOOGLETRANSLATE(B13279,""id"",""en"")"),"['Application', 'Telkomsel', 'LEG', 'RAM', 'WIFI', 'above', 'head', 'Tower', 'Telkomsel', 'meter', 'LEG']")</f>
        <v>['Application', 'Telkomsel', 'LEG', 'RAM', 'WIFI', 'above', 'head', 'Tower', 'Telkomsel', 'meter', 'LEG']</v>
      </c>
      <c r="D13279" s="3">
        <v>1.0</v>
      </c>
    </row>
    <row r="13280" ht="15.75" customHeight="1">
      <c r="A13280" s="1">
        <v>14136.0</v>
      </c>
      <c r="B13280" s="3" t="s">
        <v>12666</v>
      </c>
      <c r="C13280" s="3" t="str">
        <f>IFERROR(__xludf.DUMMYFUNCTION("GOOGLETRANSLATE(B13280,""id"",""en"")"),"['Exchange', 'Point', 'Skrng', 'Ribet', 'Point', 'Soon', 'Scorched', 'Harapan', 'Point', 'Can', 'Exchange', 'Credit', ' Easy ',' love ',' star ',' ']")</f>
        <v>['Exchange', 'Point', 'Skrng', 'Ribet', 'Point', 'Soon', 'Scorched', 'Harapan', 'Point', 'Can', 'Exchange', 'Credit', ' Easy ',' love ',' star ',' ']</v>
      </c>
      <c r="D13280" s="3">
        <v>5.0</v>
      </c>
    </row>
    <row r="13281" ht="15.75" customHeight="1">
      <c r="A13281" s="1">
        <v>14137.0</v>
      </c>
      <c r="B13281" s="3" t="s">
        <v>12667</v>
      </c>
      <c r="C13281" s="3" t="str">
        <f>IFERROR(__xludf.DUMMYFUNCTION("GOOGLETRANSLATE(B13281,""id"",""en"")"),"['difficult', 'opened', 'appears', 'screen', 'white']")</f>
        <v>['difficult', 'opened', 'appears', 'screen', 'white']</v>
      </c>
      <c r="D13281" s="3">
        <v>2.0</v>
      </c>
    </row>
    <row r="13282" ht="15.75" customHeight="1">
      <c r="A13282" s="1">
        <v>14138.0</v>
      </c>
      <c r="B13282" s="3" t="s">
        <v>12668</v>
      </c>
      <c r="C13282" s="3" t="str">
        <f>IFERROR(__xludf.DUMMYFUNCTION("GOOGLETRANSLATE(B13282,""id"",""en"")"),"['price', 'package', 'cheap', 'expensive', 'at the time', 'update', 'application', 'appears',' Telkomsel ',' broken ',' screen ',' white ',' Please, 'Fix', 'Assessment', 'Decline', 'SPTI', '']")</f>
        <v>['price', 'package', 'cheap', 'expensive', 'at the time', 'update', 'application', 'appears',' Telkomsel ',' broken ',' screen ',' white ',' Please, 'Fix', 'Assessment', 'Decline', 'SPTI', '']</v>
      </c>
      <c r="D13282" s="3">
        <v>1.0</v>
      </c>
    </row>
    <row r="13283" ht="15.75" customHeight="1">
      <c r="A13283" s="1">
        <v>14139.0</v>
      </c>
      <c r="B13283" s="3" t="s">
        <v>12669</v>
      </c>
      <c r="C13283" s="3" t="str">
        <f>IFERROR(__xludf.DUMMYFUNCTION("GOOGLETRANSLATE(B13283,""id"",""en"")"),"['App', 'Open', 'Repair', 'Telkomsel', 'Want', 'Search', 'Untung', 'Telkomsel', ""]")</f>
        <v>['App', 'Open', 'Repair', 'Telkomsel', 'Want', 'Search', 'Untung', 'Telkomsel', "]</v>
      </c>
      <c r="D13283" s="3">
        <v>1.0</v>
      </c>
    </row>
    <row r="13284" ht="15.75" customHeight="1">
      <c r="A13284" s="1">
        <v>14140.0</v>
      </c>
      <c r="B13284" s="3" t="s">
        <v>12670</v>
      </c>
      <c r="C13284" s="3" t="str">
        <f>IFERROR(__xludf.DUMMYFUNCTION("GOOGLETRANSLATE(B13284,""id"",""en"")"),"['', 'opened', 'already', 'apdet']")</f>
        <v>['', 'opened', 'already', 'apdet']</v>
      </c>
      <c r="D13284" s="3">
        <v>1.0</v>
      </c>
    </row>
    <row r="13285" ht="15.75" customHeight="1">
      <c r="A13285" s="1">
        <v>14141.0</v>
      </c>
      <c r="B13285" s="3" t="s">
        <v>12671</v>
      </c>
      <c r="C13285" s="3" t="str">
        <f>IFERROR(__xludf.DUMMYFUNCTION("GOOGLETRANSLATE(B13285,""id"",""en"")"),"['Already', 'Week', 'MyTelkomsel', 'opened', 'Since', 'Update', 'Please', 'Help', 'Tsel']")</f>
        <v>['Already', 'Week', 'MyTelkomsel', 'opened', 'Since', 'Update', 'Please', 'Help', 'Tsel']</v>
      </c>
      <c r="D13285" s="3">
        <v>4.0</v>
      </c>
    </row>
    <row r="13286" ht="15.75" customHeight="1">
      <c r="A13286" s="1">
        <v>14143.0</v>
      </c>
      <c r="B13286" s="3" t="s">
        <v>12672</v>
      </c>
      <c r="C13286" s="3" t="str">
        <f>IFERROR(__xludf.DUMMYFUNCTION("GOOGLETRANSLATE(B13286,""id"",""en"")"),"['application', 'good', 'package', 'any', 'cheap', 'no', 'good', 'signal', 'sayah', 'katru', 'Maytelkomsel', 'until', ' package ',' any ',' cheap ']")</f>
        <v>['application', 'good', 'package', 'any', 'cheap', 'no', 'good', 'signal', 'sayah', 'katru', 'Maytelkomsel', 'until', ' package ',' any ',' cheap ']</v>
      </c>
      <c r="D13286" s="3">
        <v>5.0</v>
      </c>
    </row>
    <row r="13287" ht="15.75" customHeight="1">
      <c r="A13287" s="1">
        <v>14144.0</v>
      </c>
      <c r="B13287" s="3" t="s">
        <v>12673</v>
      </c>
      <c r="C13287" s="3" t="str">
        <f>IFERROR(__xludf.DUMMYFUNCTION("GOOGLETRANSLATE(B13287,""id"",""en"")"),"['price', 'package', 'internet', 'slalu', 'signal', 'full', 'tpai', 'slow', 'telkomsel', 'opened', 'blank', 'white', ' ',' Telkomsel ',' lazy ',' use ',' Telkomsel ']")</f>
        <v>['price', 'package', 'internet', 'slalu', 'signal', 'full', 'tpai', 'slow', 'telkomsel', 'opened', 'blank', 'white', ' ',' Telkomsel ',' lazy ',' use ',' Telkomsel ']</v>
      </c>
      <c r="D13287" s="3">
        <v>1.0</v>
      </c>
    </row>
    <row r="13288" ht="15.75" customHeight="1">
      <c r="A13288" s="1">
        <v>14145.0</v>
      </c>
      <c r="B13288" s="3" t="s">
        <v>12674</v>
      </c>
      <c r="C13288" s="3" t="str">
        <f>IFERROR(__xludf.DUMMYFUNCTION("GOOGLETRANSLATE(B13288,""id"",""en"")"),"['Sorry', 'Lower', 'Karna', 'The Application', 'Open', '']")</f>
        <v>['Sorry', 'Lower', 'Karna', 'The Application', 'Open', '']</v>
      </c>
      <c r="D13288" s="3">
        <v>1.0</v>
      </c>
    </row>
    <row r="13289" ht="15.75" customHeight="1">
      <c r="A13289" s="1">
        <v>14146.0</v>
      </c>
      <c r="B13289" s="3" t="s">
        <v>12675</v>
      </c>
      <c r="C13289" s="3" t="str">
        <f>IFERROR(__xludf.DUMMYFUNCTION("GOOGLETRANSLATE(B13289,""id"",""en"")"),"['Package', 'Looper', 'expensive', '']")</f>
        <v>['Package', 'Looper', 'expensive', '']</v>
      </c>
      <c r="D13289" s="3">
        <v>1.0</v>
      </c>
    </row>
    <row r="13290" ht="15.75" customHeight="1">
      <c r="A13290" s="1">
        <v>14147.0</v>
      </c>
      <c r="B13290" s="3" t="s">
        <v>12676</v>
      </c>
      <c r="C13290" s="3" t="str">
        <f>IFERROR(__xludf.DUMMYFUNCTION("GOOGLETRANSLATE(B13290,""id"",""en"")"),"['Application', 'Leet', 'NOT']")</f>
        <v>['Application', 'Leet', 'NOT']</v>
      </c>
      <c r="D13290" s="3">
        <v>3.0</v>
      </c>
    </row>
    <row r="13291" ht="15.75" customHeight="1">
      <c r="A13291" s="1">
        <v>14148.0</v>
      </c>
      <c r="B13291" s="3" t="s">
        <v>12677</v>
      </c>
      <c r="C13291" s="3" t="str">
        <f>IFERROR(__xludf.DUMMYFUNCTION("GOOGLETRANSLATE(B13291,""id"",""en"")"),"['slow', 'handle', 'Seeta', 'cooperative']")</f>
        <v>['slow', 'handle', 'Seeta', 'cooperative']</v>
      </c>
      <c r="D13291" s="3">
        <v>2.0</v>
      </c>
    </row>
    <row r="13292" ht="15.75" customHeight="1">
      <c r="A13292" s="1">
        <v>14149.0</v>
      </c>
      <c r="B13292" s="3" t="s">
        <v>12678</v>
      </c>
      <c r="C13292" s="3" t="str">
        <f>IFERROR(__xludf.DUMMYFUNCTION("GOOGLETRANSLATE(B13292,""id"",""en"")"),"['Update', 'version', 'Latest', 'Application', 'Telkomsel', 'Opened', 'Displays',' Screen ',' White ',' Please ',' Fix ',' Device ',' Samsung ',' ']")</f>
        <v>['Update', 'version', 'Latest', 'Application', 'Telkomsel', 'Opened', 'Displays',' Screen ',' White ',' Please ',' Fix ',' Device ',' Samsung ',' ']</v>
      </c>
      <c r="D13292" s="3">
        <v>1.0</v>
      </c>
    </row>
    <row r="13293" ht="15.75" customHeight="1">
      <c r="A13293" s="1">
        <v>14150.0</v>
      </c>
      <c r="B13293" s="3" t="s">
        <v>12679</v>
      </c>
      <c r="C13293" s="3" t="str">
        <f>IFERROR(__xludf.DUMMYFUNCTION("GOOGLETRANSLATE(B13293,""id"",""en"")"),"['Network', 'stable', '']")</f>
        <v>['Network', 'stable', '']</v>
      </c>
      <c r="D13293" s="3">
        <v>5.0</v>
      </c>
    </row>
    <row r="13294" ht="15.75" customHeight="1">
      <c r="A13294" s="1">
        <v>14151.0</v>
      </c>
      <c r="B13294" s="3" t="s">
        <v>6741</v>
      </c>
      <c r="C13294" s="3" t="str">
        <f>IFERROR(__xludf.DUMMYFUNCTION("GOOGLETRANSLATE(B13294,""id"",""en"")"),"['bad network']")</f>
        <v>['bad network']</v>
      </c>
      <c r="D13294" s="3">
        <v>3.0</v>
      </c>
    </row>
    <row r="13295" ht="15.75" customHeight="1">
      <c r="A13295" s="1">
        <v>14152.0</v>
      </c>
      <c r="B13295" s="3" t="s">
        <v>12680</v>
      </c>
      <c r="C13295" s="3" t="str">
        <f>IFERROR(__xludf.DUMMYFUNCTION("GOOGLETRANSLATE(B13295,""id"",""en"")"),"['White', 'blank', 'screen', 'right', 'open', 'application', 'uninstall', 'install', 'reset', 'tetep', 'change', 'Please', ' Feedback ',' Telkomsel ']")</f>
        <v>['White', 'blank', 'screen', 'right', 'open', 'application', 'uninstall', 'install', 'reset', 'tetep', 'change', 'Please', ' Feedback ',' Telkomsel ']</v>
      </c>
      <c r="D13295" s="3">
        <v>1.0</v>
      </c>
    </row>
    <row r="13296" ht="15.75" customHeight="1">
      <c r="A13296" s="1">
        <v>14153.0</v>
      </c>
      <c r="B13296" s="3" t="s">
        <v>12681</v>
      </c>
      <c r="C13296" s="3" t="str">
        <f>IFERROR(__xludf.DUMMYFUNCTION("GOOGLETRANSLATE(B13296,""id"",""en"")"),"['Disappointed', 'really', 'already', 'update', 'difficult', 'really', 'entry', '']")</f>
        <v>['Disappointed', 'really', 'already', 'update', 'difficult', 'really', 'entry', '']</v>
      </c>
      <c r="D13296" s="3">
        <v>1.0</v>
      </c>
    </row>
    <row r="13297" ht="15.75" customHeight="1">
      <c r="A13297" s="1">
        <v>14154.0</v>
      </c>
      <c r="B13297" s="3" t="s">
        <v>12682</v>
      </c>
      <c r="C13297" s="3" t="str">
        <f>IFERROR(__xludf.DUMMYFUNCTION("GOOGLETRANSLATE(B13297,""id"",""en"")"),"[ 'Baguuuuuuuuuuuuuuuuuuuuuuuuuuuuuuuuuuuuuuuuuuuuuuuuuuuuuuuuuuuuuuuuuuuuuuuuuuuuuuuuuuuuuuuuuuuuuuuuuuuuuuuuuuuuuuuuuuuuuuuuuuuuuuuuuuuuuuuuuuuuuuuuuuuuuuuuuuuuuuuuuuuuuuuuuuuuuuuuuuuuuuuuuuuuuuuuuuuuuuuuuuuuuuuuuuuuuuuuuuuuuuuuuuuuuuuuuuuuuuuuuuuuuuuuu"&amp;"uuuuuuuuuuuuuuuuuuuuuuuuuuuuuuuuuuuuuuuuuuuuuuuus', 'really', 'app', '']")</f>
        <v>[ 'Bag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s', 'really', 'app', '']</v>
      </c>
      <c r="D13297" s="3">
        <v>5.0</v>
      </c>
    </row>
    <row r="13298" ht="15.75" customHeight="1">
      <c r="A13298" s="1">
        <v>14155.0</v>
      </c>
      <c r="B13298" s="3" t="s">
        <v>12683</v>
      </c>
      <c r="C13298" s="3" t="str">
        <f>IFERROR(__xludf.DUMMYFUNCTION("GOOGLETRANSLATE(B13298,""id"",""en"")"),"['Appsi', 'Fraudster', 'Application', 'Open']")</f>
        <v>['Appsi', 'Fraudster', 'Application', 'Open']</v>
      </c>
      <c r="D13298" s="3">
        <v>1.0</v>
      </c>
    </row>
    <row r="13299" ht="15.75" customHeight="1">
      <c r="A13299" s="1">
        <v>14156.0</v>
      </c>
      <c r="B13299" s="3" t="s">
        <v>12684</v>
      </c>
      <c r="C13299" s="3" t="str">
        <f>IFERROR(__xludf.DUMMYFUNCTION("GOOGLETRANSLATE(B13299,""id"",""en"")"),"['Application', 'Telkomsel', 'Merciful', 'Fill', 'Credit', ',', 'Please', 'Repaired', 'User', 'Card', 'Telkomsel', 'Harmed', ' ']")</f>
        <v>['Application', 'Telkomsel', 'Merciful', 'Fill', 'Credit', ',', 'Please', 'Repaired', 'User', 'Card', 'Telkomsel', 'Harmed', ' ']</v>
      </c>
      <c r="D13299" s="3">
        <v>1.0</v>
      </c>
    </row>
    <row r="13300" ht="15.75" customHeight="1">
      <c r="A13300" s="1">
        <v>14157.0</v>
      </c>
      <c r="B13300" s="3" t="s">
        <v>12685</v>
      </c>
      <c r="C13300" s="3" t="str">
        <f>IFERROR(__xludf.DUMMYFUNCTION("GOOGLETRANSLATE(B13300,""id"",""en"")"),"['comfort', 'convenience', 'access', 'information', 'communication', 'Points', 'interesting']")</f>
        <v>['comfort', 'convenience', 'access', 'information', 'communication', 'Points', 'interesting']</v>
      </c>
      <c r="D13300" s="3">
        <v>4.0</v>
      </c>
    </row>
    <row r="13301" ht="15.75" customHeight="1">
      <c r="A13301" s="1">
        <v>14158.0</v>
      </c>
      <c r="B13301" s="3" t="s">
        <v>3197</v>
      </c>
      <c r="C13301" s="3" t="str">
        <f>IFERROR(__xludf.DUMMYFUNCTION("GOOGLETRANSLATE(B13301,""id"",""en"")"),"['Update', 'opened', '']")</f>
        <v>['Update', 'opened', '']</v>
      </c>
      <c r="D13301" s="3">
        <v>1.0</v>
      </c>
    </row>
    <row r="13302" ht="15.75" customHeight="1">
      <c r="A13302" s="1">
        <v>14160.0</v>
      </c>
      <c r="B13302" s="3" t="s">
        <v>12686</v>
      </c>
      <c r="C13302" s="3" t="str">
        <f>IFERROR(__xludf.DUMMYFUNCTION("GOOGLETRANSLATE(B13302,""id"",""en"")"),"['Hi', 'Telkomsel', 'Suda', 'contact', 'oprator', 'fix', 'network', 'internet', 'ugly', 'my place', 'TPI', 'Blum', ' change']")</f>
        <v>['Hi', 'Telkomsel', 'Suda', 'contact', 'oprator', 'fix', 'network', 'internet', 'ugly', 'my place', 'TPI', 'Blum', ' change']</v>
      </c>
      <c r="D13302" s="3">
        <v>1.0</v>
      </c>
    </row>
    <row r="13303" ht="15.75" customHeight="1">
      <c r="A13303" s="1">
        <v>14161.0</v>
      </c>
      <c r="B13303" s="3" t="s">
        <v>12687</v>
      </c>
      <c r="C13303" s="3" t="str">
        <f>IFERROR(__xludf.DUMMYFUNCTION("GOOGLETRANSLATE(B13303,""id"",""en"")"),"['already', 'week', 'app', 'Telkomsel', 'open', 'open', 'screen', 'white', 'gamna', ""]")</f>
        <v>['already', 'week', 'app', 'Telkomsel', 'open', 'open', 'screen', 'white', 'gamna', "]</v>
      </c>
      <c r="D13303" s="3">
        <v>3.0</v>
      </c>
    </row>
    <row r="13304" ht="15.75" customHeight="1">
      <c r="A13304" s="1">
        <v>14162.0</v>
      </c>
      <c r="B13304" s="3" t="s">
        <v>12688</v>
      </c>
      <c r="C13304" s="3" t="str">
        <f>IFERROR(__xludf.DUMMYFUNCTION("GOOGLETRANSLATE(B13304,""id"",""en"")"),"['Help', 'ATIII']")</f>
        <v>['Help', 'ATIII']</v>
      </c>
      <c r="D13304" s="3">
        <v>5.0</v>
      </c>
    </row>
    <row r="13305" ht="15.75" customHeight="1">
      <c r="A13305" s="1">
        <v>14163.0</v>
      </c>
      <c r="B13305" s="3" t="s">
        <v>12689</v>
      </c>
      <c r="C13305" s="3" t="str">
        <f>IFERROR(__xludf.DUMMYFUNCTION("GOOGLETRANSLATE(B13305,""id"",""en"")"),"['MyTelkomsel', 'updated', 'right', 'enter', 'White', 'Screen', 'please', 'Telkomsel', 'repaired', 'user', 'convenient', 'entry', ' Kecuasian ',' use ',' Useful ',' ']")</f>
        <v>['MyTelkomsel', 'updated', 'right', 'enter', 'White', 'Screen', 'please', 'Telkomsel', 'repaired', 'user', 'convenient', 'entry', ' Kecuasian ',' use ',' Useful ',' ']</v>
      </c>
      <c r="D13305" s="3">
        <v>1.0</v>
      </c>
    </row>
    <row r="13306" ht="15.75" customHeight="1">
      <c r="A13306" s="1">
        <v>14164.0</v>
      </c>
      <c r="B13306" s="3" t="s">
        <v>12690</v>
      </c>
      <c r="C13306" s="3" t="str">
        <f>IFERROR(__xludf.DUMMYFUNCTION("GOOGLETRANSLATE(B13306,""id"",""en"")"),"['Best', 'Deh', 'Basically', 'Package', 'Cheap', 'Application', 'Thank you', 'Telkomsel', ""]")</f>
        <v>['Best', 'Deh', 'Basically', 'Package', 'Cheap', 'Application', 'Thank you', 'Telkomsel', "]</v>
      </c>
      <c r="D13306" s="3">
        <v>5.0</v>
      </c>
    </row>
    <row r="13307" ht="15.75" customHeight="1">
      <c r="A13307" s="1">
        <v>14165.0</v>
      </c>
      <c r="B13307" s="3" t="s">
        <v>12691</v>
      </c>
      <c r="C13307" s="3" t="str">
        <f>IFERROR(__xludf.DUMMYFUNCTION("GOOGLETRANSLATE(B13307,""id"",""en"")"),"['', 'Increase', 'Signal', 'Mainmorked', 'Package']")</f>
        <v>['', 'Increase', 'Signal', 'Mainmorked', 'Package']</v>
      </c>
      <c r="D13307" s="3">
        <v>3.0</v>
      </c>
    </row>
    <row r="13308" ht="15.75" customHeight="1">
      <c r="A13308" s="1">
        <v>14166.0</v>
      </c>
      <c r="B13308" s="3" t="s">
        <v>12692</v>
      </c>
      <c r="C13308" s="3" t="str">
        <f>IFERROR(__xludf.DUMMYFUNCTION("GOOGLETRANSLATE(B13308,""id"",""en"")"),"['Function', 'Rich', 'Mode', 'Manual']")</f>
        <v>['Function', 'Rich', 'Mode', 'Manual']</v>
      </c>
      <c r="D13308" s="3">
        <v>3.0</v>
      </c>
    </row>
    <row r="13309" ht="15.75" customHeight="1">
      <c r="A13309" s="1">
        <v>14167.0</v>
      </c>
      <c r="B13309" s="3" t="s">
        <v>12693</v>
      </c>
      <c r="C13309" s="3" t="str">
        <f>IFERROR(__xludf.DUMMYFUNCTION("GOOGLETRANSLATE(B13309,""id"",""en"")"),"['location', 'user', 'slow', 'network', 'data', 'internet', '']")</f>
        <v>['location', 'user', 'slow', 'network', 'data', 'internet', '']</v>
      </c>
      <c r="D13309" s="3">
        <v>4.0</v>
      </c>
    </row>
    <row r="13310" ht="15.75" customHeight="1">
      <c r="A13310" s="1">
        <v>14168.0</v>
      </c>
      <c r="B13310" s="3" t="s">
        <v>12694</v>
      </c>
      <c r="C13310" s="3" t="str">
        <f>IFERROR(__xludf.DUMMYFUNCTION("GOOGLETRANSLATE(B13310,""id"",""en"")"),"['Telkomsel', 'fair', 'cook', 'customer', 'package', 'expensive', 'card', 'capital', 'rb', 'GB', 'active', 'card', ' expensive ',' price ',' package ']")</f>
        <v>['Telkomsel', 'fair', 'cook', 'customer', 'package', 'expensive', 'card', 'capital', 'rb', 'GB', 'active', 'card', ' expensive ',' price ',' package ']</v>
      </c>
      <c r="D13310" s="3">
        <v>1.0</v>
      </c>
    </row>
    <row r="13311" ht="15.75" customHeight="1">
      <c r="A13311" s="1">
        <v>14169.0</v>
      </c>
      <c r="B13311" s="3" t="s">
        <v>12695</v>
      </c>
      <c r="C13311" s="3" t="str">
        <f>IFERROR(__xludf.DUMMYFUNCTION("GOOGLETRANSLATE(B13311,""id"",""en"")"),"['Network', 'slow', 'since', 'Change', 'Xiomi', 'Note', 'Network', 'Stable', 'Main', 'Please', 'Telkom']")</f>
        <v>['Network', 'slow', 'since', 'Change', 'Xiomi', 'Note', 'Network', 'Stable', 'Main', 'Please', 'Telkom']</v>
      </c>
      <c r="D13311" s="3">
        <v>1.0</v>
      </c>
    </row>
    <row r="13312" ht="15.75" customHeight="1">
      <c r="A13312" s="1">
        <v>14171.0</v>
      </c>
      <c r="B13312" s="3" t="s">
        <v>12696</v>
      </c>
      <c r="C13312" s="3" t="str">
        <f>IFERROR(__xludf.DUMMYFUNCTION("GOOGLETRANSLATE(B13312,""id"",""en"")"),"['easy to understand']")</f>
        <v>['easy to understand']</v>
      </c>
      <c r="D13312" s="3">
        <v>5.0</v>
      </c>
    </row>
    <row r="13313" ht="15.75" customHeight="1">
      <c r="A13313" s="1">
        <v>14172.0</v>
      </c>
      <c r="B13313" s="3" t="s">
        <v>2127</v>
      </c>
      <c r="C13313" s="3" t="str">
        <f>IFERROR(__xludf.DUMMYFUNCTION("GOOGLETRANSLATE(B13313,""id"",""en"")"),"['easy']")</f>
        <v>['easy']</v>
      </c>
      <c r="D13313" s="3">
        <v>5.0</v>
      </c>
    </row>
    <row r="13314" ht="15.75" customHeight="1">
      <c r="A13314" s="1">
        <v>14173.0</v>
      </c>
      <c r="B13314" s="3" t="s">
        <v>12697</v>
      </c>
      <c r="C13314" s="3" t="str">
        <f>IFERROR(__xludf.DUMMYFUNCTION("GOOGLETRANSLATE(B13314,""id"",""en"")"),"['MyTelkomsel', 'distance', '']")</f>
        <v>['MyTelkomsel', 'distance', '']</v>
      </c>
      <c r="D13314" s="3">
        <v>5.0</v>
      </c>
    </row>
    <row r="13315" ht="15.75" customHeight="1">
      <c r="A13315" s="1">
        <v>14174.0</v>
      </c>
      <c r="B13315" s="3" t="s">
        <v>12698</v>
      </c>
      <c r="C13315" s="3" t="str">
        <f>IFERROR(__xludf.DUMMYFUNCTION("GOOGLETRANSLATE(B13315,""id"",""en"")"),"['finished', 'update', 'Mlah', 'opened', 'screen', 'white', ""]")</f>
        <v>['finished', 'update', 'Mlah', 'opened', 'screen', 'white', "]</v>
      </c>
      <c r="D13315" s="3">
        <v>1.0</v>
      </c>
    </row>
    <row r="13316" ht="15.75" customHeight="1">
      <c r="A13316" s="1">
        <v>14175.0</v>
      </c>
      <c r="B13316" s="3" t="s">
        <v>12699</v>
      </c>
      <c r="C13316" s="3" t="str">
        <f>IFERROR(__xludf.DUMMYFUNCTION("GOOGLETRANSLATE(B13316,""id"",""en"")"),"['Damaged', 'Tea', '']")</f>
        <v>['Damaged', 'Tea', '']</v>
      </c>
      <c r="D13316" s="3">
        <v>1.0</v>
      </c>
    </row>
    <row r="13317" ht="15.75" customHeight="1">
      <c r="A13317" s="1">
        <v>14176.0</v>
      </c>
      <c r="B13317" s="3" t="s">
        <v>12700</v>
      </c>
      <c r="C13317" s="3" t="str">
        <f>IFERROR(__xludf.DUMMYFUNCTION("GOOGLETRANSLATE(B13317,""id"",""en"")"),"['The application', 'already', 'good', 'TPI', 'the application', 'slow']")</f>
        <v>['The application', 'already', 'good', 'TPI', 'the application', 'slow']</v>
      </c>
      <c r="D13317" s="3">
        <v>1.0</v>
      </c>
    </row>
    <row r="13318" ht="15.75" customHeight="1">
      <c r="A13318" s="1">
        <v>14177.0</v>
      </c>
      <c r="B13318" s="3" t="s">
        <v>12701</v>
      </c>
      <c r="C13318" s="3" t="str">
        <f>IFERROR(__xludf.DUMMYFUNCTION("GOOGLETRANSLATE(B13318,""id"",""en"")"),"['Recomeded']")</f>
        <v>['Recomeded']</v>
      </c>
      <c r="D13318" s="3">
        <v>5.0</v>
      </c>
    </row>
    <row r="13319" ht="15.75" customHeight="1">
      <c r="A13319" s="1">
        <v>14178.0</v>
      </c>
      <c r="B13319" s="3" t="s">
        <v>12702</v>
      </c>
      <c r="C13319" s="3" t="str">
        <f>IFERROR(__xludf.DUMMYFUNCTION("GOOGLETRANSLATE(B13319,""id"",""en"")"),"['Severe', 'Sunday', 'error', 'the application', 'screen', 'colored', 'white', 'plain', 'awaited', 'clock', 'response', ""]")</f>
        <v>['Severe', 'Sunday', 'error', 'the application', 'screen', 'colored', 'white', 'plain', 'awaited', 'clock', 'response', "]</v>
      </c>
      <c r="D13319" s="3">
        <v>1.0</v>
      </c>
    </row>
    <row r="13320" ht="15.75" customHeight="1">
      <c r="A13320" s="1">
        <v>14179.0</v>
      </c>
      <c r="B13320" s="3" t="s">
        <v>12703</v>
      </c>
      <c r="C13320" s="3" t="str">
        <f>IFERROR(__xludf.DUMMYFUNCTION("GOOGLETRANSLATE(B13320,""id"",""en"")"),"['Please', 'Feature', 'Locking', 'Credit', 'Credit', 'remaining', 'Out', 'Quota', 'Internet', 'Exceeds',' limit ',' maximum ',' use']")</f>
        <v>['Please', 'Feature', 'Locking', 'Credit', 'Credit', 'remaining', 'Out', 'Quota', 'Internet', 'Exceeds',' limit ',' maximum ',' use']</v>
      </c>
      <c r="D13320" s="3">
        <v>4.0</v>
      </c>
    </row>
    <row r="13321" ht="15.75" customHeight="1">
      <c r="A13321" s="1">
        <v>14180.0</v>
      </c>
      <c r="B13321" s="3" t="s">
        <v>12704</v>
      </c>
      <c r="C13321" s="3" t="str">
        <f>IFERROR(__xludf.DUMMYFUNCTION("GOOGLETRANSLATE(B13321,""id"",""en"")"),"['Steady', 'Network', 'Telkomsel']")</f>
        <v>['Steady', 'Network', 'Telkomsel']</v>
      </c>
      <c r="D13321" s="3">
        <v>5.0</v>
      </c>
    </row>
    <row r="13322" ht="15.75" customHeight="1">
      <c r="A13322" s="1">
        <v>14181.0</v>
      </c>
      <c r="B13322" s="3" t="s">
        <v>12705</v>
      </c>
      <c r="C13322" s="3" t="str">
        <f>IFERROR(__xludf.DUMMYFUNCTION("GOOGLETRANSLATE(B13322,""id"",""en"")"),"['makes it easier', 'Customer', 'in', 'transact', 'pulse', 'quota', 'promo', 'shown']")</f>
        <v>['makes it easier', 'Customer', 'in', 'transact', 'pulse', 'quota', 'promo', 'shown']</v>
      </c>
      <c r="D13322" s="3">
        <v>5.0</v>
      </c>
    </row>
    <row r="13323" ht="15.75" customHeight="1">
      <c r="A13323" s="1">
        <v>14182.0</v>
      </c>
      <c r="B13323" s="3" t="s">
        <v>12706</v>
      </c>
      <c r="C13323" s="3" t="str">
        <f>IFERROR(__xludf.DUMMYFUNCTION("GOOGLETRANSLATE(B13323,""id"",""en"")"),"['', 'enter', 'application', 'gmn', 'work', '']")</f>
        <v>['', 'enter', 'application', 'gmn', 'work', '']</v>
      </c>
      <c r="D13323" s="3">
        <v>1.0</v>
      </c>
    </row>
    <row r="13324" ht="15.75" customHeight="1">
      <c r="A13324" s="1">
        <v>14183.0</v>
      </c>
      <c r="B13324" s="3" t="s">
        <v>12707</v>
      </c>
      <c r="C13324" s="3" t="str">
        <f>IFERROR(__xludf.DUMMYFUNCTION("GOOGLETRANSLATE(B13324,""id"",""en"")"),"['please', 'fix', 'system', 'customer', 'complain', 'open', 'app', 'Telkomsel', 'screen', 'white', ""]")</f>
        <v>['please', 'fix', 'system', 'customer', 'complain', 'open', 'app', 'Telkomsel', 'screen', 'white', "]</v>
      </c>
      <c r="D13324" s="3">
        <v>1.0</v>
      </c>
    </row>
    <row r="13325" ht="15.75" customHeight="1">
      <c r="A13325" s="1">
        <v>14184.0</v>
      </c>
      <c r="B13325" s="3" t="s">
        <v>6680</v>
      </c>
      <c r="C13325" s="3" t="str">
        <f>IFERROR(__xludf.DUMMYFUNCTION("GOOGLETRANSLATE(B13325,""id"",""en"")"),"['bad']")</f>
        <v>['bad']</v>
      </c>
      <c r="D13325" s="3">
        <v>1.0</v>
      </c>
    </row>
    <row r="13326" ht="15.75" customHeight="1">
      <c r="A13326" s="1">
        <v>14185.0</v>
      </c>
      <c r="B13326" s="3" t="s">
        <v>12708</v>
      </c>
      <c r="C13326" s="3" t="str">
        <f>IFERROR(__xludf.DUMMYFUNCTION("GOOGLETRANSLATE(B13326,""id"",""en"")"),"['Child', 'Haram', 'pig', 'Benering', 'dog', 'network', 'shetan', 'mending', 'replace', 'operator', 'kah', 'dog', ' dog']")</f>
        <v>['Child', 'Haram', 'pig', 'Benering', 'dog', 'network', 'shetan', 'mending', 'replace', 'operator', 'kah', 'dog', ' dog']</v>
      </c>
      <c r="D13326" s="3">
        <v>1.0</v>
      </c>
    </row>
    <row r="13327" ht="15.75" customHeight="1">
      <c r="A13327" s="1">
        <v>14186.0</v>
      </c>
      <c r="B13327" s="3" t="s">
        <v>12709</v>
      </c>
      <c r="C13327" s="3" t="str">
        <f>IFERROR(__xludf.DUMMYFUNCTION("GOOGLETRANSLATE(B13327,""id"",""en"")"),"['Reduce', 'expensive', 'price', 'package']")</f>
        <v>['Reduce', 'expensive', 'price', 'package']</v>
      </c>
      <c r="D13327" s="3">
        <v>5.0</v>
      </c>
    </row>
    <row r="13328" ht="15.75" customHeight="1">
      <c r="A13328" s="1">
        <v>14187.0</v>
      </c>
      <c r="B13328" s="3" t="s">
        <v>12710</v>
      </c>
      <c r="C13328" s="3" t="str">
        <f>IFERROR(__xludf.DUMMYFUNCTION("GOOGLETRANSLATE(B13328,""id"",""en"")"),"['Application', 'MyTelkomsel', 'good', 'help', 'transact', 'pulse', 'internet', ""]")</f>
        <v>['Application', 'MyTelkomsel', 'good', 'help', 'transact', 'pulse', 'internet', "]</v>
      </c>
      <c r="D13328" s="3">
        <v>5.0</v>
      </c>
    </row>
    <row r="13329" ht="15.75" customHeight="1">
      <c r="A13329" s="1">
        <v>14188.0</v>
      </c>
      <c r="B13329" s="3" t="s">
        <v>12711</v>
      </c>
      <c r="C13329" s="3" t="str">
        <f>IFERROR(__xludf.DUMMYFUNCTION("GOOGLETRANSLATE(B13329,""id"",""en"")"),"['Fix', 'good', 'play', 'game', 'multiply', 'bonus', 'internet', 'cheap']")</f>
        <v>['Fix', 'good', 'play', 'game', 'multiply', 'bonus', 'internet', 'cheap']</v>
      </c>
      <c r="D13329" s="3">
        <v>5.0</v>
      </c>
    </row>
    <row r="13330" ht="15.75" customHeight="1">
      <c r="A13330" s="1">
        <v>14189.0</v>
      </c>
      <c r="B13330" s="3" t="s">
        <v>12712</v>
      </c>
      <c r="C13330" s="3" t="str">
        <f>IFERROR(__xludf.DUMMYFUNCTION("GOOGLETRANSLATE(B13330,""id"",""en"")"),"['introduce', 'account', 'user', 'know him']")</f>
        <v>['introduce', 'account', 'user', 'know him']</v>
      </c>
      <c r="D13330" s="3">
        <v>3.0</v>
      </c>
    </row>
    <row r="13331" ht="15.75" customHeight="1">
      <c r="A13331" s="1">
        <v>14190.0</v>
      </c>
      <c r="B13331" s="3" t="s">
        <v>12713</v>
      </c>
      <c r="C13331" s="3" t="str">
        <f>IFERROR(__xludf.DUMMYFUNCTION("GOOGLETRANSLATE(B13331,""id"",""en"")"),"['Open', 'APL', '']")</f>
        <v>['Open', 'APL', '']</v>
      </c>
      <c r="D13331" s="3">
        <v>4.0</v>
      </c>
    </row>
    <row r="13332" ht="15.75" customHeight="1">
      <c r="A13332" s="1">
        <v>14191.0</v>
      </c>
      <c r="B13332" s="3" t="s">
        <v>12714</v>
      </c>
      <c r="C13332" s="3" t="str">
        <f>IFERROR(__xludf.DUMMYFUNCTION("GOOGLETRANSLATE(B13332,""id"",""en"")"),"['Help', 'Thank', 'Love', 'Telkomsel']")</f>
        <v>['Help', 'Thank', 'Love', 'Telkomsel']</v>
      </c>
      <c r="D13332" s="3">
        <v>5.0</v>
      </c>
    </row>
    <row r="13333" ht="15.75" customHeight="1">
      <c r="A13333" s="1">
        <v>14192.0</v>
      </c>
      <c r="B13333" s="3" t="s">
        <v>12715</v>
      </c>
      <c r="C13333" s="3" t="str">
        <f>IFERROR(__xludf.DUMMYFUNCTION("GOOGLETRANSLATE(B13333,""id"",""en"")"),"['application', 'garbage', 'screen', 'white', 'doang', '']")</f>
        <v>['application', 'garbage', 'screen', 'white', 'doang', '']</v>
      </c>
      <c r="D13333" s="3">
        <v>1.0</v>
      </c>
    </row>
    <row r="13334" ht="15.75" customHeight="1">
      <c r="A13334" s="1">
        <v>14193.0</v>
      </c>
      <c r="B13334" s="3" t="s">
        <v>737</v>
      </c>
      <c r="C13334" s="3" t="str">
        <f>IFERROR(__xludf.DUMMYFUNCTION("GOOGLETRANSLATE(B13334,""id"",""en"")"),"['Good', 'application']")</f>
        <v>['Good', 'application']</v>
      </c>
      <c r="D13334" s="3">
        <v>5.0</v>
      </c>
    </row>
    <row r="13335" ht="15.75" customHeight="1">
      <c r="A13335" s="1">
        <v>14194.0</v>
      </c>
      <c r="B13335" s="3" t="s">
        <v>12716</v>
      </c>
      <c r="C13335" s="3" t="str">
        <f>IFERROR(__xludf.DUMMYFUNCTION("GOOGLETRANSLATE(B13335,""id"",""en"")"),"['Okay', 'Telkomsel']")</f>
        <v>['Okay', 'Telkomsel']</v>
      </c>
      <c r="D13335" s="3">
        <v>5.0</v>
      </c>
    </row>
    <row r="13336" ht="15.75" customHeight="1">
      <c r="A13336" s="1">
        <v>14195.0</v>
      </c>
      <c r="B13336" s="3" t="s">
        <v>12717</v>
      </c>
      <c r="C13336" s="3" t="str">
        <f>IFERROR(__xludf.DUMMYFUNCTION("GOOGLETRANSLATE(B13336,""id"",""en"")"),"['', 'Like', 'Telkomsel', 'The network', 'weve', 'wide', 'price', 'expensive', 'at the time', 'TMN', 'signal', 'in a' area ',' Signal ',' knpa ',' package ',' unlimited ',' heart ',' dongkol ',' slow ',' subhanallah ',' emotion ',' trs', 'signal', 'full',"&amp;" 'slow', 'forgiveness',' Different ',' unlimited ',' provider ',' next door ',' internet ',' regular ',' tried ',' unlimited ',' try ',' made ',' emotion ',' Package ',' Unlimited ',' ']")</f>
        <v>['', 'Like', 'Telkomsel', 'The network', 'weve', 'wide', 'price', 'expensive', 'at the time', 'TMN', 'signal', 'in a' area ',' Signal ',' knpa ',' package ',' unlimited ',' heart ',' dongkol ',' slow ',' subhanallah ',' emotion ',' trs', 'signal', 'full', 'slow', 'forgiveness',' Different ',' unlimited ',' provider ',' next door ',' internet ',' regular ',' tried ',' unlimited ',' try ',' made ',' emotion ',' Package ',' Unlimited ',' ']</v>
      </c>
      <c r="D13336" s="3">
        <v>4.0</v>
      </c>
    </row>
    <row r="13337" ht="15.75" customHeight="1">
      <c r="A13337" s="1">
        <v>14196.0</v>
      </c>
      <c r="B13337" s="3" t="s">
        <v>12718</v>
      </c>
      <c r="C13337" s="3" t="str">
        <f>IFERROR(__xludf.DUMMYFUNCTION("GOOGLETRANSLATE(B13337,""id"",""en"")"),"['samgat', 'happy', 'heart']")</f>
        <v>['samgat', 'happy', 'heart']</v>
      </c>
      <c r="D13337" s="3">
        <v>5.0</v>
      </c>
    </row>
    <row r="13338" ht="15.75" customHeight="1">
      <c r="A13338" s="1">
        <v>14197.0</v>
      </c>
      <c r="B13338" s="3" t="s">
        <v>12719</v>
      </c>
      <c r="C13338" s="3" t="str">
        <f>IFERROR(__xludf.DUMMYFUNCTION("GOOGLETRANSLATE(B13338,""id"",""en"")"),"['Hello', 'Developer', 'The application', 'Ngestuck', 'White', 'Check', 'Package', 'Daily', 'Check', 'Etc.', 'Pliss',' APKIKLI ',' already ',' Daily ',' check ',' extended ',' according to ',' APK ',' error ',' pliss', 'detrimental', 'user', 'has the righ"&amp;"t', 'application' , 'no', 'ngeapain', 'ad', 'free', 'apk', 'error', 'mulu', 'read', 'comment', 'reply', ""]")</f>
        <v>['Hello', 'Developer', 'The application', 'Ngestuck', 'White', 'Check', 'Package', 'Daily', 'Check', 'Etc.', 'Pliss',' APKIKLI ',' already ',' Daily ',' check ',' extended ',' according to ',' APK ',' error ',' pliss', 'detrimental', 'user', 'has the right', 'application' , 'no', 'ngeapain', 'ad', 'free', 'apk', 'error', 'mulu', 'read', 'comment', 'reply', "]</v>
      </c>
      <c r="D13338" s="3">
        <v>1.0</v>
      </c>
    </row>
    <row r="13339" ht="15.75" customHeight="1">
      <c r="A13339" s="1">
        <v>14198.0</v>
      </c>
      <c r="B13339" s="3" t="s">
        <v>12720</v>
      </c>
      <c r="C13339" s="3" t="str">
        <f>IFERROR(__xludf.DUMMYFUNCTION("GOOGLETRANSLATE(B13339,""id"",""en"")"),"['cave', 'buy', 'card', 'Telkomsel', 'signal', 'like', 'ilang', 'kaga', 'cave', 'regret', 'replace', 'card', ' Gini ',' ']")</f>
        <v>['cave', 'buy', 'card', 'Telkomsel', 'signal', 'like', 'ilang', 'kaga', 'cave', 'regret', 'replace', 'card', ' Gini ',' ']</v>
      </c>
      <c r="D13339" s="3">
        <v>1.0</v>
      </c>
    </row>
    <row r="13340" ht="15.75" customHeight="1">
      <c r="A13340" s="1">
        <v>14199.0</v>
      </c>
      <c r="B13340" s="3" t="s">
        <v>362</v>
      </c>
      <c r="C13340" s="3" t="str">
        <f>IFERROR(__xludf.DUMMYFUNCTION("GOOGLETRANSLATE(B13340,""id"",""en"")"),"['Telkomsel', 'best']")</f>
        <v>['Telkomsel', 'best']</v>
      </c>
      <c r="D13340" s="3">
        <v>5.0</v>
      </c>
    </row>
    <row r="13341" ht="15.75" customHeight="1">
      <c r="A13341" s="1">
        <v>14200.0</v>
      </c>
      <c r="B13341" s="3" t="s">
        <v>12721</v>
      </c>
      <c r="C13341" s="3" t="str">
        <f>IFERROR(__xludf.DUMMYFUNCTION("GOOGLETRANSLATE(B13341,""id"",""en"")"),"['screen', 'white', 'doang', '']")</f>
        <v>['screen', 'white', 'doang', '']</v>
      </c>
      <c r="D13341" s="3">
        <v>1.0</v>
      </c>
    </row>
    <row r="13342" ht="15.75" customHeight="1">
      <c r="A13342" s="1">
        <v>14201.0</v>
      </c>
      <c r="B13342" s="3" t="s">
        <v>12722</v>
      </c>
      <c r="C13342" s="3" t="str">
        <f>IFERROR(__xludf.DUMMYFUNCTION("GOOGLETRANSLATE(B13342,""id"",""en"")"),"['Love', 'Package', 'Telkom', 'Free']")</f>
        <v>['Love', 'Package', 'Telkom', 'Free']</v>
      </c>
      <c r="D13342" s="3">
        <v>5.0</v>
      </c>
    </row>
    <row r="13343" ht="15.75" customHeight="1">
      <c r="A13343" s="1">
        <v>14202.0</v>
      </c>
      <c r="B13343" s="3" t="s">
        <v>12723</v>
      </c>
      <c r="C13343" s="3" t="str">
        <f>IFERROR(__xludf.DUMMYFUNCTION("GOOGLETRANSLATE(B13343,""id"",""en"")"),"['Severe', 'Telkomsel', 'dilapidated']")</f>
        <v>['Severe', 'Telkomsel', 'dilapidated']</v>
      </c>
      <c r="D13343" s="3">
        <v>1.0</v>
      </c>
    </row>
    <row r="13344" ht="15.75" customHeight="1">
      <c r="A13344" s="1">
        <v>14203.0</v>
      </c>
      <c r="B13344" s="3" t="s">
        <v>12724</v>
      </c>
      <c r="C13344" s="3" t="str">
        <f>IFERROR(__xludf.DUMMYFUNCTION("GOOGLETRANSLATE(B13344,""id"",""en"")"),"['Not bad', 'help', ""]")</f>
        <v>['Not bad', 'help', "]</v>
      </c>
      <c r="D13344" s="3">
        <v>4.0</v>
      </c>
    </row>
    <row r="13345" ht="15.75" customHeight="1">
      <c r="A13345" s="1">
        <v>14204.0</v>
      </c>
      <c r="B13345" s="3" t="s">
        <v>12725</v>
      </c>
      <c r="C13345" s="3" t="str">
        <f>IFERROR(__xludf.DUMMYFUNCTION("GOOGLETRANSLATE(B13345,""id"",""en"")"),"['Steady', 'love', 'promo', 'thanks', 'Telkomsel']")</f>
        <v>['Steady', 'love', 'promo', 'thanks', 'Telkomsel']</v>
      </c>
      <c r="D13345" s="3">
        <v>5.0</v>
      </c>
    </row>
    <row r="13346" ht="15.75" customHeight="1">
      <c r="A13346" s="1">
        <v>14205.0</v>
      </c>
      <c r="B13346" s="3" t="s">
        <v>12726</v>
      </c>
      <c r="C13346" s="3" t="str">
        <f>IFERROR(__xludf.DUMMYFUNCTION("GOOGLETRANSLATE(B13346,""id"",""en"")"),"['What', 'easy', 'gini', 'already', 'screen', 'white', 'update', 'please', 'fast', 'repaired', 'karna', 'application', ' help', '']")</f>
        <v>['What', 'easy', 'gini', 'already', 'screen', 'white', 'update', 'please', 'fast', 'repaired', 'karna', 'application', ' help', '']</v>
      </c>
      <c r="D13346" s="3">
        <v>1.0</v>
      </c>
    </row>
    <row r="13347" ht="15.75" customHeight="1">
      <c r="A13347" s="1">
        <v>14206.0</v>
      </c>
      <c r="B13347" s="3" t="s">
        <v>12727</v>
      </c>
      <c r="C13347" s="3" t="str">
        <f>IFERROR(__xludf.DUMMYFUNCTION("GOOGLETRANSLATE(B13347,""id"",""en"")"),"['Paketan', 'Price', 'RB', 'Signal', 'Bad', 'Koutaa', 'Remnant', 'Hopefully', 'Customer', 'Betah']")</f>
        <v>['Paketan', 'Price', 'RB', 'Signal', 'Bad', 'Koutaa', 'Remnant', 'Hopefully', 'Customer', 'Betah']</v>
      </c>
      <c r="D13347" s="3">
        <v>1.0</v>
      </c>
    </row>
    <row r="13348" ht="15.75" customHeight="1">
      <c r="A13348" s="1">
        <v>14207.0</v>
      </c>
      <c r="B13348" s="3" t="s">
        <v>12728</v>
      </c>
      <c r="C13348" s="3" t="str">
        <f>IFERROR(__xludf.DUMMYFUNCTION("GOOGLETRANSLATE(B13348,""id"",""en"")"),"['Telkomsel', 'damn', 'Yesterday', 'buy', 'stay', 'MB', 'quota', 'expensive', 'kek', 'ajig']")</f>
        <v>['Telkomsel', 'damn', 'Yesterday', 'buy', 'stay', 'MB', 'quota', 'expensive', 'kek', 'ajig']</v>
      </c>
      <c r="D13348" s="3">
        <v>1.0</v>
      </c>
    </row>
    <row r="13349" ht="15.75" customHeight="1">
      <c r="A13349" s="1">
        <v>14208.0</v>
      </c>
      <c r="B13349" s="3" t="s">
        <v>12729</v>
      </c>
      <c r="C13349" s="3" t="str">
        <f>IFERROR(__xludf.DUMMYFUNCTION("GOOGLETRANSLATE(B13349,""id"",""en"")"),"['Please', 'fix', 'Telkomsel']")</f>
        <v>['Please', 'fix', 'Telkomsel']</v>
      </c>
      <c r="D13349" s="3">
        <v>5.0</v>
      </c>
    </row>
    <row r="13350" ht="15.75" customHeight="1">
      <c r="A13350" s="1">
        <v>14209.0</v>
      </c>
      <c r="B13350" s="3" t="s">
        <v>12730</v>
      </c>
      <c r="C13350" s="3" t="str">
        <f>IFERROR(__xludf.DUMMYFUNCTION("GOOGLETRANSLATE(B13350,""id"",""en"")"),"['Sometimes', 'Ngadat', 'Closed', 'Process', '']")</f>
        <v>['Sometimes', 'Ngadat', 'Closed', 'Process', '']</v>
      </c>
      <c r="D13350" s="3">
        <v>4.0</v>
      </c>
    </row>
    <row r="13351" ht="15.75" customHeight="1">
      <c r="A13351" s="1">
        <v>14210.0</v>
      </c>
      <c r="B13351" s="3" t="s">
        <v>12731</v>
      </c>
      <c r="C13351" s="3" t="str">
        <f>IFERROR(__xludf.DUMMYFUNCTION("GOOGLETRANSLATE(B13351,""id"",""en"")"),"['signal', 'Telkomsel', 'rotten', 'really', 'user', 'disappointed', 'really']")</f>
        <v>['signal', 'Telkomsel', 'rotten', 'really', 'user', 'disappointed', 'really']</v>
      </c>
      <c r="D13351" s="3">
        <v>1.0</v>
      </c>
    </row>
    <row r="13352" ht="15.75" customHeight="1">
      <c r="A13352" s="1">
        <v>14211.0</v>
      </c>
      <c r="B13352" s="3" t="s">
        <v>12732</v>
      </c>
      <c r="C13352" s="3" t="str">
        <f>IFERROR(__xludf.DUMMYFUNCTION("GOOGLETRANSLATE(B13352,""id"",""en"")"),"['signal', 'cottage', 'padalarang', 'beautiful', 'bar', '']")</f>
        <v>['signal', 'cottage', 'padalarang', 'beautiful', 'bar', '']</v>
      </c>
      <c r="D13352" s="3">
        <v>1.0</v>
      </c>
    </row>
    <row r="13353" ht="15.75" customHeight="1">
      <c r="A13353" s="1">
        <v>14212.0</v>
      </c>
      <c r="B13353" s="3" t="s">
        <v>12733</v>
      </c>
      <c r="C13353" s="3" t="str">
        <f>IFERROR(__xludf.DUMMYFUNCTION("GOOGLETRANSLATE(B13353,""id"",""en"")"),"['Failed', 'Lottery', 'Enter', 'OTP']")</f>
        <v>['Failed', 'Lottery', 'Enter', 'OTP']</v>
      </c>
      <c r="D13353" s="3">
        <v>1.0</v>
      </c>
    </row>
    <row r="13354" ht="15.75" customHeight="1">
      <c r="A13354" s="1">
        <v>14213.0</v>
      </c>
      <c r="B13354" s="3" t="s">
        <v>12734</v>
      </c>
      <c r="C13354" s="3" t="str">
        <f>IFERROR(__xludf.DUMMYFUNCTION("GOOGLETRANSLATE(B13354,""id"",""en"")"),"['hard', 'really', 'application', 'mggu', 'open', 'yesterday', 'help', 'poor', ""]")</f>
        <v>['hard', 'really', 'application', 'mggu', 'open', 'yesterday', 'help', 'poor', "]</v>
      </c>
      <c r="D13354" s="3">
        <v>1.0</v>
      </c>
    </row>
    <row r="13355" ht="15.75" customHeight="1">
      <c r="A13355" s="1">
        <v>14214.0</v>
      </c>
      <c r="B13355" s="3" t="s">
        <v>12735</v>
      </c>
      <c r="C13355" s="3" t="str">
        <f>IFERROR(__xludf.DUMMYFUNCTION("GOOGLETRANSLATE(B13355,""id"",""en"")"),"['ugly', 'really', 'Telkomsel', 'use', 'internet', 'SIM', 'SIM', 'Telkomsel', 'take', 'pulses', 'what']")</f>
        <v>['ugly', 'really', 'Telkomsel', 'use', 'internet', 'SIM', 'SIM', 'Telkomsel', 'take', 'pulses', 'what']</v>
      </c>
      <c r="D13355" s="3">
        <v>1.0</v>
      </c>
    </row>
    <row r="13356" ht="15.75" customHeight="1">
      <c r="A13356" s="1">
        <v>14215.0</v>
      </c>
      <c r="B13356" s="3" t="s">
        <v>12736</v>
      </c>
      <c r="C13356" s="3" t="str">
        <f>IFERROR(__xludf.DUMMYFUNCTION("GOOGLETRANSLATE(B13356,""id"",""en"")"),"['Najis',' I ',' subscription ',' Telkomsel ',' Mubazir ',' Money ',' Mending ',' I ',' contributed ',' FAKIR ',' Ngak ',' Mosque ',' quota ',' doang ',' expensive ',' network ',' slow ',' right ',' ngak ',' suits', 'price', 'quota', 'ama', 'network']")</f>
        <v>['Najis',' I ',' subscription ',' Telkomsel ',' Mubazir ',' Money ',' Mending ',' I ',' contributed ',' FAKIR ',' Ngak ',' Mosque ',' quota ',' doang ',' expensive ',' network ',' slow ',' right ',' ngak ',' suits', 'price', 'quota', 'ama', 'network']</v>
      </c>
      <c r="D13356" s="3">
        <v>1.0</v>
      </c>
    </row>
    <row r="13357" ht="15.75" customHeight="1">
      <c r="A13357" s="1">
        <v>14216.0</v>
      </c>
      <c r="B13357" s="3" t="s">
        <v>12737</v>
      </c>
      <c r="C13357" s="3" t="str">
        <f>IFERROR(__xludf.DUMMYFUNCTION("GOOGLETRANSLATE(B13357,""id"",""en"")"),"['open', 'application', 'difficult', 'response', ""]")</f>
        <v>['open', 'application', 'difficult', 'response', "]</v>
      </c>
      <c r="D13357" s="3">
        <v>1.0</v>
      </c>
    </row>
    <row r="13358" ht="15.75" customHeight="1">
      <c r="A13358" s="1">
        <v>14217.0</v>
      </c>
      <c r="B13358" s="3" t="s">
        <v>12738</v>
      </c>
      <c r="C13358" s="3" t="str">
        <f>IFERROR(__xludf.DUMMYFUNCTION("GOOGLETRANSLATE(B13358,""id"",""en"")"),"['Description', 'Package', 'Internet']")</f>
        <v>['Description', 'Package', 'Internet']</v>
      </c>
      <c r="D13358" s="3">
        <v>1.0</v>
      </c>
    </row>
    <row r="13359" ht="15.75" customHeight="1">
      <c r="A13359" s="1">
        <v>14218.0</v>
      </c>
      <c r="B13359" s="3" t="s">
        <v>12739</v>
      </c>
      <c r="C13359" s="3" t="str">
        <f>IFERROR(__xludf.DUMMYFUNCTION("GOOGLETRANSLATE(B13359,""id"",""en"")"),"['Help', 'promo', '']")</f>
        <v>['Help', 'promo', '']</v>
      </c>
      <c r="D13359" s="3">
        <v>4.0</v>
      </c>
    </row>
    <row r="13360" ht="15.75" customHeight="1">
      <c r="A13360" s="1">
        <v>14219.0</v>
      </c>
      <c r="B13360" s="3" t="s">
        <v>12740</v>
      </c>
      <c r="C13360" s="3" t="str">
        <f>IFERROR(__xludf.DUMMYFUNCTION("GOOGLETRANSLATE(B13360,""id"",""en"")"),"['', 'Telkomsel', 'emang', 'best', 'service', 'customer', '']")</f>
        <v>['', 'Telkomsel', 'emang', 'best', 'service', 'customer', '']</v>
      </c>
      <c r="D13360" s="3">
        <v>5.0</v>
      </c>
    </row>
    <row r="13361" ht="15.75" customHeight="1">
      <c r="A13361" s="1">
        <v>14220.0</v>
      </c>
      <c r="B13361" s="3" t="s">
        <v>12741</v>
      </c>
      <c r="C13361" s="3" t="str">
        <f>IFERROR(__xludf.DUMMYFUNCTION("GOOGLETRANSLATE(B13361,""id"",""en"")"),"['Keweca', 'really', 'sob', 'bli', 'kouta', 'clock', 'a day', 'giga', 'right', 'night', 'kouta', 'run out', ' How ',' story ',' sob ',' an hour ',' already ',' run out ']")</f>
        <v>['Keweca', 'really', 'sob', 'bli', 'kouta', 'clock', 'a day', 'giga', 'right', 'night', 'kouta', 'run out', ' How ',' story ',' sob ',' an hour ',' already ',' run out ']</v>
      </c>
      <c r="D13361" s="3">
        <v>1.0</v>
      </c>
    </row>
    <row r="13362" ht="15.75" customHeight="1">
      <c r="A13362" s="1">
        <v>14221.0</v>
      </c>
      <c r="B13362" s="3" t="s">
        <v>12742</v>
      </c>
      <c r="C13362" s="3" t="str">
        <f>IFERROR(__xludf.DUMMYFUNCTION("GOOGLETRANSLATE(B13362,""id"",""en"")"),"['Top', 'really', 'Thank you', 'Telkomsel']")</f>
        <v>['Top', 'really', 'Thank you', 'Telkomsel']</v>
      </c>
      <c r="D13362" s="3">
        <v>5.0</v>
      </c>
    </row>
    <row r="13363" ht="15.75" customHeight="1">
      <c r="A13363" s="1">
        <v>14222.0</v>
      </c>
      <c r="B13363" s="3" t="s">
        <v>3208</v>
      </c>
      <c r="C13363" s="3" t="str">
        <f>IFERROR(__xludf.DUMMYFUNCTION("GOOGLETRANSLATE(B13363,""id"",""en"")"),"['try']")</f>
        <v>['try']</v>
      </c>
      <c r="D13363" s="3">
        <v>4.0</v>
      </c>
    </row>
    <row r="13364" ht="15.75" customHeight="1">
      <c r="A13364" s="1">
        <v>14223.0</v>
      </c>
      <c r="B13364" s="3" t="s">
        <v>12743</v>
      </c>
      <c r="C13364" s="3" t="str">
        <f>IFERROR(__xludf.DUMMYFUNCTION("GOOGLETRANSLATE(B13364,""id"",""en"")"),"['like', 'signal', 'strong', 'Telkomsel']")</f>
        <v>['like', 'signal', 'strong', 'Telkomsel']</v>
      </c>
      <c r="D13364" s="3">
        <v>5.0</v>
      </c>
    </row>
    <row r="13365" ht="15.75" customHeight="1">
      <c r="A13365" s="1">
        <v>14224.0</v>
      </c>
      <c r="B13365" s="3" t="s">
        <v>12744</v>
      </c>
      <c r="C13365" s="3" t="str">
        <f>IFERROR(__xludf.DUMMYFUNCTION("GOOGLETRANSLATE(B13365,""id"",""en"")"),"['operator', 'the most expensive', 'signal', 'super', 'slow', 'scattered', 'Indonesia', 'until', 'tip', 'kulon']")</f>
        <v>['operator', 'the most expensive', 'signal', 'super', 'slow', 'scattered', 'Indonesia', 'until', 'tip', 'kulon']</v>
      </c>
      <c r="D13365" s="3">
        <v>1.0</v>
      </c>
    </row>
    <row r="13366" ht="15.75" customHeight="1">
      <c r="A13366" s="1">
        <v>14225.0</v>
      </c>
      <c r="B13366" s="3" t="s">
        <v>12745</v>
      </c>
      <c r="C13366" s="3" t="str">
        <f>IFERROR(__xludf.DUMMYFUNCTION("GOOGLETRANSLATE(B13366,""id"",""en"")"),"['Customer', 'blur', 'boss',' kya ',' gini ',' apk ',' blank ',' please ',' fix ',' blur ',' suggestion ',' regret ',' Users', 'Dri', 'Kcwa', 'Telkomsel']")</f>
        <v>['Customer', 'blur', 'boss',' kya ',' gini ',' apk ',' blank ',' please ',' fix ',' blur ',' suggestion ',' regret ',' Users', 'Dri', 'Kcwa', 'Telkomsel']</v>
      </c>
      <c r="D13366" s="3">
        <v>1.0</v>
      </c>
    </row>
    <row r="13367" ht="15.75" customHeight="1">
      <c r="A13367" s="1">
        <v>14226.0</v>
      </c>
      <c r="B13367" s="3" t="s">
        <v>12746</v>
      </c>
      <c r="C13367" s="3" t="str">
        <f>IFERROR(__xludf.DUMMYFUNCTION("GOOGLETRANSLATE(B13367,""id"",""en"")"),"['Applya', 'Open', 'Update', 'Please', 'Action', 'Continue']")</f>
        <v>['Applya', 'Open', 'Update', 'Please', 'Action', 'Continue']</v>
      </c>
      <c r="D13367" s="3">
        <v>1.0</v>
      </c>
    </row>
    <row r="13368" ht="15.75" customHeight="1">
      <c r="A13368" s="1">
        <v>14228.0</v>
      </c>
      <c r="B13368" s="3" t="s">
        <v>12747</v>
      </c>
      <c r="C13368" s="3" t="str">
        <f>IFERROR(__xludf.DUMMYFUNCTION("GOOGLETRANSLATE(B13368,""id"",""en"")"),"['Down', 'price', 'data', 'internet']")</f>
        <v>['Down', 'price', 'data', 'internet']</v>
      </c>
      <c r="D13368" s="3">
        <v>3.0</v>
      </c>
    </row>
    <row r="13369" ht="15.75" customHeight="1">
      <c r="A13369" s="1">
        <v>14229.0</v>
      </c>
      <c r="B13369" s="3" t="s">
        <v>12748</v>
      </c>
      <c r="C13369" s="3" t="str">
        <f>IFERROR(__xludf.DUMMYFUNCTION("GOOGLETRANSLATE(B13369,""id"",""en"")"),"['heavy', 'telkom', 'jadi', 'entry']")</f>
        <v>['heavy', 'telkom', 'jadi', 'entry']</v>
      </c>
      <c r="D13369" s="3">
        <v>3.0</v>
      </c>
    </row>
    <row r="13370" ht="15.75" customHeight="1">
      <c r="A13370" s="1">
        <v>14230.0</v>
      </c>
      <c r="B13370" s="3" t="s">
        <v>12749</v>
      </c>
      <c r="C13370" s="3" t="str">
        <f>IFERROR(__xludf.DUMMYFUNCTION("GOOGLETRANSLATE(B13370,""id"",""en"")"),"['Buy', 'Telkom', 'dog', 'Siyala', 'BURIK', 'RICH']")</f>
        <v>['Buy', 'Telkom', 'dog', 'Siyala', 'BURIK', 'RICH']</v>
      </c>
      <c r="D13370" s="3">
        <v>5.0</v>
      </c>
    </row>
    <row r="13371" ht="15.75" customHeight="1">
      <c r="A13371" s="1">
        <v>14231.0</v>
      </c>
      <c r="B13371" s="3" t="s">
        <v>12750</v>
      </c>
      <c r="C13371" s="3" t="str">
        <f>IFERROR(__xludf.DUMMYFUNCTION("GOOGLETRANSLATE(B13371,""id"",""en"")"),"['Thanks', 'Developer', 'installed', 'Android', 'repaired', '']")</f>
        <v>['Thanks', 'Developer', 'installed', 'Android', 'repaired', '']</v>
      </c>
      <c r="D13371" s="3">
        <v>5.0</v>
      </c>
    </row>
    <row r="13372" ht="15.75" customHeight="1">
      <c r="A13372" s="1">
        <v>14232.0</v>
      </c>
      <c r="B13372" s="3" t="s">
        <v>12751</v>
      </c>
      <c r="C13372" s="3" t="str">
        <f>IFERROR(__xludf.DUMMYFUNCTION("GOOGLETRANSLATE(B13372,""id"",""en"")"),"['Service', 'Network', 'Mantap', 'Area', 'Telkomsel', 'Nothing', 'Both']")</f>
        <v>['Service', 'Network', 'Mantap', 'Area', 'Telkomsel', 'Nothing', 'Both']</v>
      </c>
      <c r="D13372" s="3">
        <v>5.0</v>
      </c>
    </row>
    <row r="13373" ht="15.75" customHeight="1">
      <c r="A13373" s="1">
        <v>14233.0</v>
      </c>
      <c r="B13373" s="3" t="s">
        <v>12752</v>
      </c>
      <c r="C13373" s="3" t="str">
        <f>IFERROR(__xludf.DUMMYFUNCTION("GOOGLETRANSLATE(B13373,""id"",""en"")"),"['signal', 'dog', 'difficult', 'really', 'ngeegame', 'asuuu', 'ngeneh']")</f>
        <v>['signal', 'dog', 'difficult', 'really', 'ngeegame', 'asuuu', 'ngeneh']</v>
      </c>
      <c r="D13373" s="3">
        <v>1.0</v>
      </c>
    </row>
    <row r="13374" ht="15.75" customHeight="1">
      <c r="A13374" s="1">
        <v>14234.0</v>
      </c>
      <c r="B13374" s="3" t="s">
        <v>12753</v>
      </c>
      <c r="C13374" s="3" t="str">
        <f>IFERROR(__xludf.DUMMYFUNCTION("GOOGLETRANSLATE(B13374,""id"",""en"")"),"['Please', 'repaired', 'signal', 'expensive', 'doang']")</f>
        <v>['Please', 'repaired', 'signal', 'expensive', 'doang']</v>
      </c>
      <c r="D13374" s="3">
        <v>1.0</v>
      </c>
    </row>
    <row r="13375" ht="15.75" customHeight="1">
      <c r="A13375" s="1">
        <v>14235.0</v>
      </c>
      <c r="B13375" s="3" t="s">
        <v>12754</v>
      </c>
      <c r="C13375" s="3" t="str">
        <f>IFERROR(__xludf.DUMMYFUNCTION("GOOGLETRANSLATE(B13375,""id"",""en"")"),"['Application', 'Sometimes', 'Sometimes', 'Open']")</f>
        <v>['Application', 'Sometimes', 'Sometimes', 'Open']</v>
      </c>
      <c r="D13375" s="3">
        <v>2.0</v>
      </c>
    </row>
    <row r="13376" ht="15.75" customHeight="1">
      <c r="A13376" s="1">
        <v>14236.0</v>
      </c>
      <c r="B13376" s="3" t="s">
        <v>12755</v>
      </c>
      <c r="C13376" s="3" t="str">
        <f>IFERROR(__xludf.DUMMYFUNCTION("GOOGLETRANSLATE(B13376,""id"",""en"")"),"['Yesterday', 'Date', 'des',' des', 'the application', 'blank', 'white', 'delete', 'cache', 'delete', 'data', 'reinstall', ' application ',' times', 'blank', 'white', 'class',' tekomsel ',' cook ',' kayak ',' gini ',' service ',' sorry ',' disappointed ',"&amp;" ""]")</f>
        <v>['Yesterday', 'Date', 'des',' des', 'the application', 'blank', 'white', 'delete', 'cache', 'delete', 'data', 'reinstall', ' application ',' times', 'blank', 'white', 'class',' tekomsel ',' cook ',' kayak ',' gini ',' service ',' sorry ',' disappointed ', "]</v>
      </c>
      <c r="D13376" s="3">
        <v>1.0</v>
      </c>
    </row>
    <row r="13377" ht="15.75" customHeight="1">
      <c r="A13377" s="1">
        <v>14237.0</v>
      </c>
      <c r="B13377" s="3" t="s">
        <v>12756</v>
      </c>
      <c r="C13377" s="3" t="str">
        <f>IFERROR(__xludf.DUMMYFUNCTION("GOOGLETRANSLATE(B13377,""id"",""en"")"),"['Quota', 'Game', 'Delete', 'Gaada', '']")</f>
        <v>['Quota', 'Game', 'Delete', 'Gaada', '']</v>
      </c>
      <c r="D13377" s="3">
        <v>1.0</v>
      </c>
    </row>
    <row r="13378" ht="15.75" customHeight="1">
      <c r="A13378" s="1">
        <v>14238.0</v>
      </c>
      <c r="B13378" s="3" t="s">
        <v>12757</v>
      </c>
      <c r="C13378" s="3" t="str">
        <f>IFERROR(__xludf.DUMMYFUNCTION("GOOGLETRANSLATE(B13378,""id"",""en"")"),"['Lally', 'Reduce', 'Price']")</f>
        <v>['Lally', 'Reduce', 'Price']</v>
      </c>
      <c r="D13378" s="3">
        <v>5.0</v>
      </c>
    </row>
    <row r="13379" ht="15.75" customHeight="1">
      <c r="A13379" s="1">
        <v>14239.0</v>
      </c>
      <c r="B13379" s="3" t="s">
        <v>12758</v>
      </c>
      <c r="C13379" s="3" t="str">
        <f>IFERROR(__xludf.DUMMYFUNCTION("GOOGLETRANSLATE(B13379,""id"",""en"")"),"['like', 'card', 'sometimes',' slow ',' play ',' roblox ',' ping ',' ping ',' right ',' play ',' bedwars', 'freeze', ' then ',' it's hard ',' really ',' sometimes', 'sometimes',' tasty ',' heavy ',' game ',' smooth ',' like ',' like ',' please ',' speed '"&amp;" , 'Internet', 'like', 'card']")</f>
        <v>['like', 'card', 'sometimes',' slow ',' play ',' roblox ',' ping ',' ping ',' right ',' play ',' bedwars', 'freeze', ' then ',' it's hard ',' really ',' sometimes', 'sometimes',' tasty ',' heavy ',' game ',' smooth ',' like ',' like ',' please ',' speed ' , 'Internet', 'like', 'card']</v>
      </c>
      <c r="D13379" s="3">
        <v>4.0</v>
      </c>
    </row>
    <row r="13380" ht="15.75" customHeight="1">
      <c r="A13380" s="1">
        <v>14240.0</v>
      </c>
      <c r="B13380" s="3" t="s">
        <v>12759</v>
      </c>
      <c r="C13380" s="3" t="str">
        <f>IFERROR(__xludf.DUMMYFUNCTION("GOOGLETRANSLATE(B13380,""id"",""en"")"),"['Sanggat', 'help']")</f>
        <v>['Sanggat', 'help']</v>
      </c>
      <c r="D13380" s="3">
        <v>5.0</v>
      </c>
    </row>
    <row r="13381" ht="15.75" customHeight="1">
      <c r="A13381" s="1">
        <v>14241.0</v>
      </c>
      <c r="B13381" s="3" t="s">
        <v>12760</v>
      </c>
      <c r="C13381" s="3" t="str">
        <f>IFERROR(__xludf.DUMMYFUNCTION("GOOGLETRANSLATE(B13381,""id"",""en"")"),"['Thanks', 'already', 'gave', 'Package', 'Disney', 'Plus']")</f>
        <v>['Thanks', 'already', 'gave', 'Package', 'Disney', 'Plus']</v>
      </c>
      <c r="D13381" s="3">
        <v>5.0</v>
      </c>
    </row>
    <row r="13382" ht="15.75" customHeight="1">
      <c r="A13382" s="1">
        <v>14242.0</v>
      </c>
      <c r="B13382" s="3" t="s">
        <v>12761</v>
      </c>
      <c r="C13382" s="3" t="str">
        <f>IFERROR(__xludf.DUMMYFUNCTION("GOOGLETRANSLATE(B13382,""id"",""en"")"),"['love', 'full', 'requirements', 'provisions', 'love', 'mercy', 'buy', 'pulse', 'package', 'cheap', ""]")</f>
        <v>['love', 'full', 'requirements', 'provisions', 'love', 'mercy', 'buy', 'pulse', 'package', 'cheap', "]</v>
      </c>
      <c r="D13382" s="3">
        <v>5.0</v>
      </c>
    </row>
    <row r="13383" ht="15.75" customHeight="1">
      <c r="A13383" s="1">
        <v>14243.0</v>
      </c>
      <c r="B13383" s="3" t="s">
        <v>12762</v>
      </c>
      <c r="C13383" s="3" t="str">
        <f>IFERROR(__xludf.DUMMYFUNCTION("GOOGLETRANSLATE(B13383,""id"",""en"")"),"['Application', 'Maling', 'Credit', 'Kon', 'Cook', 'CMA', 'DTK', 'Buy', 'Package', 'Maling', 'Pulse', 'thousand', ' package ',' NJING ',' NJING ',' Asue ',' Delete ',' Application ',' Disright ',' IHKLAS ',' Eat ',' pulses', ""]")</f>
        <v>['Application', 'Maling', 'Credit', 'Kon', 'Cook', 'CMA', 'DTK', 'Buy', 'Package', 'Maling', 'Pulse', 'thousand', ' package ',' NJING ',' NJING ',' Asue ',' Delete ',' Application ',' Disright ',' IHKLAS ',' Eat ',' pulses', "]</v>
      </c>
      <c r="D13383" s="3">
        <v>1.0</v>
      </c>
    </row>
    <row r="13384" ht="15.75" customHeight="1">
      <c r="A13384" s="1">
        <v>14244.0</v>
      </c>
      <c r="B13384" s="3" t="s">
        <v>12763</v>
      </c>
      <c r="C13384" s="3" t="str">
        <f>IFERROR(__xludf.DUMMYFUNCTION("GOOGLETRANSLATE(B13384,""id"",""en"")"),"['application', 'already', 'open', 'just', 'picture', 'white', 'loading']")</f>
        <v>['application', 'already', 'open', 'just', 'picture', 'white', 'loading']</v>
      </c>
      <c r="D13384" s="3">
        <v>1.0</v>
      </c>
    </row>
    <row r="13385" ht="15.75" customHeight="1">
      <c r="A13385" s="1">
        <v>14245.0</v>
      </c>
      <c r="B13385" s="3" t="s">
        <v>12764</v>
      </c>
      <c r="C13385" s="3" t="str">
        <f>IFERROR(__xludf.DUMMYFUNCTION("GOOGLETRANSLATE(B13385,""id"",""en"")"),"['Customer', 'Telkomsel', 'era', 'Pharaoh', 'Application', 'Telkomsel', 'opened', 'Except', 'Delete', 'Data', 'Register', 'reset', ' ']")</f>
        <v>['Customer', 'Telkomsel', 'era', 'Pharaoh', 'Application', 'Telkomsel', 'opened', 'Except', 'Delete', 'Data', 'Register', 'reset', ' ']</v>
      </c>
      <c r="D13385" s="3">
        <v>1.0</v>
      </c>
    </row>
    <row r="13386" ht="15.75" customHeight="1">
      <c r="A13386" s="1">
        <v>14246.0</v>
      </c>
      <c r="B13386" s="3" t="s">
        <v>12765</v>
      </c>
      <c r="C13386" s="3" t="str">
        <f>IFERROR(__xludf.DUMMYFUNCTION("GOOGLETRANSLATE(B13386,""id"",""en"")"),"['The network', 'please', 'fix', 'already', 'Telkomsel', 'TPI', 'The network', 'ugly', 'really', 'disappointed', 'SMA', 'Telkomsel']")</f>
        <v>['The network', 'please', 'fix', 'already', 'Telkomsel', 'TPI', 'The network', 'ugly', 'really', 'disappointed', 'SMA', 'Telkomsel']</v>
      </c>
      <c r="D13386" s="3">
        <v>3.0</v>
      </c>
    </row>
    <row r="13387" ht="15.75" customHeight="1">
      <c r="A13387" s="1">
        <v>14247.0</v>
      </c>
      <c r="B13387" s="3" t="s">
        <v>12766</v>
      </c>
      <c r="C13387" s="3" t="str">
        <f>IFERROR(__xludf.DUMMYFUNCTION("GOOGLETRANSLATE(B13387,""id"",""en"")"),"['contents',' package ',' data ',' appears', 'offer', 'price', 'cheap', 'run out', 'buy', 'package', 'price', 'expensive', ' ']")</f>
        <v>['contents',' package ',' data ',' appears', 'offer', 'price', 'cheap', 'run out', 'buy', 'package', 'price', 'expensive', ' ']</v>
      </c>
      <c r="D13387" s="3">
        <v>1.0</v>
      </c>
    </row>
    <row r="13388" ht="15.75" customHeight="1">
      <c r="A13388" s="1">
        <v>14248.0</v>
      </c>
      <c r="B13388" s="3" t="s">
        <v>12767</v>
      </c>
      <c r="C13388" s="3" t="str">
        <f>IFERROR(__xludf.DUMMYFUNCTION("GOOGLETRANSLATE(B13388,""id"",""en"")"),"['', 'Sunday', 'Log', 'Telkomsel', 'Display', 'blank', 'disappointing']")</f>
        <v>['', 'Sunday', 'Log', 'Telkomsel', 'Display', 'blank', 'disappointing']</v>
      </c>
      <c r="D13388" s="3">
        <v>2.0</v>
      </c>
    </row>
    <row r="13389" ht="15.75" customHeight="1">
      <c r="A13389" s="1">
        <v>14249.0</v>
      </c>
      <c r="B13389" s="3" t="s">
        <v>12768</v>
      </c>
      <c r="C13389" s="3" t="str">
        <f>IFERROR(__xludf.DUMMYFUNCTION("GOOGLETRANSLATE(B13389,""id"",""en"")"),"['signal', 'severe', 'in the city', 'area', '']")</f>
        <v>['signal', 'severe', 'in the city', 'area', '']</v>
      </c>
      <c r="D13389" s="3">
        <v>3.0</v>
      </c>
    </row>
    <row r="13390" ht="15.75" customHeight="1">
      <c r="A13390" s="1">
        <v>14250.0</v>
      </c>
      <c r="B13390" s="3" t="s">
        <v>7369</v>
      </c>
      <c r="C13390" s="3" t="str">
        <f>IFERROR(__xludf.DUMMYFUNCTION("GOOGLETRANSLATE(B13390,""id"",""en"")"),"['', 'opened', ""]")</f>
        <v>['', 'opened', "]</v>
      </c>
      <c r="D13390" s="3">
        <v>1.0</v>
      </c>
    </row>
    <row r="13391" ht="15.75" customHeight="1">
      <c r="A13391" s="1">
        <v>14251.0</v>
      </c>
      <c r="B13391" s="3" t="s">
        <v>12769</v>
      </c>
      <c r="C13391" s="3" t="str">
        <f>IFERROR(__xludf.DUMMYFUNCTION("GOOGLETRANSLATE(B13391,""id"",""en"")"),"['Please', 'Sorry', 'Forced', 'Love', 'Star', 'Current', 'Afternoon', 'Lost', 'Total', 'Signal', 'Disappointed', 'Please', ' Action ',' continued ',' performance ',' signal ',' Please ',' comparable ',' price ',' expensive ',' expensive ',' like ',' gini "&amp;"',' signal ',' hope ' , 'In the future', 'Fix', 'Performance', 'Thank', 'Love', ""]")</f>
        <v>['Please', 'Sorry', 'Forced', 'Love', 'Star', 'Current', 'Afternoon', 'Lost', 'Total', 'Signal', 'Disappointed', 'Please', ' Action ',' continued ',' performance ',' signal ',' Please ',' comparable ',' price ',' expensive ',' expensive ',' like ',' gini ',' signal ',' hope ' , 'In the future', 'Fix', 'Performance', 'Thank', 'Love', "]</v>
      </c>
      <c r="D13391" s="3">
        <v>1.0</v>
      </c>
    </row>
    <row r="13392" ht="15.75" customHeight="1">
      <c r="A13392" s="1">
        <v>14252.0</v>
      </c>
      <c r="B13392" s="3" t="s">
        <v>846</v>
      </c>
      <c r="C13392" s="3" t="str">
        <f>IFERROR(__xludf.DUMMYFUNCTION("GOOGLETRANSLATE(B13392,""id"",""en"")"),"['application', 'good']")</f>
        <v>['application', 'good']</v>
      </c>
      <c r="D13392" s="3">
        <v>4.0</v>
      </c>
    </row>
    <row r="13393" ht="15.75" customHeight="1">
      <c r="A13393" s="1">
        <v>14253.0</v>
      </c>
      <c r="B13393" s="3" t="s">
        <v>12770</v>
      </c>
      <c r="C13393" s="3" t="str">
        <f>IFERROR(__xludf.DUMMYFUNCTION("GOOGLETRANSLATE(B13393,""id"",""en"")"),"['Application', 'Taik', 'access', '']")</f>
        <v>['Application', 'Taik', 'access', '']</v>
      </c>
      <c r="D13393" s="3">
        <v>1.0</v>
      </c>
    </row>
    <row r="13394" ht="15.75" customHeight="1">
      <c r="A13394" s="1">
        <v>14254.0</v>
      </c>
      <c r="B13394" s="3" t="s">
        <v>12771</v>
      </c>
      <c r="C13394" s="3" t="str">
        <f>IFERROR(__xludf.DUMMYFUNCTION("GOOGLETRANSLATE(B13394,""id"",""en"")"),"['Hopefully', 'Kedpn', 'SBLMX', 'Amin']")</f>
        <v>['Hopefully', 'Kedpn', 'SBLMX', 'Amin']</v>
      </c>
      <c r="D13394" s="3">
        <v>4.0</v>
      </c>
    </row>
    <row r="13395" ht="15.75" customHeight="1">
      <c r="A13395" s="1">
        <v>14255.0</v>
      </c>
      <c r="B13395" s="3" t="s">
        <v>12772</v>
      </c>
      <c r="C13395" s="3" t="str">
        <f>IFERROR(__xludf.DUMMYFUNCTION("GOOGLETRANSLATE(B13395,""id"",""en"")"),"['Date', 'December', 'December', 'Open', 'Telkomsel', 'screen', 'White', ""]")</f>
        <v>['Date', 'December', 'December', 'Open', 'Telkomsel', 'screen', 'White', "]</v>
      </c>
      <c r="D13395" s="3">
        <v>5.0</v>
      </c>
    </row>
    <row r="13396" ht="15.75" customHeight="1">
      <c r="A13396" s="1">
        <v>14256.0</v>
      </c>
      <c r="B13396" s="3" t="s">
        <v>12773</v>
      </c>
      <c r="C13396" s="3" t="str">
        <f>IFERROR(__xludf.DUMMYFUNCTION("GOOGLETRANSLATE(B13396,""id"",""en"")"),"['', 'thumb', 'talk', ""]")</f>
        <v>['', 'thumb', 'talk', "]</v>
      </c>
      <c r="D13396" s="3">
        <v>5.0</v>
      </c>
    </row>
    <row r="13397" ht="15.75" customHeight="1">
      <c r="A13397" s="1">
        <v>14257.0</v>
      </c>
      <c r="B13397" s="3" t="s">
        <v>12774</v>
      </c>
      <c r="C13397" s="3" t="str">
        <f>IFERROR(__xludf.DUMMYFUNCTION("GOOGLETRANSLATE(B13397,""id"",""en"")"),"['Dilhat', '']")</f>
        <v>['Dilhat', '']</v>
      </c>
      <c r="D13397" s="3">
        <v>4.0</v>
      </c>
    </row>
    <row r="13398" ht="15.75" customHeight="1">
      <c r="A13398" s="1">
        <v>14258.0</v>
      </c>
      <c r="B13398" s="3" t="s">
        <v>12775</v>
      </c>
      <c r="C13398" s="3" t="str">
        <f>IFERROR(__xludf.DUMMYFUNCTION("GOOGLETRANSLATE(B13398,""id"",""en"")"),"['buy', 'quota', 'internet', 'active']")</f>
        <v>['buy', 'quota', 'internet', 'active']</v>
      </c>
      <c r="D13398" s="3">
        <v>1.0</v>
      </c>
    </row>
    <row r="13399" ht="15.75" customHeight="1">
      <c r="A13399" s="1">
        <v>14259.0</v>
      </c>
      <c r="B13399" s="3" t="s">
        <v>12776</v>
      </c>
      <c r="C13399" s="3" t="str">
        <f>IFERROR(__xludf.DUMMYFUNCTION("GOOGLETRANSLATE(B13399,""id"",""en"")"),"['difficult', 'Bukak']")</f>
        <v>['difficult', 'Bukak']</v>
      </c>
      <c r="D13399" s="3">
        <v>5.0</v>
      </c>
    </row>
    <row r="13400" ht="15.75" customHeight="1">
      <c r="A13400" s="1">
        <v>14260.0</v>
      </c>
      <c r="B13400" s="3" t="s">
        <v>12777</v>
      </c>
      <c r="C13400" s="3" t="str">
        <f>IFERROR(__xludf.DUMMYFUNCTION("GOOGLETRANSLATE(B13400,""id"",""en"")"),"['sgt', 'like', 'application', '']")</f>
        <v>['sgt', 'like', 'application', '']</v>
      </c>
      <c r="D13400" s="3">
        <v>5.0</v>
      </c>
    </row>
    <row r="13401" ht="15.75" customHeight="1">
      <c r="A13401" s="1">
        <v>14261.0</v>
      </c>
      <c r="B13401" s="3" t="s">
        <v>12778</v>
      </c>
      <c r="C13401" s="3" t="str">
        <f>IFERROR(__xludf.DUMMYFUNCTION("GOOGLETRANSLATE(B13401,""id"",""en"")"),"['price', 'star', 'foot', 'signal', 'destroyed', 'price', 'expensive']")</f>
        <v>['price', 'star', 'foot', 'signal', 'destroyed', 'price', 'expensive']</v>
      </c>
      <c r="D13401" s="3">
        <v>1.0</v>
      </c>
    </row>
    <row r="13402" ht="15.75" customHeight="1">
      <c r="A13402" s="1">
        <v>14262.0</v>
      </c>
      <c r="B13402" s="3" t="s">
        <v>12779</v>
      </c>
      <c r="C13402" s="3" t="str">
        <f>IFERROR(__xludf.DUMMYFUNCTION("GOOGLETRANSLATE(B13402,""id"",""en"")"),"['information', 'ad']")</f>
        <v>['information', 'ad']</v>
      </c>
      <c r="D13402" s="3">
        <v>4.0</v>
      </c>
    </row>
    <row r="13403" ht="15.75" customHeight="1">
      <c r="A13403" s="1">
        <v>14263.0</v>
      </c>
      <c r="B13403" s="3" t="s">
        <v>12780</v>
      </c>
      <c r="C13403" s="3" t="str">
        <f>IFERROR(__xludf.DUMMYFUNCTION("GOOGLETRANSLATE(B13403,""id"",""en"")"),"['Download', 'Telkomsel', 'Actis', 'help']")</f>
        <v>['Download', 'Telkomsel', 'Actis', 'help']</v>
      </c>
      <c r="D13403" s="3">
        <v>5.0</v>
      </c>
    </row>
    <row r="13404" ht="15.75" customHeight="1">
      <c r="A13404" s="1">
        <v>14264.0</v>
      </c>
      <c r="B13404" s="3" t="s">
        <v>12781</v>
      </c>
      <c r="C13404" s="3" t="str">
        <f>IFERROR(__xludf.DUMMYFUNCTION("GOOGLETRANSLATE(B13404,""id"",""en"")"),"['Please', 'Stop', 'automatically', 'pull', 'pulse', 'quota', 'abis',' damn ',' right ',' quota ',' abis', 'tack', ' Credit ',' buy ',' quota ',' unclean ',' really ',' tsel ',' already ',' package ',' expensive ',' tasty ',' that's', '']")</f>
        <v>['Please', 'Stop', 'automatically', 'pull', 'pulse', 'quota', 'abis',' damn ',' right ',' quota ',' abis', 'tack', ' Credit ',' buy ',' quota ',' unclean ',' really ',' tsel ',' already ',' package ',' expensive ',' tasty ',' that's', '']</v>
      </c>
      <c r="D13404" s="3">
        <v>1.0</v>
      </c>
    </row>
    <row r="13405" ht="15.75" customHeight="1">
      <c r="A13405" s="1">
        <v>14265.0</v>
      </c>
      <c r="B13405" s="3" t="s">
        <v>12089</v>
      </c>
      <c r="C13405" s="3" t="str">
        <f>IFERROR(__xludf.DUMMYFUNCTION("GOOGLETRANSLATE(B13405,""id"",""en"")"),"['Lally', 'promo']")</f>
        <v>['Lally', 'promo']</v>
      </c>
      <c r="D13405" s="3">
        <v>5.0</v>
      </c>
    </row>
    <row r="13406" ht="15.75" customHeight="1">
      <c r="A13406" s="1">
        <v>14266.0</v>
      </c>
      <c r="B13406" s="3" t="s">
        <v>12782</v>
      </c>
      <c r="C13406" s="3" t="str">
        <f>IFERROR(__xludf.DUMMYFUNCTION("GOOGLETRANSLATE(B13406,""id"",""en"")"),"['User', 'loyal', 'Telkomsel', 'Wait', 'Disappointed', 'Where', 'Card', 'Choose', 'Compete', 'Quota', 'Bnyak', 'Price', ' Cheap ',' expensive ',' quota ',' that way ']")</f>
        <v>['User', 'loyal', 'Telkomsel', 'Wait', 'Disappointed', 'Where', 'Card', 'Choose', 'Compete', 'Quota', 'Bnyak', 'Price', ' Cheap ',' expensive ',' quota ',' that way ']</v>
      </c>
      <c r="D13406" s="3">
        <v>3.0</v>
      </c>
    </row>
    <row r="13407" ht="15.75" customHeight="1">
      <c r="A13407" s="1">
        <v>14268.0</v>
      </c>
      <c r="B13407" s="3" t="s">
        <v>12783</v>
      </c>
      <c r="C13407" s="3" t="str">
        <f>IFERROR(__xludf.DUMMYFUNCTION("GOOGLETRANSLATE(B13407,""id"",""en"")"),"['Signal', 'Severe', 'ilang', 'ilang', 'buy', 'package', 'emergency', 'TPI', 'active', 'try', 'complement']")</f>
        <v>['Signal', 'Severe', 'ilang', 'ilang', 'buy', 'package', 'emergency', 'TPI', 'active', 'try', 'complement']</v>
      </c>
      <c r="D13407" s="3">
        <v>1.0</v>
      </c>
    </row>
    <row r="13408" ht="15.75" customHeight="1">
      <c r="A13408" s="1">
        <v>14269.0</v>
      </c>
      <c r="B13408" s="3" t="s">
        <v>12784</v>
      </c>
      <c r="C13408" s="3" t="str">
        <f>IFERROR(__xludf.DUMMYFUNCTION("GOOGLETRANSLATE(B13408,""id"",""en"")"),"['open', 'application', 'Telkomsel', 'open', 'apps', 'screen', 'blank', 'open']")</f>
        <v>['open', 'application', 'Telkomsel', 'open', 'apps', 'screen', 'blank', 'open']</v>
      </c>
      <c r="D13408" s="3">
        <v>1.0</v>
      </c>
    </row>
    <row r="13409" ht="15.75" customHeight="1">
      <c r="A13409" s="1">
        <v>14270.0</v>
      </c>
      <c r="B13409" s="3" t="s">
        <v>12785</v>
      </c>
      <c r="C13409" s="3" t="str">
        <f>IFERROR(__xludf.DUMMYFUNCTION("GOOGLETRANSLATE(B13409,""id"",""en"")"),"['Hopefully', 'Car', 'Application', 'Telkomsel', 'Help', 'Karna', 'Need', 'Car', 'Family', 'Aamiin']")</f>
        <v>['Hopefully', 'Car', 'Application', 'Telkomsel', 'Help', 'Karna', 'Need', 'Car', 'Family', 'Aamiin']</v>
      </c>
      <c r="D13409" s="3">
        <v>5.0</v>
      </c>
    </row>
    <row r="13410" ht="15.75" customHeight="1">
      <c r="A13410" s="1">
        <v>14271.0</v>
      </c>
      <c r="B13410" s="3" t="s">
        <v>12786</v>
      </c>
      <c r="C13410" s="3" t="str">
        <f>IFERROR(__xludf.DUMMYFUNCTION("GOOGLETRANSLATE(B13410,""id"",""en"")"),"['users',' Telkomsel ',' times', 'disappointed', 'application', 'Telkomsel', 'a week', 'open', 'many', 'times',' download ',' reset ',' Honestly ',' disappointed ',' really ', ""]")</f>
        <v>['users',' Telkomsel ',' times', 'disappointed', 'application', 'Telkomsel', 'a week', 'open', 'many', 'times',' download ',' reset ',' Honestly ',' disappointed ',' really ', "]</v>
      </c>
      <c r="D13410" s="3">
        <v>1.0</v>
      </c>
    </row>
    <row r="13411" ht="15.75" customHeight="1">
      <c r="A13411" s="1">
        <v>14272.0</v>
      </c>
      <c r="B13411" s="3" t="s">
        <v>12787</v>
      </c>
      <c r="C13411" s="3" t="str">
        <f>IFERROR(__xludf.DUMMYFUNCTION("GOOGLETRANSLATE(B13411,""id"",""en"")"),"['Males', 'friend', 'friend', 'quota', 'cheap', 'cheap', '']")</f>
        <v>['Males', 'friend', 'friend', 'quota', 'cheap', 'cheap', '']</v>
      </c>
      <c r="D13411" s="3">
        <v>1.0</v>
      </c>
    </row>
    <row r="13412" ht="15.75" customHeight="1">
      <c r="A13412" s="1">
        <v>14273.0</v>
      </c>
      <c r="B13412" s="3" t="s">
        <v>12788</v>
      </c>
      <c r="C13412" s="3" t="str">
        <f>IFERROR(__xludf.DUMMYFUNCTION("GOOGLETRANSLATE(B13412,""id"",""en"")"),"['application', 'Bgus', 'Please', 'repay', 'MyTelkomsel', 'Screen', 'Waena', 'White', 'Enter', ""]")</f>
        <v>['application', 'Bgus', 'Please', 'repay', 'MyTelkomsel', 'Screen', 'Waena', 'White', 'Enter', "]</v>
      </c>
      <c r="D13412" s="3">
        <v>5.0</v>
      </c>
    </row>
    <row r="13413" ht="15.75" customHeight="1">
      <c r="A13413" s="1">
        <v>14274.0</v>
      </c>
      <c r="B13413" s="3" t="s">
        <v>12789</v>
      </c>
      <c r="C13413" s="3" t="str">
        <f>IFERROR(__xludf.DUMMYFUNCTION("GOOGLETRANSLATE(B13413,""id"",""en"")"),"['oath', 'Telkom', 'The network', 'ugly', 'please', 'worker', 'Telkom', 'as fast', 'sepataa', 'fix', ""]")</f>
        <v>['oath', 'Telkom', 'The network', 'ugly', 'please', 'worker', 'Telkom', 'as fast', 'sepataa', 'fix', "]</v>
      </c>
      <c r="D13413" s="3">
        <v>1.0</v>
      </c>
    </row>
    <row r="13414" ht="15.75" customHeight="1">
      <c r="A13414" s="1">
        <v>14275.0</v>
      </c>
      <c r="B13414" s="3" t="s">
        <v>12790</v>
      </c>
      <c r="C13414" s="3" t="str">
        <f>IFERROR(__xludf.DUMMYFUNCTION("GOOGLETRANSLATE(B13414,""id"",""en"")"),"['card', 'comprised', 'cave', 'signal', 'pulp', 'use', 'play', 'signal', 'like']")</f>
        <v>['card', 'comprised', 'cave', 'signal', 'pulp', 'use', 'play', 'signal', 'like']</v>
      </c>
      <c r="D13414" s="3">
        <v>1.0</v>
      </c>
    </row>
    <row r="13415" ht="15.75" customHeight="1">
      <c r="A13415" s="1">
        <v>14276.0</v>
      </c>
      <c r="B13415" s="3" t="s">
        <v>12791</v>
      </c>
      <c r="C13415" s="3" t="str">
        <f>IFERROR(__xludf.DUMMYFUNCTION("GOOGLETRANSLATE(B13415,""id"",""en"")"),"['Good', 'Equetting', 'buy', 'pulse']")</f>
        <v>['Good', 'Equetting', 'buy', 'pulse']</v>
      </c>
      <c r="D13415" s="3">
        <v>4.0</v>
      </c>
    </row>
    <row r="13416" ht="15.75" customHeight="1">
      <c r="A13416" s="1">
        <v>14277.0</v>
      </c>
      <c r="B13416" s="3" t="s">
        <v>12792</v>
      </c>
      <c r="C13416" s="3" t="str">
        <f>IFERROR(__xludf.DUMMYFUNCTION("GOOGLETRANSLATE(B13416,""id"",""en"")"),"['card', 'expensive', 'package', 'expensive', 'signal', 'cheap', 'times', 'waterbom', 'man']")</f>
        <v>['card', 'expensive', 'package', 'expensive', 'signal', 'cheap', 'times', 'waterbom', 'man']</v>
      </c>
      <c r="D13416" s="3">
        <v>1.0</v>
      </c>
    </row>
    <row r="13417" ht="15.75" customHeight="1">
      <c r="A13417" s="1">
        <v>14278.0</v>
      </c>
      <c r="B13417" s="3" t="s">
        <v>659</v>
      </c>
      <c r="C13417" s="3" t="str">
        <f>IFERROR(__xludf.DUMMYFUNCTION("GOOGLETRANSLATE(B13417,""id"",""en"")"),"['Application', 'Help']")</f>
        <v>['Application', 'Help']</v>
      </c>
      <c r="D13417" s="3">
        <v>5.0</v>
      </c>
    </row>
    <row r="13418" ht="15.75" customHeight="1">
      <c r="A13418" s="1">
        <v>14279.0</v>
      </c>
      <c r="B13418" s="3" t="s">
        <v>12793</v>
      </c>
      <c r="C13418" s="3" t="str">
        <f>IFERROR(__xludf.DUMMYFUNCTION("GOOGLETRANSLATE(B13418,""id"",""en"")"),"['Date', 'opened']")</f>
        <v>['Date', 'opened']</v>
      </c>
      <c r="D13418" s="3">
        <v>1.0</v>
      </c>
    </row>
    <row r="13419" ht="15.75" customHeight="1">
      <c r="A13419" s="1">
        <v>14280.0</v>
      </c>
      <c r="B13419" s="3" t="s">
        <v>12794</v>
      </c>
      <c r="C13419" s="3" t="str">
        <f>IFERROR(__xludf.DUMMYFUNCTION("GOOGLETRANSLATE(B13419,""id"",""en"")"),"['Sorry', 'forced', 'Uninstall', 'Paketan', 'Price', 'Telkomsel', 'Opened', 'User', 'Customer', 'Disappointed', 'Skali', ""]")</f>
        <v>['Sorry', 'forced', 'Uninstall', 'Paketan', 'Price', 'Telkomsel', 'Opened', 'User', 'Customer', 'Disappointed', 'Skali', "]</v>
      </c>
      <c r="D13419" s="3">
        <v>1.0</v>
      </c>
    </row>
    <row r="13420" ht="15.75" customHeight="1">
      <c r="A13420" s="1">
        <v>14281.0</v>
      </c>
      <c r="B13420" s="3" t="s">
        <v>12795</v>
      </c>
      <c r="C13420" s="3" t="str">
        <f>IFERROR(__xludf.DUMMYFUNCTION("GOOGLETRANSLATE(B13420,""id"",""en"")"),"['The network', 'slow', 'package', 'expensive', 'Telkomsel', 'okey', 'user', 'customers', 'Telkomsel', 'disappointed', ""]")</f>
        <v>['The network', 'slow', 'package', 'expensive', 'Telkomsel', 'okey', 'user', 'customers', 'Telkomsel', 'disappointed', "]</v>
      </c>
      <c r="D13420" s="3">
        <v>1.0</v>
      </c>
    </row>
    <row r="13421" ht="15.75" customHeight="1">
      <c r="A13421" s="1">
        <v>14283.0</v>
      </c>
      <c r="B13421" s="3" t="s">
        <v>12796</v>
      </c>
      <c r="C13421" s="3" t="str">
        <f>IFERROR(__xludf.DUMMYFUNCTION("GOOGLETRANSLATE(B13421,""id"",""en"")"),"['price', 'package', 'expensive', 'data', 'package', 'reduced', '']")</f>
        <v>['price', 'package', 'expensive', 'data', 'package', 'reduced', '']</v>
      </c>
      <c r="D13421" s="3">
        <v>1.0</v>
      </c>
    </row>
    <row r="13422" ht="15.75" customHeight="1">
      <c r="A13422" s="1">
        <v>14284.0</v>
      </c>
      <c r="B13422" s="3" t="s">
        <v>12797</v>
      </c>
      <c r="C13422" s="3" t="str">
        <f>IFERROR(__xludf.DUMMYFUNCTION("GOOGLETRANSLATE(B13422,""id"",""en"")"),"['cheap', 'number', 'please']")</f>
        <v>['cheap', 'number', 'please']</v>
      </c>
      <c r="D13422" s="3">
        <v>5.0</v>
      </c>
    </row>
    <row r="13423" ht="15.75" customHeight="1">
      <c r="A13423" s="1">
        <v>14285.0</v>
      </c>
      <c r="B13423" s="3" t="s">
        <v>3222</v>
      </c>
      <c r="C13423" s="3" t="str">
        <f>IFERROR(__xludf.DUMMYFUNCTION("GOOGLETRANSLATE(B13423,""id"",""en"")"),"['satisfying', '']")</f>
        <v>['satisfying', '']</v>
      </c>
      <c r="D13423" s="3">
        <v>1.0</v>
      </c>
    </row>
    <row r="13424" ht="15.75" customHeight="1">
      <c r="A13424" s="1">
        <v>14286.0</v>
      </c>
      <c r="B13424" s="3" t="s">
        <v>12798</v>
      </c>
      <c r="C13424" s="3" t="str">
        <f>IFERROR(__xludf.DUMMYFUNCTION("GOOGLETRANSLATE(B13424,""id"",""en"")"),"['grateful', 'name', 'telkusom', 'buy', 'package', 'pulse', 'stop', 'where', 'buy', 'package', 'hunt', 'download', ' Application ',' Telkomsel ',' Google ',' Play ',' Store ',' Card ',' Hockey ',' Cheap ',' Terakntung ',' Card ',' Broo ',' Ngk ',' Believe"&amp;" ' , 'tanyak', 'ama', 'you', 'relationship', 'intimate', 'woman', 'ngekrokk', 'samapai', 'bleed', 'entot', 'mamak', 'want', ' Boong ',' Hayyuk ',' ']")</f>
        <v>['grateful', 'name', 'telkusom', 'buy', 'package', 'pulse', 'stop', 'where', 'buy', 'package', 'hunt', 'download', ' Application ',' Telkomsel ',' Google ',' Play ',' Store ',' Card ',' Hockey ',' Cheap ',' Terakntung ',' Card ',' Broo ',' Ngk ',' Believe ' , 'tanyak', 'ama', 'you', 'relationship', 'intimate', 'woman', 'ngekrokk', 'samapai', 'bleed', 'entot', 'mamak', 'want', ' Boong ',' Hayyuk ',' ']</v>
      </c>
      <c r="D13424" s="3">
        <v>5.0</v>
      </c>
    </row>
    <row r="13425" ht="15.75" customHeight="1">
      <c r="A13425" s="1">
        <v>14287.0</v>
      </c>
      <c r="B13425" s="3" t="s">
        <v>12799</v>
      </c>
      <c r="C13425" s="3" t="str">
        <f>IFERROR(__xludf.DUMMYFUNCTION("GOOGLETRANSLATE(B13425,""id"",""en"")"),"['The application', 'Telkomsel', 'Open', 'Kah', 'Telkomsel', 'Bankrupt', 'expensive']")</f>
        <v>['The application', 'Telkomsel', 'Open', 'Kah', 'Telkomsel', 'Bankrupt', 'expensive']</v>
      </c>
      <c r="D13425" s="3">
        <v>2.0</v>
      </c>
    </row>
    <row r="13426" ht="15.75" customHeight="1">
      <c r="A13426" s="1">
        <v>14288.0</v>
      </c>
      <c r="B13426" s="3" t="s">
        <v>12800</v>
      </c>
      <c r="C13426" s="3" t="str">
        <f>IFERROR(__xludf.DUMMYFUNCTION("GOOGLETRANSLATE(B13426,""id"",""en"")"),"['enter', 'Telkomsel', 'then', 'screen', 'white', 'tlong', 'help', 'admin', 'mksih']")</f>
        <v>['enter', 'Telkomsel', 'then', 'screen', 'white', 'tlong', 'help', 'admin', 'mksih']</v>
      </c>
      <c r="D13426" s="3">
        <v>1.0</v>
      </c>
    </row>
    <row r="13427" ht="15.75" customHeight="1">
      <c r="A13427" s="1">
        <v>14289.0</v>
      </c>
      <c r="B13427" s="3" t="s">
        <v>12801</v>
      </c>
      <c r="C13427" s="3" t="str">
        <f>IFERROR(__xludf.DUMMYFUNCTION("GOOGLETRANSLATE(B13427,""id"",""en"")"),"['update', 'trs',' application ',' update ',' network ',' stable ',' network ',' kayak ',' ingus', 'update', 'application', 'trs',' operator ',' biggest ',' network ',' lose ',' operator ',' shame ', ""]")</f>
        <v>['update', 'trs',' application ',' update ',' network ',' stable ',' network ',' kayak ',' ingus', 'update', 'application', 'trs',' operator ',' biggest ',' network ',' lose ',' operator ',' shame ', "]</v>
      </c>
      <c r="D13427" s="3">
        <v>1.0</v>
      </c>
    </row>
    <row r="13428" ht="15.75" customHeight="1">
      <c r="A13428" s="1">
        <v>14290.0</v>
      </c>
      <c r="B13428" s="3" t="s">
        <v>12802</v>
      </c>
      <c r="C13428" s="3" t="str">
        <f>IFERROR(__xludf.DUMMYFUNCTION("GOOGLETRANSLATE(B13428,""id"",""en"")"),"['application', 'good', 'help', 'love', 'star', 'because', 'internet', 'expensive', 'already', 'cheap', 'love', ' Stars', 'Tanks',' Telkomsel ']")</f>
        <v>['application', 'good', 'help', 'love', 'star', 'because', 'internet', 'expensive', 'already', 'cheap', 'love', ' Stars', 'Tanks',' Telkomsel ']</v>
      </c>
      <c r="D13428" s="3">
        <v>3.0</v>
      </c>
    </row>
    <row r="13429" ht="15.75" customHeight="1">
      <c r="A13429" s="1">
        <v>14291.0</v>
      </c>
      <c r="B13429" s="3" t="s">
        <v>12803</v>
      </c>
      <c r="C13429" s="3" t="str">
        <f>IFERROR(__xludf.DUMMYFUNCTION("GOOGLETRANSLATE(B13429,""id"",""en"")"),"['Telkomsel', 'here', 'net', 'no', 'Stabill', 'Dalem', 'home', 'no', 'ngeta', 'in']")</f>
        <v>['Telkomsel', 'here', 'net', 'no', 'Stabill', 'Dalem', 'home', 'no', 'ngeta', 'in']</v>
      </c>
      <c r="D13429" s="3">
        <v>1.0</v>
      </c>
    </row>
    <row r="13430" ht="15.75" customHeight="1">
      <c r="A13430" s="1">
        <v>14293.0</v>
      </c>
      <c r="B13430" s="3" t="s">
        <v>12804</v>
      </c>
      <c r="C13430" s="3" t="str">
        <f>IFERROR(__xludf.DUMMYFUNCTION("GOOGLETRANSLATE(B13430,""id"",""en"")"),"['Thank you', 'quota', 'free', 'Telkomsel']")</f>
        <v>['Thank you', 'quota', 'free', 'Telkomsel']</v>
      </c>
      <c r="D13430" s="3">
        <v>5.0</v>
      </c>
    </row>
    <row r="13431" ht="15.75" customHeight="1">
      <c r="A13431" s="1">
        <v>14295.0</v>
      </c>
      <c r="B13431" s="3" t="s">
        <v>12805</v>
      </c>
      <c r="C13431" s="3" t="str">
        <f>IFERROR(__xludf.DUMMYFUNCTION("GOOGLETRANSLATE(B13431,""id"",""en"")"),"['signal', 'Telkomsel', 'SKR', 'PEAH', '']")</f>
        <v>['signal', 'Telkomsel', 'SKR', 'PEAH', '']</v>
      </c>
      <c r="D13431" s="3">
        <v>1.0</v>
      </c>
    </row>
    <row r="13432" ht="15.75" customHeight="1">
      <c r="A13432" s="1">
        <v>14296.0</v>
      </c>
      <c r="B13432" s="3" t="s">
        <v>12806</v>
      </c>
      <c r="C13432" s="3" t="str">
        <f>IFERROR(__xludf.DUMMYFUNCTION("GOOGLETRANSLATE(B13432,""id"",""en"")"),"['Access', 'since', 'updated']")</f>
        <v>['Access', 'since', 'updated']</v>
      </c>
      <c r="D13432" s="3">
        <v>1.0</v>
      </c>
    </row>
    <row r="13433" ht="15.75" customHeight="1">
      <c r="A13433" s="1">
        <v>14297.0</v>
      </c>
      <c r="B13433" s="3" t="s">
        <v>12807</v>
      </c>
      <c r="C13433" s="3" t="str">
        <f>IFERROR(__xludf.DUMMYFUNCTION("GOOGLETRANSLATE(B13433,""id"",""en"")"),"['use', 'Telkomsel', 'network', 'slow', 'no', 'kayak', 'package', 'use', 'network', 'difficult', 'cook', 'price', ' expensive ',' speed ',' package ',' card ',' cheap ',' use ',' huh ',' really ',' satisfying ',' customer ',' ']")</f>
        <v>['use', 'Telkomsel', 'network', 'slow', 'no', 'kayak', 'package', 'use', 'network', 'difficult', 'cook', 'price', ' expensive ',' speed ',' package ',' card ',' cheap ',' use ',' huh ',' really ',' satisfying ',' customer ',' ']</v>
      </c>
      <c r="D13433" s="3">
        <v>1.0</v>
      </c>
    </row>
    <row r="13434" ht="15.75" customHeight="1">
      <c r="A13434" s="1">
        <v>14298.0</v>
      </c>
      <c r="B13434" s="3" t="s">
        <v>12808</v>
      </c>
      <c r="C13434" s="3" t="str">
        <f>IFERROR(__xludf.DUMMYFUNCTION("GOOGLETRANSLATE(B13434,""id"",""en"")"),"['Love', 'star', 'try', 'use', 'APK']")</f>
        <v>['Love', 'star', 'try', 'use', 'APK']</v>
      </c>
      <c r="D13434" s="3">
        <v>2.0</v>
      </c>
    </row>
    <row r="13435" ht="15.75" customHeight="1">
      <c r="A13435" s="1">
        <v>14299.0</v>
      </c>
      <c r="B13435" s="3" t="s">
        <v>12809</v>
      </c>
      <c r="C13435" s="3" t="str">
        <f>IFERROR(__xludf.DUMMYFUNCTION("GOOGLETRANSLATE(B13435,""id"",""en"")"),"['Cool', 'Disruption', 'Mulu', 'Signal', 'ilang', 'Bae', 'A Week', '']")</f>
        <v>['Cool', 'Disruption', 'Mulu', 'Signal', 'ilang', 'Bae', 'A Week', '']</v>
      </c>
      <c r="D13435" s="3">
        <v>3.0</v>
      </c>
    </row>
    <row r="13436" ht="15.75" customHeight="1">
      <c r="A13436" s="1">
        <v>14300.0</v>
      </c>
      <c r="B13436" s="3" t="s">
        <v>12810</v>
      </c>
      <c r="C13436" s="3" t="str">
        <f>IFERROR(__xludf.DUMMYFUNCTION("GOOGLETRANSLATE(B13436,""id"",""en"")"),"['Thank you', 'accompany', 'full', 'emotion', 'smakin', 'tariff', 'package', 'smakin', 'soar', 'quality', 'network', 'salaangaaat', ' "", 'replace', 'operator', 'seuler', 'thank', 'love', '']")</f>
        <v>['Thank you', 'accompany', 'full', 'emotion', 'smakin', 'tariff', 'package', 'smakin', 'soar', 'quality', 'network', 'salaangaaat', ' ", 'replace', 'operator', 'seuler', 'thank', 'love', '']</v>
      </c>
      <c r="D13436" s="3">
        <v>1.0</v>
      </c>
    </row>
    <row r="13437" ht="15.75" customHeight="1">
      <c r="A13437" s="1">
        <v>14301.0</v>
      </c>
      <c r="B13437" s="3" t="s">
        <v>12811</v>
      </c>
      <c r="C13437" s="3" t="str">
        <f>IFERROR(__xludf.DUMMYFUNCTION("GOOGLETRANSLATE(B13437,""id"",""en"")"),"['Disappointed', 'expensive', 'package', 'network', 'slow', 'bangggeeeeettttt', 'disappointed', 'Salkali']")</f>
        <v>['Disappointed', 'expensive', 'package', 'network', 'slow', 'bangggeeeeettttt', 'disappointed', 'Salkali']</v>
      </c>
      <c r="D13437" s="3">
        <v>1.0</v>
      </c>
    </row>
    <row r="13438" ht="15.75" customHeight="1">
      <c r="A13438" s="1">
        <v>14302.0</v>
      </c>
      <c r="B13438" s="3" t="s">
        <v>12812</v>
      </c>
      <c r="C13438" s="3" t="str">
        <f>IFERROR(__xludf.DUMMYFUNCTION("GOOGLETRANSLATE(B13438,""id"",""en"")"),"['Suitable', 'unlimited', 'hope', 'fast', 'get', 'bonus', 'amin', 'satisfied', 'satisfied']")</f>
        <v>['Suitable', 'unlimited', 'hope', 'fast', 'get', 'bonus', 'amin', 'satisfied', 'satisfied']</v>
      </c>
      <c r="D13438" s="3">
        <v>5.0</v>
      </c>
    </row>
    <row r="13439" ht="15.75" customHeight="1">
      <c r="A13439" s="1">
        <v>14303.0</v>
      </c>
      <c r="B13439" s="3" t="s">
        <v>12813</v>
      </c>
      <c r="C13439" s="3" t="str">
        <f>IFERROR(__xludf.DUMMYFUNCTION("GOOGLETRANSLATE(B13439,""id"",""en"")"),"['Telkomsel', 'Disappointed', 'Leet', ""]")</f>
        <v>['Telkomsel', 'Disappointed', 'Leet', "]</v>
      </c>
      <c r="D13439" s="3">
        <v>4.0</v>
      </c>
    </row>
    <row r="13440" ht="15.75" customHeight="1">
      <c r="A13440" s="1">
        <v>14304.0</v>
      </c>
      <c r="B13440" s="3" t="s">
        <v>1601</v>
      </c>
      <c r="C13440" s="3" t="str">
        <f>IFERROR(__xludf.DUMMYFUNCTION("GOOGLETRANSLATE(B13440,""id"",""en"")"),"['open']")</f>
        <v>['open']</v>
      </c>
      <c r="D13440" s="3">
        <v>2.0</v>
      </c>
    </row>
    <row r="13441" ht="15.75" customHeight="1">
      <c r="A13441" s="1">
        <v>14305.0</v>
      </c>
      <c r="B13441" s="3" t="s">
        <v>12814</v>
      </c>
      <c r="C13441" s="3" t="str">
        <f>IFERROR(__xludf.DUMMYFUNCTION("GOOGLETRANSLATE(B13441,""id"",""en"")"),"['Sulusion', 'blank', 'white', 'download', 'diweb', 'version', '']")</f>
        <v>['Sulusion', 'blank', 'white', 'download', 'diweb', 'version', '']</v>
      </c>
      <c r="D13441" s="3">
        <v>1.0</v>
      </c>
    </row>
    <row r="13442" ht="15.75" customHeight="1">
      <c r="A13442" s="1">
        <v>14306.0</v>
      </c>
      <c r="B13442" s="3" t="s">
        <v>12815</v>
      </c>
      <c r="C13442" s="3" t="str">
        <f>IFERROR(__xludf.DUMMYFUNCTION("GOOGLETRANSLATE(B13442,""id"",""en"")"),"['like', 'application', 'makes it easier', 'check', 'data', 'credit', 'complicated', 'type', 'number', 'card', 'Telkomsel', 'cheap', ' Buy ',' Data ',' like ',' really ',' Anyway ',' ']")</f>
        <v>['like', 'application', 'makes it easier', 'check', 'data', 'credit', 'complicated', 'type', 'number', 'card', 'Telkomsel', 'cheap', ' Buy ',' Data ',' like ',' really ',' Anyway ',' ']</v>
      </c>
      <c r="D13442" s="3">
        <v>5.0</v>
      </c>
    </row>
    <row r="13443" ht="15.75" customHeight="1">
      <c r="A13443" s="1">
        <v>14307.0</v>
      </c>
      <c r="B13443" s="3" t="s">
        <v>12816</v>
      </c>
      <c r="C13443" s="3" t="str">
        <f>IFERROR(__xludf.DUMMYFUNCTION("GOOGLETRANSLATE(B13443,""id"",""en"")"),"['Indonesia', 'Application', 'Provides', 'Options', 'Language', 'Indonesia', ""]")</f>
        <v>['Indonesia', 'Application', 'Provides', 'Options', 'Language', 'Indonesia', "]</v>
      </c>
      <c r="D13443" s="3">
        <v>2.0</v>
      </c>
    </row>
    <row r="13444" ht="15.75" customHeight="1">
      <c r="A13444" s="1">
        <v>14308.0</v>
      </c>
      <c r="B13444" s="3" t="s">
        <v>12817</v>
      </c>
      <c r="C13444" s="3" t="str">
        <f>IFERROR(__xludf.DUMMYFUNCTION("GOOGLETRANSLATE(B13444,""id"",""en"")"),"['best', 'network']")</f>
        <v>['best', 'network']</v>
      </c>
      <c r="D13444" s="3">
        <v>5.0</v>
      </c>
    </row>
    <row r="13445" ht="15.75" customHeight="1">
      <c r="A13445" s="1">
        <v>14309.0</v>
      </c>
      <c r="B13445" s="3" t="s">
        <v>12818</v>
      </c>
      <c r="C13445" s="3" t="str">
        <f>IFERROR(__xludf.DUMMYFUNCTION("GOOGLETRANSLATE(B13445,""id"",""en"")"),"['', 'already', 'Change', 'Tetep', 'signal', 'ugly', 'Try', 'Benerin', 'Network', 'Margasari', 'Karawaci', 'Tangerang', 'Banten ',' Region ',' City ',' lag ',' Severe ']")</f>
        <v>['', 'already', 'Change', 'Tetep', 'signal', 'ugly', 'Try', 'Benerin', 'Network', 'Margasari', 'Karawaci', 'Tangerang', 'Banten ',' Region ',' City ',' lag ',' Severe ']</v>
      </c>
      <c r="D13445" s="3">
        <v>2.0</v>
      </c>
    </row>
    <row r="13446" ht="15.75" customHeight="1">
      <c r="A13446" s="1">
        <v>14310.0</v>
      </c>
      <c r="B13446" s="3" t="s">
        <v>12819</v>
      </c>
      <c r="C13446" s="3" t="str">
        <f>IFERROR(__xludf.DUMMYFUNCTION("GOOGLETRANSLATE(B13446,""id"",""en"")"),"['Login', 'Ribet', 'Very', 'Link', 'Send', 'Until', 'Many', 'Udh', 'Clon', 'Expired', 'Ribet', 'Very']")</f>
        <v>['Login', 'Ribet', 'Very', 'Link', 'Send', 'Until', 'Many', 'Udh', 'Clon', 'Expired', 'Ribet', 'Very']</v>
      </c>
      <c r="D13446" s="3">
        <v>1.0</v>
      </c>
    </row>
    <row r="13447" ht="15.75" customHeight="1">
      <c r="A13447" s="1">
        <v>14311.0</v>
      </c>
      <c r="B13447" s="3" t="s">
        <v>12820</v>
      </c>
      <c r="C13447" s="3" t="str">
        <f>IFERROR(__xludf.DUMMYFUNCTION("GOOGLETRANSLATE(B13447,""id"",""en"")"),"['Hello', 'Telkomsel', 'Star', 'Credit', 'Cutting', 'Fill', 'Credit', 'Review', 'Response', 'Telkomsel', 'Star', 'Thank', ' Love ',' Keselll ',' Bangettt ',' already ',' repeated ',' times', '']")</f>
        <v>['Hello', 'Telkomsel', 'Star', 'Credit', 'Cutting', 'Fill', 'Credit', 'Review', 'Response', 'Telkomsel', 'Star', 'Thank', ' Love ',' Keselll ',' Bangettt ',' already ',' repeated ',' times', '']</v>
      </c>
      <c r="D13447" s="3">
        <v>1.0</v>
      </c>
    </row>
    <row r="13448" ht="15.75" customHeight="1">
      <c r="A13448" s="1">
        <v>14312.0</v>
      </c>
      <c r="B13448" s="3" t="s">
        <v>12821</v>
      </c>
      <c r="C13448" s="3" t="str">
        <f>IFERROR(__xludf.DUMMYFUNCTION("GOOGLETRANSLATE(B13448,""id"",""en"")"),"['Lotten', 'free', 'hat']")</f>
        <v>['Lotten', 'free', 'hat']</v>
      </c>
      <c r="D13448" s="3">
        <v>5.0</v>
      </c>
    </row>
    <row r="13449" ht="15.75" customHeight="1">
      <c r="A13449" s="1">
        <v>14313.0</v>
      </c>
      <c r="B13449" s="3" t="s">
        <v>12822</v>
      </c>
      <c r="C13449" s="3" t="str">
        <f>IFERROR(__xludf.DUMMYFUNCTION("GOOGLETRANSLATE(B13449,""id"",""en"")"),"['quota', 'Hbs', 'slow', 'knpa', ""]")</f>
        <v>['quota', 'Hbs', 'slow', 'knpa', "]</v>
      </c>
      <c r="D13449" s="3">
        <v>4.0</v>
      </c>
    </row>
    <row r="13450" ht="15.75" customHeight="1">
      <c r="A13450" s="1">
        <v>14314.0</v>
      </c>
      <c r="B13450" s="3" t="s">
        <v>12823</v>
      </c>
      <c r="C13450" s="3" t="str">
        <f>IFERROR(__xludf.DUMMYFUNCTION("GOOGLETRANSLATE(B13450,""id"",""en"")"),"['', 'contents',' plsa ',' data ',' knp ',' plsa ',' main ',' msh ',' cut ',' rb ',' dngn ',' alsan ',' use ',' data ',' package ',' data ',' active ',' pulse ',' main ',' cut ',' rb ',' please ',' clarification ',' admin ']")</f>
        <v>['', 'contents',' plsa ',' data ',' knp ',' plsa ',' main ',' msh ',' cut ',' rb ',' dngn ',' alsan ',' use ',' data ',' package ',' data ',' active ',' pulse ',' main ',' cut ',' rb ',' please ',' clarification ',' admin ']</v>
      </c>
      <c r="D13450" s="3">
        <v>1.0</v>
      </c>
    </row>
    <row r="13451" ht="15.75" customHeight="1">
      <c r="A13451" s="1">
        <v>14315.0</v>
      </c>
      <c r="B13451" s="3" t="s">
        <v>12824</v>
      </c>
      <c r="C13451" s="3" t="str">
        <f>IFERROR(__xludf.DUMMYFUNCTION("GOOGLETRANSLATE(B13451,""id"",""en"")"),"['Severe', 'ugly', 'download', 'open', 'please', 'fix']")</f>
        <v>['Severe', 'ugly', 'download', 'open', 'please', 'fix']</v>
      </c>
      <c r="D13451" s="3">
        <v>1.0</v>
      </c>
    </row>
    <row r="13452" ht="15.75" customHeight="1">
      <c r="A13452" s="1">
        <v>14316.0</v>
      </c>
      <c r="B13452" s="3" t="s">
        <v>12825</v>
      </c>
      <c r="C13452" s="3" t="str">
        <f>IFERROR(__xludf.DUMMYFUNCTION("GOOGLETRANSLATE(B13452,""id"",""en"")"),"['Good', 'Helping', 'MMPermarket']")</f>
        <v>['Good', 'Helping', 'MMPermarket']</v>
      </c>
      <c r="D13452" s="3">
        <v>5.0</v>
      </c>
    </row>
    <row r="13453" ht="15.75" customHeight="1">
      <c r="A13453" s="1">
        <v>14317.0</v>
      </c>
      <c r="B13453" s="3" t="s">
        <v>12826</v>
      </c>
      <c r="C13453" s="3" t="str">
        <f>IFERROR(__xludf.DUMMYFUNCTION("GOOGLETRANSLATE(B13453,""id"",""en"")"),"['might', 'knapa', 'may', 'expensive', 'price', 'package', 'combo', 'saktinya', 'dngan', 'tlkomsel', 'moved', '']")</f>
        <v>['might', 'knapa', 'may', 'expensive', 'price', 'package', 'combo', 'saktinya', 'dngan', 'tlkomsel', 'moved', '']</v>
      </c>
      <c r="D13453" s="3">
        <v>1.0</v>
      </c>
    </row>
    <row r="13454" ht="15.75" customHeight="1">
      <c r="A13454" s="1">
        <v>14318.0</v>
      </c>
      <c r="B13454" s="3" t="s">
        <v>12827</v>
      </c>
      <c r="C13454" s="3" t="str">
        <f>IFERROR(__xludf.DUMMYFUNCTION("GOOGLETRANSLATE(B13454,""id"",""en"")"),"['Download', 'Telkomsel', 'Open', 'The application']")</f>
        <v>['Download', 'Telkomsel', 'Open', 'The application']</v>
      </c>
      <c r="D13454" s="3">
        <v>2.0</v>
      </c>
    </row>
    <row r="13455" ht="15.75" customHeight="1">
      <c r="A13455" s="1">
        <v>14319.0</v>
      </c>
      <c r="B13455" s="3" t="s">
        <v>12828</v>
      </c>
      <c r="C13455" s="3" t="str">
        <f>IFERROR(__xludf.DUMMYFUNCTION("GOOGLETRANSLATE(B13455,""id"",""en"")"),"['Hopefully', 'Telkomsel', 'Strengthens', 'Signal', 'Addition', 'Tower', 'Transmitter', 'Plosok', 'Deket', 'Beach']")</f>
        <v>['Hopefully', 'Telkomsel', 'Strengthens', 'Signal', 'Addition', 'Tower', 'Transmitter', 'Plosok', 'Deket', 'Beach']</v>
      </c>
      <c r="D13455" s="3">
        <v>4.0</v>
      </c>
    </row>
    <row r="13456" ht="15.75" customHeight="1">
      <c r="A13456" s="1">
        <v>14320.0</v>
      </c>
      <c r="B13456" s="3" t="s">
        <v>12829</v>
      </c>
      <c r="C13456" s="3" t="str">
        <f>IFERROR(__xludf.DUMMYFUNCTION("GOOGLETRANSLATE(B13456,""id"",""en"")"),"['', 'Telkomsel', 'bad', 'Prjuiju', 'Connect', 'just', 'screen', 'white', 'doang']")</f>
        <v>['', 'Telkomsel', 'bad', 'Prjuiju', 'Connect', 'just', 'screen', 'white', 'doang']</v>
      </c>
      <c r="D13456" s="3">
        <v>1.0</v>
      </c>
    </row>
    <row r="13457" ht="15.75" customHeight="1">
      <c r="A13457" s="1">
        <v>14321.0</v>
      </c>
      <c r="B13457" s="3" t="s">
        <v>8274</v>
      </c>
      <c r="C13457" s="3" t="str">
        <f>IFERROR(__xludf.DUMMYFUNCTION("GOOGLETRANSLATE(B13457,""id"",""en"")"),"['Synity']")</f>
        <v>['Synity']</v>
      </c>
      <c r="D13457" s="3">
        <v>1.0</v>
      </c>
    </row>
    <row r="13458" ht="15.75" customHeight="1">
      <c r="A13458" s="1">
        <v>14322.0</v>
      </c>
      <c r="B13458" s="3" t="s">
        <v>12830</v>
      </c>
      <c r="C13458" s="3" t="str">
        <f>IFERROR(__xludf.DUMMYFUNCTION("GOOGLETRANSLATE(B13458,""id"",""en"")"),"['Network', 'difficult', '']")</f>
        <v>['Network', 'difficult', '']</v>
      </c>
      <c r="D13458" s="3">
        <v>1.0</v>
      </c>
    </row>
    <row r="13459" ht="15.75" customHeight="1">
      <c r="A13459" s="1">
        <v>14323.0</v>
      </c>
      <c r="B13459" s="3" t="s">
        <v>12831</v>
      </c>
      <c r="C13459" s="3" t="str">
        <f>IFERROR(__xludf.DUMMYFUNCTION("GOOGLETRANSLATE(B13459,""id"",""en"")"),"['Provider', 'sadistic', 'pulse', 'free', 'BUMN', 'go bankrupt', 'times',' cost ',' mending ',' select ',' provider ',' manage ',' country']")</f>
        <v>['Provider', 'sadistic', 'pulse', 'free', 'BUMN', 'go bankrupt', 'times',' cost ',' mending ',' select ',' provider ',' manage ',' country']</v>
      </c>
      <c r="D13459" s="3">
        <v>1.0</v>
      </c>
    </row>
    <row r="13460" ht="15.75" customHeight="1">
      <c r="A13460" s="1">
        <v>14324.0</v>
      </c>
      <c r="B13460" s="3" t="s">
        <v>12832</v>
      </c>
      <c r="C13460" s="3" t="str">
        <f>IFERROR(__xludf.DUMMYFUNCTION("GOOGLETRANSLATE(B13460,""id"",""en"")"),"['understand']")</f>
        <v>['understand']</v>
      </c>
      <c r="D13460" s="3">
        <v>5.0</v>
      </c>
    </row>
    <row r="13461" ht="15.75" customHeight="1">
      <c r="A13461" s="1">
        <v>14325.0</v>
      </c>
      <c r="B13461" s="3" t="s">
        <v>12833</v>
      </c>
      <c r="C13461" s="3" t="str">
        <f>IFERROR(__xludf.DUMMYFUNCTION("GOOGLETRANSLATE(B13461,""id"",""en"")"),"['hope', 'screen', 'white', 'repaired']")</f>
        <v>['hope', 'screen', 'white', 'repaired']</v>
      </c>
      <c r="D13461" s="3">
        <v>1.0</v>
      </c>
    </row>
    <row r="13462" ht="15.75" customHeight="1">
      <c r="A13462" s="1">
        <v>14326.0</v>
      </c>
      <c r="B13462" s="3" t="s">
        <v>12834</v>
      </c>
      <c r="C13462" s="3" t="str">
        <f>IFERROR(__xludf.DUMMYFUNCTION("GOOGLETRANSLATE(B13462,""id"",""en"")"),"['', 'Telkomsel', 'service', 'The', 'Best', 'Frovider', 'Telkomsel']")</f>
        <v>['', 'Telkomsel', 'service', 'The', 'Best', 'Frovider', 'Telkomsel']</v>
      </c>
      <c r="D13462" s="3">
        <v>1.0</v>
      </c>
    </row>
    <row r="13463" ht="15.75" customHeight="1">
      <c r="A13463" s="1">
        <v>14327.0</v>
      </c>
      <c r="B13463" s="3" t="s">
        <v>12835</v>
      </c>
      <c r="C13463" s="3" t="str">
        <f>IFERROR(__xludf.DUMMYFUNCTION("GOOGLETRANSLATE(B13463,""id"",""en"")"),"['How', 'Telkomsel', 'Sunday', 'Signal', 'Severe', 'Repair', 'Customer', 'Telkomsel', 'Move', 'Operator', 'in the area', 'Karawang', ' District ',' Tegalwaru ',' Loji ']")</f>
        <v>['How', 'Telkomsel', 'Sunday', 'Signal', 'Severe', 'Repair', 'Customer', 'Telkomsel', 'Move', 'Operator', 'in the area', 'Karawang', ' District ',' Tegalwaru ',' Loji ']</v>
      </c>
      <c r="D13463" s="3">
        <v>1.0</v>
      </c>
    </row>
    <row r="13464" ht="15.75" customHeight="1">
      <c r="A13464" s="1">
        <v>14328.0</v>
      </c>
      <c r="B13464" s="3" t="s">
        <v>12836</v>
      </c>
      <c r="C13464" s="3" t="str">
        <f>IFERROR(__xludf.DUMMYFUNCTION("GOOGLETRANSLATE(B13464,""id"",""en"")"),"['signal', 'missing', 'sudden', 'HRP', 'stabilized', 'trims', '']")</f>
        <v>['signal', 'missing', 'sudden', 'HRP', 'stabilized', 'trims', '']</v>
      </c>
      <c r="D13464" s="3">
        <v>4.0</v>
      </c>
    </row>
    <row r="13465" ht="15.75" customHeight="1">
      <c r="A13465" s="1">
        <v>14329.0</v>
      </c>
      <c r="B13465" s="3" t="s">
        <v>12837</v>
      </c>
      <c r="C13465" s="3" t="str">
        <f>IFERROR(__xludf.DUMMYFUNCTION("GOOGLETRANSLATE(B13465,""id"",""en"")"),"['easy', 'convoluted', '']")</f>
        <v>['easy', 'convoluted', '']</v>
      </c>
      <c r="D13465" s="3">
        <v>5.0</v>
      </c>
    </row>
    <row r="13466" ht="15.75" customHeight="1">
      <c r="A13466" s="1">
        <v>14330.0</v>
      </c>
      <c r="B13466" s="3" t="s">
        <v>12838</v>
      </c>
      <c r="C13466" s="3" t="str">
        <f>IFERROR(__xludf.DUMMYFUNCTION("GOOGLETRANSLATE(B13466,""id"",""en"")"),"['night', 'run out', 'test', 'signal', 'ilang', 'appears',' bagaiamana ',' quality ',' disappointing ',' sometimes', 'signal', 'Telkomsel', ' Different ',' Where ',' Telkomsel ',' Signal ',' Changed ',' ']")</f>
        <v>['night', 'run out', 'test', 'signal', 'ilang', 'appears',' bagaiamana ',' quality ',' disappointing ',' sometimes', 'signal', 'Telkomsel', ' Different ',' Where ',' Telkomsel ',' Signal ',' Changed ',' ']</v>
      </c>
      <c r="D13466" s="3">
        <v>2.0</v>
      </c>
    </row>
    <row r="13467" ht="15.75" customHeight="1">
      <c r="A13467" s="1">
        <v>14331.0</v>
      </c>
      <c r="B13467" s="3" t="s">
        <v>12839</v>
      </c>
      <c r="C13467" s="3" t="str">
        <f>IFERROR(__xludf.DUMMYFUNCTION("GOOGLETRANSLATE(B13467,""id"",""en"")"),"['Ngelakuin', 'application', 'payment', 'online', 'via', 'Telkomsel', 'stay', 'buy', 'pulse', 'mytelkomsel', 'buy', 'item', ' Games', 'pulses',' Telkomsel ',' deh ',' ']")</f>
        <v>['Ngelakuin', 'application', 'payment', 'online', 'via', 'Telkomsel', 'stay', 'buy', 'pulse', 'mytelkomsel', 'buy', 'item', ' Games', 'pulses',' Telkomsel ',' deh ',' ']</v>
      </c>
      <c r="D13467" s="3">
        <v>5.0</v>
      </c>
    </row>
    <row r="13468" ht="15.75" customHeight="1">
      <c r="A13468" s="1">
        <v>14332.0</v>
      </c>
      <c r="B13468" s="3" t="s">
        <v>12840</v>
      </c>
      <c r="C13468" s="3" t="str">
        <f>IFERROR(__xludf.DUMMYFUNCTION("GOOGLETRANSLATE(B13468,""id"",""en"")"),"['users',' Telkomsel ',' disappointed ',' complement ',' application ',' Telkomsel ',' Souses', 'Telkomsel', 'fast', 'responsive', 'customers',' Telkomsel ',' Complement ',' ']")</f>
        <v>['users',' Telkomsel ',' disappointed ',' complement ',' application ',' Telkomsel ',' Souses', 'Telkomsel', 'fast', 'responsive', 'customers',' Telkomsel ',' Complement ',' ']</v>
      </c>
      <c r="D13468" s="3">
        <v>1.0</v>
      </c>
    </row>
    <row r="13469" ht="15.75" customHeight="1">
      <c r="A13469" s="1">
        <v>14333.0</v>
      </c>
      <c r="B13469" s="3" t="s">
        <v>12841</v>
      </c>
      <c r="C13469" s="3" t="str">
        <f>IFERROR(__xludf.DUMMYFUNCTION("GOOGLETRANSLATE(B13469,""id"",""en"")"),"['Disappointed', 'A Week', 'App', 'Telkomsel', 'Open', 'Screen', 'White', 'Delete', 'Install', 'Delete', 'Install', 'Screen', ' White', '']")</f>
        <v>['Disappointed', 'A Week', 'App', 'Telkomsel', 'Open', 'Screen', 'White', 'Delete', 'Install', 'Delete', 'Install', 'Screen', ' White', '']</v>
      </c>
      <c r="D13469" s="3">
        <v>2.0</v>
      </c>
    </row>
    <row r="13470" ht="15.75" customHeight="1">
      <c r="A13470" s="1">
        <v>14334.0</v>
      </c>
      <c r="B13470" s="3" t="s">
        <v>12842</v>
      </c>
      <c r="C13470" s="3" t="str">
        <f>IFERROR(__xludf.DUMMYFUNCTION("GOOGLETRANSLATE(B13470,""id"",""en"")"),"['knpa', 'NDK', 'opened', '']")</f>
        <v>['knpa', 'NDK', 'opened', '']</v>
      </c>
      <c r="D13470" s="3">
        <v>1.0</v>
      </c>
    </row>
    <row r="13471" ht="15.75" customHeight="1">
      <c r="A13471" s="1">
        <v>14335.0</v>
      </c>
      <c r="B13471" s="3" t="s">
        <v>12843</v>
      </c>
      <c r="C13471" s="3" t="str">
        <f>IFERROR(__xludf.DUMMYFUNCTION("GOOGLETRANSLATE(B13471,""id"",""en"")"),"['buy', 'quota', 'lapse', 'ulimited', 'youtube', 'used', 'kouta', 'internet', 'kouta', 'internet', 'finished', 'quota', ' YouTube ',' whole ',' ']")</f>
        <v>['buy', 'quota', 'lapse', 'ulimited', 'youtube', 'used', 'kouta', 'internet', 'kouta', 'internet', 'finished', 'quota', ' YouTube ',' whole ',' ']</v>
      </c>
      <c r="D13471" s="3">
        <v>1.0</v>
      </c>
    </row>
    <row r="13472" ht="15.75" customHeight="1">
      <c r="A13472" s="1">
        <v>14336.0</v>
      </c>
      <c r="B13472" s="3" t="s">
        <v>12844</v>
      </c>
      <c r="C13472" s="3" t="str">
        <f>IFERROR(__xludf.DUMMYFUNCTION("GOOGLETRANSLATE(B13472,""id"",""en"")"),"['signal', 'really', 'UDH', 'price', 'expensive', 'signal', ""]")</f>
        <v>['signal', 'really', 'UDH', 'price', 'expensive', 'signal', "]</v>
      </c>
      <c r="D13472" s="3">
        <v>1.0</v>
      </c>
    </row>
    <row r="13473" ht="15.75" customHeight="1">
      <c r="A13473" s="1">
        <v>14337.0</v>
      </c>
      <c r="B13473" s="3" t="s">
        <v>12845</v>
      </c>
      <c r="C13473" s="3" t="str">
        <f>IFERROR(__xludf.DUMMYFUNCTION("GOOGLETRANSLATE(B13473,""id"",""en"")"),"['signal', 'Telkomsel', 'slow', 'Satan', 'Blom', 'Fix', 'Auto', 'Move', 'Customer']")</f>
        <v>['signal', 'Telkomsel', 'slow', 'Satan', 'Blom', 'Fix', 'Auto', 'Move', 'Customer']</v>
      </c>
      <c r="D13473" s="3">
        <v>1.0</v>
      </c>
    </row>
    <row r="13474" ht="15.75" customHeight="1">
      <c r="A13474" s="1">
        <v>14338.0</v>
      </c>
      <c r="B13474" s="3" t="s">
        <v>12846</v>
      </c>
      <c r="C13474" s="3" t="str">
        <f>IFERROR(__xludf.DUMMYFUNCTION("GOOGLETRANSLATE(B13474,""id"",""en"")"),"['Current', 'Jaya', 'Kuningan', 'East']")</f>
        <v>['Current', 'Jaya', 'Kuningan', 'East']</v>
      </c>
      <c r="D13474" s="3">
        <v>5.0</v>
      </c>
    </row>
    <row r="13475" ht="15.75" customHeight="1">
      <c r="A13475" s="1">
        <v>14339.0</v>
      </c>
      <c r="B13475" s="3" t="s">
        <v>12847</v>
      </c>
      <c r="C13475" s="3" t="str">
        <f>IFERROR(__xludf.DUMMYFUNCTION("GOOGLETRANSLATE(B13475,""id"",""en"")"),"['oath', 'disappointed', 'skrg', 'Telkomsel', 'already', 'price', 'expensive', 'quality', 'signal', 'downhill', '']")</f>
        <v>['oath', 'disappointed', 'skrg', 'Telkomsel', 'already', 'price', 'expensive', 'quality', 'signal', 'downhill', '']</v>
      </c>
      <c r="D13475" s="3">
        <v>1.0</v>
      </c>
    </row>
    <row r="13476" ht="15.75" customHeight="1">
      <c r="A13476" s="1">
        <v>14340.0</v>
      </c>
      <c r="B13476" s="3" t="s">
        <v>12848</v>
      </c>
      <c r="C13476" s="3" t="str">
        <f>IFERROR(__xludf.DUMMYFUNCTION("GOOGLETRANSLATE(B13476,""id"",""en"")"),"['suitable', '']")</f>
        <v>['suitable', '']</v>
      </c>
      <c r="D13476" s="3">
        <v>5.0</v>
      </c>
    </row>
    <row r="13477" ht="15.75" customHeight="1">
      <c r="A13477" s="1">
        <v>14341.0</v>
      </c>
      <c r="B13477" s="3" t="s">
        <v>12849</v>
      </c>
      <c r="C13477" s="3" t="str">
        <f>IFERROR(__xludf.DUMMYFUNCTION("GOOGLETRANSLATE(B13477,""id"",""en"")"),"['Update', 'Application', 'Ngeblank', 'Screen', 'White', 'Device', 'Samsung', 'Galaxy', 'Please', 'Repair']")</f>
        <v>['Update', 'Application', 'Ngeblank', 'Screen', 'White', 'Device', 'Samsung', 'Galaxy', 'Please', 'Repair']</v>
      </c>
      <c r="D13477" s="3">
        <v>1.0</v>
      </c>
    </row>
    <row r="13478" ht="15.75" customHeight="1">
      <c r="A13478" s="1">
        <v>14342.0</v>
      </c>
      <c r="B13478" s="3" t="s">
        <v>12850</v>
      </c>
      <c r="C13478" s="3" t="str">
        <f>IFERROR(__xludf.DUMMYFUNCTION("GOOGLETRANSLATE(B13478,""id"",""en"")"),"['buy', 'pulse', 'easy']")</f>
        <v>['buy', 'pulse', 'easy']</v>
      </c>
      <c r="D13478" s="3">
        <v>5.0</v>
      </c>
    </row>
    <row r="13479" ht="15.75" customHeight="1">
      <c r="A13479" s="1">
        <v>14343.0</v>
      </c>
      <c r="B13479" s="3" t="s">
        <v>12851</v>
      </c>
      <c r="C13479" s="3" t="str">
        <f>IFERROR(__xludf.DUMMYFUNCTION("GOOGLETRANSLATE(B13479,""id"",""en"")"),"['buy', 'package', 'data', 'pakek', 'pulse', 'tdak', ""]")</f>
        <v>['buy', 'package', 'data', 'pakek', 'pulse', 'tdak', "]</v>
      </c>
      <c r="D13479" s="3">
        <v>1.0</v>
      </c>
    </row>
    <row r="13480" ht="15.75" customHeight="1">
      <c r="A13480" s="1">
        <v>14344.0</v>
      </c>
      <c r="B13480" s="3" t="s">
        <v>12852</v>
      </c>
      <c r="C13480" s="3" t="str">
        <f>IFERROR(__xludf.DUMMYFUNCTION("GOOGLETRANSLATE(B13480,""id"",""en"")"),"['signal', 'Telkom', 'knpa']")</f>
        <v>['signal', 'Telkom', 'knpa']</v>
      </c>
      <c r="D13480" s="3">
        <v>1.0</v>
      </c>
    </row>
    <row r="13481" ht="15.75" customHeight="1">
      <c r="A13481" s="1">
        <v>14345.0</v>
      </c>
      <c r="B13481" s="3" t="s">
        <v>1191</v>
      </c>
      <c r="C13481" s="3" t="str">
        <f>IFERROR(__xludf.DUMMYFUNCTION("GOOGLETRANSLATE(B13481,""id"",""en"")"),"['APK']")</f>
        <v>['APK']</v>
      </c>
      <c r="D13481" s="3">
        <v>5.0</v>
      </c>
    </row>
    <row r="13482" ht="15.75" customHeight="1">
      <c r="A13482" s="1">
        <v>14346.0</v>
      </c>
      <c r="B13482" s="3" t="s">
        <v>12853</v>
      </c>
      <c r="C13482" s="3" t="str">
        <f>IFERROR(__xludf.DUMMYFUNCTION("GOOGLETRANSLATE(B13482,""id"",""en"")"),"['Discount', 'like', 'really', ""]")</f>
        <v>['Discount', 'like', 'really', "]</v>
      </c>
      <c r="D13482" s="3">
        <v>5.0</v>
      </c>
    </row>
    <row r="13483" ht="15.75" customHeight="1">
      <c r="A13483" s="1">
        <v>14347.0</v>
      </c>
      <c r="B13483" s="3" t="s">
        <v>12854</v>
      </c>
      <c r="C13483" s="3" t="str">
        <f>IFERROR(__xludf.DUMMYFUNCTION("GOOGLETRANSLATE(B13483,""id"",""en"")"),"['applicationx', 'lalot', 'difficult', 'NOT']")</f>
        <v>['applicationx', 'lalot', 'difficult', 'NOT']</v>
      </c>
      <c r="D13483" s="3">
        <v>1.0</v>
      </c>
    </row>
    <row r="13484" ht="15.75" customHeight="1">
      <c r="A13484" s="1">
        <v>14348.0</v>
      </c>
      <c r="B13484" s="3" t="s">
        <v>12855</v>
      </c>
      <c r="C13484" s="3" t="str">
        <f>IFERROR(__xludf.DUMMYFUNCTION("GOOGLETRANSLATE(B13484,""id"",""en"")"),"['connection', 'network', 'ugly', 'stay', 'village', 'mah', 'severe', 'rich', 'gini']")</f>
        <v>['connection', 'network', 'ugly', 'stay', 'village', 'mah', 'severe', 'rich', 'gini']</v>
      </c>
      <c r="D13484" s="3">
        <v>1.0</v>
      </c>
    </row>
    <row r="13485" ht="15.75" customHeight="1">
      <c r="A13485" s="1">
        <v>14349.0</v>
      </c>
      <c r="B13485" s="3" t="s">
        <v>12856</v>
      </c>
      <c r="C13485" s="3" t="str">
        <f>IFERROR(__xludf.DUMMYFUNCTION("GOOGLETRANSLATE(B13485,""id"",""en"")"),"['The network', 'disappointing', 'a week', 'network', 'internet', 'slow', 'repair']")</f>
        <v>['The network', 'disappointing', 'a week', 'network', 'internet', 'slow', 'repair']</v>
      </c>
      <c r="D13485" s="3">
        <v>1.0</v>
      </c>
    </row>
    <row r="13486" ht="15.75" customHeight="1">
      <c r="A13486" s="1">
        <v>14350.0</v>
      </c>
      <c r="B13486" s="3" t="s">
        <v>12857</v>
      </c>
      <c r="C13486" s="3" t="str">
        <f>IFERROR(__xludf.DUMMYFUNCTION("GOOGLETRANSLATE(B13486,""id"",""en"")"),"['easy', 'fast', 'transaction', 'checks', 'data']")</f>
        <v>['easy', 'fast', 'transaction', 'checks', 'data']</v>
      </c>
      <c r="D13486" s="3">
        <v>5.0</v>
      </c>
    </row>
    <row r="13487" ht="15.75" customHeight="1">
      <c r="A13487" s="1">
        <v>14351.0</v>
      </c>
      <c r="B13487" s="3" t="s">
        <v>12858</v>
      </c>
      <c r="C13487" s="3" t="str">
        <f>IFERROR(__xludf.DUMMYFUNCTION("GOOGLETRANSLATE(B13487,""id"",""en"")"),"['Update', 'buy', 'Paketan', 'APK', 'Price', 'Mahall', 'Suitable', 'Category', 'Student', 'Disappoints', ""]")</f>
        <v>['Update', 'buy', 'Paketan', 'APK', 'Price', 'Mahall', 'Suitable', 'Category', 'Student', 'Disappoints', "]</v>
      </c>
      <c r="D13487" s="3">
        <v>1.0</v>
      </c>
    </row>
    <row r="13488" ht="15.75" customHeight="1">
      <c r="A13488" s="1">
        <v>14352.0</v>
      </c>
      <c r="B13488" s="3" t="s">
        <v>12859</v>
      </c>
      <c r="C13488" s="3" t="str">
        <f>IFERROR(__xludf.DUMMYFUNCTION("GOOGLETRANSLATE(B13488,""id"",""en"")"),"['knapa', 'application', 'Telkomsel', 'open', 'sya', 'open', 'apk', 'telkomselnya', 'screen', 'white', 'doang', 'right', ' buy ',' package ',' difficult ']")</f>
        <v>['knapa', 'application', 'Telkomsel', 'open', 'sya', 'open', 'apk', 'telkomselnya', 'screen', 'white', 'doang', 'right', ' buy ',' package ',' difficult ']</v>
      </c>
      <c r="D13488" s="3">
        <v>1.0</v>
      </c>
    </row>
    <row r="13489" ht="15.75" customHeight="1">
      <c r="A13489" s="1">
        <v>14353.0</v>
      </c>
      <c r="B13489" s="3" t="s">
        <v>12860</v>
      </c>
      <c r="C13489" s="3" t="str">
        <f>IFERROR(__xludf.DUMMYFUNCTION("GOOGLETRANSLATE(B13489,""id"",""en"")"),"['Kenpa', 'Appsi', 'Syaa', 'BSA', 'Open', 'yaa', 'screen', 'white', 'then', 'mhn', 'help']")</f>
        <v>['Kenpa', 'Appsi', 'Syaa', 'BSA', 'Open', 'yaa', 'screen', 'white', 'then', 'mhn', 'help']</v>
      </c>
      <c r="D13489" s="3">
        <v>4.0</v>
      </c>
    </row>
    <row r="13490" ht="15.75" customHeight="1">
      <c r="A13490" s="1">
        <v>14354.0</v>
      </c>
      <c r="B13490" s="3" t="s">
        <v>12861</v>
      </c>
      <c r="C13490" s="3" t="str">
        <f>IFERROR(__xludf.DUMMYFUNCTION("GOOGLETRANSLATE(B13490,""id"",""en"")"),"['Please', 'Telkomsel', 'The network', 'fix']")</f>
        <v>['Please', 'Telkomsel', 'The network', 'fix']</v>
      </c>
      <c r="D13490" s="3">
        <v>1.0</v>
      </c>
    </row>
    <row r="13491" ht="15.75" customHeight="1">
      <c r="A13491" s="1">
        <v>14355.0</v>
      </c>
      <c r="B13491" s="3" t="s">
        <v>12862</v>
      </c>
      <c r="C13491" s="3" t="str">
        <f>IFERROR(__xludf.DUMMYFUNCTION("GOOGLETRANSLATE(B13491,""id"",""en"")"),"['Provider', 'contained', 'buy', 'package', 'expensive', 'ehh', 'network', 'jump', 'kek', 'squirrel']")</f>
        <v>['Provider', 'contained', 'buy', 'package', 'expensive', 'ehh', 'network', 'jump', 'kek', 'squirrel']</v>
      </c>
      <c r="D13491" s="3">
        <v>1.0</v>
      </c>
    </row>
    <row r="13492" ht="15.75" customHeight="1">
      <c r="A13492" s="1">
        <v>14356.0</v>
      </c>
      <c r="B13492" s="3" t="s">
        <v>12863</v>
      </c>
      <c r="C13492" s="3" t="str">
        <f>IFERROR(__xludf.DUMMYFUNCTION("GOOGLETRANSLATE(B13492,""id"",""en"")"),"['application', 'update', 'mending', 'version']")</f>
        <v>['application', 'update', 'mending', 'version']</v>
      </c>
      <c r="D13492" s="3">
        <v>1.0</v>
      </c>
    </row>
    <row r="13493" ht="15.75" customHeight="1">
      <c r="A13493" s="1">
        <v>14357.0</v>
      </c>
      <c r="B13493" s="3" t="s">
        <v>12864</v>
      </c>
      <c r="C13493" s="3" t="str">
        <f>IFERROR(__xludf.DUMMYFUNCTION("GOOGLETRANSLATE(B13493,""id"",""en"")"),"['signal', 'malem', 'like', 'ilang', 'rich', 'girl']")</f>
        <v>['signal', 'malem', 'like', 'ilang', 'rich', 'girl']</v>
      </c>
      <c r="D13493" s="3">
        <v>2.0</v>
      </c>
    </row>
    <row r="13494" ht="15.75" customHeight="1">
      <c r="A13494" s="1">
        <v>14358.0</v>
      </c>
      <c r="B13494" s="3" t="s">
        <v>12865</v>
      </c>
      <c r="C13494" s="3" t="str">
        <f>IFERROR(__xludf.DUMMYFUNCTION("GOOGLETRANSLATE(B13494,""id"",""en"")"),"['Change', 'card', 'Loe', 'rich', 'Gini', 'MyTelkomsel', 'Out', 'Tenguna', 'Telkomsel', 'The application', 'ugly', 'really', ' difficult ',' opened ',' price ',' package ',' expensive ',' disappointed ',' ']")</f>
        <v>['Change', 'card', 'Loe', 'rich', 'Gini', 'MyTelkomsel', 'Out', 'Tenguna', 'Telkomsel', 'The application', 'ugly', 'really', ' difficult ',' opened ',' price ',' package ',' expensive ',' disappointed ',' ']</v>
      </c>
      <c r="D13494" s="3">
        <v>1.0</v>
      </c>
    </row>
    <row r="13495" ht="15.75" customHeight="1">
      <c r="A13495" s="1">
        <v>14360.0</v>
      </c>
      <c r="B13495" s="3" t="s">
        <v>12866</v>
      </c>
      <c r="C13495" s="3" t="str">
        <f>IFERROR(__xludf.DUMMYFUNCTION("GOOGLETRANSLATE(B13495,""id"",""en"")"),"['Thank you', 'Telkomsel', 'emotions', 'due to', 'internet', 'kayak', 'snail']")</f>
        <v>['Thank you', 'Telkomsel', 'emotions', 'due to', 'internet', 'kayak', 'snail']</v>
      </c>
      <c r="D13495" s="3">
        <v>1.0</v>
      </c>
    </row>
    <row r="13496" ht="15.75" customHeight="1">
      <c r="A13496" s="1">
        <v>14361.0</v>
      </c>
      <c r="B13496" s="3" t="s">
        <v>12867</v>
      </c>
      <c r="C13496" s="3" t="str">
        <f>IFERROR(__xludf.DUMMYFUNCTION("GOOGLETRANSLATE(B13496,""id"",""en"")"),"['Telkomsel', 'signal', 'good', 'knp', 'really', 'slow']")</f>
        <v>['Telkomsel', 'signal', 'good', 'knp', 'really', 'slow']</v>
      </c>
      <c r="D13496" s="3">
        <v>1.0</v>
      </c>
    </row>
    <row r="13497" ht="15.75" customHeight="1">
      <c r="A13497" s="1">
        <v>14362.0</v>
      </c>
      <c r="B13497" s="3" t="s">
        <v>12868</v>
      </c>
      <c r="C13497" s="3" t="str">
        <f>IFERROR(__xludf.DUMMYFUNCTION("GOOGLETRANSLATE(B13497,""id"",""en"")"),"['Kasi', 'discount', 'like', 'application', '']")</f>
        <v>['Kasi', 'discount', 'like', 'application', '']</v>
      </c>
      <c r="D13497" s="3">
        <v>5.0</v>
      </c>
    </row>
    <row r="13498" ht="15.75" customHeight="1">
      <c r="A13498" s="1">
        <v>14363.0</v>
      </c>
      <c r="B13498" s="3" t="s">
        <v>12869</v>
      </c>
      <c r="C13498" s="3" t="str">
        <f>IFERROR(__xludf.DUMMYFUNCTION("GOOGLETRANSLATE(B13498,""id"",""en"")"),"['opened', 'appears', 'screen', 'white', '']")</f>
        <v>['opened', 'appears', 'screen', 'white', '']</v>
      </c>
      <c r="D13498" s="3">
        <v>1.0</v>
      </c>
    </row>
    <row r="13499" ht="15.75" customHeight="1">
      <c r="A13499" s="1">
        <v>14364.0</v>
      </c>
      <c r="B13499" s="3" t="s">
        <v>12870</v>
      </c>
      <c r="C13499" s="3" t="str">
        <f>IFERROR(__xludf.DUMMYFUNCTION("GOOGLETRANSLATE(B13499,""id"",""en"")"),"['GMNA', 'INH', 'POWKET', 'Telkomsel', 'Ancur', 'BNOY', 'Buyers',' Package ',' Internet ',' Delivery ',' Price ',' Mah ',' Bkin ',' Kesara ',' Price ',' Severe ',' ']")</f>
        <v>['GMNA', 'INH', 'POWKET', 'Telkomsel', 'Ancur', 'BNOY', 'Buyers',' Package ',' Internet ',' Delivery ',' Price ',' Mah ',' Bkin ',' Kesara ',' Price ',' Severe ',' ']</v>
      </c>
      <c r="D13499" s="3">
        <v>2.0</v>
      </c>
    </row>
    <row r="13500" ht="15.75" customHeight="1">
      <c r="A13500" s="1">
        <v>14365.0</v>
      </c>
      <c r="B13500" s="3" t="s">
        <v>12871</v>
      </c>
      <c r="C13500" s="3" t="str">
        <f>IFERROR(__xludf.DUMMYFUNCTION("GOOGLETRANSLATE(B13500,""id"",""en"")"),"['Star', 'the application', 'already', 'opened', 'Addin', 'star', 'loss', 'Daily', 'checkin', ""]")</f>
        <v>['Star', 'the application', 'already', 'opened', 'Addin', 'star', 'loss', 'Daily', 'checkin', "]</v>
      </c>
      <c r="D13500" s="3">
        <v>3.0</v>
      </c>
    </row>
    <row r="13501" ht="15.75" customHeight="1">
      <c r="A13501" s="1">
        <v>14366.0</v>
      </c>
      <c r="B13501" s="3" t="s">
        <v>12872</v>
      </c>
      <c r="C13501" s="3" t="str">
        <f>IFERROR(__xludf.DUMMYFUNCTION("GOOGLETRANSLATE(B13501,""id"",""en"")"),"['', 'White', 'Doank', 'Devuce', 'or', 'how', 'Litu', 'dlu', 'mkasih']")</f>
        <v>['', 'White', 'Doank', 'Devuce', 'or', 'how', 'Litu', 'dlu', 'mkasih']</v>
      </c>
      <c r="D13501" s="3">
        <v>3.0</v>
      </c>
    </row>
    <row r="13502" ht="15.75" customHeight="1">
      <c r="A13502" s="1">
        <v>14367.0</v>
      </c>
      <c r="B13502" s="3" t="s">
        <v>12873</v>
      </c>
      <c r="C13502" s="3" t="str">
        <f>IFERROR(__xludf.DUMMYFUNCTION("GOOGLETRANSLATE(B13502,""id"",""en"")"),"['Comfortable', 'used', 'feature', 'simple', 'functionable']")</f>
        <v>['Comfortable', 'used', 'feature', 'simple', 'functionable']</v>
      </c>
      <c r="D13502" s="3">
        <v>4.0</v>
      </c>
    </row>
    <row r="13503" ht="15.75" customHeight="1">
      <c r="A13503" s="1">
        <v>14368.0</v>
      </c>
      <c r="B13503" s="3" t="s">
        <v>1905</v>
      </c>
      <c r="C13503" s="3" t="str">
        <f>IFERROR(__xludf.DUMMYFUNCTION("GOOGLETRANSLATE(B13503,""id"",""en"")"),"['Good', 'network']")</f>
        <v>['Good', 'network']</v>
      </c>
      <c r="D13503" s="3">
        <v>3.0</v>
      </c>
    </row>
    <row r="13504" ht="15.75" customHeight="1">
      <c r="A13504" s="1">
        <v>14369.0</v>
      </c>
      <c r="B13504" s="3" t="s">
        <v>12874</v>
      </c>
      <c r="C13504" s="3" t="str">
        <f>IFERROR(__xludf.DUMMYFUNCTION("GOOGLETRANSLATE(B13504,""id"",""en"")"),"['Network', 'Telkomsel', 'Severe', 'Nge', 'Game', 'Already', 'Region', 'Bukit', 'Batu', 'Riau']")</f>
        <v>['Network', 'Telkomsel', 'Severe', 'Nge', 'Game', 'Already', 'Region', 'Bukit', 'Batu', 'Riau']</v>
      </c>
      <c r="D13504" s="3">
        <v>1.0</v>
      </c>
    </row>
    <row r="13505" ht="15.75" customHeight="1">
      <c r="A13505" s="1">
        <v>14370.0</v>
      </c>
      <c r="B13505" s="3" t="s">
        <v>12875</v>
      </c>
      <c r="C13505" s="3" t="str">
        <f>IFERROR(__xludf.DUMMYFUNCTION("GOOGLETRANSLATE(B13505,""id"",""en"")"),"['buy', 'quota', 'internet', 'disorder']")</f>
        <v>['buy', 'quota', 'internet', 'disorder']</v>
      </c>
      <c r="D13505" s="3">
        <v>1.0</v>
      </c>
    </row>
    <row r="13506" ht="15.75" customHeight="1">
      <c r="A13506" s="1">
        <v>14371.0</v>
      </c>
      <c r="B13506" s="3" t="s">
        <v>12876</v>
      </c>
      <c r="C13506" s="3" t="str">
        <f>IFERROR(__xludf.DUMMYFUNCTION("GOOGLETRANSLATE(B13506,""id"",""en"")"),"['update', 'error', 'week', 'screen', 'blank', 'open', 'the application']")</f>
        <v>['update', 'error', 'week', 'screen', 'blank', 'open', 'the application']</v>
      </c>
      <c r="D13506" s="3">
        <v>1.0</v>
      </c>
    </row>
    <row r="13507" ht="15.75" customHeight="1">
      <c r="A13507" s="1">
        <v>14372.0</v>
      </c>
      <c r="B13507" s="3" t="s">
        <v>12877</v>
      </c>
      <c r="C13507" s="3" t="str">
        <f>IFERROR(__xludf.DUMMYFUNCTION("GOOGLETRANSLATE(B13507,""id"",""en"")"),"['signal', 'Delatty', 'in the area', '']")</f>
        <v>['signal', 'Delatty', 'in the area', '']</v>
      </c>
      <c r="D13507" s="3">
        <v>5.0</v>
      </c>
    </row>
    <row r="13508" ht="15.75" customHeight="1">
      <c r="A13508" s="1">
        <v>14373.0</v>
      </c>
      <c r="B13508" s="3" t="s">
        <v>12878</v>
      </c>
      <c r="C13508" s="3" t="str">
        <f>IFERROR(__xludf.DUMMYFUNCTION("GOOGLETRANSLATE(B13508,""id"",""en"")"),"['quota', 'gabisa', 'dipake', 'min', 'udh', 'buy', 'times',' gabisa ',' dipake ',' gawa ',' gabisa ',' open ',' signal ',' good ']")</f>
        <v>['quota', 'gabisa', 'dipake', 'min', 'udh', 'buy', 'times',' gabisa ',' dipake ',' gawa ',' gabisa ',' open ',' signal ',' good ']</v>
      </c>
      <c r="D13508" s="3">
        <v>1.0</v>
      </c>
    </row>
    <row r="13509" ht="15.75" customHeight="1">
      <c r="A13509" s="1">
        <v>14374.0</v>
      </c>
      <c r="B13509" s="3" t="s">
        <v>12879</v>
      </c>
      <c r="C13509" s="3" t="str">
        <f>IFERROR(__xludf.DUMMYFUNCTION("GOOGLETRANSLATE(B13509,""id"",""en"")"),"['Drizzle', 'Rain', 'Sousal', 'Lost', 'Look', 'Indonesia', 'Positioned', 'Network', 'Best', 'Asia', 'Ngellawak', 'Indonesia', ' Incurrence ',' technology ']")</f>
        <v>['Drizzle', 'Rain', 'Sousal', 'Lost', 'Look', 'Indonesia', 'Positioned', 'Network', 'Best', 'Asia', 'Ngellawak', 'Indonesia', ' Incurrence ',' technology ']</v>
      </c>
      <c r="D13509" s="3">
        <v>1.0</v>
      </c>
    </row>
    <row r="13510" ht="15.75" customHeight="1">
      <c r="A13510" s="1">
        <v>14375.0</v>
      </c>
      <c r="B13510" s="3" t="s">
        <v>12880</v>
      </c>
      <c r="C13510" s="3" t="str">
        <f>IFERROR(__xludf.DUMMYFUNCTION("GOOGLETRANSLATE(B13510,""id"",""en"")"),"['Good', 'Job']")</f>
        <v>['Good', 'Job']</v>
      </c>
      <c r="D13510" s="3">
        <v>5.0</v>
      </c>
    </row>
    <row r="13511" ht="15.75" customHeight="1">
      <c r="A13511" s="1">
        <v>14376.0</v>
      </c>
      <c r="B13511" s="3" t="s">
        <v>12881</v>
      </c>
      <c r="C13511" s="3" t="str">
        <f>IFERROR(__xludf.DUMMYFUNCTION("GOOGLETRANSLATE(B13511,""id"",""en"")"),"['signal', 'Telkomsel', 'skrg', 'fad', ""]")</f>
        <v>['signal', 'Telkomsel', 'skrg', 'fad', "]</v>
      </c>
      <c r="D13511" s="3">
        <v>3.0</v>
      </c>
    </row>
    <row r="13512" ht="15.75" customHeight="1">
      <c r="A13512" s="1">
        <v>14377.0</v>
      </c>
      <c r="B13512" s="3" t="s">
        <v>12882</v>
      </c>
      <c r="C13512" s="3" t="str">
        <f>IFERROR(__xludf.DUMMYFUNCTION("GOOGLETRANSLATE(B13512,""id"",""en"")"),"['Sihh', 'signal', 'Telkomsel', 'ugly', 'really', 'slow', 'rich', 'good', 'bad', 'slow', 'please', 'fix', ' signal ',' Send ',' Poto ',' Wait ',' Clock ',' just ',' MB ',' MB ',' Cepet ',' Send ',' Lemot ']")</f>
        <v>['Sihh', 'signal', 'Telkomsel', 'ugly', 'really', 'slow', 'rich', 'good', 'bad', 'slow', 'please', 'fix', ' signal ',' Send ',' Poto ',' Wait ',' Clock ',' just ',' MB ',' MB ',' Cepet ',' Send ',' Lemot ']</v>
      </c>
      <c r="D13512" s="3">
        <v>1.0</v>
      </c>
    </row>
    <row r="13513" ht="15.75" customHeight="1">
      <c r="A13513" s="1">
        <v>14378.0</v>
      </c>
      <c r="B13513" s="3" t="s">
        <v>12883</v>
      </c>
      <c r="C13513" s="3" t="str">
        <f>IFERROR(__xludf.DUMMYFUNCTION("GOOGLETRANSLATE(B13513,""id"",""en"")"),"['Open', 'Application', 'Telkomsel', '']")</f>
        <v>['Open', 'Application', 'Telkomsel', '']</v>
      </c>
      <c r="D13513" s="3">
        <v>1.0</v>
      </c>
    </row>
    <row r="13514" ht="15.75" customHeight="1">
      <c r="A13514" s="1">
        <v>14379.0</v>
      </c>
      <c r="B13514" s="3" t="s">
        <v>12884</v>
      </c>
      <c r="C13514" s="3" t="str">
        <f>IFERROR(__xludf.DUMMYFUNCTION("GOOGLETRANSLATE(B13514,""id"",""en"")"),"['Most', 'Advertising', 'Provider', 'Indonesia', 'already', 'signal', 'stem', 'package', 'expensive', 'crazy', 'according to', 'price', ' cable ',' UDH ',' planted ',' numpang ',' tile ',' home ',' person ', ""]")</f>
        <v>['Most', 'Advertising', 'Provider', 'Indonesia', 'already', 'signal', 'stem', 'package', 'expensive', 'crazy', 'according to', 'price', ' cable ',' UDH ',' planted ',' numpang ',' tile ',' home ',' person ', "]</v>
      </c>
      <c r="D13514" s="3">
        <v>1.0</v>
      </c>
    </row>
    <row r="13515" ht="15.75" customHeight="1">
      <c r="A13515" s="1">
        <v>14381.0</v>
      </c>
      <c r="B13515" s="3" t="s">
        <v>12885</v>
      </c>
      <c r="C13515" s="3" t="str">
        <f>IFERROR(__xludf.DUMMYFUNCTION("GOOGLETRANSLATE(B13515,""id"",""en"")"),"['Telkomsel', 'company', 'country']")</f>
        <v>['Telkomsel', 'company', 'country']</v>
      </c>
      <c r="D13515" s="3">
        <v>5.0</v>
      </c>
    </row>
    <row r="13516" ht="15.75" customHeight="1">
      <c r="A13516" s="1">
        <v>14382.0</v>
      </c>
      <c r="B13516" s="3" t="s">
        <v>12886</v>
      </c>
      <c r="C13516" s="3" t="str">
        <f>IFERROR(__xludf.DUMMYFUNCTION("GOOGLETRANSLATE(B13516,""id"",""en"")"),"['Update', 'MLH', 'Open']")</f>
        <v>['Update', 'MLH', 'Open']</v>
      </c>
      <c r="D13516" s="3">
        <v>3.0</v>
      </c>
    </row>
    <row r="13517" ht="15.75" customHeight="1">
      <c r="A13517" s="1">
        <v>14383.0</v>
      </c>
      <c r="B13517" s="3" t="s">
        <v>12887</v>
      </c>
      <c r="C13517" s="3" t="str">
        <f>IFERROR(__xludf.DUMMYFUNCTION("GOOGLETRANSLATE(B13517,""id"",""en"")"),"['Application', 'White', 'Update', 'Upset', 'Deh']")</f>
        <v>['Application', 'White', 'Update', 'Upset', 'Deh']</v>
      </c>
      <c r="D13517" s="3">
        <v>1.0</v>
      </c>
    </row>
    <row r="13518" ht="15.75" customHeight="1">
      <c r="A13518" s="1">
        <v>14384.0</v>
      </c>
      <c r="B13518" s="3" t="s">
        <v>12888</v>
      </c>
      <c r="C13518" s="3" t="str">
        <f>IFERROR(__xludf.DUMMYFUNCTION("GOOGLETRANSLATE(B13518,""id"",""en"")"),"['Maha', 'package', 'cheap', 'expensive']")</f>
        <v>['Maha', 'package', 'cheap', 'expensive']</v>
      </c>
      <c r="D13518" s="3">
        <v>5.0</v>
      </c>
    </row>
    <row r="13519" ht="15.75" customHeight="1">
      <c r="A13519" s="1">
        <v>14385.0</v>
      </c>
      <c r="B13519" s="3" t="s">
        <v>12889</v>
      </c>
      <c r="C13519" s="3" t="str">
        <f>IFERROR(__xludf.DUMMYFUNCTION("GOOGLETRANSLATE(B13519,""id"",""en"")"),"['Signal', 'BURIK', 'FUMBY', 'Fix', 'Signal', 'BURIK', 'Customer', 'Disappointed', 'LOL']")</f>
        <v>['Signal', 'BURIK', 'FUMBY', 'Fix', 'Signal', 'BURIK', 'Customer', 'Disappointed', 'LOL']</v>
      </c>
      <c r="D13519" s="3">
        <v>1.0</v>
      </c>
    </row>
    <row r="13520" ht="15.75" customHeight="1">
      <c r="A13520" s="1">
        <v>14386.0</v>
      </c>
      <c r="B13520" s="3" t="s">
        <v>12890</v>
      </c>
      <c r="C13520" s="3" t="str">
        <f>IFERROR(__xludf.DUMMYFUNCTION("GOOGLETRANSLATE(B13520,""id"",""en"")"),"['hi', 'min', 'already', 'many', 'times',' restart ',' install ',' reset ',' app ',' look ',' white ',' upgare ',' App ',' how ',' inj ', ""]")</f>
        <v>['hi', 'min', 'already', 'many', 'times',' restart ',' install ',' reset ',' app ',' look ',' white ',' upgare ',' App ',' how ',' inj ', "]</v>
      </c>
      <c r="D13520" s="3">
        <v>2.0</v>
      </c>
    </row>
    <row r="13521" ht="15.75" customHeight="1">
      <c r="A13521" s="1">
        <v>14387.0</v>
      </c>
      <c r="B13521" s="3" t="s">
        <v>12891</v>
      </c>
      <c r="C13521" s="3" t="str">
        <f>IFERROR(__xludf.DUMMYFUNCTION("GOOGLETRANSLATE(B13521,""id"",""en"")"),"['quota', 'unlimited', 'sosmed', 'Bukak', 'Instagram']")</f>
        <v>['quota', 'unlimited', 'sosmed', 'Bukak', 'Instagram']</v>
      </c>
      <c r="D13521" s="3">
        <v>5.0</v>
      </c>
    </row>
    <row r="13522" ht="15.75" customHeight="1">
      <c r="A13522" s="1">
        <v>14388.0</v>
      </c>
      <c r="B13522" s="3" t="s">
        <v>12892</v>
      </c>
      <c r="C13522" s="3" t="str">
        <f>IFERROR(__xludf.DUMMYFUNCTION("GOOGLETRANSLATE(B13522,""id"",""en"")"),"['enter', 'the application', 'already', 'wait', 'minute', 'enter', 'color', 'white', 'doang', 'please', 'min', 'repaired', ' Bug ']")</f>
        <v>['enter', 'the application', 'already', 'wait', 'minute', 'enter', 'color', 'white', 'doang', 'please', 'min', 'repaired', ' Bug ']</v>
      </c>
      <c r="D13522" s="3">
        <v>2.0</v>
      </c>
    </row>
    <row r="13523" ht="15.75" customHeight="1">
      <c r="A13523" s="1">
        <v>14389.0</v>
      </c>
      <c r="B13523" s="3" t="s">
        <v>12893</v>
      </c>
      <c r="C13523" s="3" t="str">
        <f>IFERROR(__xludf.DUMMYFUNCTION("GOOGLETRANSLATE(B13523,""id"",""en"")"),"['pdhl', 'open', 'apk', 'udh', 'brapa', 'times', 'install', 'unisntal', 'msih', 'open', 'apk']")</f>
        <v>['pdhl', 'open', 'apk', 'udh', 'brapa', 'times', 'install', 'unisntal', 'msih', 'open', 'apk']</v>
      </c>
      <c r="D13523" s="3">
        <v>1.0</v>
      </c>
    </row>
    <row r="13524" ht="15.75" customHeight="1">
      <c r="A13524" s="1">
        <v>14390.0</v>
      </c>
      <c r="B13524" s="3" t="s">
        <v>12894</v>
      </c>
      <c r="C13524" s="3" t="str">
        <f>IFERROR(__xludf.DUMMYFUNCTION("GOOGLETRANSLATE(B13524,""id"",""en"")"),"['admin', 'application', 'Telkomsel', 'white', 'buy', 'package', 'monthly']")</f>
        <v>['admin', 'application', 'Telkomsel', 'white', 'buy', 'package', 'monthly']</v>
      </c>
      <c r="D13524" s="3">
        <v>1.0</v>
      </c>
    </row>
    <row r="13525" ht="15.75" customHeight="1">
      <c r="A13525" s="1">
        <v>14391.0</v>
      </c>
      <c r="B13525" s="3" t="s">
        <v>12895</v>
      </c>
      <c r="C13525" s="3" t="str">
        <f>IFERROR(__xludf.DUMMYFUNCTION("GOOGLETRANSLATE(B13525,""id"",""en"")"),"['transaction', 'purchase', 'package', 'data', 'fast', 'offer', 'friendly', 'bagged', 'Thanks']")</f>
        <v>['transaction', 'purchase', 'package', 'data', 'fast', 'offer', 'friendly', 'bagged', 'Thanks']</v>
      </c>
      <c r="D13525" s="3">
        <v>5.0</v>
      </c>
    </row>
    <row r="13526" ht="15.75" customHeight="1">
      <c r="A13526" s="1">
        <v>14392.0</v>
      </c>
      <c r="B13526" s="3" t="s">
        <v>12896</v>
      </c>
      <c r="C13526" s="3" t="str">
        <f>IFERROR(__xludf.DUMMYFUNCTION("GOOGLETRANSLATE(B13526,""id"",""en"")"),"['here', 'signal', 'TPI', 'Open', 'YouTub', 'Apasih', 'prioritasin', 'skrng', ""]")</f>
        <v>['here', 'signal', 'TPI', 'Open', 'YouTub', 'Apasih', 'prioritasin', 'skrng', "]</v>
      </c>
      <c r="D13526" s="3">
        <v>1.0</v>
      </c>
    </row>
    <row r="13527" ht="15.75" customHeight="1">
      <c r="A13527" s="1">
        <v>14393.0</v>
      </c>
      <c r="B13527" s="3" t="s">
        <v>12897</v>
      </c>
      <c r="C13527" s="3" t="str">
        <f>IFERROR(__xludf.DUMMYFUNCTION("GOOGLETRANSLATE(B13527,""id"",""en"")"),"['knp', 'bsa', 'payment', 'bank', 'private', 'knp', 'hrus', 'independent', 'bni', 'bni', 'jga', 'good']")</f>
        <v>['knp', 'bsa', 'payment', 'bank', 'private', 'knp', 'hrus', 'independent', 'bni', 'bni', 'jga', 'good']</v>
      </c>
      <c r="D13527" s="3">
        <v>3.0</v>
      </c>
    </row>
    <row r="13528" ht="15.75" customHeight="1">
      <c r="A13528" s="1">
        <v>14394.0</v>
      </c>
      <c r="B13528" s="3" t="s">
        <v>12898</v>
      </c>
      <c r="C13528" s="3" t="str">
        <f>IFERROR(__xludf.DUMMYFUNCTION("GOOGLETRANSLATE(B13528,""id"",""en"")"),"['signal', 'Telkomsel', 'strong', 'real', 'point', 'slow', 'lose', 'card', 'laen', 'package', 'expensive', 'pliss',' Fix ',' signal ']")</f>
        <v>['signal', 'Telkomsel', 'strong', 'real', 'point', 'slow', 'lose', 'card', 'laen', 'package', 'expensive', 'pliss',' Fix ',' signal ']</v>
      </c>
      <c r="D13528" s="3">
        <v>2.0</v>
      </c>
    </row>
    <row r="13529" ht="15.75" customHeight="1">
      <c r="A13529" s="1">
        <v>14395.0</v>
      </c>
      <c r="B13529" s="3" t="s">
        <v>12899</v>
      </c>
      <c r="C13529" s="3" t="str">
        <f>IFERROR(__xludf.DUMMYFUNCTION("GOOGLETRANSLATE(B13529,""id"",""en"")"),"['how', 'Telkomsel', 'open', 'poor']")</f>
        <v>['how', 'Telkomsel', 'open', 'poor']</v>
      </c>
      <c r="D13529" s="3">
        <v>1.0</v>
      </c>
    </row>
    <row r="13530" ht="15.75" customHeight="1">
      <c r="A13530" s="1">
        <v>14396.0</v>
      </c>
      <c r="B13530" s="3" t="s">
        <v>12900</v>
      </c>
      <c r="C13530" s="3" t="str">
        <f>IFERROR(__xludf.DUMMYFUNCTION("GOOGLETRANSLATE(B13530,""id"",""en"")"),"['opened', 'screen', 'white']")</f>
        <v>['opened', 'screen', 'white']</v>
      </c>
      <c r="D13530" s="3">
        <v>1.0</v>
      </c>
    </row>
    <row r="13531" ht="15.75" customHeight="1">
      <c r="A13531" s="1">
        <v>14397.0</v>
      </c>
      <c r="B13531" s="3" t="s">
        <v>12901</v>
      </c>
      <c r="C13531" s="3" t="str">
        <f>IFERROR(__xludf.DUMMYFUNCTION("GOOGLETRANSLATE(B13531,""id"",""en"")"),"['Provider', 'Worst', 'Zoom', 'Loading', 'Mulu', 'Failed', 'Enter', 'Room', 'Meeting', 'Class',' Clock ',' right ',' Try ',' PKAI ',' Provider ',' PKai ',' Indosat ',' Safe ',' MAYAL ',' Doang ',' Quality ',' Bad ',' Very ']")</f>
        <v>['Provider', 'Worst', 'Zoom', 'Loading', 'Mulu', 'Failed', 'Enter', 'Room', 'Meeting', 'Class',' Clock ',' right ',' Try ',' PKAI ',' Provider ',' PKai ',' Indosat ',' Safe ',' MAYAL ',' Doang ',' Quality ',' Bad ',' Very ']</v>
      </c>
      <c r="D13531" s="3">
        <v>1.0</v>
      </c>
    </row>
    <row r="13532" ht="15.75" customHeight="1">
      <c r="A13532" s="1">
        <v>14398.0</v>
      </c>
      <c r="B13532" s="3" t="s">
        <v>12902</v>
      </c>
      <c r="C13532" s="3" t="str">
        <f>IFERROR(__xludf.DUMMYFUNCTION("GOOGLETRANSLATE(B13532,""id"",""en"")"),"['ugly', 'application', 'Telkomsel', 'buy', 'package', 'data', 'combo', 'failed', 'payment', 'suggestion', 'please', 'repaired', ' Application ',' Customer ',' Wear ',' Application ',' Telkomsel ',' Satisfied ']")</f>
        <v>['ugly', 'application', 'Telkomsel', 'buy', 'package', 'data', 'combo', 'failed', 'payment', 'suggestion', 'please', 'repaired', ' Application ',' Customer ',' Wear ',' Application ',' Telkomsel ',' Satisfied ']</v>
      </c>
      <c r="D13532" s="3">
        <v>2.0</v>
      </c>
    </row>
    <row r="13533" ht="15.75" customHeight="1">
      <c r="A13533" s="1">
        <v>14399.0</v>
      </c>
      <c r="B13533" s="3" t="s">
        <v>12903</v>
      </c>
      <c r="C13533" s="3" t="str">
        <f>IFERROR(__xludf.DUMMYFUNCTION("GOOGLETRANSLATE(B13533,""id"",""en"")"),"['apk', 'ugly', 'boong', 'apk', 'good', 'already', 'GB', 'Makasi', 'Telkomsel', ""]")</f>
        <v>['apk', 'ugly', 'boong', 'apk', 'good', 'already', 'GB', 'Makasi', 'Telkomsel', "]</v>
      </c>
      <c r="D13533" s="3">
        <v>5.0</v>
      </c>
    </row>
    <row r="13534" ht="15.75" customHeight="1">
      <c r="A13534" s="1">
        <v>14400.0</v>
      </c>
      <c r="B13534" s="3" t="s">
        <v>12904</v>
      </c>
      <c r="C13534" s="3" t="str">
        <f>IFERROR(__xludf.DUMMYFUNCTION("GOOGLETRANSLATE(B13534,""id"",""en"")"),"['Network', 'disappointing']")</f>
        <v>['Network', 'disappointing']</v>
      </c>
      <c r="D13534" s="3">
        <v>1.0</v>
      </c>
    </row>
    <row r="13535" ht="15.75" customHeight="1">
      <c r="A13535" s="1">
        <v>14401.0</v>
      </c>
      <c r="B13535" s="3" t="s">
        <v>12905</v>
      </c>
      <c r="C13535" s="3" t="str">
        <f>IFERROR(__xludf.DUMMYFUNCTION("GOOGLETRANSLATE(B13535,""id"",""en"")"),"['Ngebalk', 'Puti', 'Home', 'Ngak', 'Posts', 'Image', 'White', 'Doang']")</f>
        <v>['Ngebalk', 'Puti', 'Home', 'Ngak', 'Posts', 'Image', 'White', 'Doang']</v>
      </c>
      <c r="D13535" s="3">
        <v>1.0</v>
      </c>
    </row>
    <row r="13536" ht="15.75" customHeight="1">
      <c r="A13536" s="1">
        <v>14402.0</v>
      </c>
      <c r="B13536" s="3" t="s">
        <v>12906</v>
      </c>
      <c r="C13536" s="3" t="str">
        <f>IFERROR(__xludf.DUMMYFUNCTION("GOOGLETRANSLATE(B13536,""id"",""en"")"),"['Telkomsel', 'like', 'sms',' told ',' replace ',' card ',' upgrade ',' told ',' pay ',' rb ',' grapari ',' great ',' Upgrade ',' Doang ',' person ',' path ',' RB ',' Salutt ', ""]")</f>
        <v>['Telkomsel', 'like', 'sms',' told ',' replace ',' card ',' upgrade ',' told ',' pay ',' rb ',' grapari ',' great ',' Upgrade ',' Doang ',' person ',' path ',' RB ',' Salutt ', "]</v>
      </c>
      <c r="D13536" s="3">
        <v>1.0</v>
      </c>
    </row>
    <row r="13537" ht="15.75" customHeight="1">
      <c r="A13537" s="1">
        <v>14403.0</v>
      </c>
      <c r="B13537" s="3" t="s">
        <v>12907</v>
      </c>
      <c r="C13537" s="3" t="str">
        <f>IFERROR(__xludf.DUMMYFUNCTION("GOOGLETRANSLATE(B13537,""id"",""en"")"),"['buy', 'pulse', 'package']")</f>
        <v>['buy', 'pulse', 'package']</v>
      </c>
      <c r="D13537" s="3">
        <v>1.0</v>
      </c>
    </row>
    <row r="13538" ht="15.75" customHeight="1">
      <c r="A13538" s="1">
        <v>14404.0</v>
      </c>
      <c r="B13538" s="3" t="s">
        <v>12908</v>
      </c>
      <c r="C13538" s="3" t="str">
        <f>IFERROR(__xludf.DUMMYFUNCTION("GOOGLETRANSLATE(B13538,""id"",""en"")"),"['buy', 'package', 'expensive', 'expensive', 'play', 'game', 'ngelag', 'open', 'game', 'coc', 'kaga', 'severe', ' Bener ',' sympathy ',' ']")</f>
        <v>['buy', 'package', 'expensive', 'expensive', 'play', 'game', 'ngelag', 'open', 'game', 'coc', 'kaga', 'severe', ' Bener ',' sympathy ',' ']</v>
      </c>
      <c r="D13538" s="3">
        <v>1.0</v>
      </c>
    </row>
    <row r="13539" ht="15.75" customHeight="1">
      <c r="A13539" s="1">
        <v>14405.0</v>
      </c>
      <c r="B13539" s="3" t="s">
        <v>12909</v>
      </c>
      <c r="C13539" s="3" t="str">
        <f>IFERROR(__xludf.DUMMYFUNCTION("GOOGLETRANSLATE(B13539,""id"",""en"")"),"['knapa', 'app', 'gabisa', 'opened']")</f>
        <v>['knapa', 'app', 'gabisa', 'opened']</v>
      </c>
      <c r="D13539" s="3">
        <v>3.0</v>
      </c>
    </row>
    <row r="13540" ht="15.75" customHeight="1">
      <c r="A13540" s="1">
        <v>14407.0</v>
      </c>
      <c r="B13540" s="3" t="s">
        <v>6352</v>
      </c>
      <c r="C13540" s="3" t="str">
        <f>IFERROR(__xludf.DUMMYFUNCTION("GOOGLETRANSLATE(B13540,""id"",""en"")"),"['useful', '']")</f>
        <v>['useful', '']</v>
      </c>
      <c r="D13540" s="3">
        <v>5.0</v>
      </c>
    </row>
    <row r="13541" ht="15.75" customHeight="1">
      <c r="A13541" s="1">
        <v>14408.0</v>
      </c>
      <c r="B13541" s="3" t="s">
        <v>12910</v>
      </c>
      <c r="C13541" s="3" t="str">
        <f>IFERROR(__xludf.DUMMYFUNCTION("GOOGLETRANSLATE(B13541,""id"",""en"")"),"['Thanks', 'really', 'application', 'Good']")</f>
        <v>['Thanks', 'really', 'application', 'Good']</v>
      </c>
      <c r="D13541" s="3">
        <v>5.0</v>
      </c>
    </row>
    <row r="13542" ht="15.75" customHeight="1">
      <c r="A13542" s="1">
        <v>14409.0</v>
      </c>
      <c r="B13542" s="3" t="s">
        <v>12911</v>
      </c>
      <c r="C13542" s="3" t="str">
        <f>IFERROR(__xludf.DUMMYFUNCTION("GOOGLETRANSLATE(B13542,""id"",""en"")"),"['Sinyall', 'jelekkkkkkk', 'bangttt', 'please', 'telkom', 'fix', 'quota', 'expensive']")</f>
        <v>['Sinyall', 'jelekkkkkkk', 'bangttt', 'please', 'telkom', 'fix', 'quota', 'expensive']</v>
      </c>
      <c r="D13542" s="3">
        <v>1.0</v>
      </c>
    </row>
    <row r="13543" ht="15.75" customHeight="1">
      <c r="A13543" s="1">
        <v>14410.0</v>
      </c>
      <c r="B13543" s="3" t="s">
        <v>146</v>
      </c>
      <c r="C13543" s="3" t="str">
        <f>IFERROR(__xludf.DUMMYFUNCTION("GOOGLETRANSLATE(B13543,""id"",""en"")"),"['Package', 'Data', 'expensive', '']")</f>
        <v>['Package', 'Data', 'expensive', '']</v>
      </c>
      <c r="D13543" s="3">
        <v>2.0</v>
      </c>
    </row>
    <row r="13544" ht="15.75" customHeight="1">
      <c r="A13544" s="1">
        <v>14411.0</v>
      </c>
      <c r="B13544" s="3" t="s">
        <v>12912</v>
      </c>
      <c r="C13544" s="3" t="str">
        <f>IFERROR(__xludf.DUMMYFUNCTION("GOOGLETRANSLATE(B13544,""id"",""en"")"),"['good', 'BLM', 'Application', 'Open', 'Tetaaaap', 'Layaar', 'White', 'TRS', 'UDH', 'Hub', 'Call', 'Center', ' Despue ',' SGL ',' Try ',' TTP ',' Ampe ',' KPN ',' Screen ',' White ',' TRS ',' Application ', ""]")</f>
        <v>['good', 'BLM', 'Application', 'Open', 'Tetaaaap', 'Layaar', 'White', 'TRS', 'UDH', 'Hub', 'Call', 'Center', ' Despue ',' SGL ',' Try ',' TTP ',' Ampe ',' KPN ',' Screen ',' White ',' TRS ',' Application ', "]</v>
      </c>
      <c r="D13544" s="3">
        <v>1.0</v>
      </c>
    </row>
    <row r="13545" ht="15.75" customHeight="1">
      <c r="A13545" s="1">
        <v>14412.0</v>
      </c>
      <c r="B13545" s="3" t="s">
        <v>12913</v>
      </c>
      <c r="C13545" s="3" t="str">
        <f>IFERROR(__xludf.DUMMYFUNCTION("GOOGLETRANSLATE(B13545,""id"",""en"")"),"['Telkomnyettt', 'siga', 'anyiiiinggggg']")</f>
        <v>['Telkomnyettt', 'siga', 'anyiiiinggggg']</v>
      </c>
      <c r="D13545" s="3">
        <v>1.0</v>
      </c>
    </row>
    <row r="13546" ht="15.75" customHeight="1">
      <c r="A13546" s="1">
        <v>14413.0</v>
      </c>
      <c r="B13546" s="3" t="s">
        <v>12914</v>
      </c>
      <c r="C13546" s="3" t="str">
        <f>IFERROR(__xludf.DUMMYFUNCTION("GOOGLETRANSLATE(B13546,""id"",""en"")"),"['apk', 'ngk', 'open', 'update', 'uninstall', 'deh']")</f>
        <v>['apk', 'ngk', 'open', 'update', 'uninstall', 'deh']</v>
      </c>
      <c r="D13546" s="3">
        <v>1.0</v>
      </c>
    </row>
    <row r="13547" ht="15.75" customHeight="1">
      <c r="A13547" s="1">
        <v>14414.0</v>
      </c>
      <c r="B13547" s="3" t="s">
        <v>12915</v>
      </c>
      <c r="C13547" s="3" t="str">
        <f>IFERROR(__xludf.DUMMYFUNCTION("GOOGLETRANSLATE(B13547,""id"",""en"")"),"['Mantap', 'MyTelkomsel', 'choice', 'Package']")</f>
        <v>['Mantap', 'MyTelkomsel', 'choice', 'Package']</v>
      </c>
      <c r="D13547" s="3">
        <v>5.0</v>
      </c>
    </row>
    <row r="13548" ht="15.75" customHeight="1">
      <c r="A13548" s="1">
        <v>14415.0</v>
      </c>
      <c r="B13548" s="3" t="s">
        <v>12916</v>
      </c>
      <c r="C13548" s="3" t="str">
        <f>IFERROR(__xludf.DUMMYFUNCTION("GOOGLETRANSLATE(B13548,""id"",""en"")"),"['Disappointed', 'Very', 'Telkomsel', 'Update', 'Update', 'Updated', 'Opened']")</f>
        <v>['Disappointed', 'Very', 'Telkomsel', 'Update', 'Update', 'Updated', 'Opened']</v>
      </c>
      <c r="D13548" s="3">
        <v>2.0</v>
      </c>
    </row>
    <row r="13549" ht="15.75" customHeight="1">
      <c r="A13549" s="1">
        <v>14416.0</v>
      </c>
      <c r="B13549" s="3" t="s">
        <v>12917</v>
      </c>
      <c r="C13549" s="3" t="str">
        <f>IFERROR(__xludf.DUMMYFUNCTION("GOOGLETRANSLATE(B13549,""id"",""en"")"),"['level', 'quality', 'quality', 'features', 'price', 'enhanced', '']")</f>
        <v>['level', 'quality', 'quality', 'features', 'price', 'enhanced', '']</v>
      </c>
      <c r="D13549" s="3">
        <v>4.0</v>
      </c>
    </row>
    <row r="13550" ht="15.75" customHeight="1">
      <c r="A13550" s="1">
        <v>14417.0</v>
      </c>
      <c r="B13550" s="3" t="s">
        <v>12918</v>
      </c>
      <c r="C13550" s="3" t="str">
        <f>IFERROR(__xludf.DUMMYFUNCTION("GOOGLETRANSLATE(B13550,""id"",""en"")"),"['Application', 'Sngat', 'Help']")</f>
        <v>['Application', 'Sngat', 'Help']</v>
      </c>
      <c r="D13550" s="3">
        <v>5.0</v>
      </c>
    </row>
    <row r="13551" ht="15.75" customHeight="1">
      <c r="A13551" s="1">
        <v>14418.0</v>
      </c>
      <c r="B13551" s="3" t="s">
        <v>12919</v>
      </c>
      <c r="C13551" s="3" t="str">
        <f>IFERROR(__xludf.DUMMYFUNCTION("GOOGLETRANSLATE(B13551,""id"",""en"")"),"['Heart', 'buy', 'quota', 'aplicity', 'Telkomsel', 'cheated', 'time', 'buy', 'Package', 'Yiutube', 'Unlimetid', 'complement', ' Related ',' reply ',' Adabkuota ',' mainly ',' open ',' application ',' Youtube ',' I ',' Dego ',' beyond ',' curious', 'Try', "&amp;"'nomer' , 'Telkomsel', 'Only', 'Initial', 'Internet', 'Saranin', 'Jangn', 'Telkosel', 'Raying', 'Raying', ""]")</f>
        <v>['Heart', 'buy', 'quota', 'aplicity', 'Telkomsel', 'cheated', 'time', 'buy', 'Package', 'Yiutube', 'Unlimetid', 'complement', ' Related ',' reply ',' Adabkuota ',' mainly ',' open ',' application ',' Youtube ',' I ',' Dego ',' beyond ',' curious', 'Try', 'nomer' , 'Telkomsel', 'Only', 'Initial', 'Internet', 'Saranin', 'Jangn', 'Telkosel', 'Raying', 'Raying', "]</v>
      </c>
      <c r="D13551" s="3">
        <v>1.0</v>
      </c>
    </row>
    <row r="13552" ht="15.75" customHeight="1">
      <c r="A13552" s="1">
        <v>14419.0</v>
      </c>
      <c r="B13552" s="3" t="s">
        <v>12920</v>
      </c>
      <c r="C13552" s="3" t="str">
        <f>IFERROR(__xludf.DUMMYFUNCTION("GOOGLETRANSLATE(B13552,""id"",""en"")"),"['Telkomsel', 'spend', 'money', 'tetep', 'lag']")</f>
        <v>['Telkomsel', 'spend', 'money', 'tetep', 'lag']</v>
      </c>
      <c r="D13552" s="3">
        <v>1.0</v>
      </c>
    </row>
    <row r="13553" ht="15.75" customHeight="1">
      <c r="A13553" s="1">
        <v>14420.0</v>
      </c>
      <c r="B13553" s="3" t="s">
        <v>10820</v>
      </c>
      <c r="C13553" s="3" t="str">
        <f>IFERROR(__xludf.DUMMYFUNCTION("GOOGLETRANSLATE(B13553,""id"",""en"")"),"['network']")</f>
        <v>['network']</v>
      </c>
      <c r="D13553" s="3">
        <v>1.0</v>
      </c>
    </row>
    <row r="13554" ht="15.75" customHeight="1">
      <c r="A13554" s="1">
        <v>14421.0</v>
      </c>
      <c r="B13554" s="3" t="s">
        <v>12921</v>
      </c>
      <c r="C13554" s="3" t="str">
        <f>IFERROR(__xludf.DUMMYFUNCTION("GOOGLETRANSLATE(B13554,""id"",""en"")"),"['pulse', 'ilang', 'contents', 'direct', 'ilang']")</f>
        <v>['pulse', 'ilang', 'contents', 'direct', 'ilang']</v>
      </c>
      <c r="D13554" s="3">
        <v>2.0</v>
      </c>
    </row>
    <row r="13555" ht="15.75" customHeight="1">
      <c r="A13555" s="1">
        <v>14423.0</v>
      </c>
      <c r="B13555" s="3" t="s">
        <v>12922</v>
      </c>
      <c r="C13555" s="3" t="str">
        <f>IFERROR(__xludf.DUMMYFUNCTION("GOOGLETRANSLATE(B13555,""id"",""en"")"),"['Sorry', 'love', 'star', 'because', 'signal', 'road', 'srengseng', 'signal', 'drmh', 'bar', 'please', 'fix', ' Replace ',' Review ',' star ']")</f>
        <v>['Sorry', 'love', 'star', 'because', 'signal', 'road', 'srengseng', 'signal', 'drmh', 'bar', 'please', 'fix', ' Replace ',' Review ',' star ']</v>
      </c>
      <c r="D13555" s="3">
        <v>1.0</v>
      </c>
    </row>
    <row r="13556" ht="15.75" customHeight="1">
      <c r="A13556" s="1">
        <v>14424.0</v>
      </c>
      <c r="B13556" s="3" t="s">
        <v>12923</v>
      </c>
      <c r="C13556" s="3" t="str">
        <f>IFERROR(__xludf.DUMMYFUNCTION("GOOGLETRANSLATE(B13556,""id"",""en"")"),"['Application', 'Ajing', 'opened', 'blank', 'white']")</f>
        <v>['Application', 'Ajing', 'opened', 'blank', 'white']</v>
      </c>
      <c r="D13556" s="3">
        <v>1.0</v>
      </c>
    </row>
    <row r="13557" ht="15.75" customHeight="1">
      <c r="A13557" s="1">
        <v>14425.0</v>
      </c>
      <c r="B13557" s="3" t="s">
        <v>12924</v>
      </c>
      <c r="C13557" s="3" t="str">
        <f>IFERROR(__xludf.DUMMYFUNCTION("GOOGLETRANSLATE(B13557,""id"",""en"")"),"['Gabisa', 'go', 'what', 'min', ""]")</f>
        <v>['Gabisa', 'go', 'what', 'min', "]</v>
      </c>
      <c r="D13557" s="3">
        <v>1.0</v>
      </c>
    </row>
    <row r="13558" ht="15.75" customHeight="1">
      <c r="A13558" s="1">
        <v>14426.0</v>
      </c>
      <c r="B13558" s="3" t="s">
        <v>12925</v>
      </c>
      <c r="C13558" s="3" t="str">
        <f>IFERROR(__xludf.DUMMYFUNCTION("GOOGLETRANSLATE(B13558,""id"",""en"")"),"['Package', 'Internet', 'Combo', 'Sakti', 'expensive', '']")</f>
        <v>['Package', 'Internet', 'Combo', 'Sakti', 'expensive', '']</v>
      </c>
      <c r="D13558" s="3">
        <v>1.0</v>
      </c>
    </row>
    <row r="13559" ht="15.75" customHeight="1">
      <c r="A13559" s="1">
        <v>14427.0</v>
      </c>
      <c r="B13559" s="3" t="s">
        <v>12926</v>
      </c>
      <c r="C13559" s="3" t="str">
        <f>IFERROR(__xludf.DUMMYFUNCTION("GOOGLETRANSLATE(B13559,""id"",""en"")"),"['Open', 'White']")</f>
        <v>['Open', 'White']</v>
      </c>
      <c r="D13559" s="3">
        <v>1.0</v>
      </c>
    </row>
    <row r="13560" ht="15.75" customHeight="1">
      <c r="A13560" s="1">
        <v>14428.0</v>
      </c>
      <c r="B13560" s="3" t="s">
        <v>12927</v>
      </c>
      <c r="C13560" s="3" t="str">
        <f>IFERROR(__xludf.DUMMYFUNCTION("GOOGLETRANSLATE(B13560,""id"",""en"")"),"['pokonamah', 'steady']")</f>
        <v>['pokonamah', 'steady']</v>
      </c>
      <c r="D13560" s="3">
        <v>5.0</v>
      </c>
    </row>
    <row r="13561" ht="15.75" customHeight="1">
      <c r="A13561" s="1">
        <v>14429.0</v>
      </c>
      <c r="B13561" s="3" t="s">
        <v>12928</v>
      </c>
      <c r="C13561" s="3" t="str">
        <f>IFERROR(__xludf.DUMMYFUNCTION("GOOGLETRANSLATE(B13561,""id"",""en"")"),"['Sorry', 'Sis', 'Open', 'Telkomsel', 'tlg', 'explanation', 'TRMS']")</f>
        <v>['Sorry', 'Sis', 'Open', 'Telkomsel', 'tlg', 'explanation', 'TRMS']</v>
      </c>
      <c r="D13561" s="3">
        <v>1.0</v>
      </c>
    </row>
    <row r="13562" ht="15.75" customHeight="1">
      <c r="A13562" s="1">
        <v>14430.0</v>
      </c>
      <c r="B13562" s="3" t="s">
        <v>12929</v>
      </c>
      <c r="C13562" s="3" t="str">
        <f>IFERROR(__xludf.DUMMYFUNCTION("GOOGLETRANSLATE(B13562,""id"",""en"")"),"['Sunyal', 'Internet', 'Severe', 'Bad']")</f>
        <v>['Sunyal', 'Internet', 'Severe', 'Bad']</v>
      </c>
      <c r="D13562" s="3">
        <v>1.0</v>
      </c>
    </row>
    <row r="13563" ht="15.75" customHeight="1">
      <c r="A13563" s="1">
        <v>14431.0</v>
      </c>
      <c r="B13563" s="3" t="s">
        <v>12930</v>
      </c>
      <c r="C13563" s="3" t="str">
        <f>IFERROR(__xludf.DUMMYFUNCTION("GOOGLETRANSLATE(B13563,""id"",""en"")"),"['', 'Telkomsel', 'Sya', 'signal', 'ugly']")</f>
        <v>['', 'Telkomsel', 'Sya', 'signal', 'ugly']</v>
      </c>
      <c r="D13563" s="3">
        <v>1.0</v>
      </c>
    </row>
    <row r="13564" ht="15.75" customHeight="1">
      <c r="A13564" s="1">
        <v>14432.0</v>
      </c>
      <c r="B13564" s="3" t="s">
        <v>12931</v>
      </c>
      <c r="C13564" s="3" t="str">
        <f>IFERROR(__xludf.DUMMYFUNCTION("GOOGLETRANSLATE(B13564,""id"",""en"")"),"['cave', 'complement', 'book', 'application', 'operator', 'telkomsel', 'sya', 'buy', 'package', 'pulse', 'reduced', 'sya', ' Fill ',' pulse ',' rb ',' sya ',' list ',' buy ',' city ',' result ',' pulse ',' sya ',' rb ',' pulse ',' steal ' , 'operator', 'T"&amp;"elkomsel', 'PDHL', 'already', 'paid up', 'Loan', 'City', 'emergencyq', 'Sagatttt', 'troubling']")</f>
        <v>['cave', 'complement', 'book', 'application', 'operator', 'telkomsel', 'sya', 'buy', 'package', 'pulse', 'reduced', 'sya', ' Fill ',' pulse ',' rb ',' sya ',' list ',' buy ',' city ',' result ',' pulse ',' sya ',' rb ',' pulse ',' steal ' , 'operator', 'Telkomsel', 'PDHL', 'already', 'paid up', 'Loan', 'City', 'emergencyq', 'Sagatttt', 'troubling']</v>
      </c>
      <c r="D13564" s="3">
        <v>1.0</v>
      </c>
    </row>
    <row r="13565" ht="15.75" customHeight="1">
      <c r="A13565" s="1">
        <v>14433.0</v>
      </c>
      <c r="B13565" s="3" t="s">
        <v>4346</v>
      </c>
      <c r="C13565" s="3" t="str">
        <f>IFERROR(__xludf.DUMMYFUNCTION("GOOGLETRANSLATE(B13565,""id"",""en"")"),"['Increases', 'Service', '']")</f>
        <v>['Increases', 'Service', '']</v>
      </c>
      <c r="D13565" s="3">
        <v>5.0</v>
      </c>
    </row>
    <row r="13566" ht="15.75" customHeight="1">
      <c r="A13566" s="1">
        <v>14434.0</v>
      </c>
      <c r="B13566" s="3" t="s">
        <v>12932</v>
      </c>
      <c r="C13566" s="3" t="str">
        <f>IFERROR(__xludf.DUMMYFUNCTION("GOOGLETRANSLATE(B13566,""id"",""en"")"),"['Application', 'Telkomsel', 'Error', 'Shg', 'Uninstall', 'Install', 'Knp', ""]")</f>
        <v>['Application', 'Telkomsel', 'Error', 'Shg', 'Uninstall', 'Install', 'Knp', "]</v>
      </c>
      <c r="D13566" s="3">
        <v>5.0</v>
      </c>
    </row>
    <row r="13567" ht="15.75" customHeight="1">
      <c r="A13567" s="1">
        <v>14435.0</v>
      </c>
      <c r="B13567" s="3" t="s">
        <v>12832</v>
      </c>
      <c r="C13567" s="3" t="str">
        <f>IFERROR(__xludf.DUMMYFUNCTION("GOOGLETRANSLATE(B13567,""id"",""en"")"),"['understand']")</f>
        <v>['understand']</v>
      </c>
      <c r="D13567" s="3">
        <v>3.0</v>
      </c>
    </row>
    <row r="13568" ht="15.75" customHeight="1">
      <c r="A13568" s="1">
        <v>14437.0</v>
      </c>
      <c r="B13568" s="3" t="s">
        <v>12933</v>
      </c>
      <c r="C13568" s="3" t="str">
        <f>IFERROR(__xludf.DUMMYFUNCTION("GOOGLETRANSLATE(B13568,""id"",""en"")"),"['Telkomsel', 'cook', 'UDH', 'update', 'APK', 'opened']")</f>
        <v>['Telkomsel', 'cook', 'UDH', 'update', 'APK', 'opened']</v>
      </c>
      <c r="D13568" s="3">
        <v>2.0</v>
      </c>
    </row>
    <row r="13569" ht="15.75" customHeight="1">
      <c r="A13569" s="1">
        <v>14438.0</v>
      </c>
      <c r="B13569" s="3" t="s">
        <v>12934</v>
      </c>
      <c r="C13569" s="3" t="str">
        <f>IFERROR(__xludf.DUMMYFUNCTION("GOOGLETRANSLATE(B13569,""id"",""en"")"),"['Open', 'White', 'repaired', 'System', 'No', 'Application', '']")</f>
        <v>['Open', 'White', 'repaired', 'System', 'No', 'Application', '']</v>
      </c>
      <c r="D13569" s="3">
        <v>5.0</v>
      </c>
    </row>
    <row r="13570" ht="15.75" customHeight="1">
      <c r="A13570" s="1">
        <v>14439.0</v>
      </c>
      <c r="B13570" s="3" t="s">
        <v>12935</v>
      </c>
      <c r="C13570" s="3" t="str">
        <f>IFERROR(__xludf.DUMMYFUNCTION("GOOGLETRANSLATE(B13570,""id"",""en"")"),"['Sorry', 'Star', 'Colorin', 'Update', 'Register', 'Quota', 'Available', 'Expensive']")</f>
        <v>['Sorry', 'Star', 'Colorin', 'Update', 'Register', 'Quota', 'Available', 'Expensive']</v>
      </c>
      <c r="D13570" s="3">
        <v>1.0</v>
      </c>
    </row>
    <row r="13571" ht="15.75" customHeight="1">
      <c r="A13571" s="1">
        <v>14440.0</v>
      </c>
      <c r="B13571" s="3" t="s">
        <v>12936</v>
      </c>
      <c r="C13571" s="3" t="str">
        <f>IFERROR(__xludf.DUMMYFUNCTION("GOOGLETRANSLATE(B13571,""id"",""en"")"),"['difficult', 'log', 'application', 'skrg', 'good', 'influence', 'signal', 'internet']")</f>
        <v>['difficult', 'log', 'application', 'skrg', 'good', 'influence', 'signal', 'internet']</v>
      </c>
      <c r="D13571" s="3">
        <v>5.0</v>
      </c>
    </row>
    <row r="13572" ht="15.75" customHeight="1">
      <c r="A13572" s="1">
        <v>14441.0</v>
      </c>
      <c r="B13572" s="3" t="s">
        <v>12937</v>
      </c>
      <c r="C13572" s="3" t="str">
        <f>IFERROR(__xludf.DUMMYFUNCTION("GOOGLETRANSLATE(B13572,""id"",""en"")"),"['signal', 'Telkomsel', 'bad']")</f>
        <v>['signal', 'Telkomsel', 'bad']</v>
      </c>
      <c r="D13572" s="3">
        <v>1.0</v>
      </c>
    </row>
    <row r="13573" ht="15.75" customHeight="1">
      <c r="A13573" s="1">
        <v>14442.0</v>
      </c>
      <c r="B13573" s="3" t="s">
        <v>12938</v>
      </c>
      <c r="C13573" s="3" t="str">
        <f>IFERROR(__xludf.DUMMYFUNCTION("GOOGLETRANSLATE(B13573,""id"",""en"")"),"['', 'price', 'package', 'expensive', 'studied', 'careful', 'promo', 'price', 'package', 'network', 'error', 'season', 'rain ',' Tsel ',' Points', 'told', 'Exchange', 'Points',' Gifts', 'Tens',' Exchange ',' Points', 'Gifts',' Lottery ',' Gift ', 'Tsel', "&amp;"'Points',' ADL ',' Lying ',' Costs', 'Transfer', 'Credit', 'Overload', 'Tsel', 'Take', 'Untung', 'User', 'Faithful ', 'disappointed', '']")</f>
        <v>['', 'price', 'package', 'expensive', 'studied', 'careful', 'promo', 'price', 'package', 'network', 'error', 'season', 'rain ',' Tsel ',' Points', 'told', 'Exchange', 'Points',' Gifts', 'Tens',' Exchange ',' Points', 'Gifts',' Lottery ',' Gift ', 'Tsel', 'Points',' ADL ',' Lying ',' Costs', 'Transfer', 'Credit', 'Overload', 'Tsel', 'Take', 'Untung', 'User', 'Faithful ', 'disappointed', '']</v>
      </c>
      <c r="D13573" s="3">
        <v>1.0</v>
      </c>
    </row>
    <row r="13574" ht="15.75" customHeight="1">
      <c r="A13574" s="1">
        <v>14443.0</v>
      </c>
      <c r="B13574" s="3" t="s">
        <v>12939</v>
      </c>
      <c r="C13574" s="3" t="str">
        <f>IFERROR(__xludf.DUMMYFUNCTION("GOOGLETRANSLATE(B13574,""id"",""en"")"),"['Help', 'choose', 'package', 'package', 'offered', '']")</f>
        <v>['Help', 'choose', 'package', 'package', 'offered', '']</v>
      </c>
      <c r="D13574" s="3">
        <v>5.0</v>
      </c>
    </row>
    <row r="13575" ht="15.75" customHeight="1">
      <c r="A13575" s="1">
        <v>14445.0</v>
      </c>
      <c r="B13575" s="3" t="s">
        <v>12940</v>
      </c>
      <c r="C13575" s="3" t="str">
        <f>IFERROR(__xludf.DUMMYFUNCTION("GOOGLETRANSLATE(B13575,""id"",""en"")"),"['Enter', 'GGL', 'keep']")</f>
        <v>['Enter', 'GGL', 'keep']</v>
      </c>
      <c r="D13575" s="3">
        <v>1.0</v>
      </c>
    </row>
    <row r="13576" ht="15.75" customHeight="1">
      <c r="A13576" s="1">
        <v>14446.0</v>
      </c>
      <c r="B13576" s="3" t="s">
        <v>12941</v>
      </c>
      <c r="C13576" s="3" t="str">
        <f>IFERROR(__xludf.DUMMYFUNCTION("GOOGLETRANSLATE(B13576,""id"",""en"")"),"['Telkomsel', 'expensive', 'tariff', 'call', 'expensive', 'tariff', 'sms',' expensive ',' rates', 'data', 'pokonya', 'steady', ' Plus', 'Dead', 'Lights',' Signal ',' Automatic ',' Nastyl ',' Open ',' Application ',' Difficult ',' Auto ',' Uninstall ',' De"&amp;"h ', ""]")</f>
        <v>['Telkomsel', 'expensive', 'tariff', 'call', 'expensive', 'tariff', 'sms',' expensive ',' rates', 'data', 'pokonya', 'steady', ' Plus', 'Dead', 'Lights',' Signal ',' Automatic ',' Nastyl ',' Open ',' Application ',' Difficult ',' Auto ',' Uninstall ',' Deh ', "]</v>
      </c>
      <c r="D13576" s="3">
        <v>1.0</v>
      </c>
    </row>
    <row r="13577" ht="15.75" customHeight="1">
      <c r="A13577" s="1">
        <v>14447.0</v>
      </c>
      <c r="B13577" s="3" t="s">
        <v>12942</v>
      </c>
      <c r="C13577" s="3" t="str">
        <f>IFERROR(__xludf.DUMMYFUNCTION("GOOGLETRANSLATE(B13577,""id"",""en"")"),"['network', 'repaired', 'stupid', 'slow']")</f>
        <v>['network', 'repaired', 'stupid', 'slow']</v>
      </c>
      <c r="D13577" s="3">
        <v>1.0</v>
      </c>
    </row>
    <row r="13578" ht="15.75" customHeight="1">
      <c r="A13578" s="1">
        <v>14448.0</v>
      </c>
      <c r="B13578" s="3" t="s">
        <v>12943</v>
      </c>
      <c r="C13578" s="3" t="str">
        <f>IFERROR(__xludf.DUMMYFUNCTION("GOOGLETRANSLATE(B13578,""id"",""en"")"),"['useful', 'choice', 'package', 'data']")</f>
        <v>['useful', 'choice', 'package', 'data']</v>
      </c>
      <c r="D13578" s="3">
        <v>5.0</v>
      </c>
    </row>
    <row r="13579" ht="15.75" customHeight="1">
      <c r="A13579" s="1">
        <v>14449.0</v>
      </c>
      <c r="B13579" s="3" t="s">
        <v>12944</v>
      </c>
      <c r="C13579" s="3" t="str">
        <f>IFERROR(__xludf.DUMMYFUNCTION("GOOGLETRANSLATE(B13579,""id"",""en"")"),"['try', 'hope', 'smooth']")</f>
        <v>['try', 'hope', 'smooth']</v>
      </c>
      <c r="D13579" s="3">
        <v>5.0</v>
      </c>
    </row>
    <row r="13580" ht="15.75" customHeight="1">
      <c r="A13580" s="1">
        <v>14450.0</v>
      </c>
      <c r="B13580" s="3" t="s">
        <v>12945</v>
      </c>
      <c r="C13580" s="3" t="str">
        <f>IFERROR(__xludf.DUMMYFUNCTION("GOOGLETRANSLATE(B13580,""id"",""en"")"),"['application', 'no', 'open', 'screen', 'blank', 'white']")</f>
        <v>['application', 'no', 'open', 'screen', 'blank', 'white']</v>
      </c>
      <c r="D13580" s="3">
        <v>1.0</v>
      </c>
    </row>
    <row r="13581" ht="15.75" customHeight="1">
      <c r="A13581" s="1">
        <v>14451.0</v>
      </c>
      <c r="B13581" s="3" t="s">
        <v>12946</v>
      </c>
      <c r="C13581" s="3" t="str">
        <f>IFERROR(__xludf.DUMMYFUNCTION("GOOGLETRANSLATE(B13581,""id"",""en"")"),"['disappointing', 'price', 'rise', 'fast', 'really', 'quality', 'network', 'decreases', 'compete', 'competitor', '']")</f>
        <v>['disappointing', 'price', 'rise', 'fast', 'really', 'quality', 'network', 'decreases', 'compete', 'competitor', '']</v>
      </c>
      <c r="D13581" s="3">
        <v>2.0</v>
      </c>
    </row>
    <row r="13582" ht="15.75" customHeight="1">
      <c r="A13582" s="1">
        <v>14452.0</v>
      </c>
      <c r="B13582" s="3" t="s">
        <v>12947</v>
      </c>
      <c r="C13582" s="3" t="str">
        <f>IFERROR(__xludf.DUMMYFUNCTION("GOOGLETRANSLATE(B13582,""id"",""en"")"),"['knp', 'skrang', 'connected']")</f>
        <v>['knp', 'skrang', 'connected']</v>
      </c>
      <c r="D13582" s="3">
        <v>5.0</v>
      </c>
    </row>
    <row r="13583" ht="15.75" customHeight="1">
      <c r="A13583" s="1">
        <v>14454.0</v>
      </c>
      <c r="B13583" s="3" t="s">
        <v>1754</v>
      </c>
      <c r="C13583" s="3" t="str">
        <f>IFERROR(__xludf.DUMMYFUNCTION("GOOGLETRANSLATE(B13583,""id"",""en"")"),"['', 'open']")</f>
        <v>['', 'open']</v>
      </c>
      <c r="D13583" s="3">
        <v>5.0</v>
      </c>
    </row>
    <row r="13584" ht="15.75" customHeight="1">
      <c r="A13584" s="1">
        <v>14455.0</v>
      </c>
      <c r="B13584" s="3" t="s">
        <v>12948</v>
      </c>
      <c r="C13584" s="3" t="str">
        <f>IFERROR(__xludf.DUMMYFUNCTION("GOOGLETRANSLATE(B13584,""id"",""en"")"),"['APL', 'Good']")</f>
        <v>['APL', 'Good']</v>
      </c>
      <c r="D13584" s="3">
        <v>5.0</v>
      </c>
    </row>
    <row r="13585" ht="15.75" customHeight="1">
      <c r="A13585" s="1">
        <v>14456.0</v>
      </c>
      <c r="B13585" s="3" t="s">
        <v>12949</v>
      </c>
      <c r="C13585" s="3" t="str">
        <f>IFERROR(__xludf.DUMMYFUNCTION("GOOGLETRANSLATE(B13585,""id"",""en"")"),"['', 'open', 'application', 'blank', 'white']")</f>
        <v>['', 'open', 'application', 'blank', 'white']</v>
      </c>
      <c r="D13585" s="3">
        <v>3.0</v>
      </c>
    </row>
    <row r="13586" ht="15.75" customHeight="1">
      <c r="A13586" s="1">
        <v>14457.0</v>
      </c>
      <c r="B13586" s="3" t="s">
        <v>12950</v>
      </c>
      <c r="C13586" s="3" t="str">
        <f>IFERROR(__xludf.DUMMYFUNCTION("GOOGLETRANSLATE(B13586,""id"",""en"")"),"['Not bad', 'Sometimes', 'lag', 'little', 'play', 'game']")</f>
        <v>['Not bad', 'Sometimes', 'lag', 'little', 'play', 'game']</v>
      </c>
      <c r="D13586" s="3">
        <v>4.0</v>
      </c>
    </row>
    <row r="13587" ht="15.75" customHeight="1">
      <c r="A13587" s="1">
        <v>14458.0</v>
      </c>
      <c r="B13587" s="3" t="s">
        <v>12951</v>
      </c>
      <c r="C13587" s="3" t="str">
        <f>IFERROR(__xludf.DUMMYFUNCTION("GOOGLETRANSLATE(B13587,""id"",""en"")"),"['Slalu', 'prioritizes', 'satisfaction', 'customer']")</f>
        <v>['Slalu', 'prioritizes', 'satisfaction', 'customer']</v>
      </c>
      <c r="D13587" s="3">
        <v>5.0</v>
      </c>
    </row>
    <row r="13588" ht="15.75" customHeight="1">
      <c r="A13588" s="1">
        <v>14460.0</v>
      </c>
      <c r="B13588" s="3" t="s">
        <v>12952</v>
      </c>
      <c r="C13588" s="3" t="str">
        <f>IFERROR(__xludf.DUMMYFUNCTION("GOOGLETRANSLATE(B13588,""id"",""en"")"),"['rotten', 'Telkomsel', 'signal', 'sometimes', 'sometimes', 'prnh', 'pakek', 'good', 'bad', 'rot']")</f>
        <v>['rotten', 'Telkomsel', 'signal', 'sometimes', 'sometimes', 'prnh', 'pakek', 'good', 'bad', 'rot']</v>
      </c>
      <c r="D13588" s="3">
        <v>1.0</v>
      </c>
    </row>
    <row r="13589" ht="15.75" customHeight="1">
      <c r="A13589" s="1">
        <v>14462.0</v>
      </c>
      <c r="B13589" s="3" t="s">
        <v>12953</v>
      </c>
      <c r="C13589" s="3" t="str">
        <f>IFERROR(__xludf.DUMMYFUNCTION("GOOGLETRANSLATE(B13589,""id"",""en"")"),"['Disappointed', 'screen', 'white']")</f>
        <v>['Disappointed', 'screen', 'white']</v>
      </c>
      <c r="D13589" s="3">
        <v>1.0</v>
      </c>
    </row>
    <row r="13590" ht="15.75" customHeight="1">
      <c r="A13590" s="1">
        <v>14463.0</v>
      </c>
      <c r="B13590" s="3" t="s">
        <v>12954</v>
      </c>
      <c r="C13590" s="3" t="str">
        <f>IFERROR(__xludf.DUMMYFUNCTION("GOOGLETRANSLATE(B13590,""id"",""en"")"),"['Telkomsel', 'no', 'open']")</f>
        <v>['Telkomsel', 'no', 'open']</v>
      </c>
      <c r="D13590" s="3">
        <v>5.0</v>
      </c>
    </row>
    <row r="13591" ht="15.75" customHeight="1">
      <c r="A13591" s="1">
        <v>14464.0</v>
      </c>
      <c r="B13591" s="3" t="s">
        <v>12955</v>
      </c>
      <c r="C13591" s="3" t="str">
        <f>IFERROR(__xludf.DUMMYFUNCTION("GOOGLETRANSLATE(B13591,""id"",""en"")"),"['quota', 'Doang', 'expensive', 'signal', 'missing', 'complaint', 'respond', 'CVAT', 'Copas']")</f>
        <v>['quota', 'Doang', 'expensive', 'signal', 'missing', 'complaint', 'respond', 'CVAT', 'Copas']</v>
      </c>
      <c r="D13591" s="3">
        <v>1.0</v>
      </c>
    </row>
    <row r="13592" ht="15.75" customHeight="1">
      <c r="A13592" s="1">
        <v>14465.0</v>
      </c>
      <c r="B13592" s="3" t="s">
        <v>12956</v>
      </c>
      <c r="C13592" s="3" t="str">
        <f>IFERROR(__xludf.DUMMYFUNCTION("GOOGLETRANSLATE(B13592,""id"",""en"")"),"['service', 'online', 'slow', 'price', 'package', 'data', 'expensive', '']")</f>
        <v>['service', 'online', 'slow', 'price', 'package', 'data', 'expensive', '']</v>
      </c>
      <c r="D13592" s="3">
        <v>1.0</v>
      </c>
    </row>
    <row r="13593" ht="15.75" customHeight="1">
      <c r="A13593" s="1">
        <v>14466.0</v>
      </c>
      <c r="B13593" s="3" t="s">
        <v>12957</v>
      </c>
      <c r="C13593" s="3" t="str">
        <f>IFERROR(__xludf.DUMMYFUNCTION("GOOGLETRANSLATE(B13593,""id"",""en"")"),"['Application', 'Telokmsel', 'Difficult', 'Open', 'Click', 'Display', 'Empty', 'White', 'Loding', 'BBR', 'Try', 'TTP', ' Uninstall ',' Install ',' TTP ',' NGRES ',' ']")</f>
        <v>['Application', 'Telokmsel', 'Difficult', 'Open', 'Click', 'Display', 'Empty', 'White', 'Loding', 'BBR', 'Try', 'TTP', ' Uninstall ',' Install ',' TTP ',' NGRES ',' ']</v>
      </c>
      <c r="D13593" s="3">
        <v>5.0</v>
      </c>
    </row>
    <row r="13594" ht="15.75" customHeight="1">
      <c r="A13594" s="1">
        <v>14467.0</v>
      </c>
      <c r="B13594" s="3" t="s">
        <v>12958</v>
      </c>
      <c r="C13594" s="3" t="str">
        <f>IFERROR(__xludf.DUMMYFUNCTION("GOOGLETRANSLATE(B13594,""id"",""en"")"),"['signal', 'good', 'stable', 'mending', 'tri', 'actually', 'stable', 'really', 'except', 'download', 'slow', 'move', ' Home ',' AREA'S, 'Provider', 'Except', 'Telkomsel', ""]")</f>
        <v>['signal', 'good', 'stable', 'mending', 'tri', 'actually', 'stable', 'really', 'except', 'download', 'slow', 'move', ' Home ',' AREA'S, 'Provider', 'Except', 'Telkomsel', "]</v>
      </c>
      <c r="D13594" s="3">
        <v>3.0</v>
      </c>
    </row>
    <row r="13595" ht="15.75" customHeight="1">
      <c r="A13595" s="1">
        <v>14468.0</v>
      </c>
      <c r="B13595" s="3" t="s">
        <v>12959</v>
      </c>
      <c r="C13595" s="3" t="str">
        <f>IFERROR(__xludf.DUMMYFUNCTION("GOOGLETRANSLATE(B13595,""id"",""en"")"),"['Disappointing', 'Open', 'Application', 'Move', 'Provider', '']")</f>
        <v>['Disappointing', 'Open', 'Application', 'Move', 'Provider', '']</v>
      </c>
      <c r="D13595" s="3">
        <v>2.0</v>
      </c>
    </row>
    <row r="13596" ht="15.75" customHeight="1">
      <c r="A13596" s="1">
        <v>14469.0</v>
      </c>
      <c r="B13596" s="3" t="s">
        <v>12960</v>
      </c>
      <c r="C13596" s="3" t="str">
        <f>IFERROR(__xludf.DUMMYFUNCTION("GOOGLETRANSLATE(B13596,""id"",""en"")"),"['application', 'open', 'screen', 'white', 'ngak', 'entry', 'application']")</f>
        <v>['application', 'open', 'screen', 'white', 'ngak', 'entry', 'application']</v>
      </c>
      <c r="D13596" s="3">
        <v>1.0</v>
      </c>
    </row>
    <row r="13597" ht="15.75" customHeight="1">
      <c r="A13597" s="1">
        <v>14470.0</v>
      </c>
      <c r="B13597" s="3" t="s">
        <v>12961</v>
      </c>
      <c r="C13597" s="3" t="str">
        <f>IFERROR(__xludf.DUMMYFUNCTION("GOOGLETRANSLATE(B13597,""id"",""en"")"),"['Steady', 'Increase', 'service', 'public', 'cheap', 'package']")</f>
        <v>['Steady', 'Increase', 'service', 'public', 'cheap', 'package']</v>
      </c>
      <c r="D13597" s="3">
        <v>5.0</v>
      </c>
    </row>
    <row r="13598" ht="15.75" customHeight="1">
      <c r="A13598" s="1">
        <v>14471.0</v>
      </c>
      <c r="B13598" s="3" t="s">
        <v>12962</v>
      </c>
      <c r="C13598" s="3" t="str">
        <f>IFERROR(__xludf.DUMMYFUNCTION("GOOGLETRANSLATE(B13598,""id"",""en"")"),"['Disappointed', 'Update', 'Ngebug', 'Screen', 'White', 'Doang', 'Confirm', 'Telkomsel', 'Have', 'Waiting', 'Clock', 'Ngebug', ' Diligent ',' Chekin ']")</f>
        <v>['Disappointed', 'Update', 'Ngebug', 'Screen', 'White', 'Doang', 'Confirm', 'Telkomsel', 'Have', 'Waiting', 'Clock', 'Ngebug', ' Diligent ',' Chekin ']</v>
      </c>
      <c r="D13598" s="3">
        <v>1.0</v>
      </c>
    </row>
    <row r="13599" ht="15.75" customHeight="1">
      <c r="A13599" s="1">
        <v>14472.0</v>
      </c>
      <c r="B13599" s="3" t="s">
        <v>12963</v>
      </c>
      <c r="C13599" s="3" t="str">
        <f>IFERROR(__xludf.DUMMYFUNCTION("GOOGLETRANSLATE(B13599,""id"",""en"")"),"['signal', 'ugly', 'open', 'internet', 'maingame', 'slow', 'buy', 'quota', 'expensive', 'signal', 'slow']")</f>
        <v>['signal', 'ugly', 'open', 'internet', 'maingame', 'slow', 'buy', 'quota', 'expensive', 'signal', 'slow']</v>
      </c>
      <c r="D13599" s="3">
        <v>1.0</v>
      </c>
    </row>
    <row r="13600" ht="15.75" customHeight="1">
      <c r="A13600" s="1">
        <v>14473.0</v>
      </c>
      <c r="B13600" s="3" t="s">
        <v>12964</v>
      </c>
      <c r="C13600" s="3" t="str">
        <f>IFERROR(__xludf.DUMMYFUNCTION("GOOGLETRANSLATE(B13600,""id"",""en"")"),"['Leet', 'Network', 'Telkomsel']")</f>
        <v>['Leet', 'Network', 'Telkomsel']</v>
      </c>
      <c r="D13600" s="3">
        <v>1.0</v>
      </c>
    </row>
    <row r="13601" ht="15.75" customHeight="1">
      <c r="A13601" s="1">
        <v>14474.0</v>
      </c>
      <c r="B13601" s="3" t="s">
        <v>12965</v>
      </c>
      <c r="C13601" s="3" t="str">
        <f>IFERROR(__xludf.DUMMYFUNCTION("GOOGLETRANSLATE(B13601,""id"",""en"")"),"['apk', 'error', 'nggk', 'opened', 'udh', 'until', 'uninstall', 'then', 'install', 'reset', 'ttep', 'disappointed']")</f>
        <v>['apk', 'error', 'nggk', 'opened', 'udh', 'until', 'uninstall', 'then', 'install', 'reset', 'ttep', 'disappointed']</v>
      </c>
      <c r="D13601" s="3">
        <v>1.0</v>
      </c>
    </row>
    <row r="13602" ht="15.75" customHeight="1">
      <c r="A13602" s="1">
        <v>14475.0</v>
      </c>
      <c r="B13602" s="3" t="s">
        <v>12966</v>
      </c>
      <c r="C13602" s="3" t="str">
        <f>IFERROR(__xludf.DUMMYFUNCTION("GOOGLETRANSLATE(B13602,""id"",""en"")"),"['knapa', 'screen', 'Telkomsel', 'open', 'screenx', 'white', ""]")</f>
        <v>['knapa', 'screen', 'Telkomsel', 'open', 'screenx', 'white', "]</v>
      </c>
      <c r="D13602" s="3">
        <v>1.0</v>
      </c>
    </row>
    <row r="13603" ht="15.75" customHeight="1">
      <c r="A13603" s="1">
        <v>14476.0</v>
      </c>
      <c r="B13603" s="3" t="s">
        <v>12967</v>
      </c>
      <c r="C13603" s="3" t="str">
        <f>IFERROR(__xludf.DUMMYFUNCTION("GOOGLETRANSLATE(B13603,""id"",""en"")"),"['complaints', 'just', 'peket', 'expensive', 'cheap', '']")</f>
        <v>['complaints', 'just', 'peket', 'expensive', 'cheap', '']</v>
      </c>
      <c r="D13603" s="3">
        <v>5.0</v>
      </c>
    </row>
    <row r="13604" ht="15.75" customHeight="1">
      <c r="A13604" s="1">
        <v>14477.0</v>
      </c>
      <c r="B13604" s="3" t="s">
        <v>12968</v>
      </c>
      <c r="C13604" s="3" t="str">
        <f>IFERROR(__xludf.DUMMYFUNCTION("GOOGLETRANSLATE(B13604,""id"",""en"")"),"['Disappointed', 'Telkom', 'The network', 'Error', 'Kek', 'Sad', 'Try', 'Telkom', 'The Network', 'Fix']")</f>
        <v>['Disappointed', 'Telkom', 'The network', 'Error', 'Kek', 'Sad', 'Try', 'Telkom', 'The Network', 'Fix']</v>
      </c>
      <c r="D13604" s="3">
        <v>2.0</v>
      </c>
    </row>
    <row r="13605" ht="15.75" customHeight="1">
      <c r="A13605" s="1">
        <v>14478.0</v>
      </c>
      <c r="B13605" s="3" t="s">
        <v>12969</v>
      </c>
      <c r="C13605" s="3" t="str">
        <f>IFERROR(__xludf.DUMMYFUNCTION("GOOGLETRANSLATE(B13605,""id"",""en"")"),"['quota', 'expensive', 'Break', 'buy', 'data', '']")</f>
        <v>['quota', 'expensive', 'Break', 'buy', 'data', '']</v>
      </c>
      <c r="D13605" s="3">
        <v>5.0</v>
      </c>
    </row>
    <row r="13606" ht="15.75" customHeight="1">
      <c r="A13606" s="1">
        <v>14479.0</v>
      </c>
      <c r="B13606" s="3" t="s">
        <v>12970</v>
      </c>
      <c r="C13606" s="3" t="str">
        <f>IFERROR(__xludf.DUMMYFUNCTION("GOOGLETRANSLATE(B13606,""id"",""en"")"),"['signal', 'please', 'repaired', 'region', 'sumbar', 'admin']")</f>
        <v>['signal', 'please', 'repaired', 'region', 'sumbar', 'admin']</v>
      </c>
      <c r="D13606" s="3">
        <v>1.0</v>
      </c>
    </row>
    <row r="13607" ht="15.75" customHeight="1">
      <c r="A13607" s="1">
        <v>14480.0</v>
      </c>
      <c r="B13607" s="3" t="s">
        <v>12971</v>
      </c>
      <c r="C13607" s="3" t="str">
        <f>IFERROR(__xludf.DUMMYFUNCTION("GOOGLETRANSLATE(B13607,""id"",""en"")"),"['signal', 'ugly', 'switch', 'hello', 'signal', 'missing', 'what']")</f>
        <v>['signal', 'ugly', 'switch', 'hello', 'signal', 'missing', 'what']</v>
      </c>
      <c r="D13607" s="3">
        <v>5.0</v>
      </c>
    </row>
    <row r="13608" ht="15.75" customHeight="1">
      <c r="A13608" s="1">
        <v>14481.0</v>
      </c>
      <c r="B13608" s="3" t="s">
        <v>12972</v>
      </c>
      <c r="C13608" s="3" t="str">
        <f>IFERROR(__xludf.DUMMYFUNCTION("GOOGLETRANSLATE(B13608,""id"",""en"")"),"['', 'price', 'package', 'card', 'sympathy', 'expensive', 'really', 'usage', 'already', 'promo', 'what', 'sieh', 'bankrupt ', 'I', '']")</f>
        <v>['', 'price', 'package', 'card', 'sympathy', 'expensive', 'really', 'usage', 'already', 'promo', 'what', 'sieh', 'bankrupt ', 'I', '']</v>
      </c>
      <c r="D13608" s="3">
        <v>2.0</v>
      </c>
    </row>
    <row r="13609" ht="15.75" customHeight="1">
      <c r="A13609" s="1">
        <v>14482.0</v>
      </c>
      <c r="B13609" s="3" t="s">
        <v>12973</v>
      </c>
      <c r="C13609" s="3" t="str">
        <f>IFERROR(__xludf.DUMMYFUNCTION("GOOGLETRANSLATE(B13609,""id"",""en"")"),"['Log', 'SMS', 'Link', 'Confirm', 'clicked', 'Diverted', 'Browser', 'Stuck', 'Browser', 'Enter', 'Application', ""]")</f>
        <v>['Log', 'SMS', 'Link', 'Confirm', 'clicked', 'Diverted', 'Browser', 'Stuck', 'Browser', 'Enter', 'Application', "]</v>
      </c>
      <c r="D13609" s="3">
        <v>5.0</v>
      </c>
    </row>
    <row r="13610" ht="15.75" customHeight="1">
      <c r="A13610" s="1">
        <v>14483.0</v>
      </c>
      <c r="B13610" s="3" t="s">
        <v>12974</v>
      </c>
      <c r="C13610" s="3" t="str">
        <f>IFERROR(__xludf.DUMMYFUNCTION("GOOGLETRANSLATE(B13610,""id"",""en"")"),"['Love', 'Star', 'comfortable', 'apps', 'Telkomsel']")</f>
        <v>['Love', 'Star', 'comfortable', 'apps', 'Telkomsel']</v>
      </c>
      <c r="D13610" s="3">
        <v>5.0</v>
      </c>
    </row>
    <row r="13611" ht="15.75" customHeight="1">
      <c r="A13611" s="1">
        <v>14484.0</v>
      </c>
      <c r="B13611" s="3" t="s">
        <v>12975</v>
      </c>
      <c r="C13611" s="3" t="str">
        <f>IFERROR(__xludf.DUMMYFUNCTION("GOOGLETRANSLATE(B13611,""id"",""en"")"),"['Telkomsel', 'Bedan', 'Indosat', 'UDH', 'happened', 'Telkomsel', 'Disappointed', 'Telkomsel', 'Telkomsel', 'already', 'capital', 'Jagan', ' Clever ',' Sorry ',' please ',' Fix ',' Layana ',' Bls', 'Sorry', 'Pelangement', '']")</f>
        <v>['Telkomsel', 'Bedan', 'Indosat', 'UDH', 'happened', 'Telkomsel', 'Disappointed', 'Telkomsel', 'Telkomsel', 'already', 'capital', 'Jagan', ' Clever ',' Sorry ',' please ',' Fix ',' Layana ',' Bls', 'Sorry', 'Pelangement', '']</v>
      </c>
      <c r="D13611" s="3">
        <v>1.0</v>
      </c>
    </row>
    <row r="13612" ht="15.75" customHeight="1">
      <c r="A13612" s="1">
        <v>14485.0</v>
      </c>
      <c r="B13612" s="3" t="s">
        <v>12976</v>
      </c>
      <c r="C13612" s="3" t="str">
        <f>IFERROR(__xludf.DUMMYFUNCTION("GOOGLETRANSLATE(B13612,""id"",""en"")"),"['No "",' opened ',' Device ',' Samsung ',' Galaxy ',' blank ',' White ',' Doang ']")</f>
        <v>['No ",' opened ',' Device ',' Samsung ',' Galaxy ',' blank ',' White ',' Doang ']</v>
      </c>
      <c r="D13612" s="3">
        <v>1.0</v>
      </c>
    </row>
    <row r="13613" ht="15.75" customHeight="1">
      <c r="A13613" s="1">
        <v>14486.0</v>
      </c>
      <c r="B13613" s="3" t="s">
        <v>12977</v>
      </c>
      <c r="C13613" s="3" t="str">
        <f>IFERROR(__xludf.DUMMYFUNCTION("GOOGLETRANSLATE(B13613,""id"",""en"")"),"['Telkomsel', 'Signal', 'Stable', 'Reload', 'Disappointed', 'Price', 'Quota', 'Expensive', 'Performance', 'Abal', 'Abal', ""]")</f>
        <v>['Telkomsel', 'Signal', 'Stable', 'Reload', 'Disappointed', 'Price', 'Quota', 'Expensive', 'Performance', 'Abal', 'Abal', "]</v>
      </c>
      <c r="D13613" s="3">
        <v>1.0</v>
      </c>
    </row>
    <row r="13614" ht="15.75" customHeight="1">
      <c r="A13614" s="1">
        <v>14487.0</v>
      </c>
      <c r="B13614" s="3" t="s">
        <v>12978</v>
      </c>
      <c r="C13614" s="3" t="str">
        <f>IFERROR(__xludf.DUMMYFUNCTION("GOOGLETRANSLATE(B13614,""id"",""en"")"),"['Telkomsel', 'experience', 'disruption', 'access',' enter ',' application ',' Telkomsel ',' speed ',' network ',' card ',' Telkomsel ',' How ',' good ',' Telkomsel ',' fix ',' pay attention ',' thank you ']")</f>
        <v>['Telkomsel', 'experience', 'disruption', 'access',' enter ',' application ',' Telkomsel ',' speed ',' network ',' card ',' Telkomsel ',' How ',' good ',' Telkomsel ',' fix ',' pay attention ',' thank you ']</v>
      </c>
      <c r="D13614" s="3">
        <v>3.0</v>
      </c>
    </row>
    <row r="13615" ht="15.75" customHeight="1">
      <c r="A13615" s="1">
        <v>14488.0</v>
      </c>
      <c r="B13615" s="3" t="s">
        <v>12979</v>
      </c>
      <c r="C13615" s="3" t="str">
        <f>IFERROR(__xludf.DUMMYFUNCTION("GOOGLETRANSLATE(B13615,""id"",""en"")"),"['Loading', 'then', 'package', 'buy', 'disappear', 'swallow', 'earth']")</f>
        <v>['Loading', 'then', 'package', 'buy', 'disappear', 'swallow', 'earth']</v>
      </c>
      <c r="D13615" s="3">
        <v>4.0</v>
      </c>
    </row>
    <row r="13616" ht="15.75" customHeight="1">
      <c r="A13616" s="1">
        <v>14489.0</v>
      </c>
      <c r="B13616" s="3" t="s">
        <v>12980</v>
      </c>
      <c r="C13616" s="3" t="str">
        <f>IFERROR(__xludf.DUMMYFUNCTION("GOOGLETRANSLATE(B13616,""id"",""en"")"),"['Bener', 'Severe', 'Telkomsel', 'UDH', 'Bera', 'Times', 'Donlwd', 'Tetp', 'Open']")</f>
        <v>['Bener', 'Severe', 'Telkomsel', 'UDH', 'Bera', 'Times', 'Donlwd', 'Tetp', 'Open']</v>
      </c>
      <c r="D13616" s="3">
        <v>2.0</v>
      </c>
    </row>
    <row r="13617" ht="15.75" customHeight="1">
      <c r="A13617" s="1">
        <v>14490.0</v>
      </c>
      <c r="B13617" s="3" t="s">
        <v>2110</v>
      </c>
      <c r="C13617" s="3" t="str">
        <f>IFERROR(__xludf.DUMMYFUNCTION("GOOGLETRANSLATE(B13617,""id"",""en"")"),"['Telkomsel', '']")</f>
        <v>['Telkomsel', '']</v>
      </c>
      <c r="D13617" s="3">
        <v>5.0</v>
      </c>
    </row>
    <row r="13618" ht="15.75" customHeight="1">
      <c r="A13618" s="1">
        <v>14491.0</v>
      </c>
      <c r="B13618" s="3" t="s">
        <v>12981</v>
      </c>
      <c r="C13618" s="3" t="str">
        <f>IFERROR(__xludf.DUMMYFUNCTION("GOOGLETRANSLATE(B13618,""id"",""en"")"),"['application', 'ugly', 'pulse', 'suck', 'contents', 'pulse', 'stay', 'leftover', ""]")</f>
        <v>['application', 'ugly', 'pulse', 'suck', 'contents', 'pulse', 'stay', 'leftover', "]</v>
      </c>
      <c r="D13618" s="3">
        <v>1.0</v>
      </c>
    </row>
    <row r="13619" ht="15.75" customHeight="1">
      <c r="A13619" s="1">
        <v>14492.0</v>
      </c>
      <c r="B13619" s="3" t="s">
        <v>12982</v>
      </c>
      <c r="C13619" s="3" t="str">
        <f>IFERROR(__xludf.DUMMYFUNCTION("GOOGLETRANSLATE(B13619,""id"",""en"")"),"['please', 'Telkomsel', 'dead', 'lights',' direct ',' missing ',' signal ',' kasian ',' person ',' person ',' cape ',' Push ',' Rank ',' Gara ',' Gara ',' Dead ',' Lights', 'Dead', 'Discard', 'Point', 'Sia', 'Sia', 'Please', 'Telkomsel' , 'platform', 'exp"&amp;"ensive', 'so "",' platform ',' expensive ',' please ',' fix ',' front ',""]")</f>
        <v>['please', 'Telkomsel', 'dead', 'lights',' direct ',' missing ',' signal ',' kasian ',' person ',' person ',' cape ',' Push ',' Rank ',' Gara ',' Gara ',' Dead ',' Lights', 'Dead', 'Discard', 'Point', 'Sia', 'Sia', 'Please', 'Telkomsel' , 'platform', 'expensive', 'so ",' platform ',' expensive ',' please ',' fix ',' front ',"]</v>
      </c>
      <c r="D13619" s="3">
        <v>1.0</v>
      </c>
    </row>
    <row r="13620" ht="15.75" customHeight="1">
      <c r="A13620" s="1">
        <v>14493.0</v>
      </c>
      <c r="B13620" s="3" t="s">
        <v>90</v>
      </c>
      <c r="C13620" s="3" t="str">
        <f>IFERROR(__xludf.DUMMYFUNCTION("GOOGLETRANSLATE(B13620,""id"",""en"")"),"['Telkomsel', 'Leading']")</f>
        <v>['Telkomsel', 'Leading']</v>
      </c>
      <c r="D13620" s="3">
        <v>5.0</v>
      </c>
    </row>
    <row r="13621" ht="15.75" customHeight="1">
      <c r="A13621" s="1">
        <v>14494.0</v>
      </c>
      <c r="B13621" s="3" t="s">
        <v>12983</v>
      </c>
      <c r="C13621" s="3" t="str">
        <f>IFERROR(__xludf.DUMMYFUNCTION("GOOGLETRANSLATE(B13621,""id"",""en"")"),"['dead', 'lights',' lgsg ',' data ',' class', 'Telkomsel', 'price', 'expensive', 'laen', 'beg', 'cooperation', 'thank', ' love']")</f>
        <v>['dead', 'lights',' lgsg ',' data ',' class', 'Telkomsel', 'price', 'expensive', 'laen', 'beg', 'cooperation', 'thank', ' love']</v>
      </c>
      <c r="D13621" s="3">
        <v>1.0</v>
      </c>
    </row>
    <row r="13622" ht="15.75" customHeight="1">
      <c r="A13622" s="1">
        <v>14496.0</v>
      </c>
      <c r="B13622" s="3" t="s">
        <v>12984</v>
      </c>
      <c r="C13622" s="3" t="str">
        <f>IFERROR(__xludf.DUMMYFUNCTION("GOOGLETRANSLATE(B13622,""id"",""en"")"),"['Increases', 'Bonus', 'Package', 'Customer', 'Telkomsel']")</f>
        <v>['Increases', 'Bonus', 'Package', 'Customer', 'Telkomsel']</v>
      </c>
      <c r="D13622" s="3">
        <v>3.0</v>
      </c>
    </row>
    <row r="13623" ht="15.75" customHeight="1">
      <c r="A13623" s="1">
        <v>14497.0</v>
      </c>
      <c r="B13623" s="3" t="s">
        <v>12985</v>
      </c>
      <c r="C13623" s="3" t="str">
        <f>IFERROR(__xludf.DUMMYFUNCTION("GOOGLETRANSLATE(B13623,""id"",""en"")"),"['Telkomsel', 'Gajelas', 'UnlimitedMax', 'RB', 'already', 'Gaada', 'Laris', 'really', 'Telkomsel', 'Gajelas', ""]")</f>
        <v>['Telkomsel', 'Gajelas', 'UnlimitedMax', 'RB', 'already', 'Gaada', 'Laris', 'really', 'Telkomsel', 'Gajelas', "]</v>
      </c>
      <c r="D13623" s="3">
        <v>1.0</v>
      </c>
    </row>
    <row r="13624" ht="15.75" customHeight="1">
      <c r="A13624" s="1">
        <v>14498.0</v>
      </c>
      <c r="B13624" s="3" t="s">
        <v>12986</v>
      </c>
      <c r="C13624" s="3" t="str">
        <f>IFERROR(__xludf.DUMMYFUNCTION("GOOGLETRANSLATE(B13624,""id"",""en"")"),"['Ngeta', 'DIEVET', 'Sya', 'Image', 'Please', 'Petition', 'Ngilak', 'Telkomsel', 'Dlu', 'Delicious']")</f>
        <v>['Ngeta', 'DIEVET', 'Sya', 'Image', 'Please', 'Petition', 'Ngilak', 'Telkomsel', 'Dlu', 'Delicious']</v>
      </c>
      <c r="D13624" s="3">
        <v>1.0</v>
      </c>
    </row>
    <row r="13625" ht="15.75" customHeight="1">
      <c r="A13625" s="1">
        <v>14500.0</v>
      </c>
      <c r="B13625" s="3" t="s">
        <v>12987</v>
      </c>
      <c r="C13625" s="3" t="str">
        <f>IFERROR(__xludf.DUMMYFUNCTION("GOOGLETRANSLATE(B13625,""id"",""en"")"),"['Please', 'Present', 'Package', 'Unlimited']")</f>
        <v>['Please', 'Present', 'Package', 'Unlimited']</v>
      </c>
      <c r="D13625" s="3">
        <v>4.0</v>
      </c>
    </row>
    <row r="13626" ht="15.75" customHeight="1">
      <c r="A13626" s="1">
        <v>14502.0</v>
      </c>
      <c r="B13626" s="3" t="s">
        <v>12988</v>
      </c>
      <c r="C13626" s="3" t="str">
        <f>IFERROR(__xludf.DUMMYFUNCTION("GOOGLETRANSLATE(B13626,""id"",""en"")"),"['Honest', 'promotes', 'package', 'person', 'cheated', 'Gara', 'promotion', 'package', 'as a result', 'used']")</f>
        <v>['Honest', 'promotes', 'package', 'person', 'cheated', 'Gara', 'promotion', 'package', 'as a result', 'used']</v>
      </c>
      <c r="D13626" s="3">
        <v>1.0</v>
      </c>
    </row>
    <row r="13627" ht="15.75" customHeight="1">
      <c r="A13627" s="1">
        <v>14503.0</v>
      </c>
      <c r="B13627" s="3" t="s">
        <v>12989</v>
      </c>
      <c r="C13627" s="3" t="str">
        <f>IFERROR(__xludf.DUMMYFUNCTION("GOOGLETRANSLATE(B13627,""id"",""en"")"),"['Steady', 'response', 'fast']")</f>
        <v>['Steady', 'response', 'fast']</v>
      </c>
      <c r="D13627" s="3">
        <v>3.0</v>
      </c>
    </row>
    <row r="13628" ht="15.75" customHeight="1">
      <c r="A13628" s="1">
        <v>14504.0</v>
      </c>
      <c r="B13628" s="3" t="s">
        <v>12990</v>
      </c>
      <c r="C13628" s="3" t="str">
        <f>IFERROR(__xludf.DUMMYFUNCTION("GOOGLETRANSLATE(B13628,""id"",""en"")"),"['Telkomsel', 'Error', 'December', 'Telkomsel', 'opened', 'sorry', 'printed', 'Fixed', 'contents', 'package']")</f>
        <v>['Telkomsel', 'Error', 'December', 'Telkomsel', 'opened', 'sorry', 'printed', 'Fixed', 'contents', 'package']</v>
      </c>
      <c r="D13628" s="3">
        <v>1.0</v>
      </c>
    </row>
    <row r="13629" ht="15.75" customHeight="1">
      <c r="A13629" s="1">
        <v>14505.0</v>
      </c>
      <c r="B13629" s="3" t="s">
        <v>12991</v>
      </c>
      <c r="C13629" s="3" t="str">
        <f>IFERROR(__xludf.DUMMYFUNCTION("GOOGLETRANSLATE(B13629,""id"",""en"")"),"['Yesterday', 'Yesterday', 'was asked', 'updated', 'ngebug', 'gini', 'checked', 'package', 'difficult', 'stay', 'rustic', 'difficult', ' Please, 'AdminN', 'Fix', 'Asked', 'Telkomsel', 'Poor', 'Minnn', 'Oath', 'Kasian', 'Village', 'Haruussssss', 'Wait', 's"&amp;"ignal' , 'Baguss',' signal ',' Baguss', 'Diprank', 'Telkomsel', 'please', 'Liaten', 'friend', 'friend', 'users',' Telkomsel ',' Dessaaaa ',' Cepet ',' finished ',' Makaseehh ',' ']")</f>
        <v>['Yesterday', 'Yesterday', 'was asked', 'updated', 'ngebug', 'gini', 'checked', 'package', 'difficult', 'stay', 'rustic', 'difficult', ' Please, 'AdminN', 'Fix', 'Asked', 'Telkomsel', 'Poor', 'Minnn', 'Oath', 'Kasian', 'Village', 'Haruussssss', 'Wait', 'signal' , 'Baguss',' signal ',' Baguss', 'Diprank', 'Telkomsel', 'please', 'Liaten', 'friend', 'friend', 'users',' Telkomsel ',' Dessaaaa ',' Cepet ',' finished ',' Makaseehh ',' ']</v>
      </c>
      <c r="D13629" s="3">
        <v>1.0</v>
      </c>
    </row>
    <row r="13630" ht="15.75" customHeight="1">
      <c r="A13630" s="1">
        <v>14506.0</v>
      </c>
      <c r="B13630" s="3" t="s">
        <v>12992</v>
      </c>
      <c r="C13630" s="3" t="str">
        <f>IFERROR(__xludf.DUMMYFUNCTION("GOOGLETRANSLATE(B13630,""id"",""en"")"),"['Sorry', 'cave', 'hnya', 'star', 'complicated', 'kasi', ""]")</f>
        <v>['Sorry', 'cave', 'hnya', 'star', 'complicated', 'kasi', "]</v>
      </c>
      <c r="D13630" s="3">
        <v>1.0</v>
      </c>
    </row>
    <row r="13631" ht="15.75" customHeight="1">
      <c r="A13631" s="1">
        <v>14507.0</v>
      </c>
      <c r="B13631" s="3" t="s">
        <v>2611</v>
      </c>
      <c r="C13631" s="3" t="str">
        <f>IFERROR(__xludf.DUMMYFUNCTION("GOOGLETRANSLATE(B13631,""id"",""en"")"),"['affordable prices']")</f>
        <v>['affordable prices']</v>
      </c>
      <c r="D13631" s="3">
        <v>5.0</v>
      </c>
    </row>
    <row r="13632" ht="15.75" customHeight="1">
      <c r="A13632" s="1">
        <v>14508.0</v>
      </c>
      <c r="B13632" s="3" t="s">
        <v>12993</v>
      </c>
      <c r="C13632" s="3" t="str">
        <f>IFERROR(__xludf.DUMMYFUNCTION("GOOGLETRANSLATE(B13632,""id"",""en"")"),"['users',' Telkomsel ',' disappointed ',' network ',' already ',' mah ',' price ',' package ',' expensive ',' signal ',' rich ',' bangse ',' Please ',' Fix ',' Network ',' Adjust ',' Price ',' Card ',' Sultan ',' Network ',' Taiik ']")</f>
        <v>['users',' Telkomsel ',' disappointed ',' network ',' already ',' mah ',' price ',' package ',' expensive ',' signal ',' rich ',' bangse ',' Please ',' Fix ',' Network ',' Adjust ',' Price ',' Card ',' Sultan ',' Network ',' Taiik ']</v>
      </c>
      <c r="D13632" s="3">
        <v>1.0</v>
      </c>
    </row>
    <row r="13633" ht="15.75" customHeight="1">
      <c r="A13633" s="1">
        <v>14509.0</v>
      </c>
      <c r="B13633" s="3" t="s">
        <v>12994</v>
      </c>
      <c r="C13633" s="3" t="str">
        <f>IFERROR(__xludf.DUMMYFUNCTION("GOOGLETRANSLATE(B13633,""id"",""en"")"),"['Open', 'Application', 'Telkomsel', 'Sejuran', 'Update', 'Update', 'Update', 'Latest', 'Screen', 'White', 'Doang', 'Dihp', ' No ',' Update ',' Current ',' Jaya ',' ']")</f>
        <v>['Open', 'Application', 'Telkomsel', 'Sejuran', 'Update', 'Update', 'Update', 'Latest', 'Screen', 'White', 'Doang', 'Dihp', ' No ',' Update ',' Current ',' Jaya ',' ']</v>
      </c>
      <c r="D13633" s="3">
        <v>1.0</v>
      </c>
    </row>
    <row r="13634" ht="15.75" customHeight="1">
      <c r="A13634" s="1">
        <v>14510.0</v>
      </c>
      <c r="B13634" s="3" t="s">
        <v>12995</v>
      </c>
      <c r="C13634" s="3" t="str">
        <f>IFERROR(__xludf.DUMMYFUNCTION("GOOGLETRANSLATE(B13634,""id"",""en"")"),"['Disappointed', 'Telkomsel', 'NMR', 'Enter', 'Karna', 'Link', 'Send', 'Enter', 'valid', 'expiration', 'continuous',' suggestion ',' Code ',' Verification ',' Karna ',' KLW ',' Link ',' Ribet ',' Difficult ',' Entering ',' Disappointed ',' Klw ',' Report "&amp;"',' Report ',' Application ' , 'application', '']")</f>
        <v>['Disappointed', 'Telkomsel', 'NMR', 'Enter', 'Karna', 'Link', 'Send', 'Enter', 'valid', 'expiration', 'continuous',' suggestion ',' Code ',' Verification ',' Karna ',' KLW ',' Link ',' Ribet ',' Difficult ',' Entering ',' Disappointed ',' Klw ',' Report ',' Report ',' Application ' , 'application', '']</v>
      </c>
      <c r="D13634" s="3">
        <v>1.0</v>
      </c>
    </row>
    <row r="13635" ht="15.75" customHeight="1">
      <c r="A13635" s="1">
        <v>14511.0</v>
      </c>
      <c r="B13635" s="3" t="s">
        <v>12996</v>
      </c>
      <c r="C13635" s="3" t="str">
        <f>IFERROR(__xludf.DUMMYFUNCTION("GOOGLETRANSLATE(B13635,""id"",""en"")"),"['', 'open', 'application', 'screen', 'white', 'knp', 'version', 'please', 'assisted', ""]")</f>
        <v>['', 'open', 'application', 'screen', 'white', 'knp', 'version', 'please', 'assisted', "]</v>
      </c>
      <c r="D13635" s="3">
        <v>1.0</v>
      </c>
    </row>
    <row r="13636" ht="15.75" customHeight="1">
      <c r="A13636" s="1">
        <v>14512.0</v>
      </c>
      <c r="B13636" s="3" t="s">
        <v>12997</v>
      </c>
      <c r="C13636" s="3" t="str">
        <f>IFERROR(__xludf.DUMMYFUNCTION("GOOGLETRANSLATE(B13636,""id"",""en"")"),"['opened', 'app', 'Telkomsel', 'Install', 'repeat', 'times', 'change', '']")</f>
        <v>['opened', 'app', 'Telkomsel', 'Install', 'repeat', 'times', 'change', '']</v>
      </c>
      <c r="D13636" s="3">
        <v>4.0</v>
      </c>
    </row>
    <row r="13637" ht="15.75" customHeight="1">
      <c r="A13637" s="1">
        <v>14513.0</v>
      </c>
      <c r="B13637" s="3" t="s">
        <v>12998</v>
      </c>
      <c r="C13637" s="3" t="str">
        <f>IFERROR(__xludf.DUMMYFUNCTION("GOOGLETRANSLATE(B13637,""id"",""en"")"),"['Good', 'baby', 'package', 'LH']")</f>
        <v>['Good', 'baby', 'package', 'LH']</v>
      </c>
      <c r="D13637" s="3">
        <v>5.0</v>
      </c>
    </row>
    <row r="13638" ht="15.75" customHeight="1">
      <c r="A13638" s="1">
        <v>14514.0</v>
      </c>
      <c r="B13638" s="3" t="s">
        <v>7590</v>
      </c>
      <c r="C13638" s="3" t="str">
        <f>IFERROR(__xludf.DUMMYFUNCTION("GOOGLETRANSLATE(B13638,""id"",""en"")"),"['', 'Telkomsel', 'opened']")</f>
        <v>['', 'Telkomsel', 'opened']</v>
      </c>
      <c r="D13638" s="3">
        <v>2.0</v>
      </c>
    </row>
    <row r="13639" ht="15.75" customHeight="1">
      <c r="A13639" s="1">
        <v>14515.0</v>
      </c>
      <c r="B13639" s="3" t="s">
        <v>12999</v>
      </c>
      <c r="C13639" s="3" t="str">
        <f>IFERROR(__xludf.DUMMYFUNCTION("GOOGLETRANSLATE(B13639,""id"",""en"")"),"['satisfying', 'Alhamdulillah']")</f>
        <v>['satisfying', 'Alhamdulillah']</v>
      </c>
      <c r="D13639" s="3">
        <v>5.0</v>
      </c>
    </row>
    <row r="13640" ht="15.75" customHeight="1">
      <c r="A13640" s="1">
        <v>14516.0</v>
      </c>
      <c r="B13640" s="3" t="s">
        <v>13000</v>
      </c>
      <c r="C13640" s="3" t="str">
        <f>IFERROR(__xludf.DUMMYFUNCTION("GOOGLETRANSLATE(B13640,""id"",""en"")"),"['Please', 'sorry', 'admin', 'here', 'signal', 'Telkomsel', 'satisfying', 'quality', 'signal', 'feel', 'reduced', 'user', ' Faithful ',' Telkomsel ',' Terimkasih ']")</f>
        <v>['Please', 'sorry', 'admin', 'here', 'signal', 'Telkomsel', 'satisfying', 'quality', 'signal', 'feel', 'reduced', 'user', ' Faithful ',' Telkomsel ',' Terimkasih ']</v>
      </c>
      <c r="D13640" s="3">
        <v>5.0</v>
      </c>
    </row>
    <row r="13641" ht="15.75" customHeight="1">
      <c r="A13641" s="1">
        <v>14517.0</v>
      </c>
      <c r="B13641" s="3" t="s">
        <v>13001</v>
      </c>
      <c r="C13641" s="3" t="str">
        <f>IFERROR(__xludf.DUMMYFUNCTION("GOOGLETRANSLATE(B13641,""id"",""en"")"),"['practical', 'complicated', 'cheap', 'price', 'package']")</f>
        <v>['practical', 'complicated', 'cheap', 'price', 'package']</v>
      </c>
      <c r="D13641" s="3">
        <v>5.0</v>
      </c>
    </row>
    <row r="13642" ht="15.75" customHeight="1">
      <c r="A13642" s="1">
        <v>14518.0</v>
      </c>
      <c r="B13642" s="3" t="s">
        <v>13002</v>
      </c>
      <c r="C13642" s="3" t="str">
        <f>IFERROR(__xludf.DUMMYFUNCTION("GOOGLETRANSLATE(B13642,""id"",""en"")"),"['Update', 'No', 'Open', 'Please', 'Increase', 'Use']")</f>
        <v>['Update', 'No', 'Open', 'Please', 'Increase', 'Use']</v>
      </c>
      <c r="D13642" s="3">
        <v>1.0</v>
      </c>
    </row>
    <row r="13643" ht="15.75" customHeight="1">
      <c r="A13643" s="1">
        <v>14519.0</v>
      </c>
      <c r="B13643" s="3" t="s">
        <v>13003</v>
      </c>
      <c r="C13643" s="3" t="str">
        <f>IFERROR(__xludf.DUMMYFUNCTION("GOOGLETRANSLATE(B13643,""id"",""en"")"),"['Tenan', 'Napa', 'Open', 'Samehada', 'site', 'Film', 'Anime', 'One', 'piece', 'Etc.', 'get', 'internet', ' positive ',' love ',' information ',' site ',' pornography ',' blocking ',' internet ',' Telkomsel ',' inconsequential ',' mending ',' smartfren ',"&amp;"' yesterday ',' cuk ' , 'Ngelek', 'play', 'game', 'Paketan', 'RB', 'down', 'Read', 'Telkomsel', 'Play', 'Game', 'Want', 'Raying', ' ']")</f>
        <v>['Tenan', 'Napa', 'Open', 'Samehada', 'site', 'Film', 'Anime', 'One', 'piece', 'Etc.', 'get', 'internet', ' positive ',' love ',' information ',' site ',' pornography ',' blocking ',' internet ',' Telkomsel ',' inconsequential ',' mending ',' smartfren ',' yesterday ',' cuk ' , 'Ngelek', 'play', 'game', 'Paketan', 'RB', 'down', 'Read', 'Telkomsel', 'Play', 'Game', 'Want', 'Raying', ' ']</v>
      </c>
      <c r="D13643" s="3">
        <v>1.0</v>
      </c>
    </row>
    <row r="13644" ht="15.75" customHeight="1">
      <c r="A13644" s="1">
        <v>14520.0</v>
      </c>
      <c r="B13644" s="3" t="s">
        <v>13004</v>
      </c>
      <c r="C13644" s="3" t="str">
        <f>IFERROR(__xludf.DUMMYFUNCTION("GOOGLETRANSLATE(B13644,""id"",""en"")"),"['Network', 'good', 'TPI', 'boong', 'closed', 'closed', 'kenenenennenenennenenenentotototototorororoririririrorroro']")</f>
        <v>['Network', 'good', 'TPI', 'boong', 'closed', 'closed', 'kenenenennenenennenenenentotototototorororoririririrorroro']</v>
      </c>
      <c r="D13644" s="3">
        <v>1.0</v>
      </c>
    </row>
    <row r="13645" ht="15.75" customHeight="1">
      <c r="A13645" s="1">
        <v>14521.0</v>
      </c>
      <c r="B13645" s="3" t="s">
        <v>13005</v>
      </c>
      <c r="C13645" s="3" t="str">
        <f>IFERROR(__xludf.DUMMYFUNCTION("GOOGLETRANSLATE(B13645,""id"",""en"")"),"['Skarang', 'TELKOMSEL', 'Lalot', 'yaa', 'deliberate', 'moved', 'ketelkomsel', 'gpp', 'expensive', 'smooth', 'play', ' game ',' ehh ',' good ',' cheap ',' stable ']")</f>
        <v>['Skarang', 'TELKOMSEL', 'Lalot', 'yaa', 'deliberate', 'moved', 'ketelkomsel', 'gpp', 'expensive', 'smooth', 'play', ' game ',' ehh ',' good ',' cheap ',' stable ']</v>
      </c>
      <c r="D13645" s="3">
        <v>1.0</v>
      </c>
    </row>
    <row r="13646" ht="15.75" customHeight="1">
      <c r="A13646" s="1">
        <v>14522.0</v>
      </c>
      <c r="B13646" s="3" t="s">
        <v>13006</v>
      </c>
      <c r="C13646" s="3" t="str">
        <f>IFERROR(__xludf.DUMMYFUNCTION("GOOGLETRANSLATE(B13646,""id"",""en"")"),"['Network', 'Telkomsel', 'Embossed', 'Sinking', 'Rain', 'Dead', 'Lights',' Network ',' ilang ',' MAYAL ',' CONSISTED ',' QUALITY ',' decrease ',' sediiih ']")</f>
        <v>['Network', 'Telkomsel', 'Embossed', 'Sinking', 'Rain', 'Dead', 'Lights',' Network ',' ilang ',' MAYAL ',' CONSISTED ',' QUALITY ',' decrease ',' sediiih ']</v>
      </c>
      <c r="D13646" s="3">
        <v>3.0</v>
      </c>
    </row>
    <row r="13647" ht="15.75" customHeight="1">
      <c r="A13647" s="1">
        <v>14523.0</v>
      </c>
      <c r="B13647" s="3" t="s">
        <v>13007</v>
      </c>
      <c r="C13647" s="3" t="str">
        <f>IFERROR(__xludf.DUMMYFUNCTION("GOOGLETRANSLATE(B13647,""id"",""en"")"),"['Disappointed', 'card', 'network', 'increase', 'bad', 'package', 'Apilakasi', 'Telkomsel', 'open', 'regret', 'user', 'card', ' LONDONES ',' ATW ',' User ',' Please ',' Sorry ',' Skrang ',' Disappointed ',' Card ',' Network ',' Good ',' Bad ', ""]")</f>
        <v>['Disappointed', 'card', 'network', 'increase', 'bad', 'package', 'Apilakasi', 'Telkomsel', 'open', 'regret', 'user', 'card', ' LONDONES ',' ATW ',' User ',' Please ',' Sorry ',' Skrang ',' Disappointed ',' Card ',' Network ',' Good ',' Bad ', "]</v>
      </c>
      <c r="D13647" s="3">
        <v>1.0</v>
      </c>
    </row>
    <row r="13648" ht="15.75" customHeight="1">
      <c r="A13648" s="1">
        <v>14524.0</v>
      </c>
      <c r="B13648" s="3" t="s">
        <v>13008</v>
      </c>
      <c r="C13648" s="3" t="str">
        <f>IFERROR(__xludf.DUMMYFUNCTION("GOOGLETRANSLATE(B13648,""id"",""en"")"),"['bln', 'rb', '']")</f>
        <v>['bln', 'rb', '']</v>
      </c>
      <c r="D13648" s="3">
        <v>1.0</v>
      </c>
    </row>
    <row r="13649" ht="15.75" customHeight="1">
      <c r="A13649" s="1">
        <v>14525.0</v>
      </c>
      <c r="B13649" s="3" t="s">
        <v>13009</v>
      </c>
      <c r="C13649" s="3" t="str">
        <f>IFERROR(__xludf.DUMMYFUNCTION("GOOGLETRANSLATE(B13649,""id"",""en"")"),"['Disappointed', 'Data', 'Light', 'Soon', 'Direct', 'get', 'Cut', 'Credit']")</f>
        <v>['Disappointed', 'Data', 'Light', 'Soon', 'Direct', 'get', 'Cut', 'Credit']</v>
      </c>
      <c r="D13649" s="3">
        <v>1.0</v>
      </c>
    </row>
    <row r="13650" ht="15.75" customHeight="1">
      <c r="A13650" s="1">
        <v>14526.0</v>
      </c>
      <c r="B13650" s="3" t="s">
        <v>13010</v>
      </c>
      <c r="C13650" s="3" t="str">
        <f>IFERROR(__xludf.DUMMYFUNCTION("GOOGLETRANSLATE(B13650,""id"",""en"")"),"['Easy', 'Useful']")</f>
        <v>['Easy', 'Useful']</v>
      </c>
      <c r="D13650" s="3">
        <v>5.0</v>
      </c>
    </row>
    <row r="13651" ht="15.75" customHeight="1">
      <c r="A13651" s="1">
        <v>14527.0</v>
      </c>
      <c r="B13651" s="3" t="s">
        <v>13011</v>
      </c>
      <c r="C13651" s="3" t="str">
        <f>IFERROR(__xludf.DUMMYFUNCTION("GOOGLETRANSLATE(B13651,""id"",""en"")"),"['Approaching', 'change', 'price', 'package', 'draatis', 'expensive', 'package', 'telephone']")</f>
        <v>['Approaching', 'change', 'price', 'package', 'draatis', 'expensive', 'package', 'telephone']</v>
      </c>
      <c r="D13651" s="3">
        <v>1.0</v>
      </c>
    </row>
    <row r="13652" ht="15.75" customHeight="1">
      <c r="A13652" s="1">
        <v>14528.0</v>
      </c>
      <c r="B13652" s="3" t="s">
        <v>13012</v>
      </c>
      <c r="C13652" s="3" t="str">
        <f>IFERROR(__xludf.DUMMYFUNCTION("GOOGLETRANSLATE(B13652,""id"",""en"")"),"['sympathy', 'expensive', 'doang', 'network', 'rich', 'forest', 'najisss']")</f>
        <v>['sympathy', 'expensive', 'doang', 'network', 'rich', 'forest', 'najisss']</v>
      </c>
      <c r="D13652" s="3">
        <v>1.0</v>
      </c>
    </row>
    <row r="13653" ht="15.75" customHeight="1">
      <c r="A13653" s="1">
        <v>14529.0</v>
      </c>
      <c r="B13653" s="3" t="s">
        <v>13013</v>
      </c>
      <c r="C13653" s="3" t="str">
        <f>IFERROR(__xludf.DUMMYFUNCTION("GOOGLETRANSLATE(B13653,""id"",""en"")"),"['Sorry', 'Kukasi', 'star', 'dlu', 'klw', 'satisfying', 'star', 'direct']")</f>
        <v>['Sorry', 'Kukasi', 'star', 'dlu', 'klw', 'satisfying', 'star', 'direct']</v>
      </c>
      <c r="D13653" s="3">
        <v>4.0</v>
      </c>
    </row>
    <row r="13654" ht="15.75" customHeight="1">
      <c r="A13654" s="1">
        <v>14530.0</v>
      </c>
      <c r="B13654" s="3" t="s">
        <v>5230</v>
      </c>
      <c r="C13654" s="3" t="str">
        <f>IFERROR(__xludf.DUMMYFUNCTION("GOOGLETRANSLATE(B13654,""id"",""en"")"),"['Love', 'Star']")</f>
        <v>['Love', 'Star']</v>
      </c>
      <c r="D13654" s="3">
        <v>5.0</v>
      </c>
    </row>
    <row r="13655" ht="15.75" customHeight="1">
      <c r="A13655" s="1">
        <v>14531.0</v>
      </c>
      <c r="B13655" s="3" t="s">
        <v>13014</v>
      </c>
      <c r="C13655" s="3" t="str">
        <f>IFERROR(__xludf.DUMMYFUNCTION("GOOGLETRANSLATE(B13655,""id"",""en"")"),"['staple', 'mantep', 'Telkomsel']")</f>
        <v>['staple', 'mantep', 'Telkomsel']</v>
      </c>
      <c r="D13655" s="3">
        <v>5.0</v>
      </c>
    </row>
    <row r="13656" ht="15.75" customHeight="1">
      <c r="A13656" s="1">
        <v>14532.0</v>
      </c>
      <c r="B13656" s="3" t="s">
        <v>13015</v>
      </c>
      <c r="C13656" s="3" t="str">
        <f>IFERROR(__xludf.DUMMYFUNCTION("GOOGLETRANSLATE(B13656,""id"",""en"")"),"['Telkomsel', 'threat', 'network', 'game', 'lag', 'jump', 'price', 'package', 'quota', 'expensive', 'basics',' service ',' According to ',' price ',' pay ',' ']")</f>
        <v>['Telkomsel', 'threat', 'network', 'game', 'lag', 'jump', 'price', 'package', 'quota', 'expensive', 'basics',' service ',' According to ',' price ',' pay ',' ']</v>
      </c>
      <c r="D13656" s="3">
        <v>1.0</v>
      </c>
    </row>
    <row r="13657" ht="15.75" customHeight="1">
      <c r="A13657" s="1">
        <v>14533.0</v>
      </c>
      <c r="B13657" s="3" t="s">
        <v>13016</v>
      </c>
      <c r="C13657" s="3" t="str">
        <f>IFERROR(__xludf.DUMMYFUNCTION("GOOGLETRANSLATE(B13657,""id"",""en"")"),"['Update', 'Ngeblank', 'White', 'Solution', 'Min', ""]")</f>
        <v>['Update', 'Ngeblank', 'White', 'Solution', 'Min', "]</v>
      </c>
      <c r="D13657" s="3">
        <v>1.0</v>
      </c>
    </row>
    <row r="13658" ht="15.75" customHeight="1">
      <c r="A13658" s="1">
        <v>14535.0</v>
      </c>
      <c r="B13658" s="3" t="s">
        <v>13017</v>
      </c>
      <c r="C13658" s="3" t="str">
        <f>IFERROR(__xludf.DUMMYFUNCTION("GOOGLETRANSLATE(B13658,""id"",""en"")"),"['Open', 'application', 'Doang', 'kagak', 'expensive', 'doang', 'signal', 'lag', '']")</f>
        <v>['Open', 'application', 'Doang', 'kagak', 'expensive', 'doang', 'signal', 'lag', '']</v>
      </c>
      <c r="D13658" s="3">
        <v>1.0</v>
      </c>
    </row>
    <row r="13659" ht="15.75" customHeight="1">
      <c r="A13659" s="1">
        <v>14536.0</v>
      </c>
      <c r="B13659" s="3" t="s">
        <v>13018</v>
      </c>
      <c r="C13659" s="3" t="str">
        <f>IFERROR(__xludf.DUMMYFUNCTION("GOOGLETRANSLATE(B13659,""id"",""en"")"),"['Synity', 'Gosh', 'Severe']")</f>
        <v>['Synity', 'Gosh', 'Severe']</v>
      </c>
      <c r="D13659" s="3">
        <v>1.0</v>
      </c>
    </row>
    <row r="13660" ht="15.75" customHeight="1">
      <c r="A13660" s="1">
        <v>14537.0</v>
      </c>
      <c r="B13660" s="3" t="s">
        <v>13019</v>
      </c>
      <c r="C13660" s="3" t="str">
        <f>IFERROR(__xludf.DUMMYFUNCTION("GOOGLETRANSLATE(B13660,""id"",""en"")"),"['Application', 'Error', 'Playstore']")</f>
        <v>['Application', 'Error', 'Playstore']</v>
      </c>
      <c r="D13660" s="3">
        <v>1.0</v>
      </c>
    </row>
    <row r="13661" ht="15.75" customHeight="1">
      <c r="A13661" s="1">
        <v>14538.0</v>
      </c>
      <c r="B13661" s="3" t="s">
        <v>13020</v>
      </c>
      <c r="C13661" s="3" t="str">
        <f>IFERROR(__xludf.DUMMYFUNCTION("GOOGLETRANSLATE(B13661,""id"",""en"")"),"['Please', 'Telkomsel', 'Accelerates', 'FIVING', 'UPDATE', 'PAKEK', 'APL', 'KLW', 'Screen', 'White', 'Doang', 'appears']")</f>
        <v>['Please', 'Telkomsel', 'Accelerates', 'FIVING', 'UPDATE', 'PAKEK', 'APL', 'KLW', 'Screen', 'White', 'Doang', 'appears']</v>
      </c>
      <c r="D13661" s="3">
        <v>1.0</v>
      </c>
    </row>
    <row r="13662" ht="15.75" customHeight="1">
      <c r="A13662" s="1">
        <v>14539.0</v>
      </c>
      <c r="B13662" s="3" t="s">
        <v>13021</v>
      </c>
      <c r="C13662" s="3" t="str">
        <f>IFERROR(__xludf.DUMMYFUNCTION("GOOGLETRANSLATE(B13662,""id"",""en"")"),"['Thrir', 'network', 'Telkomsel', 'suits', 'price', 'quota', 'network', 'ngaco', ""]")</f>
        <v>['Thrir', 'network', 'Telkomsel', 'suits', 'price', 'quota', 'network', 'ngaco', "]</v>
      </c>
      <c r="D13662" s="3">
        <v>1.0</v>
      </c>
    </row>
    <row r="13663" ht="15.75" customHeight="1">
      <c r="A13663" s="1">
        <v>14540.0</v>
      </c>
      <c r="B13663" s="3" t="s">
        <v>13022</v>
      </c>
      <c r="C13663" s="3" t="str">
        <f>IFERROR(__xludf.DUMMYFUNCTION("GOOGLETRANSLATE(B13663,""id"",""en"")"),"['wasteful', 'tsel', 'buy', 'package', 'promo', 'drained', 'quota', 'buy', 'udh', 'quota', 'already', 'expensive', ' Cepet ',' drained ', ""]")</f>
        <v>['wasteful', 'tsel', 'buy', 'package', 'promo', 'drained', 'quota', 'buy', 'udh', 'quota', 'already', 'expensive', ' Cepet ',' drained ', "]</v>
      </c>
      <c r="D13663" s="3">
        <v>3.0</v>
      </c>
    </row>
    <row r="13664" ht="15.75" customHeight="1">
      <c r="A13664" s="1">
        <v>14541.0</v>
      </c>
      <c r="B13664" s="3" t="s">
        <v>13023</v>
      </c>
      <c r="C13664" s="3" t="str">
        <f>IFERROR(__xludf.DUMMYFUNCTION("GOOGLETRANSLATE(B13664,""id"",""en"")"),"['APK', 'Telkomsel', 'Sometimes', 'Open']")</f>
        <v>['APK', 'Telkomsel', 'Sometimes', 'Open']</v>
      </c>
      <c r="D13664" s="3">
        <v>3.0</v>
      </c>
    </row>
    <row r="13665" ht="15.75" customHeight="1">
      <c r="A13665" s="1">
        <v>14542.0</v>
      </c>
      <c r="B13665" s="3" t="s">
        <v>13024</v>
      </c>
      <c r="C13665" s="3" t="str">
        <f>IFERROR(__xludf.DUMMYFUNCTION("GOOGLETRANSLATE(B13665,""id"",""en"")"),"['already', 'some', 'open', 'apk', 'Telkomsel', 'gabisa', 'screen', 'white', 'doang', 'network', 'down', 'wifun', ' Open ',' apk ',' delicious', 'repaired']")</f>
        <v>['already', 'some', 'open', 'apk', 'Telkomsel', 'gabisa', 'screen', 'white', 'doang', 'network', 'down', 'wifun', ' Open ',' apk ',' delicious', 'repaired']</v>
      </c>
      <c r="D13665" s="3">
        <v>3.0</v>
      </c>
    </row>
    <row r="13666" ht="15.75" customHeight="1">
      <c r="A13666" s="1">
        <v>14543.0</v>
      </c>
      <c r="B13666" s="3" t="s">
        <v>13025</v>
      </c>
      <c r="C13666" s="3" t="str">
        <f>IFERROR(__xludf.DUMMYFUNCTION("GOOGLETRANSLATE(B13666,""id"",""en"")"),"['Help', 'good']")</f>
        <v>['Help', 'good']</v>
      </c>
      <c r="D13666" s="3">
        <v>5.0</v>
      </c>
    </row>
    <row r="13667" ht="15.75" customHeight="1">
      <c r="A13667" s="1">
        <v>14544.0</v>
      </c>
      <c r="B13667" s="3" t="s">
        <v>13026</v>
      </c>
      <c r="C13667" s="3" t="str">
        <f>IFERROR(__xludf.DUMMYFUNCTION("GOOGLETRANSLATE(B13667,""id"",""en"")"),"['Since', 'update', 'yesterday', 'application', 'gabisa', 'open', 'screen', 'white', 'udh', 'wait', 'mnt', 'screen', ' Tetep ',' White ',' please ',' fix ',' as soon as possible]")</f>
        <v>['Since', 'update', 'yesterday', 'application', 'gabisa', 'open', 'screen', 'white', 'udh', 'wait', 'mnt', 'screen', ' Tetep ',' White ',' please ',' fix ',' as soon as possible]</v>
      </c>
      <c r="D13667" s="3">
        <v>1.0</v>
      </c>
    </row>
    <row r="13668" ht="15.75" customHeight="1">
      <c r="A13668" s="1">
        <v>14545.0</v>
      </c>
      <c r="B13668" s="3" t="s">
        <v>13027</v>
      </c>
      <c r="C13668" s="3" t="str">
        <f>IFERROR(__xludf.DUMMYFUNCTION("GOOGLETRANSLATE(B13668,""id"",""en"")"),"['', 'smooth', 'The network', '']")</f>
        <v>['', 'smooth', 'The network', '']</v>
      </c>
      <c r="D13668" s="3">
        <v>3.0</v>
      </c>
    </row>
    <row r="13669" ht="15.75" customHeight="1">
      <c r="A13669" s="1">
        <v>14546.0</v>
      </c>
      <c r="B13669" s="3" t="s">
        <v>13028</v>
      </c>
      <c r="C13669" s="3" t="str">
        <f>IFERROR(__xludf.DUMMYFUNCTION("GOOGLETRANSLATE(B13669,""id"",""en"")"),"['Internet', 'slow', 'regret', 'use', 'Hello']")</f>
        <v>['Internet', 'slow', 'regret', 'use', 'Hello']</v>
      </c>
      <c r="D13669" s="3">
        <v>1.0</v>
      </c>
    </row>
    <row r="13670" ht="15.75" customHeight="1">
      <c r="A13670" s="1">
        <v>14547.0</v>
      </c>
      <c r="B13670" s="3" t="s">
        <v>13029</v>
      </c>
      <c r="C13670" s="3" t="str">
        <f>IFERROR(__xludf.DUMMYFUNCTION("GOOGLETRANSLATE(B13670,""id"",""en"")"),"['network', 'slow', 'emotion', 'city', 'network', 'running', 'annoying', 'buy', 'package', 'unlimited', 'YouTube', 'right', ' Access', 'Name', 'Fraud', 'Covered', 'wkwkwkwkwkwk']")</f>
        <v>['network', 'slow', 'emotion', 'city', 'network', 'running', 'annoying', 'buy', 'package', 'unlimited', 'YouTube', 'right', ' Access', 'Name', 'Fraud', 'Covered', 'wkwkwkwkwkwk']</v>
      </c>
      <c r="D13670" s="3">
        <v>1.0</v>
      </c>
    </row>
    <row r="13671" ht="15.75" customHeight="1">
      <c r="A13671" s="1">
        <v>14548.0</v>
      </c>
      <c r="B13671" s="3" t="s">
        <v>13030</v>
      </c>
      <c r="C13671" s="3" t="str">
        <f>IFERROR(__xludf.DUMMYFUNCTION("GOOGLETRANSLATE(B13671,""id"",""en"")"),"['hope', 'help', 'person', ""]")</f>
        <v>['hope', 'help', 'person', "]</v>
      </c>
      <c r="D13671" s="3">
        <v>5.0</v>
      </c>
    </row>
    <row r="13672" ht="15.75" customHeight="1">
      <c r="A13672" s="1">
        <v>14549.0</v>
      </c>
      <c r="B13672" s="3" t="s">
        <v>13031</v>
      </c>
      <c r="C13672" s="3" t="str">
        <f>IFERROR(__xludf.DUMMYFUNCTION("GOOGLETRANSLATE(B13672,""id"",""en"")"),"['Disappointed', 'user', 'skrg', 'poor', 'network', 'tower', 'corrupt', ""]")</f>
        <v>['Disappointed', 'user', 'skrg', 'poor', 'network', 'tower', 'corrupt', "]</v>
      </c>
      <c r="D13672" s="3">
        <v>1.0</v>
      </c>
    </row>
    <row r="13673" ht="15.75" customHeight="1">
      <c r="A13673" s="1">
        <v>14550.0</v>
      </c>
      <c r="B13673" s="3" t="s">
        <v>13032</v>
      </c>
      <c r="C13673" s="3" t="str">
        <f>IFERROR(__xludf.DUMMYFUNCTION("GOOGLETRANSLATE(B13673,""id"",""en"")"),"['satisfying', 'buy', 'quota', 'combo', 'Sakti', 'unlimited', 'open', 'tiktok', 'game', 'padaha', 'description', 'unlimited', ' Multimedia ',' APL ',' TSB ']")</f>
        <v>['satisfying', 'buy', 'quota', 'combo', 'Sakti', 'unlimited', 'open', 'tiktok', 'game', 'padaha', 'description', 'unlimited', ' Multimedia ',' APL ',' TSB ']</v>
      </c>
      <c r="D13673" s="3">
        <v>2.0</v>
      </c>
    </row>
    <row r="13674" ht="15.75" customHeight="1">
      <c r="A13674" s="1">
        <v>14551.0</v>
      </c>
      <c r="B13674" s="3" t="s">
        <v>13033</v>
      </c>
      <c r="C13674" s="3" t="str">
        <f>IFERROR(__xludf.DUMMYFUNCTION("GOOGLETRANSLATE(B13674,""id"",""en"")"),"['please', 'price', 'package', 'reduce', 'dsni', 'user', 'telkomsel', 'banyk', 'orng', 'buy', 'package', 'expensive', ' Package ',' expensive ']")</f>
        <v>['please', 'price', 'package', 'reduce', 'dsni', 'user', 'telkomsel', 'banyk', 'orng', 'buy', 'package', 'expensive', ' Package ',' expensive ']</v>
      </c>
      <c r="D13674" s="3">
        <v>1.0</v>
      </c>
    </row>
    <row r="13675" ht="15.75" customHeight="1">
      <c r="A13675" s="1">
        <v>14552.0</v>
      </c>
      <c r="B13675" s="3" t="s">
        <v>13034</v>
      </c>
      <c r="C13675" s="3" t="str">
        <f>IFERROR(__xludf.DUMMYFUNCTION("GOOGLETRANSLATE(B13675,""id"",""en"")"),"['My APK', 'Bags']")</f>
        <v>['My APK', 'Bags']</v>
      </c>
      <c r="D13675" s="3">
        <v>5.0</v>
      </c>
    </row>
    <row r="13676" ht="15.75" customHeight="1">
      <c r="A13676" s="1">
        <v>14553.0</v>
      </c>
      <c r="B13676" s="3" t="s">
        <v>13035</v>
      </c>
      <c r="C13676" s="3" t="str">
        <f>IFERROR(__xludf.DUMMYFUNCTION("GOOGLETRANSLATE(B13676,""id"",""en"")"),"['piye', 'application', 'white', 'kabeh', 'iso', 'check', 'kouta', 'boss']")</f>
        <v>['piye', 'application', 'white', 'kabeh', 'iso', 'check', 'kouta', 'boss']</v>
      </c>
      <c r="D13676" s="3">
        <v>1.0</v>
      </c>
    </row>
    <row r="13677" ht="15.75" customHeight="1">
      <c r="A13677" s="1">
        <v>14554.0</v>
      </c>
      <c r="B13677" s="3" t="s">
        <v>13036</v>
      </c>
      <c r="C13677" s="3" t="str">
        <f>IFERROR(__xludf.DUMMYFUNCTION("GOOGLETRANSLATE(B13677,""id"",""en"")"),"['Mngecakah', 'update', 'TPI', 'opened']")</f>
        <v>['Mngecakah', 'update', 'TPI', 'opened']</v>
      </c>
      <c r="D13677" s="3">
        <v>3.0</v>
      </c>
    </row>
    <row r="13678" ht="15.75" customHeight="1">
      <c r="A13678" s="1">
        <v>14555.0</v>
      </c>
      <c r="B13678" s="3" t="s">
        <v>13037</v>
      </c>
      <c r="C13678" s="3" t="str">
        <f>IFERROR(__xludf.DUMMYFUNCTION("GOOGLETRANSLATE(B13678,""id"",""en"")"),"['already', 'reinstall', 'reset', 'cellphone', 'screen', 'white', 'black', 'center', 'Play', 'Store', 'center', 'Telkomsel', ' ']")</f>
        <v>['already', 'reinstall', 'reset', 'cellphone', 'screen', 'white', 'black', 'center', 'Play', 'Store', 'center', 'Telkomsel', ' ']</v>
      </c>
      <c r="D13678" s="3">
        <v>1.0</v>
      </c>
    </row>
    <row r="13679" ht="15.75" customHeight="1">
      <c r="A13679" s="1">
        <v>14557.0</v>
      </c>
      <c r="B13679" s="3" t="s">
        <v>6989</v>
      </c>
      <c r="C13679" s="3" t="str">
        <f>IFERROR(__xludf.DUMMYFUNCTION("GOOGLETRANSLATE(B13679,""id"",""en"")"),"['Hopefully', 'in the future']")</f>
        <v>['Hopefully', 'in the future']</v>
      </c>
      <c r="D13679" s="3">
        <v>5.0</v>
      </c>
    </row>
    <row r="13680" ht="15.75" customHeight="1">
      <c r="A13680" s="1">
        <v>14558.0</v>
      </c>
      <c r="B13680" s="3" t="s">
        <v>13038</v>
      </c>
      <c r="C13680" s="3" t="str">
        <f>IFERROR(__xludf.DUMMYFUNCTION("GOOGLETRANSLATE(B13680,""id"",""en"")"),"['already', 'times', 'buy', 'package', 'game', 'use', 'open', 'application', 'designed', 'application', 'game', 'use' quota ',' internet ',' main ',' tip ',' end ',' buy ',' package ',' internet ',' please ',' repair ']")</f>
        <v>['already', 'times', 'buy', 'package', 'game', 'use', 'open', 'application', 'designed', 'application', 'game', 'use' quota ',' internet ',' main ',' tip ',' end ',' buy ',' package ',' internet ',' please ',' repair ']</v>
      </c>
      <c r="D13680" s="3">
        <v>3.0</v>
      </c>
    </row>
    <row r="13681" ht="15.75" customHeight="1">
      <c r="A13681" s="1">
        <v>14559.0</v>
      </c>
      <c r="B13681" s="3" t="s">
        <v>13039</v>
      </c>
      <c r="C13681" s="3" t="str">
        <f>IFERROR(__xludf.DUMMYFUNCTION("GOOGLETRANSLATE(B13681,""id"",""en"")"),"['quota', 'unlimited', 'youtube', 'work', 'quota', 'main', 'absorbed', 'run out', 'quota', 'main', ""]")</f>
        <v>['quota', 'unlimited', 'youtube', 'work', 'quota', 'main', 'absorbed', 'run out', 'quota', 'main', "]</v>
      </c>
      <c r="D13681" s="3">
        <v>3.0</v>
      </c>
    </row>
    <row r="13682" ht="15.75" customHeight="1">
      <c r="A13682" s="1">
        <v>14560.0</v>
      </c>
      <c r="B13682" s="3" t="s">
        <v>13040</v>
      </c>
      <c r="C13682" s="3" t="str">
        <f>IFERROR(__xludf.DUMMYFUNCTION("GOOGLETRANSLATE(B13682,""id"",""en"")"),"['Satisfied', 'signal', 'no', 'as good']")</f>
        <v>['Satisfied', 'signal', 'no', 'as good']</v>
      </c>
      <c r="D13682" s="3">
        <v>5.0</v>
      </c>
    </row>
    <row r="13683" ht="15.75" customHeight="1">
      <c r="A13683" s="1">
        <v>14561.0</v>
      </c>
      <c r="B13683" s="3" t="s">
        <v>13041</v>
      </c>
      <c r="C13683" s="3" t="str">
        <f>IFERROR(__xludf.DUMMYFUNCTION("GOOGLETRANSLATE(B13683,""id"",""en"")"),"['Buy', 'Kouta', 'Thinking', 'Credit', 'Like', 'Credit', 'Please', '']")</f>
        <v>['Buy', 'Kouta', 'Thinking', 'Credit', 'Like', 'Credit', 'Please', '']</v>
      </c>
      <c r="D13683" s="3">
        <v>2.0</v>
      </c>
    </row>
    <row r="13684" ht="15.75" customHeight="1">
      <c r="A13684" s="1">
        <v>14562.0</v>
      </c>
      <c r="B13684" s="3" t="s">
        <v>13042</v>
      </c>
      <c r="C13684" s="3" t="str">
        <f>IFERROR(__xludf.DUMMYFUNCTION("GOOGLETRANSLATE(B13684,""id"",""en"")"),"['Hopefully', 'application', 'MyTelkomsel', 'LNCAR', 'JAYA', 'TRS', 'KDANAN', 'TMA', 'KLI', 'Application', 'Amin', ""]")</f>
        <v>['Hopefully', 'application', 'MyTelkomsel', 'LNCAR', 'JAYA', 'TRS', 'KDANAN', 'TMA', 'KLI', 'Application', 'Amin', "]</v>
      </c>
      <c r="D13684" s="3">
        <v>5.0</v>
      </c>
    </row>
    <row r="13685" ht="15.75" customHeight="1">
      <c r="A13685" s="1">
        <v>14564.0</v>
      </c>
      <c r="B13685" s="3" t="s">
        <v>4940</v>
      </c>
      <c r="C13685" s="3" t="str">
        <f>IFERROR(__xludf.DUMMYFUNCTION("GOOGLETRANSLATE(B13685,""id"",""en"")"),"['I hope this helps']")</f>
        <v>['I hope this helps']</v>
      </c>
      <c r="D13685" s="3">
        <v>5.0</v>
      </c>
    </row>
    <row r="13686" ht="15.75" customHeight="1">
      <c r="A13686" s="1">
        <v>14565.0</v>
      </c>
      <c r="B13686" s="3" t="s">
        <v>13043</v>
      </c>
      <c r="C13686" s="3" t="str">
        <f>IFERROR(__xludf.DUMMYFUNCTION("GOOGLETRANSLATE(B13686,""id"",""en"")"),"['quota', 'multimedia', 'buy', 'package', 'surprisedElton', 'GABS', 'Dipake', 'open', 'Disney', 'hotstar', 'no', 'fraud', ' Already ',' Application ',' Telkomsel ',' Gabs', 'Chat', 'Veronica', 'Gabs']")</f>
        <v>['quota', 'multimedia', 'buy', 'package', 'surprisedElton', 'GABS', 'Dipake', 'open', 'Disney', 'hotstar', 'no', 'fraud', ' Already ',' Application ',' Telkomsel ',' Gabs', 'Chat', 'Veronica', 'Gabs']</v>
      </c>
      <c r="D13686" s="3">
        <v>2.0</v>
      </c>
    </row>
    <row r="13687" ht="15.75" customHeight="1">
      <c r="A13687" s="1">
        <v>14566.0</v>
      </c>
      <c r="B13687" s="3" t="s">
        <v>13044</v>
      </c>
      <c r="C13687" s="3" t="str">
        <f>IFERROR(__xludf.DUMMYFUNCTION("GOOGLETRANSLATE(B13687,""id"",""en"")"),"['Severe', 'Telkomsel', 'Open', '']")</f>
        <v>['Severe', 'Telkomsel', 'Open', '']</v>
      </c>
      <c r="D13687" s="3">
        <v>4.0</v>
      </c>
    </row>
    <row r="13688" ht="15.75" customHeight="1">
      <c r="A13688" s="1">
        <v>14567.0</v>
      </c>
      <c r="B13688" s="3" t="s">
        <v>13045</v>
      </c>
      <c r="C13688" s="3" t="str">
        <f>IFERROR(__xludf.DUMMYFUNCTION("GOOGLETRANSLATE(B13688,""id"",""en"")"),"['makes it easier', 'live']")</f>
        <v>['makes it easier', 'live']</v>
      </c>
      <c r="D13688" s="3">
        <v>5.0</v>
      </c>
    </row>
    <row r="13689" ht="15.75" customHeight="1">
      <c r="A13689" s="1">
        <v>14568.0</v>
      </c>
      <c r="B13689" s="3" t="s">
        <v>13046</v>
      </c>
      <c r="C13689" s="3" t="str">
        <f>IFERROR(__xludf.DUMMYFUNCTION("GOOGLETRANSLATE(B13689,""id"",""en"")"),"['What', 'Display', 'Screen', 'White', 'Opened', 'App', '']")</f>
        <v>['What', 'Display', 'Screen', 'White', 'Opened', 'App', '']</v>
      </c>
      <c r="D13689" s="3">
        <v>1.0</v>
      </c>
    </row>
    <row r="13690" ht="15.75" customHeight="1">
      <c r="A13690" s="1">
        <v>14569.0</v>
      </c>
      <c r="B13690" s="3" t="s">
        <v>13047</v>
      </c>
      <c r="C13690" s="3" t="str">
        <f>IFERROR(__xludf.DUMMYFUNCTION("GOOGLETRANSLATE(B13690,""id"",""en"")"),"['Useful', 'Aban', 'Get', 'oath', 'Liat', 'Kouta', 'Internet', '']")</f>
        <v>['Useful', 'Aban', 'Get', 'oath', 'Liat', 'Kouta', 'Internet', '']</v>
      </c>
      <c r="D13690" s="3">
        <v>5.0</v>
      </c>
    </row>
    <row r="13691" ht="15.75" customHeight="1">
      <c r="A13691" s="1">
        <v>14570.0</v>
      </c>
      <c r="B13691" s="3" t="s">
        <v>13048</v>
      </c>
      <c r="C13691" s="3" t="str">
        <f>IFERROR(__xludf.DUMMYFUNCTION("GOOGLETRANSLATE(B13691,""id"",""en"")"),"['Paketan', 'tmbah', 'banned']")</f>
        <v>['Paketan', 'tmbah', 'banned']</v>
      </c>
      <c r="D13691" s="3">
        <v>5.0</v>
      </c>
    </row>
    <row r="13692" ht="15.75" customHeight="1">
      <c r="A13692" s="1">
        <v>14571.0</v>
      </c>
      <c r="B13692" s="3" t="s">
        <v>13049</v>
      </c>
      <c r="C13692" s="3" t="str">
        <f>IFERROR(__xludf.DUMMYFUNCTION("GOOGLETRANSLATE(B13692,""id"",""en"")"),"['Come', 'really', 'signal', 'error']")</f>
        <v>['Come', 'really', 'signal', 'error']</v>
      </c>
      <c r="D13692" s="3">
        <v>1.0</v>
      </c>
    </row>
    <row r="13693" ht="15.75" customHeight="1">
      <c r="A13693" s="1">
        <v>14572.0</v>
      </c>
      <c r="B13693" s="3" t="s">
        <v>13050</v>
      </c>
      <c r="C13693" s="3" t="str">
        <f>IFERROR(__xludf.DUMMYFUNCTION("GOOGLETRANSLATE(B13693,""id"",""en"")"),"['Good', 'Trions']")</f>
        <v>['Good', 'Trions']</v>
      </c>
      <c r="D13693" s="3">
        <v>5.0</v>
      </c>
    </row>
    <row r="13694" ht="15.75" customHeight="1">
      <c r="A13694" s="1">
        <v>14573.0</v>
      </c>
      <c r="B13694" s="3" t="s">
        <v>13051</v>
      </c>
      <c r="C13694" s="3" t="str">
        <f>IFERROR(__xludf.DUMMYFUNCTION("GOOGLETRANSLATE(B13694,""id"",""en"")"),"['Sorry', 'Sis', 'Gakbisa', 'Open', 'Application', 'Telkomsel', 'UDH', 'MENITING', 'BLANK', 'Screen', 'Enter', 'The application']")</f>
        <v>['Sorry', 'Sis', 'Gakbisa', 'Open', 'Application', 'Telkomsel', 'UDH', 'MENITING', 'BLANK', 'Screen', 'Enter', 'The application']</v>
      </c>
      <c r="D13694" s="3">
        <v>2.0</v>
      </c>
    </row>
    <row r="13695" ht="15.75" customHeight="1">
      <c r="A13695" s="1">
        <v>14574.0</v>
      </c>
      <c r="B13695" s="3" t="s">
        <v>13052</v>
      </c>
      <c r="C13695" s="3" t="str">
        <f>IFERROR(__xludf.DUMMYFUNCTION("GOOGLETRANSLATE(B13695,""id"",""en"")"),"['Masya', 'Allah', 'The application', 'Good']")</f>
        <v>['Masya', 'Allah', 'The application', 'Good']</v>
      </c>
      <c r="D13695" s="3">
        <v>5.0</v>
      </c>
    </row>
    <row r="13696" ht="15.75" customHeight="1">
      <c r="A13696" s="1">
        <v>14575.0</v>
      </c>
      <c r="B13696" s="3" t="s">
        <v>13053</v>
      </c>
      <c r="C13696" s="3" t="str">
        <f>IFERROR(__xludf.DUMMYFUNCTION("GOOGLETRANSLATE(B13696,""id"",""en"")"),"['Good', 'your signal', '']")</f>
        <v>['Good', 'your signal', '']</v>
      </c>
      <c r="D13696" s="3">
        <v>1.0</v>
      </c>
    </row>
    <row r="13697" ht="15.75" customHeight="1">
      <c r="A13697" s="1">
        <v>14576.0</v>
      </c>
      <c r="B13697" s="3" t="s">
        <v>13054</v>
      </c>
      <c r="C13697" s="3" t="str">
        <f>IFERROR(__xludf.DUMMYFUNCTION("GOOGLETRANSLATE(B13697,""id"",""en"")"),"['Toker', 'Points', 'Tired', 'Points', 'KPAN', 'SLSENYA']")</f>
        <v>['Toker', 'Points', 'Tired', 'Points', 'KPAN', 'SLSENYA']</v>
      </c>
      <c r="D13697" s="3">
        <v>5.0</v>
      </c>
    </row>
    <row r="13698" ht="15.75" customHeight="1">
      <c r="A13698" s="1">
        <v>14577.0</v>
      </c>
      <c r="B13698" s="3" t="s">
        <v>13055</v>
      </c>
      <c r="C13698" s="3" t="str">
        <f>IFERROR(__xludf.DUMMYFUNCTION("GOOGLETRANSLATE(B13698,""id"",""en"")"),"['hope', 'winner']")</f>
        <v>['hope', 'winner']</v>
      </c>
      <c r="D13698" s="3">
        <v>4.0</v>
      </c>
    </row>
    <row r="13699" ht="15.75" customHeight="1">
      <c r="A13699" s="1">
        <v>14578.0</v>
      </c>
      <c r="B13699" s="3" t="s">
        <v>13056</v>
      </c>
      <c r="C13699" s="3" t="str">
        <f>IFERROR(__xludf.DUMMYFUNCTION("GOOGLETRANSLATE(B13699,""id"",""en"")"),"['already', 'update', 'application', 'Telkomsel', 'update', 'appears', 'screen', 'white', 'disappointed', ""]")</f>
        <v>['already', 'update', 'application', 'Telkomsel', 'update', 'appears', 'screen', 'white', 'disappointed', "]</v>
      </c>
      <c r="D13699" s="3">
        <v>1.0</v>
      </c>
    </row>
    <row r="13700" ht="15.75" customHeight="1">
      <c r="A13700" s="1">
        <v>14579.0</v>
      </c>
      <c r="B13700" s="3" t="s">
        <v>355</v>
      </c>
      <c r="C13700" s="3" t="str">
        <f>IFERROR(__xludf.DUMMYFUNCTION("GOOGLETRANSLATE(B13700,""id"",""en"")"),"['open', '']")</f>
        <v>['open', '']</v>
      </c>
      <c r="D13700" s="3">
        <v>3.0</v>
      </c>
    </row>
    <row r="13701" ht="15.75" customHeight="1">
      <c r="A13701" s="1">
        <v>14580.0</v>
      </c>
      <c r="B13701" s="3" t="s">
        <v>13057</v>
      </c>
      <c r="C13701" s="3" t="str">
        <f>IFERROR(__xludf.DUMMYFUNCTION("GOOGLETRANSLATE(B13701,""id"",""en"")"),"['Nglag', 'NGTD']")</f>
        <v>['Nglag', 'NGTD']</v>
      </c>
      <c r="D13701" s="3">
        <v>1.0</v>
      </c>
    </row>
    <row r="13702" ht="15.75" customHeight="1">
      <c r="A13702" s="1">
        <v>14581.0</v>
      </c>
      <c r="B13702" s="3" t="s">
        <v>13058</v>
      </c>
      <c r="C13702" s="3" t="str">
        <f>IFERROR(__xludf.DUMMYFUNCTION("GOOGLETRANSLATE(B13702,""id"",""en"")"),"['APK', 'SNGT', 'Mantul']")</f>
        <v>['APK', 'SNGT', 'Mantul']</v>
      </c>
      <c r="D13702" s="3">
        <v>5.0</v>
      </c>
    </row>
    <row r="13703" ht="15.75" customHeight="1">
      <c r="A13703" s="1">
        <v>14582.0</v>
      </c>
      <c r="B13703" s="3" t="s">
        <v>13059</v>
      </c>
      <c r="C13703" s="3" t="str">
        <f>IFERROR(__xludf.DUMMYFUNCTION("GOOGLETRANSLATE(B13703,""id"",""en"")"),"['', 'Bner', 'ajh', 'TPI', 'Open', 'Mlah', 'screen', 'white']")</f>
        <v>['', 'Bner', 'ajh', 'TPI', 'Open', 'Mlah', 'screen', 'white']</v>
      </c>
      <c r="D13703" s="3">
        <v>1.0</v>
      </c>
    </row>
    <row r="13704" ht="15.75" customHeight="1">
      <c r="A13704" s="1">
        <v>14583.0</v>
      </c>
      <c r="B13704" s="3" t="s">
        <v>13060</v>
      </c>
      <c r="C13704" s="3" t="str">
        <f>IFERROR(__xludf.DUMMYFUNCTION("GOOGLETRANSLATE(B13704,""id"",""en"")"),"['expensive', 'quality', 'gada']")</f>
        <v>['expensive', 'quality', 'gada']</v>
      </c>
      <c r="D13704" s="3">
        <v>1.0</v>
      </c>
    </row>
    <row r="13705" ht="15.75" customHeight="1">
      <c r="A13705" s="1">
        <v>14584.0</v>
      </c>
      <c r="B13705" s="3" t="s">
        <v>13061</v>
      </c>
      <c r="C13705" s="3" t="str">
        <f>IFERROR(__xludf.DUMMYFUNCTION("GOOGLETRANSLATE(B13705,""id"",""en"")"),"['The package', 'cheap', 'like', 'like', ""]")</f>
        <v>['The package', 'cheap', 'like', 'like', "]</v>
      </c>
      <c r="D13705" s="3">
        <v>5.0</v>
      </c>
    </row>
    <row r="13706" ht="15.75" customHeight="1">
      <c r="A13706" s="1">
        <v>14585.0</v>
      </c>
      <c r="B13706" s="3" t="s">
        <v>13062</v>
      </c>
      <c r="C13706" s="3" t="str">
        <f>IFERROR(__xludf.DUMMYFUNCTION("GOOGLETRANSLATE(B13706,""id"",""en"")"),"['Price', 'Package']")</f>
        <v>['Price', 'Package']</v>
      </c>
      <c r="D13706" s="3">
        <v>2.0</v>
      </c>
    </row>
    <row r="13707" ht="15.75" customHeight="1">
      <c r="A13707" s="1">
        <v>14586.0</v>
      </c>
      <c r="B13707" s="3" t="s">
        <v>13063</v>
      </c>
      <c r="C13707" s="3" t="str">
        <f>IFERROR(__xludf.DUMMYFUNCTION("GOOGLETRANSLATE(B13707,""id"",""en"")"),"['Leg', 'forward', 'level', 'signal', 'good', 'downhill', 'already', 'package', 'signal', 'bad', 'Hadehh', 'silly', ' ']")</f>
        <v>['Leg', 'forward', 'level', 'signal', 'good', 'downhill', 'already', 'package', 'signal', 'bad', 'Hadehh', 'silly', ' ']</v>
      </c>
      <c r="D13707" s="3">
        <v>5.0</v>
      </c>
    </row>
    <row r="13708" ht="15.75" customHeight="1">
      <c r="A13708" s="1">
        <v>14587.0</v>
      </c>
      <c r="B13708" s="3" t="s">
        <v>13064</v>
      </c>
      <c r="C13708" s="3" t="str">
        <f>IFERROR(__xludf.DUMMYFUNCTION("GOOGLETRANSLATE(B13708,""id"",""en"")"),"['Help', 'Thank "",' Love ',' Telkomsel ',""]")</f>
        <v>['Help', 'Thank ",' Love ',' Telkomsel ',"]</v>
      </c>
      <c r="D13708" s="3">
        <v>5.0</v>
      </c>
    </row>
    <row r="13709" ht="15.75" customHeight="1">
      <c r="A13709" s="1">
        <v>14588.0</v>
      </c>
      <c r="B13709" s="3" t="s">
        <v>13065</v>
      </c>
      <c r="C13709" s="3" t="str">
        <f>IFERROR(__xludf.DUMMYFUNCTION("GOOGLETRANSLATE(B13709,""id"",""en"")"),"['pig', 'signal', 'ngelag']")</f>
        <v>['pig', 'signal', 'ngelag']</v>
      </c>
      <c r="D13709" s="3">
        <v>1.0</v>
      </c>
    </row>
    <row r="13710" ht="15.75" customHeight="1">
      <c r="A13710" s="1">
        <v>14590.0</v>
      </c>
      <c r="B13710" s="3" t="s">
        <v>13066</v>
      </c>
      <c r="C13710" s="3" t="str">
        <f>IFERROR(__xludf.DUMMYFUNCTION("GOOGLETRANSLATE(B13710,""id"",""en"")"),"['area', 'Sintang', 'Sepeuk', 'Kalbar', 'SKPC', 'Area', 'Signal', 'Telkomsel', 'Build', 'Towerlah', ""]")</f>
        <v>['area', 'Sintang', 'Sepeuk', 'Kalbar', 'SKPC', 'Area', 'Signal', 'Telkomsel', 'Build', 'Towerlah', "]</v>
      </c>
      <c r="D13710" s="3">
        <v>5.0</v>
      </c>
    </row>
    <row r="13711" ht="15.75" customHeight="1">
      <c r="A13711" s="1">
        <v>14591.0</v>
      </c>
      <c r="B13711" s="3" t="s">
        <v>13067</v>
      </c>
      <c r="C13711" s="3" t="str">
        <f>IFERROR(__xludf.DUMMYFUNCTION("GOOGLETRANSLATE(B13711,""id"",""en"")"),"['card', 'buy', 'pulse', 'ilang', 'ilang', 'card', 'thief']")</f>
        <v>['card', 'buy', 'pulse', 'ilang', 'ilang', 'card', 'thief']</v>
      </c>
      <c r="D13711" s="3">
        <v>1.0</v>
      </c>
    </row>
    <row r="13712" ht="15.75" customHeight="1">
      <c r="A13712" s="1">
        <v>14592.0</v>
      </c>
      <c r="B13712" s="3" t="s">
        <v>13068</v>
      </c>
      <c r="C13712" s="3" t="str">
        <f>IFERROR(__xludf.DUMMYFUNCTION("GOOGLETRANSLATE(B13712,""id"",""en"")"),"['Disappointed', 'appears', 'screen', 'white']")</f>
        <v>['Disappointed', 'appears', 'screen', 'white']</v>
      </c>
      <c r="D13712" s="3">
        <v>3.0</v>
      </c>
    </row>
    <row r="13713" ht="15.75" customHeight="1">
      <c r="A13713" s="1">
        <v>14593.0</v>
      </c>
      <c r="B13713" s="3" t="s">
        <v>13069</v>
      </c>
      <c r="C13713" s="3" t="str">
        <f>IFERROR(__xludf.DUMMYFUNCTION("GOOGLETRANSLATE(B13713,""id"",""en"")"),"['min', 'yesterday', 'entered', 'application', 'jni', 'please', 'min']")</f>
        <v>['min', 'yesterday', 'entered', 'application', 'jni', 'please', 'min']</v>
      </c>
      <c r="D13713" s="3">
        <v>1.0</v>
      </c>
    </row>
    <row r="13714" ht="15.75" customHeight="1">
      <c r="A13714" s="1">
        <v>14595.0</v>
      </c>
      <c r="B13714" s="3" t="s">
        <v>13070</v>
      </c>
      <c r="C13714" s="3" t="str">
        <f>IFERROR(__xludf.DUMMYFUNCTION("GOOGLETRANSLATE(B13714,""id"",""en"")"),"['TELKOMSE', 'Good', 'Sometimes', 'Sometimes', 'Leet']")</f>
        <v>['TELKOMSE', 'Good', 'Sometimes', 'Sometimes', 'Leet']</v>
      </c>
      <c r="D13714" s="3">
        <v>4.0</v>
      </c>
    </row>
    <row r="13715" ht="15.75" customHeight="1">
      <c r="A13715" s="1">
        <v>14596.0</v>
      </c>
      <c r="B13715" s="3" t="s">
        <v>13071</v>
      </c>
      <c r="C13715" s="3" t="str">
        <f>IFERROR(__xludf.DUMMYFUNCTION("GOOGLETRANSLATE(B13715,""id"",""en"")"),"['The application', 'opened', 'checked', 'quota', 'pulse', ""]")</f>
        <v>['The application', 'opened', 'checked', 'quota', 'pulse', "]</v>
      </c>
      <c r="D13715" s="3">
        <v>2.0</v>
      </c>
    </row>
    <row r="13716" ht="15.75" customHeight="1">
      <c r="A13716" s="1">
        <v>14597.0</v>
      </c>
      <c r="B13716" s="3" t="s">
        <v>13072</v>
      </c>
      <c r="C13716" s="3" t="str">
        <f>IFERROR(__xludf.DUMMYFUNCTION("GOOGLETRANSLATE(B13716,""id"",""en"")"),"['application', 'Telkomsel', 'open', 'then', 'unistal', 'download', 'screen', 'white', '']")</f>
        <v>['application', 'Telkomsel', 'open', 'then', 'unistal', 'download', 'screen', 'white', '']</v>
      </c>
      <c r="D13716" s="3">
        <v>1.0</v>
      </c>
    </row>
    <row r="13717" ht="15.75" customHeight="1">
      <c r="A13717" s="1">
        <v>14598.0</v>
      </c>
      <c r="B13717" s="3" t="s">
        <v>13073</v>
      </c>
      <c r="C13717" s="3" t="str">
        <f>IFERROR(__xludf.DUMMYFUNCTION("GOOGLETRANSLATE(B13717,""id"",""en"")"),"['Telkomsel', 'The network', 'ugly', 'really', 'Raying', 'Telkomsel', ""]")</f>
        <v>['Telkomsel', 'The network', 'ugly', 'really', 'Raying', 'Telkomsel', "]</v>
      </c>
      <c r="D13717" s="3">
        <v>1.0</v>
      </c>
    </row>
    <row r="13718" ht="15.75" customHeight="1">
      <c r="A13718" s="1">
        <v>14599.0</v>
      </c>
      <c r="B13718" s="3" t="s">
        <v>13074</v>
      </c>
      <c r="C13718" s="3" t="str">
        <f>IFERROR(__xludf.DUMMYFUNCTION("GOOGLETRANSLATE(B13718,""id"",""en"")"),"['Severe', 'Sinyal', 'Sekrng', 'Severe', 'Bngt', 'Change', 'Card', 'TRS', 'Try', 'fix it', 'The network', 'loss',' Paketan ',' signal ',' Hadeuhhh ',' ']")</f>
        <v>['Severe', 'Sinyal', 'Sekrng', 'Severe', 'Bngt', 'Change', 'Card', 'TRS', 'Try', 'fix it', 'The network', 'loss',' Paketan ',' signal ',' Hadeuhhh ',' ']</v>
      </c>
      <c r="D13718" s="3">
        <v>1.0</v>
      </c>
    </row>
    <row r="13719" ht="15.75" customHeight="1">
      <c r="A13719" s="1">
        <v>14600.0</v>
      </c>
      <c r="B13719" s="3" t="s">
        <v>13075</v>
      </c>
      <c r="C13719" s="3" t="str">
        <f>IFERROR(__xludf.DUMMYFUNCTION("GOOGLETRANSLATE(B13719,""id"",""en"")"),"['Enter', 'Please', 'Fix', 'Thank', 'Love']")</f>
        <v>['Enter', 'Please', 'Fix', 'Thank', 'Love']</v>
      </c>
      <c r="D13719" s="3">
        <v>2.0</v>
      </c>
    </row>
    <row r="13720" ht="15.75" customHeight="1">
      <c r="A13720" s="1">
        <v>14601.0</v>
      </c>
      <c r="B13720" s="3" t="s">
        <v>13076</v>
      </c>
      <c r="C13720" s="3" t="str">
        <f>IFERROR(__xludf.DUMMYFUNCTION("GOOGLETRANSLATE(B13720,""id"",""en"")"),"['expensive', 'package']")</f>
        <v>['expensive', 'package']</v>
      </c>
      <c r="D13720" s="3">
        <v>3.0</v>
      </c>
    </row>
    <row r="13721" ht="15.75" customHeight="1">
      <c r="A13721" s="1">
        <v>14602.0</v>
      </c>
      <c r="B13721" s="3" t="s">
        <v>13077</v>
      </c>
      <c r="C13721" s="3" t="str">
        <f>IFERROR(__xludf.DUMMYFUNCTION("GOOGLETRANSLATE(B13721,""id"",""en"")"),"['The network', 'widespread']")</f>
        <v>['The network', 'widespread']</v>
      </c>
      <c r="D13721" s="3">
        <v>4.0</v>
      </c>
    </row>
    <row r="13722" ht="15.75" customHeight="1">
      <c r="A13722" s="1">
        <v>14603.0</v>
      </c>
      <c r="B13722" s="3" t="s">
        <v>13078</v>
      </c>
      <c r="C13722" s="3" t="str">
        <f>IFERROR(__xludf.DUMMYFUNCTION("GOOGLETRANSLATE(B13722,""id"",""en"")"),"['application', 'slow', 'update', 'trs', '']")</f>
        <v>['application', 'slow', 'update', 'trs', '']</v>
      </c>
      <c r="D13722" s="3">
        <v>2.0</v>
      </c>
    </row>
    <row r="13723" ht="15.75" customHeight="1">
      <c r="A13723" s="1">
        <v>14604.0</v>
      </c>
      <c r="B13723" s="3" t="s">
        <v>13079</v>
      </c>
      <c r="C13723" s="3" t="str">
        <f>IFERROR(__xludf.DUMMYFUNCTION("GOOGLETRANSLATE(B13723,""id"",""en"")"),"['Severe', 'ngeblank', 'white', 'look', 'rich', 'pocong', 'week', 'repair']")</f>
        <v>['Severe', 'ngeblank', 'white', 'look', 'rich', 'pocong', 'week', 'repair']</v>
      </c>
      <c r="D13723" s="3">
        <v>1.0</v>
      </c>
    </row>
    <row r="13724" ht="15.75" customHeight="1">
      <c r="A13724" s="1">
        <v>14605.0</v>
      </c>
      <c r="B13724" s="3" t="s">
        <v>13080</v>
      </c>
      <c r="C13724" s="3" t="str">
        <f>IFERROR(__xludf.DUMMYFUNCTION("GOOGLETRANSLATE(B13724,""id"",""en"")"),"['Star', 'love', 'promo', 'cheap', 'cheap']")</f>
        <v>['Star', 'love', 'promo', 'cheap', 'cheap']</v>
      </c>
      <c r="D13724" s="3">
        <v>5.0</v>
      </c>
    </row>
    <row r="13725" ht="15.75" customHeight="1">
      <c r="A13725" s="1">
        <v>14606.0</v>
      </c>
      <c r="B13725" s="3" t="s">
        <v>13081</v>
      </c>
      <c r="C13725" s="3" t="str">
        <f>IFERROR(__xludf.DUMMYFUNCTION("GOOGLETRANSLATE(B13725,""id"",""en"")"),"['expensive', 'yes',' signal ',' not ',' stable ',' yes', 'spending', 'package', 'fixs',' replace ',' oprator ',' complain ',' brkali ',' ttp ',' no ',' change ', ""]")</f>
        <v>['expensive', 'yes',' signal ',' not ',' stable ',' yes', 'spending', 'package', 'fixs',' replace ',' oprator ',' complain ',' brkali ',' ttp ',' no ',' change ', "]</v>
      </c>
      <c r="D13725" s="3">
        <v>1.0</v>
      </c>
    </row>
    <row r="13726" ht="15.75" customHeight="1">
      <c r="A13726" s="1">
        <v>14607.0</v>
      </c>
      <c r="B13726" s="3" t="s">
        <v>13082</v>
      </c>
      <c r="C13726" s="3" t="str">
        <f>IFERROR(__xludf.DUMMYFUNCTION("GOOGLETRANSLATE(B13726,""id"",""en"")"),"['Application', 'severe', 'kagak', 'opened', 'mulu', 'smooth', 'reno', 'memory', 'mhn', 'miniaki', 'min']")</f>
        <v>['Application', 'severe', 'kagak', 'opened', 'mulu', 'smooth', 'reno', 'memory', 'mhn', 'miniaki', 'min']</v>
      </c>
      <c r="D13726" s="3">
        <v>2.0</v>
      </c>
    </row>
    <row r="13727" ht="15.75" customHeight="1">
      <c r="A13727" s="1">
        <v>14608.0</v>
      </c>
      <c r="B13727" s="3" t="s">
        <v>13083</v>
      </c>
      <c r="C13727" s="3" t="str">
        <f>IFERROR(__xludf.DUMMYFUNCTION("GOOGLETRANSLATE(B13727,""id"",""en"")"),"['What' do ',' price ',' quota ',' change ',' ngak ']")</f>
        <v>['What' do ',' price ',' quota ',' change ',' ngak ']</v>
      </c>
      <c r="D13727" s="3">
        <v>1.0</v>
      </c>
    </row>
    <row r="13728" ht="15.75" customHeight="1">
      <c r="A13728" s="1">
        <v>14609.0</v>
      </c>
      <c r="B13728" s="3" t="s">
        <v>13084</v>
      </c>
      <c r="C13728" s="3" t="str">
        <f>IFERROR(__xludf.DUMMYFUNCTION("GOOGLETRANSLATE(B13728,""id"",""en"")"),"['Region', 'remote', 'network', 'ugly', 'disappointing', 'gamer']")</f>
        <v>['Region', 'remote', 'network', 'ugly', 'disappointing', 'gamer']</v>
      </c>
      <c r="D13728" s="3">
        <v>1.0</v>
      </c>
    </row>
    <row r="13729" ht="15.75" customHeight="1">
      <c r="A13729" s="1">
        <v>14610.0</v>
      </c>
      <c r="B13729" s="3" t="s">
        <v>8206</v>
      </c>
      <c r="C13729" s="3" t="str">
        <f>IFERROR(__xludf.DUMMYFUNCTION("GOOGLETRANSLATE(B13729,""id"",""en"")"),"['Open', 'Telkomsel', '']")</f>
        <v>['Open', 'Telkomsel', '']</v>
      </c>
      <c r="D13729" s="3">
        <v>5.0</v>
      </c>
    </row>
    <row r="13730" ht="15.75" customHeight="1">
      <c r="A13730" s="1">
        <v>14611.0</v>
      </c>
      <c r="B13730" s="3" t="s">
        <v>13085</v>
      </c>
      <c r="C13730" s="3" t="str">
        <f>IFERROR(__xludf.DUMMYFUNCTION("GOOGLETRANSLATE(B13730,""id"",""en"")"),"['Pay', 'expensive', 'network', 'cheap']")</f>
        <v>['Pay', 'expensive', 'network', 'cheap']</v>
      </c>
      <c r="D13730" s="3">
        <v>1.0</v>
      </c>
    </row>
    <row r="13731" ht="15.75" customHeight="1">
      <c r="A13731" s="1">
        <v>14612.0</v>
      </c>
      <c r="B13731" s="3" t="s">
        <v>13086</v>
      </c>
      <c r="C13731" s="3" t="str">
        <f>IFERROR(__xludf.DUMMYFUNCTION("GOOGLETRANSLATE(B13731,""id"",""en"")"),"['The application', 'good', 'just', 'suggestion', 'package', 'internet', 'cheap', 'promo', 'mksih', '']")</f>
        <v>['The application', 'good', 'just', 'suggestion', 'package', 'internet', 'cheap', 'promo', 'mksih', '']</v>
      </c>
      <c r="D13731" s="3">
        <v>5.0</v>
      </c>
    </row>
    <row r="13732" ht="15.75" customHeight="1">
      <c r="A13732" s="1">
        <v>14613.0</v>
      </c>
      <c r="B13732" s="3" t="s">
        <v>13087</v>
      </c>
      <c r="C13732" s="3" t="str">
        <f>IFERROR(__xludf.DUMMYFUNCTION("GOOGLETRANSLATE(B13732,""id"",""en"")"),"['annoyed', 'open', 'application', 'heavy', 'slow']")</f>
        <v>['annoyed', 'open', 'application', 'heavy', 'slow']</v>
      </c>
      <c r="D13732" s="3">
        <v>4.0</v>
      </c>
    </row>
    <row r="13733" ht="15.75" customHeight="1">
      <c r="A13733" s="1">
        <v>14614.0</v>
      </c>
      <c r="B13733" s="3" t="s">
        <v>13088</v>
      </c>
      <c r="C13733" s="3" t="str">
        <f>IFERROR(__xludf.DUMMYFUNCTION("GOOGLETRANSLATE(B13733,""id"",""en"")"),"['Since', 'Graduated', 'Application', 'Telkomsel', 'Ngeblank', 'Screen', 'White', 'Please', 'Help', 'Tmks']")</f>
        <v>['Since', 'Graduated', 'Application', 'Telkomsel', 'Ngeblank', 'Screen', 'White', 'Please', 'Help', 'Tmks']</v>
      </c>
      <c r="D13733" s="3">
        <v>1.0</v>
      </c>
    </row>
    <row r="13734" ht="15.75" customHeight="1">
      <c r="A13734" s="1">
        <v>14615.0</v>
      </c>
      <c r="B13734" s="3" t="s">
        <v>13089</v>
      </c>
      <c r="C13734" s="3" t="str">
        <f>IFERROR(__xludf.DUMMYFUNCTION("GOOGLETRANSLATE(B13734,""id"",""en"")"),"['hope', 'serve', '']")</f>
        <v>['hope', 'serve', '']</v>
      </c>
      <c r="D13734" s="3">
        <v>5.0</v>
      </c>
    </row>
    <row r="13735" ht="15.75" customHeight="1">
      <c r="A13735" s="1">
        <v>14616.0</v>
      </c>
      <c r="B13735" s="3" t="s">
        <v>13090</v>
      </c>
      <c r="C13735" s="3" t="str">
        <f>IFERROR(__xludf.DUMMYFUNCTION("GOOGLETRANSLATE(B13735,""id"",""en"")"),"['Maytetkomsel', 'Bukak', 'knapa']")</f>
        <v>['Maytetkomsel', 'Bukak', 'knapa']</v>
      </c>
      <c r="D13735" s="3">
        <v>1.0</v>
      </c>
    </row>
    <row r="13736" ht="15.75" customHeight="1">
      <c r="A13736" s="1">
        <v>14617.0</v>
      </c>
      <c r="B13736" s="3" t="s">
        <v>13091</v>
      </c>
      <c r="C13736" s="3" t="str">
        <f>IFERROR(__xludf.DUMMYFUNCTION("GOOGLETRANSLATE(B13736,""id"",""en"")"),"['Good', 'package', 'cheap']")</f>
        <v>['Good', 'package', 'cheap']</v>
      </c>
      <c r="D13736" s="3">
        <v>5.0</v>
      </c>
    </row>
    <row r="13737" ht="15.75" customHeight="1">
      <c r="A13737" s="1">
        <v>14618.0</v>
      </c>
      <c r="B13737" s="3" t="s">
        <v>1191</v>
      </c>
      <c r="C13737" s="3" t="str">
        <f>IFERROR(__xludf.DUMMYFUNCTION("GOOGLETRANSLATE(B13737,""id"",""en"")"),"['APK']")</f>
        <v>['APK']</v>
      </c>
      <c r="D13737" s="3">
        <v>5.0</v>
      </c>
    </row>
    <row r="13738" ht="15.75" customHeight="1">
      <c r="A13738" s="1">
        <v>14619.0</v>
      </c>
      <c r="B13738" s="3" t="s">
        <v>13092</v>
      </c>
      <c r="C13738" s="3" t="str">
        <f>IFERROR(__xludf.DUMMYFUNCTION("GOOGLETRANSLATE(B13738,""id"",""en"")"),"['Telkomtol', 'AJG', 'Watch', 'YouTube', 'quota', 'main', 'quota', 'unlimited', 'YouTube', 'Bener', 'Telkomtol', 'Ajg', ' Ryesel ',' Telkomtol ']")</f>
        <v>['Telkomtol', 'AJG', 'Watch', 'YouTube', 'quota', 'main', 'quota', 'unlimited', 'YouTube', 'Bener', 'Telkomtol', 'Ajg', ' Ryesel ',' Telkomtol ']</v>
      </c>
      <c r="D13738" s="3">
        <v>1.0</v>
      </c>
    </row>
    <row r="13739" ht="15.75" customHeight="1">
      <c r="A13739" s="1">
        <v>14620.0</v>
      </c>
      <c r="B13739" s="3" t="s">
        <v>13093</v>
      </c>
      <c r="C13739" s="3" t="str">
        <f>IFERROR(__xludf.DUMMYFUNCTION("GOOGLETRANSLATE(B13739,""id"",""en"")"),"['Good', 'really', 'application']")</f>
        <v>['Good', 'really', 'application']</v>
      </c>
      <c r="D13739" s="3">
        <v>5.0</v>
      </c>
    </row>
    <row r="13740" ht="15.75" customHeight="1">
      <c r="A13740" s="1">
        <v>14621.0</v>
      </c>
      <c r="B13740" s="3" t="s">
        <v>13094</v>
      </c>
      <c r="C13740" s="3" t="str">
        <f>IFERROR(__xludf.DUMMYFUNCTION("GOOGLETRANSLATE(B13740,""id"",""en"")"),"['Install', 'not', 'opened', 'please', 'Sis', 'mimin', 'tasty', 'buy', 'package', 'Telkomsel']")</f>
        <v>['Install', 'not', 'opened', 'please', 'Sis', 'mimin', 'tasty', 'buy', 'package', 'Telkomsel']</v>
      </c>
      <c r="D13740" s="3">
        <v>1.0</v>
      </c>
    </row>
    <row r="13741" ht="15.75" customHeight="1">
      <c r="A13741" s="1">
        <v>14622.0</v>
      </c>
      <c r="B13741" s="3" t="s">
        <v>1694</v>
      </c>
      <c r="C13741" s="3" t="str">
        <f>IFERROR(__xludf.DUMMYFUNCTION("GOOGLETRANSLATE(B13741,""id"",""en"")"),"['bad connection']")</f>
        <v>['bad connection']</v>
      </c>
      <c r="D13741" s="3">
        <v>1.0</v>
      </c>
    </row>
    <row r="13742" ht="15.75" customHeight="1">
      <c r="A13742" s="1">
        <v>14623.0</v>
      </c>
      <c r="B13742" s="3" t="s">
        <v>13095</v>
      </c>
      <c r="C13742" s="3" t="str">
        <f>IFERROR(__xludf.DUMMYFUNCTION("GOOGLETRANSLATE(B13742,""id"",""en"")"),"['app', 'open', 'blank', 'screen', 'white']")</f>
        <v>['app', 'open', 'blank', 'screen', 'white']</v>
      </c>
      <c r="D13742" s="3">
        <v>1.0</v>
      </c>
    </row>
    <row r="13743" ht="15.75" customHeight="1">
      <c r="A13743" s="1">
        <v>14625.0</v>
      </c>
      <c r="B13743" s="3" t="s">
        <v>13096</v>
      </c>
      <c r="C13743" s="3" t="str">
        <f>IFERROR(__xludf.DUMMYFUNCTION("GOOGLETRANSLATE(B13743,""id"",""en"")"),"['Timahhh', 'practical']")</f>
        <v>['Timahhh', 'practical']</v>
      </c>
      <c r="D13743" s="3">
        <v>4.0</v>
      </c>
    </row>
    <row r="13744" ht="15.75" customHeight="1">
      <c r="A13744" s="1">
        <v>14626.0</v>
      </c>
      <c r="B13744" s="3" t="s">
        <v>13097</v>
      </c>
      <c r="C13744" s="3" t="str">
        <f>IFERROR(__xludf.DUMMYFUNCTION("GOOGLETRANSLATE(B13744,""id"",""en"")"),"['', 'Downlad', 'reset', 'Tetam', 'White', 'Update', 'Ntar', 'stay', 'Red']")</f>
        <v>['', 'Downlad', 'reset', 'Tetam', 'White', 'Update', 'Ntar', 'stay', 'Red']</v>
      </c>
      <c r="D13744" s="3">
        <v>1.0</v>
      </c>
    </row>
    <row r="13745" ht="15.75" customHeight="1">
      <c r="A13745" s="1">
        <v>14627.0</v>
      </c>
      <c r="B13745" s="3" t="s">
        <v>13098</v>
      </c>
      <c r="C13745" s="3" t="str">
        <f>IFERROR(__xludf.DUMMYFUNCTION("GOOGLETRANSLATE(B13745,""id"",""en"")"),"['Please', 'Fix', 'Package', 'Wrong', 'Buy', 'Package', 'Lost', 'Package', 'Use', 'Please', 'Help', 'Buy', ' Package ',' Package ',' Minutes', 'Lost', 'Package', 'Please', 'Telkomsel']")</f>
        <v>['Please', 'Fix', 'Package', 'Wrong', 'Buy', 'Package', 'Lost', 'Package', 'Use', 'Please', 'Help', 'Buy', ' Package ',' Package ',' Minutes', 'Lost', 'Package', 'Please', 'Telkomsel']</v>
      </c>
      <c r="D13745" s="3">
        <v>2.0</v>
      </c>
    </row>
    <row r="13746" ht="15.75" customHeight="1">
      <c r="A13746" s="1">
        <v>14628.0</v>
      </c>
      <c r="B13746" s="3" t="s">
        <v>13099</v>
      </c>
      <c r="C13746" s="3" t="str">
        <f>IFERROR(__xludf.DUMMYFUNCTION("GOOGLETRANSLATE(B13746,""id"",""en"")"),"['Kcewa', 'users',' Telkomsel ',' Taun ',' Until ',' skrg ',' change ',' Kcewa ',' package ',' expensive ',' app ',' Supports', 'annoyed']")</f>
        <v>['Kcewa', 'users',' Telkomsel ',' Taun ',' Until ',' skrg ',' change ',' Kcewa ',' package ',' expensive ',' app ',' Supports', 'annoyed']</v>
      </c>
      <c r="D13746" s="3">
        <v>1.0</v>
      </c>
    </row>
    <row r="13747" ht="15.75" customHeight="1">
      <c r="A13747" s="1">
        <v>14629.0</v>
      </c>
      <c r="B13747" s="3" t="s">
        <v>13100</v>
      </c>
      <c r="C13747" s="3" t="str">
        <f>IFERROR(__xludf.DUMMYFUNCTION("GOOGLETRANSLATE(B13747,""id"",""en"")"),"['admin', 'Please', 'The info', 'Yesterday', 'Logging', 'UPPLICATION', 'Telkomsel', 'Please', 'Herbsasan']")</f>
        <v>['admin', 'Please', 'The info', 'Yesterday', 'Logging', 'UPPLICATION', 'Telkomsel', 'Please', 'Herbsasan']</v>
      </c>
      <c r="D13747" s="3">
        <v>5.0</v>
      </c>
    </row>
    <row r="13748" ht="15.75" customHeight="1">
      <c r="A13748" s="1">
        <v>14630.0</v>
      </c>
      <c r="B13748" s="3" t="s">
        <v>13101</v>
      </c>
      <c r="C13748" s="3" t="str">
        <f>IFERROR(__xludf.DUMMYFUNCTION("GOOGLETRANSLATE(B13748,""id"",""en"")"),"['Steady', 'right', 'really']")</f>
        <v>['Steady', 'right', 'really']</v>
      </c>
      <c r="D13748" s="3">
        <v>5.0</v>
      </c>
    </row>
    <row r="13749" ht="15.75" customHeight="1">
      <c r="A13749" s="1">
        <v>14631.0</v>
      </c>
      <c r="B13749" s="3" t="s">
        <v>13102</v>
      </c>
      <c r="C13749" s="3" t="str">
        <f>IFERROR(__xludf.DUMMYFUNCTION("GOOGLETRANSLATE(B13749,""id"",""en"")"),"['Asuuuu', 'Login', 'Ngeselin', 'OTP', '']")</f>
        <v>['Asuuuu', 'Login', 'Ngeselin', 'OTP', '']</v>
      </c>
      <c r="D13749" s="3">
        <v>1.0</v>
      </c>
    </row>
    <row r="13750" ht="15.75" customHeight="1">
      <c r="A13750" s="1">
        <v>14632.0</v>
      </c>
      <c r="B13750" s="3" t="s">
        <v>13103</v>
      </c>
      <c r="C13750" s="3" t="str">
        <f>IFERROR(__xludf.DUMMYFUNCTION("GOOGLETRANSLATE(B13750,""id"",""en"")"),"['Suitable', 'use']")</f>
        <v>['Suitable', 'use']</v>
      </c>
      <c r="D13750" s="3">
        <v>5.0</v>
      </c>
    </row>
    <row r="13751" ht="15.75" customHeight="1">
      <c r="A13751" s="1">
        <v>14633.0</v>
      </c>
      <c r="B13751" s="3" t="s">
        <v>13104</v>
      </c>
      <c r="C13751" s="3" t="str">
        <f>IFERROR(__xludf.DUMMYFUNCTION("GOOGLETRANSLATE(B13751,""id"",""en"")"),"['Application', 'broken', 'morning', 'buy', 'lap', 'unlimited', 'skrg', 'told', 'login', 'ULG', 'told', 'check', ' connection ',' pdhl ',' connection ',' good ',' telkomsel ',' deh ',' please ',' fix ',' ']")</f>
        <v>['Application', 'broken', 'morning', 'buy', 'lap', 'unlimited', 'skrg', 'told', 'login', 'ULG', 'told', 'check', ' connection ',' pdhl ',' connection ',' good ',' telkomsel ',' deh ',' please ',' fix ',' ']</v>
      </c>
      <c r="D13751" s="3">
        <v>5.0</v>
      </c>
    </row>
    <row r="13752" ht="15.75" customHeight="1">
      <c r="A13752" s="1">
        <v>14634.0</v>
      </c>
      <c r="B13752" s="3" t="s">
        <v>13105</v>
      </c>
      <c r="C13752" s="3" t="str">
        <f>IFERROR(__xludf.DUMMYFUNCTION("GOOGLETRANSLATE(B13752,""id"",""en"")"),"['The application', 'a week', 'right', 'opened', 'mala', 'ank', 'white', 'that's', 'kewawhh']")</f>
        <v>['The application', 'a week', 'right', 'opened', 'mala', 'ank', 'white', 'that's', 'kewawhh']</v>
      </c>
      <c r="D13752" s="3">
        <v>1.0</v>
      </c>
    </row>
    <row r="13753" ht="15.75" customHeight="1">
      <c r="A13753" s="1">
        <v>14635.0</v>
      </c>
      <c r="B13753" s="3" t="s">
        <v>4820</v>
      </c>
      <c r="C13753" s="3" t="str">
        <f>IFERROR(__xludf.DUMMYFUNCTION("GOOGLETRANSLATE(B13753,""id"",""en"")"),"['', 'Telkomsel', 'steady']")</f>
        <v>['', 'Telkomsel', 'steady']</v>
      </c>
      <c r="D13753" s="3">
        <v>5.0</v>
      </c>
    </row>
    <row r="13754" ht="15.75" customHeight="1">
      <c r="A13754" s="1">
        <v>14636.0</v>
      </c>
      <c r="B13754" s="3" t="s">
        <v>13106</v>
      </c>
      <c r="C13754" s="3" t="str">
        <f>IFERROR(__xludf.DUMMYFUNCTION("GOOGLETRANSLATE(B13754,""id"",""en"")"),"['Koutaa', 'Local', 'Watch', 'How', 'Use', 'APK', 'Support', 'Film', 'Best', 'Telkomsel', ""]")</f>
        <v>['Koutaa', 'Local', 'Watch', 'How', 'Use', 'APK', 'Support', 'Film', 'Best', 'Telkomsel', "]</v>
      </c>
      <c r="D13754" s="3">
        <v>3.0</v>
      </c>
    </row>
    <row r="13755" ht="15.75" customHeight="1">
      <c r="A13755" s="1">
        <v>14637.0</v>
      </c>
      <c r="B13755" s="3" t="s">
        <v>13107</v>
      </c>
      <c r="C13755" s="3" t="str">
        <f>IFERROR(__xludf.DUMMYFUNCTION("GOOGLETRANSLATE(B13755,""id"",""en"")"),"['times', 'application', 'skrg', 'difficult', 'opened', 'right', 'opened', 'screen', 'white', ""]")</f>
        <v>['times', 'application', 'skrg', 'difficult', 'opened', 'right', 'opened', 'screen', 'white', "]</v>
      </c>
      <c r="D13755" s="3">
        <v>1.0</v>
      </c>
    </row>
    <row r="13756" ht="15.75" customHeight="1">
      <c r="A13756" s="1">
        <v>14638.0</v>
      </c>
      <c r="B13756" s="3" t="s">
        <v>13108</v>
      </c>
      <c r="C13756" s="3" t="str">
        <f>IFERROR(__xludf.DUMMYFUNCTION("GOOGLETRANSLATE(B13756,""id"",""en"")"),"['knapa', 'Telkomsel', 'opened']")</f>
        <v>['knapa', 'Telkomsel', 'opened']</v>
      </c>
      <c r="D13756" s="3">
        <v>1.0</v>
      </c>
    </row>
    <row r="13757" ht="15.75" customHeight="1">
      <c r="A13757" s="1">
        <v>14639.0</v>
      </c>
      <c r="B13757" s="3" t="s">
        <v>13109</v>
      </c>
      <c r="C13757" s="3" t="str">
        <f>IFERROR(__xludf.DUMMYFUNCTION("GOOGLETRANSLATE(B13757,""id"",""en"")"),"['Help', 'Information', 'complete', 'steady', '']")</f>
        <v>['Help', 'Information', 'complete', 'steady', '']</v>
      </c>
      <c r="D13757" s="3">
        <v>5.0</v>
      </c>
    </row>
    <row r="13758" ht="15.75" customHeight="1">
      <c r="A13758" s="1">
        <v>14640.0</v>
      </c>
      <c r="B13758" s="3" t="s">
        <v>13110</v>
      </c>
      <c r="C13758" s="3" t="str">
        <f>IFERROR(__xludf.DUMMYFUNCTION("GOOGLETRANSLATE(B13758,""id"",""en"")"),"['Hopefully', 'Jaya', 'In the future', 'Telkomsel', 'Best', 'Select', 'Telkomsel', 'Select']")</f>
        <v>['Hopefully', 'Jaya', 'In the future', 'Telkomsel', 'Best', 'Select', 'Telkomsel', 'Select']</v>
      </c>
      <c r="D13758" s="3">
        <v>5.0</v>
      </c>
    </row>
    <row r="13759" ht="15.75" customHeight="1">
      <c r="A13759" s="1">
        <v>14641.0</v>
      </c>
      <c r="B13759" s="3" t="s">
        <v>13111</v>
      </c>
      <c r="C13759" s="3" t="str">
        <f>IFERROR(__xludf.DUMMYFUNCTION("GOOGLETRANSLATE(B13759,""id"",""en"")"),"['APK', 'open', 'knpa', 'kkurrah', 'replace', '']")</f>
        <v>['APK', 'open', 'knpa', 'kkurrah', 'replace', '']</v>
      </c>
      <c r="D13759" s="3">
        <v>1.0</v>
      </c>
    </row>
    <row r="13760" ht="15.75" customHeight="1">
      <c r="A13760" s="1">
        <v>14643.0</v>
      </c>
      <c r="B13760" s="3" t="s">
        <v>13112</v>
      </c>
      <c r="C13760" s="3" t="str">
        <f>IFERROR(__xludf.DUMMYFUNCTION("GOOGLETRANSLATE(B13760,""id"",""en"")"),"['Network', 'bad', 'damage', 'trust', 'person', 'Telkomsel']")</f>
        <v>['Network', 'bad', 'damage', 'trust', 'person', 'Telkomsel']</v>
      </c>
      <c r="D13760" s="3">
        <v>1.0</v>
      </c>
    </row>
    <row r="13761" ht="15.75" customHeight="1">
      <c r="A13761" s="1">
        <v>14644.0</v>
      </c>
      <c r="B13761" s="3" t="s">
        <v>13113</v>
      </c>
      <c r="C13761" s="3" t="str">
        <f>IFERROR(__xludf.DUMMYFUNCTION("GOOGLETRANSLATE(B13761,""id"",""en"")"),"['update', 'Force', 'Close', 'Min', 'screen', 'White', 'Until', 'Watch', 'Wait', 'Open', 'Please', 'Fix', ' Ntar ',' Rating ',' Telkomsel ',' Nurun ']")</f>
        <v>['update', 'Force', 'Close', 'Min', 'screen', 'White', 'Until', 'Watch', 'Wait', 'Open', 'Please', 'Fix', ' Ntar ',' Rating ',' Telkomsel ',' Nurun ']</v>
      </c>
      <c r="D13761" s="3">
        <v>2.0</v>
      </c>
    </row>
    <row r="13762" ht="15.75" customHeight="1">
      <c r="A13762" s="1">
        <v>14645.0</v>
      </c>
      <c r="B13762" s="3" t="s">
        <v>13114</v>
      </c>
      <c r="C13762" s="3" t="str">
        <f>IFERROR(__xludf.DUMMYFUNCTION("GOOGLETRANSLATE(B13762,""id"",""en"")"),"['Update', 'Latest', 'Display', 'White', 'Please', 'Enlightenment', 'Admin', ""]")</f>
        <v>['Update', 'Latest', 'Display', 'White', 'Please', 'Enlightenment', 'Admin', "]</v>
      </c>
      <c r="D13762" s="3">
        <v>1.0</v>
      </c>
    </row>
    <row r="13763" ht="15.75" customHeight="1">
      <c r="A13763" s="1">
        <v>14646.0</v>
      </c>
      <c r="B13763" s="3" t="s">
        <v>1438</v>
      </c>
      <c r="C13763" s="3" t="str">
        <f>IFERROR(__xludf.DUMMYFUNCTION("GOOGLETRANSLATE(B13763,""id"",""en"")"),"['in the heart']")</f>
        <v>['in the heart']</v>
      </c>
      <c r="D13763" s="3">
        <v>4.0</v>
      </c>
    </row>
    <row r="13764" ht="15.75" customHeight="1">
      <c r="A13764" s="1">
        <v>14647.0</v>
      </c>
      <c r="B13764" s="3" t="s">
        <v>13115</v>
      </c>
      <c r="C13764" s="3" t="str">
        <f>IFERROR(__xludf.DUMMYFUNCTION("GOOGLETRANSLATE(B13764,""id"",""en"")"),"['Network', 'already', 'dilapidated', 'little', 'dead', 'ilang', 'Mari', 'flocked', 'move', 'network', 'leave', 'unisntal', ' MyTelkomsel ']")</f>
        <v>['Network', 'already', 'dilapidated', 'little', 'dead', 'ilang', 'Mari', 'flocked', 'move', 'network', 'leave', 'unisntal', ' MyTelkomsel ']</v>
      </c>
      <c r="D13764" s="3">
        <v>1.0</v>
      </c>
    </row>
    <row r="13765" ht="15.75" customHeight="1">
      <c r="A13765" s="1">
        <v>14648.0</v>
      </c>
      <c r="B13765" s="3" t="s">
        <v>9413</v>
      </c>
      <c r="C13765" s="3" t="str">
        <f>IFERROR(__xludf.DUMMYFUNCTION("GOOGLETRANSLATE(B13765,""id"",""en"")"),"['Application', 'Open']")</f>
        <v>['Application', 'Open']</v>
      </c>
      <c r="D13765" s="3">
        <v>1.0</v>
      </c>
    </row>
    <row r="13766" ht="15.75" customHeight="1">
      <c r="A13766" s="1">
        <v>14649.0</v>
      </c>
      <c r="B13766" s="3" t="s">
        <v>13116</v>
      </c>
      <c r="C13766" s="3" t="str">
        <f>IFERROR(__xludf.DUMMYFUNCTION("GOOGLETRANSLATE(B13766,""id"",""en"")"),"['Out', 'update', 'blank', 'blank', 'screen', 'white', 'see', 'page', 'Review', 'experience', 'hellooww', 'no', ' Learning ',' Telkomsel ',' Come ',' Victim ',' Increases', 'Decide', 'Move']")</f>
        <v>['Out', 'update', 'blank', 'blank', 'screen', 'white', 'see', 'page', 'Review', 'experience', 'hellooww', 'no', ' Learning ',' Telkomsel ',' Come ',' Victim ',' Increases', 'Decide', 'Move']</v>
      </c>
      <c r="D13766" s="3">
        <v>1.0</v>
      </c>
    </row>
    <row r="13767" ht="15.75" customHeight="1">
      <c r="A13767" s="1">
        <v>14650.0</v>
      </c>
      <c r="B13767" s="3" t="s">
        <v>13117</v>
      </c>
      <c r="C13767" s="3" t="str">
        <f>IFERROR(__xludf.DUMMYFUNCTION("GOOGLETRANSLATE(B13767,""id"",""en"")"),"['Application', 'Rigan', 'Type', 'Smartphone', '']")</f>
        <v>['Application', 'Rigan', 'Type', 'Smartphone', '']</v>
      </c>
      <c r="D13767" s="3">
        <v>3.0</v>
      </c>
    </row>
    <row r="13768" ht="15.75" customHeight="1">
      <c r="A13768" s="1">
        <v>14651.0</v>
      </c>
      <c r="B13768" s="3" t="s">
        <v>13118</v>
      </c>
      <c r="C13768" s="3" t="str">
        <f>IFERROR(__xludf.DUMMYFUNCTION("GOOGLETRANSLATE(B13768,""id"",""en"")"),"['thank', 'love', 'service', 'promo', 'quota']")</f>
        <v>['thank', 'love', 'service', 'promo', 'quota']</v>
      </c>
      <c r="D13768" s="3">
        <v>5.0</v>
      </c>
    </row>
    <row r="13769" ht="15.75" customHeight="1">
      <c r="A13769" s="1">
        <v>14652.0</v>
      </c>
      <c r="B13769" s="3" t="s">
        <v>644</v>
      </c>
      <c r="C13769" s="3" t="str">
        <f>IFERROR(__xludf.DUMMYFUNCTION("GOOGLETRANSLATE(B13769,""id"",""en"")"),"['Promo']")</f>
        <v>['Promo']</v>
      </c>
      <c r="D13769" s="3">
        <v>5.0</v>
      </c>
    </row>
    <row r="13770" ht="15.75" customHeight="1">
      <c r="A13770" s="1">
        <v>14653.0</v>
      </c>
      <c r="B13770" s="3" t="s">
        <v>13119</v>
      </c>
      <c r="C13770" s="3" t="str">
        <f>IFERROR(__xludf.DUMMYFUNCTION("GOOGLETRANSLATE(B13770,""id"",""en"")"),"['Telkomsel', 'kah', 'the application', 'opened', 'screen', 'white', 'then', 'stupid', 'udh', 'week', 'confirm', 'MyTelkom', ' App ',' sudh ',' bngk ',' comment ',' response ',' idiot ',' price ',' official ',' signal ',' cord ',' monopoly ',' price ',' k"&amp;"ah ' , 'items', 'according to', 'offered', 'sudh', 'loyal', 'make', 'telkom', 'kek', 'gini']")</f>
        <v>['Telkomsel', 'kah', 'the application', 'opened', 'screen', 'white', 'then', 'stupid', 'udh', 'week', 'confirm', 'MyTelkom', ' App ',' sudh ',' bngk ',' comment ',' response ',' idiot ',' price ',' official ',' signal ',' cord ',' monopoly ',' price ',' kah ' , 'items', 'according to', 'offered', 'sudh', 'loyal', 'make', 'telkom', 'kek', 'gini']</v>
      </c>
      <c r="D13770" s="3">
        <v>1.0</v>
      </c>
    </row>
    <row r="13771" ht="15.75" customHeight="1">
      <c r="A13771" s="1">
        <v>14654.0</v>
      </c>
      <c r="B13771" s="3" t="s">
        <v>13120</v>
      </c>
      <c r="C13771" s="3" t="str">
        <f>IFERROR(__xludf.DUMMYFUNCTION("GOOGLETRANSLATE(B13771,""id"",""en"")"),"['easy', 'hopefully', 'Telkomsel', 'cheap', 'festive', 'package', 'internet']")</f>
        <v>['easy', 'hopefully', 'Telkomsel', 'cheap', 'festive', 'package', 'internet']</v>
      </c>
      <c r="D13771" s="3">
        <v>5.0</v>
      </c>
    </row>
    <row r="13772" ht="15.75" customHeight="1">
      <c r="A13772" s="1">
        <v>14655.0</v>
      </c>
      <c r="B13772" s="3" t="s">
        <v>13121</v>
      </c>
      <c r="C13772" s="3" t="str">
        <f>IFERROR(__xludf.DUMMYFUNCTION("GOOGLETRANSLATE(B13772,""id"",""en"")"),"['ngak', 'as good', 'application', 'axis', '']")</f>
        <v>['ngak', 'as good', 'application', 'axis', '']</v>
      </c>
      <c r="D13772" s="3">
        <v>2.0</v>
      </c>
    </row>
    <row r="13773" ht="15.75" customHeight="1">
      <c r="A13773" s="1">
        <v>14656.0</v>
      </c>
      <c r="B13773" s="3" t="s">
        <v>13122</v>
      </c>
      <c r="C13773" s="3" t="str">
        <f>IFERROR(__xludf.DUMMYFUNCTION("GOOGLETRANSLATE(B13773,""id"",""en"")"),"['expensive', 'really', 'good', 'version', 'cheap', 'guaranteed', 'apk', 'ngelek', 'Jan', 'download', 'Gaes', ""]")</f>
        <v>['expensive', 'really', 'good', 'version', 'cheap', 'guaranteed', 'apk', 'ngelek', 'Jan', 'download', 'Gaes', "]</v>
      </c>
      <c r="D13773" s="3">
        <v>1.0</v>
      </c>
    </row>
    <row r="13774" ht="15.75" customHeight="1">
      <c r="A13774" s="1">
        <v>14657.0</v>
      </c>
      <c r="B13774" s="3" t="s">
        <v>13123</v>
      </c>
      <c r="C13774" s="3" t="str">
        <f>IFERROR(__xludf.DUMMYFUNCTION("GOOGLETRANSLATE(B13774,""id"",""en"")"),"['Telkomsel', 'Ngelag', 'already', 'Pay', 'expensive', 'expensive', '']")</f>
        <v>['Telkomsel', 'Ngelag', 'already', 'Pay', 'expensive', 'expensive', '']</v>
      </c>
      <c r="D13774" s="3">
        <v>1.0</v>
      </c>
    </row>
    <row r="13775" ht="15.75" customHeight="1">
      <c r="A13775" s="1">
        <v>14658.0</v>
      </c>
      <c r="B13775" s="3" t="s">
        <v>13124</v>
      </c>
      <c r="C13775" s="3" t="str">
        <f>IFERROR(__xludf.DUMMYFUNCTION("GOOGLETRANSLATE(B13775,""id"",""en"")"),"['Belik', 'Data', 'The Network', 'Error', '']")</f>
        <v>['Belik', 'Data', 'The Network', 'Error', '']</v>
      </c>
      <c r="D13775" s="3">
        <v>1.0</v>
      </c>
    </row>
    <row r="13776" ht="15.75" customHeight="1">
      <c r="A13776" s="1">
        <v>14659.0</v>
      </c>
      <c r="B13776" s="3" t="s">
        <v>13125</v>
      </c>
      <c r="C13776" s="3" t="str">
        <f>IFERROR(__xludf.DUMMYFUNCTION("GOOGLETRANSLATE(B13776,""id"",""en"")"),"['Telkomsel', 'Appacasiny', 'Difficult', 'Open', 'Restrart', 'Repeated', 'APK', 'already', 'Install', 'Install', 'Return', ' checked ',' balance ',' quota ',' credit ',' bill ',' use ',' use ',' card ',' postpaid ',' mdah ',' function ', ""]")</f>
        <v>['Telkomsel', 'Appacasiny', 'Difficult', 'Open', 'Restrart', 'Repeated', 'APK', 'already', 'Install', 'Install', 'Return', ' checked ',' balance ',' quota ',' credit ',' bill ',' use ',' use ',' card ',' postpaid ',' mdah ',' function ', "]</v>
      </c>
      <c r="D13776" s="3">
        <v>1.0</v>
      </c>
    </row>
    <row r="13777" ht="15.75" customHeight="1">
      <c r="A13777" s="1">
        <v>14660.0</v>
      </c>
      <c r="B13777" s="3" t="s">
        <v>13126</v>
      </c>
      <c r="C13777" s="3" t="str">
        <f>IFERROR(__xludf.DUMMYFUNCTION("GOOGLETRANSLATE(B13777,""id"",""en"")"),"['Telkomsel', 'Win', 'Name', 'Win', 'Expensive', 'Doang', 'Signal', 'Bad', 'It's Good', 'Improvement', 'Disright', 'user', ' please ',' dibukknn ',' dipstbaii ',' net ']")</f>
        <v>['Telkomsel', 'Win', 'Name', 'Win', 'Expensive', 'Doang', 'Signal', 'Bad', 'It's Good', 'Improvement', 'Disright', 'user', ' please ',' dibukknn ',' dipstbaii ',' net ']</v>
      </c>
      <c r="D13777" s="3">
        <v>4.0</v>
      </c>
    </row>
    <row r="13778" ht="15.75" customHeight="1">
      <c r="A13778" s="1">
        <v>14661.0</v>
      </c>
      <c r="B13778" s="3" t="s">
        <v>13127</v>
      </c>
      <c r="C13778" s="3" t="str">
        <f>IFERROR(__xludf.DUMMYFUNCTION("GOOGLETRANSLATE(B13778,""id"",""en"")"),"['Disappointed', 'really', 'signal', 'Please', 'Increase', 'Bad']")</f>
        <v>['Disappointed', 'really', 'signal', 'Please', 'Increase', 'Bad']</v>
      </c>
      <c r="D13778" s="3">
        <v>1.0</v>
      </c>
    </row>
    <row r="13779" ht="15.75" customHeight="1">
      <c r="A13779" s="1">
        <v>14662.0</v>
      </c>
      <c r="B13779" s="3" t="s">
        <v>13128</v>
      </c>
      <c r="C13779" s="3" t="str">
        <f>IFERROR(__xludf.DUMMYFUNCTION("GOOGLETRANSLATE(B13779,""id"",""en"")"),"['discount', '']")</f>
        <v>['discount', '']</v>
      </c>
      <c r="D13779" s="3">
        <v>5.0</v>
      </c>
    </row>
    <row r="13780" ht="15.75" customHeight="1">
      <c r="A13780" s="1">
        <v>14663.0</v>
      </c>
      <c r="B13780" s="3" t="s">
        <v>1536</v>
      </c>
      <c r="C13780" s="3" t="str">
        <f>IFERROR(__xludf.DUMMYFUNCTION("GOOGLETRANSLATE(B13780,""id"",""en"")"),"['application', 'it's easy']")</f>
        <v>['application', 'it's easy']</v>
      </c>
      <c r="D13780" s="3">
        <v>5.0</v>
      </c>
    </row>
    <row r="13781" ht="15.75" customHeight="1">
      <c r="A13781" s="1">
        <v>14664.0</v>
      </c>
      <c r="B13781" s="3" t="s">
        <v>13129</v>
      </c>
      <c r="C13781" s="3" t="str">
        <f>IFERROR(__xludf.DUMMYFUNCTION("GOOGLETRANSLATE(B13781,""id"",""en"")"),"['package', 'internet', 'expensive', 'signal', 'disappointing', 'stay', 'jakarta']")</f>
        <v>['package', 'internet', 'expensive', 'signal', 'disappointing', 'stay', 'jakarta']</v>
      </c>
      <c r="D13781" s="3">
        <v>1.0</v>
      </c>
    </row>
    <row r="13782" ht="15.75" customHeight="1">
      <c r="A13782" s="1">
        <v>14665.0</v>
      </c>
      <c r="B13782" s="3" t="s">
        <v>13130</v>
      </c>
      <c r="C13782" s="3" t="str">
        <f>IFERROR(__xludf.DUMMYFUNCTION("GOOGLETRANSLATE(B13782,""id"",""en"")"),"['Telkomsel', 'open', 'smooth', 'smooth']")</f>
        <v>['Telkomsel', 'open', 'smooth', 'smooth']</v>
      </c>
      <c r="D13782" s="3">
        <v>4.0</v>
      </c>
    </row>
    <row r="13783" ht="15.75" customHeight="1">
      <c r="A13783" s="1">
        <v>14666.0</v>
      </c>
      <c r="B13783" s="3" t="s">
        <v>13131</v>
      </c>
      <c r="C13783" s="3" t="str">
        <f>IFERROR(__xludf.DUMMYFUNCTION("GOOGLETRANSLATE(B13783,""id"",""en"")"),"['Love', 'star', 'screen', 'white', 'service', 'tlg', 'fix', 'as soon as']")</f>
        <v>['Love', 'star', 'screen', 'white', 'service', 'tlg', 'fix', 'as soon as']</v>
      </c>
      <c r="D13783" s="3">
        <v>1.0</v>
      </c>
    </row>
    <row r="13784" ht="15.75" customHeight="1">
      <c r="A13784" s="1">
        <v>14667.0</v>
      </c>
      <c r="B13784" s="3" t="s">
        <v>13132</v>
      </c>
      <c r="C13784" s="3" t="str">
        <f>IFERROR(__xludf.DUMMYFUNCTION("GOOGLETRANSLATE(B13784,""id"",""en"")"),"['enter', 'screen', 'white', 'doang', 'appear']")</f>
        <v>['enter', 'screen', 'white', 'doang', 'appear']</v>
      </c>
      <c r="D13784" s="3">
        <v>2.0</v>
      </c>
    </row>
    <row r="13785" ht="15.75" customHeight="1">
      <c r="A13785" s="1">
        <v>14668.0</v>
      </c>
      <c r="B13785" s="3" t="s">
        <v>13133</v>
      </c>
      <c r="C13785" s="3" t="str">
        <f>IFERROR(__xludf.DUMMYFUNCTION("GOOGLETRANSLATE(B13785,""id"",""en"")"),"['Help', 'APK', 'Collapin', 'Price', 'Min', ""]")</f>
        <v>['Help', 'APK', 'Collapin', 'Price', 'Min', "]</v>
      </c>
      <c r="D13785" s="3">
        <v>4.0</v>
      </c>
    </row>
    <row r="13786" ht="15.75" customHeight="1">
      <c r="A13786" s="1">
        <v>14669.0</v>
      </c>
      <c r="B13786" s="3" t="s">
        <v>13134</v>
      </c>
      <c r="C13786" s="3" t="str">
        <f>IFERROR(__xludf.DUMMYFUNCTION("GOOGLETRANSLATE(B13786,""id"",""en"")"),"['Mantab', 'it looks']")</f>
        <v>['Mantab', 'it looks']</v>
      </c>
      <c r="D13786" s="3">
        <v>5.0</v>
      </c>
    </row>
    <row r="13787" ht="15.75" customHeight="1">
      <c r="A13787" s="1">
        <v>14670.0</v>
      </c>
      <c r="B13787" s="3" t="s">
        <v>13135</v>
      </c>
      <c r="C13787" s="3" t="str">
        <f>IFERROR(__xludf.DUMMYFUNCTION("GOOGLETRANSLATE(B13787,""id"",""en"")"),"['Network', 'slow', 'really']")</f>
        <v>['Network', 'slow', 'really']</v>
      </c>
      <c r="D13787" s="3">
        <v>1.0</v>
      </c>
    </row>
    <row r="13788" ht="15.75" customHeight="1">
      <c r="A13788" s="1">
        <v>14671.0</v>
      </c>
      <c r="B13788" s="3" t="s">
        <v>13136</v>
      </c>
      <c r="C13788" s="3" t="str">
        <f>IFERROR(__xludf.DUMMYFUNCTION("GOOGLETRANSLATE(B13788,""id"",""en"")"),"['Disappointed', 'really', 'version', 'open']")</f>
        <v>['Disappointed', 'really', 'version', 'open']</v>
      </c>
      <c r="D13788" s="3">
        <v>5.0</v>
      </c>
    </row>
    <row r="13789" ht="15.75" customHeight="1">
      <c r="A13789" s="1">
        <v>14672.0</v>
      </c>
      <c r="B13789" s="3" t="s">
        <v>13137</v>
      </c>
      <c r="C13789" s="3" t="str">
        <f>IFERROR(__xludf.DUMMYFUNCTION("GOOGLETRANSLATE(B13789,""id"",""en"")"),"['Disappointed', 'charging', 'times', 'swallow', 'pulses', 'confirmed', 'gada', 'response', 'disappointed']")</f>
        <v>['Disappointed', 'charging', 'times', 'swallow', 'pulses', 'confirmed', 'gada', 'response', 'disappointed']</v>
      </c>
      <c r="D13789" s="3">
        <v>1.0</v>
      </c>
    </row>
    <row r="13790" ht="15.75" customHeight="1">
      <c r="A13790" s="1">
        <v>14673.0</v>
      </c>
      <c r="B13790" s="3" t="s">
        <v>13138</v>
      </c>
      <c r="C13790" s="3" t="str">
        <f>IFERROR(__xludf.DUMMYFUNCTION("GOOGLETRANSLATE(B13790,""id"",""en"")"),"['Rada', 'Mahala']")</f>
        <v>['Rada', 'Mahala']</v>
      </c>
      <c r="D13790" s="3">
        <v>5.0</v>
      </c>
    </row>
    <row r="13791" ht="15.75" customHeight="1">
      <c r="A13791" s="1">
        <v>14674.0</v>
      </c>
      <c r="B13791" s="3" t="s">
        <v>13139</v>
      </c>
      <c r="C13791" s="3" t="str">
        <f>IFERROR(__xludf.DUMMYFUNCTION("GOOGLETRANSLATE(B13791,""id"",""en"")"),"['already', 'downlod', 'time', 'application', 'Telkom', 'Tetep', 'opened', 'Please', 'repaired', 'application']")</f>
        <v>['already', 'downlod', 'time', 'application', 'Telkom', 'Tetep', 'opened', 'Please', 'repaired', 'application']</v>
      </c>
      <c r="D13791" s="3">
        <v>1.0</v>
      </c>
    </row>
    <row r="13792" ht="15.75" customHeight="1">
      <c r="A13792" s="1">
        <v>14675.0</v>
      </c>
      <c r="B13792" s="3" t="s">
        <v>13140</v>
      </c>
      <c r="C13792" s="3" t="str">
        <f>IFERROR(__xludf.DUMMYFUNCTION("GOOGLETRANSLATE(B13792,""id"",""en"")"),"['upgraded', 'white', 'screen', 'already', 'week', 'opened', 'skali', '']")</f>
        <v>['upgraded', 'white', 'screen', 'already', 'week', 'opened', 'skali', '']</v>
      </c>
      <c r="D13792" s="3">
        <v>1.0</v>
      </c>
    </row>
    <row r="13793" ht="15.75" customHeight="1">
      <c r="A13793" s="1">
        <v>14676.0</v>
      </c>
      <c r="B13793" s="3" t="s">
        <v>13141</v>
      </c>
      <c r="C13793" s="3" t="str">
        <f>IFERROR(__xludf.DUMMYFUNCTION("GOOGLETRANSLATE(B13793,""id"",""en"")"),"['hope', 'lbh']")</f>
        <v>['hope', 'lbh']</v>
      </c>
      <c r="D13793" s="3">
        <v>5.0</v>
      </c>
    </row>
    <row r="13794" ht="15.75" customHeight="1">
      <c r="A13794" s="1">
        <v>14677.0</v>
      </c>
      <c r="B13794" s="3" t="s">
        <v>13142</v>
      </c>
      <c r="C13794" s="3" t="str">
        <f>IFERROR(__xludf.DUMMYFUNCTION("GOOGLETRANSLATE(B13794,""id"",""en"")"),"['surprised', 'sayahhh', 'signal', 'catly', 'fast', 'bngt', 'real', 'open', 'shopee', 'bngt', 'kek', 'kek', ' Benerin ',' DLU ',' Dehh ',' Disappointed ',' Eliminate ',' Change ',' Tuhhh ',' Open ',' Application ',' Shopee ', ""]")</f>
        <v>['surprised', 'sayahhh', 'signal', 'catly', 'fast', 'bngt', 'real', 'open', 'shopee', 'bngt', 'kek', 'kek', ' Benerin ',' DLU ',' Dehh ',' Disappointed ',' Eliminate ',' Change ',' Tuhhh ',' Open ',' Application ',' Shopee ', "]</v>
      </c>
      <c r="D13794" s="3">
        <v>4.0</v>
      </c>
    </row>
    <row r="13795" ht="15.75" customHeight="1">
      <c r="A13795" s="1">
        <v>14678.0</v>
      </c>
      <c r="B13795" s="3" t="s">
        <v>13143</v>
      </c>
      <c r="C13795" s="3" t="str">
        <f>IFERROR(__xludf.DUMMYFUNCTION("GOOGLETRANSLATE(B13795,""id"",""en"")"),"['users', 'Telkomsel', 'since' Since ',' Middle ',' work ',' times ',' Sya ',' Emotion ',' Karna ',' connection ',' Jaringnaya ',' already ',' TPI ',' Jaraannya ',' slow ',' experience ',' TPI ',' People ',' complain ',' Change ',' oprator ',' so thick ',"&amp;"' colon ',' connection ',' Jaringnaya ' , 'please', 'fix', 'connection']")</f>
        <v>['users', 'Telkomsel', 'since' Since ',' Middle ',' work ',' times ',' Sya ',' Emotion ',' Karna ',' connection ',' Jaringnaya ',' already ',' TPI ',' Jaraannya ',' slow ',' experience ',' TPI ',' People ',' complain ',' Change ',' oprator ',' so thick ',' colon ',' connection ',' Jaringnaya ' , 'please', 'fix', 'connection']</v>
      </c>
      <c r="D13795" s="3">
        <v>3.0</v>
      </c>
    </row>
    <row r="13796" ht="15.75" customHeight="1">
      <c r="A13796" s="1">
        <v>14679.0</v>
      </c>
      <c r="B13796" s="3" t="s">
        <v>13144</v>
      </c>
      <c r="C13796" s="3" t="str">
        <f>IFERROR(__xludf.DUMMYFUNCTION("GOOGLETRANSLATE(B13796,""id"",""en"")"),"['Disappointed', 'Karna', 'Haraga', 'Ngtok', 'Jing']")</f>
        <v>['Disappointed', 'Karna', 'Haraga', 'Ngtok', 'Jing']</v>
      </c>
      <c r="D13796" s="3">
        <v>1.0</v>
      </c>
    </row>
    <row r="13797" ht="15.75" customHeight="1">
      <c r="A13797" s="1">
        <v>14680.0</v>
      </c>
      <c r="B13797" s="3" t="s">
        <v>13145</v>
      </c>
      <c r="C13797" s="3" t="str">
        <f>IFERROR(__xludf.DUMMYFUNCTION("GOOGLETRANSLATE(B13797,""id"",""en"")"),"['Telkomsel', 'signal', 'ngellag', 'mulu', 'signal', 'good', 'right', 'nge', 'game', 'ngelag', 'mulu', 'telkom', ' Road ']")</f>
        <v>['Telkomsel', 'signal', 'ngellag', 'mulu', 'signal', 'good', 'right', 'nge', 'game', 'ngelag', 'mulu', 'telkom', ' Road ']</v>
      </c>
      <c r="D13797" s="3">
        <v>1.0</v>
      </c>
    </row>
    <row r="13798" ht="15.75" customHeight="1">
      <c r="A13798" s="1">
        <v>14681.0</v>
      </c>
      <c r="B13798" s="3" t="s">
        <v>13146</v>
      </c>
      <c r="C13798" s="3" t="str">
        <f>IFERROR(__xludf.DUMMYFUNCTION("GOOGLETRANSLATE(B13798,""id"",""en"")"),"['update', 'opened', 'weird', 'bangeettt']")</f>
        <v>['update', 'opened', 'weird', 'bangeettt']</v>
      </c>
      <c r="D13798" s="3">
        <v>1.0</v>
      </c>
    </row>
    <row r="13799" ht="15.75" customHeight="1">
      <c r="A13799" s="1">
        <v>14682.0</v>
      </c>
      <c r="B13799" s="3" t="s">
        <v>13147</v>
      </c>
      <c r="C13799" s="3" t="str">
        <f>IFERROR(__xludf.DUMMYFUNCTION("GOOGLETRANSLATE(B13799,""id"",""en"")"),"['Steady', 'discon', '']")</f>
        <v>['Steady', 'discon', '']</v>
      </c>
      <c r="D13799" s="3">
        <v>5.0</v>
      </c>
    </row>
    <row r="13800" ht="15.75" customHeight="1">
      <c r="A13800" s="1">
        <v>14683.0</v>
      </c>
      <c r="B13800" s="3" t="s">
        <v>13148</v>
      </c>
      <c r="C13800" s="3" t="str">
        <f>IFERROR(__xludf.DUMMYFUNCTION("GOOGLETRANSLATE(B13800,""id"",""en"")"),"['Sister', 'Download', 'Telkomsel']")</f>
        <v>['Sister', 'Download', 'Telkomsel']</v>
      </c>
      <c r="D13800" s="3">
        <v>1.0</v>
      </c>
    </row>
    <row r="13801" ht="15.75" customHeight="1">
      <c r="A13801" s="1">
        <v>14684.0</v>
      </c>
      <c r="B13801" s="3" t="s">
        <v>13149</v>
      </c>
      <c r="C13801" s="3" t="str">
        <f>IFERROR(__xludf.DUMMYFUNCTION("GOOGLETRANSLATE(B13801,""id"",""en"")"),"['Telekkkk', 'ugly', 'expensive', '']")</f>
        <v>['Telekkkk', 'ugly', 'expensive', '']</v>
      </c>
      <c r="D13801" s="3">
        <v>1.0</v>
      </c>
    </row>
    <row r="13802" ht="15.75" customHeight="1">
      <c r="A13802" s="1">
        <v>14685.0</v>
      </c>
      <c r="B13802" s="3" t="s">
        <v>13150</v>
      </c>
      <c r="C13802" s="3" t="str">
        <f>IFERROR(__xludf.DUMMYFUNCTION("GOOGLETRANSLATE(B13802,""id"",""en"")"),"['', 'app', 'no', 'bukabaaaaaa', 'screen', 'white', 'doankkkk', '']")</f>
        <v>['', 'app', 'no', 'bukabaaaaaa', 'screen', 'white', 'doankkkk', '']</v>
      </c>
      <c r="D13802" s="3">
        <v>1.0</v>
      </c>
    </row>
    <row r="13803" ht="15.75" customHeight="1">
      <c r="A13803" s="1">
        <v>14686.0</v>
      </c>
      <c r="B13803" s="3" t="s">
        <v>13151</v>
      </c>
      <c r="C13803" s="3" t="str">
        <f>IFERROR(__xludf.DUMMYFUNCTION("GOOGLETRANSLATE(B13803,""id"",""en"")"),"['hopefully it is blessed', '']")</f>
        <v>['hopefully it is blessed', '']</v>
      </c>
      <c r="D13803" s="3">
        <v>4.0</v>
      </c>
    </row>
    <row r="13804" ht="15.75" customHeight="1">
      <c r="A13804" s="1">
        <v>14687.0</v>
      </c>
      <c r="B13804" s="3" t="s">
        <v>11054</v>
      </c>
      <c r="C13804" s="3" t="str">
        <f>IFERROR(__xludf.DUMMYFUNCTION("GOOGLETRANSLATE(B13804,""id"",""en"")"),"['satisfying', 'Telkomsel']")</f>
        <v>['satisfying', 'Telkomsel']</v>
      </c>
      <c r="D13804" s="3">
        <v>5.0</v>
      </c>
    </row>
    <row r="13805" ht="15.75" customHeight="1">
      <c r="A13805" s="1">
        <v>14688.0</v>
      </c>
      <c r="B13805" s="3" t="s">
        <v>13152</v>
      </c>
      <c r="C13805" s="3" t="str">
        <f>IFERROR(__xludf.DUMMYFUNCTION("GOOGLETRANSLATE(B13805,""id"",""en"")"),"['Nggk', 'open', 'White', 'Screen']")</f>
        <v>['Nggk', 'open', 'White', 'Screen']</v>
      </c>
      <c r="D13805" s="3">
        <v>1.0</v>
      </c>
    </row>
    <row r="13806" ht="15.75" customHeight="1">
      <c r="A13806" s="1">
        <v>14689.0</v>
      </c>
      <c r="B13806" s="3" t="s">
        <v>13153</v>
      </c>
      <c r="C13806" s="3" t="str">
        <f>IFERROR(__xludf.DUMMYFUNCTION("GOOGLETRANSLATE(B13806,""id"",""en"")"),"['Paketan', 'cheap', 'price', '']")</f>
        <v>['Paketan', 'cheap', 'price', '']</v>
      </c>
      <c r="D13806" s="3">
        <v>1.0</v>
      </c>
    </row>
    <row r="13807" ht="15.75" customHeight="1">
      <c r="A13807" s="1">
        <v>14690.0</v>
      </c>
      <c r="B13807" s="3" t="s">
        <v>13154</v>
      </c>
      <c r="C13807" s="3" t="str">
        <f>IFERROR(__xludf.DUMMYFUNCTION("GOOGLETRANSLATE(B13807,""id"",""en"")"),"['fast', 'accurate', 'dlm', 'information']")</f>
        <v>['fast', 'accurate', 'dlm', 'information']</v>
      </c>
      <c r="D13807" s="3">
        <v>5.0</v>
      </c>
    </row>
    <row r="13808" ht="15.75" customHeight="1">
      <c r="A13808" s="1">
        <v>14691.0</v>
      </c>
      <c r="B13808" s="3" t="s">
        <v>13155</v>
      </c>
      <c r="C13808" s="3" t="str">
        <f>IFERROR(__xludf.DUMMYFUNCTION("GOOGLETRANSLATE(B13808,""id"",""en"")"),"['Signal', 'Telkomsel', 'Main', 'Game']")</f>
        <v>['Signal', 'Telkomsel', 'Main', 'Game']</v>
      </c>
      <c r="D13808" s="3">
        <v>5.0</v>
      </c>
    </row>
    <row r="13809" ht="15.75" customHeight="1">
      <c r="A13809" s="1">
        <v>14692.0</v>
      </c>
      <c r="B13809" s="3" t="s">
        <v>13156</v>
      </c>
      <c r="C13809" s="3" t="str">
        <f>IFERROR(__xludf.DUMMYFUNCTION("GOOGLETRANSLATE(B13809,""id"",""en"")"),"['Disappointed', 'Operator', 'Telkomsel', 'Fill', 'Credit', 'Sucked', 'Reasons',' Check ',' History ',' Notification ',' Reasons', 'Credit', ' Sucked ',' times', 'contents',' reset ',' sucked ',' Please ',' accountability ',' as soon as possible ',' opera"&amp;"tor ',' Telkomsel ', ""]")</f>
        <v>['Disappointed', 'Operator', 'Telkomsel', 'Fill', 'Credit', 'Sucked', 'Reasons',' Check ',' History ',' Notification ',' Reasons', 'Credit', ' Sucked ',' times', 'contents',' reset ',' sucked ',' Please ',' accountability ',' as soon as possible ',' operator ',' Telkomsel ', "]</v>
      </c>
      <c r="D13809" s="3">
        <v>1.0</v>
      </c>
    </row>
    <row r="13810" ht="15.75" customHeight="1">
      <c r="A13810" s="1">
        <v>14693.0</v>
      </c>
      <c r="B13810" s="3" t="s">
        <v>13157</v>
      </c>
      <c r="C13810" s="3" t="str">
        <f>IFERROR(__xludf.DUMMYFUNCTION("GOOGLETRANSLATE(B13810,""id"",""en"")"),"['Help', 'Communicate']")</f>
        <v>['Help', 'Communicate']</v>
      </c>
      <c r="D13810" s="3">
        <v>5.0</v>
      </c>
    </row>
    <row r="13811" ht="15.75" customHeight="1">
      <c r="A13811" s="1">
        <v>14694.0</v>
      </c>
      <c r="B13811" s="3" t="s">
        <v>13158</v>
      </c>
      <c r="C13811" s="3" t="str">
        <f>IFERROR(__xludf.DUMMYFUNCTION("GOOGLETRANSLATE(B13811,""id"",""en"")"),"['Severe', 'Android', 'Force', 'Close', 'Upload', 'Playstore', 'Testing', 'NGG', 'Developer', 'Learning']")</f>
        <v>['Severe', 'Android', 'Force', 'Close', 'Upload', 'Playstore', 'Testing', 'NGG', 'Developer', 'Learning']</v>
      </c>
      <c r="D13811" s="3">
        <v>1.0</v>
      </c>
    </row>
    <row r="13812" ht="15.75" customHeight="1">
      <c r="A13812" s="1">
        <v>14695.0</v>
      </c>
      <c r="B13812" s="3" t="s">
        <v>13159</v>
      </c>
      <c r="C13812" s="3" t="str">
        <f>IFERROR(__xludf.DUMMYFUNCTION("GOOGLETRANSLATE(B13812,""id"",""en"")"),"['Star', 'disappointed', 'credit', 'cut', 'package', 'internet', 'grapari', 'truncated', 'buy', 'package', 'internet', 'application', ' extended ',' access', 'internet', 'network', 'data', 'card', 'SIM', 'loss',' contents', 'pulse', 'contents',' pulse ','"&amp;" extend ' , 'On', 'card', 'use', 'please', 'min', 'package', 'extended', 'direct', 'non', 'active', 'cut', 'pulse']")</f>
        <v>['Star', 'disappointed', 'credit', 'cut', 'package', 'internet', 'grapari', 'truncated', 'buy', 'package', 'internet', 'application', ' extended ',' access', 'internet', 'network', 'data', 'card', 'SIM', 'loss',' contents', 'pulse', 'contents',' pulse ',' extend ' , 'On', 'card', 'use', 'please', 'min', 'package', 'extended', 'direct', 'non', 'active', 'cut', 'pulse']</v>
      </c>
      <c r="D13812" s="3">
        <v>1.0</v>
      </c>
    </row>
    <row r="13813" ht="15.75" customHeight="1">
      <c r="A13813" s="1">
        <v>14696.0</v>
      </c>
      <c r="B13813" s="3" t="s">
        <v>13160</v>
      </c>
      <c r="C13813" s="3" t="str">
        <f>IFERROR(__xludf.DUMMYFUNCTION("GOOGLETRANSLATE(B13813,""id"",""en"")"),"['package', 'expensive', 'turn', 'rain', 'network', 'already', 'kek', 'conch', 'poison']")</f>
        <v>['package', 'expensive', 'turn', 'rain', 'network', 'already', 'kek', 'conch', 'poison']</v>
      </c>
      <c r="D13813" s="3">
        <v>1.0</v>
      </c>
    </row>
    <row r="13814" ht="15.75" customHeight="1">
      <c r="A13814" s="1">
        <v>14697.0</v>
      </c>
      <c r="B13814" s="3" t="s">
        <v>13161</v>
      </c>
      <c r="C13814" s="3" t="str">
        <f>IFERROR(__xludf.DUMMYFUNCTION("GOOGLETRANSLATE(B13814,""id"",""en"")"),"['', 'improved', 'network', 'slow', 'mlh', 'price', 'enhanced', 'mulu', 'hadech']")</f>
        <v>['', 'improved', 'network', 'slow', 'mlh', 'price', 'enhanced', 'mulu', 'hadech']</v>
      </c>
      <c r="D13814" s="3">
        <v>3.0</v>
      </c>
    </row>
    <row r="13815" ht="15.75" customHeight="1">
      <c r="A13815" s="1">
        <v>14698.0</v>
      </c>
      <c r="B13815" s="3" t="s">
        <v>13162</v>
      </c>
      <c r="C13815" s="3" t="str">
        <f>IFERROR(__xludf.DUMMYFUNCTION("GOOGLETRANSLATE(B13815,""id"",""en"")"),"['update', 'mlah', 'application', 'opened', '']")</f>
        <v>['update', 'mlah', 'application', 'opened', '']</v>
      </c>
      <c r="D13815" s="3">
        <v>5.0</v>
      </c>
    </row>
    <row r="13816" ht="15.75" customHeight="1">
      <c r="A13816" s="1">
        <v>14699.0</v>
      </c>
      <c r="B13816" s="3" t="s">
        <v>13163</v>
      </c>
      <c r="C13816" s="3" t="str">
        <f>IFERROR(__xludf.DUMMYFUNCTION("GOOGLETRANSLATE(B13816,""id"",""en"")"),"['Min', 'knpa', 'mytelkomsel', 'gabisa', 'open']")</f>
        <v>['Min', 'knpa', 'mytelkomsel', 'gabisa', 'open']</v>
      </c>
      <c r="D13816" s="3">
        <v>2.0</v>
      </c>
    </row>
    <row r="13817" ht="15.75" customHeight="1">
      <c r="A13817" s="1">
        <v>14700.0</v>
      </c>
      <c r="B13817" s="3" t="s">
        <v>13164</v>
      </c>
      <c r="C13817" s="3" t="str">
        <f>IFERROR(__xludf.DUMMYFUNCTION("GOOGLETRANSLATE(B13817,""id"",""en"")"),"['Apasih', 'updated', 'White', 'Screen', 'Mulu', 'really']")</f>
        <v>['Apasih', 'updated', 'White', 'Screen', 'Mulu', 'really']</v>
      </c>
      <c r="D13817" s="3">
        <v>1.0</v>
      </c>
    </row>
    <row r="13818" ht="15.75" customHeight="1">
      <c r="A13818" s="1">
        <v>14701.0</v>
      </c>
      <c r="B13818" s="3" t="s">
        <v>13165</v>
      </c>
      <c r="C13818" s="3" t="str">
        <f>IFERROR(__xludf.DUMMYFUNCTION("GOOGLETRANSLATE(B13818,""id"",""en"")"),"['Kekewe', 'Open', 'Application', 'MLH', 'Mah', 'White', 'Disappointed', 'Please', 'Fix']")</f>
        <v>['Kekewe', 'Open', 'Application', 'MLH', 'Mah', 'White', 'Disappointed', 'Please', 'Fix']</v>
      </c>
      <c r="D13818" s="3">
        <v>1.0</v>
      </c>
    </row>
    <row r="13819" ht="15.75" customHeight="1">
      <c r="A13819" s="1">
        <v>14702.0</v>
      </c>
      <c r="B13819" s="3" t="s">
        <v>13166</v>
      </c>
      <c r="C13819" s="3" t="str">
        <f>IFERROR(__xludf.DUMMYFUNCTION("GOOGLETRANSLATE(B13819,""id"",""en"")"),"['Ndak', 'Open', 'MyTelkomsel', 'Sailing', 'Display', 'White', 'Blank', 'Morning', 'Nidak', 'BSA', 'Buy', 'Package']")</f>
        <v>['Ndak', 'Open', 'MyTelkomsel', 'Sailing', 'Display', 'White', 'Blank', 'Morning', 'Nidak', 'BSA', 'Buy', 'Package']</v>
      </c>
      <c r="D13819" s="3">
        <v>3.0</v>
      </c>
    </row>
    <row r="13820" ht="15.75" customHeight="1">
      <c r="A13820" s="1">
        <v>14703.0</v>
      </c>
      <c r="B13820" s="3" t="s">
        <v>13167</v>
      </c>
      <c r="C13820" s="3" t="str">
        <f>IFERROR(__xludf.DUMMYFUNCTION("GOOGLETRANSLATE(B13820,""id"",""en"")"),"['Choice', 'Combo', 'Sakti', '']")</f>
        <v>['Choice', 'Combo', 'Sakti', '']</v>
      </c>
      <c r="D13820" s="3">
        <v>1.0</v>
      </c>
    </row>
    <row r="13821" ht="15.75" customHeight="1">
      <c r="A13821" s="1">
        <v>14704.0</v>
      </c>
      <c r="B13821" s="3" t="s">
        <v>13168</v>
      </c>
      <c r="C13821" s="3" t="str">
        <f>IFERROR(__xludf.DUMMYFUNCTION("GOOGLETRANSLATE(B13821,""id"",""en"")"),"['Please', 'service', 'best', 'minimal', 'service', 'fed up', ""]")</f>
        <v>['Please', 'service', 'best', 'minimal', 'service', 'fed up', "]</v>
      </c>
      <c r="D13821" s="3">
        <v>1.0</v>
      </c>
    </row>
    <row r="13822" ht="15.75" customHeight="1">
      <c r="A13822" s="1">
        <v>14706.0</v>
      </c>
      <c r="B13822" s="3" t="s">
        <v>13169</v>
      </c>
      <c r="C13822" s="3" t="str">
        <f>IFERROR(__xludf.DUMMYFUNCTION("GOOGLETRANSLATE(B13822,""id"",""en"")"),"['make', 'number', 'Telkomsel', 'Blom', 'promo', 'quota', 'friend', 'a month', 'got', ""]")</f>
        <v>['make', 'number', 'Telkomsel', 'Blom', 'promo', 'quota', 'friend', 'a month', 'got', "]</v>
      </c>
      <c r="D13822" s="3">
        <v>2.0</v>
      </c>
    </row>
    <row r="13823" ht="15.75" customHeight="1">
      <c r="A13823" s="1">
        <v>14707.0</v>
      </c>
      <c r="B13823" s="3" t="s">
        <v>13170</v>
      </c>
      <c r="C13823" s="3" t="str">
        <f>IFERROR(__xludf.DUMMYFUNCTION("GOOGLETRANSLATE(B13823,""id"",""en"")"),"['really', 'get', 'Yaris']")</f>
        <v>['really', 'get', 'Yaris']</v>
      </c>
      <c r="D13823" s="3">
        <v>5.0</v>
      </c>
    </row>
    <row r="13824" ht="15.75" customHeight="1">
      <c r="A13824" s="1">
        <v>14708.0</v>
      </c>
      <c r="B13824" s="3" t="s">
        <v>13171</v>
      </c>
      <c r="C13824" s="3" t="str">
        <f>IFERROR(__xludf.DUMMYFUNCTION("GOOGLETRANSLATE(B13824,""id"",""en"")"),"['bnyak', 'promo', 'quota', 'donk']")</f>
        <v>['bnyak', 'promo', 'quota', 'donk']</v>
      </c>
      <c r="D13824" s="3">
        <v>1.0</v>
      </c>
    </row>
    <row r="13825" ht="15.75" customHeight="1">
      <c r="A13825" s="1">
        <v>14709.0</v>
      </c>
      <c r="B13825" s="3" t="s">
        <v>13172</v>
      </c>
      <c r="C13825" s="3" t="str">
        <f>IFERROR(__xludf.DUMMYFUNCTION("GOOGLETRANSLATE(B13825,""id"",""en"")"),"['Min', 'Week', 'Klu', 'enter', 'APL', 'Telkomsel', 'right', 'click', 'APL', 'Display', 'screen', 'White', ' Min ',' ']")</f>
        <v>['Min', 'Week', 'Klu', 'enter', 'APL', 'Telkomsel', 'right', 'click', 'APL', 'Display', 'screen', 'White', ' Min ',' ']</v>
      </c>
      <c r="D13825" s="3">
        <v>5.0</v>
      </c>
    </row>
    <row r="13826" ht="15.75" customHeight="1">
      <c r="A13826" s="1">
        <v>14710.0</v>
      </c>
      <c r="B13826" s="3" t="s">
        <v>13173</v>
      </c>
      <c r="C13826" s="3" t="str">
        <f>IFERROR(__xludf.DUMMYFUNCTION("GOOGLETRANSLATE(B13826,""id"",""en"")"),"['Increase', 'Performance']")</f>
        <v>['Increase', 'Performance']</v>
      </c>
      <c r="D13826" s="3">
        <v>5.0</v>
      </c>
    </row>
    <row r="13827" ht="15.75" customHeight="1">
      <c r="A13827" s="1">
        <v>14711.0</v>
      </c>
      <c r="B13827" s="3" t="s">
        <v>13174</v>
      </c>
      <c r="C13827" s="3" t="str">
        <f>IFERROR(__xludf.DUMMYFUNCTION("GOOGLETRANSLATE(B13827,""id"",""en"")"),"['Open', 'application', 'screen', 'white', 'data', 'cellular', 'means']")</f>
        <v>['Open', 'application', 'screen', 'white', 'data', 'cellular', 'means']</v>
      </c>
      <c r="D13827" s="3">
        <v>1.0</v>
      </c>
    </row>
    <row r="13828" ht="15.75" customHeight="1">
      <c r="A13828" s="1">
        <v>14712.0</v>
      </c>
      <c r="B13828" s="3" t="s">
        <v>13175</v>
      </c>
      <c r="C13828" s="3" t="str">
        <f>IFERROR(__xludf.DUMMYFUNCTION("GOOGLETRANSLATE(B13828,""id"",""en"")"),"['forced', 'uninstall', 'application', 'love', 'star', 'alternating', 'install', 'date', 'December', 'open', 'apparel', 'eat', ' The quota ',' ']")</f>
        <v>['forced', 'uninstall', 'application', 'love', 'star', 'alternating', 'install', 'date', 'December', 'open', 'apparel', 'eat', ' The quota ',' ']</v>
      </c>
      <c r="D13828" s="3">
        <v>1.0</v>
      </c>
    </row>
    <row r="13829" ht="15.75" customHeight="1">
      <c r="A13829" s="1">
        <v>14713.0</v>
      </c>
      <c r="B13829" s="3" t="s">
        <v>13176</v>
      </c>
      <c r="C13829" s="3" t="str">
        <f>IFERROR(__xludf.DUMMYFUNCTION("GOOGLETRANSLATE(B13829,""id"",""en"")"),"['Tlonglah', 'Min', 'Increases',' Quality ',' BNYK ',' org ',' TTP ',' Love ',' Telkomsel ',' Difficult ',' Very ',' Open ',' ']")</f>
        <v>['Tlonglah', 'Min', 'Increases',' Quality ',' BNYK ',' org ',' TTP ',' Love ',' Telkomsel ',' Difficult ',' Very ',' Open ',' ']</v>
      </c>
      <c r="D13829" s="3">
        <v>2.0</v>
      </c>
    </row>
    <row r="13830" ht="15.75" customHeight="1">
      <c r="A13830" s="1">
        <v>14714.0</v>
      </c>
      <c r="B13830" s="3" t="s">
        <v>7610</v>
      </c>
      <c r="C13830" s="3" t="str">
        <f>IFERROR(__xludf.DUMMYFUNCTION("GOOGLETRANSLATE(B13830,""id"",""en"")"),"['bad signal']")</f>
        <v>['bad signal']</v>
      </c>
      <c r="D13830" s="3">
        <v>1.0</v>
      </c>
    </row>
    <row r="13831" ht="15.75" customHeight="1">
      <c r="A13831" s="1">
        <v>14715.0</v>
      </c>
      <c r="B13831" s="3" t="s">
        <v>13177</v>
      </c>
      <c r="C13831" s="3" t="str">
        <f>IFERROR(__xludf.DUMMYFUNCTION("GOOGLETRANSLATE(B13831,""id"",""en"")"),"['Package', 'expensive', 'Jir']")</f>
        <v>['Package', 'expensive', 'Jir']</v>
      </c>
      <c r="D13831" s="3">
        <v>1.0</v>
      </c>
    </row>
    <row r="13832" ht="15.75" customHeight="1">
      <c r="A13832" s="1">
        <v>14716.0</v>
      </c>
      <c r="B13832" s="3" t="s">
        <v>13178</v>
      </c>
      <c r="C13832" s="3" t="str">
        <f>IFERROR(__xludf.DUMMYFUNCTION("GOOGLETRANSLATE(B13832,""id"",""en"")"),"['application', 'Sanga', 'Help', 'network', 'oprator', 'yamg', 'Reliable', 'strong', 'compared', 'application', 'application', 'basics',' MyTelkomsel ',' thanks', 'love', 'coupon', 'point', 'promises',' winner ',' exchange ',' point ',' directly ',' has t"&amp;"he opportunity ',' gift ',' hope ' , 'winner', 'Date', 'December', '']")</f>
        <v>['application', 'Sanga', 'Help', 'network', 'oprator', 'yamg', 'Reliable', 'strong', 'compared', 'application', 'application', 'basics',' MyTelkomsel ',' thanks', 'love', 'coupon', 'point', 'promises',' winner ',' exchange ',' point ',' directly ',' has the opportunity ',' gift ',' hope ' , 'winner', 'Date', 'December', '']</v>
      </c>
      <c r="D13832" s="3">
        <v>5.0</v>
      </c>
    </row>
    <row r="13833" ht="15.75" customHeight="1">
      <c r="A13833" s="1">
        <v>14717.0</v>
      </c>
      <c r="B13833" s="3" t="s">
        <v>13179</v>
      </c>
      <c r="C13833" s="3" t="str">
        <f>IFERROR(__xludf.DUMMYFUNCTION("GOOGLETRANSLATE(B13833,""id"",""en"")"),"['update', 'doang', 'app', 'error', 'mulu', 'udh', 'mah', 'expensive', 'comfortable', 'lgi', 'buy', 'package']")</f>
        <v>['update', 'doang', 'app', 'error', 'mulu', 'udh', 'mah', 'expensive', 'comfortable', 'lgi', 'buy', 'package']</v>
      </c>
      <c r="D13833" s="3">
        <v>2.0</v>
      </c>
    </row>
    <row r="13834" ht="15.75" customHeight="1">
      <c r="A13834" s="1">
        <v>14718.0</v>
      </c>
      <c r="B13834" s="3" t="s">
        <v>13180</v>
      </c>
      <c r="C13834" s="3" t="str">
        <f>IFERROR(__xludf.DUMMYFUNCTION("GOOGLETRANSLATE(B13834,""id"",""en"")"),"['Knoa', 'application', 'screen', 'white', 'then', 'min', 'please', 'repair']")</f>
        <v>['Knoa', 'application', 'screen', 'white', 'then', 'min', 'please', 'repair']</v>
      </c>
      <c r="D13834" s="3">
        <v>3.0</v>
      </c>
    </row>
    <row r="13835" ht="15.75" customHeight="1">
      <c r="A13835" s="1">
        <v>14719.0</v>
      </c>
      <c r="B13835" s="3" t="s">
        <v>13181</v>
      </c>
      <c r="C13835" s="3" t="str">
        <f>IFERROR(__xludf.DUMMYFUNCTION("GOOGLETRANSLATE(B13835,""id"",""en"")"),"['price', 'package', 'expensive', 'network', 'kek']")</f>
        <v>['price', 'package', 'expensive', 'network', 'kek']</v>
      </c>
      <c r="D13835" s="3">
        <v>1.0</v>
      </c>
    </row>
    <row r="13836" ht="15.75" customHeight="1">
      <c r="A13836" s="1">
        <v>14720.0</v>
      </c>
      <c r="B13836" s="3" t="s">
        <v>13182</v>
      </c>
      <c r="C13836" s="3" t="str">
        <f>IFERROR(__xludf.DUMMYFUNCTION("GOOGLETRANSLATE(B13836,""id"",""en"")"),"['application', 'help', 'makes it easy', 'registration', '']")</f>
        <v>['application', 'help', 'makes it easy', 'registration', '']</v>
      </c>
      <c r="D13836" s="3">
        <v>5.0</v>
      </c>
    </row>
    <row r="13837" ht="15.75" customHeight="1">
      <c r="A13837" s="1">
        <v>14721.0</v>
      </c>
      <c r="B13837" s="3" t="s">
        <v>13183</v>
      </c>
      <c r="C13837" s="3" t="str">
        <f>IFERROR(__xludf.DUMMYFUNCTION("GOOGLETRANSLATE(B13837,""id"",""en"")"),"['Price', 'Package', 'lag', 'Mulu', 'Maen', 'Game', 'Males', 'Telkomsel', ""]")</f>
        <v>['Price', 'Package', 'lag', 'Mulu', 'Maen', 'Game', 'Males', 'Telkomsel', "]</v>
      </c>
      <c r="D13837" s="3">
        <v>1.0</v>
      </c>
    </row>
    <row r="13838" ht="15.75" customHeight="1">
      <c r="A13838" s="1">
        <v>14722.0</v>
      </c>
      <c r="B13838" s="3" t="s">
        <v>13184</v>
      </c>
      <c r="C13838" s="3" t="str">
        <f>IFERROR(__xludf.DUMMYFUNCTION("GOOGLETRANSLATE(B13838,""id"",""en"")"),"['Satisfied', 'Bers', 'Agai', 'Function', '']")</f>
        <v>['Satisfied', 'Bers', 'Agai', 'Function', '']</v>
      </c>
      <c r="D13838" s="3">
        <v>5.0</v>
      </c>
    </row>
    <row r="13839" ht="15.75" customHeight="1">
      <c r="A13839" s="1">
        <v>14723.0</v>
      </c>
      <c r="B13839" s="3" t="s">
        <v>13185</v>
      </c>
      <c r="C13839" s="3" t="str">
        <f>IFERROR(__xludf.DUMMYFUNCTION("GOOGLETRANSLATE(B13839,""id"",""en"")"),"['Lucky', 'prize', 'that way', 'star', 'wkwkwkwk']")</f>
        <v>['Lucky', 'prize', 'that way', 'star', 'wkwkwkwk']</v>
      </c>
      <c r="D13839" s="3">
        <v>3.0</v>
      </c>
    </row>
    <row r="13840" ht="15.75" customHeight="1">
      <c r="A13840" s="1">
        <v>14724.0</v>
      </c>
      <c r="B13840" s="3" t="s">
        <v>13186</v>
      </c>
      <c r="C13840" s="3" t="str">
        <f>IFERROR(__xludf.DUMMYFUNCTION("GOOGLETRANSLATE(B13840,""id"",""en"")"),"['Date', 'DES', 'MASUL', 'Application', 'Telcomcel', 'Napa', 'Ampe', 'Reset', 'Dounload', 'Ampe', 'brapa', 'times',' reset ',' Blom ',' Napa ',' Try ']")</f>
        <v>['Date', 'DES', 'MASUL', 'Application', 'Telcomcel', 'Napa', 'Ampe', 'Reset', 'Dounload', 'Ampe', 'brapa', 'times',' reset ',' Blom ',' Napa ',' Try ']</v>
      </c>
      <c r="D13840" s="3">
        <v>4.0</v>
      </c>
    </row>
    <row r="13841" ht="15.75" customHeight="1">
      <c r="A13841" s="1">
        <v>14725.0</v>
      </c>
      <c r="B13841" s="3" t="s">
        <v>13187</v>
      </c>
      <c r="C13841" s="3" t="str">
        <f>IFERROR(__xludf.DUMMYFUNCTION("GOOGLETRANSLATE(B13841,""id"",""en"")"),"['Good', 'help', 'sometimes', 'login', 'comfortable', '']")</f>
        <v>['Good', 'help', 'sometimes', 'login', 'comfortable', '']</v>
      </c>
      <c r="D13841" s="3">
        <v>5.0</v>
      </c>
    </row>
    <row r="13842" ht="15.75" customHeight="1">
      <c r="A13842" s="1">
        <v>14726.0</v>
      </c>
      <c r="B13842" s="3" t="s">
        <v>7610</v>
      </c>
      <c r="C13842" s="3" t="str">
        <f>IFERROR(__xludf.DUMMYFUNCTION("GOOGLETRANSLATE(B13842,""id"",""en"")"),"['bad signal']")</f>
        <v>['bad signal']</v>
      </c>
      <c r="D13842" s="3">
        <v>1.0</v>
      </c>
    </row>
    <row r="13843" ht="15.75" customHeight="1">
      <c r="A13843" s="1">
        <v>14727.0</v>
      </c>
      <c r="B13843" s="3" t="s">
        <v>13188</v>
      </c>
      <c r="C13843" s="3" t="str">
        <f>IFERROR(__xludf.DUMMYFUNCTION("GOOGLETRANSLATE(B13843,""id"",""en"")"),"['Price', 'expensive', 'getting', 'wind', 'little', 'signal', 'ilang', 'clown', '']")</f>
        <v>['Price', 'expensive', 'getting', 'wind', 'little', 'signal', 'ilang', 'clown', '']</v>
      </c>
      <c r="D13843" s="3">
        <v>1.0</v>
      </c>
    </row>
    <row r="13844" ht="15.75" customHeight="1">
      <c r="A13844" s="1">
        <v>14728.0</v>
      </c>
      <c r="B13844" s="3" t="s">
        <v>13189</v>
      </c>
      <c r="C13844" s="3" t="str">
        <f>IFERROR(__xludf.DUMMYFUNCTION("GOOGLETRANSLATE(B13844,""id"",""en"")"),"['Network', 'break up', 'ilang']")</f>
        <v>['Network', 'break up', 'ilang']</v>
      </c>
      <c r="D13844" s="3">
        <v>1.0</v>
      </c>
    </row>
    <row r="13845" ht="15.75" customHeight="1">
      <c r="A13845" s="1">
        <v>14729.0</v>
      </c>
      <c r="B13845" s="3" t="s">
        <v>13190</v>
      </c>
      <c r="C13845" s="3" t="str">
        <f>IFERROR(__xludf.DUMMYFUNCTION("GOOGLETRANSLATE(B13845,""id"",""en"")"),"['love', 'star', 'village', 'network', 'internet', 'good']")</f>
        <v>['love', 'star', 'village', 'network', 'internet', 'good']</v>
      </c>
      <c r="D13845" s="3">
        <v>3.0</v>
      </c>
    </row>
    <row r="13846" ht="15.75" customHeight="1">
      <c r="A13846" s="1">
        <v>14730.0</v>
      </c>
      <c r="B13846" s="3" t="s">
        <v>13191</v>
      </c>
      <c r="C13846" s="3" t="str">
        <f>IFERROR(__xludf.DUMMYFUNCTION("GOOGLETRANSLATE(B13846,""id"",""en"")"),"['expensive', 'results', 'Bener', 'Severe', 'Ancuur', '']")</f>
        <v>['expensive', 'results', 'Bener', 'Severe', 'Ancuur', '']</v>
      </c>
      <c r="D13846" s="3">
        <v>1.0</v>
      </c>
    </row>
    <row r="13847" ht="15.75" customHeight="1">
      <c r="A13847" s="1">
        <v>14731.0</v>
      </c>
      <c r="B13847" s="3" t="s">
        <v>13192</v>
      </c>
      <c r="C13847" s="3" t="str">
        <f>IFERROR(__xludf.DUMMYFUNCTION("GOOGLETRANSLATE(B13847,""id"",""en"")"),"['Open', 'App', 'Telkomsel', 'Screen', 'Putiiih', ""]")</f>
        <v>['Open', 'App', 'Telkomsel', 'Screen', 'Putiiih', "]</v>
      </c>
      <c r="D13847" s="3">
        <v>1.0</v>
      </c>
    </row>
    <row r="13848" ht="15.75" customHeight="1">
      <c r="A13848" s="1">
        <v>14732.0</v>
      </c>
      <c r="B13848" s="3" t="s">
        <v>13193</v>
      </c>
      <c r="C13848" s="3" t="str">
        <f>IFERROR(__xludf.DUMMYFUNCTION("GOOGLETRANSLATE(B13848,""id"",""en"")"),"['Help', 'easy', 'purchase', 'package']")</f>
        <v>['Help', 'easy', 'purchase', 'package']</v>
      </c>
      <c r="D13848" s="3">
        <v>5.0</v>
      </c>
    </row>
    <row r="13849" ht="15.75" customHeight="1">
      <c r="A13849" s="1">
        <v>14733.0</v>
      </c>
      <c r="B13849" s="3" t="s">
        <v>13194</v>
      </c>
      <c r="C13849" s="3" t="str">
        <f>IFERROR(__xludf.DUMMYFUNCTION("GOOGLETRANSLATE(B13849,""id"",""en"")"),"['Telkomsel', 'ugly', 'signal', 'difficult', 'signal', '']")</f>
        <v>['Telkomsel', 'ugly', 'signal', 'difficult', 'signal', '']</v>
      </c>
      <c r="D13849" s="3">
        <v>1.0</v>
      </c>
    </row>
    <row r="13850" ht="15.75" customHeight="1">
      <c r="A13850" s="1">
        <v>14734.0</v>
      </c>
      <c r="B13850" s="3" t="s">
        <v>13195</v>
      </c>
      <c r="C13850" s="3" t="str">
        <f>IFERROR(__xludf.DUMMYFUNCTION("GOOGLETRANSLATE(B13850,""id"",""en"")"),"['', 'Price', 'Sakti', 'Different', 'Package', 'Hmm', 'bgmn', 'odd', 'pay', 'thx']")</f>
        <v>['', 'Price', 'Sakti', 'Different', 'Package', 'Hmm', 'bgmn', 'odd', 'pay', 'thx']</v>
      </c>
      <c r="D13850" s="3">
        <v>5.0</v>
      </c>
    </row>
    <row r="13851" ht="15.75" customHeight="1">
      <c r="A13851" s="1">
        <v>14735.0</v>
      </c>
      <c r="B13851" s="3" t="s">
        <v>13196</v>
      </c>
      <c r="C13851" s="3" t="str">
        <f>IFERROR(__xludf.DUMMYFUNCTION("GOOGLETRANSLATE(B13851,""id"",""en"")"),"['GMN', 'Enter', 'Help', 'Telkomsel', 'Screen', 'White', 'Min', 'Ngadu', 'Update', 'Whitehhhh', 'Gunain', 'Telkomsel', ' Please, 'repairs', 'Restore', 'version', 'before', '']")</f>
        <v>['GMN', 'Enter', 'Help', 'Telkomsel', 'Screen', 'White', 'Min', 'Ngadu', 'Update', 'Whitehhhh', 'Gunain', 'Telkomsel', ' Please, 'repairs', 'Restore', 'version', 'before', '']</v>
      </c>
      <c r="D13851" s="3">
        <v>1.0</v>
      </c>
    </row>
    <row r="13852" ht="15.75" customHeight="1">
      <c r="A13852" s="1">
        <v>14736.0</v>
      </c>
      <c r="B13852" s="3" t="s">
        <v>13197</v>
      </c>
      <c r="C13852" s="3" t="str">
        <f>IFERROR(__xludf.DUMMYFUNCTION("GOOGLETRANSLATE(B13852,""id"",""en"")"),"['difficult', 'enter', 'application', 'download', 'reset', '']")</f>
        <v>['difficult', 'enter', 'application', 'download', 'reset', '']</v>
      </c>
      <c r="D13852" s="3">
        <v>5.0</v>
      </c>
    </row>
    <row r="13853" ht="15.75" customHeight="1">
      <c r="A13853" s="1">
        <v>14737.0</v>
      </c>
      <c r="B13853" s="3" t="s">
        <v>13198</v>
      </c>
      <c r="C13853" s="3" t="str">
        <f>IFERROR(__xludf.DUMMYFUNCTION("GOOGLETRANSLATE(B13853,""id"",""en"")"),"['Cherangan', 'cheap', ""]")</f>
        <v>['Cherangan', 'cheap', "]</v>
      </c>
      <c r="D13853" s="3">
        <v>5.0</v>
      </c>
    </row>
    <row r="13854" ht="15.75" customHeight="1">
      <c r="A13854" s="1">
        <v>14738.0</v>
      </c>
      <c r="B13854" s="3" t="s">
        <v>13199</v>
      </c>
      <c r="C13854" s="3" t="str">
        <f>IFERROR(__xludf.DUMMYFUNCTION("GOOGLETRANSLATE(B13854,""id"",""en"")"),"['transaction', 'pulse', 'easy']")</f>
        <v>['transaction', 'pulse', 'easy']</v>
      </c>
      <c r="D13854" s="3">
        <v>5.0</v>
      </c>
    </row>
    <row r="13855" ht="15.75" customHeight="1">
      <c r="A13855" s="1">
        <v>14739.0</v>
      </c>
      <c r="B13855" s="3" t="s">
        <v>13200</v>
      </c>
      <c r="C13855" s="3" t="str">
        <f>IFERROR(__xludf.DUMMYFUNCTION("GOOGLETRANSLATE(B13855,""id"",""en"")"),"['MyTelkomsel', 'SNGT', 'Mobile', 'Login', 'Etc.', 'BGTU', 'Easy', 'MyT', 'TKS', '']")</f>
        <v>['MyTelkomsel', 'SNGT', 'Mobile', 'Login', 'Etc.', 'BGTU', 'Easy', 'MyT', 'TKS', '']</v>
      </c>
      <c r="D13855" s="3">
        <v>5.0</v>
      </c>
    </row>
    <row r="13856" ht="15.75" customHeight="1">
      <c r="A13856" s="1">
        <v>14740.0</v>
      </c>
      <c r="B13856" s="3" t="s">
        <v>11503</v>
      </c>
      <c r="C13856" s="3" t="str">
        <f>IFERROR(__xludf.DUMMYFUNCTION("GOOGLETRANSLATE(B13856,""id"",""en"")"),"['Telkomsel', 'Open', '']")</f>
        <v>['Telkomsel', 'Open', '']</v>
      </c>
      <c r="D13856" s="3">
        <v>5.0</v>
      </c>
    </row>
    <row r="13857" ht="15.75" customHeight="1">
      <c r="A13857" s="1">
        <v>14741.0</v>
      </c>
      <c r="B13857" s="3" t="s">
        <v>13201</v>
      </c>
      <c r="C13857" s="3" t="str">
        <f>IFERROR(__xludf.DUMMYFUNCTION("GOOGLETRANSLATE(B13857,""id"",""en"")"),"['bodies', 'updated', 'mlh', 'broken', 'out', 'with', 'screen', '']")</f>
        <v>['bodies', 'updated', 'mlh', 'broken', 'out', 'with', 'screen', '']</v>
      </c>
      <c r="D13857" s="3">
        <v>1.0</v>
      </c>
    </row>
    <row r="13858" ht="15.75" customHeight="1">
      <c r="A13858" s="1">
        <v>14742.0</v>
      </c>
      <c r="B13858" s="3" t="s">
        <v>13202</v>
      </c>
      <c r="C13858" s="3" t="str">
        <f>IFERROR(__xludf.DUMMYFUNCTION("GOOGLETRANSLATE(B13858,""id"",""en"")"),"['', 'Install', 'version', 'Nga', 'Open', 'White', ""]")</f>
        <v>['', 'Install', 'version', 'Nga', 'Open', 'White', "]</v>
      </c>
      <c r="D13858" s="3">
        <v>3.0</v>
      </c>
    </row>
    <row r="13859" ht="15.75" customHeight="1">
      <c r="A13859" s="1">
        <v>14743.0</v>
      </c>
      <c r="B13859" s="3" t="s">
        <v>13203</v>
      </c>
      <c r="C13859" s="3" t="str">
        <f>IFERROR(__xludf.DUMMYFUNCTION("GOOGLETRANSLATE(B13859,""id"",""en"")"),"['Enter', 'Application', 'Please', 'Help', 'Sis', ""]")</f>
        <v>['Enter', 'Application', 'Please', 'Help', 'Sis', "]</v>
      </c>
      <c r="D13859" s="3">
        <v>2.0</v>
      </c>
    </row>
    <row r="13860" ht="15.75" customHeight="1">
      <c r="A13860" s="1">
        <v>14744.0</v>
      </c>
      <c r="B13860" s="3" t="s">
        <v>13204</v>
      </c>
      <c r="C13860" s="3" t="str">
        <f>IFERROR(__xludf.DUMMYFUNCTION("GOOGLETRANSLATE(B13860,""id"",""en"")"),"['Input', 'Provider', 'Telkomsel', 'Update', 'Choice', 'Package', 'Brand', 'Next to', 'Price', 'Package', 'Collapin', 'Consumer', ' like', '']")</f>
        <v>['Input', 'Provider', 'Telkomsel', 'Update', 'Choice', 'Package', 'Brand', 'Next to', 'Price', 'Package', 'Collapin', 'Consumer', ' like', '']</v>
      </c>
      <c r="D13860" s="3">
        <v>4.0</v>
      </c>
    </row>
    <row r="13861" ht="15.75" customHeight="1">
      <c r="A13861" s="1">
        <v>14746.0</v>
      </c>
      <c r="B13861" s="3" t="s">
        <v>13205</v>
      </c>
      <c r="C13861" s="3" t="str">
        <f>IFERROR(__xludf.DUMMYFUNCTION("GOOGLETRANSLATE(B13861,""id"",""en"")"),"['Disappointed', 'Updated', 'Open']")</f>
        <v>['Disappointed', 'Updated', 'Open']</v>
      </c>
      <c r="D13861" s="3">
        <v>1.0</v>
      </c>
    </row>
    <row r="13862" ht="15.75" customHeight="1">
      <c r="A13862" s="1">
        <v>14747.0</v>
      </c>
      <c r="B13862" s="3" t="s">
        <v>13206</v>
      </c>
      <c r="C13862" s="3" t="str">
        <f>IFERROR(__xludf.DUMMYFUNCTION("GOOGLETRANSLATE(B13862,""id"",""en"")"),"['Wonder', 'Notif', 'enjoy', 'internet', 'non', 'package', 'quota', 'internet', 'times',' leftover ',' pulse ',' package ',' Next ',' Nasque ', ""]")</f>
        <v>['Wonder', 'Notif', 'enjoy', 'internet', 'non', 'package', 'quota', 'internet', 'times',' leftover ',' pulse ',' package ',' Next ',' Nasque ', "]</v>
      </c>
      <c r="D13862" s="3">
        <v>2.0</v>
      </c>
    </row>
    <row r="13863" ht="15.75" customHeight="1">
      <c r="A13863" s="1">
        <v>14748.0</v>
      </c>
      <c r="B13863" s="3" t="s">
        <v>13207</v>
      </c>
      <c r="C13863" s="3" t="str">
        <f>IFERROR(__xludf.DUMMYFUNCTION("GOOGLETRANSLATE(B13863,""id"",""en"")"),"['staple', 'application', 'Telkomsel', 'satisfying', 'package', 'cheap', 'dripping', 'pouch', 'really', 'loyal', 'use', 'Telkomsel', ' ']")</f>
        <v>['staple', 'application', 'Telkomsel', 'satisfying', 'package', 'cheap', 'dripping', 'pouch', 'really', 'loyal', 'use', 'Telkomsel', ' ']</v>
      </c>
      <c r="D13863" s="3">
        <v>5.0</v>
      </c>
    </row>
    <row r="13864" ht="15.75" customHeight="1">
      <c r="A13864" s="1">
        <v>14749.0</v>
      </c>
      <c r="B13864" s="3" t="s">
        <v>13208</v>
      </c>
      <c r="C13864" s="3" t="str">
        <f>IFERROR(__xludf.DUMMYFUNCTION("GOOGLETRANSLATE(B13864,""id"",""en"")"),"['Network', 'Telkomsel', 'Ngellag', 'really', 'Macem', 'Live', 'Forest', 'Signal', 'Point', 'Minister', 'Price', 'Expensive', ' Quality ',' low ',' network ',' next door ',' regret ',' use ',' Telkomsel ',' user ',' Telkomsel ',' Switch ',' proprider ',' "&amp;"next door ',' hope ' , 'Complete', 'fast', ""]")</f>
        <v>['Network', 'Telkomsel', 'Ngellag', 'really', 'Macem', 'Live', 'Forest', 'Signal', 'Point', 'Minister', 'Price', 'Expensive', ' Quality ',' low ',' network ',' next door ',' regret ',' use ',' Telkomsel ',' user ',' Telkomsel ',' Switch ',' proprider ',' next door ',' hope ' , 'Complete', 'fast', "]</v>
      </c>
      <c r="D13864" s="3">
        <v>1.0</v>
      </c>
    </row>
    <row r="13865" ht="15.75" customHeight="1">
      <c r="A13865" s="1">
        <v>14750.0</v>
      </c>
      <c r="B13865" s="3" t="s">
        <v>13209</v>
      </c>
      <c r="C13865" s="3" t="str">
        <f>IFERROR(__xludf.DUMMYFUNCTION("GOOGLETRANSLATE(B13865,""id"",""en"")"),"['add', 'strength', 'signal', 'TLP', 'data', 'communication', '']")</f>
        <v>['add', 'strength', 'signal', 'TLP', 'data', 'communication', '']</v>
      </c>
      <c r="D13865" s="3">
        <v>4.0</v>
      </c>
    </row>
    <row r="13866" ht="15.75" customHeight="1">
      <c r="A13866" s="1">
        <v>14751.0</v>
      </c>
      <c r="B13866" s="3" t="s">
        <v>13210</v>
      </c>
      <c r="C13866" s="3" t="str">
        <f>IFERROR(__xludf.DUMMYFUNCTION("GOOGLETRANSLATE(B13866,""id"",""en"")"),"['Please', 'Acquired', 'Continue', 'Application', 'Opened', 'Appear', 'Screen', 'White']")</f>
        <v>['Please', 'Acquired', 'Continue', 'Application', 'Opened', 'Appear', 'Screen', 'White']</v>
      </c>
      <c r="D13866" s="3">
        <v>1.0</v>
      </c>
    </row>
    <row r="13867" ht="15.75" customHeight="1">
      <c r="A13867" s="1">
        <v>14752.0</v>
      </c>
      <c r="B13867" s="3" t="s">
        <v>13211</v>
      </c>
      <c r="C13867" s="3" t="str">
        <f>IFERROR(__xludf.DUMMYFUNCTION("GOOGLETRANSLATE(B13867,""id"",""en"")"),"['', 'Disappointed', 'Telkomsel', 'Open', 'Application', 'Telkomsel', 'screen', 'White', 'Padah', 'Unistal', 'download', 'open', "" ]")</f>
        <v>['', 'Disappointed', 'Telkomsel', 'Open', 'Application', 'Telkomsel', 'screen', 'White', 'Padah', 'Unistal', 'download', 'open', " ]</v>
      </c>
      <c r="D13867" s="3">
        <v>1.0</v>
      </c>
    </row>
    <row r="13868" ht="15.75" customHeight="1">
      <c r="A13868" s="1">
        <v>14753.0</v>
      </c>
      <c r="B13868" s="3" t="s">
        <v>92</v>
      </c>
      <c r="C13868" s="3" t="str">
        <f>IFERROR(__xludf.DUMMYFUNCTION("GOOGLETRANSLATE(B13868,""id"",""en"")"),"['Application', 'Open']")</f>
        <v>['Application', 'Open']</v>
      </c>
      <c r="D13868" s="3">
        <v>1.0</v>
      </c>
    </row>
    <row r="13869" ht="15.75" customHeight="1">
      <c r="A13869" s="1">
        <v>14754.0</v>
      </c>
      <c r="B13869" s="3" t="s">
        <v>1424</v>
      </c>
      <c r="C13869" s="3" t="str">
        <f>IFERROR(__xludf.DUMMYFUNCTION("GOOGLETRANSLATE(B13869,""id"",""en"")"),"['signal', 'slow']")</f>
        <v>['signal', 'slow']</v>
      </c>
      <c r="D13869" s="3">
        <v>3.0</v>
      </c>
    </row>
    <row r="13870" ht="15.75" customHeight="1">
      <c r="A13870" s="1">
        <v>14755.0</v>
      </c>
      <c r="B13870" s="3" t="s">
        <v>13212</v>
      </c>
      <c r="C13870" s="3" t="str">
        <f>IFERROR(__xludf.DUMMYFUNCTION("GOOGLETRANSLATE(B13870,""id"",""en"")"),"['Telokmsel', 'enter', 'code', 'Vocer', 'busy', 'Cape', 'I', 'Iadi', 'night', 'enter', 'Vocer', 'location', ' Makassar ']")</f>
        <v>['Telokmsel', 'enter', 'code', 'Vocer', 'busy', 'Cape', 'I', 'Iadi', 'night', 'enter', 'Vocer', 'location', ' Makassar ']</v>
      </c>
      <c r="D13870" s="3">
        <v>2.0</v>
      </c>
    </row>
    <row r="13871" ht="15.75" customHeight="1">
      <c r="A13871" s="1">
        <v>14756.0</v>
      </c>
      <c r="B13871" s="3" t="s">
        <v>13213</v>
      </c>
      <c r="C13871" s="3" t="str">
        <f>IFERROR(__xludf.DUMMYFUNCTION("GOOGLETRANSLATE(B13871,""id"",""en"")"),"['Disappointed', 'really', 'oath', 'play', 'pub', 'ping', 'above', 'ms',' person ',' card ',' network ',' good ',' wide ',' reality ',' tried ',' use ',' already ',' disappointed ']")</f>
        <v>['Disappointed', 'really', 'oath', 'play', 'pub', 'ping', 'above', 'ms',' person ',' card ',' network ',' good ',' wide ',' reality ',' tried ',' use ',' already ',' disappointed ']</v>
      </c>
      <c r="D13871" s="3">
        <v>1.0</v>
      </c>
    </row>
    <row r="13872" ht="15.75" customHeight="1">
      <c r="A13872" s="1">
        <v>14757.0</v>
      </c>
      <c r="B13872" s="3" t="s">
        <v>8564</v>
      </c>
      <c r="C13872" s="3" t="str">
        <f>IFERROR(__xludf.DUMMYFUNCTION("GOOGLETRANSLATE(B13872,""id"",""en"")"),"['Telkomsel', 'Success', '']")</f>
        <v>['Telkomsel', 'Success', '']</v>
      </c>
      <c r="D13872" s="3">
        <v>5.0</v>
      </c>
    </row>
    <row r="13873" ht="15.75" customHeight="1">
      <c r="A13873" s="1">
        <v>14758.0</v>
      </c>
      <c r="B13873" s="3" t="s">
        <v>13214</v>
      </c>
      <c r="C13873" s="3" t="str">
        <f>IFERROR(__xludf.DUMMYFUNCTION("GOOGLETRANSLATE(B13873,""id"",""en"")"),"['Signal', 'Good', 'Region', 'Flores', 'Labuan', 'Bajo', ""]")</f>
        <v>['Signal', 'Good', 'Region', 'Flores', 'Labuan', 'Bajo', "]</v>
      </c>
      <c r="D13873" s="3">
        <v>5.0</v>
      </c>
    </row>
    <row r="13874" ht="15.75" customHeight="1">
      <c r="A13874" s="1">
        <v>14759.0</v>
      </c>
      <c r="B13874" s="3" t="s">
        <v>13215</v>
      </c>
      <c r="C13874" s="3" t="str">
        <f>IFERROR(__xludf.DUMMYFUNCTION("GOOGLETRANSLATE(B13874,""id"",""en"")"),"['Targetah', 'Kasi', 'star', '']")</f>
        <v>['Targetah', 'Kasi', 'star', '']</v>
      </c>
      <c r="D13874" s="3">
        <v>3.0</v>
      </c>
    </row>
    <row r="13875" ht="15.75" customHeight="1">
      <c r="A13875" s="1">
        <v>14760.0</v>
      </c>
      <c r="B13875" s="3" t="s">
        <v>13216</v>
      </c>
      <c r="C13875" s="3" t="str">
        <f>IFERROR(__xludf.DUMMYFUNCTION("GOOGLETRANSLATE(B13875,""id"",""en"")"),"['updated', 'error', 'yaaa']")</f>
        <v>['updated', 'error', 'yaaa']</v>
      </c>
      <c r="D13875" s="3">
        <v>1.0</v>
      </c>
    </row>
    <row r="13876" ht="15.75" customHeight="1">
      <c r="A13876" s="1">
        <v>14761.0</v>
      </c>
      <c r="B13876" s="3" t="s">
        <v>13217</v>
      </c>
      <c r="C13876" s="3" t="str">
        <f>IFERROR(__xludf.DUMMYFUNCTION("GOOGLETRANSLATE(B13876,""id"",""en"")"),"['Disappointed', 'really', 'Telkomsel', 'Network', 'bad', 'slow', 'Severe', 'missing', 'the network', 'Sometimes',' move ',' aspect ',' price ',' quota ',' expensive ',' user ',' other ',' disappointed ',' please ',' fast ',' repaired ',' moved ',' provid"&amp;"er ',' Overcome ',' ']")</f>
        <v>['Disappointed', 'really', 'Telkomsel', 'Network', 'bad', 'slow', 'Severe', 'missing', 'the network', 'Sometimes',' move ',' aspect ',' price ',' quota ',' expensive ',' user ',' other ',' disappointed ',' please ',' fast ',' repaired ',' moved ',' provider ',' Overcome ',' ']</v>
      </c>
      <c r="D13876" s="3">
        <v>1.0</v>
      </c>
    </row>
    <row r="13877" ht="15.75" customHeight="1">
      <c r="A13877" s="1">
        <v>14762.0</v>
      </c>
      <c r="B13877" s="3" t="s">
        <v>13218</v>
      </c>
      <c r="C13877" s="3" t="str">
        <f>IFERROR(__xludf.DUMMYFUNCTION("GOOGLETRANSLATE(B13877,""id"",""en"")"),"['a month', 'application', 'Telkomsel', 'BSA', 'opened', 'update', 'TTP', 'screen', 'white', 'hri', 'slow', 'jingannya', ' uuuhhh ',' Perbaharuin ',' Network ',' The Application ',' ']")</f>
        <v>['a month', 'application', 'Telkomsel', 'BSA', 'opened', 'update', 'TTP', 'screen', 'white', 'hri', 'slow', 'jingannya', ' uuuhhh ',' Perbaharuin ',' Network ',' The Application ',' ']</v>
      </c>
      <c r="D13877" s="3">
        <v>1.0</v>
      </c>
    </row>
    <row r="13878" ht="15.75" customHeight="1">
      <c r="A13878" s="1">
        <v>14763.0</v>
      </c>
      <c r="B13878" s="3" t="s">
        <v>13219</v>
      </c>
      <c r="C13878" s="3" t="str">
        <f>IFERROR(__xludf.DUMMYFUNCTION("GOOGLETRANSLATE(B13878,""id"",""en"")"),"['Troubled', 'Telkomsel', 'Best']")</f>
        <v>['Troubled', 'Telkomsel', 'Best']</v>
      </c>
      <c r="D13878" s="3">
        <v>5.0</v>
      </c>
    </row>
    <row r="13879" ht="15.75" customHeight="1">
      <c r="A13879" s="1">
        <v>14764.0</v>
      </c>
      <c r="B13879" s="3" t="s">
        <v>13220</v>
      </c>
      <c r="C13879" s="3" t="str">
        <f>IFERROR(__xludf.DUMMYFUNCTION("GOOGLETRANSLATE(B13879,""id"",""en"")"),"['opened', 'APK's', 'opened', 'pdahal', 'list']")</f>
        <v>['opened', 'APK's', 'opened', 'pdahal', 'list']</v>
      </c>
      <c r="D13879" s="3">
        <v>3.0</v>
      </c>
    </row>
    <row r="13880" ht="15.75" customHeight="1">
      <c r="A13880" s="1">
        <v>14765.0</v>
      </c>
      <c r="B13880" s="3" t="s">
        <v>13221</v>
      </c>
      <c r="C13880" s="3" t="str">
        <f>IFERROR(__xludf.DUMMYFUNCTION("GOOGLETRANSLATE(B13880,""id"",""en"")"),"['buy', 'package', 'data', 'rb', 'signal', 'ugly', 'stable', 'point', 'Telkomsel']")</f>
        <v>['buy', 'package', 'data', 'rb', 'signal', 'ugly', 'stable', 'point', 'Telkomsel']</v>
      </c>
      <c r="D13880" s="3">
        <v>1.0</v>
      </c>
    </row>
    <row r="13881" ht="15.75" customHeight="1">
      <c r="A13881" s="1">
        <v>14766.0</v>
      </c>
      <c r="B13881" s="3" t="s">
        <v>13222</v>
      </c>
      <c r="C13881" s="3" t="str">
        <f>IFERROR(__xludf.DUMMYFUNCTION("GOOGLETRANSLATE(B13881,""id"",""en"")"),"['Network', 'strabil', 'bonus', 'interesting', 'price', 'quota', 'down', ""]")</f>
        <v>['Network', 'strabil', 'bonus', 'interesting', 'price', 'quota', 'down', "]</v>
      </c>
      <c r="D13881" s="3">
        <v>4.0</v>
      </c>
    </row>
    <row r="13882" ht="15.75" customHeight="1">
      <c r="A13882" s="1">
        <v>14767.0</v>
      </c>
      <c r="B13882" s="3" t="s">
        <v>13223</v>
      </c>
      <c r="C13882" s="3" t="str">
        <f>IFERROR(__xludf.DUMMYFUNCTION("GOOGLETRANSLATE(B13882,""id"",""en"")"),"['Telkomsel', 'accessed', 'screen', 'white', 'appears', 'beg', 'repaired', 'trims']")</f>
        <v>['Telkomsel', 'accessed', 'screen', 'white', 'appears', 'beg', 'repaired', 'trims']</v>
      </c>
      <c r="D13882" s="3">
        <v>5.0</v>
      </c>
    </row>
    <row r="13883" ht="15.75" customHeight="1">
      <c r="A13883" s="1">
        <v>14768.0</v>
      </c>
      <c r="B13883" s="3" t="s">
        <v>13224</v>
      </c>
      <c r="C13883" s="3" t="str">
        <f>IFERROR(__xludf.DUMMYFUNCTION("GOOGLETRANSLATE(B13883,""id"",""en"")"),"['Telkomsel', 'fast', 'easy', 'access']")</f>
        <v>['Telkomsel', 'fast', 'easy', 'access']</v>
      </c>
      <c r="D13883" s="3">
        <v>5.0</v>
      </c>
    </row>
    <row r="13884" ht="15.75" customHeight="1">
      <c r="A13884" s="1">
        <v>14769.0</v>
      </c>
      <c r="B13884" s="3" t="s">
        <v>13225</v>
      </c>
      <c r="C13884" s="3" t="str">
        <f>IFERROR(__xludf.DUMMYFUNCTION("GOOGLETRANSLATE(B13884,""id"",""en"")"),"['signal', 'here', 'slow', 'good', 'signal', 'pulp']")</f>
        <v>['signal', 'here', 'slow', 'good', 'signal', 'pulp']</v>
      </c>
      <c r="D13884" s="3">
        <v>2.0</v>
      </c>
    </row>
    <row r="13885" ht="15.75" customHeight="1">
      <c r="A13885" s="1">
        <v>14770.0</v>
      </c>
      <c r="B13885" s="3" t="s">
        <v>13226</v>
      </c>
      <c r="C13885" s="3" t="str">
        <f>IFERROR(__xludf.DUMMYFUNCTION("GOOGLETRANSLATE(B13885,""id"",""en"")"),"['signal', 'dead', 'right', 'ngegame', 'signal', '']")</f>
        <v>['signal', 'dead', 'right', 'ngegame', 'signal', '']</v>
      </c>
      <c r="D13885" s="3">
        <v>1.0</v>
      </c>
    </row>
    <row r="13886" ht="15.75" customHeight="1">
      <c r="A13886" s="1">
        <v>14771.0</v>
      </c>
      <c r="B13886" s="3" t="s">
        <v>13227</v>
      </c>
      <c r="C13886" s="3" t="str">
        <f>IFERROR(__xludf.DUMMYFUNCTION("GOOGLETRANSLATE(B13886,""id"",""en"")"),"['Knp', 'Application', 'Telkomsel', 'No', 'Open', 'Semnjak', 'Update']")</f>
        <v>['Knp', 'Application', 'Telkomsel', 'No', 'Open', 'Semnjak', 'Update']</v>
      </c>
      <c r="D13886" s="3">
        <v>5.0</v>
      </c>
    </row>
    <row r="13887" ht="15.75" customHeight="1">
      <c r="A13887" s="1">
        <v>14772.0</v>
      </c>
      <c r="B13887" s="3" t="s">
        <v>13228</v>
      </c>
      <c r="C13887" s="3" t="str">
        <f>IFERROR(__xludf.DUMMYFUNCTION("GOOGLETRANSLATE(B13887,""id"",""en"")"),"['tolooooong', 'open', 'just', 'blank', 'white', 'Samsung', ""]")</f>
        <v>['tolooooong', 'open', 'just', 'blank', 'white', 'Samsung', "]</v>
      </c>
      <c r="D13887" s="3">
        <v>2.0</v>
      </c>
    </row>
    <row r="13888" ht="15.75" customHeight="1">
      <c r="A13888" s="1">
        <v>14773.0</v>
      </c>
      <c r="B13888" s="3" t="s">
        <v>13229</v>
      </c>
      <c r="C13888" s="3" t="str">
        <f>IFERROR(__xludf.DUMMYFUNCTION("GOOGLETRANSLATE(B13888,""id"",""en"")"),"['Ease']")</f>
        <v>['Ease']</v>
      </c>
      <c r="D13888" s="3">
        <v>5.0</v>
      </c>
    </row>
    <row r="13889" ht="15.75" customHeight="1">
      <c r="A13889" s="1">
        <v>14774.0</v>
      </c>
      <c r="B13889" s="3" t="s">
        <v>13230</v>
      </c>
      <c r="C13889" s="3" t="str">
        <f>IFERROR(__xludf.DUMMYFUNCTION("GOOGLETRANSLATE(B13889,""id"",""en"")"),"['Telkomsel', 'strange', 'bought', 'kouta', 'price', 'expensive', 'think', 'rich', 'tramperation', 'NOT', 'discount', 'price', ' Aga ',' cheap ',' mah ',' kin ',' diligent ',' bought ',' kouta ',' telkomsel ',' price ',' hadeuuh ',' poor ',' telkomsel ','"&amp;" nie ' , 'Rich', 'extortion', 'Jja', '']")</f>
        <v>['Telkomsel', 'strange', 'bought', 'kouta', 'price', 'expensive', 'think', 'rich', 'tramperation', 'NOT', 'discount', 'price', ' Aga ',' cheap ',' mah ',' kin ',' diligent ',' bought ',' kouta ',' telkomsel ',' price ',' hadeuuh ',' poor ',' telkomsel ',' nie ' , 'Rich', 'extortion', 'Jja', '']</v>
      </c>
      <c r="D13889" s="3">
        <v>2.0</v>
      </c>
    </row>
    <row r="13890" ht="15.75" customHeight="1">
      <c r="A13890" s="1">
        <v>14775.0</v>
      </c>
      <c r="B13890" s="3" t="s">
        <v>13231</v>
      </c>
      <c r="C13890" s="3" t="str">
        <f>IFERROR(__xludf.DUMMYFUNCTION("GOOGLETRANSLATE(B13890,""id"",""en"")"),"['expensive', 'price', 'package']")</f>
        <v>['expensive', 'price', 'package']</v>
      </c>
      <c r="D13890" s="3">
        <v>1.0</v>
      </c>
    </row>
    <row r="13891" ht="15.75" customHeight="1">
      <c r="A13891" s="1">
        <v>14776.0</v>
      </c>
      <c r="B13891" s="3" t="s">
        <v>13232</v>
      </c>
      <c r="C13891" s="3" t="str">
        <f>IFERROR(__xludf.DUMMYFUNCTION("GOOGLETRANSLATE(B13891,""id"",""en"")"),"['Is there' 'promo']")</f>
        <v>['Is there' 'promo']</v>
      </c>
      <c r="D13891" s="3">
        <v>5.0</v>
      </c>
    </row>
    <row r="13892" ht="15.75" customHeight="1">
      <c r="A13892" s="1">
        <v>14777.0</v>
      </c>
      <c r="B13892" s="3" t="s">
        <v>13233</v>
      </c>
      <c r="C13892" s="3" t="str">
        <f>IFERROR(__xludf.DUMMYFUNCTION("GOOGLETRANSLATE(B13892,""id"",""en"")"),"['update', 'apk', 'screen', 'white', 'enter', 'please', 'repair']")</f>
        <v>['update', 'apk', 'screen', 'white', 'enter', 'please', 'repair']</v>
      </c>
      <c r="D13892" s="3">
        <v>1.0</v>
      </c>
    </row>
    <row r="13893" ht="15.75" customHeight="1">
      <c r="A13893" s="1">
        <v>14778.0</v>
      </c>
      <c r="B13893" s="3" t="s">
        <v>13234</v>
      </c>
      <c r="C13893" s="3" t="str">
        <f>IFERROR(__xludf.DUMMYFUNCTION("GOOGLETRANSLATE(B13893,""id"",""en"")"),"['BURIK', 'The network']")</f>
        <v>['BURIK', 'The network']</v>
      </c>
      <c r="D13893" s="3">
        <v>1.0</v>
      </c>
    </row>
    <row r="13894" ht="15.75" customHeight="1">
      <c r="A13894" s="1">
        <v>14779.0</v>
      </c>
      <c r="B13894" s="3" t="s">
        <v>13235</v>
      </c>
      <c r="C13894" s="3" t="str">
        <f>IFERROR(__xludf.DUMMYFUNCTION("GOOGLETRANSLATE(B13894,""id"",""en"")"),"['Cool', 'really', 'promo']")</f>
        <v>['Cool', 'really', 'promo']</v>
      </c>
      <c r="D13894" s="3">
        <v>5.0</v>
      </c>
    </row>
    <row r="13895" ht="15.75" customHeight="1">
      <c r="A13895" s="1">
        <v>14780.0</v>
      </c>
      <c r="B13895" s="3" t="s">
        <v>13236</v>
      </c>
      <c r="C13895" s="3" t="str">
        <f>IFERROR(__xludf.DUMMYFUNCTION("GOOGLETRANSLATE(B13895,""id"",""en"")"),"['Telkomsel', 'here', 'severe', 'network', 'signal', 'bad', 'disappointed', 'already', 'buy', 'expensive', 'expensive', 'packetan', ' network ',' ilang ']")</f>
        <v>['Telkomsel', 'here', 'severe', 'network', 'signal', 'bad', 'disappointed', 'already', 'buy', 'expensive', 'expensive', 'packetan', ' network ',' ilang ']</v>
      </c>
      <c r="D13895" s="3">
        <v>2.0</v>
      </c>
    </row>
    <row r="13896" ht="15.75" customHeight="1">
      <c r="A13896" s="1">
        <v>14781.0</v>
      </c>
      <c r="B13896" s="3" t="s">
        <v>1951</v>
      </c>
      <c r="C13896" s="3" t="str">
        <f>IFERROR(__xludf.DUMMYFUNCTION("GOOGLETRANSLATE(B13896,""id"",""en"")"),"['Star', 'talk']")</f>
        <v>['Star', 'talk']</v>
      </c>
      <c r="D13896" s="3">
        <v>5.0</v>
      </c>
    </row>
    <row r="13897" ht="15.75" customHeight="1">
      <c r="A13897" s="1">
        <v>14782.0</v>
      </c>
      <c r="B13897" s="3" t="s">
        <v>13237</v>
      </c>
      <c r="C13897" s="3" t="str">
        <f>IFERROR(__xludf.DUMMYFUNCTION("GOOGLETRANSLATE(B13897,""id"",""en"")"),"['Application', 'Cool', 'Help', 'Promo', 'Promo', 'Cheap']")</f>
        <v>['Application', 'Cool', 'Help', 'Promo', 'Promo', 'Cheap']</v>
      </c>
      <c r="D13897" s="3">
        <v>5.0</v>
      </c>
    </row>
    <row r="13898" ht="15.75" customHeight="1">
      <c r="A13898" s="1">
        <v>14784.0</v>
      </c>
      <c r="B13898" s="3" t="s">
        <v>13238</v>
      </c>
      <c r="C13898" s="3" t="str">
        <f>IFERROR(__xludf.DUMMYFUNCTION("GOOGLETRANSLATE(B13898,""id"",""en"")"),"['slow', 'slow', 'slow', 'slow', 'open', 'loading', 'then']")</f>
        <v>['slow', 'slow', 'slow', 'slow', 'open', 'loading', 'then']</v>
      </c>
      <c r="D13898" s="3">
        <v>2.0</v>
      </c>
    </row>
    <row r="13899" ht="15.75" customHeight="1">
      <c r="A13899" s="1">
        <v>14785.0</v>
      </c>
      <c r="B13899" s="3" t="s">
        <v>13239</v>
      </c>
      <c r="C13899" s="3" t="str">
        <f>IFERROR(__xludf.DUMMYFUNCTION("GOOGLETRANSLATE(B13899,""id"",""en"")"),"['', 'Get', 'Promo', 'Good']")</f>
        <v>['', 'Get', 'Promo', 'Good']</v>
      </c>
      <c r="D13899" s="3">
        <v>1.0</v>
      </c>
    </row>
    <row r="13900" ht="15.75" customHeight="1">
      <c r="A13900" s="1">
        <v>14786.0</v>
      </c>
      <c r="B13900" s="3" t="s">
        <v>13240</v>
      </c>
      <c r="C13900" s="3" t="str">
        <f>IFERROR(__xludf.DUMMYFUNCTION("GOOGLETRANSLATE(B13900,""id"",""en"")"),"[ 'Apk', 'good', 'buy', 'package', 'pl', 'awokawkokwkwkwkkwkwkwkwkwawokawkokwkwkwkkwkwkwkwkwawokawkokwkwkwkkwkwkwkwkwawokawkokwkwkwkkwkwkwkwkwawokawkokwkwkwkkwkwkwkwkwawokawkokwkwkwkkwkwkwkwkwawokawkokwkwkwkkwkwkwkwkwawokawkokwkwkwkkwkwkwkwkwawokawkokwkwk"&amp;"wkkwkwkwkwkwawokawkokwkwkwkkwkwkwkwkwawokawkokwkwkwkkwkwkwkwkwawokawkokwkwkwkkwkwkwkwkwawokawkokwkwkwkkwkwkwkwkwawokawkokwkwkwkkwkwkwkwkwawokawkokwkwkwkkwkwkwkwkwawokawkokwkwkwkkwkwkwkwkwawokawkokwkwkwkkwkwkwkwkwawokawkokwkwkwkkwkwkwkwkwawokawko']")</f>
        <v>[ 'Apk', 'good', 'buy', 'package', 'pl', '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kwkwkwkkwkwkwkwkwawokawko']</v>
      </c>
      <c r="D13900" s="3">
        <v>5.0</v>
      </c>
    </row>
    <row r="13901" ht="15.75" customHeight="1">
      <c r="A13901" s="1">
        <v>14787.0</v>
      </c>
      <c r="B13901" s="3" t="s">
        <v>13241</v>
      </c>
      <c r="C13901" s="3" t="str">
        <f>IFERROR(__xludf.DUMMYFUNCTION("GOOGLETRANSLATE(B13901,""id"",""en"")"),"['Disappointed', 'Telkomsel', 'Suda', 'Signal', 'Telkomsel', 'Region', 'Edge', ""]")</f>
        <v>['Disappointed', 'Telkomsel', 'Suda', 'Signal', 'Telkomsel', 'Region', 'Edge', "]</v>
      </c>
      <c r="D13901" s="3">
        <v>2.0</v>
      </c>
    </row>
    <row r="13902" ht="15.75" customHeight="1">
      <c r="A13902" s="1">
        <v>14789.0</v>
      </c>
      <c r="B13902" s="3" t="s">
        <v>13242</v>
      </c>
      <c r="C13902" s="3" t="str">
        <f>IFERROR(__xludf.DUMMYFUNCTION("GOOGLETRANSLATE(B13902,""id"",""en"")"),"['expensive', 'expensive']")</f>
        <v>['expensive', 'expensive']</v>
      </c>
      <c r="D13902" s="3">
        <v>3.0</v>
      </c>
    </row>
    <row r="13903" ht="15.75" customHeight="1">
      <c r="A13903" s="1">
        <v>14790.0</v>
      </c>
      <c r="B13903" s="3" t="s">
        <v>2795</v>
      </c>
      <c r="C13903" s="3" t="str">
        <f>IFERROR(__xludf.DUMMYFUNCTION("GOOGLETRANSLATE(B13903,""id"",""en"")"),"['Use', 'Telkomsel']")</f>
        <v>['Use', 'Telkomsel']</v>
      </c>
      <c r="D13903" s="3">
        <v>4.0</v>
      </c>
    </row>
    <row r="13904" ht="15.75" customHeight="1">
      <c r="A13904" s="1">
        <v>14791.0</v>
      </c>
      <c r="B13904" s="3" t="s">
        <v>13243</v>
      </c>
      <c r="C13904" s="3" t="str">
        <f>IFERROR(__xludf.DUMMYFUNCTION("GOOGLETRANSLATE(B13904,""id"",""en"")"),"['Network', 'Telkomsel', 'Rich', 'Tortoise', 'Kura', 'slow', 'really', 'rain', 'hadeuh', 'no', 'deh']")</f>
        <v>['Network', 'Telkomsel', 'Rich', 'Tortoise', 'Kura', 'slow', 'really', 'rain', 'hadeuh', 'no', 'deh']</v>
      </c>
      <c r="D13904" s="3">
        <v>5.0</v>
      </c>
    </row>
    <row r="13905" ht="15.75" customHeight="1">
      <c r="A13905" s="1">
        <v>14792.0</v>
      </c>
      <c r="B13905" s="3" t="s">
        <v>13244</v>
      </c>
      <c r="C13905" s="3" t="str">
        <f>IFERROR(__xludf.DUMMYFUNCTION("GOOGLETRANSLATE(B13905,""id"",""en"")"),"['Wow', 'signal', 'fast', 'really', 'muter', 'muter']")</f>
        <v>['Wow', 'signal', 'fast', 'really', 'muter', 'muter']</v>
      </c>
      <c r="D13905" s="3">
        <v>1.0</v>
      </c>
    </row>
    <row r="13906" ht="15.75" customHeight="1">
      <c r="A13906" s="1">
        <v>14793.0</v>
      </c>
      <c r="B13906" s="3" t="s">
        <v>13245</v>
      </c>
      <c r="C13906" s="3" t="str">
        <f>IFERROR(__xludf.DUMMYFUNCTION("GOOGLETRANSLATE(B13906,""id"",""en"")"),"['Increase', 'signal', 'remote', 'remote', 'make it easier', 'communication', 'thank you']")</f>
        <v>['Increase', 'signal', 'remote', 'remote', 'make it easier', 'communication', 'thank you']</v>
      </c>
      <c r="D13906" s="3">
        <v>5.0</v>
      </c>
    </row>
    <row r="13907" ht="15.75" customHeight="1">
      <c r="A13907" s="1">
        <v>14794.0</v>
      </c>
      <c r="B13907" s="3" t="s">
        <v>13246</v>
      </c>
      <c r="C13907" s="3" t="str">
        <f>IFERROR(__xludf.DUMMYFUNCTION("GOOGLETRANSLATE(B13907,""id"",""en"")"),"['Telkomsel', 'please', 'repaired', 'singly', 'ilang', 'lift', 'play', 'game', 'no', 'rain', 'no', 'cook', ' Gaada ',' Singal ',' then ',' Singal ',' Good ',' Didup ',' Moment ',' Good ',' Please ',' Repaired ',' Make ',' Telkomsel ',' Good ' , 'singally'"&amp;", 'TPI', 'Rich', 'Gini', 'Disappointed']")</f>
        <v>['Telkomsel', 'please', 'repaired', 'singly', 'ilang', 'lift', 'play', 'game', 'no', 'rain', 'no', 'cook', ' Gaada ',' Singal ',' then ',' Singal ',' Good ',' Didup ',' Moment ',' Good ',' Please ',' Repaired ',' Make ',' Telkomsel ',' Good ' , 'singally', 'TPI', 'Rich', 'Gini', 'Disappointed']</v>
      </c>
      <c r="D13907" s="3">
        <v>2.0</v>
      </c>
    </row>
    <row r="13908" ht="15.75" customHeight="1">
      <c r="A13908" s="1">
        <v>14795.0</v>
      </c>
      <c r="B13908" s="3" t="s">
        <v>6823</v>
      </c>
      <c r="C13908" s="3" t="str">
        <f>IFERROR(__xludf.DUMMYFUNCTION("GOOGLETRANSLATE(B13908,""id"",""en"")"),"['Enter', 'Telkomsel']")</f>
        <v>['Enter', 'Telkomsel']</v>
      </c>
      <c r="D13908" s="3">
        <v>1.0</v>
      </c>
    </row>
    <row r="13909" ht="15.75" customHeight="1">
      <c r="A13909" s="1">
        <v>14796.0</v>
      </c>
      <c r="B13909" s="3" t="s">
        <v>13247</v>
      </c>
      <c r="C13909" s="3" t="str">
        <f>IFERROR(__xludf.DUMMYFUNCTION("GOOGLETRANSLATE(B13909,""id"",""en"")"),"['Disappointed', 'user', 'price', 'package', 'internet', 'in the city', 'village', 'expensive', 'strength', 'signal', 'different', 'slow', ' Village ',' dream ',' evenly ',' ']")</f>
        <v>['Disappointed', 'user', 'price', 'package', 'internet', 'in the city', 'village', 'expensive', 'strength', 'signal', 'different', 'slow', ' Village ',' dream ',' evenly ',' ']</v>
      </c>
      <c r="D13909" s="3">
        <v>2.0</v>
      </c>
    </row>
    <row r="13910" ht="15.75" customHeight="1">
      <c r="A13910" s="1">
        <v>14797.0</v>
      </c>
      <c r="B13910" s="3" t="s">
        <v>13248</v>
      </c>
      <c r="C13910" s="3" t="str">
        <f>IFERROR(__xludf.DUMMYFUNCTION("GOOGLETRANSLATE(B13910,""id"",""en"")"),"['December', 'Telkomsel', 'Bukak', 'Disappointed']")</f>
        <v>['December', 'Telkomsel', 'Bukak', 'Disappointed']</v>
      </c>
      <c r="D13910" s="3">
        <v>2.0</v>
      </c>
    </row>
    <row r="13911" ht="15.75" customHeight="1">
      <c r="A13911" s="1">
        <v>14798.0</v>
      </c>
      <c r="B13911" s="3" t="s">
        <v>13249</v>
      </c>
      <c r="C13911" s="3" t="str">
        <f>IFERROR(__xludf.DUMMYFUNCTION("GOOGLETRANSLATE(B13911,""id"",""en"")"),"['buy', 'quota', 'use', 'ovo', 'truncated', 'quota', 'enter', '']")</f>
        <v>['buy', 'quota', 'use', 'ovo', 'truncated', 'quota', 'enter', '']</v>
      </c>
      <c r="D13911" s="3">
        <v>1.0</v>
      </c>
    </row>
    <row r="13912" ht="15.75" customHeight="1">
      <c r="A13912" s="1">
        <v>14799.0</v>
      </c>
      <c r="B13912" s="3" t="s">
        <v>13250</v>
      </c>
      <c r="C13912" s="3" t="str">
        <f>IFERROR(__xludf.DUMMYFUNCTION("GOOGLETRANSLATE(B13912,""id"",""en"")"),"['Network', 'Where', 'Disruption']")</f>
        <v>['Network', 'Where', 'Disruption']</v>
      </c>
      <c r="D13912" s="3">
        <v>5.0</v>
      </c>
    </row>
    <row r="13913" ht="15.75" customHeight="1">
      <c r="A13913" s="1">
        <v>14800.0</v>
      </c>
      <c r="B13913" s="3" t="s">
        <v>13251</v>
      </c>
      <c r="C13913" s="3" t="str">
        <f>IFERROR(__xludf.DUMMYFUNCTION("GOOGLETRANSLATE(B13913,""id"",""en"")"),"['version', 'tdak', 'access', 'screen', 'white', 'DAK', 'appears', 'disappointed']")</f>
        <v>['version', 'tdak', 'access', 'screen', 'white', 'DAK', 'appears', 'disappointed']</v>
      </c>
      <c r="D13913" s="3">
        <v>1.0</v>
      </c>
    </row>
    <row r="13914" ht="15.75" customHeight="1">
      <c r="A13914" s="1">
        <v>14801.0</v>
      </c>
      <c r="B13914" s="3" t="s">
        <v>13252</v>
      </c>
      <c r="C13914" s="3" t="str">
        <f>IFERROR(__xludf.DUMMYFUNCTION("GOOGLETRANSLATE(B13914,""id"",""en"")"),"['Install', 'open', 'application', 'please', 'fix', 'forgive', 'love', 'star']")</f>
        <v>['Install', 'open', 'application', 'please', 'fix', 'forgive', 'love', 'star']</v>
      </c>
      <c r="D13914" s="3">
        <v>1.0</v>
      </c>
    </row>
    <row r="13915" ht="15.75" customHeight="1">
      <c r="A13915" s="1">
        <v>14802.0</v>
      </c>
      <c r="B13915" s="3" t="s">
        <v>13253</v>
      </c>
      <c r="C13915" s="3" t="str">
        <f>IFERROR(__xludf.DUMMYFUNCTION("GOOGLETRANSLATE(B13915,""id"",""en"")"),"['White', 'Screen', 'Mending', 'Downgrade', 'Version', 'BNYK', 'Error', ""]")</f>
        <v>['White', 'Screen', 'Mending', 'Downgrade', 'Version', 'BNYK', 'Error', "]</v>
      </c>
      <c r="D13915" s="3">
        <v>1.0</v>
      </c>
    </row>
    <row r="13916" ht="15.75" customHeight="1">
      <c r="A13916" s="1">
        <v>14803.0</v>
      </c>
      <c r="B13916" s="3" t="s">
        <v>13254</v>
      </c>
      <c r="C13916" s="3" t="str">
        <f>IFERROR(__xludf.DUMMYFUNCTION("GOOGLETRANSLATE(B13916,""id"",""en"")"),"['no', 'opened', 'updated', '']")</f>
        <v>['no', 'opened', 'updated', '']</v>
      </c>
      <c r="D13916" s="3">
        <v>1.0</v>
      </c>
    </row>
    <row r="13917" ht="15.75" customHeight="1">
      <c r="A13917" s="1">
        <v>14804.0</v>
      </c>
      <c r="B13917" s="3" t="s">
        <v>13255</v>
      </c>
      <c r="C13917" s="3" t="str">
        <f>IFERROR(__xludf.DUMMYFUNCTION("GOOGLETRANSLATE(B13917,""id"",""en"")"),"['', 'admin', 'network', 'fast', 'fix', 'person', 'used to', 'likes', 'Telkomsel', 'berinda', 'the network', 'satisfying']")</f>
        <v>['', 'admin', 'network', 'fast', 'fix', 'person', 'used to', 'likes', 'Telkomsel', 'berinda', 'the network', 'satisfying']</v>
      </c>
      <c r="D13917" s="3">
        <v>1.0</v>
      </c>
    </row>
    <row r="13918" ht="15.75" customHeight="1">
      <c r="A13918" s="1">
        <v>14805.0</v>
      </c>
      <c r="B13918" s="3" t="s">
        <v>13256</v>
      </c>
      <c r="C13918" s="3" t="str">
        <f>IFERROR(__xludf.DUMMYFUNCTION("GOOGLETRANSLATE(B13918,""id"",""en"")"),"['application', 'opened', 'appears', 'white', 'screen', 'update', 'newest', '']")</f>
        <v>['application', 'opened', 'appears', 'white', 'screen', 'update', 'newest', '']</v>
      </c>
      <c r="D13918" s="3">
        <v>1.0</v>
      </c>
    </row>
    <row r="13919" ht="15.75" customHeight="1">
      <c r="A13919" s="1">
        <v>14806.0</v>
      </c>
      <c r="B13919" s="3" t="s">
        <v>13257</v>
      </c>
      <c r="C13919" s="3" t="str">
        <f>IFERROR(__xludf.DUMMYFUNCTION("GOOGLETRANSLATE(B13919,""id"",""en"")"),"['expensive', 'stingy', 'active', 'like', 'play', 'cut', 'pulse', 'network', 'application', 'error', 'white', 'ngeblank', ' really ',' Telkomsel ',' skarang ']")</f>
        <v>['expensive', 'stingy', 'active', 'like', 'play', 'cut', 'pulse', 'network', 'application', 'error', 'white', 'ngeblank', ' really ',' Telkomsel ',' skarang ']</v>
      </c>
      <c r="D13919" s="3">
        <v>1.0</v>
      </c>
    </row>
    <row r="13920" ht="15.75" customHeight="1">
      <c r="A13920" s="1">
        <v>14807.0</v>
      </c>
      <c r="B13920" s="3" t="s">
        <v>13258</v>
      </c>
      <c r="C13920" s="3" t="str">
        <f>IFERROR(__xludf.DUMMYFUNCTION("GOOGLETRANSLATE(B13920,""id"",""en"")"),"['Week', 'December', 'The name', 'broke', 'Connect', 'Constraints', 'Server', 'Kah', 'Please', 'answer', ""]")</f>
        <v>['Week', 'December', 'The name', 'broke', 'Connect', 'Constraints', 'Server', 'Kah', 'Please', 'answer', "]</v>
      </c>
      <c r="D13920" s="3">
        <v>1.0</v>
      </c>
    </row>
    <row r="13921" ht="15.75" customHeight="1">
      <c r="A13921" s="1">
        <v>14808.0</v>
      </c>
      <c r="B13921" s="3" t="s">
        <v>13259</v>
      </c>
      <c r="C13921" s="3" t="str">
        <f>IFERROR(__xludf.DUMMYFUNCTION("GOOGLETRANSLATE(B13921,""id"",""en"")"),"['Price', 'quota', 'expensive', 'quality', 'siknyal', 'kek', 'cheap']")</f>
        <v>['Price', 'quota', 'expensive', 'quality', 'siknyal', 'kek', 'cheap']</v>
      </c>
      <c r="D13921" s="3">
        <v>1.0</v>
      </c>
    </row>
    <row r="13922" ht="15.75" customHeight="1">
      <c r="A13922" s="1">
        <v>14809.0</v>
      </c>
      <c r="B13922" s="3" t="s">
        <v>13260</v>
      </c>
      <c r="C13922" s="3" t="str">
        <f>IFERROR(__xludf.DUMMYFUNCTION("GOOGLETRANSLATE(B13922,""id"",""en"")"),"['Emoga', 'help']")</f>
        <v>['Emoga', 'help']</v>
      </c>
      <c r="D13922" s="3">
        <v>5.0</v>
      </c>
    </row>
    <row r="13923" ht="15.75" customHeight="1">
      <c r="A13923" s="1">
        <v>14811.0</v>
      </c>
      <c r="B13923" s="3" t="s">
        <v>13261</v>
      </c>
      <c r="C13923" s="3" t="str">
        <f>IFERROR(__xludf.DUMMYFUNCTION("GOOGLETRANSLATE(B13923,""id"",""en"")"),"['Trma', 'love', 'makes it easier', 'buy', 'pulse', 'suggestion', 'eager', 'promo', 'pulse', 'cheap', 'effective', 'TRMA', ' love']")</f>
        <v>['Trma', 'love', 'makes it easier', 'buy', 'pulse', 'suggestion', 'eager', 'promo', 'pulse', 'cheap', 'effective', 'TRMA', ' love']</v>
      </c>
      <c r="D13923" s="3">
        <v>5.0</v>
      </c>
    </row>
    <row r="13924" ht="15.75" customHeight="1">
      <c r="A13924" s="1">
        <v>14812.0</v>
      </c>
      <c r="B13924" s="3" t="s">
        <v>13262</v>
      </c>
      <c r="C13924" s="3" t="str">
        <f>IFERROR(__xludf.DUMMYFUNCTION("GOOGLETRANSLATE(B13924,""id"",""en"")"),"['Tsel', 'Lawak', 'Move', 'Operator']")</f>
        <v>['Tsel', 'Lawak', 'Move', 'Operator']</v>
      </c>
      <c r="D13924" s="3">
        <v>3.0</v>
      </c>
    </row>
    <row r="13925" ht="15.75" customHeight="1">
      <c r="A13925" s="1">
        <v>14813.0</v>
      </c>
      <c r="B13925" s="3" t="s">
        <v>13263</v>
      </c>
      <c r="C13925" s="3" t="str">
        <f>IFERROR(__xludf.DUMMYFUNCTION("GOOGLETRANSLATE(B13925,""id"",""en"")"),"['Application', 'Manep']")</f>
        <v>['Application', 'Manep']</v>
      </c>
      <c r="D13925" s="3">
        <v>5.0</v>
      </c>
    </row>
    <row r="13926" ht="15.75" customHeight="1">
      <c r="A13926" s="1">
        <v>14814.0</v>
      </c>
      <c r="B13926" s="3" t="s">
        <v>13264</v>
      </c>
      <c r="C13926" s="3" t="str">
        <f>IFERROR(__xludf.DUMMYFUNCTION("GOOGLETRANSLATE(B13926,""id"",""en"")"),"['Minnnnnn', 'App', 'Tsel', 'NGK', 'Support', 'Tlng', 'Customize', 'LGI', 'BWT', 'Android', '']")</f>
        <v>['Minnnnnn', 'App', 'Tsel', 'NGK', 'Support', 'Tlng', 'Customize', 'LGI', 'BWT', 'Android', '']</v>
      </c>
      <c r="D13926" s="3">
        <v>3.0</v>
      </c>
    </row>
    <row r="13927" ht="15.75" customHeight="1">
      <c r="A13927" s="1">
        <v>14815.0</v>
      </c>
      <c r="B13927" s="3" t="s">
        <v>13265</v>
      </c>
      <c r="C13927" s="3" t="str">
        <f>IFERROR(__xludf.DUMMYFUNCTION("GOOGLETRANSLATE(B13927,""id"",""en"")"),"['The program', 'please', 'fix', 'right', 'quota', 'package', 'internet', 'run out', 'pulses',' directly ',' take ',' thank you']")</f>
        <v>['The program', 'please', 'fix', 'right', 'quota', 'package', 'internet', 'run out', 'pulses',' directly ',' take ',' thank you']</v>
      </c>
      <c r="D13927" s="3">
        <v>1.0</v>
      </c>
    </row>
    <row r="13928" ht="15.75" customHeight="1">
      <c r="A13928" s="1">
        <v>14816.0</v>
      </c>
      <c r="B13928" s="3" t="s">
        <v>1310</v>
      </c>
      <c r="C13928" s="3" t="str">
        <f>IFERROR(__xludf.DUMMYFUNCTION("GOOGLETRANSLATE(B13928,""id"",""en"")"),"['Open', 'the application']")</f>
        <v>['Open', 'the application']</v>
      </c>
      <c r="D13928" s="3">
        <v>5.0</v>
      </c>
    </row>
    <row r="13929" ht="15.75" customHeight="1">
      <c r="A13929" s="1">
        <v>14817.0</v>
      </c>
      <c r="B13929" s="3" t="s">
        <v>13266</v>
      </c>
      <c r="C13929" s="3" t="str">
        <f>IFERROR(__xludf.DUMMYFUNCTION("GOOGLETRANSLATE(B13929,""id"",""en"")"),"['MyTelkomsel', 'opened', 'MyTelkomsel', 'Lemod', 'really', 'open', 'difficult', 'out', 'screen', 'white', ""]")</f>
        <v>['MyTelkomsel', 'opened', 'MyTelkomsel', 'Lemod', 'really', 'open', 'difficult', 'out', 'screen', 'white', "]</v>
      </c>
      <c r="D13929" s="3">
        <v>2.0</v>
      </c>
    </row>
    <row r="13930" ht="15.75" customHeight="1">
      <c r="A13930" s="1">
        <v>14818.0</v>
      </c>
      <c r="B13930" s="3" t="s">
        <v>13267</v>
      </c>
      <c r="C13930" s="3" t="str">
        <f>IFERROR(__xludf.DUMMYFUNCTION("GOOGLETRANSLATE(B13930,""id"",""en"")"),"['application', 'strange', 'open', 'application', 'white', 'screen', 'please', 'fix', 'mytelkomsel', 'because', 'harm', 'difficulty', ' check ',' pulse ',' buy ',' package ',' internet ',' check ',' apply ',' please ',' fix ',' application ',' as fast ', "&amp;"""]")</f>
        <v>['application', 'strange', 'open', 'application', 'white', 'screen', 'please', 'fix', 'mytelkomsel', 'because', 'harm', 'difficulty', ' check ',' pulse ',' buy ',' package ',' internet ',' check ',' apply ',' please ',' fix ',' application ',' as fast ', "]</v>
      </c>
      <c r="D13930" s="3">
        <v>1.0</v>
      </c>
    </row>
    <row r="13931" ht="15.75" customHeight="1">
      <c r="A13931" s="1">
        <v>14820.0</v>
      </c>
      <c r="B13931" s="3" t="s">
        <v>13268</v>
      </c>
      <c r="C13931" s="3" t="str">
        <f>IFERROR(__xludf.DUMMYFUNCTION("GOOGLETRANSLATE(B13931,""id"",""en"")"),"['Appsih', 'Bgus', '']")</f>
        <v>['Appsih', 'Bgus', '']</v>
      </c>
      <c r="D13931" s="3">
        <v>5.0</v>
      </c>
    </row>
    <row r="13932" ht="15.75" customHeight="1">
      <c r="A13932" s="1">
        <v>14821.0</v>
      </c>
      <c r="B13932" s="3" t="s">
        <v>13269</v>
      </c>
      <c r="C13932" s="3" t="str">
        <f>IFERROR(__xludf.DUMMYFUNCTION("GOOGLETRANSLATE(B13932,""id"",""en"")"),"['Susa', 'Sometimes',' Open ',' The screen ',' White ',' Doang ',' Good ',' Suda ',' Fix ',' Love ',' Star ',' Love ',' DLU ']")</f>
        <v>['Susa', 'Sometimes',' Open ',' The screen ',' White ',' Doang ',' Good ',' Suda ',' Fix ',' Love ',' Star ',' Love ',' DLU ']</v>
      </c>
      <c r="D13932" s="3">
        <v>1.0</v>
      </c>
    </row>
    <row r="13933" ht="15.75" customHeight="1">
      <c r="A13933" s="1">
        <v>14822.0</v>
      </c>
      <c r="B13933" s="3" t="s">
        <v>13270</v>
      </c>
      <c r="C13933" s="3" t="str">
        <f>IFERROR(__xludf.DUMMYFUNCTION("GOOGLETRANSLATE(B13933,""id"",""en"")"),"['Signal', 'ugly', 'really', 'price', 'expensive', 'quality', 'signal', 'ugly', '']")</f>
        <v>['Signal', 'ugly', 'really', 'price', 'expensive', 'quality', 'signal', 'ugly', '']</v>
      </c>
      <c r="D13933" s="3">
        <v>2.0</v>
      </c>
    </row>
    <row r="13934" ht="15.75" customHeight="1">
      <c r="A13934" s="1">
        <v>14823.0</v>
      </c>
      <c r="B13934" s="3" t="s">
        <v>13271</v>
      </c>
      <c r="C13934" s="3" t="str">
        <f>IFERROR(__xludf.DUMMYFUNCTION("GOOGLETRANSLATE(B13934,""id"",""en"")"),"['Telkomsel', 'Severe', 'Package', 'expensive', 'Bangen', 'Paketan', 'Please', 'Cheap', 'Paketan']")</f>
        <v>['Telkomsel', 'Severe', 'Package', 'expensive', 'Bangen', 'Paketan', 'Please', 'Cheap', 'Paketan']</v>
      </c>
      <c r="D13934" s="3">
        <v>5.0</v>
      </c>
    </row>
    <row r="13935" ht="15.75" customHeight="1">
      <c r="A13935" s="1">
        <v>14824.0</v>
      </c>
      <c r="B13935" s="3" t="s">
        <v>13272</v>
      </c>
      <c r="C13935" s="3" t="str">
        <f>IFERROR(__xludf.DUMMYFUNCTION("GOOGLETRANSLATE(B13935,""id"",""en"")"),"['Please', 'Network', 'Region', 'Cikarang', 'Timur', 'Add', 'Qualassa']")</f>
        <v>['Please', 'Network', 'Region', 'Cikarang', 'Timur', 'Add', 'Qualassa']</v>
      </c>
      <c r="D13935" s="3">
        <v>5.0</v>
      </c>
    </row>
    <row r="13936" ht="15.75" customHeight="1">
      <c r="A13936" s="1">
        <v>14825.0</v>
      </c>
      <c r="B13936" s="3" t="s">
        <v>13273</v>
      </c>
      <c r="C13936" s="3" t="str">
        <f>IFERROR(__xludf.DUMMYFUNCTION("GOOGLETRANSLATE(B13936,""id"",""en"")"),"['Application', 'Telkomsel', 'Date', 'Yesterday', 'Bosa', 'Open']")</f>
        <v>['Application', 'Telkomsel', 'Date', 'Yesterday', 'Bosa', 'Open']</v>
      </c>
      <c r="D13936" s="3">
        <v>1.0</v>
      </c>
    </row>
    <row r="13937" ht="15.75" customHeight="1">
      <c r="A13937" s="1">
        <v>14826.0</v>
      </c>
      <c r="B13937" s="3" t="s">
        <v>13274</v>
      </c>
      <c r="C13937" s="3" t="str">
        <f>IFERROR(__xludf.DUMMYFUNCTION("GOOGLETRANSLATE(B13937,""id"",""en"")"),"['Update', 'crash']")</f>
        <v>['Update', 'crash']</v>
      </c>
      <c r="D13937" s="3">
        <v>5.0</v>
      </c>
    </row>
    <row r="13938" ht="15.75" customHeight="1">
      <c r="A13938" s="1">
        <v>14827.0</v>
      </c>
      <c r="B13938" s="3" t="s">
        <v>13275</v>
      </c>
      <c r="C13938" s="3" t="str">
        <f>IFERROR(__xludf.DUMMYFUNCTION("GOOGLETRANSLATE(B13938,""id"",""en"")"),"['What', 'update', 'Gag', 'opened', 'appears',' blank ',' white ',' regret ',' update ',' please ',' fix ',' apk ',' Class', 'Telkomsel', 'Kayak', 'Gini', 'Gag', 'Overcome', '']")</f>
        <v>['What', 'update', 'Gag', 'opened', 'appears',' blank ',' white ',' regret ',' update ',' please ',' fix ',' apk ',' Class', 'Telkomsel', 'Kayak', 'Gini', 'Gag', 'Overcome', '']</v>
      </c>
      <c r="D13938" s="3">
        <v>1.0</v>
      </c>
    </row>
    <row r="13939" ht="15.75" customHeight="1">
      <c r="A13939" s="1">
        <v>14828.0</v>
      </c>
      <c r="B13939" s="3" t="s">
        <v>13276</v>
      </c>
      <c r="C13939" s="3" t="str">
        <f>IFERROR(__xludf.DUMMYFUNCTION("GOOGLETRANSLATE(B13939,""id"",""en"")"),"['Sorry', 'star', 'Lower', 'school', 'use', 'Telkomsel', 'network', 'good', 'signal', 'stable', 'good', 'provider', ' Numbers', 'stay', 'in the area', 'urban', '']")</f>
        <v>['Sorry', 'star', 'Lower', 'school', 'use', 'Telkomsel', 'network', 'good', 'signal', 'stable', 'good', 'provider', ' Numbers', 'stay', 'in the area', 'urban', '']</v>
      </c>
      <c r="D13939" s="3">
        <v>2.0</v>
      </c>
    </row>
    <row r="13940" ht="15.75" customHeight="1">
      <c r="A13940" s="1">
        <v>14829.0</v>
      </c>
      <c r="B13940" s="3" t="s">
        <v>13277</v>
      </c>
      <c r="C13940" s="3" t="str">
        <f>IFERROR(__xludf.DUMMYFUNCTION("GOOGLETRANSLATE(B13940,""id"",""en"")"),"['Disappointed', 'Telkomsel', 'told', 'Download', 'Telkomsel', 'Open', 'Application', 'appears',' White ',' Screen ',' Sometimes', 'signal', ' Lost ',' Disappointed ',' Telkomsel ']")</f>
        <v>['Disappointed', 'Telkomsel', 'told', 'Download', 'Telkomsel', 'Open', 'Application', 'appears',' White ',' Screen ',' Sometimes', 'signal', ' Lost ',' Disappointed ',' Telkomsel ']</v>
      </c>
      <c r="D13940" s="3">
        <v>1.0</v>
      </c>
    </row>
    <row r="13941" ht="15.75" customHeight="1">
      <c r="A13941" s="1">
        <v>14830.0</v>
      </c>
      <c r="B13941" s="3" t="s">
        <v>13278</v>
      </c>
      <c r="C13941" s="3" t="str">
        <f>IFERROR(__xludf.DUMMYFUNCTION("GOOGLETRANSLATE(B13941,""id"",""en"")"),"['Ouch', 'yesterday', 'enter', 'APK', 'screen', 'white', 'doang', 'already', 'time', 'delete', 'apk', 'download', ' Tetep ',' screen ',' white ',' already ',' used ',' APK ',' admin ',' please ',' mah ',' sorry ',' mulu ',' love ',' solution ' , 'Kek', 'y"&amp;"es', 'Haru', 'Switch', 'it's like', 'yeah', 'deh', 'already', 'replace']")</f>
        <v>['Ouch', 'yesterday', 'enter', 'APK', 'screen', 'white', 'doang', 'already', 'time', 'delete', 'apk', 'download', ' Tetep ',' screen ',' white ',' already ',' used ',' APK ',' admin ',' please ',' mah ',' sorry ',' mulu ',' love ',' solution ' , 'Kek', 'yes', 'Haru', 'Switch', 'it's like', 'yeah', 'deh', 'already', 'replace']</v>
      </c>
      <c r="D13941" s="3">
        <v>1.0</v>
      </c>
    </row>
    <row r="13942" ht="15.75" customHeight="1">
      <c r="A13942" s="1">
        <v>14832.0</v>
      </c>
      <c r="B13942" s="3" t="s">
        <v>13279</v>
      </c>
      <c r="C13942" s="3" t="str">
        <f>IFERROR(__xludf.DUMMYFUNCTION("GOOGLETRANSLATE(B13942,""id"",""en"")"),"['Need', 'money', 'really', 'price', 'package', 'combo', 'Sakti', 'formerly', 'Telkomsel', 'for', 'wow', 'amazing', ' Maintain ',' Customer ',' Keep You ',' Fast ',' Move ',' Provider ',' Thank you ',' ']")</f>
        <v>['Need', 'money', 'really', 'price', 'package', 'combo', 'Sakti', 'formerly', 'Telkomsel', 'for', 'wow', 'amazing', ' Maintain ',' Customer ',' Keep You ',' Fast ',' Move ',' Provider ',' Thank you ',' ']</v>
      </c>
      <c r="D13942" s="3">
        <v>1.0</v>
      </c>
    </row>
    <row r="13943" ht="15.75" customHeight="1">
      <c r="A13943" s="1">
        <v>14833.0</v>
      </c>
      <c r="B13943" s="3" t="s">
        <v>13280</v>
      </c>
      <c r="C13943" s="3" t="str">
        <f>IFERROR(__xludf.DUMMYFUNCTION("GOOGLETRANSLATE(B13943,""id"",""en"")"),"['users', 'Telkomsel', 'Please', 'Assisted', 'Update', 'Application', 'Opened', '']")</f>
        <v>['users', 'Telkomsel', 'Please', 'Assisted', 'Update', 'Application', 'Opened', '']</v>
      </c>
      <c r="D13943" s="3">
        <v>5.0</v>
      </c>
    </row>
    <row r="13944" ht="15.75" customHeight="1">
      <c r="A13944" s="1">
        <v>14834.0</v>
      </c>
      <c r="B13944" s="3" t="s">
        <v>13281</v>
      </c>
      <c r="C13944" s="3" t="str">
        <f>IFERROR(__xludf.DUMMYFUNCTION("GOOGLETRANSLATE(B13944,""id"",""en"")"),"['Yesterday', 'Open', 'APP', 'Telkomsel', 'Always',' Mncul ',' Screen ',' White ',' Seblom ',' APDET ',' BBR ',' MSH ',' msh ',' smooth ',' opened ',' ehh ',' knp ',' stlh ',' apdet ',' bsa ',' open ',' tblem ',' screen ',' white ',' then ' , 'Please', 'C"&amp;"aution', 'Donk', 'Jasix', 'Difficult', 'Cast', 'Quota', 'Check', 'Daily', 'Loss']")</f>
        <v>['Yesterday', 'Open', 'APP', 'Telkomsel', 'Always',' Mncul ',' Screen ',' White ',' Seblom ',' APDET ',' BBR ',' MSH ',' msh ',' smooth ',' opened ',' ehh ',' knp ',' stlh ',' apdet ',' bsa ',' open ',' tblem ',' screen ',' white ',' then ' , 'Please', 'Caution', 'Donk', 'Jasix', 'Difficult', 'Cast', 'Quota', 'Check', 'Daily', 'Loss']</v>
      </c>
      <c r="D13944" s="3">
        <v>1.0</v>
      </c>
    </row>
    <row r="13945" ht="15.75" customHeight="1">
      <c r="A13945" s="1">
        <v>14836.0</v>
      </c>
      <c r="B13945" s="3" t="s">
        <v>13282</v>
      </c>
      <c r="C13945" s="3" t="str">
        <f>IFERROR(__xludf.DUMMYFUNCTION("GOOGLETRANSLATE(B13945,""id"",""en"")"),"['Why', 'Update', 'Version', 'Latest', 'Not', 'Open', 'Ngeblank', 'White', 'Please', 'Beraiiki', 'subscription', 'MOVER', ' ']")</f>
        <v>['Why', 'Update', 'Version', 'Latest', 'Not', 'Open', 'Ngeblank', 'White', 'Please', 'Beraiiki', 'subscription', 'MOVER', ' ']</v>
      </c>
      <c r="D13945" s="3">
        <v>1.0</v>
      </c>
    </row>
    <row r="13946" ht="15.75" customHeight="1">
      <c r="A13946" s="1">
        <v>14837.0</v>
      </c>
      <c r="B13946" s="3" t="s">
        <v>13283</v>
      </c>
      <c r="C13946" s="3" t="str">
        <f>IFERROR(__xludf.DUMMYFUNCTION("GOOGLETRANSLATE(B13946,""id"",""en"")"),"['', 'banned', 'problematic', 'pekok', 'applicationiiiiiii', 'asyuuuuuuuuuuuuuuuuuuuuuuuuuuuuuuuuuuuuuuuuuuuuuuuuuuuuuuuuuuuuuuuuuuuuuuuuuuuuuuuuu")</f>
        <v>['', 'banned', 'problematic', 'pekok', 'applicationiiiiiii', 'asyuuuuuuuuuuuuuuuuuuuuuuuuuuuuuuuuuuuuuuuuuuuuuuuuuuuuuuuuuuuuuuuuuuuuuuuuuuuuuuuuu</v>
      </c>
      <c r="D13946" s="3">
        <v>1.0</v>
      </c>
    </row>
    <row r="13947" ht="15.75" customHeight="1">
      <c r="A13947" s="1">
        <v>14838.0</v>
      </c>
      <c r="B13947" s="3" t="s">
        <v>13284</v>
      </c>
      <c r="C13947" s="3" t="str">
        <f>IFERROR(__xludf.DUMMYFUNCTION("GOOGLETRANSLATE(B13947,""id"",""en"")"),"['Service', 'ugly', 'solution', 'star', 'Telkomsel']")</f>
        <v>['Service', 'ugly', 'solution', 'star', 'Telkomsel']</v>
      </c>
      <c r="D13947" s="3">
        <v>1.0</v>
      </c>
    </row>
    <row r="13948" ht="15.75" customHeight="1">
      <c r="A13948" s="1">
        <v>14839.0</v>
      </c>
      <c r="B13948" s="3" t="s">
        <v>13285</v>
      </c>
      <c r="C13948" s="3" t="str">
        <f>IFERROR(__xludf.DUMMYFUNCTION("GOOGLETRANSLATE(B13948,""id"",""en"")"),"['Stlah', 'update', 'leftover', 'plsaq', 'ngk', 'used', 'dri', 'bli', 'quota', 'dri', 'rating', 'lngsung', ' NGK ',' AP ',' quota ',' expensive ',' pnting ',' jringan ',' smooth ']")</f>
        <v>['Stlah', 'update', 'leftover', 'plsaq', 'ngk', 'used', 'dri', 'bli', 'quota', 'dri', 'rating', 'lngsung', ' NGK ',' AP ',' quota ',' expensive ',' pnting ',' jringan ',' smooth ']</v>
      </c>
      <c r="D13948" s="3">
        <v>5.0</v>
      </c>
    </row>
    <row r="13949" ht="15.75" customHeight="1">
      <c r="A13949" s="1">
        <v>14840.0</v>
      </c>
      <c r="B13949" s="3" t="s">
        <v>1601</v>
      </c>
      <c r="C13949" s="3" t="str">
        <f>IFERROR(__xludf.DUMMYFUNCTION("GOOGLETRANSLATE(B13949,""id"",""en"")"),"['open']")</f>
        <v>['open']</v>
      </c>
      <c r="D13949" s="3">
        <v>2.0</v>
      </c>
    </row>
    <row r="13950" ht="15.75" customHeight="1">
      <c r="A13950" s="1">
        <v>14841.0</v>
      </c>
      <c r="B13950" s="3" t="s">
        <v>13286</v>
      </c>
      <c r="C13950" s="3" t="str">
        <f>IFERROR(__xludf.DUMMYFUNCTION("GOOGLETRANSLATE(B13950,""id"",""en"")"),"['Network', 'slow', 'soluble', 'slow']")</f>
        <v>['Network', 'slow', 'soluble', 'slow']</v>
      </c>
      <c r="D13950" s="3">
        <v>2.0</v>
      </c>
    </row>
    <row r="13951" ht="15.75" customHeight="1">
      <c r="A13951" s="1">
        <v>14842.0</v>
      </c>
      <c r="B13951" s="3" t="s">
        <v>13287</v>
      </c>
      <c r="C13951" s="3" t="str">
        <f>IFERROR(__xludf.DUMMYFUNCTION("GOOGLETRANSLATE(B13951,""id"",""en"")"),"['network', 'Telkomsel', 'dead', 'difficult', 'minutes',' expensive ',' bad ',' expensive ',' expensive ',' bad ',' change ',' network ',' Good ',' Useful ',' Please ',' Fix ',' Network ',' Network ',' Dead ', ""]")</f>
        <v>['network', 'Telkomsel', 'dead', 'difficult', 'minutes',' expensive ',' bad ',' expensive ',' expensive ',' bad ',' change ',' network ',' Good ',' Useful ',' Please ',' Fix ',' Network ',' Network ',' Dead ', "]</v>
      </c>
      <c r="D13951" s="3">
        <v>1.0</v>
      </c>
    </row>
    <row r="13952" ht="15.75" customHeight="1">
      <c r="A13952" s="1">
        <v>14843.0</v>
      </c>
      <c r="B13952" s="3" t="s">
        <v>13288</v>
      </c>
      <c r="C13952" s="3" t="str">
        <f>IFERROR(__xludf.DUMMYFUNCTION("GOOGLETRANSLATE(B13952,""id"",""en"")"),"['White', 'Screen', 'enter', 'enter', 'application']")</f>
        <v>['White', 'Screen', 'enter', 'enter', 'application']</v>
      </c>
      <c r="D13952" s="3">
        <v>1.0</v>
      </c>
    </row>
    <row r="13953" ht="15.75" customHeight="1">
      <c r="A13953" s="1">
        <v>14845.0</v>
      </c>
      <c r="B13953" s="3" t="s">
        <v>13289</v>
      </c>
      <c r="C13953" s="3" t="str">
        <f>IFERROR(__xludf.DUMMYFUNCTION("GOOGLETRANSLATE(B13953,""id"",""en"")"),"['Useful', 'Wes', 'Display', 'White', 'Plain', 'Kebuka', 'Asem', 'wry']")</f>
        <v>['Useful', 'Wes', 'Display', 'White', 'Plain', 'Kebuka', 'Asem', 'wry']</v>
      </c>
      <c r="D13953" s="3">
        <v>5.0</v>
      </c>
    </row>
    <row r="13954" ht="15.75" customHeight="1">
      <c r="A13954" s="1">
        <v>14846.0</v>
      </c>
      <c r="B13954" s="3" t="s">
        <v>13290</v>
      </c>
      <c r="C13954" s="3" t="str">
        <f>IFERROR(__xludf.DUMMYFUNCTION("GOOGLETRANSLATE(B13954,""id"",""en"")"),"['application', 'Bad', 'bangettt', 'info', 'details',' purchase ',' complete ',' ugly ',' really ',' polite ',' polite ',' udaaa ',' expensive ',' ugly ',' hope ',' enhanced ',' yaaaa ']")</f>
        <v>['application', 'Bad', 'bangettt', 'info', 'details',' purchase ',' complete ',' ugly ',' really ',' polite ',' polite ',' udaaa ',' expensive ',' ugly ',' hope ',' enhanced ',' yaaaa ']</v>
      </c>
      <c r="D13954" s="3">
        <v>1.0</v>
      </c>
    </row>
    <row r="13955" ht="15.75" customHeight="1">
      <c r="A13955" s="1">
        <v>14847.0</v>
      </c>
      <c r="B13955" s="3" t="s">
        <v>13291</v>
      </c>
      <c r="C13955" s="3" t="str">
        <f>IFERROR(__xludf.DUMMYFUNCTION("GOOGLETRANSLATE(B13955,""id"",""en"")"),"['Like', 'Nge', 'Bug', 'Select', 'Menu', 'Ntar', 'Stopped', 'Close']")</f>
        <v>['Like', 'Nge', 'Bug', 'Select', 'Menu', 'Ntar', 'Stopped', 'Close']</v>
      </c>
      <c r="D13955" s="3">
        <v>2.0</v>
      </c>
    </row>
    <row r="13956" ht="15.75" customHeight="1">
      <c r="A13956" s="1">
        <v>14848.0</v>
      </c>
      <c r="B13956" s="3" t="s">
        <v>13292</v>
      </c>
      <c r="C13956" s="3" t="str">
        <f>IFERROR(__xludf.DUMMYFUNCTION("GOOGLETRANSLATE(B13956,""id"",""en"")"),"['GMN', 'contact', 'Telkomsel', 'Open', 'Telkomsel', 'dropped', 'really']")</f>
        <v>['GMN', 'contact', 'Telkomsel', 'Open', 'Telkomsel', 'dropped', 'really']</v>
      </c>
      <c r="D13956" s="3">
        <v>2.0</v>
      </c>
    </row>
    <row r="13957" ht="15.75" customHeight="1">
      <c r="A13957" s="1">
        <v>14849.0</v>
      </c>
      <c r="B13957" s="3" t="s">
        <v>13293</v>
      </c>
      <c r="C13957" s="3" t="str">
        <f>IFERROR(__xludf.DUMMYFUNCTION("GOOGLETRANSLATE(B13957,""id"",""en"")"),"['Application', 'Version', 'Support', 'Congratulations', 'Stay', 'Application', 'Telkomsel', '']")</f>
        <v>['Application', 'Version', 'Support', 'Congratulations', 'Stay', 'Application', 'Telkomsel', '']</v>
      </c>
      <c r="D13957" s="3">
        <v>2.0</v>
      </c>
    </row>
    <row r="13958" ht="15.75" customHeight="1">
      <c r="A13958" s="1">
        <v>14850.0</v>
      </c>
      <c r="B13958" s="3" t="s">
        <v>13294</v>
      </c>
      <c r="C13958" s="3" t="str">
        <f>IFERROR(__xludf.DUMMYFUNCTION("GOOGLETRANSLATE(B13958,""id"",""en"")"),"['Hopefully', 'network', 'best', 'price', 'package', 'affordable']")</f>
        <v>['Hopefully', 'network', 'best', 'price', 'package', 'affordable']</v>
      </c>
      <c r="D13958" s="3">
        <v>5.0</v>
      </c>
    </row>
    <row r="13959" ht="15.75" customHeight="1">
      <c r="A13959" s="1">
        <v>14851.0</v>
      </c>
      <c r="B13959" s="3" t="s">
        <v>13295</v>
      </c>
      <c r="C13959" s="3" t="str">
        <f>IFERROR(__xludf.DUMMYFUNCTION("GOOGLETRANSLATE(B13959,""id"",""en"")"),"['The application', 'NGK', 'Bukak', 'Belik', 'Package', 'Season', 'NGK', 'Kebark', 'Application', 'Telkomsel', ""]")</f>
        <v>['The application', 'NGK', 'Bukak', 'Belik', 'Package', 'Season', 'NGK', 'Kebark', 'Application', 'Telkomsel', "]</v>
      </c>
      <c r="D13959" s="3">
        <v>2.0</v>
      </c>
    </row>
    <row r="13960" ht="15.75" customHeight="1">
      <c r="A13960" s="1">
        <v>14852.0</v>
      </c>
      <c r="B13960" s="3" t="s">
        <v>13296</v>
      </c>
      <c r="C13960" s="3" t="str">
        <f>IFERROR(__xludf.DUMMYFUNCTION("GOOGLETRANSLATE(B13960,""id"",""en"")"),"['Telkomsel', 'Weak', 'Network', 'Disappointed', 'Card', 'Hello', 'Signal', 'Slow', '']")</f>
        <v>['Telkomsel', 'Weak', 'Network', 'Disappointed', 'Card', 'Hello', 'Signal', 'Slow', '']</v>
      </c>
      <c r="D13960" s="3">
        <v>5.0</v>
      </c>
    </row>
    <row r="13961" ht="15.75" customHeight="1">
      <c r="A13961" s="1">
        <v>14853.0</v>
      </c>
      <c r="B13961" s="3" t="s">
        <v>355</v>
      </c>
      <c r="C13961" s="3" t="str">
        <f>IFERROR(__xludf.DUMMYFUNCTION("GOOGLETRANSLATE(B13961,""id"",""en"")"),"['open', '']")</f>
        <v>['open', '']</v>
      </c>
      <c r="D13961" s="3">
        <v>4.0</v>
      </c>
    </row>
    <row r="13962" ht="15.75" customHeight="1">
      <c r="A13962" s="1">
        <v>14854.0</v>
      </c>
      <c r="B13962" s="3" t="s">
        <v>13297</v>
      </c>
      <c r="C13962" s="3" t="str">
        <f>IFERROR(__xludf.DUMMYFUNCTION("GOOGLETRANSLATE(B13962,""id"",""en"")"),"['', 'Feel', 'App', 'Smartphone', 'Appendognic', 'Charming', 'Thank you', 'Bro', 'Greetings', ""]")</f>
        <v>['', 'Feel', 'App', 'Smartphone', 'Appendognic', 'Charming', 'Thank you', 'Bro', 'Greetings', "]</v>
      </c>
      <c r="D13962" s="3">
        <v>5.0</v>
      </c>
    </row>
    <row r="13963" ht="15.75" customHeight="1">
      <c r="A13963" s="1">
        <v>14855.0</v>
      </c>
      <c r="B13963" s="3" t="s">
        <v>13298</v>
      </c>
      <c r="C13963" s="3" t="str">
        <f>IFERROR(__xludf.DUMMYFUNCTION("GOOGLETRANSLATE(B13963,""id"",""en"")"),"['Complaint', 'Data', 'Multimedia', 'Used', 'Scorched', 'Expiration', 'YouTub', 'Application', 'Hibiran', 'Description', 'Data', 'Multimedia', ' App ',' Please ',' Fix ',' System ',' Taunya ',' Drain ',' User ', ""]")</f>
        <v>['Complaint', 'Data', 'Multimedia', 'Used', 'Scorched', 'Expiration', 'YouTub', 'Application', 'Hibiran', 'Description', 'Data', 'Multimedia', ' App ',' Please ',' Fix ',' System ',' Taunya ',' Drain ',' User ', "]</v>
      </c>
      <c r="D13963" s="3">
        <v>5.0</v>
      </c>
    </row>
    <row r="13964" ht="15.75" customHeight="1">
      <c r="A13964" s="1">
        <v>14856.0</v>
      </c>
      <c r="B13964" s="3" t="s">
        <v>13299</v>
      </c>
      <c r="C13964" s="3" t="str">
        <f>IFERROR(__xludf.DUMMYFUNCTION("GOOGLETRANSLATE(B13964,""id"",""en"")"),"['The application', 'ugly', 'good', '']")</f>
        <v>['The application', 'ugly', 'good', '']</v>
      </c>
      <c r="D13964" s="3">
        <v>1.0</v>
      </c>
    </row>
    <row r="13965" ht="15.75" customHeight="1">
      <c r="A13965" s="1">
        <v>14857.0</v>
      </c>
      <c r="B13965" s="3" t="s">
        <v>13300</v>
      </c>
      <c r="C13965" s="3" t="str">
        <f>IFERROR(__xludf.DUMMYFUNCTION("GOOGLETRANSLATE(B13965,""id"",""en"")"),"['Help', 'Goodjob', 'forget', 'share']")</f>
        <v>['Help', 'Goodjob', 'forget', 'share']</v>
      </c>
      <c r="D13965" s="3">
        <v>5.0</v>
      </c>
    </row>
    <row r="13966" ht="15.75" customHeight="1">
      <c r="A13966" s="1">
        <v>14858.0</v>
      </c>
      <c r="B13966" s="3" t="s">
        <v>13301</v>
      </c>
      <c r="C13966" s="3" t="str">
        <f>IFERROR(__xludf.DUMMYFUNCTION("GOOGLETRANSLATE(B13966,""id"",""en"")"),"['Assalamualaikum', 'Sorry', 'please', 'signal', 'fix', '']")</f>
        <v>['Assalamualaikum', 'Sorry', 'please', 'signal', 'fix', '']</v>
      </c>
      <c r="D13966" s="3">
        <v>4.0</v>
      </c>
    </row>
    <row r="13967" ht="15.75" customHeight="1">
      <c r="A13967" s="1">
        <v>14859.0</v>
      </c>
      <c r="B13967" s="3" t="s">
        <v>13302</v>
      </c>
      <c r="C13967" s="3" t="str">
        <f>IFERROR(__xludf.DUMMYFUNCTION("GOOGLETRANSLATE(B13967,""id"",""en"")"),"['Love', 'star', 'dlu', 'blum']")</f>
        <v>['Love', 'star', 'dlu', 'blum']</v>
      </c>
      <c r="D13967" s="3">
        <v>4.0</v>
      </c>
    </row>
    <row r="13968" ht="15.75" customHeight="1">
      <c r="A13968" s="1">
        <v>14860.0</v>
      </c>
      <c r="B13968" s="3" t="s">
        <v>13303</v>
      </c>
      <c r="C13968" s="3" t="str">
        <f>IFERROR(__xludf.DUMMYFUNCTION("GOOGLETRANSLATE(B13968,""id"",""en"")"),"['buy', 'package', 'description', 'already', 'succeed', 'quota', 'please', 'fast', 'fix', '']")</f>
        <v>['buy', 'package', 'description', 'already', 'succeed', 'quota', 'please', 'fast', 'fix', '']</v>
      </c>
      <c r="D13968" s="3">
        <v>1.0</v>
      </c>
    </row>
    <row r="13969" ht="15.75" customHeight="1">
      <c r="A13969" s="1">
        <v>14861.0</v>
      </c>
      <c r="B13969" s="3" t="s">
        <v>13304</v>
      </c>
      <c r="C13969" s="3" t="str">
        <f>IFERROR(__xludf.DUMMYFUNCTION("GOOGLETRANSLATE(B13969,""id"",""en"")"),"['Straws', 'pulses', 'strong', 'burst', 'Kenceng', 'Telkomsel', ""]")</f>
        <v>['Straws', 'pulses', 'strong', 'burst', 'Kenceng', 'Telkomsel', "]</v>
      </c>
      <c r="D13969" s="3">
        <v>1.0</v>
      </c>
    </row>
    <row r="13970" ht="15.75" customHeight="1">
      <c r="A13970" s="1">
        <v>14862.0</v>
      </c>
      <c r="B13970" s="3" t="s">
        <v>13305</v>
      </c>
      <c r="C13970" s="3" t="str">
        <f>IFERROR(__xludf.DUMMYFUNCTION("GOOGLETRANSLATE(B13970,""id"",""en"")"),"['network', 'internet', 'like', 'disorder']")</f>
        <v>['network', 'internet', 'like', 'disorder']</v>
      </c>
      <c r="D13970" s="3">
        <v>4.0</v>
      </c>
    </row>
    <row r="13971" ht="15.75" customHeight="1">
      <c r="A13971" s="1">
        <v>14863.0</v>
      </c>
      <c r="B13971" s="3" t="s">
        <v>13306</v>
      </c>
      <c r="C13971" s="3" t="str">
        <f>IFERROR(__xludf.DUMMYFUNCTION("GOOGLETRANSLATE(B13971,""id"",""en"")"),"['kho', 'update', 'login', 'apps', 'strange', 'really']")</f>
        <v>['kho', 'update', 'login', 'apps', 'strange', 'really']</v>
      </c>
      <c r="D13971" s="3">
        <v>5.0</v>
      </c>
    </row>
    <row r="13972" ht="15.75" customHeight="1">
      <c r="A13972" s="1">
        <v>14864.0</v>
      </c>
      <c r="B13972" s="3" t="s">
        <v>13307</v>
      </c>
      <c r="C13972" s="3" t="str">
        <f>IFERROR(__xludf.DUMMYFUNCTION("GOOGLETRANSLATE(B13972,""id"",""en"")"),"['Increase', 'discount', 'price', 'quota']")</f>
        <v>['Increase', 'discount', 'price', 'quota']</v>
      </c>
      <c r="D13972" s="3">
        <v>5.0</v>
      </c>
    </row>
    <row r="13973" ht="15.75" customHeight="1">
      <c r="A13973" s="1">
        <v>14865.0</v>
      </c>
      <c r="B13973" s="3" t="s">
        <v>13308</v>
      </c>
      <c r="C13973" s="3" t="str">
        <f>IFERROR(__xludf.DUMMYFUNCTION("GOOGLETRANSLATE(B13973,""id"",""en"")"),"['Most', 'update', 'mending', 'package', 'cheap']")</f>
        <v>['Most', 'update', 'mending', 'package', 'cheap']</v>
      </c>
      <c r="D13973" s="3">
        <v>1.0</v>
      </c>
    </row>
    <row r="13974" ht="15.75" customHeight="1">
      <c r="A13974" s="1">
        <v>14866.0</v>
      </c>
      <c r="B13974" s="3" t="s">
        <v>13309</v>
      </c>
      <c r="C13974" s="3" t="str">
        <f>IFERROR(__xludf.DUMMYFUNCTION("GOOGLETRANSLATE(B13974,""id"",""en"")"),"['updated', 'opened', '']")</f>
        <v>['updated', 'opened', '']</v>
      </c>
      <c r="D13974" s="3">
        <v>1.0</v>
      </c>
    </row>
    <row r="13975" ht="15.75" customHeight="1">
      <c r="A13975" s="1">
        <v>14867.0</v>
      </c>
      <c r="B13975" s="3" t="s">
        <v>13310</v>
      </c>
      <c r="C13975" s="3" t="str">
        <f>IFERROR(__xludf.DUMMYFUNCTION("GOOGLETRANSLATE(B13975,""id"",""en"")"),"['APK', 'BURIK', 'updated', 'opened']")</f>
        <v>['APK', 'BURIK', 'updated', 'opened']</v>
      </c>
      <c r="D13975" s="3">
        <v>1.0</v>
      </c>
    </row>
    <row r="13976" ht="15.75" customHeight="1">
      <c r="A13976" s="1">
        <v>14868.0</v>
      </c>
      <c r="B13976" s="3" t="s">
        <v>471</v>
      </c>
      <c r="C13976" s="3" t="str">
        <f>IFERROR(__xludf.DUMMYFUNCTION("GOOGLETRANSLATE(B13976,""id"",""en"")"),"['']")</f>
        <v>['']</v>
      </c>
      <c r="D13976" s="3">
        <v>5.0</v>
      </c>
    </row>
    <row r="13977" ht="15.75" customHeight="1">
      <c r="A13977" s="1">
        <v>14870.0</v>
      </c>
      <c r="B13977" s="3" t="s">
        <v>13311</v>
      </c>
      <c r="C13977" s="3" t="str">
        <f>IFERROR(__xludf.DUMMYFUNCTION("GOOGLETRANSLATE(B13977,""id"",""en"")"),"['Good', 'card', 'expensive', 'quota', 'internet', '']")</f>
        <v>['Good', 'card', 'expensive', 'quota', 'internet', '']</v>
      </c>
      <c r="D13977" s="3">
        <v>4.0</v>
      </c>
    </row>
    <row r="13978" ht="15.75" customHeight="1">
      <c r="A13978" s="1">
        <v>14871.0</v>
      </c>
      <c r="B13978" s="3" t="s">
        <v>1257</v>
      </c>
      <c r="C13978" s="3" t="str">
        <f>IFERROR(__xludf.DUMMYFUNCTION("GOOGLETRANSLATE(B13978,""id"",""en"")"),"['Opened']")</f>
        <v>['Opened']</v>
      </c>
      <c r="D13978" s="3">
        <v>1.0</v>
      </c>
    </row>
    <row r="13979" ht="15.75" customHeight="1">
      <c r="A13979" s="1">
        <v>14872.0</v>
      </c>
      <c r="B13979" s="3" t="s">
        <v>13312</v>
      </c>
      <c r="C13979" s="3" t="str">
        <f>IFERROR(__xludf.DUMMYFUNCTION("GOOGLETRANSLATE(B13979,""id"",""en"")"),"['package', 'may', 'expensive']")</f>
        <v>['package', 'may', 'expensive']</v>
      </c>
      <c r="D13979" s="3">
        <v>2.0</v>
      </c>
    </row>
    <row r="13980" ht="15.75" customHeight="1">
      <c r="A13980" s="1">
        <v>14873.0</v>
      </c>
      <c r="B13980" s="3" t="s">
        <v>13313</v>
      </c>
      <c r="C13980" s="3" t="str">
        <f>IFERROR(__xludf.DUMMYFUNCTION("GOOGLETRANSLATE(B13980,""id"",""en"")"),"['open', 'screen', 'white', 'please', 'repair']")</f>
        <v>['open', 'screen', 'white', 'please', 'repair']</v>
      </c>
      <c r="D13980" s="3">
        <v>1.0</v>
      </c>
    </row>
    <row r="13981" ht="15.75" customHeight="1">
      <c r="A13981" s="1">
        <v>14874.0</v>
      </c>
      <c r="B13981" s="3" t="s">
        <v>13314</v>
      </c>
      <c r="C13981" s="3" t="str">
        <f>IFERROR(__xludf.DUMMYFUNCTION("GOOGLETRANSLATE(B13981,""id"",""en"")"),"['', 'registered', 'card', 'Hallo', 'GraPARI', 'Telkomsel', 'stop', 'subscribe', 'solution', 'MLH', 'his officer', 'the card', 'scorched ',' KLU ',' stop ',' subscribe ',' NMR ',' please ',' solution ',' cmn ',' usually ',' talk ',' replace ',' nmr ']")</f>
        <v>['', 'registered', 'card', 'Hallo', 'GraPARI', 'Telkomsel', 'stop', 'subscribe', 'solution', 'MLH', 'his officer', 'the card', 'scorched ',' KLU ',' stop ',' subscribe ',' NMR ',' please ',' solution ',' cmn ',' usually ',' talk ',' replace ',' nmr ']</v>
      </c>
      <c r="D13981" s="3">
        <v>2.0</v>
      </c>
    </row>
    <row r="13982" ht="15.75" customHeight="1">
      <c r="A13982" s="1">
        <v>14875.0</v>
      </c>
      <c r="B13982" s="3" t="s">
        <v>13315</v>
      </c>
      <c r="C13982" s="3" t="str">
        <f>IFERROR(__xludf.DUMMYFUNCTION("GOOGLETRANSLATE(B13982,""id"",""en"")"),"['System', 'error', 'pulses',' truncated ',' appears', 'notification', 'internet', 'package', 'wifi', 'as a result', 'pulse', 'kta', ' Cutting ',' Please ',' System ',' Repaired ',' Thank you ']")</f>
        <v>['System', 'error', 'pulses',' truncated ',' appears', 'notification', 'internet', 'package', 'wifi', 'as a result', 'pulse', 'kta', ' Cutting ',' Please ',' System ',' Repaired ',' Thank you ']</v>
      </c>
      <c r="D13982" s="3">
        <v>3.0</v>
      </c>
    </row>
    <row r="13983" ht="15.75" customHeight="1">
      <c r="A13983" s="1">
        <v>14876.0</v>
      </c>
      <c r="B13983" s="3" t="s">
        <v>13316</v>
      </c>
      <c r="C13983" s="3" t="str">
        <f>IFERROR(__xludf.DUMMYFUNCTION("GOOGLETRANSLATE(B13983,""id"",""en"")"),"['', 'Link', 'Block', 'bgmna', 'open', 'block']")</f>
        <v>['', 'Link', 'Block', 'bgmna', 'open', 'block']</v>
      </c>
      <c r="D13983" s="3">
        <v>5.0</v>
      </c>
    </row>
    <row r="13984" ht="15.75" customHeight="1">
      <c r="A13984" s="1">
        <v>14877.0</v>
      </c>
      <c r="B13984" s="3" t="s">
        <v>13317</v>
      </c>
      <c r="C13984" s="3" t="str">
        <f>IFERROR(__xludf.DUMMYFUNCTION("GOOGLETRANSLATE(B13984,""id"",""en"")"),"['', 'reach', 'signal', 'broad', '']")</f>
        <v>['', 'reach', 'signal', 'broad', '']</v>
      </c>
      <c r="D13984" s="3">
        <v>5.0</v>
      </c>
    </row>
    <row r="13985" ht="15.75" customHeight="1">
      <c r="A13985" s="1">
        <v>14878.0</v>
      </c>
      <c r="B13985" s="3" t="s">
        <v>2727</v>
      </c>
      <c r="C13985" s="3" t="str">
        <f>IFERROR(__xludf.DUMMYFUNCTION("GOOGLETRANSLATE(B13985,""id"",""en"")"),"['Opened', '']")</f>
        <v>['Opened', '']</v>
      </c>
      <c r="D13985" s="3">
        <v>2.0</v>
      </c>
    </row>
    <row r="13986" ht="15.75" customHeight="1">
      <c r="A13986" s="1">
        <v>14879.0</v>
      </c>
      <c r="B13986" s="3" t="s">
        <v>13318</v>
      </c>
      <c r="C13986" s="3" t="str">
        <f>IFERROR(__xludf.DUMMYFUNCTION("GOOGLETRANSLATE(B13986,""id"",""en"")"),"['Network', 'missing', 'sudden', 'complain', 'answer', 'told', 'mode', 'plane', 'mulu']")</f>
        <v>['Network', 'missing', 'sudden', 'complain', 'answer', 'told', 'mode', 'plane', 'mulu']</v>
      </c>
      <c r="D13986" s="3">
        <v>1.0</v>
      </c>
    </row>
    <row r="13987" ht="15.75" customHeight="1">
      <c r="A13987" s="1">
        <v>14880.0</v>
      </c>
      <c r="B13987" s="3" t="s">
        <v>13319</v>
      </c>
      <c r="C13987" s="3" t="str">
        <f>IFERROR(__xludf.DUMMYFUNCTION("GOOGLETRANSLATE(B13987,""id"",""en"")"),"['application', 'Telkomsel', 'bad', 'application', 'open', 'told', 'contact', 'tweeter', 'response']")</f>
        <v>['application', 'Telkomsel', 'bad', 'application', 'open', 'told', 'contact', 'tweeter', 'response']</v>
      </c>
      <c r="D13987" s="3">
        <v>1.0</v>
      </c>
    </row>
    <row r="13988" ht="15.75" customHeight="1">
      <c r="A13988" s="1">
        <v>14881.0</v>
      </c>
      <c r="B13988" s="3" t="s">
        <v>13320</v>
      </c>
      <c r="C13988" s="3" t="str">
        <f>IFERROR(__xludf.DUMMYFUNCTION("GOOGLETRANSLATE(B13988,""id"",""en"")"),"['', 'application', 'good', 'got', 'gift', 'luck', 'disappointed']")</f>
        <v>['', 'application', 'good', 'got', 'gift', 'luck', 'disappointed']</v>
      </c>
      <c r="D13988" s="3">
        <v>4.0</v>
      </c>
    </row>
    <row r="13989" ht="15.75" customHeight="1">
      <c r="A13989" s="1">
        <v>14882.0</v>
      </c>
      <c r="B13989" s="3" t="s">
        <v>13321</v>
      </c>
      <c r="C13989" s="3" t="str">
        <f>IFERROR(__xludf.DUMMYFUNCTION("GOOGLETRANSLATE(B13989,""id"",""en"")"),"['Sorry', 'application', 'MyTelkomsel', 'skrg', 'opened', 'knp', 'star', '']")</f>
        <v>['Sorry', 'application', 'MyTelkomsel', 'skrg', 'opened', 'knp', 'star', '']</v>
      </c>
      <c r="D13989" s="3">
        <v>2.0</v>
      </c>
    </row>
    <row r="13990" ht="15.75" customHeight="1">
      <c r="A13990" s="1">
        <v>14883.0</v>
      </c>
      <c r="B13990" s="3" t="s">
        <v>13322</v>
      </c>
      <c r="C13990" s="3" t="str">
        <f>IFERROR(__xludf.DUMMYFUNCTION("GOOGLETRANSLATE(B13990,""id"",""en"")"),"['user', 'loyal', 'Telkomsel', 'TPI', 'price', 'package', 'internet', 'expensive', 'expensive', 'different', 'provider', 'price', ' Package ',' Cheap ',' Network ',' Good ',' Signal ',' Semkin ',' Severe ',' Disappointed ',' Telkomsel ',' Please ',' Incre"&amp;"ase ',' Service ',' Connection ' , 'internet', 'please', 'consider', 'price', 'package', 'internet', 'sorry', 'love', 'star', '']")</f>
        <v>['user', 'loyal', 'Telkomsel', 'TPI', 'price', 'package', 'internet', 'expensive', 'expensive', 'different', 'provider', 'price', ' Package ',' Cheap ',' Network ',' Good ',' Signal ',' Semkin ',' Severe ',' Disappointed ',' Telkomsel ',' Please ',' Increase ',' Service ',' Connection ' , 'internet', 'please', 'consider', 'price', 'package', 'internet', 'sorry', 'love', 'star', '']</v>
      </c>
      <c r="D13990" s="3">
        <v>1.0</v>
      </c>
    </row>
    <row r="13991" ht="15.75" customHeight="1">
      <c r="A13991" s="1">
        <v>14884.0</v>
      </c>
      <c r="B13991" s="3" t="s">
        <v>13323</v>
      </c>
      <c r="C13991" s="3" t="str">
        <f>IFERROR(__xludf.DUMMYFUNCTION("GOOGLETRANSLATE(B13991,""id"",""en"")"),"['Application', 'jammed', 'package', 'expensive', 'update', 'open', 'the application']")</f>
        <v>['Application', 'jammed', 'package', 'expensive', 'update', 'open', 'the application']</v>
      </c>
      <c r="D13991" s="3">
        <v>1.0</v>
      </c>
    </row>
    <row r="13992" ht="15.75" customHeight="1">
      <c r="A13992" s="1">
        <v>14885.0</v>
      </c>
      <c r="B13992" s="3" t="s">
        <v>13324</v>
      </c>
      <c r="C13992" s="3" t="str">
        <f>IFERROR(__xludf.DUMMYFUNCTION("GOOGLETRANSLATE(B13992,""id"",""en"")"),"['signal', 'down', 'best', 'Place', '']")</f>
        <v>['signal', 'down', 'best', 'Place', '']</v>
      </c>
      <c r="D13992" s="3">
        <v>5.0</v>
      </c>
    </row>
    <row r="13993" ht="15.75" customHeight="1">
      <c r="A13993" s="1">
        <v>14886.0</v>
      </c>
      <c r="B13993" s="3" t="s">
        <v>13325</v>
      </c>
      <c r="C13993" s="3" t="str">
        <f>IFERROR(__xludf.DUMMYFUNCTION("GOOGLETRANSLATE(B13993,""id"",""en"")"),"['The application', 'good', 'sometimes', 'promo', 'data', 'per month']")</f>
        <v>['The application', 'good', 'sometimes', 'promo', 'data', 'per month']</v>
      </c>
      <c r="D13993" s="3">
        <v>4.0</v>
      </c>
    </row>
    <row r="13994" ht="15.75" customHeight="1">
      <c r="A13994" s="1">
        <v>14887.0</v>
      </c>
      <c r="B13994" s="3" t="s">
        <v>13326</v>
      </c>
      <c r="C13994" s="3" t="str">
        <f>IFERROR(__xludf.DUMMYFUNCTION("GOOGLETRANSLATE(B13994,""id"",""en"")"),"['', 'Open', 'The application', '']")</f>
        <v>['', 'Open', 'The application', '']</v>
      </c>
      <c r="D13994" s="3">
        <v>1.0</v>
      </c>
    </row>
    <row r="13995" ht="15.75" customHeight="1">
      <c r="A13995" s="1">
        <v>14888.0</v>
      </c>
      <c r="B13995" s="3" t="s">
        <v>13327</v>
      </c>
      <c r="C13995" s="3" t="str">
        <f>IFERROR(__xludf.DUMMYFUNCTION("GOOGLETRANSLATE(B13995,""id"",""en"")"),"['SBS', 'Good']")</f>
        <v>['SBS', 'Good']</v>
      </c>
      <c r="D13995" s="3">
        <v>5.0</v>
      </c>
    </row>
    <row r="13996" ht="15.75" customHeight="1">
      <c r="A13996" s="1">
        <v>14889.0</v>
      </c>
      <c r="B13996" s="3" t="s">
        <v>13328</v>
      </c>
      <c r="C13996" s="3" t="str">
        <f>IFERROR(__xludf.DUMMYFUNCTION("GOOGLETRANSLATE(B13996,""id"",""en"")"),"['Telkomsel', 'activity', 'work', 'easy']")</f>
        <v>['Telkomsel', 'activity', 'work', 'easy']</v>
      </c>
      <c r="D13996" s="3">
        <v>5.0</v>
      </c>
    </row>
    <row r="13997" ht="15.75" customHeight="1">
      <c r="A13997" s="1">
        <v>14890.0</v>
      </c>
      <c r="B13997" s="3" t="s">
        <v>5232</v>
      </c>
      <c r="C13997" s="3" t="str">
        <f>IFERROR(__xludf.DUMMYFUNCTION("GOOGLETRANSLATE(B13997,""id"",""en"")"),"['Package', 'cheap']")</f>
        <v>['Package', 'cheap']</v>
      </c>
      <c r="D13997" s="3">
        <v>5.0</v>
      </c>
    </row>
    <row r="13998" ht="15.75" customHeight="1">
      <c r="A13998" s="1">
        <v>14891.0</v>
      </c>
      <c r="B13998" s="3" t="s">
        <v>13329</v>
      </c>
      <c r="C13998" s="3" t="str">
        <f>IFERROR(__xludf.DUMMYFUNCTION("GOOGLETRANSLATE(B13998,""id"",""en"")"),"['The language', 'easy', 'understand']")</f>
        <v>['The language', 'easy', 'understand']</v>
      </c>
      <c r="D13998" s="3">
        <v>4.0</v>
      </c>
    </row>
    <row r="13999" ht="15.75" customHeight="1">
      <c r="A13999" s="1">
        <v>14892.0</v>
      </c>
      <c r="B13999" s="3" t="s">
        <v>13330</v>
      </c>
      <c r="C13999" s="3" t="str">
        <f>IFERROR(__xludf.DUMMYFUNCTION("GOOGLETRANSLATE(B13999,""id"",""en"")"),"['point', 'nkurang', 'strong', 'coast']")</f>
        <v>['point', 'nkurang', 'strong', 'coast']</v>
      </c>
      <c r="D13999" s="3">
        <v>1.0</v>
      </c>
    </row>
    <row r="14000" ht="15.75" customHeight="1">
      <c r="A14000" s="1">
        <v>14893.0</v>
      </c>
      <c r="B14000" s="3" t="s">
        <v>13331</v>
      </c>
      <c r="C14000" s="3" t="str">
        <f>IFERROR(__xludf.DUMMYFUNCTION("GOOGLETRANSLATE(B14000,""id"",""en"")"),"['Please', 'sorry', 'kak', 'blablabla', 'bknnya', 'complaints',' customer ',' told ',' apk ',' open ',' ngeyel ',' Telkomsel ',' "", 'Bener', 'Service', '']")</f>
        <v>['Please', 'sorry', 'kak', 'blablabla', 'bknnya', 'complaints',' customer ',' told ',' apk ',' open ',' ngeyel ',' Telkomsel ',' ", 'Bener', 'Service', '']</v>
      </c>
      <c r="D14000" s="3">
        <v>1.0</v>
      </c>
    </row>
    <row r="14001" ht="15.75" customHeight="1">
      <c r="A14001" s="1">
        <v>14894.0</v>
      </c>
      <c r="B14001" s="3" t="s">
        <v>13332</v>
      </c>
      <c r="C14001" s="3" t="str">
        <f>IFERROR(__xludf.DUMMYFUNCTION("GOOGLETRANSLATE(B14001,""id"",""en"")"),"['opened', 'screen', 'white', 'install']")</f>
        <v>['opened', 'screen', 'white', 'install']</v>
      </c>
      <c r="D14001" s="3">
        <v>1.0</v>
      </c>
    </row>
    <row r="14002" ht="15.75" customHeight="1">
      <c r="A14002" s="1">
        <v>14895.0</v>
      </c>
      <c r="B14002" s="3" t="s">
        <v>13333</v>
      </c>
      <c r="C14002" s="3" t="str">
        <f>IFERROR(__xludf.DUMMYFUNCTION("GOOGLETRANSLATE(B14002,""id"",""en"")"),"['signal', 'ugly', 'skrg', 'buffring']")</f>
        <v>['signal', 'ugly', 'skrg', 'buffring']</v>
      </c>
      <c r="D14002" s="3">
        <v>1.0</v>
      </c>
    </row>
    <row r="14003" ht="15.75" customHeight="1">
      <c r="A14003" s="1">
        <v>14896.0</v>
      </c>
      <c r="B14003" s="3" t="s">
        <v>13334</v>
      </c>
      <c r="C14003" s="3" t="str">
        <f>IFERROR(__xludf.DUMMYFUNCTION("GOOGLETRANSLATE(B14003,""id"",""en"")"),"['knapa', 'network', 'ubrub']")</f>
        <v>['knapa', 'network', 'ubrub']</v>
      </c>
      <c r="D14003" s="3">
        <v>1.0</v>
      </c>
    </row>
    <row r="14004" ht="15.75" customHeight="1">
      <c r="A14004" s="1">
        <v>14897.0</v>
      </c>
      <c r="B14004" s="3" t="s">
        <v>13335</v>
      </c>
      <c r="C14004" s="3" t="str">
        <f>IFERROR(__xludf.DUMMYFUNCTION("GOOGLETRANSLATE(B14004,""id"",""en"")"),"['Disappointed', 'Telkomsel', 'skrng', 'package', 'expensive', 'tdinya', 'severe', 'really', 'please', 'stabilize']")</f>
        <v>['Disappointed', 'Telkomsel', 'skrng', 'package', 'expensive', 'tdinya', 'severe', 'really', 'please', 'stabilize']</v>
      </c>
      <c r="D14004" s="3">
        <v>2.0</v>
      </c>
    </row>
    <row r="14005" ht="15.75" customHeight="1">
      <c r="A14005" s="1">
        <v>14898.0</v>
      </c>
      <c r="B14005" s="3" t="s">
        <v>13336</v>
      </c>
      <c r="C14005" s="3" t="str">
        <f>IFERROR(__xludf.DUMMYFUNCTION("GOOGLETRANSLATE(B14005,""id"",""en"")"),"['', 'really', 'Success', 'Telkomsel', '']")</f>
        <v>['', 'really', 'Success', 'Telkomsel', '']</v>
      </c>
      <c r="D14005" s="3">
        <v>5.0</v>
      </c>
    </row>
    <row r="14006" ht="15.75" customHeight="1">
      <c r="A14006" s="1">
        <v>14899.0</v>
      </c>
      <c r="B14006" s="3" t="s">
        <v>13337</v>
      </c>
      <c r="C14006" s="3" t="str">
        <f>IFERROR(__xludf.DUMMYFUNCTION("GOOGLETRANSLATE(B14006,""id"",""en"")"),"['Internet', 'Local', 'used', 'already', 'buy', 'activation', 'Gianyar', 'Karangasem', 'brought', 'work', 'area', 'Badung' right ',' Gianyar ',' said ',' Badung ',' JDI ',' Internet ',' Local ',' Dipke ',' Many ',' Sampe ',' Buy ',' PKET ',' Internet ' , "&amp;"'Gini', 'Ama', 'Customer']")</f>
        <v>['Internet', 'Local', 'used', 'already', 'buy', 'activation', 'Gianyar', 'Karangasem', 'brought', 'work', 'area', 'Badung' right ',' Gianyar ',' said ',' Badung ',' JDI ',' Internet ',' Local ',' Dipke ',' Many ',' Sampe ',' Buy ',' PKET ',' Internet ' , 'Gini', 'Ama', 'Customer']</v>
      </c>
      <c r="D14006" s="3">
        <v>1.0</v>
      </c>
    </row>
    <row r="14007" ht="15.75" customHeight="1">
      <c r="A14007" s="1">
        <v>14900.0</v>
      </c>
      <c r="B14007" s="3" t="s">
        <v>13338</v>
      </c>
      <c r="C14007" s="3" t="str">
        <f>IFERROR(__xludf.DUMMYFUNCTION("GOOGLETRANSLATE(B14007,""id"",""en"")"),"['Please', 'repaired', 'upgrade', 'application', 'open', 'screen', 'white', 'leftover', 'pulse', 'package', 'data', 'application', ' Opened ',' ']")</f>
        <v>['Please', 'repaired', 'upgrade', 'application', 'open', 'screen', 'white', 'leftover', 'pulse', 'package', 'data', 'application', ' Opened ',' ']</v>
      </c>
      <c r="D14007" s="3">
        <v>2.0</v>
      </c>
    </row>
    <row r="14008" ht="15.75" customHeight="1">
      <c r="A14008" s="1">
        <v>14901.0</v>
      </c>
      <c r="B14008" s="3" t="s">
        <v>13339</v>
      </c>
      <c r="C14008" s="3" t="str">
        <f>IFERROR(__xludf.DUMMYFUNCTION("GOOGLETRANSLATE(B14008,""id"",""en"")"),"['Open', 'Application', 'MyTelkomsel', 'Screen', 'Blank', 'White', 'Litu', 'Hbs', 'Update', ""]")</f>
        <v>['Open', 'Application', 'MyTelkomsel', 'Screen', 'Blank', 'White', 'Litu', 'Hbs', 'Update', "]</v>
      </c>
      <c r="D14008" s="3">
        <v>1.0</v>
      </c>
    </row>
    <row r="14009" ht="15.75" customHeight="1">
      <c r="A14009" s="1">
        <v>14902.0</v>
      </c>
      <c r="B14009" s="3" t="s">
        <v>13340</v>
      </c>
      <c r="C14009" s="3" t="str">
        <f>IFERROR(__xludf.DUMMYFUNCTION("GOOGLETRANSLATE(B14009,""id"",""en"")"),"['Kuta', 'expensive', 'please', 'pandemic', 'collapsed', 'price']")</f>
        <v>['Kuta', 'expensive', 'please', 'pandemic', 'collapsed', 'price']</v>
      </c>
      <c r="D14009" s="3">
        <v>4.0</v>
      </c>
    </row>
    <row r="14010" ht="15.75" customHeight="1">
      <c r="A14010" s="1">
        <v>14903.0</v>
      </c>
      <c r="B14010" s="3" t="s">
        <v>13341</v>
      </c>
      <c r="C14010" s="3" t="str">
        <f>IFERROR(__xludf.DUMMYFUNCTION("GOOGLETRANSLATE(B14010,""id"",""en"")"),"['expensive', 'aje', 'package', '']")</f>
        <v>['expensive', 'aje', 'package', '']</v>
      </c>
      <c r="D14010" s="3">
        <v>1.0</v>
      </c>
    </row>
    <row r="14011" ht="15.75" customHeight="1">
      <c r="A14011" s="1">
        <v>14904.0</v>
      </c>
      <c r="B14011" s="3" t="s">
        <v>13342</v>
      </c>
      <c r="C14011" s="3" t="str">
        <f>IFERROR(__xludf.DUMMYFUNCTION("GOOGLETRANSLATE(B14011,""id"",""en"")"),"['Easy', 'prize']")</f>
        <v>['Easy', 'prize']</v>
      </c>
      <c r="D14011" s="3">
        <v>5.0</v>
      </c>
    </row>
    <row r="14012" ht="15.75" customHeight="1">
      <c r="A14012" s="1">
        <v>14905.0</v>
      </c>
      <c r="B14012" s="3" t="s">
        <v>13343</v>
      </c>
      <c r="C14012" s="3" t="str">
        <f>IFERROR(__xludf.DUMMYFUNCTION("GOOGLETRANSLATE(B14012,""id"",""en"")"),"['Recommended', 'Package', 'Internet', 'Cheapest', '']")</f>
        <v>['Recommended', 'Package', 'Internet', 'Cheapest', '']</v>
      </c>
      <c r="D14012" s="3">
        <v>5.0</v>
      </c>
    </row>
    <row r="14013" ht="15.75" customHeight="1">
      <c r="A14013" s="1">
        <v>14906.0</v>
      </c>
      <c r="B14013" s="3" t="s">
        <v>13344</v>
      </c>
      <c r="C14013" s="3" t="str">
        <f>IFERROR(__xludf.DUMMYFUNCTION("GOOGLETRANSLATE(B14013,""id"",""en"")"),"['hope', 'package', 'cheap', 'saktinya']")</f>
        <v>['hope', 'package', 'cheap', 'saktinya']</v>
      </c>
      <c r="D14013" s="3">
        <v>5.0</v>
      </c>
    </row>
    <row r="14014" ht="15.75" customHeight="1">
      <c r="A14014" s="1">
        <v>14907.0</v>
      </c>
      <c r="B14014" s="3" t="s">
        <v>13345</v>
      </c>
      <c r="C14014" s="3" t="str">
        <f>IFERROR(__xludf.DUMMYFUNCTION("GOOGLETRANSLATE(B14014,""id"",""en"")"),"['Login', 'please', 'fix']")</f>
        <v>['Login', 'please', 'fix']</v>
      </c>
      <c r="D14014" s="3">
        <v>2.0</v>
      </c>
    </row>
    <row r="14015" ht="15.75" customHeight="1">
      <c r="A14015" s="1">
        <v>14908.0</v>
      </c>
      <c r="B14015" s="3" t="s">
        <v>13346</v>
      </c>
      <c r="C14015" s="3" t="str">
        <f>IFERROR(__xludf.DUMMYFUNCTION("GOOGLETRANSLATE(B14015,""id"",""en"")"),"['application', 'mantep', 'really', '']")</f>
        <v>['application', 'mantep', 'really', '']</v>
      </c>
      <c r="D14015" s="3">
        <v>5.0</v>
      </c>
    </row>
    <row r="14016" ht="15.75" customHeight="1">
      <c r="A14016" s="1">
        <v>14909.0</v>
      </c>
      <c r="B14016" s="3" t="s">
        <v>13347</v>
      </c>
      <c r="C14016" s="3" t="str">
        <f>IFERROR(__xludf.DUMMYFUNCTION("GOOGLETRANSLATE(B14016,""id"",""en"")"),"['Change', 'version', 'stone', 'account', 'opened', 'screen', 'srlalu', 'white', 'please', 'concerned', 'Udh', 'pakrt', ' Telkomsel ',' skrng ',' expensive ',' Jngan ',' Gara ',' ']")</f>
        <v>['Change', 'version', 'stone', 'account', 'opened', 'screen', 'srlalu', 'white', 'please', 'concerned', 'Udh', 'pakrt', ' Telkomsel ',' skrng ',' expensive ',' Jngan ',' Gara ',' ']</v>
      </c>
      <c r="D14016" s="3">
        <v>1.0</v>
      </c>
    </row>
    <row r="14017" ht="15.75" customHeight="1">
      <c r="A14017" s="1">
        <v>14910.0</v>
      </c>
      <c r="B14017" s="3" t="s">
        <v>13348</v>
      </c>
      <c r="C14017" s="3" t="str">
        <f>IFERROR(__xludf.DUMMYFUNCTION("GOOGLETRANSLATE(B14017,""id"",""en"")"),"['Telkomsel', 'Hope', 'Leading', 'aspects', 'service', 'surprise', 'customer']")</f>
        <v>['Telkomsel', 'Hope', 'Leading', 'aspects', 'service', 'surprise', 'customer']</v>
      </c>
      <c r="D14017" s="3">
        <v>5.0</v>
      </c>
    </row>
    <row r="14018" ht="15.75" customHeight="1">
      <c r="A14018" s="1">
        <v>14911.0</v>
      </c>
      <c r="B14018" s="3" t="s">
        <v>13349</v>
      </c>
      <c r="C14018" s="3" t="str">
        <f>IFERROR(__xludf.DUMMYFUNCTION("GOOGLETRANSLATE(B14018,""id"",""en"")"),"['Thanks', 'application', 'Nyah', 'help', 'really']")</f>
        <v>['Thanks', 'application', 'Nyah', 'help', 'really']</v>
      </c>
      <c r="D14018" s="3">
        <v>5.0</v>
      </c>
    </row>
    <row r="14019" ht="15.75" customHeight="1">
      <c r="A14019" s="1">
        <v>14912.0</v>
      </c>
      <c r="B14019" s="3" t="s">
        <v>13350</v>
      </c>
      <c r="C14019" s="3" t="str">
        <f>IFERROR(__xludf.DUMMYFUNCTION("GOOGLETRANSLATE(B14019,""id"",""en"")"),"['Open', 'Telkom', 'cell', 'slow']")</f>
        <v>['Open', 'Telkom', 'cell', 'slow']</v>
      </c>
      <c r="D14019" s="3">
        <v>5.0</v>
      </c>
    </row>
    <row r="14020" ht="15.75" customHeight="1">
      <c r="A14020" s="1">
        <v>14913.0</v>
      </c>
      <c r="B14020" s="3" t="s">
        <v>13351</v>
      </c>
      <c r="C14020" s="3" t="str">
        <f>IFERROR(__xludf.DUMMYFUNCTION("GOOGLETRANSLATE(B14020,""id"",""en"")"),"['The application', 'Nge', 'Bug', 'Kayak', 'Gini', 'Please', 'Notice', '']")</f>
        <v>['The application', 'Nge', 'Bug', 'Kayak', 'Gini', 'Please', 'Notice', '']</v>
      </c>
      <c r="D14020" s="3">
        <v>1.0</v>
      </c>
    </row>
    <row r="14021" ht="15.75" customHeight="1">
      <c r="A14021" s="1">
        <v>14914.0</v>
      </c>
      <c r="B14021" s="3" t="s">
        <v>13352</v>
      </c>
      <c r="C14021" s="3" t="str">
        <f>IFERROR(__xludf.DUMMYFUNCTION("GOOGLETRANSLATE(B14021,""id"",""en"")"),"['Network', 'ugly', 'broke', 'quota', 'fast', 'run out', 'quota', 'unlimited', 'original', 'ugly', 'the network', 'broke', ' Plus', 'SMS', 'Enter', 'Trapping', 'SMS', 'Repair', 'Service', 'Consumer', 'Move', 'Heart']")</f>
        <v>['Network', 'ugly', 'broke', 'quota', 'fast', 'run out', 'quota', 'unlimited', 'original', 'ugly', 'the network', 'broke', ' Plus', 'SMS', 'Enter', 'Trapping', 'SMS', 'Repair', 'Service', 'Consumer', 'Move', 'Heart']</v>
      </c>
      <c r="D14021" s="3">
        <v>1.0</v>
      </c>
    </row>
    <row r="14022" ht="15.75" customHeight="1">
      <c r="A14022" s="1">
        <v>14915.0</v>
      </c>
      <c r="B14022" s="3" t="s">
        <v>13353</v>
      </c>
      <c r="C14022" s="3" t="str">
        <f>IFERROR(__xludf.DUMMYFUNCTION("GOOGLETRANSLATE(B14022,""id"",""en"")"),"['already', 'unistal', 'the application', 'no', 'open', 'disappointed', 'already', 'berun', 'customer', ""]")</f>
        <v>['already', 'unistal', 'the application', 'no', 'open', 'disappointed', 'already', 'berun', 'customer', "]</v>
      </c>
      <c r="D14022" s="3">
        <v>1.0</v>
      </c>
    </row>
    <row r="14023" ht="15.75" customHeight="1">
      <c r="A14023" s="1">
        <v>14916.0</v>
      </c>
      <c r="B14023" s="3" t="s">
        <v>7742</v>
      </c>
      <c r="C14023" s="3" t="str">
        <f>IFERROR(__xludf.DUMMYFUNCTION("GOOGLETRANSLATE(B14023,""id"",""en"")"),"['thank you', '']")</f>
        <v>['thank you', '']</v>
      </c>
      <c r="D14023" s="3">
        <v>5.0</v>
      </c>
    </row>
    <row r="14024" ht="15.75" customHeight="1">
      <c r="A14024" s="1">
        <v>14917.0</v>
      </c>
      <c r="B14024" s="3" t="s">
        <v>13354</v>
      </c>
      <c r="C14024" s="3" t="str">
        <f>IFERROR(__xludf.DUMMYFUNCTION("GOOGLETRANSLATE(B14024,""id"",""en"")"),"['application', 'access', '']")</f>
        <v>['application', 'access', '']</v>
      </c>
      <c r="D14024" s="3">
        <v>2.0</v>
      </c>
    </row>
    <row r="14025" ht="15.75" customHeight="1">
      <c r="A14025" s="1">
        <v>14918.0</v>
      </c>
      <c r="B14025" s="3" t="s">
        <v>13355</v>
      </c>
      <c r="C14025" s="3" t="str">
        <f>IFERROR(__xludf.DUMMYFUNCTION("GOOGLETRANSLATE(B14025,""id"",""en"")"),"['Dikon']")</f>
        <v>['Dikon']</v>
      </c>
      <c r="D14025" s="3">
        <v>5.0</v>
      </c>
    </row>
    <row r="14026" ht="15.75" customHeight="1">
      <c r="A14026" s="1">
        <v>14919.0</v>
      </c>
      <c r="B14026" s="3" t="s">
        <v>13356</v>
      </c>
      <c r="C14026" s="3" t="str">
        <f>IFERROR(__xludf.DUMMYFUNCTION("GOOGLETRANSLATE(B14026,""id"",""en"")"),"['package', 'good', 'klu', 'mahh', 'all', 'jnga', 'divided', 'so', 'coakes', 'loading', 'mulu', ""]")</f>
        <v>['package', 'good', 'klu', 'mahh', 'all', 'jnga', 'divided', 'so', 'coakes', 'loading', 'mulu', "]</v>
      </c>
      <c r="D14026" s="3">
        <v>5.0</v>
      </c>
    </row>
    <row r="14027" ht="15.75" customHeight="1">
      <c r="A14027" s="1">
        <v>14920.0</v>
      </c>
      <c r="B14027" s="3" t="s">
        <v>13357</v>
      </c>
      <c r="C14027" s="3" t="str">
        <f>IFERROR(__xludf.DUMMYFUNCTION("GOOGLETRANSLATE(B14027,""id"",""en"")"),"['Help', 'user', 'purchase', 'package', 'internet', 'lbih', 'cheap', 'dri', 'pket', 'out', 'apikasinx', 'price', ' Packagenx ',' ']")</f>
        <v>['Help', 'user', 'purchase', 'package', 'internet', 'lbih', 'cheap', 'dri', 'pket', 'out', 'apikasinx', 'price', ' Packagenx ',' ']</v>
      </c>
      <c r="D14027" s="3">
        <v>4.0</v>
      </c>
    </row>
    <row r="14028" ht="15.75" customHeight="1">
      <c r="A14028" s="1">
        <v>14921.0</v>
      </c>
      <c r="B14028" s="3" t="s">
        <v>13358</v>
      </c>
      <c r="C14028" s="3" t="str">
        <f>IFERROR(__xludf.DUMMYFUNCTION("GOOGLETRANSLATE(B14028,""id"",""en"")"),"['package', 'expensive', 'yaa', '']")</f>
        <v>['package', 'expensive', 'yaa', '']</v>
      </c>
      <c r="D14028" s="3">
        <v>3.0</v>
      </c>
    </row>
    <row r="14029" ht="15.75" customHeight="1">
      <c r="A14029" s="1">
        <v>14922.0</v>
      </c>
      <c r="B14029" s="3" t="s">
        <v>13359</v>
      </c>
      <c r="C14029" s="3" t="str">
        <f>IFERROR(__xludf.DUMMYFUNCTION("GOOGLETRANSLATE(B14029,""id"",""en"")"),"['strange', 'pulse', 'truncated']")</f>
        <v>['strange', 'pulse', 'truncated']</v>
      </c>
      <c r="D14029" s="3">
        <v>1.0</v>
      </c>
    </row>
    <row r="14030" ht="15.75" customHeight="1">
      <c r="A14030" s="1">
        <v>14923.0</v>
      </c>
      <c r="B14030" s="3" t="s">
        <v>13360</v>
      </c>
      <c r="C14030" s="3" t="str">
        <f>IFERROR(__xludf.DUMMYFUNCTION("GOOGLETRANSLATE(B14030,""id"",""en"")"),"['signal', 'Loe', 'ugly', 'Telkomsel', 'mainstay', ""]")</f>
        <v>['signal', 'Loe', 'ugly', 'Telkomsel', 'mainstay', "]</v>
      </c>
      <c r="D14030" s="3">
        <v>1.0</v>
      </c>
    </row>
    <row r="14031" ht="15.75" customHeight="1">
      <c r="A14031" s="1">
        <v>14924.0</v>
      </c>
      <c r="B14031" s="3" t="s">
        <v>13361</v>
      </c>
      <c r="C14031" s="3" t="str">
        <f>IFERROR(__xludf.DUMMYFUNCTION("GOOGLETRANSLATE(B14031,""id"",""en"")"),"['Price', 'Package', 'Expensive', 'Choice', 'Package', 'Internet', 'Sakti', 'Not bad', 'Cheap', 'Hopefully', 'Changed', 'Telkomsel']")</f>
        <v>['Price', 'Package', 'Expensive', 'Choice', 'Package', 'Internet', 'Sakti', 'Not bad', 'Cheap', 'Hopefully', 'Changed', 'Telkomsel']</v>
      </c>
      <c r="D14031" s="3">
        <v>5.0</v>
      </c>
    </row>
    <row r="14032" ht="15.75" customHeight="1">
      <c r="A14032" s="1">
        <v>14925.0</v>
      </c>
      <c r="B14032" s="3" t="s">
        <v>13362</v>
      </c>
      <c r="C14032" s="3" t="str">
        <f>IFERROR(__xludf.DUMMYFUNCTION("GOOGLETRANSLATE(B14032,""id"",""en"")"),"['Application', 'Open', 'updet', 'poor']")</f>
        <v>['Application', 'Open', 'updet', 'poor']</v>
      </c>
      <c r="D14032" s="3">
        <v>3.0</v>
      </c>
    </row>
    <row r="14033" ht="15.75" customHeight="1">
      <c r="A14033" s="1">
        <v>14926.0</v>
      </c>
      <c r="B14033" s="3" t="s">
        <v>13363</v>
      </c>
      <c r="C14033" s="3" t="str">
        <f>IFERROR(__xludf.DUMMYFUNCTION("GOOGLETRANSLATE(B14033,""id"",""en"")"),"['Application', 'Telkomsel', 'Open', 'Login', '']")</f>
        <v>['Application', 'Telkomsel', 'Open', 'Login', '']</v>
      </c>
      <c r="D14033" s="3">
        <v>3.0</v>
      </c>
    </row>
    <row r="14034" ht="15.75" customHeight="1">
      <c r="A14034" s="1">
        <v>14927.0</v>
      </c>
      <c r="B14034" s="3" t="s">
        <v>478</v>
      </c>
      <c r="C14034" s="3" t="str">
        <f>IFERROR(__xludf.DUMMYFUNCTION("GOOGLETRANSLATE(B14034,""id"",""en"")"),"Of course")</f>
        <v>Of course</v>
      </c>
      <c r="D14034" s="3">
        <v>5.0</v>
      </c>
    </row>
    <row r="14035" ht="15.75" customHeight="1">
      <c r="A14035" s="1">
        <v>14928.0</v>
      </c>
      <c r="B14035" s="3" t="s">
        <v>13364</v>
      </c>
      <c r="C14035" s="3" t="str">
        <f>IFERROR(__xludf.DUMMYFUNCTION("GOOGLETRANSLATE(B14035,""id"",""en"")"),"['quality', 'Telkomsel', 'bad', 'really', 'liar', 'unlimited', 'kbps',' original ',' kbps', 'then', 'quota', 'multimedia', ' Games', 'sosmde', 'etc.', 'sosmed', 'doang', 'right', 'try', 'login', 'time', 'out', 'mulu', 'bad', 'really' , 'Fun ""]")</f>
        <v>['quality', 'Telkomsel', 'bad', 'really', 'liar', 'unlimited', 'kbps',' original ',' kbps', 'then', 'quota', 'multimedia', ' Games', 'sosmde', 'etc.', 'sosmed', 'doang', 'right', 'try', 'login', 'time', 'out', 'mulu', 'bad', 'really' , 'Fun "]</v>
      </c>
      <c r="D14035" s="3">
        <v>1.0</v>
      </c>
    </row>
    <row r="14036" ht="15.75" customHeight="1">
      <c r="A14036" s="1">
        <v>14929.0</v>
      </c>
      <c r="B14036" s="3" t="s">
        <v>13365</v>
      </c>
      <c r="C14036" s="3" t="str">
        <f>IFERROR(__xludf.DUMMYFUNCTION("GOOGLETRANSLATE(B14036,""id"",""en"")"),"['signal', 'off', 'stable', '']")</f>
        <v>['signal', 'off', 'stable', '']</v>
      </c>
      <c r="D14036" s="3">
        <v>2.0</v>
      </c>
    </row>
    <row r="14037" ht="15.75" customHeight="1">
      <c r="A14037" s="1">
        <v>14930.0</v>
      </c>
      <c r="B14037" s="3" t="s">
        <v>13366</v>
      </c>
      <c r="C14037" s="3" t="str">
        <f>IFERROR(__xludf.DUMMYFUNCTION("GOOGLETRANSLATE(B14037,""id"",""en"")"),"['Interested', 'Wear', 'Application', 'The application', 'used', 'opened', 'appears',' screen ',' white ',' see ',' quota ',' check ',' pulses', 'open']")</f>
        <v>['Interested', 'Wear', 'Application', 'The application', 'used', 'opened', 'appears',' screen ',' white ',' see ',' quota ',' check ',' pulses', 'open']</v>
      </c>
      <c r="D14037" s="3">
        <v>1.0</v>
      </c>
    </row>
    <row r="14038" ht="15.75" customHeight="1">
      <c r="A14038" s="1">
        <v>14931.0</v>
      </c>
      <c r="B14038" s="3" t="s">
        <v>13367</v>
      </c>
      <c r="C14038" s="3" t="str">
        <f>IFERROR(__xludf.DUMMYFUNCTION("GOOGLETRANSLATE(B14038,""id"",""en"")"),"['Display', 'Install', 'Many', 'times', 'Open', 'Install', 'reset', 'gabisa', 'knp', 'yaa', ""]")</f>
        <v>['Display', 'Install', 'Many', 'times', 'Open', 'Install', 'reset', 'gabisa', 'knp', 'yaa', "]</v>
      </c>
      <c r="D14038" s="3">
        <v>1.0</v>
      </c>
    </row>
    <row r="14039" ht="15.75" customHeight="1">
      <c r="A14039" s="1">
        <v>14933.0</v>
      </c>
      <c r="B14039" s="3" t="s">
        <v>13368</v>
      </c>
      <c r="C14039" s="3" t="str">
        <f>IFERROR(__xludf.DUMMYFUNCTION("GOOGLETRANSLATE(B14039,""id"",""en"")"),"['Price', 'Package', 'Telkomsel', 'Min', 'Thanks']")</f>
        <v>['Price', 'Package', 'Telkomsel', 'Min', 'Thanks']</v>
      </c>
      <c r="D14039" s="3">
        <v>1.0</v>
      </c>
    </row>
    <row r="14040" ht="15.75" customHeight="1">
      <c r="A14040" s="1">
        <v>14934.0</v>
      </c>
      <c r="B14040" s="3" t="s">
        <v>13369</v>
      </c>
      <c r="C14040" s="3" t="str">
        <f>IFERROR(__xludf.DUMMYFUNCTION("GOOGLETRANSLATE(B14040,""id"",""en"")"),"['Date', 'yesterday', 'Telkomsel', 'no', 'open', 'stuck', 'logo', 'white', 'already', 'complaint', 'cust', 'service', ' Twitter ',' Gabisa ',' Application ',' Please ',' Fix ',' Caskek ',' Credit ',' Buy ',' Package ',' Tribulation ', ""]")</f>
        <v>['Date', 'yesterday', 'Telkomsel', 'no', 'open', 'stuck', 'logo', 'white', 'already', 'complaint', 'cust', 'service', ' Twitter ',' Gabisa ',' Application ',' Please ',' Fix ',' Caskek ',' Credit ',' Buy ',' Package ',' Tribulation ', "]</v>
      </c>
      <c r="D14040" s="3">
        <v>1.0</v>
      </c>
    </row>
    <row r="14041" ht="15.75" customHeight="1">
      <c r="A14041" s="1">
        <v>14935.0</v>
      </c>
      <c r="B14041" s="3" t="s">
        <v>13370</v>
      </c>
      <c r="C14041" s="3" t="str">
        <f>IFERROR(__xludf.DUMMYFUNCTION("GOOGLETRANSLATE(B14041,""id"",""en"")"),"['right', 'open', 'app', 'slow', 'really']")</f>
        <v>['right', 'open', 'app', 'slow', 'really']</v>
      </c>
      <c r="D14041" s="3">
        <v>5.0</v>
      </c>
    </row>
    <row r="14042" ht="15.75" customHeight="1">
      <c r="A14042" s="1">
        <v>14936.0</v>
      </c>
      <c r="B14042" s="3" t="s">
        <v>13371</v>
      </c>
      <c r="C14042" s="3" t="str">
        <f>IFERROR(__xludf.DUMMYFUNCTION("GOOGLETRANSLATE(B14042,""id"",""en"")"),"['Love', 'Star', 'Application', 'Open', 'Network', 'UDH', 'PEAH', 'Telkomsel', ""]")</f>
        <v>['Love', 'Star', 'Application', 'Open', 'Network', 'UDH', 'PEAH', 'Telkomsel', "]</v>
      </c>
      <c r="D14042" s="3">
        <v>2.0</v>
      </c>
    </row>
    <row r="14043" ht="15.75" customHeight="1">
      <c r="A14043" s="1">
        <v>14937.0</v>
      </c>
      <c r="B14043" s="3" t="s">
        <v>520</v>
      </c>
      <c r="C14043" s="3" t="str">
        <f>IFERROR(__xludf.DUMMYFUNCTION("GOOGLETRANSLATE(B14043,""id"",""en"")"),"['Satisfied', 'Telkomsel']")</f>
        <v>['Satisfied', 'Telkomsel']</v>
      </c>
      <c r="D14043" s="3">
        <v>5.0</v>
      </c>
    </row>
    <row r="14044" ht="15.75" customHeight="1">
      <c r="A14044" s="1">
        <v>14938.0</v>
      </c>
      <c r="B14044" s="3" t="s">
        <v>13372</v>
      </c>
      <c r="C14044" s="3" t="str">
        <f>IFERROR(__xludf.DUMMYFUNCTION("GOOGLETRANSLATE(B14044,""id"",""en"")"),"['City', 'pulse', 'Sumpot']")</f>
        <v>['City', 'pulse', 'Sumpot']</v>
      </c>
      <c r="D14044" s="3">
        <v>1.0</v>
      </c>
    </row>
    <row r="14045" ht="15.75" customHeight="1">
      <c r="A14045" s="1">
        <v>14939.0</v>
      </c>
      <c r="B14045" s="3" t="s">
        <v>13373</v>
      </c>
      <c r="C14045" s="3" t="str">
        <f>IFERROR(__xludf.DUMMYFUNCTION("GOOGLETRANSLATE(B14045,""id"",""en"")"),"['Saayaaaa', 'Satisfied', 'Switch', 'Points', 'Buy', 'Internet']")</f>
        <v>['Saayaaaa', 'Satisfied', 'Switch', 'Points', 'Buy', 'Internet']</v>
      </c>
      <c r="D14045" s="3">
        <v>1.0</v>
      </c>
    </row>
    <row r="14046" ht="15.75" customHeight="1">
      <c r="A14046" s="1">
        <v>14940.0</v>
      </c>
      <c r="B14046" s="3" t="s">
        <v>13374</v>
      </c>
      <c r="C14046" s="3" t="str">
        <f>IFERROR(__xludf.DUMMYFUNCTION("GOOGLETRANSLATE(B14046,""id"",""en"")"),"['Please', 'Strengthen', 'signal', 'lgi', 'kab', 'Tangerang', 'market', 'kemis',' rajeg ',' missing ',' signal ',' user ',' Telkomsel ',' Tens', 'JDI', 'Believe', 'LGI', ""]")</f>
        <v>['Please', 'Strengthen', 'signal', 'lgi', 'kab', 'Tangerang', 'market', 'kemis',' rajeg ',' missing ',' signal ',' user ',' Telkomsel ',' Tens', 'JDI', 'Believe', 'LGI', "]</v>
      </c>
      <c r="D14046" s="3">
        <v>4.0</v>
      </c>
    </row>
    <row r="14047" ht="15.75" customHeight="1">
      <c r="A14047" s="1">
        <v>14941.0</v>
      </c>
      <c r="B14047" s="3" t="s">
        <v>13375</v>
      </c>
      <c r="C14047" s="3" t="str">
        <f>IFERROR(__xludf.DUMMYFUNCTION("GOOGLETRANSLATE(B14047,""id"",""en"")"),"['Maap', 'Network', 'Telkomsel', 'Akihr', 'Region', 'Riau', 'Pekanbaru', 'Bakus',' Down ',' Quality ',' The Line ',' Please ',' FIXED ',' Fix ',' Quality ',' Network ',' Sousal ',' Customer ',' Disappointed ',' Gamerasa ',' Harm ',' Kalu ',' Quality ',' K"&amp;"now ',' Try ' , 'Network', 'cellular', 'hope', 'pay attention', '']")</f>
        <v>['Maap', 'Network', 'Telkomsel', 'Akihr', 'Region', 'Riau', 'Pekanbaru', 'Bakus',' Down ',' Quality ',' The Line ',' Please ',' FIXED ',' Fix ',' Quality ',' Network ',' Sousal ',' Customer ',' Disappointed ',' Gamerasa ',' Harm ',' Kalu ',' Quality ',' Know ',' Try ' , 'Network', 'cellular', 'hope', 'pay attention', '']</v>
      </c>
      <c r="D14047" s="3">
        <v>4.0</v>
      </c>
    </row>
    <row r="14048" ht="15.75" customHeight="1">
      <c r="A14048" s="1">
        <v>14942.0</v>
      </c>
      <c r="B14048" s="3" t="s">
        <v>13376</v>
      </c>
      <c r="C14048" s="3" t="str">
        <f>IFERROR(__xludf.DUMMYFUNCTION("GOOGLETRANSLATE(B14048,""id"",""en"")"),"['Knp', 'Application', 'Telkomsel', 'Open']")</f>
        <v>['Knp', 'Application', 'Telkomsel', 'Open']</v>
      </c>
      <c r="D14048" s="3">
        <v>5.0</v>
      </c>
    </row>
    <row r="14049" ht="15.75" customHeight="1">
      <c r="A14049" s="1">
        <v>14943.0</v>
      </c>
      <c r="B14049" s="3" t="s">
        <v>13377</v>
      </c>
      <c r="C14049" s="3" t="str">
        <f>IFERROR(__xludf.DUMMYFUNCTION("GOOGLETRANSLATE(B14049,""id"",""en"")"),"['Application', 'screen', 'White', 'Please', 'Honer', 'Min', ""]")</f>
        <v>['Application', 'screen', 'White', 'Please', 'Honer', 'Min', "]</v>
      </c>
      <c r="D14049" s="3">
        <v>1.0</v>
      </c>
    </row>
    <row r="14050" ht="15.75" customHeight="1">
      <c r="A14050" s="1">
        <v>14944.0</v>
      </c>
      <c r="B14050" s="3" t="s">
        <v>13378</v>
      </c>
      <c r="C14050" s="3" t="str">
        <f>IFERROR(__xludf.DUMMYFUNCTION("GOOGLETRANSLATE(B14050,""id"",""en"")"),"['hour', 'buy', 'quota', 'dial', 'GB', 'price', 'clock', 'can', 'sms',' package ',' internet ',' stop ',' Yaudah ',' Tiktokan ',' Clock ',' Pay ',' Disappointed ',' Mending ',' Change ',' Card ']")</f>
        <v>['hour', 'buy', 'quota', 'dial', 'GB', 'price', 'clock', 'can', 'sms',' package ',' internet ',' stop ',' Yaudah ',' Tiktokan ',' Clock ',' Pay ',' Disappointed ',' Mending ',' Change ',' Card ']</v>
      </c>
      <c r="D14050" s="3">
        <v>1.0</v>
      </c>
    </row>
    <row r="14051" ht="15.75" customHeight="1">
      <c r="A14051" s="1">
        <v>14945.0</v>
      </c>
      <c r="B14051" s="3" t="s">
        <v>13379</v>
      </c>
      <c r="C14051" s="3" t="str">
        <f>IFERROR(__xludf.DUMMYFUNCTION("GOOGLETRANSLATE(B14051,""id"",""en"")"),"['disappointed', 'already', 'backward', 'open', 'app', '']")</f>
        <v>['disappointed', 'already', 'backward', 'open', 'app', '']</v>
      </c>
      <c r="D14051" s="3">
        <v>1.0</v>
      </c>
    </row>
    <row r="14052" ht="15.75" customHeight="1">
      <c r="A14052" s="1">
        <v>14946.0</v>
      </c>
      <c r="B14052" s="3" t="s">
        <v>13380</v>
      </c>
      <c r="C14052" s="3" t="str">
        <f>IFERROR(__xludf.DUMMYFUNCTION("GOOGLETRANSLATE(B14052,""id"",""en"")"),"['ugly', 'quota', 'expensive', 'quality', 'network', 'bad']")</f>
        <v>['ugly', 'quota', 'expensive', 'quality', 'network', 'bad']</v>
      </c>
      <c r="D14052" s="3">
        <v>1.0</v>
      </c>
    </row>
    <row r="14053" ht="15.75" customHeight="1">
      <c r="A14053" s="1">
        <v>14947.0</v>
      </c>
      <c r="B14053" s="3" t="s">
        <v>13381</v>
      </c>
      <c r="C14053" s="3" t="str">
        <f>IFERROR(__xludf.DUMMYFUNCTION("GOOGLETRANSLATE(B14053,""id"",""en"")"),"['Nggk', 'open', 'sdah', 'hri', 'sya', 'bka', 'nggk', ""]")</f>
        <v>['Nggk', 'open', 'sdah', 'hri', 'sya', 'bka', 'nggk', "]</v>
      </c>
      <c r="D14053" s="3">
        <v>5.0</v>
      </c>
    </row>
    <row r="14054" ht="15.75" customHeight="1">
      <c r="A14054" s="1">
        <v>14948.0</v>
      </c>
      <c r="B14054" s="3" t="s">
        <v>13382</v>
      </c>
      <c r="C14054" s="3" t="str">
        <f>IFERROR(__xludf.DUMMYFUNCTION("GOOGLETRANSLATE(B14054,""id"",""en"")"),"['Please', 'repair', 'Telkomsel', 'Open', 'Sometimes',' likes', 'kdang', 'sometimes',' menu ',' alias', 'bounce', 'basics',' Telkomsel ',' ugly ',' Telkomsel ',' please ',' fix ',' thank you ', ""]")</f>
        <v>['Please', 'repair', 'Telkomsel', 'Open', 'Sometimes',' likes', 'kdang', 'sometimes',' menu ',' alias', 'bounce', 'basics',' Telkomsel ',' ugly ',' Telkomsel ',' please ',' fix ',' thank you ', "]</v>
      </c>
      <c r="D14054" s="3">
        <v>1.0</v>
      </c>
    </row>
    <row r="14055" ht="15.75" customHeight="1">
      <c r="A14055" s="1">
        <v>14949.0</v>
      </c>
      <c r="B14055" s="3" t="s">
        <v>13383</v>
      </c>
      <c r="C14055" s="3" t="str">
        <f>IFERROR(__xludf.DUMMYFUNCTION("GOOGLETRANSLATE(B14055,""id"",""en"")"),"['network', 'Telkomsel', 'clock', 'ganguan']")</f>
        <v>['network', 'Telkomsel', 'clock', 'ganguan']</v>
      </c>
      <c r="D14055" s="3">
        <v>1.0</v>
      </c>
    </row>
    <row r="14056" ht="15.75" customHeight="1">
      <c r="A14056" s="1">
        <v>14950.0</v>
      </c>
      <c r="B14056" s="3" t="s">
        <v>13384</v>
      </c>
      <c r="C14056" s="3" t="str">
        <f>IFERROR(__xludf.DUMMYFUNCTION("GOOGLETRANSLATE(B14056,""id"",""en"")"),"['alternating', 'Install', 'Uninstall', 'Tetep', 'Open', 'Hadaahh', 'Telkomsel', 'Knp', 'Keau']")</f>
        <v>['alternating', 'Install', 'Uninstall', 'Tetep', 'Open', 'Hadaahh', 'Telkomsel', 'Knp', 'Keau']</v>
      </c>
      <c r="D14056" s="3">
        <v>2.0</v>
      </c>
    </row>
    <row r="14057" ht="15.75" customHeight="1">
      <c r="A14057" s="1">
        <v>14951.0</v>
      </c>
      <c r="B14057" s="3" t="s">
        <v>13385</v>
      </c>
      <c r="C14057" s="3" t="str">
        <f>IFERROR(__xludf.DUMMYFUNCTION("GOOGLETRANSLATE(B14057,""id"",""en"")"),"['Hopefully', 'wise', 'users', 'Telkomsel', 'thanks']")</f>
        <v>['Hopefully', 'wise', 'users', 'Telkomsel', 'thanks']</v>
      </c>
      <c r="D14057" s="3">
        <v>5.0</v>
      </c>
    </row>
    <row r="14058" ht="15.75" customHeight="1">
      <c r="A14058" s="1">
        <v>14952.0</v>
      </c>
      <c r="B14058" s="3" t="s">
        <v>13386</v>
      </c>
      <c r="C14058" s="3" t="str">
        <f>IFERROR(__xludf.DUMMYFUNCTION("GOOGLETRANSLATE(B14058,""id"",""en"")"),"['Please', 'Fix', 'Network', 'Region', 'Since', 'Ping', 'Down', 'Open', 'APL', 'Telkomsel', 'Change', 'Network', ' ']")</f>
        <v>['Please', 'Fix', 'Network', 'Region', 'Since', 'Ping', 'Down', 'Open', 'APL', 'Telkomsel', 'Change', 'Network', ' ']</v>
      </c>
      <c r="D14058" s="3">
        <v>1.0</v>
      </c>
    </row>
    <row r="14059" ht="15.75" customHeight="1">
      <c r="A14059" s="1">
        <v>14953.0</v>
      </c>
      <c r="B14059" s="3" t="s">
        <v>13387</v>
      </c>
      <c r="C14059" s="3" t="str">
        <f>IFERROR(__xludf.DUMMYFUNCTION("GOOGLETRANSLATE(B14059,""id"",""en"")"),"['The application', 'problematic', 'a week', 'entry', 'application', 'update', 'Please', 'help', 'the application', 'opened', 'difficult', 'buy', ' quota']")</f>
        <v>['The application', 'problematic', 'a week', 'entry', 'application', 'update', 'Please', 'help', 'the application', 'opened', 'difficult', 'buy', ' quota']</v>
      </c>
      <c r="D14059" s="3">
        <v>2.0</v>
      </c>
    </row>
    <row r="14060" ht="15.75" customHeight="1">
      <c r="A14060" s="1">
        <v>14954.0</v>
      </c>
      <c r="B14060" s="3" t="s">
        <v>13388</v>
      </c>
      <c r="C14060" s="3" t="str">
        <f>IFERROR(__xludf.DUMMYFUNCTION("GOOGLETRANSLATE(B14060,""id"",""en"")"),"['KNPA', 'Telkomsel', 'application', 'open', 'already', 'knpa', 'application', 'open', 'koh', 'sya', 'delete', 'then' Download ',' reset ',' Jga ',' Open ',' Disappointed ',' ']")</f>
        <v>['KNPA', 'Telkomsel', 'application', 'open', 'already', 'knpa', 'application', 'open', 'koh', 'sya', 'delete', 'then' Download ',' reset ',' Jga ',' Open ',' Disappointed ',' ']</v>
      </c>
      <c r="D14060" s="3">
        <v>2.0</v>
      </c>
    </row>
    <row r="14061" ht="15.75" customHeight="1">
      <c r="A14061" s="1">
        <v>14955.0</v>
      </c>
      <c r="B14061" s="3" t="s">
        <v>13389</v>
      </c>
      <c r="C14061" s="3" t="str">
        <f>IFERROR(__xludf.DUMMYFUNCTION("GOOGLETRANSLATE(B14061,""id"",""en"")"),"['use', 'pulse', 'pulse', 'suck', 'Telkomsel', 'steal', 'pulse', 'user', 'fooling', 'user', 'please', 'fix']")</f>
        <v>['use', 'pulse', 'pulse', 'suck', 'Telkomsel', 'steal', 'pulse', 'user', 'fooling', 'user', 'please', 'fix']</v>
      </c>
      <c r="D14061" s="3">
        <v>1.0</v>
      </c>
    </row>
    <row r="14062" ht="15.75" customHeight="1">
      <c r="A14062" s="1">
        <v>14956.0</v>
      </c>
      <c r="B14062" s="3" t="s">
        <v>13390</v>
      </c>
      <c r="C14062" s="3" t="str">
        <f>IFERROR(__xludf.DUMMYFUNCTION("GOOGLETRANSLATE(B14062,""id"",""en"")"),"['amplification', 'Error', 'opened', 'platform', 'red', 'BUMN', 'bankrupt']")</f>
        <v>['amplification', 'Error', 'opened', 'platform', 'red', 'BUMN', 'bankrupt']</v>
      </c>
      <c r="D14062" s="3">
        <v>1.0</v>
      </c>
    </row>
    <row r="14063" ht="15.75" customHeight="1">
      <c r="A14063" s="1">
        <v>14957.0</v>
      </c>
      <c r="B14063" s="3" t="s">
        <v>1148</v>
      </c>
      <c r="C14063" s="3" t="str">
        <f>IFERROR(__xludf.DUMMYFUNCTION("GOOGLETRANSLATE(B14063,""id"",""en"")"),"['Application', 'opened']")</f>
        <v>['Application', 'opened']</v>
      </c>
      <c r="D14063" s="3">
        <v>2.0</v>
      </c>
    </row>
    <row r="14064" ht="15.75" customHeight="1">
      <c r="A14064" s="1">
        <v>14958.0</v>
      </c>
      <c r="B14064" s="3" t="s">
        <v>13391</v>
      </c>
      <c r="C14064" s="3" t="str">
        <f>IFERROR(__xludf.DUMMYFUNCTION("GOOGLETRANSLATE(B14064,""id"",""en"")"),"['Thank you', 'help', 'accompany', 'communication', 'limit', 'tks', 'hope', 'Jaya']")</f>
        <v>['Thank you', 'help', 'accompany', 'communication', 'limit', 'tks', 'hope', 'Jaya']</v>
      </c>
      <c r="D14064" s="3">
        <v>5.0</v>
      </c>
    </row>
    <row r="14065" ht="15.75" customHeight="1">
      <c r="A14065" s="1">
        <v>14959.0</v>
      </c>
      <c r="B14065" s="3" t="s">
        <v>6182</v>
      </c>
      <c r="C14065" s="3" t="str">
        <f>IFERROR(__xludf.DUMMYFUNCTION("GOOGLETRANSLATE(B14065,""id"",""en"")"),"['Hopefully', 'Good']")</f>
        <v>['Hopefully', 'Good']</v>
      </c>
      <c r="D14065" s="3">
        <v>5.0</v>
      </c>
    </row>
    <row r="14066" ht="15.75" customHeight="1">
      <c r="A14066" s="1">
        <v>14960.0</v>
      </c>
      <c r="B14066" s="3" t="s">
        <v>1294</v>
      </c>
      <c r="C14066" s="3" t="str">
        <f>IFERROR(__xludf.DUMMYFUNCTION("GOOGLETRANSLATE(B14066,""id"",""en"")"),"['APK', 'Help']")</f>
        <v>['APK', 'Help']</v>
      </c>
      <c r="D14066" s="3">
        <v>5.0</v>
      </c>
    </row>
    <row r="14067" ht="15.75" customHeight="1">
      <c r="A14067" s="1">
        <v>14961.0</v>
      </c>
      <c r="B14067" s="3" t="s">
        <v>13392</v>
      </c>
      <c r="C14067" s="3" t="str">
        <f>IFERROR(__xludf.DUMMYFUNCTION("GOOGLETRANSLATE(B14067,""id"",""en"")"),"['Application', 'Open', 'White', 'Screen', '']")</f>
        <v>['Application', 'Open', 'White', 'Screen', '']</v>
      </c>
      <c r="D14067" s="3">
        <v>1.0</v>
      </c>
    </row>
    <row r="14068" ht="15.75" customHeight="1">
      <c r="A14068" s="1">
        <v>14962.0</v>
      </c>
      <c r="B14068" s="3" t="s">
        <v>13393</v>
      </c>
      <c r="C14068" s="3" t="str">
        <f>IFERROR(__xludf.DUMMYFUNCTION("GOOGLETRANSLATE(B14068,""id"",""en"")"),"['signal', 'Please', 'Benerin', 'Play', 'Games', 'Disturbs', 'Sampe', 'Signal', 'Lost', ""]")</f>
        <v>['signal', 'Please', 'Benerin', 'Play', 'Games', 'Disturbs', 'Sampe', 'Signal', 'Lost', "]</v>
      </c>
      <c r="D14068" s="3">
        <v>1.0</v>
      </c>
    </row>
    <row r="14069" ht="15.75" customHeight="1">
      <c r="A14069" s="1">
        <v>14963.0</v>
      </c>
      <c r="B14069" s="3" t="s">
        <v>13394</v>
      </c>
      <c r="C14069" s="3" t="str">
        <f>IFERROR(__xludf.DUMMYFUNCTION("GOOGLETRANSLATE(B14069,""id"",""en"")"),"['comfortable', 'Telkomsel', 'UDH', 'package', 'expensive', 'little', 'disorder', 'error', 'etc.', 'Kga', ""]")</f>
        <v>['comfortable', 'Telkomsel', 'UDH', 'package', 'expensive', 'little', 'disorder', 'error', 'etc.', 'Kga', "]</v>
      </c>
      <c r="D14069" s="3">
        <v>1.0</v>
      </c>
    </row>
    <row r="14070" ht="15.75" customHeight="1">
      <c r="A14070" s="1">
        <v>14964.0</v>
      </c>
      <c r="B14070" s="3" t="s">
        <v>13395</v>
      </c>
      <c r="C14070" s="3" t="str">
        <f>IFERROR(__xludf.DUMMYFUNCTION("GOOGLETRANSLATE(B14070,""id"",""en"")"),"['Application', 'Loding']")</f>
        <v>['Application', 'Loding']</v>
      </c>
      <c r="D14070" s="3">
        <v>2.0</v>
      </c>
    </row>
    <row r="14071" ht="15.75" customHeight="1">
      <c r="A14071" s="1">
        <v>14965.0</v>
      </c>
      <c r="B14071" s="3" t="s">
        <v>13396</v>
      </c>
      <c r="C14071" s="3" t="str">
        <f>IFERROR(__xludf.DUMMYFUNCTION("GOOGLETRANSLATE(B14071,""id"",""en"")"),"['application', 'well', 'style', 'tip', 'tip', 'please', 'download', 'feel', 'ugly']")</f>
        <v>['application', 'well', 'style', 'tip', 'tip', 'please', 'download', 'feel', 'ugly']</v>
      </c>
      <c r="D14071" s="3">
        <v>5.0</v>
      </c>
    </row>
    <row r="14072" ht="15.75" customHeight="1">
      <c r="A14072" s="1">
        <v>14966.0</v>
      </c>
      <c r="B14072" s="3" t="s">
        <v>13397</v>
      </c>
      <c r="C14072" s="3" t="str">
        <f>IFERROR(__xludf.DUMMYFUNCTION("GOOGLETRANSLATE(B14072,""id"",""en"")"),"['Star', 'down', 'due to', 'service', 'troublesome', 'service', 'fun', 'easy', 'difficult', 'update', 'direct', 'blankk', ' white ',' look ',' robot ',' talk ',' sorry ',' brother ',' gini ',' gono ',' contact ',' address', 'site', 'gombaalalll', 'the res"&amp;"ult' , 'Noool', 'mean', 'Seger', 'fix', 'system', 'application', 'network', 'nihhh', 'telkomsel', 'paraaaahhh', 'professional', 'laah', ' troublesome ',' hrs', 'difficult', 'contact', '']")</f>
        <v>['Star', 'down', 'due to', 'service', 'troublesome', 'service', 'fun', 'easy', 'difficult', 'update', 'direct', 'blankk', ' white ',' look ',' robot ',' talk ',' sorry ',' brother ',' gini ',' gono ',' contact ',' address', 'site', 'gombaalalll', 'the result' , 'Noool', 'mean', 'Seger', 'fix', 'system', 'application', 'network', 'nihhh', 'telkomsel', 'paraaaahhh', 'professional', 'laah', ' troublesome ',' hrs', 'difficult', 'contact', '']</v>
      </c>
      <c r="D14072" s="3">
        <v>2.0</v>
      </c>
    </row>
    <row r="14073" ht="15.75" customHeight="1">
      <c r="A14073" s="1">
        <v>14967.0</v>
      </c>
      <c r="B14073" s="3" t="s">
        <v>13398</v>
      </c>
      <c r="C14073" s="3" t="str">
        <f>IFERROR(__xludf.DUMMYFUNCTION("GOOGLETRANSLATE(B14073,""id"",""en"")"),"['easy', 'shopping', 'package', 'anything', 'grabbing', 'bonus',' quota ',' internet ',' free ',' following ',' check ',' daily ',' ']")</f>
        <v>['easy', 'shopping', 'package', 'anything', 'grabbing', 'bonus',' quota ',' internet ',' free ',' following ',' check ',' daily ',' ']</v>
      </c>
      <c r="D14073" s="3">
        <v>5.0</v>
      </c>
    </row>
    <row r="14074" ht="15.75" customHeight="1">
      <c r="A14074" s="1">
        <v>14968.0</v>
      </c>
      <c r="B14074" s="3" t="s">
        <v>13399</v>
      </c>
      <c r="C14074" s="3" t="str">
        <f>IFERROR(__xludf.DUMMYFUNCTION("GOOGLETRANSLATE(B14074,""id"",""en"")"),"['Hopefully', 'Helpful', 'Get', 'Gift']")</f>
        <v>['Hopefully', 'Helpful', 'Get', 'Gift']</v>
      </c>
      <c r="D14074" s="3">
        <v>5.0</v>
      </c>
    </row>
    <row r="14075" ht="15.75" customHeight="1">
      <c r="A14075" s="1">
        <v>14969.0</v>
      </c>
      <c r="B14075" s="3" t="s">
        <v>13400</v>
      </c>
      <c r="C14075" s="3" t="str">
        <f>IFERROR(__xludf.DUMMYFUNCTION("GOOGLETRANSLATE(B14075,""id"",""en"")"),"['already', 'replace', 'card', 'get', 'bonus', 'ad', 'can', 'bonus', 'kah', '']")</f>
        <v>['already', 'replace', 'card', 'get', 'bonus', 'ad', 'can', 'bonus', 'kah', '']</v>
      </c>
      <c r="D14075" s="3">
        <v>5.0</v>
      </c>
    </row>
    <row r="14076" ht="15.75" customHeight="1">
      <c r="A14076" s="1">
        <v>14970.0</v>
      </c>
      <c r="B14076" s="3" t="s">
        <v>13401</v>
      </c>
      <c r="C14076" s="3" t="str">
        <f>IFERROR(__xludf.DUMMYFUNCTION("GOOGLETRANSLATE(B14076,""id"",""en"")"),"['application', 'opened', 'Telkomsel', 'Maubli', 'pulse', 'check', ""]")</f>
        <v>['application', 'opened', 'Telkomsel', 'Maubli', 'pulse', 'check', "]</v>
      </c>
      <c r="D14076" s="3">
        <v>5.0</v>
      </c>
    </row>
    <row r="14077" ht="15.75" customHeight="1">
      <c r="A14077" s="1">
        <v>14971.0</v>
      </c>
      <c r="B14077" s="3" t="s">
        <v>13402</v>
      </c>
      <c r="C14077" s="3" t="str">
        <f>IFERROR(__xludf.DUMMYFUNCTION("GOOGLETRANSLATE(B14077,""id"",""en"")"),"['Good', 'bguna']")</f>
        <v>['Good', 'bguna']</v>
      </c>
      <c r="D14077" s="3">
        <v>5.0</v>
      </c>
    </row>
    <row r="14078" ht="15.75" customHeight="1">
      <c r="A14078" s="1">
        <v>14972.0</v>
      </c>
      <c r="B14078" s="3" t="s">
        <v>13403</v>
      </c>
      <c r="C14078" s="3" t="str">
        <f>IFERROR(__xludf.DUMMYFUNCTION("GOOGLETRANSLATE(B14078,""id"",""en"")"),"['steady', '']")</f>
        <v>['steady', '']</v>
      </c>
      <c r="D14078" s="3">
        <v>5.0</v>
      </c>
    </row>
    <row r="14079" ht="15.75" customHeight="1">
      <c r="A14079" s="1">
        <v>14973.0</v>
      </c>
      <c r="B14079" s="3" t="s">
        <v>13404</v>
      </c>
      <c r="C14079" s="3" t="str">
        <f>IFERROR(__xludf.DUMMYFUNCTION("GOOGLETRANSLATE(B14079,""id"",""en"")"),"['HR', 'update', 'opened', 'disappointing', 'sometimes', 'lazy', 'update', 'version', 'newest', 'sometimes', 'ngeecewain']")</f>
        <v>['HR', 'update', 'opened', 'disappointing', 'sometimes', 'lazy', 'update', 'version', 'newest', 'sometimes', 'ngeecewain']</v>
      </c>
      <c r="D14079" s="3">
        <v>2.0</v>
      </c>
    </row>
    <row r="14080" ht="15.75" customHeight="1">
      <c r="A14080" s="1">
        <v>14975.0</v>
      </c>
      <c r="B14080" s="3" t="s">
        <v>13405</v>
      </c>
      <c r="C14080" s="3" t="str">
        <f>IFERROR(__xludf.DUMMYFUNCTION("GOOGLETRANSLATE(B14080,""id"",""en"")"),"['Please', 'Consider', 'Price', 'Package', 'Internet', 'Bole', 'Data', 'Internet', 'Nga', 'Mubazir', ""]")</f>
        <v>['Please', 'Consider', 'Price', 'Package', 'Internet', 'Bole', 'Data', 'Internet', 'Nga', 'Mubazir', "]</v>
      </c>
      <c r="D14080" s="3">
        <v>5.0</v>
      </c>
    </row>
    <row r="14081" ht="15.75" customHeight="1">
      <c r="A14081" s="1">
        <v>14976.0</v>
      </c>
      <c r="B14081" s="3" t="s">
        <v>13406</v>
      </c>
      <c r="C14081" s="3" t="str">
        <f>IFERROR(__xludf.DUMMYFUNCTION("GOOGLETRANSLATE(B14081,""id"",""en"")"),"['Package', 'YouTube', 'Mending', 'UDH', 'Buy', 'Package', 'YouTube', 'Sumpot', 'Paketan', 'Internet', 'Disappointed']")</f>
        <v>['Package', 'YouTube', 'Mending', 'UDH', 'Buy', 'Package', 'YouTube', 'Sumpot', 'Paketan', 'Internet', 'Disappointed']</v>
      </c>
      <c r="D14081" s="3">
        <v>1.0</v>
      </c>
    </row>
    <row r="14082" ht="15.75" customHeight="1">
      <c r="A14082" s="1">
        <v>14977.0</v>
      </c>
      <c r="B14082" s="3" t="s">
        <v>13407</v>
      </c>
      <c r="C14082" s="3" t="str">
        <f>IFERROR(__xludf.DUMMYFUNCTION("GOOGLETRANSLATE(B14082,""id"",""en"")"),"['Benerin', 'The network', 'Try', 'Deh', 'Task', 'Play', 'Knp', 'Ngelag', 'Mulu', 'lag', 'potatoes',' TPI ',' network ',' Telkomsel ',' potatoes', 'replace', 'mulu', 'the network', 'that's',' until ',' mmpus', 'sleep', 'play', 'emg', 'task' , 'Try', 'Bene"&amp;"rin', 'The network']")</f>
        <v>['Benerin', 'The network', 'Try', 'Deh', 'Task', 'Play', 'Knp', 'Ngelag', 'Mulu', 'lag', 'potatoes',' TPI ',' network ',' Telkomsel ',' potatoes', 'replace', 'mulu', 'the network', 'that's',' until ',' mmpus', 'sleep', 'play', 'emg', 'task' , 'Try', 'Benerin', 'The network']</v>
      </c>
      <c r="D14082" s="3">
        <v>1.0</v>
      </c>
    </row>
    <row r="14083" ht="15.75" customHeight="1">
      <c r="A14083" s="1">
        <v>14978.0</v>
      </c>
      <c r="B14083" s="3" t="s">
        <v>13408</v>
      </c>
      <c r="C14083" s="3" t="str">
        <f>IFERROR(__xludf.DUMMYFUNCTION("GOOGLETRANSLATE(B14083,""id"",""en"")"),"['already', 'Download', 'Bukak', 'already', 'Delete', 'Download', 'Delete', 'Download', 'Times', '']")</f>
        <v>['already', 'Download', 'Bukak', 'already', 'Delete', 'Download', 'Delete', 'Download', 'Times', '']</v>
      </c>
      <c r="D14083" s="3">
        <v>2.0</v>
      </c>
    </row>
    <row r="14084" ht="15.75" customHeight="1">
      <c r="A14084" s="1">
        <v>14979.0</v>
      </c>
      <c r="B14084" s="3" t="s">
        <v>13409</v>
      </c>
      <c r="C14084" s="3" t="str">
        <f>IFERROR(__xludf.DUMMYFUNCTION("GOOGLETRANSLATE(B14084,""id"",""en"")"),"['satisfying', 'trimkasih', 'Telkomsel']")</f>
        <v>['satisfying', 'trimkasih', 'Telkomsel']</v>
      </c>
      <c r="D14084" s="3">
        <v>5.0</v>
      </c>
    </row>
    <row r="14085" ht="15.75" customHeight="1">
      <c r="A14085" s="1">
        <v>14980.0</v>
      </c>
      <c r="B14085" s="3" t="s">
        <v>13410</v>
      </c>
      <c r="C14085" s="3" t="str">
        <f>IFERROR(__xludf.DUMMYFUNCTION("GOOGLETRANSLATE(B14085,""id"",""en"")"),"['Sorry', 'Reduce', 'Star', 'Network', 'Telkomsel', 'Bad', ""]")</f>
        <v>['Sorry', 'Reduce', 'Star', 'Network', 'Telkomsel', 'Bad', "]</v>
      </c>
      <c r="D14085" s="3">
        <v>4.0</v>
      </c>
    </row>
    <row r="14086" ht="15.75" customHeight="1">
      <c r="A14086" s="1">
        <v>14981.0</v>
      </c>
      <c r="B14086" s="3" t="s">
        <v>13411</v>
      </c>
      <c r="C14086" s="3" t="str">
        <f>IFERROR(__xludf.DUMMYFUNCTION("GOOGLETRANSLATE(B14086,""id"",""en"")"),"['network', 'Telkomsel', 'slow', 'really', 'disappointed', 'really', 'users', 'Telkomsel', 'please', 'fix', 'network', ""]")</f>
        <v>['network', 'Telkomsel', 'slow', 'really', 'disappointed', 'really', 'users', 'Telkomsel', 'please', 'fix', 'network', "]</v>
      </c>
      <c r="D14086" s="3">
        <v>1.0</v>
      </c>
    </row>
    <row r="14087" ht="15.75" customHeight="1">
      <c r="A14087" s="1">
        <v>14982.0</v>
      </c>
      <c r="B14087" s="3" t="s">
        <v>13412</v>
      </c>
      <c r="C14087" s="3" t="str">
        <f>IFERROR(__xludf.DUMMYFUNCTION("GOOGLETRANSLATE(B14087,""id"",""en"")"),"['Kek', 'pig', 'Benerin', 'Napa', 'aing', 'entered', 'App', 'smooth', ""]")</f>
        <v>['Kek', 'pig', 'Benerin', 'Napa', 'aing', 'entered', 'App', 'smooth', "]</v>
      </c>
      <c r="D14087" s="3">
        <v>1.0</v>
      </c>
    </row>
    <row r="14088" ht="15.75" customHeight="1">
      <c r="A14088" s="1">
        <v>14983.0</v>
      </c>
      <c r="B14088" s="3" t="s">
        <v>13413</v>
      </c>
      <c r="C14088" s="3" t="str">
        <f>IFERROR(__xludf.DUMMYFUNCTION("GOOGLETRANSLATE(B14088,""id"",""en"")"),"['MyTelkomsel', 'Open']")</f>
        <v>['MyTelkomsel', 'Open']</v>
      </c>
      <c r="D14088" s="3">
        <v>1.0</v>
      </c>
    </row>
    <row r="14089" ht="15.75" customHeight="1">
      <c r="A14089" s="1">
        <v>14984.0</v>
      </c>
      <c r="B14089" s="3" t="s">
        <v>13414</v>
      </c>
      <c r="C14089" s="3" t="str">
        <f>IFERROR(__xludf.DUMMYFUNCTION("GOOGLETRANSLATE(B14089,""id"",""en"")"),"['network', 'Telkomsel', 'stable', 'no', 'according to', 'moto', 'disappointed', 'Telkomsel']")</f>
        <v>['network', 'Telkomsel', 'stable', 'no', 'according to', 'moto', 'disappointed', 'Telkomsel']</v>
      </c>
      <c r="D14089" s="3">
        <v>1.0</v>
      </c>
    </row>
    <row r="14090" ht="15.75" customHeight="1">
      <c r="A14090" s="1">
        <v>14985.0</v>
      </c>
      <c r="B14090" s="3" t="s">
        <v>13415</v>
      </c>
      <c r="C14090" s="3" t="str">
        <f>IFERROR(__xludf.DUMMYFUNCTION("GOOGLETRANSLATE(B14090,""id"",""en"")"),"['complaining', 'network', 'already', 'week', 'GAX', 'change', 'I', 'SAY', 'Main', 'game', 'Gini', 'signal', ' Severe ',' setres', 'me', 'already', 'telephone', 'tekomsel', 'told', 'mode', 'plane', 'item', 'mode', 'plane', 'mulu' , 'mode', 'rocket', 'Ampe"&amp;"', 'GAX', 'finish', 'network', 'sorry', 'buy', 'for' wifi ',' convenience ',' signal ',' Tekomel ',' Kek ',' already ',' cheap ',' signal ',' good ',' expensive ',' ugly ',' please ',' response ']")</f>
        <v>['complaining', 'network', 'already', 'week', 'GAX', 'change', 'I', 'SAY', 'Main', 'game', 'Gini', 'signal', ' Severe ',' setres', 'me', 'already', 'telephone', 'tekomsel', 'told', 'mode', 'plane', 'item', 'mode', 'plane', 'mulu' , 'mode', 'rocket', 'Ampe', 'GAX', 'finish', 'network', 'sorry', 'buy', 'for' wifi ',' convenience ',' signal ',' Tekomel ',' Kek ',' already ',' cheap ',' signal ',' good ',' expensive ',' ugly ',' please ',' response ']</v>
      </c>
      <c r="D14090" s="3">
        <v>1.0</v>
      </c>
    </row>
    <row r="14091" ht="15.75" customHeight="1">
      <c r="A14091" s="1">
        <v>14986.0</v>
      </c>
      <c r="B14091" s="3" t="s">
        <v>13416</v>
      </c>
      <c r="C14091" s="3" t="str">
        <f>IFERROR(__xludf.DUMMYFUNCTION("GOOGLETRANSLATE(B14091,""id"",""en"")"),"['Bestkkk']")</f>
        <v>['Bestkkk']</v>
      </c>
      <c r="D14091" s="3">
        <v>5.0</v>
      </c>
    </row>
    <row r="14092" ht="15.75" customHeight="1">
      <c r="A14092" s="1">
        <v>14987.0</v>
      </c>
      <c r="B14092" s="3" t="s">
        <v>13417</v>
      </c>
      <c r="C14092" s="3" t="str">
        <f>IFERROR(__xludf.DUMMYFUNCTION("GOOGLETRANSLATE(B14092,""id"",""en"")"),"['network', 'Telkomsel', 'no', 'as fast', 'as good', 'slow', 'setting', 'arrangement', 'package', 'no', 'sort', 'the smallest', ' random', '']")</f>
        <v>['network', 'Telkomsel', 'no', 'as fast', 'as good', 'slow', 'setting', 'arrangement', 'package', 'no', 'sort', 'the smallest', ' random', '']</v>
      </c>
      <c r="D14092" s="3">
        <v>2.0</v>
      </c>
    </row>
    <row r="14093" ht="15.75" customHeight="1">
      <c r="A14093" s="1">
        <v>14988.0</v>
      </c>
      <c r="B14093" s="3" t="s">
        <v>13418</v>
      </c>
      <c r="C14093" s="3" t="str">
        <f>IFERROR(__xludf.DUMMYFUNCTION("GOOGLETRANSLATE(B14093,""id"",""en"")"),"['think', 'moved', 'heart', 'buy', 'quota', 'expensive', 'results',' nil ',' signal ',' most ',' quota ',' buy ',' Please, 'Fix', 'Telkomsel']")</f>
        <v>['think', 'moved', 'heart', 'buy', 'quota', 'expensive', 'results',' nil ',' signal ',' most ',' quota ',' buy ',' Please, 'Fix', 'Telkomsel']</v>
      </c>
      <c r="D14093" s="3">
        <v>5.0</v>
      </c>
    </row>
    <row r="14094" ht="15.75" customHeight="1">
      <c r="A14094" s="1">
        <v>14989.0</v>
      </c>
      <c r="B14094" s="3" t="s">
        <v>13419</v>
      </c>
      <c r="C14094" s="3" t="str">
        <f>IFERROR(__xludf.DUMMYFUNCTION("GOOGLETRANSLATE(B14094,""id"",""en"")"),"['pending']")</f>
        <v>['pending']</v>
      </c>
      <c r="D14094" s="3">
        <v>1.0</v>
      </c>
    </row>
    <row r="14095" ht="15.75" customHeight="1">
      <c r="A14095" s="1">
        <v>14990.0</v>
      </c>
      <c r="B14095" s="3" t="s">
        <v>13420</v>
      </c>
      <c r="C14095" s="3" t="str">
        <f>IFERROR(__xludf.DUMMYFUNCTION("GOOGLETRANSLATE(B14095,""id"",""en"")"),"['Network', 'bad', 'city', 'bad', 'really', 'network', 'kayak', 'worth', '']")</f>
        <v>['Network', 'bad', 'city', 'bad', 'really', 'network', 'kayak', 'worth', '']</v>
      </c>
      <c r="D14095" s="3">
        <v>1.0</v>
      </c>
    </row>
    <row r="14096" ht="15.75" customHeight="1">
      <c r="A14096" s="1">
        <v>14991.0</v>
      </c>
      <c r="B14096" s="3" t="s">
        <v>348</v>
      </c>
      <c r="C14096" s="3" t="str">
        <f>IFERROR(__xludf.DUMMYFUNCTION("GOOGLETRANSLATE(B14096,""id"",""en"")"),"['Steady', 'help']")</f>
        <v>['Steady', 'help']</v>
      </c>
      <c r="D14096" s="3">
        <v>5.0</v>
      </c>
    </row>
    <row r="14097" ht="15.75" customHeight="1">
      <c r="A14097" s="1">
        <v>14992.0</v>
      </c>
      <c r="B14097" s="3" t="s">
        <v>13421</v>
      </c>
      <c r="C14097" s="3" t="str">
        <f>IFERROR(__xludf.DUMMYFUNCTION("GOOGLETRANSLATE(B14097,""id"",""en"")"),"['Update', 'Severe', 'really', 'Ngehang', 'kekak', 'Severe', 'really', ""]")</f>
        <v>['Update', 'Severe', 'really', 'Ngehang', 'kekak', 'Severe', 'really', "]</v>
      </c>
      <c r="D14097" s="3">
        <v>1.0</v>
      </c>
    </row>
    <row r="14098" ht="15.75" customHeight="1">
      <c r="A14098" s="1">
        <v>14993.0</v>
      </c>
      <c r="B14098" s="3" t="s">
        <v>13422</v>
      </c>
      <c r="C14098" s="3" t="str">
        <f>IFERROR(__xludf.DUMMYFUNCTION("GOOGLETRANSLATE(B14098,""id"",""en"")"),"['', 'Good', 'TPI', 'opened']")</f>
        <v>['', 'Good', 'TPI', 'opened']</v>
      </c>
      <c r="D14098" s="3">
        <v>3.0</v>
      </c>
    </row>
    <row r="14099" ht="15.75" customHeight="1">
      <c r="A14099" s="1">
        <v>14995.0</v>
      </c>
      <c r="B14099" s="3" t="s">
        <v>13423</v>
      </c>
      <c r="C14099" s="3" t="str">
        <f>IFERROR(__xludf.DUMMYFUNCTION("GOOGLETRANSLATE(B14099,""id"",""en"")"),"['happy', 'subscription', 'Telkomsel', '']")</f>
        <v>['happy', 'subscription', 'Telkomsel', '']</v>
      </c>
      <c r="D14099" s="3">
        <v>5.0</v>
      </c>
    </row>
    <row r="14100" ht="15.75" customHeight="1">
      <c r="A14100" s="1">
        <v>14996.0</v>
      </c>
      <c r="B14100" s="3" t="s">
        <v>13424</v>
      </c>
      <c r="C14100" s="3" t="str">
        <f>IFERROR(__xludf.DUMMYFUNCTION("GOOGLETRANSLATE(B14100,""id"",""en"")"),"['Mon', 'Sorry', 'Love', 'Segini', 'Karna', 'Quota', 'Unlimited', 'Thinking', 'YouTube', 'APPLY', 'YAA', 'PROBLEM', ' Please, 'Telkom', 'Fix', 'Kasian', 'People', 'People', 'Believe', 'Bug', 'Error', 'Thanks']")</f>
        <v>['Mon', 'Sorry', 'Love', 'Segini', 'Karna', 'Quota', 'Unlimited', 'Thinking', 'YouTube', 'APPLY', 'YAA', 'PROBLEM', ' Please, 'Telkom', 'Fix', 'Kasian', 'People', 'People', 'Believe', 'Bug', 'Error', 'Thanks']</v>
      </c>
      <c r="D14100" s="3">
        <v>3.0</v>
      </c>
    </row>
    <row r="14101" ht="15.75" customHeight="1">
      <c r="A14101" s="1">
        <v>14997.0</v>
      </c>
      <c r="B14101" s="3" t="s">
        <v>13425</v>
      </c>
      <c r="C14101" s="3" t="str">
        <f>IFERROR(__xludf.DUMMYFUNCTION("GOOGLETRANSLATE(B14101,""id"",""en"")"),"['forward', 'easy', 'hopefully', 'kak', 'telkomsel', 'klau', 'obstacle', 'please', 'repaired', 'so', 'thank', 'love']")</f>
        <v>['forward', 'easy', 'hopefully', 'kak', 'telkomsel', 'klau', 'obstacle', 'please', 'repaired', 'so', 'thank', 'love']</v>
      </c>
      <c r="D14101" s="3">
        <v>5.0</v>
      </c>
    </row>
    <row r="14102" ht="15.75" customHeight="1">
      <c r="A14102" s="1">
        <v>14999.0</v>
      </c>
      <c r="B14102" s="3" t="s">
        <v>13426</v>
      </c>
      <c r="C14102" s="3" t="str">
        <f>IFERROR(__xludf.DUMMYFUNCTION("GOOGLETRANSLATE(B14102,""id"",""en"")"),"['', 'Holaaa', 'Knp', 'Open', 'APK', 'Telkomsel', 'White', 'staple', 'open', 'buy', 'package', 'please', 'Quick ',' response ',' tararengty ',' ']")</f>
        <v>['', 'Holaaa', 'Knp', 'Open', 'APK', 'Telkomsel', 'White', 'staple', 'open', 'buy', 'package', 'please', 'Quick ',' response ',' tararengty ',' ']</v>
      </c>
      <c r="D14102" s="3">
        <v>5.0</v>
      </c>
    </row>
    <row r="14103" ht="15.75" customHeight="1">
      <c r="A14103" s="1">
        <v>15000.0</v>
      </c>
      <c r="B14103" s="3" t="s">
        <v>13427</v>
      </c>
      <c r="C14103" s="3" t="str">
        <f>IFERROR(__xludf.DUMMYFUNCTION("GOOGLETRANSLATE(B14103,""id"",""en"")"),"['Satisfied', 'Knp', 'koq', 'package', 'expensive', '']")</f>
        <v>['Satisfied', 'Knp', 'koq', 'package', 'expensive', '']</v>
      </c>
      <c r="D14103" s="3">
        <v>4.0</v>
      </c>
    </row>
    <row r="14104" ht="15.75" customHeight="1">
      <c r="A14104" s="1">
        <v>15001.0</v>
      </c>
      <c r="B14104" s="3" t="s">
        <v>13428</v>
      </c>
      <c r="C14104" s="3" t="str">
        <f>IFERROR(__xludf.DUMMYFUNCTION("GOOGLETRANSLATE(B14104,""id"",""en"")"),"['The application', 'jammed', 'Open', 'Delete', 'Install', 'reset', '']")</f>
        <v>['The application', 'jammed', 'Open', 'Delete', 'Install', 'reset', '']</v>
      </c>
      <c r="D14104" s="3">
        <v>3.0</v>
      </c>
    </row>
    <row r="14105" ht="15.75" customHeight="1">
      <c r="A14105" s="1">
        <v>15002.0</v>
      </c>
      <c r="B14105" s="3" t="s">
        <v>13429</v>
      </c>
      <c r="C14105" s="3" t="str">
        <f>IFERROR(__xludf.DUMMYFUNCTION("GOOGLETRANSLATE(B14105,""id"",""en"")"),"['Gajadi', 'good', 'good', 'jwkwkwkkw']")</f>
        <v>['Gajadi', 'good', 'good', 'jwkwkwkkw']</v>
      </c>
      <c r="D14105" s="3">
        <v>4.0</v>
      </c>
    </row>
    <row r="14106" ht="15.75" customHeight="1">
      <c r="A14106" s="1">
        <v>15003.0</v>
      </c>
      <c r="B14106" s="3" t="s">
        <v>10820</v>
      </c>
      <c r="C14106" s="3" t="str">
        <f>IFERROR(__xludf.DUMMYFUNCTION("GOOGLETRANSLATE(B14106,""id"",""en"")"),"['network']")</f>
        <v>['network']</v>
      </c>
      <c r="D14106" s="3">
        <v>1.0</v>
      </c>
    </row>
    <row r="14107" ht="15.75" customHeight="1">
      <c r="A14107" s="1">
        <v>15004.0</v>
      </c>
      <c r="B14107" s="3" t="s">
        <v>13430</v>
      </c>
      <c r="C14107" s="3" t="str">
        <f>IFERROR(__xludf.DUMMYFUNCTION("GOOGLETRANSLATE(B14107,""id"",""en"")"),"['', 'Lottery', 'Point', 'Making']")</f>
        <v>['', 'Lottery', 'Point', 'Making']</v>
      </c>
      <c r="D14107" s="3">
        <v>1.0</v>
      </c>
    </row>
    <row r="14108" ht="15.75" customHeight="1">
      <c r="A14108" s="1">
        <v>15005.0</v>
      </c>
      <c r="B14108" s="3" t="s">
        <v>13431</v>
      </c>
      <c r="C14108" s="3" t="str">
        <f>IFERROR(__xludf.DUMMYFUNCTION("GOOGLETRANSLATE(B14108,""id"",""en"")"),"['Fill', 'package', 'slow', 'TLP', 'Internet', 'fast', 'slow', 'bwt', 'bekasi']")</f>
        <v>['Fill', 'package', 'slow', 'TLP', 'Internet', 'fast', 'slow', 'bwt', 'bekasi']</v>
      </c>
      <c r="D14108" s="3">
        <v>1.0</v>
      </c>
    </row>
    <row r="14109" ht="15.75" customHeight="1">
      <c r="A14109" s="1">
        <v>15007.0</v>
      </c>
      <c r="B14109" s="3" t="s">
        <v>13432</v>
      </c>
      <c r="C14109" s="3" t="str">
        <f>IFERROR(__xludf.DUMMYFUNCTION("GOOGLETRANSLATE(B14109,""id"",""en"")"),"['', 'Update', 'Display', 'Blank', 'White', 'Loading', 'then', 'Severe', 'Bikan', 'sophisticated']")</f>
        <v>['', 'Update', 'Display', 'Blank', 'White', 'Loading', 'then', 'Severe', 'Bikan', 'sophisticated']</v>
      </c>
      <c r="D14109" s="3">
        <v>1.0</v>
      </c>
    </row>
    <row r="14110" ht="15.75" customHeight="1">
      <c r="A14110" s="1">
        <v>15008.0</v>
      </c>
      <c r="B14110" s="3" t="s">
        <v>13433</v>
      </c>
      <c r="C14110" s="3" t="str">
        <f>IFERROR(__xludf.DUMMYFUNCTION("GOOGLETRANSLATE(B14110,""id"",""en"")"),"['The network', 'kayak', 'hairy', 'taik', 'cell']")</f>
        <v>['The network', 'kayak', 'hairy', 'taik', 'cell']</v>
      </c>
      <c r="D14110" s="3">
        <v>1.0</v>
      </c>
    </row>
    <row r="14111" ht="15.75" customHeight="1">
      <c r="A14111" s="1">
        <v>15009.0</v>
      </c>
      <c r="B14111" s="3" t="s">
        <v>13434</v>
      </c>
      <c r="C14111" s="3" t="str">
        <f>IFERROR(__xludf.DUMMYFUNCTION("GOOGLETRANSLATE(B14111,""id"",""en"")"),"['operator', 'cellular', 'jerk', 'tariff', 'package', 'the most expensive', 'package', 'price', 'rb', 'cheerful', 'hqq', 'buy', ' cards', 'Telkomsel', 'NLP', 'SMS', 'internet', 'deh', 'already', 'expensive', 'slow', '']")</f>
        <v>['operator', 'cellular', 'jerk', 'tariff', 'package', 'the most expensive', 'package', 'price', 'rb', 'cheerful', 'hqq', 'buy', ' cards', 'Telkomsel', 'NLP', 'SMS', 'internet', 'deh', 'already', 'expensive', 'slow', '']</v>
      </c>
      <c r="D14111" s="3">
        <v>1.0</v>
      </c>
    </row>
    <row r="14112" ht="15.75" customHeight="1">
      <c r="A14112" s="1">
        <v>15010.0</v>
      </c>
      <c r="B14112" s="3" t="s">
        <v>13435</v>
      </c>
      <c r="C14112" s="3" t="str">
        <f>IFERROR(__xludf.DUMMYFUNCTION("GOOGLETRANSLATE(B14112,""id"",""en"")"),"['signal', 'bad', 'really', 'disorder', 'play', 'game', 'buy', 'quota', 'game', '']")</f>
        <v>['signal', 'bad', 'really', 'disorder', 'play', 'game', 'buy', 'quota', 'game', '']</v>
      </c>
      <c r="D14112" s="3">
        <v>1.0</v>
      </c>
    </row>
    <row r="14113" ht="15.75" customHeight="1">
      <c r="A14113" s="1">
        <v>15011.0</v>
      </c>
      <c r="B14113" s="3" t="s">
        <v>13436</v>
      </c>
      <c r="C14113" s="3" t="str">
        <f>IFERROR(__xludf.DUMMYFUNCTION("GOOGLETRANSLATE(B14113,""id"",""en"")"),"['Network', 'NT', 'child', 'PNTK', 'down', 'network', 'intention', 'network', 'Anjin', 'PNTK', 'cave', 'annoyed', ' network ',' contah ',' child ',' lag ',' lag ',' lag ',' lag ',' aj ',' ']")</f>
        <v>['Network', 'NT', 'child', 'PNTK', 'down', 'network', 'intention', 'network', 'Anjin', 'PNTK', 'cave', 'annoyed', ' network ',' contah ',' child ',' lag ',' lag ',' lag ',' lag ',' aj ',' ']</v>
      </c>
      <c r="D14113" s="3">
        <v>1.0</v>
      </c>
    </row>
    <row r="14114" ht="15.75" customHeight="1">
      <c r="A14114" s="1">
        <v>15012.0</v>
      </c>
      <c r="B14114" s="3" t="s">
        <v>13437</v>
      </c>
      <c r="C14114" s="3" t="str">
        <f>IFERROR(__xludf.DUMMYFUNCTION("GOOGLETRANSLATE(B14114,""id"",""en"")"),"['hope', 'Amin', ""]")</f>
        <v>['hope', 'Amin', "]</v>
      </c>
      <c r="D14114" s="3">
        <v>5.0</v>
      </c>
    </row>
    <row r="14115" ht="15.75" customHeight="1">
      <c r="A14115" s="1">
        <v>15013.0</v>
      </c>
      <c r="B14115" s="3" t="s">
        <v>13438</v>
      </c>
      <c r="C14115" s="3" t="str">
        <f>IFERROR(__xludf.DUMMYFUNCTION("GOOGLETRANSLATE(B14115,""id"",""en"")"),"['chaotic', 'price', 'package', 'internet', 'expensive', 'tissue', 'slow', 'hadeuh', 'how', 'BUMN', 'Lo', 'lose', ' Products', 'Next to', '']")</f>
        <v>['chaotic', 'price', 'package', 'internet', 'expensive', 'tissue', 'slow', 'hadeuh', 'how', 'BUMN', 'Lo', 'lose', ' Products', 'Next to', '']</v>
      </c>
      <c r="D14115" s="3">
        <v>1.0</v>
      </c>
    </row>
    <row r="14116" ht="15.75" customHeight="1">
      <c r="A14116" s="1">
        <v>15014.0</v>
      </c>
      <c r="B14116" s="3" t="s">
        <v>13439</v>
      </c>
      <c r="C14116" s="3" t="str">
        <f>IFERROR(__xludf.DUMMYFUNCTION("GOOGLETRANSLATE(B14116,""id"",""en"")"),"['', 'warning', 'workers',' Telcomsel ',' work ',' ngepain ',' users', 'loyal', 'telcomsel', 'blom', 'feel', 'complaint', 'aspect ',' signal ',' apk ',' sinya ',' problematic ',' please ',' as soon as possible ',' fix ',' error ',' trimakasih ',' hope ','"&amp;" healthy ']")</f>
        <v>['', 'warning', 'workers',' Telcomsel ',' work ',' ngepain ',' users', 'loyal', 'telcomsel', 'blom', 'feel', 'complaint', 'aspect ',' signal ',' apk ',' sinya ',' problematic ',' please ',' as soon as possible ',' fix ',' error ',' trimakasih ',' hope ',' healthy ']</v>
      </c>
      <c r="D14116" s="3">
        <v>1.0</v>
      </c>
    </row>
    <row r="14117" ht="15.75" customHeight="1">
      <c r="A14117" s="1">
        <v>15015.0</v>
      </c>
      <c r="B14117" s="3" t="s">
        <v>13440</v>
      </c>
      <c r="C14117" s="3" t="str">
        <f>IFERROR(__xludf.DUMMYFUNCTION("GOOGLETRANSLATE(B14117,""id"",""en"")"),"['Open', 'MyTelkomsel', 'Wonder']")</f>
        <v>['Open', 'MyTelkomsel', 'Wonder']</v>
      </c>
      <c r="D14117" s="3">
        <v>2.0</v>
      </c>
    </row>
    <row r="14118" ht="15.75" customHeight="1">
      <c r="A14118" s="1">
        <v>15016.0</v>
      </c>
      <c r="B14118" s="3" t="s">
        <v>13441</v>
      </c>
      <c r="C14118" s="3" t="str">
        <f>IFERROR(__xludf.DUMMYFUNCTION("GOOGLETRANSLATE(B14118,""id"",""en"")"),"['Disappointed', 'really', 'App', 'function', 'use', 'quota', 'telkomny', 'network', 'operator', 'or', 'wifi', 'indihome', ' App ',' Error ',' Mulu ',' Auto ',' then ',' right ',' run out ',' quota ',' buy ',' kagak ', ""]")</f>
        <v>['Disappointed', 'really', 'App', 'function', 'use', 'quota', 'telkomny', 'network', 'operator', 'or', 'wifi', 'indihome', ' App ',' Error ',' Mulu ',' Auto ',' then ',' right ',' run out ',' quota ',' buy ',' kagak ', "]</v>
      </c>
      <c r="D14118" s="3">
        <v>1.0</v>
      </c>
    </row>
    <row r="14119" ht="15.75" customHeight="1">
      <c r="A14119" s="1">
        <v>15017.0</v>
      </c>
      <c r="B14119" s="3" t="s">
        <v>13442</v>
      </c>
      <c r="C14119" s="3" t="str">
        <f>IFERROR(__xludf.DUMMYFUNCTION("GOOGLETRANSLATE(B14119,""id"",""en"")"),"['Blank', 'White', 'Version', 'Bug', 'Delete', 'Data', 'Login', 'Live', 'Enter', 'Ngeblank', 'Update', 'Bags',' bother ']")</f>
        <v>['Blank', 'White', 'Version', 'Bug', 'Delete', 'Data', 'Login', 'Live', 'Enter', 'Ngeblank', 'Update', 'Bags',' bother ']</v>
      </c>
      <c r="D14119" s="3">
        <v>1.0</v>
      </c>
    </row>
    <row r="14120" ht="15.75" customHeight="1">
      <c r="A14120" s="1">
        <v>15018.0</v>
      </c>
      <c r="B14120" s="3" t="s">
        <v>13443</v>
      </c>
      <c r="C14120" s="3" t="str">
        <f>IFERROR(__xludf.DUMMYFUNCTION("GOOGLETRANSLATE(B14120,""id"",""en"")"),"['Lower "",' star ',' Karna ',' Quality ',' Bad ',' Appsinyan ',' Open ',' Screen ',' White ',' appears', 'menu']")</f>
        <v>['Lower ",' star ',' Karna ',' Quality ',' Bad ',' Appsinyan ',' Open ',' Screen ',' White ',' appears', 'menu']</v>
      </c>
      <c r="D14120" s="3">
        <v>1.0</v>
      </c>
    </row>
    <row r="14121" ht="15.75" customHeight="1">
      <c r="A14121" s="1">
        <v>15019.0</v>
      </c>
      <c r="B14121" s="3" t="s">
        <v>13444</v>
      </c>
      <c r="C14121" s="3" t="str">
        <f>IFERROR(__xludf.DUMMYFUNCTION("GOOGLETRANSLATE(B14121,""id"",""en"")"),"['Package', 'Offer', 'Cheap', 'Trima', 'Love']")</f>
        <v>['Package', 'Offer', 'Cheap', 'Trima', 'Love']</v>
      </c>
      <c r="D14121" s="3">
        <v>1.0</v>
      </c>
    </row>
    <row r="14122" ht="15.75" customHeight="1">
      <c r="A14122" s="1">
        <v>15020.0</v>
      </c>
      <c r="B14122" s="3" t="s">
        <v>13445</v>
      </c>
      <c r="C14122" s="3" t="str">
        <f>IFERROR(__xludf.DUMMYFUNCTION("GOOGLETRANSLATE(B14122,""id"",""en"")"),"['Blank', 'Samsung', 'Uda', 'Upadte', 'Version', 'Android', 'Version', 'Ngeblank', 'White']")</f>
        <v>['Blank', 'Samsung', 'Uda', 'Upadte', 'Version', 'Android', 'Version', 'Ngeblank', 'White']</v>
      </c>
      <c r="D14122" s="3">
        <v>1.0</v>
      </c>
    </row>
    <row r="14123" ht="15.75" customHeight="1">
      <c r="A14123" s="1">
        <v>15021.0</v>
      </c>
      <c r="B14123" s="3" t="s">
        <v>13446</v>
      </c>
      <c r="C14123" s="3" t="str">
        <f>IFERROR(__xludf.DUMMYFUNCTION("GOOGLETRANSLATE(B14123,""id"",""en"")"),"['The network', 'difficult']")</f>
        <v>['The network', 'difficult']</v>
      </c>
      <c r="D14123" s="3">
        <v>1.0</v>
      </c>
    </row>
    <row r="14124" ht="15.75" customHeight="1">
      <c r="A14124" s="1">
        <v>15022.0</v>
      </c>
      <c r="B14124" s="3" t="s">
        <v>13447</v>
      </c>
      <c r="C14124" s="3" t="str">
        <f>IFERROR(__xludf.DUMMYFUNCTION("GOOGLETRANSLATE(B14124,""id"",""en"")"),"['told', 'Update', 'accessed', 'MyTelkomsel', '']")</f>
        <v>['told', 'Update', 'accessed', 'MyTelkomsel', '']</v>
      </c>
      <c r="D14124" s="3">
        <v>1.0</v>
      </c>
    </row>
    <row r="14125" ht="15.75" customHeight="1">
      <c r="A14125" s="1">
        <v>15023.0</v>
      </c>
      <c r="B14125" s="3" t="s">
        <v>13448</v>
      </c>
      <c r="C14125" s="3" t="str">
        <f>IFERROR(__xludf.DUMMYFUNCTION("GOOGLETRANSLATE(B14125,""id"",""en"")"),"['Want', 'gift', 'car', 'can', 'gift']")</f>
        <v>['Want', 'gift', 'car', 'can', 'gift']</v>
      </c>
      <c r="D14125" s="3">
        <v>5.0</v>
      </c>
    </row>
    <row r="14126" ht="15.75" customHeight="1">
      <c r="A14126" s="1">
        <v>15024.0</v>
      </c>
      <c r="B14126" s="3" t="s">
        <v>13449</v>
      </c>
      <c r="C14126" s="3" t="str">
        <f>IFERROR(__xludf.DUMMYFUNCTION("GOOGLETRANSLATE(B14126,""id"",""en"")"),"['signal', 'ugly', 'really', 'application', 'mytelkomsel', 'open', 'screen', 'white', 'please', 'fix', '']")</f>
        <v>['signal', 'ugly', 'really', 'application', 'mytelkomsel', 'open', 'screen', 'white', 'please', 'fix', '']</v>
      </c>
      <c r="D14126" s="3">
        <v>1.0</v>
      </c>
    </row>
    <row r="14127" ht="15.75" customHeight="1">
      <c r="A14127" s="1">
        <v>15026.0</v>
      </c>
      <c r="B14127" s="3" t="s">
        <v>13450</v>
      </c>
      <c r="C14127" s="3" t="str">
        <f>IFERROR(__xludf.DUMMYFUNCTION("GOOGLETRANSLATE(B14127,""id"",""en"")"),"['Update', 'Buy', 'Package', 'Method', 'Payment', 'App', 'Fund', ""]")</f>
        <v>['Update', 'Buy', 'Package', 'Method', 'Payment', 'App', 'Fund', "]</v>
      </c>
      <c r="D14127" s="3">
        <v>1.0</v>
      </c>
    </row>
    <row r="14128" ht="15.75" customHeight="1">
      <c r="A14128" s="1">
        <v>15027.0</v>
      </c>
      <c r="B14128" s="3" t="s">
        <v>13451</v>
      </c>
      <c r="C14128" s="3" t="str">
        <f>IFERROR(__xludf.DUMMYFUNCTION("GOOGLETRANSLATE(B14128,""id"",""en"")"),"['gift', 'package', 'fair']")</f>
        <v>['gift', 'package', 'fair']</v>
      </c>
      <c r="D14128" s="3">
        <v>1.0</v>
      </c>
    </row>
    <row r="14129" ht="15.75" customHeight="1">
      <c r="A14129" s="1">
        <v>15028.0</v>
      </c>
      <c r="B14129" s="3" t="s">
        <v>13452</v>
      </c>
      <c r="C14129" s="3" t="str">
        <f>IFERROR(__xludf.DUMMYFUNCTION("GOOGLETRANSLATE(B14129,""id"",""en"")"),"['updated', 'opened', 'Sharp', 'Uninstall', 'Download', 'Tetep', 'blank', 'Try', 'Delete', 'Data', 'Force', 'Close', ' Strange ',' really ',' whyaaaaa ',' ']")</f>
        <v>['updated', 'opened', 'Sharp', 'Uninstall', 'Download', 'Tetep', 'blank', 'Try', 'Delete', 'Data', 'Force', 'Close', ' Strange ',' really ',' whyaaaaa ',' ']</v>
      </c>
      <c r="D14129" s="3">
        <v>1.0</v>
      </c>
    </row>
    <row r="14130" ht="15.75" customHeight="1">
      <c r="A14130" s="1">
        <v>15029.0</v>
      </c>
      <c r="B14130" s="3" t="s">
        <v>13453</v>
      </c>
      <c r="C14130" s="3" t="str">
        <f>IFERROR(__xludf.DUMMYFUNCTION("GOOGLETRANSLATE(B14130,""id"",""en"")"),"['Increases', 'signal', 'home', 'slow', 'really', 'area', 'Sumatra', 'north', 'titippan', 'purbetu']")</f>
        <v>['Increases', 'signal', 'home', 'slow', 'really', 'area', 'Sumatra', 'north', 'titippan', 'purbetu']</v>
      </c>
      <c r="D14130" s="3">
        <v>3.0</v>
      </c>
    </row>
    <row r="14131" ht="15.75" customHeight="1">
      <c r="A14131" s="1">
        <v>15030.0</v>
      </c>
      <c r="B14131" s="3" t="s">
        <v>13454</v>
      </c>
      <c r="C14131" s="3" t="str">
        <f>IFERROR(__xludf.DUMMYFUNCTION("GOOGLETRANSLATE(B14131,""id"",""en"")"),"['Slow', 'home', 'blackout', 'electricity', 'pdhal', 'Need', 'signal', 'joins',' right ',' lights', 'dead', 'hotspot', ' Providers', 'knp', 'no', 'then', 'already', 'use', 'free', 'kemndbd', 'signal', 'slow', 'deh', ""]")</f>
        <v>['Slow', 'home', 'blackout', 'electricity', 'pdhal', 'Need', 'signal', 'joins',' right ',' lights', 'dead', 'hotspot', ' Providers', 'knp', 'no', 'then', 'already', 'use', 'free', 'kemndbd', 'signal', 'slow', 'deh', "]</v>
      </c>
      <c r="D14131" s="3">
        <v>1.0</v>
      </c>
    </row>
    <row r="14132" ht="15.75" customHeight="1">
      <c r="A14132" s="1">
        <v>15031.0</v>
      </c>
      <c r="B14132" s="3" t="s">
        <v>13455</v>
      </c>
      <c r="C14132" s="3" t="str">
        <f>IFERROR(__xludf.DUMMYFUNCTION("GOOGLETRANSLATE(B14132,""id"",""en"")"),"['signal', 'ugly', 'Telkomsel', 'good', 'ugly', 'play', 'game', 'slow', 'regret', 'Telkomsel', ""]")</f>
        <v>['signal', 'ugly', 'Telkomsel', 'good', 'ugly', 'play', 'game', 'slow', 'regret', 'Telkomsel', "]</v>
      </c>
      <c r="D14132" s="3">
        <v>2.0</v>
      </c>
    </row>
    <row r="14133" ht="15.75" customHeight="1">
      <c r="A14133" s="1">
        <v>15032.0</v>
      </c>
      <c r="B14133" s="3" t="s">
        <v>13456</v>
      </c>
      <c r="C14133" s="3" t="str">
        <f>IFERROR(__xludf.DUMMYFUNCTION("GOOGLETRANSLATE(B14133,""id"",""en"")"),"['update', 'feature', 'buy', 'package', 'parahhhhh']")</f>
        <v>['update', 'feature', 'buy', 'package', 'parahhhhh']</v>
      </c>
      <c r="D14133" s="3">
        <v>1.0</v>
      </c>
    </row>
    <row r="14134" ht="15.75" customHeight="1">
      <c r="A14134" s="1">
        <v>15033.0</v>
      </c>
      <c r="B14134" s="3" t="s">
        <v>13457</v>
      </c>
      <c r="C14134" s="3" t="str">
        <f>IFERROR(__xludf.DUMMYFUNCTION("GOOGLETRANSLATE(B14134,""id"",""en"")"),"['promo', 'Telkomsel', 'Network', 'smooth']")</f>
        <v>['promo', 'Telkomsel', 'Network', 'smooth']</v>
      </c>
      <c r="D14134" s="3">
        <v>5.0</v>
      </c>
    </row>
    <row r="14135" ht="15.75" customHeight="1">
      <c r="A14135" s="1">
        <v>15034.0</v>
      </c>
      <c r="B14135" s="3" t="s">
        <v>13458</v>
      </c>
      <c r="C14135" s="3" t="str">
        <f>IFERROR(__xludf.DUMMYFUNCTION("GOOGLETRANSLATE(B14135,""id"",""en"")"),"['signal', 'strong', 'steady']")</f>
        <v>['signal', 'strong', 'steady']</v>
      </c>
      <c r="D14135" s="3">
        <v>5.0</v>
      </c>
    </row>
    <row r="14136" ht="15.75" customHeight="1">
      <c r="A14136" s="1">
        <v>15035.0</v>
      </c>
      <c r="B14136" s="3" t="s">
        <v>13459</v>
      </c>
      <c r="C14136" s="3" t="str">
        <f>IFERROR(__xludf.DUMMYFUNCTION("GOOGLETRANSLATE(B14136,""id"",""en"")"),"['please', 'Telkomsel', 'signal', 'peak', 'bogor', 'slow', 'ilang', 'already', 'buy', 'package', 'expensive', 'expensive', ' The network is', 'invited', 'fight', '']")</f>
        <v>['please', 'Telkomsel', 'signal', 'peak', 'bogor', 'slow', 'ilang', 'already', 'buy', 'package', 'expensive', 'expensive', ' The network is', 'invited', 'fight', '']</v>
      </c>
      <c r="D14136" s="3">
        <v>2.0</v>
      </c>
    </row>
    <row r="14137" ht="15.75" customHeight="1">
      <c r="A14137" s="1">
        <v>15036.0</v>
      </c>
      <c r="B14137" s="3" t="s">
        <v>529</v>
      </c>
      <c r="C14137" s="3" t="str">
        <f>IFERROR(__xludf.DUMMYFUNCTION("GOOGLETRANSLATE(B14137,""id"",""en"")"),"['win']")</f>
        <v>['win']</v>
      </c>
      <c r="D14137" s="3">
        <v>5.0</v>
      </c>
    </row>
    <row r="14138" ht="15.75" customHeight="1">
      <c r="A14138" s="1">
        <v>15037.0</v>
      </c>
      <c r="B14138" s="3" t="s">
        <v>13460</v>
      </c>
      <c r="C14138" s="3" t="str">
        <f>IFERROR(__xludf.DUMMYFUNCTION("GOOGLETRANSLATE(B14138,""id"",""en"")"),"['quality', 'threat', 'sympathy', ""]")</f>
        <v>['quality', 'threat', 'sympathy', "]</v>
      </c>
      <c r="D14138" s="3">
        <v>1.0</v>
      </c>
    </row>
    <row r="14139" ht="15.75" customHeight="1">
      <c r="A14139" s="1">
        <v>15038.0</v>
      </c>
      <c r="B14139" s="3" t="s">
        <v>13461</v>
      </c>
      <c r="C14139" s="3" t="str">
        <f>IFERROR(__xludf.DUMMYFUNCTION("GOOGLETRANSLATE(B14139,""id"",""en"")"),"['how', 'unlimited', 'right', 'error', 'please', 'unlimited', 'package', 'internet', 'Telkomsel', 'made easier', 'purchase', 'package', ' Internet ',' ']")</f>
        <v>['how', 'unlimited', 'right', 'error', 'please', 'unlimited', 'package', 'internet', 'Telkomsel', 'made easier', 'purchase', 'package', ' Internet ',' ']</v>
      </c>
      <c r="D14139" s="3">
        <v>5.0</v>
      </c>
    </row>
    <row r="14140" ht="15.75" customHeight="1">
      <c r="A14140" s="1">
        <v>15039.0</v>
      </c>
      <c r="B14140" s="3" t="s">
        <v>13462</v>
      </c>
      <c r="C14140" s="3" t="str">
        <f>IFERROR(__xludf.DUMMYFUNCTION("GOOGLETRANSLATE(B14140,""id"",""en"")"),"['screen', 'white', 'right', 'upgrade', 'app', 'operated', '']")</f>
        <v>['screen', 'white', 'right', 'upgrade', 'app', 'operated', '']</v>
      </c>
      <c r="D14140" s="3">
        <v>2.0</v>
      </c>
    </row>
    <row r="14141" ht="15.75" customHeight="1">
      <c r="A14141" s="1">
        <v>15040.0</v>
      </c>
      <c r="B14141" s="3" t="s">
        <v>13463</v>
      </c>
      <c r="C14141" s="3" t="str">
        <f>IFERROR(__xludf.DUMMYFUNCTION("GOOGLETRANSLATE(B14141,""id"",""en"")"),"['many years',' Customers', 'Stia', 'Telkomsel', 'signal', 'might', 'hri', 'maybe', 'bad', 'tlong', 'fix', 'quality', ' network']")</f>
        <v>['many years',' Customers', 'Stia', 'Telkomsel', 'signal', 'might', 'hri', 'maybe', 'bad', 'tlong', 'fix', 'quality', ' network']</v>
      </c>
      <c r="D14141" s="3">
        <v>1.0</v>
      </c>
    </row>
    <row r="14142" ht="15.75" customHeight="1">
      <c r="A14142" s="1">
        <v>15041.0</v>
      </c>
      <c r="B14142" s="3" t="s">
        <v>13464</v>
      </c>
      <c r="C14142" s="3" t="str">
        <f>IFERROR(__xludf.DUMMYFUNCTION("GOOGLETRANSLATE(B14142,""id"",""en"")"),"['BLM', 'Try', 'Application', 'Believe', 'Quality', 'Telkomsel', ""]")</f>
        <v>['BLM', 'Try', 'Application', 'Believe', 'Quality', 'Telkomsel', "]</v>
      </c>
      <c r="D14142" s="3">
        <v>4.0</v>
      </c>
    </row>
    <row r="14143" ht="15.75" customHeight="1">
      <c r="A14143" s="1">
        <v>15042.0</v>
      </c>
      <c r="B14143" s="3" t="s">
        <v>13465</v>
      </c>
      <c r="C14143" s="3" t="str">
        <f>IFERROR(__xludf.DUMMYFUNCTION("GOOGLETRANSLATE(B14143,""id"",""en"")"),"['Exchange', 'Points', 'Package', 'Data', 'Please', 'Response', 'Exchange', 'Package', 'Data']")</f>
        <v>['Exchange', 'Points', 'Package', 'Data', 'Please', 'Response', 'Exchange', 'Package', 'Data']</v>
      </c>
      <c r="D14143" s="3">
        <v>3.0</v>
      </c>
    </row>
    <row r="14144" ht="15.75" customHeight="1">
      <c r="A14144" s="1">
        <v>15043.0</v>
      </c>
      <c r="B14144" s="3" t="s">
        <v>13466</v>
      </c>
      <c r="C14144" s="3" t="str">
        <f>IFERROR(__xludf.DUMMYFUNCTION("GOOGLETRANSLATE(B14144,""id"",""en"")"),"['update', 'open', 'min']")</f>
        <v>['update', 'open', 'min']</v>
      </c>
      <c r="D14144" s="3">
        <v>3.0</v>
      </c>
    </row>
    <row r="14145" ht="15.75" customHeight="1">
      <c r="A14145" s="1">
        <v>15044.0</v>
      </c>
      <c r="B14145" s="3" t="s">
        <v>13467</v>
      </c>
      <c r="C14145" s="3" t="str">
        <f>IFERROR(__xludf.DUMMYFUNCTION("GOOGLETRANSLATE(B14145,""id"",""en"")"),"['home', 'sick', 'Dapan', 'max', 'line', 'connects',' internet ',' slow ',' spend ',' battery ',' doang ',' open ',' Veronika ',' Ajh ',' Sharny ',' Send ',' screencapture ']")</f>
        <v>['home', 'sick', 'Dapan', 'max', 'line', 'connects',' internet ',' slow ',' spend ',' battery ',' doang ',' open ',' Veronika ',' Ajh ',' Sharny ',' Send ',' screencapture ']</v>
      </c>
      <c r="D14145" s="3">
        <v>1.0</v>
      </c>
    </row>
    <row r="14146" ht="15.75" customHeight="1">
      <c r="A14146" s="1">
        <v>15045.0</v>
      </c>
      <c r="B14146" s="3" t="s">
        <v>13468</v>
      </c>
      <c r="C14146" s="3" t="str">
        <f>IFERROR(__xludf.DUMMYFUNCTION("GOOGLETRANSLATE(B14146,""id"",""en"")"),"['Points', 'exchanged', 'PKT', 'Internet', 'HRUS', 'PKE', 'PLSA', 'JGA', 'Ngiritnya', 'forgiveness']")</f>
        <v>['Points', 'exchanged', 'PKT', 'Internet', 'HRUS', 'PKE', 'PLSA', 'JGA', 'Ngiritnya', 'forgiveness']</v>
      </c>
      <c r="D14146" s="3">
        <v>1.0</v>
      </c>
    </row>
    <row r="14147" ht="15.75" customHeight="1">
      <c r="A14147" s="1">
        <v>15046.0</v>
      </c>
      <c r="B14147" s="3" t="s">
        <v>13469</v>
      </c>
      <c r="C14147" s="3" t="str">
        <f>IFERROR(__xludf.DUMMYFUNCTION("GOOGLETRANSLATE(B14147,""id"",""en"")"),"['Opened', 'Uninstall', 'Install', 'Tetep', '']")</f>
        <v>['Opened', 'Uninstall', 'Install', 'Tetep', '']</v>
      </c>
      <c r="D14147" s="3">
        <v>2.0</v>
      </c>
    </row>
    <row r="14148" ht="15.75" customHeight="1">
      <c r="A14148" s="1">
        <v>15047.0</v>
      </c>
      <c r="B14148" s="3" t="s">
        <v>13470</v>
      </c>
      <c r="C14148" s="3" t="str">
        <f>IFERROR(__xludf.DUMMYFUNCTION("GOOGLETRANSLATE(B14148,""id"",""en"")"),"['Please', 'signal', 'conditioned', 'troubling', 'use', 'orbit', 'signal', 'good', 'at the beginning', 'signal', 'ugly', 'area', ' remote ',' minutes', 'city', 'solo', 'signal', 'ugly', 'please', 'conditioned', 'signal', 'good', 'love', 'star', ""]")</f>
        <v>['Please', 'signal', 'conditioned', 'troubling', 'use', 'orbit', 'signal', 'good', 'at the beginning', 'signal', 'ugly', 'area', ' remote ',' minutes', 'city', 'solo', 'signal', 'ugly', 'please', 'conditioned', 'signal', 'good', 'love', 'star', "]</v>
      </c>
      <c r="D14148" s="3">
        <v>1.0</v>
      </c>
    </row>
    <row r="14149" ht="15.75" customHeight="1">
      <c r="A14149" s="1">
        <v>15048.0</v>
      </c>
      <c r="B14149" s="3" t="s">
        <v>13471</v>
      </c>
      <c r="C14149" s="3" t="str">
        <f>IFERROR(__xludf.DUMMYFUNCTION("GOOGLETRANSLATE(B14149,""id"",""en"")"),"['smga', 'gift', 'amin']")</f>
        <v>['smga', 'gift', 'amin']</v>
      </c>
      <c r="D14149" s="3">
        <v>5.0</v>
      </c>
    </row>
    <row r="14150" ht="15.75" customHeight="1">
      <c r="A14150" s="1">
        <v>15049.0</v>
      </c>
      <c r="B14150" s="3" t="s">
        <v>13472</v>
      </c>
      <c r="C14150" s="3" t="str">
        <f>IFERROR(__xludf.DUMMYFUNCTION("GOOGLETRANSLATE(B14150,""id"",""en"")"),"['Telkomsel', 'cellphone', 'supports',' kayak ',' Telkomsel ',' byk ',' disappointing ',' customers', 'disappointed', 'Telkomsel', 'update', 'dayli', ' check', '']")</f>
        <v>['Telkomsel', 'cellphone', 'supports',' kayak ',' Telkomsel ',' byk ',' disappointing ',' customers', 'disappointed', 'Telkomsel', 'update', 'dayli', ' check', '']</v>
      </c>
      <c r="D14150" s="3">
        <v>1.0</v>
      </c>
    </row>
    <row r="14151" ht="15.75" customHeight="1">
      <c r="A14151" s="1">
        <v>15050.0</v>
      </c>
      <c r="B14151" s="3" t="s">
        <v>13473</v>
      </c>
      <c r="C14151" s="3" t="str">
        <f>IFERROR(__xludf.DUMMYFUNCTION("GOOGLETRANSLATE(B14151,""id"",""en"")"),"['signal', 'Telkomsel', 'ugly', 'play', 'game']")</f>
        <v>['signal', 'Telkomsel', 'ugly', 'play', 'game']</v>
      </c>
      <c r="D14151" s="3">
        <v>2.0</v>
      </c>
    </row>
    <row r="14152" ht="15.75" customHeight="1">
      <c r="A14152" s="1">
        <v>15051.0</v>
      </c>
      <c r="B14152" s="3" t="s">
        <v>13474</v>
      </c>
      <c r="C14152" s="3" t="str">
        <f>IFERROR(__xludf.DUMMYFUNCTION("GOOGLETRANSLATE(B14152,""id"",""en"")"),"['Network', 'scattered', 'ngellag', 'ngellag', 'ngotak', 'star', 'acjalah']")</f>
        <v>['Network', 'scattered', 'ngellag', 'ngellag', 'ngotak', 'star', 'acjalah']</v>
      </c>
      <c r="D14152" s="3">
        <v>1.0</v>
      </c>
    </row>
    <row r="14153" ht="15.75" customHeight="1">
      <c r="A14153" s="1">
        <v>15052.0</v>
      </c>
      <c r="B14153" s="3" t="s">
        <v>13475</v>
      </c>
      <c r="C14153" s="3" t="str">
        <f>IFERROR(__xludf.DUMMYFUNCTION("GOOGLETRANSLATE(B14153,""id"",""en"")"),"['Telkomsel', 'poor', 'run out', 'renewal', 'Install', 'reset', 'open', 'rich', 'watch', 'misbar', 'field', 'era', ' screen ',' white ',' doang ',' ']")</f>
        <v>['Telkomsel', 'poor', 'run out', 'renewal', 'Install', 'reset', 'open', 'rich', 'watch', 'misbar', 'field', 'era', ' screen ',' white ',' doang ',' ']</v>
      </c>
      <c r="D14153" s="3">
        <v>1.0</v>
      </c>
    </row>
    <row r="14154" ht="15.75" customHeight="1">
      <c r="A14154" s="1">
        <v>15053.0</v>
      </c>
      <c r="B14154" s="3" t="s">
        <v>13476</v>
      </c>
      <c r="C14154" s="3" t="str">
        <f>IFERROR(__xludf.DUMMYFUNCTION("GOOGLETRANSLATE(B14154,""id"",""en"")"),"['Special', 'Kab', 'Sumba', 'West', 'Power', 'Signal', 'Telkomsel', 'Down', 'Sometimes',' All Day ',' Network ',' Ngadat ',' kessssal ',' BLM ',' BLM ',' Operator ',' Suggestions', 'Telkomsel', 'BOKX', 'Increases',' SERVIX ',' Special ',' Region ',' Signa"&amp;"lx ',' repaired ' , 'Increase', 'Network', '']")</f>
        <v>['Special', 'Kab', 'Sumba', 'West', 'Power', 'Signal', 'Telkomsel', 'Down', 'Sometimes',' All Day ',' Network ',' Ngadat ',' kessssal ',' BLM ',' BLM ',' Operator ',' Suggestions', 'Telkomsel', 'BOKX', 'Increases',' SERVIX ',' Special ',' Region ',' Signalx ',' repaired ' , 'Increase', 'Network', '']</v>
      </c>
      <c r="D14154" s="3">
        <v>5.0</v>
      </c>
    </row>
    <row r="14155" ht="15.75" customHeight="1">
      <c r="A14155" s="1">
        <v>15054.0</v>
      </c>
      <c r="B14155" s="3" t="s">
        <v>13477</v>
      </c>
      <c r="C14155" s="3" t="str">
        <f>IFERROR(__xludf.DUMMYFUNCTION("GOOGLETRANSLATE(B14155,""id"",""en"")"),"['Update', 'blank', 'white']")</f>
        <v>['Update', 'blank', 'white']</v>
      </c>
      <c r="D14155" s="3">
        <v>1.0</v>
      </c>
    </row>
    <row r="14156" ht="15.75" customHeight="1">
      <c r="A14156" s="1">
        <v>15055.0</v>
      </c>
      <c r="B14156" s="3" t="s">
        <v>13478</v>
      </c>
      <c r="C14156" s="3" t="str">
        <f>IFERROR(__xludf.DUMMYFUNCTION("GOOGLETRANSLATE(B14156,""id"",""en"")"),"['application', 'silly', 'turn', 'opened', 'internet', 'speed', 'direct', 'spoil', 'signal', 'good', 'slow', 'the application', ' Close ',' Speed ​​',' Direct ',' Dropped ',' Learning ',' Nipu ',' Min ',' ']")</f>
        <v>['application', 'silly', 'turn', 'opened', 'internet', 'speed', 'direct', 'spoil', 'signal', 'good', 'slow', 'the application', ' Close ',' Speed ​​',' Direct ',' Dropped ',' Learning ',' Nipu ',' Min ',' ']</v>
      </c>
      <c r="D14156" s="3">
        <v>2.0</v>
      </c>
    </row>
    <row r="14157" ht="15.75" customHeight="1">
      <c r="A14157" s="1">
        <v>15056.0</v>
      </c>
      <c r="B14157" s="3" t="s">
        <v>13479</v>
      </c>
      <c r="C14157" s="3" t="str">
        <f>IFERROR(__xludf.DUMMYFUNCTION("GOOGLETRANSLATE(B14157,""id"",""en"")"),"['Help', 'mantapppp']")</f>
        <v>['Help', 'mantapppp']</v>
      </c>
      <c r="D14157" s="3">
        <v>5.0</v>
      </c>
    </row>
    <row r="14158" ht="15.75" customHeight="1">
      <c r="A14158" s="1">
        <v>15057.0</v>
      </c>
      <c r="B14158" s="3" t="s">
        <v>13480</v>
      </c>
      <c r="C14158" s="3" t="str">
        <f>IFERROR(__xludf.DUMMYFUNCTION("GOOGLETRANSLATE(B14158,""id"",""en"")"),"['Network', 'bad', 'detrimental', 'Customer', 'Maen', 'slot', 'connection', 'disconnected', 'ngelek', 'etc.', 'detrimental', 'customer']")</f>
        <v>['Network', 'bad', 'detrimental', 'Customer', 'Maen', 'slot', 'connection', 'disconnected', 'ngelek', 'etc.', 'detrimental', 'customer']</v>
      </c>
      <c r="D14158" s="3">
        <v>1.0</v>
      </c>
    </row>
    <row r="14159" ht="15.75" customHeight="1">
      <c r="A14159" s="1">
        <v>15058.0</v>
      </c>
      <c r="B14159" s="3" t="s">
        <v>13481</v>
      </c>
      <c r="C14159" s="3" t="str">
        <f>IFERROR(__xludf.DUMMYFUNCTION("GOOGLETRANSLATE(B14159,""id"",""en"")"),"['ASW', 'Network', 'rich', 'card', 'next door', 'kagak', 'curry', 'oath', 'already', 'emang', 'anying', 'network', ' Burik ',' Ngentd ']")</f>
        <v>['ASW', 'Network', 'rich', 'card', 'next door', 'kagak', 'curry', 'oath', 'already', 'emang', 'anying', 'network', ' Burik ',' Ngentd ']</v>
      </c>
      <c r="D14159" s="3">
        <v>1.0</v>
      </c>
    </row>
    <row r="14160" ht="15.75" customHeight="1">
      <c r="A14160" s="1">
        <v>15059.0</v>
      </c>
      <c r="B14160" s="3" t="s">
        <v>13482</v>
      </c>
      <c r="C14160" s="3" t="str">
        <f>IFERROR(__xludf.DUMMYFUNCTION("GOOGLETRANSLATE(B14160,""id"",""en"")"),"['Telkomsel', 'please', 'fix', 'signal', 'cave', 'already', 'expensive', 'buy', 'package', 'sinta', 'knp', 'idiot', ' gini ',' then ',' dead ',' cave ',' signal ',' ank ',' ngen ',' already ',' good ',' point ',' cave ',' love ',' star ' ]")</f>
        <v>['Telkomsel', 'please', 'fix', 'signal', 'cave', 'already', 'expensive', 'buy', 'package', 'sinta', 'knp', 'idiot', ' gini ',' then ',' dead ',' cave ',' signal ',' ank ',' ngen ',' already ',' good ',' point ',' cave ',' love ',' star ' ]</v>
      </c>
      <c r="D14160" s="3">
        <v>1.0</v>
      </c>
    </row>
    <row r="14161" ht="15.75" customHeight="1">
      <c r="A14161" s="1">
        <v>15060.0</v>
      </c>
      <c r="B14161" s="3" t="s">
        <v>13483</v>
      </c>
      <c r="C14161" s="3" t="str">
        <f>IFERROR(__xludf.DUMMYFUNCTION("GOOGLETRANSLATE(B14161,""id"",""en"")"),"['', 'second', 'Application', 'opened', 'Apasih', 'Your Problem', 'Telkomsel']")</f>
        <v>['', 'second', 'Application', 'opened', 'Apasih', 'Your Problem', 'Telkomsel']</v>
      </c>
      <c r="D14161" s="3">
        <v>1.0</v>
      </c>
    </row>
    <row r="14162" ht="15.75" customHeight="1">
      <c r="A14162" s="1">
        <v>15062.0</v>
      </c>
      <c r="B14162" s="3" t="s">
        <v>13484</v>
      </c>
      <c r="C14162" s="3" t="str">
        <f>IFERROR(__xludf.DUMMYFUNCTION("GOOGLETRANSLATE(B14162,""id"",""en"")"),"['MyTelkomsel', 'knp', 'dsruh', 'update', 'update', 'mah', 'dbuka', 'aplksiny', 'before', 'tried', 'mentions',' pdahal ',' Then ',' klu ',' checked ',' Tingl ',' moved ',' gnti ',' skrng ', ""]")</f>
        <v>['MyTelkomsel', 'knp', 'dsruh', 'update', 'update', 'mah', 'dbuka', 'aplksiny', 'before', 'tried', 'mentions',' pdahal ',' Then ',' klu ',' checked ',' Tingl ',' moved ',' gnti ',' skrng ', "]</v>
      </c>
      <c r="D14162" s="3">
        <v>2.0</v>
      </c>
    </row>
    <row r="14163" ht="15.75" customHeight="1">
      <c r="A14163" s="1">
        <v>15063.0</v>
      </c>
      <c r="B14163" s="3" t="s">
        <v>13485</v>
      </c>
      <c r="C14163" s="3" t="str">
        <f>IFERROR(__xludf.DUMMYFUNCTION("GOOGLETRANSLATE(B14163,""id"",""en"")"),"['Hello', 'what', 'app', 'gabisa', 'opened', 'already', 'please', 'delete', 'cache', 'insyal', 'reset', 'restart']")</f>
        <v>['Hello', 'what', 'app', 'gabisa', 'opened', 'already', 'please', 'delete', 'cache', 'insyal', 'reset', 'restart']</v>
      </c>
      <c r="D14163" s="3">
        <v>1.0</v>
      </c>
    </row>
    <row r="14164" ht="15.75" customHeight="1">
      <c r="A14164" s="1">
        <v>15064.0</v>
      </c>
      <c r="B14164" s="3" t="s">
        <v>13486</v>
      </c>
      <c r="C14164" s="3" t="str">
        <f>IFERROR(__xludf.DUMMYFUNCTION("GOOGLETRANSLATE(B14164,""id"",""en"")"),"['Sis', 'Please', 'bntuan', 'buy', 'package', 'data', 'right', 'open', 'screen', 'white', 'do "",' buy ',' Package ',' UAS ']")</f>
        <v>['Sis', 'Please', 'bntuan', 'buy', 'package', 'data', 'right', 'open', 'screen', 'white', 'do ",' buy ',' Package ',' UAS ']</v>
      </c>
      <c r="D14164" s="3">
        <v>3.0</v>
      </c>
    </row>
    <row r="14165" ht="15.75" customHeight="1">
      <c r="A14165" s="1">
        <v>15065.0</v>
      </c>
      <c r="B14165" s="3" t="s">
        <v>13487</v>
      </c>
      <c r="C14165" s="3" t="str">
        <f>IFERROR(__xludf.DUMMYFUNCTION("GOOGLETRANSLATE(B14165,""id"",""en"")"),"['The application', 'good', 'help', 'search', 'install', 'package', 'cheap', 'unlimited']")</f>
        <v>['The application', 'good', 'help', 'search', 'install', 'package', 'cheap', 'unlimited']</v>
      </c>
      <c r="D14165" s="3">
        <v>5.0</v>
      </c>
    </row>
    <row r="14166" ht="15.75" customHeight="1">
      <c r="A14166" s="1">
        <v>15066.0</v>
      </c>
      <c r="B14166" s="3" t="s">
        <v>13488</v>
      </c>
      <c r="C14166" s="3" t="str">
        <f>IFERROR(__xludf.DUMMYFUNCTION("GOOGLETRANSLATE(B14166,""id"",""en"")"),"['network', 'internet', 'good', 'buy', 'package', 'use', 'hmmmmm']")</f>
        <v>['network', 'internet', 'good', 'buy', 'package', 'use', 'hmmmmm']</v>
      </c>
      <c r="D14166" s="3">
        <v>2.0</v>
      </c>
    </row>
    <row r="14167" ht="15.75" customHeight="1">
      <c r="A14167" s="1">
        <v>15067.0</v>
      </c>
      <c r="B14167" s="3" t="s">
        <v>13489</v>
      </c>
      <c r="C14167" s="3" t="str">
        <f>IFERROR(__xludf.DUMMYFUNCTION("GOOGLETRANSLATE(B14167,""id"",""en"")"),"['Telkomsel', 'Removing', 'quota', 'watch', 'use', 'Pay', 'expensive', 'choice', 'quota', 'watch', 'kuita', 'GB', ' quota ',' watch "", 'GB', 'GBLK']")</f>
        <v>['Telkomsel', 'Removing', 'quota', 'watch', 'use', 'Pay', 'expensive', 'choice', 'quota', 'watch', 'kuita', 'GB', ' quota ',' watch ", 'GB', 'GBLK']</v>
      </c>
      <c r="D14167" s="3">
        <v>1.0</v>
      </c>
    </row>
    <row r="14168" ht="15.75" customHeight="1">
      <c r="A14168" s="1">
        <v>15068.0</v>
      </c>
      <c r="B14168" s="3" t="s">
        <v>13490</v>
      </c>
      <c r="C14168" s="3" t="str">
        <f>IFERROR(__xludf.DUMMYFUNCTION("GOOGLETRANSLATE(B14168,""id"",""en"")"),"['hard', 'application', 'classmate', 'Telkomsel', 'problematic', 'application', 'difficult', 'open', 'mnding', 'uninstall', 'Ajalah']")</f>
        <v>['hard', 'application', 'classmate', 'Telkomsel', 'problematic', 'application', 'difficult', 'open', 'mnding', 'uninstall', 'Ajalah']</v>
      </c>
      <c r="D14168" s="3">
        <v>5.0</v>
      </c>
    </row>
    <row r="14169" ht="15.75" customHeight="1">
      <c r="A14169" s="1">
        <v>15070.0</v>
      </c>
      <c r="B14169" s="3" t="s">
        <v>859</v>
      </c>
      <c r="C14169" s="3" t="str">
        <f>IFERROR(__xludf.DUMMYFUNCTION("GOOGLETRANSLATE(B14169,""id"",""en"")"),"['help', '']")</f>
        <v>['help', '']</v>
      </c>
      <c r="D14169" s="3">
        <v>5.0</v>
      </c>
    </row>
    <row r="14170" ht="15.75" customHeight="1">
      <c r="A14170" s="1">
        <v>15071.0</v>
      </c>
      <c r="B14170" s="3" t="s">
        <v>13491</v>
      </c>
      <c r="C14170" s="3" t="str">
        <f>IFERROR(__xludf.DUMMYFUNCTION("GOOGLETRANSLATE(B14170,""id"",""en"")"),"['Try', 'Telkomsel', 'fix', 'signal', 'in the area', 'maybe', 'severe', 'signal', 'ugly', 'package', 'remained', 'quality', ' down ',' should ',' kulitasnya ',' ministered ',' price ',' doang ',' ride ',' disappointed ',' as', 'pelangan', 'Telkomsel', 'he"&amp;"re', 'signal', 'signal' , 'Severe', 'Lost', 'EXSIS', '']")</f>
        <v>['Try', 'Telkomsel', 'fix', 'signal', 'in the area', 'maybe', 'severe', 'signal', 'ugly', 'package', 'remained', 'quality', ' down ',' should ',' kulitasnya ',' ministered ',' price ',' doang ',' ride ',' disappointed ',' as', 'pelangan', 'Telkomsel', 'here', 'signal', 'signal' , 'Severe', 'Lost', 'EXSIS', '']</v>
      </c>
      <c r="D14170" s="3">
        <v>1.0</v>
      </c>
    </row>
    <row r="14171" ht="15.75" customHeight="1">
      <c r="A14171" s="1">
        <v>15072.0</v>
      </c>
      <c r="B14171" s="3" t="s">
        <v>13492</v>
      </c>
      <c r="C14171" s="3" t="str">
        <f>IFERROR(__xludf.DUMMYFUNCTION("GOOGLETRANSLATE(B14171,""id"",""en"")"),"['signal', 'Telkomsel', 'river', 'full', 'down', 'slow', 'missing', 'arising', 'slow', 'disappointed', 'Telkomsel']")</f>
        <v>['signal', 'Telkomsel', 'river', 'full', 'down', 'slow', 'missing', 'arising', 'slow', 'disappointed', 'Telkomsel']</v>
      </c>
      <c r="D14171" s="3">
        <v>1.0</v>
      </c>
    </row>
    <row r="14172" ht="15.75" customHeight="1">
      <c r="A14172" s="1">
        <v>15073.0</v>
      </c>
      <c r="B14172" s="3" t="s">
        <v>13493</v>
      </c>
      <c r="C14172" s="3" t="str">
        <f>IFERROR(__xludf.DUMMYFUNCTION("GOOGLETRANSLATE(B14172,""id"",""en"")"),"['Please', 'name', 'pulse', 'made', 'service', 'data', 'internet', 'detrimental', 'user', 'buy', 'pulse']")</f>
        <v>['Please', 'name', 'pulse', 'made', 'service', 'data', 'internet', 'detrimental', 'user', 'buy', 'pulse']</v>
      </c>
      <c r="D14172" s="3">
        <v>1.0</v>
      </c>
    </row>
    <row r="14173" ht="15.75" customHeight="1">
      <c r="A14173" s="1">
        <v>15074.0</v>
      </c>
      <c r="B14173" s="3" t="s">
        <v>13494</v>
      </c>
      <c r="C14173" s="3" t="str">
        <f>IFERROR(__xludf.DUMMYFUNCTION("GOOGLETRANSLATE(B14173,""id"",""en"")"),"['best', 'please', 'signal', 'fix', 'area', 'kalteng', 'difficult', 'area', 'village']")</f>
        <v>['best', 'please', 'signal', 'fix', 'area', 'kalteng', 'difficult', 'area', 'village']</v>
      </c>
      <c r="D14173" s="3">
        <v>4.0</v>
      </c>
    </row>
    <row r="14174" ht="15.75" customHeight="1">
      <c r="A14174" s="1">
        <v>15075.0</v>
      </c>
      <c r="B14174" s="3" t="s">
        <v>1601</v>
      </c>
      <c r="C14174" s="3" t="str">
        <f>IFERROR(__xludf.DUMMYFUNCTION("GOOGLETRANSLATE(B14174,""id"",""en"")"),"['open']")</f>
        <v>['open']</v>
      </c>
      <c r="D14174" s="3">
        <v>1.0</v>
      </c>
    </row>
    <row r="14175" ht="15.75" customHeight="1">
      <c r="A14175" s="1">
        <v>15076.0</v>
      </c>
      <c r="B14175" s="3" t="s">
        <v>13495</v>
      </c>
      <c r="C14175" s="3" t="str">
        <f>IFERROR(__xludf.DUMMYFUNCTION("GOOGLETRANSLATE(B14175,""id"",""en"")"),"['Sya', 'Akir', 'Akir', 'Disappointed', 'Telkom', 'Neli', 'Package', 'Mahl', 'Expensive', 'Dipelek', 'Normal', 'Please', ' understanding ',' already ',' package ',' expensive ',' mengelek ',' run out ',' vinegar ',' apket ',' ngelek ',' please ',' play ',"&amp;"' game ',' Bukak ' , 'sosmed', 'ngelek', 'knpa', 'no', 'rich', 'yag', 'smooth', 'users', 'telkom', 'slow', 'lazy', ""]")</f>
        <v>['Sya', 'Akir', 'Akir', 'Disappointed', 'Telkom', 'Neli', 'Package', 'Mahl', 'Expensive', 'Dipelek', 'Normal', 'Please', ' understanding ',' already ',' package ',' expensive ',' mengelek ',' run out ',' vinegar ',' apket ',' ngelek ',' please ',' play ',' game ',' Bukak ' , 'sosmed', 'ngelek', 'knpa', 'no', 'rich', 'yag', 'smooth', 'users', 'telkom', 'slow', 'lazy', "]</v>
      </c>
      <c r="D14175" s="3">
        <v>1.0</v>
      </c>
    </row>
    <row r="14176" ht="15.75" customHeight="1">
      <c r="A14176" s="1">
        <v>15077.0</v>
      </c>
      <c r="B14176" s="3" t="s">
        <v>13496</v>
      </c>
      <c r="C14176" s="3" t="str">
        <f>IFERROR(__xludf.DUMMYFUNCTION("GOOGLETRANSLATE(B14176,""id"",""en"")"),"['Putie', 'Region']")</f>
        <v>['Putie', 'Region']</v>
      </c>
      <c r="D14176" s="3">
        <v>5.0</v>
      </c>
    </row>
    <row r="14177" ht="15.75" customHeight="1">
      <c r="A14177" s="1">
        <v>15078.0</v>
      </c>
      <c r="B14177" s="3" t="s">
        <v>13497</v>
      </c>
      <c r="C14177" s="3" t="str">
        <f>IFERROR(__xludf.DUMMYFUNCTION("GOOGLETRANSLATE(B14177,""id"",""en"")"),"['Telkomsel', 'Dear', 'Please', 'Evaluated', 'Team', 'Area', 'Sumatran', 'South', 'Region', 'Muara', 'Enim', 'Signal', ' Miris', 'Live', 'Center', 'City', 'Please', 'Read', 'Diberindaki', 'Coffee', 'College', 'Package', 'Package', 'According to', 'Quality"&amp;"' , 'thank you']")</f>
        <v>['Telkomsel', 'Dear', 'Please', 'Evaluated', 'Team', 'Area', 'Sumatran', 'South', 'Region', 'Muara', 'Enim', 'Signal', ' Miris', 'Live', 'Center', 'City', 'Please', 'Read', 'Diberindaki', 'Coffee', 'College', 'Package', 'Package', 'According to', 'Quality' , 'thank you']</v>
      </c>
      <c r="D14177" s="3">
        <v>1.0</v>
      </c>
    </row>
    <row r="14178" ht="15.75" customHeight="1">
      <c r="A14178" s="1">
        <v>15079.0</v>
      </c>
      <c r="B14178" s="3" t="s">
        <v>13498</v>
      </c>
      <c r="C14178" s="3" t="str">
        <f>IFERROR(__xludf.DUMMYFUNCTION("GOOGLETRANSLATE(B14178,""id"",""en"")"),"['Look', 'comment', 'White', 'Screen', 'company', 'Segedhe', 'Telkomsel', 'Customers',' Customer ',' fix ',' APK ',' Say ',' Ndak ',' buy ',' package ',' Mimin ',' RESPONT ',' Read ',' Comment ',' User ',' Use ',' Version ',' Nongol ',' BUY ',' BUY ' , 'P"&amp;"ackage', 'Ngasal', 'Loss', 'Min', ""]")</f>
        <v>['Look', 'comment', 'White', 'Screen', 'company', 'Segedhe', 'Telkomsel', 'Customers',' Customer ',' fix ',' APK ',' Say ',' Ndak ',' buy ',' package ',' Mimin ',' RESPONT ',' Read ',' Comment ',' User ',' Use ',' Version ',' Nongol ',' BUY ',' BUY ' , 'Package', 'Ngasal', 'Loss', 'Min', "]</v>
      </c>
      <c r="D14178" s="3">
        <v>1.0</v>
      </c>
    </row>
    <row r="14179" ht="15.75" customHeight="1">
      <c r="A14179" s="1">
        <v>15080.0</v>
      </c>
      <c r="B14179" s="3" t="s">
        <v>13499</v>
      </c>
      <c r="C14179" s="3" t="str">
        <f>IFERROR(__xludf.DUMMYFUNCTION("GOOGLETRANSLATE(B14179,""id"",""en"")"),"['Test', 'Try', 'Faqum', 'Telkomsel']")</f>
        <v>['Test', 'Try', 'Faqum', 'Telkomsel']</v>
      </c>
      <c r="D14179" s="3">
        <v>3.0</v>
      </c>
    </row>
    <row r="14180" ht="15.75" customHeight="1">
      <c r="A14180" s="1">
        <v>15081.0</v>
      </c>
      <c r="B14180" s="3" t="s">
        <v>13500</v>
      </c>
      <c r="C14180" s="3" t="str">
        <f>IFERROR(__xludf.DUMMYFUNCTION("GOOGLETRANSLATE(B14180,""id"",""en"")"),"['Telkomsel', 'pork', 'expensive', 'doang', 'signal', 'ilang', 'number', 'really', 'signal', 'gblkk', 'trick', 'keta', ' expensive ',' ngeleg ',' GBLK ',' Telkom ',' pig ',' you ']")</f>
        <v>['Telkomsel', 'pork', 'expensive', 'doang', 'signal', 'ilang', 'number', 'really', 'signal', 'gblkk', 'trick', 'keta', ' expensive ',' ngeleg ',' GBLK ',' Telkom ',' pig ',' you ']</v>
      </c>
      <c r="D14180" s="3">
        <v>1.0</v>
      </c>
    </row>
    <row r="14181" ht="15.75" customHeight="1">
      <c r="A14181" s="1">
        <v>15082.0</v>
      </c>
      <c r="B14181" s="3" t="s">
        <v>13501</v>
      </c>
      <c r="C14181" s="3" t="str">
        <f>IFERROR(__xludf.DUMMYFUNCTION("GOOGLETRANSLATE(B14181,""id"",""en"")"),"['quota', 'multimedia', 'unlimited', 'the enactment', 'run out', 'prioritized', 'used', 'disappeared', 'quota', 'internet', 'the enactment', 'made', ' unlimited ',' used ']")</f>
        <v>['quota', 'multimedia', 'unlimited', 'the enactment', 'run out', 'prioritized', 'used', 'disappeared', 'quota', 'internet', 'the enactment', 'made', ' unlimited ',' used ']</v>
      </c>
      <c r="D14181" s="3">
        <v>1.0</v>
      </c>
    </row>
    <row r="14182" ht="15.75" customHeight="1">
      <c r="A14182" s="1">
        <v>15083.0</v>
      </c>
      <c r="B14182" s="3" t="s">
        <v>13502</v>
      </c>
      <c r="C14182" s="3" t="str">
        <f>IFERROR(__xludf.DUMMYFUNCTION("GOOGLETRANSLATE(B14182,""id"",""en"")"),"['Slide', 'package', 'internet', 'package', 'nelfon', 'difficult', 'class', 'Telkomsel']")</f>
        <v>['Slide', 'package', 'internet', 'package', 'nelfon', 'difficult', 'class', 'Telkomsel']</v>
      </c>
      <c r="D14182" s="3">
        <v>1.0</v>
      </c>
    </row>
    <row r="14183" ht="15.75" customHeight="1">
      <c r="A14183" s="1">
        <v>15084.0</v>
      </c>
      <c r="B14183" s="3" t="s">
        <v>13503</v>
      </c>
      <c r="C14183" s="3" t="str">
        <f>IFERROR(__xludf.DUMMYFUNCTION("GOOGLETRANSLATE(B14183,""id"",""en"")"),"['Kasi', 'Star', 'Application', 'Good', 'Bangat', 'Gayssss', ""]")</f>
        <v>['Kasi', 'Star', 'Application', 'Good', 'Bangat', 'Gayssss', "]</v>
      </c>
      <c r="D14183" s="3">
        <v>5.0</v>
      </c>
    </row>
    <row r="14184" ht="15.75" customHeight="1">
      <c r="A14184" s="1">
        <v>15086.0</v>
      </c>
      <c r="B14184" s="3" t="s">
        <v>13504</v>
      </c>
      <c r="C14184" s="3" t="str">
        <f>IFERROR(__xludf.DUMMYFUNCTION("GOOGLETRANSLATE(B14184,""id"",""en"")"),"['APK', 'Access', 'White', 'Screen', 'Brain', 'Atik', 'Network', ""]")</f>
        <v>['APK', 'Access', 'White', 'Screen', 'Brain', 'Atik', 'Network', "]</v>
      </c>
      <c r="D14184" s="3">
        <v>1.0</v>
      </c>
    </row>
    <row r="14185" ht="15.75" customHeight="1">
      <c r="A14185" s="1">
        <v>15087.0</v>
      </c>
      <c r="B14185" s="3" t="s">
        <v>13505</v>
      </c>
      <c r="C14185" s="3" t="str">
        <f>IFERROR(__xludf.DUMMYFUNCTION("GOOGLETRANSLATE(B14185,""id"",""en"")"),"['Leg', 'network', 'smooth', 'network', 'quotes', 'star']")</f>
        <v>['Leg', 'network', 'smooth', 'network', 'quotes', 'star']</v>
      </c>
      <c r="D14185" s="3">
        <v>2.0</v>
      </c>
    </row>
    <row r="14186" ht="15.75" customHeight="1">
      <c r="A14186" s="1">
        <v>15088.0</v>
      </c>
      <c r="B14186" s="3" t="s">
        <v>13506</v>
      </c>
      <c r="C14186" s="3" t="str">
        <f>IFERROR(__xludf.DUMMYFUNCTION("GOOGLETRANSLATE(B14186,""id"",""en"")"),"['already', 'expensive', 'price', 'quota', 'network', 'ugly', 'mulu', 'padhal', 'udh', 'good', 'signal', 'gini', ' MyTelkomsel ',' Update ',' White ',' Screen ',' Continued ',' Waiting ',' Waiting ',' Age ',' White ',' Screen ',' Stop ',' MyTelkomsel ',' "&amp;"Please ' , 'Fix', 'rich', 'rich', 'gini', 'friend', 'rich', 'gini', 'please', 'fast', 'fix', 'as soon as possible,' Need ',' Untung ',' Deuteronomy ',' Communication ',' ']")</f>
        <v>['already', 'expensive', 'price', 'quota', 'network', 'ugly', 'mulu', 'padhal', 'udh', 'good', 'signal', 'gini', ' MyTelkomsel ',' Update ',' White ',' Screen ',' Continued ',' Waiting ',' Waiting ',' Age ',' White ',' Screen ',' Stop ',' MyTelkomsel ',' Please ' , 'Fix', 'rich', 'rich', 'gini', 'friend', 'rich', 'gini', 'please', 'fast', 'fix', 'as soon as possible,' Need ',' Untung ',' Deuteronomy ',' Communication ',' ']</v>
      </c>
      <c r="D14186" s="3">
        <v>1.0</v>
      </c>
    </row>
    <row r="14187" ht="15.75" customHeight="1">
      <c r="A14187" s="1">
        <v>15089.0</v>
      </c>
      <c r="B14187" s="3" t="s">
        <v>13507</v>
      </c>
      <c r="C14187" s="3" t="str">
        <f>IFERROR(__xludf.DUMMYFUNCTION("GOOGLETRANSLATE(B14187,""id"",""en"")"),"['Network', 'Telkomsel', 'Dead', 'Life', 'Dead', 'Life', 'then', 'Package', 'already', 'Out']")</f>
        <v>['Network', 'Telkomsel', 'Dead', 'Life', 'Dead', 'Life', 'then', 'Package', 'already', 'Out']</v>
      </c>
      <c r="D14187" s="3">
        <v>1.0</v>
      </c>
    </row>
    <row r="14188" ht="15.75" customHeight="1">
      <c r="A14188" s="1">
        <v>15091.0</v>
      </c>
      <c r="B14188" s="3" t="s">
        <v>1780</v>
      </c>
      <c r="C14188" s="3" t="str">
        <f>IFERROR(__xludf.DUMMYFUNCTION("GOOGLETRANSLATE(B14188,""id"",""en"")"),"['hopefully', '']")</f>
        <v>['hopefully', '']</v>
      </c>
      <c r="D14188" s="3">
        <v>5.0</v>
      </c>
    </row>
    <row r="14189" ht="15.75" customHeight="1">
      <c r="A14189" s="1">
        <v>15093.0</v>
      </c>
      <c r="B14189" s="3" t="s">
        <v>13508</v>
      </c>
      <c r="C14189" s="3" t="str">
        <f>IFERROR(__xludf.DUMMYFUNCTION("GOOGLETRANSLATE(B14189,""id"",""en"")"),"['Quality decrease']")</f>
        <v>['Quality decrease']</v>
      </c>
      <c r="D14189" s="3">
        <v>1.0</v>
      </c>
    </row>
    <row r="14190" ht="15.75" customHeight="1">
      <c r="A14190" s="1">
        <v>15094.0</v>
      </c>
      <c r="B14190" s="3" t="s">
        <v>13509</v>
      </c>
      <c r="C14190" s="3" t="str">
        <f>IFERROR(__xludf.DUMMYFUNCTION("GOOGLETRANSLATE(B14190,""id"",""en"")"),"['Provider', 'worst', 'credit', 'buy', 'credit', 'buy', 'package', 'reduced', 'pulses',' play ',' take ',' pulses', ' ']")</f>
        <v>['Provider', 'worst', 'credit', 'buy', 'credit', 'buy', 'package', 'reduced', 'pulses',' play ',' take ',' pulses', ' ']</v>
      </c>
      <c r="D14190" s="3">
        <v>1.0</v>
      </c>
    </row>
    <row r="14191" ht="15.75" customHeight="1">
      <c r="A14191" s="1">
        <v>15095.0</v>
      </c>
      <c r="B14191" s="3" t="s">
        <v>13510</v>
      </c>
      <c r="C14191" s="3" t="str">
        <f>IFERROR(__xludf.DUMMYFUNCTION("GOOGLETRANSLATE(B14191,""id"",""en"")"),"['Abis', 'Date', 'Open', 'Samsung', '']")</f>
        <v>['Abis', 'Date', 'Open', 'Samsung', '']</v>
      </c>
      <c r="D14191" s="3">
        <v>1.0</v>
      </c>
    </row>
    <row r="14192" ht="15.75" customHeight="1">
      <c r="A14192" s="1">
        <v>15096.0</v>
      </c>
      <c r="B14192" s="3" t="s">
        <v>13511</v>
      </c>
      <c r="C14192" s="3" t="str">
        <f>IFERROR(__xludf.DUMMYFUNCTION("GOOGLETRANSLATE(B14192,""id"",""en"")"),"['Please', 'Telkomsel', 'Fix', 'Karna', 'Leet', 'Lazy', 'Use', 'Telkomsel', ""]")</f>
        <v>['Please', 'Telkomsel', 'Fix', 'Karna', 'Leet', 'Lazy', 'Use', 'Telkomsel', "]</v>
      </c>
      <c r="D14192" s="3">
        <v>1.0</v>
      </c>
    </row>
    <row r="14193" ht="15.75" customHeight="1">
      <c r="A14193" s="1">
        <v>15097.0</v>
      </c>
      <c r="B14193" s="3" t="s">
        <v>13512</v>
      </c>
      <c r="C14193" s="3" t="str">
        <f>IFERROR(__xludf.DUMMYFUNCTION("GOOGLETRANSLATE(B14193,""id"",""en"")"),"['Network', 'kayak', 'pig']")</f>
        <v>['Network', 'kayak', 'pig']</v>
      </c>
      <c r="D14193" s="3">
        <v>1.0</v>
      </c>
    </row>
    <row r="14194" ht="15.75" customHeight="1">
      <c r="A14194" s="1">
        <v>15099.0</v>
      </c>
      <c r="B14194" s="3" t="s">
        <v>13513</v>
      </c>
      <c r="C14194" s="3" t="str">
        <f>IFERROR(__xludf.DUMMYFUNCTION("GOOGLETRANSLATE(B14194,""id"",""en"")"),"['Package', 'expensive', 'Min', 'Please', 'Reduce', 'Price', '']")</f>
        <v>['Package', 'expensive', 'Min', 'Please', 'Reduce', 'Price', '']</v>
      </c>
      <c r="D14194" s="3">
        <v>1.0</v>
      </c>
    </row>
    <row r="14195" ht="15.75" customHeight="1">
      <c r="A14195" s="1">
        <v>15100.0</v>
      </c>
      <c r="B14195" s="3" t="s">
        <v>13514</v>
      </c>
      <c r="C14195" s="3" t="str">
        <f>IFERROR(__xludf.DUMMYFUNCTION("GOOGLETRANSLATE(B14195,""id"",""en"")"),"['', 'Network', 'please', 'kencengein', 'rain', 'down']")</f>
        <v>['', 'Network', 'please', 'kencengein', 'rain', 'down']</v>
      </c>
      <c r="D14195" s="3">
        <v>5.0</v>
      </c>
    </row>
    <row r="14196" ht="15.75" customHeight="1">
      <c r="A14196" s="1">
        <v>15101.0</v>
      </c>
      <c r="B14196" s="3" t="s">
        <v>13515</v>
      </c>
      <c r="C14196" s="3" t="str">
        <f>IFERROR(__xludf.DUMMYFUNCTION("GOOGLETRANSLATE(B14196,""id"",""en"")"),"['Easy', 'Application', 'Fast', 'Process']")</f>
        <v>['Easy', 'Application', 'Fast', 'Process']</v>
      </c>
      <c r="D14196" s="3">
        <v>5.0</v>
      </c>
    </row>
    <row r="14197" ht="15.75" customHeight="1">
      <c r="A14197" s="1">
        <v>15102.0</v>
      </c>
      <c r="B14197" s="3" t="s">
        <v>13516</v>
      </c>
      <c r="C14197" s="3" t="str">
        <f>IFERROR(__xludf.DUMMYFUNCTION("GOOGLETRANSLATE(B14197,""id"",""en"")"),"['Telkomsel', 'Signal', 'Bad', 'Bagusan', 'Indosat', 'Quality', 'Bad']")</f>
        <v>['Telkomsel', 'Signal', 'Bad', 'Bagusan', 'Indosat', 'Quality', 'Bad']</v>
      </c>
      <c r="D14197" s="3">
        <v>1.0</v>
      </c>
    </row>
    <row r="14198" ht="15.75" customHeight="1">
      <c r="A14198" s="1">
        <v>15103.0</v>
      </c>
      <c r="B14198" s="3" t="s">
        <v>13517</v>
      </c>
      <c r="C14198" s="3" t="str">
        <f>IFERROR(__xludf.DUMMYFUNCTION("GOOGLETRANSLATE(B14198,""id"",""en"")"),"['Thank you', 'help', 'app']")</f>
        <v>['Thank you', 'help', 'app']</v>
      </c>
      <c r="D14198" s="3">
        <v>5.0</v>
      </c>
    </row>
    <row r="14199" ht="15.75" customHeight="1">
      <c r="A14199" s="1">
        <v>15104.0</v>
      </c>
      <c r="B14199" s="3" t="s">
        <v>13518</v>
      </c>
      <c r="C14199" s="3" t="str">
        <f>IFERROR(__xludf.DUMMYFUNCTION("GOOGLETRANSLATE(B14199,""id"",""en"")"),"['Maen', 'Mobile', 'Legend', 'signal', 'ugly', 'really', 'gini', 'berih', 'over', 'card', 'min']")</f>
        <v>['Maen', 'Mobile', 'Legend', 'signal', 'ugly', 'really', 'gini', 'berih', 'over', 'card', 'min']</v>
      </c>
      <c r="D14199" s="3">
        <v>5.0</v>
      </c>
    </row>
    <row r="14200" ht="15.75" customHeight="1">
      <c r="A14200" s="1">
        <v>15105.0</v>
      </c>
      <c r="B14200" s="3" t="s">
        <v>13519</v>
      </c>
      <c r="C14200" s="3" t="str">
        <f>IFERROR(__xludf.DUMMYFUNCTION("GOOGLETRANSLATE(B14200,""id"",""en"")"),"['expensive', 'doang', 'signal', 'kek', 'pork', 'gada', 'change', 'unclean']")</f>
        <v>['expensive', 'doang', 'signal', 'kek', 'pork', 'gada', 'change', 'unclean']</v>
      </c>
      <c r="D14200" s="3">
        <v>1.0</v>
      </c>
    </row>
    <row r="14201" ht="15.75" customHeight="1">
      <c r="A14201" s="1">
        <v>15106.0</v>
      </c>
      <c r="B14201" s="3" t="s">
        <v>13520</v>
      </c>
      <c r="C14201" s="3" t="str">
        <f>IFERROR(__xludf.DUMMYFUNCTION("GOOGLETRANSLATE(B14201,""id"",""en"")"),"['signal', 'good', 'price', 'super', 'snapper', 'moved', 'provedor', '']")</f>
        <v>['signal', 'good', 'price', 'super', 'snapper', 'moved', 'provedor', '']</v>
      </c>
      <c r="D14201" s="3">
        <v>1.0</v>
      </c>
    </row>
    <row r="14202" ht="15.75" customHeight="1">
      <c r="A14202" s="1">
        <v>15107.0</v>
      </c>
      <c r="B14202" s="3" t="s">
        <v>13521</v>
      </c>
      <c r="C14202" s="3" t="str">
        <f>IFERROR(__xludf.DUMMYFUNCTION("GOOGLETRANSLATE(B14202,""id"",""en"")"),"['Angkep', 'Telkomsel', 'Sory', 'Disappointed', 'tratata', 'slow', 'severe', 'tnggal', 'West Jakbar', 'boss',' lose ',' high school ',' Kapok ']")</f>
        <v>['Angkep', 'Telkomsel', 'Sory', 'Disappointed', 'tratata', 'slow', 'severe', 'tnggal', 'West Jakbar', 'boss',' lose ',' high school ',' Kapok ']</v>
      </c>
      <c r="D14202" s="3">
        <v>1.0</v>
      </c>
    </row>
    <row r="14203" ht="15.75" customHeight="1">
      <c r="A14203" s="1">
        <v>15108.0</v>
      </c>
      <c r="B14203" s="3" t="s">
        <v>13522</v>
      </c>
      <c r="C14203" s="3" t="str">
        <f>IFERROR(__xludf.DUMMYFUNCTION("GOOGLETRANSLATE(B14203,""id"",""en"")"),"['Gabisa', 'Open', 'APK', 'RealMee']")</f>
        <v>['Gabisa', 'Open', 'APK', 'RealMee']</v>
      </c>
      <c r="D14203" s="3">
        <v>3.0</v>
      </c>
    </row>
    <row r="14204" ht="15.75" customHeight="1">
      <c r="A14204" s="1">
        <v>15109.0</v>
      </c>
      <c r="B14204" s="3" t="s">
        <v>13523</v>
      </c>
      <c r="C14204" s="3" t="str">
        <f>IFERROR(__xludf.DUMMYFUNCTION("GOOGLETRANSLATE(B14204,""id"",""en"")"),"['application', 'Telkomsel', 'buy', 'package', 'morning', 'until', 'night', 'Maap', 'disruption', 'system', 'SLL', ""]")</f>
        <v>['application', 'Telkomsel', 'buy', 'package', 'morning', 'until', 'night', 'Maap', 'disruption', 'system', 'SLL', "]</v>
      </c>
      <c r="D14204" s="3">
        <v>2.0</v>
      </c>
    </row>
    <row r="14205" ht="15.75" customHeight="1">
      <c r="A14205" s="1">
        <v>15110.0</v>
      </c>
      <c r="B14205" s="3" t="s">
        <v>13524</v>
      </c>
      <c r="C14205" s="3" t="str">
        <f>IFERROR(__xludf.DUMMYFUNCTION("GOOGLETRANSLATE(B14205,""id"",""en"")"),"['Telkomsel', 'Beres', 'buy', 'package', 'expensive', 'expensive', 'network', 'no', 'function', 'Sue', 'right']")</f>
        <v>['Telkomsel', 'Beres', 'buy', 'package', 'expensive', 'expensive', 'network', 'no', 'function', 'Sue', 'right']</v>
      </c>
      <c r="D14205" s="3">
        <v>1.0</v>
      </c>
    </row>
    <row r="14206" ht="15.75" customHeight="1">
      <c r="A14206" s="1">
        <v>15111.0</v>
      </c>
      <c r="B14206" s="3" t="s">
        <v>13525</v>
      </c>
      <c r="C14206" s="3" t="str">
        <f>IFERROR(__xludf.DUMMYFUNCTION("GOOGLETRANSLATE(B14206,""id"",""en"")"),"['expensive', 'doang', 'signal', 'difficult']")</f>
        <v>['expensive', 'doang', 'signal', 'difficult']</v>
      </c>
      <c r="D14206" s="3">
        <v>1.0</v>
      </c>
    </row>
    <row r="14207" ht="15.75" customHeight="1">
      <c r="A14207" s="1">
        <v>15112.0</v>
      </c>
      <c r="B14207" s="3" t="s">
        <v>13526</v>
      </c>
      <c r="C14207" s="3" t="str">
        <f>IFERROR(__xludf.DUMMYFUNCTION("GOOGLETRANSLATE(B14207,""id"",""en"")"),"['', 'knapa', 'open']")</f>
        <v>['', 'knapa', 'open']</v>
      </c>
      <c r="D14207" s="3">
        <v>5.0</v>
      </c>
    </row>
    <row r="14208" ht="15.75" customHeight="1">
      <c r="A14208" s="1">
        <v>15113.0</v>
      </c>
      <c r="B14208" s="3" t="s">
        <v>13527</v>
      </c>
      <c r="C14208" s="3" t="str">
        <f>IFERROR(__xludf.DUMMYFUNCTION("GOOGLETRANSLATE(B14208,""id"",""en"")"),"['MyTelkomsel', 'White', 'Screen', 'right', 'opened', 'already', 'area', 'Bandung', 'Jabar', 'Please', 'repaired', ""]")</f>
        <v>['MyTelkomsel', 'White', 'Screen', 'right', 'opened', 'already', 'area', 'Bandung', 'Jabar', 'Please', 'repaired', "]</v>
      </c>
      <c r="D14208" s="3">
        <v>2.0</v>
      </c>
    </row>
    <row r="14209" ht="15.75" customHeight="1">
      <c r="A14209" s="1">
        <v>15114.0</v>
      </c>
      <c r="B14209" s="3" t="s">
        <v>3056</v>
      </c>
      <c r="C14209" s="3" t="str">
        <f>IFERROR(__xludf.DUMMYFUNCTION("GOOGLETRANSLATE(B14209,""id"",""en"")"),"['Good', 'Open']")</f>
        <v>['Good', 'Open']</v>
      </c>
      <c r="D14209" s="3">
        <v>1.0</v>
      </c>
    </row>
    <row r="14210" ht="15.75" customHeight="1">
      <c r="A14210" s="1">
        <v>15115.0</v>
      </c>
      <c r="B14210" s="3" t="s">
        <v>13528</v>
      </c>
      <c r="C14210" s="3" t="str">
        <f>IFERROR(__xludf.DUMMYFUNCTION("GOOGLETRANSLATE(B14210,""id"",""en"")"),"['Can't', 'Open', 'The application', 'Until', 'Delete', 'Download', 'Open', 'No', 'Application']")</f>
        <v>['Can't', 'Open', 'The application', 'Until', 'Delete', 'Download', 'Open', 'No', 'Application']</v>
      </c>
      <c r="D14210" s="3">
        <v>1.0</v>
      </c>
    </row>
    <row r="14211" ht="15.75" customHeight="1">
      <c r="A14211" s="1">
        <v>15116.0</v>
      </c>
      <c r="B14211" s="3" t="s">
        <v>13529</v>
      </c>
      <c r="C14211" s="3" t="str">
        <f>IFERROR(__xludf.DUMMYFUNCTION("GOOGLETRANSLATE(B14211,""id"",""en"")"),"['Ticked', 'Come here', 'Price', 'Package', 'Kombo', 'Taku', 'Unlimited', 'Increases', ""]")</f>
        <v>['Ticked', 'Come here', 'Price', 'Package', 'Kombo', 'Taku', 'Unlimited', 'Increases', "]</v>
      </c>
      <c r="D14211" s="3">
        <v>3.0</v>
      </c>
    </row>
    <row r="14212" ht="15.75" customHeight="1">
      <c r="A14212" s="1">
        <v>15117.0</v>
      </c>
      <c r="B14212" s="3" t="s">
        <v>13530</v>
      </c>
      <c r="C14212" s="3" t="str">
        <f>IFERROR(__xludf.DUMMYFUNCTION("GOOGLETRANSLATE(B14212,""id"",""en"")"),"['', 'upgrade', 'open', 'application', 'Telkomsel', 'consequently', 'check', 'leftover', 'quota', 'user', 'post', 'paid', 'display ',' screen ',' White ',' Total ',' Install ',' Install ',' Forced ',' Closed ',' Clear ',' Clear ',' Cache ',' Useful ',' Su"&amp;"ggestion ', 'Telkomsel', 'Please', 'concern', 'fix', 'makes it easier', 'consumers', 'access', 'application', '']")</f>
        <v>['', 'upgrade', 'open', 'application', 'Telkomsel', 'consequently', 'check', 'leftover', 'quota', 'user', 'post', 'paid', 'display ',' screen ',' White ',' Total ',' Install ',' Install ',' Forced ',' Closed ',' Clear ',' Clear ',' Cache ',' Useful ',' Suggestion ', 'Telkomsel', 'Please', 'concern', 'fix', 'makes it easier', 'consumers', 'access', 'application', '']</v>
      </c>
      <c r="D14212" s="3">
        <v>1.0</v>
      </c>
    </row>
    <row r="14213" ht="15.75" customHeight="1">
      <c r="A14213" s="1">
        <v>15118.0</v>
      </c>
      <c r="B14213" s="3" t="s">
        <v>13531</v>
      </c>
      <c r="C14213" s="3" t="str">
        <f>IFERROR(__xludf.DUMMYFUNCTION("GOOGLETRANSLATE(B14213,""id"",""en"")"),"['', 'smooth', 'fast', 'spend', 'quota', 'according to', 'need', 'tasty', 'invited', 'surfing', 'the world', 'Maya', "" ]")</f>
        <v>['', 'smooth', 'fast', 'spend', 'quota', 'according to', 'need', 'tasty', 'invited', 'surfing', 'the world', 'Maya', " ]</v>
      </c>
      <c r="D14213" s="3">
        <v>5.0</v>
      </c>
    </row>
    <row r="14214" ht="15.75" customHeight="1">
      <c r="A14214" s="1">
        <v>15119.0</v>
      </c>
      <c r="B14214" s="3" t="s">
        <v>13532</v>
      </c>
      <c r="C14214" s="3" t="str">
        <f>IFERROR(__xludf.DUMMYFUNCTION("GOOGLETRANSLATE(B14214,""id"",""en"")"),"['Call', 'Call', 'Center', 'Telkomsel', 'Agrees',' Move ',' Service ',' Card ',' Hello ',' Signal ',' ugly ',' Paketan ',' pay it ',' postpaid ',' tetep ',' expensive ',' essence ',' signal ',' ugly ',' price ',' expensive ',' disappointing ',' mending ',"&amp;"' replace ',' card ' , 'Perdana', 'Thank you', '']")</f>
        <v>['Call', 'Call', 'Center', 'Telkomsel', 'Agrees',' Move ',' Service ',' Card ',' Hello ',' Signal ',' ugly ',' Paketan ',' pay it ',' postpaid ',' tetep ',' expensive ',' essence ',' signal ',' ugly ',' price ',' expensive ',' disappointing ',' mending ',' replace ',' card ' , 'Perdana', 'Thank you', '']</v>
      </c>
      <c r="D14214" s="3">
        <v>1.0</v>
      </c>
    </row>
    <row r="14215" ht="15.75" customHeight="1">
      <c r="A14215" s="1">
        <v>15120.0</v>
      </c>
      <c r="B14215" s="3" t="s">
        <v>13533</v>
      </c>
      <c r="C14215" s="3" t="str">
        <f>IFERROR(__xludf.DUMMYFUNCTION("GOOGLETRANSLATE(B14215,""id"",""en"")"),"['Congratulations',' Night ',' Sis', 'Sorry', 'Play', 'Game', 'Sinyal', 'Stable', 'Signal', 'Full', 'Kouta', 'Signal', ' ugly ',' please ',' fix ',' thank ',' love ',' ']")</f>
        <v>['Congratulations',' Night ',' Sis', 'Sorry', 'Play', 'Game', 'Sinyal', 'Stable', 'Signal', 'Full', 'Kouta', 'Signal', ' ugly ',' please ',' fix ',' thank ',' love ',' ']</v>
      </c>
      <c r="D14215" s="3">
        <v>1.0</v>
      </c>
    </row>
    <row r="14216" ht="15.75" customHeight="1">
      <c r="A14216" s="1">
        <v>15121.0</v>
      </c>
      <c r="B14216" s="3" t="s">
        <v>1044</v>
      </c>
      <c r="C14216" s="3" t="str">
        <f>IFERROR(__xludf.DUMMYFUNCTION("GOOGLETRANSLATE(B14216,""id"",""en"")"),"['good', '']")</f>
        <v>['good', '']</v>
      </c>
      <c r="D14216" s="3">
        <v>5.0</v>
      </c>
    </row>
    <row r="14217" ht="15.75" customHeight="1">
      <c r="A14217" s="1">
        <v>15122.0</v>
      </c>
      <c r="B14217" s="3" t="s">
        <v>13534</v>
      </c>
      <c r="C14217" s="3" t="str">
        <f>IFERROR(__xludf.DUMMYFUNCTION("GOOGLETRANSLATE(B14217,""id"",""en"")"),"['gabisa', 'buy', 'package', 'GBS', 'Bukak', 'until', '']")</f>
        <v>['gabisa', 'buy', 'package', 'GBS', 'Bukak', 'until', '']</v>
      </c>
      <c r="D14217" s="3">
        <v>1.0</v>
      </c>
    </row>
    <row r="14218" ht="15.75" customHeight="1">
      <c r="A14218" s="1">
        <v>15123.0</v>
      </c>
      <c r="B14218" s="3" t="s">
        <v>13535</v>
      </c>
      <c r="C14218" s="3" t="str">
        <f>IFERROR(__xludf.DUMMYFUNCTION("GOOGLETRANSLATE(B14218,""id"",""en"")"),"['Bad', 'network', 'class', 'Telkomsel']")</f>
        <v>['Bad', 'network', 'class', 'Telkomsel']</v>
      </c>
      <c r="D14218" s="3">
        <v>1.0</v>
      </c>
    </row>
    <row r="14219" ht="15.75" customHeight="1">
      <c r="A14219" s="1">
        <v>15124.0</v>
      </c>
      <c r="B14219" s="3" t="s">
        <v>13536</v>
      </c>
      <c r="C14219" s="3" t="str">
        <f>IFERROR(__xludf.DUMMYFUNCTION("GOOGLETRANSLATE(B14219,""id"",""en"")"),"['my cellphone', 'Telkomsel', 'gabisa', 'opened', '']")</f>
        <v>['my cellphone', 'Telkomsel', 'gabisa', 'opened', '']</v>
      </c>
      <c r="D14219" s="3">
        <v>2.0</v>
      </c>
    </row>
    <row r="14220" ht="15.75" customHeight="1">
      <c r="A14220" s="1">
        <v>15125.0</v>
      </c>
      <c r="B14220" s="3" t="s">
        <v>13537</v>
      </c>
      <c r="C14220" s="3" t="str">
        <f>IFERROR(__xludf.DUMMYFUNCTION("GOOGLETRANSLATE(B14220,""id"",""en"")"),"['Min', 'Please', 'Lined', 'Udh', 'Update', 'Version', 'Latest', 'Opened']")</f>
        <v>['Min', 'Please', 'Lined', 'Udh', 'Update', 'Version', 'Latest', 'Opened']</v>
      </c>
      <c r="D14220" s="3">
        <v>1.0</v>
      </c>
    </row>
    <row r="14221" ht="15.75" customHeight="1">
      <c r="A14221" s="1">
        <v>15126.0</v>
      </c>
      <c r="B14221" s="3" t="s">
        <v>13538</v>
      </c>
      <c r="C14221" s="3" t="str">
        <f>IFERROR(__xludf.DUMMYFUNCTION("GOOGLETRANSLATE(B14221,""id"",""en"")"),"['Love', 'Sometimes', 'Lemot']")</f>
        <v>['Love', 'Sometimes', 'Lemot']</v>
      </c>
      <c r="D14221" s="3">
        <v>3.0</v>
      </c>
    </row>
    <row r="14222" ht="15.75" customHeight="1">
      <c r="A14222" s="1">
        <v>15127.0</v>
      </c>
      <c r="B14222" s="3" t="s">
        <v>13539</v>
      </c>
      <c r="C14222" s="3" t="str">
        <f>IFERROR(__xludf.DUMMYFUNCTION("GOOGLETRANSLATE(B14222,""id"",""en"")"),"['intentionally', 'love', 'Bintang', 'read', 'people', 'network', 'Petasia', 'East', 'Morowali', 'Morowali', 'North', 'Central Sulawesi', ' Severe ',' ugly ',' loss', 'buy', 'package', 'data', '']")</f>
        <v>['intentionally', 'love', 'Bintang', 'read', 'people', 'network', 'Petasia', 'East', 'Morowali', 'Morowali', 'North', 'Central Sulawesi', ' Severe ',' ugly ',' loss', 'buy', 'package', 'data', '']</v>
      </c>
      <c r="D14222" s="3">
        <v>5.0</v>
      </c>
    </row>
    <row r="14223" ht="15.75" customHeight="1">
      <c r="A14223" s="1">
        <v>15128.0</v>
      </c>
      <c r="B14223" s="3" t="s">
        <v>1601</v>
      </c>
      <c r="C14223" s="3" t="str">
        <f>IFERROR(__xludf.DUMMYFUNCTION("GOOGLETRANSLATE(B14223,""id"",""en"")"),"['open']")</f>
        <v>['open']</v>
      </c>
      <c r="D14223" s="3">
        <v>5.0</v>
      </c>
    </row>
    <row r="14224" ht="15.75" customHeight="1">
      <c r="A14224" s="1">
        <v>15129.0</v>
      </c>
      <c r="B14224" s="3" t="s">
        <v>13540</v>
      </c>
      <c r="C14224" s="3" t="str">
        <f>IFERROR(__xludf.DUMMYFUNCTION("GOOGLETRANSLATE(B14224,""id"",""en"")"),"['Disappointed', 'Package', 'Lost', 'Really', 'Disappointed']")</f>
        <v>['Disappointed', 'Package', 'Lost', 'Really', 'Disappointed']</v>
      </c>
      <c r="D14224" s="3">
        <v>1.0</v>
      </c>
    </row>
    <row r="14225" ht="15.75" customHeight="1">
      <c r="A14225" s="1">
        <v>15130.0</v>
      </c>
      <c r="B14225" s="3" t="s">
        <v>13541</v>
      </c>
      <c r="C14225" s="3" t="str">
        <f>IFERROR(__xludf.DUMMYFUNCTION("GOOGLETRANSLATE(B14225,""id"",""en"")"),"['Disappointed', 'really', 'oath', 'go', '']")</f>
        <v>['Disappointed', 'really', 'oath', 'go', '']</v>
      </c>
      <c r="D14225" s="3">
        <v>1.0</v>
      </c>
    </row>
    <row r="14226" ht="15.75" customHeight="1">
      <c r="A14226" s="1">
        <v>15131.0</v>
      </c>
      <c r="B14226" s="3" t="s">
        <v>13542</v>
      </c>
      <c r="C14226" s="3" t="str">
        <f>IFERROR(__xludf.DUMMYFUNCTION("GOOGLETRANSLATE(B14226,""id"",""en"")"),"['application', 'wise', 'mmbantu', 'gooooo', 'dowonlod', 'kawankuu', 'semuahhh']")</f>
        <v>['application', 'wise', 'mmbantu', 'gooooo', 'dowonlod', 'kawankuu', 'semuahhh']</v>
      </c>
      <c r="D14226" s="3">
        <v>5.0</v>
      </c>
    </row>
    <row r="14227" ht="15.75" customHeight="1">
      <c r="A14227" s="1">
        <v>15132.0</v>
      </c>
      <c r="B14227" s="3" t="s">
        <v>13543</v>
      </c>
      <c r="C14227" s="3" t="str">
        <f>IFERROR(__xludf.DUMMYFUNCTION("GOOGLETRANSLATE(B14227,""id"",""en"")"),"['Bismilah', 'kips', 'winner', 'lottery', 'enthusiasm', 'Telkomsel', 'best', 'hope', 'signal', 'kenceng']")</f>
        <v>['Bismilah', 'kips', 'winner', 'lottery', 'enthusiasm', 'Telkomsel', 'best', 'hope', 'signal', 'kenceng']</v>
      </c>
      <c r="D14227" s="3">
        <v>5.0</v>
      </c>
    </row>
    <row r="14228" ht="15.75" customHeight="1">
      <c r="A14228" s="1">
        <v>15133.0</v>
      </c>
      <c r="B14228" s="3" t="s">
        <v>13544</v>
      </c>
      <c r="C14228" s="3" t="str">
        <f>IFERROR(__xludf.DUMMYFUNCTION("GOOGLETRANSLATE(B14228,""id"",""en"")"),"['The application', 'error', 'yaaah', 'udh', 'I tried', 'uninstall', 'install', 'reset', 'appears',' screen ',' white ',' knp ',' Min ',' ']")</f>
        <v>['The application', 'error', 'yaaah', 'udh', 'I tried', 'uninstall', 'install', 'reset', 'appears',' screen ',' white ',' knp ',' Min ',' ']</v>
      </c>
      <c r="D14228" s="3">
        <v>3.0</v>
      </c>
    </row>
    <row r="14229" ht="15.75" customHeight="1">
      <c r="A14229" s="1">
        <v>15134.0</v>
      </c>
      <c r="B14229" s="3" t="s">
        <v>13545</v>
      </c>
      <c r="C14229" s="3" t="str">
        <f>IFERROR(__xludf.DUMMYFUNCTION("GOOGLETRANSLATE(B14229,""id"",""en"")"),"['signal', 'please', 'repaired', 'severe', 'really', 'signal', 'package', 'expensive', 'gpp', 'tpi', 'signal', 'please', ' UDH ',' signal ',' threat ',' expensive ',' promo ',' select ',' select ',' number ',' get ',' promo ',' package ']")</f>
        <v>['signal', 'please', 'repaired', 'severe', 'really', 'signal', 'package', 'expensive', 'gpp', 'tpi', 'signal', 'please', ' UDH ',' signal ',' threat ',' expensive ',' promo ',' select ',' select ',' number ',' get ',' promo ',' package ']</v>
      </c>
      <c r="D14229" s="3">
        <v>3.0</v>
      </c>
    </row>
    <row r="14230" ht="15.75" customHeight="1">
      <c r="A14230" s="1">
        <v>15135.0</v>
      </c>
      <c r="B14230" s="3" t="s">
        <v>13546</v>
      </c>
      <c r="C14230" s="3" t="str">
        <f>IFERROR(__xludf.DUMMYFUNCTION("GOOGLETRANSLATE(B14230,""id"",""en"")"),"['emang', 'extra', 'patient', 'Telkomsel', 'network', 'difficult', 'really', 'search', 'near', 'urban', 'buy', 'packetan', ' Ntah ',' basically ',' slow ',' really ']")</f>
        <v>['emang', 'extra', 'patient', 'Telkomsel', 'network', 'difficult', 'really', 'search', 'near', 'urban', 'buy', 'packetan', ' Ntah ',' basically ',' slow ',' really ']</v>
      </c>
      <c r="D14230" s="3">
        <v>1.0</v>
      </c>
    </row>
    <row r="14231" ht="15.75" customHeight="1">
      <c r="A14231" s="1">
        <v>15136.0</v>
      </c>
      <c r="B14231" s="3" t="s">
        <v>13547</v>
      </c>
      <c r="C14231" s="3" t="str">
        <f>IFERROR(__xludf.DUMMYFUNCTION("GOOGLETRANSLATE(B14231,""id"",""en"")"),"['apk', 'no', 'apparatts',' cook ',' enter ',' otp ',' answer ',' code ',' valid ',' wrong ',' input ',' code ',' Trash ',' ']")</f>
        <v>['apk', 'no', 'apparatts',' cook ',' enter ',' otp ',' answer ',' code ',' valid ',' wrong ',' input ',' code ',' Trash ',' ']</v>
      </c>
      <c r="D14231" s="3">
        <v>1.0</v>
      </c>
    </row>
    <row r="14232" ht="15.75" customHeight="1">
      <c r="A14232" s="1">
        <v>15137.0</v>
      </c>
      <c r="B14232" s="3" t="s">
        <v>13548</v>
      </c>
      <c r="C14232" s="3" t="str">
        <f>IFERROR(__xludf.DUMMYFUNCTION("GOOGLETRANSLATE(B14232,""id"",""en"")"),"['Difficult', 'Open', 'App']")</f>
        <v>['Difficult', 'Open', 'App']</v>
      </c>
      <c r="D14232" s="3">
        <v>2.0</v>
      </c>
    </row>
    <row r="14233" ht="15.75" customHeight="1">
      <c r="A14233" s="1">
        <v>15139.0</v>
      </c>
      <c r="B14233" s="3" t="s">
        <v>13549</v>
      </c>
      <c r="C14233" s="3" t="str">
        <f>IFERROR(__xludf.DUMMYFUNCTION("GOOGLETRANSLATE(B14233,""id"",""en"")"),"['NOT', 'good', 'signal', 'disappointing', 'please', 'repaired', 'Telkomsel', 'price', 'compared to', 'provider', 'Quality', 'Different', ' Provider ',' cheap ']")</f>
        <v>['NOT', 'good', 'signal', 'disappointing', 'please', 'repaired', 'Telkomsel', 'price', 'compared to', 'provider', 'Quality', 'Different', ' Provider ',' cheap ']</v>
      </c>
      <c r="D14233" s="3">
        <v>1.0</v>
      </c>
    </row>
    <row r="14234" ht="15.75" customHeight="1">
      <c r="A14234" s="1">
        <v>15140.0</v>
      </c>
      <c r="B14234" s="3" t="s">
        <v>13550</v>
      </c>
      <c r="C14234" s="3" t="str">
        <f>IFERROR(__xludf.DUMMYFUNCTION("GOOGLETRANSLATE(B14234,""id"",""en"")"),"['signal', 'sympathy', 'slow', 'yaa', 'comfortable', 'use', 'card', '']")</f>
        <v>['signal', 'sympathy', 'slow', 'yaa', 'comfortable', 'use', 'card', '']</v>
      </c>
      <c r="D14234" s="3">
        <v>1.0</v>
      </c>
    </row>
    <row r="14235" ht="15.75" customHeight="1">
      <c r="A14235" s="1">
        <v>15141.0</v>
      </c>
      <c r="B14235" s="3" t="s">
        <v>13551</v>
      </c>
      <c r="C14235" s="3" t="str">
        <f>IFERROR(__xludf.DUMMYFUNCTION("GOOGLETRANSLATE(B14235,""id"",""en"")"),"['Telkomsel', 'UDH', 'WEEK', 'Application', 'Access',' Upgrade ',' AtW ',' What ',' Please ',' Belt ',' People ',' Use ',' Application ',' told ',' use ',' manual ',' difficult ',' ']")</f>
        <v>['Telkomsel', 'UDH', 'WEEK', 'Application', 'Access',' Upgrade ',' AtW ',' What ',' Please ',' Belt ',' People ',' Use ',' Application ',' told ',' use ',' manual ',' difficult ',' ']</v>
      </c>
      <c r="D14235" s="3">
        <v>1.0</v>
      </c>
    </row>
    <row r="14236" ht="15.75" customHeight="1">
      <c r="A14236" s="1">
        <v>15142.0</v>
      </c>
      <c r="B14236" s="3" t="s">
        <v>13552</v>
      </c>
      <c r="C14236" s="3" t="str">
        <f>IFERROR(__xludf.DUMMYFUNCTION("GOOGLETRANSLATE(B14236,""id"",""en"")"),"['Package', 'Data', 'Telkomsel', 'Divided', 'Use', 'Work', 'Loss',' Package ',' Multimedia ',' Used ',' Out ',' Entrance ',' Try ',' Telkmsel ',' Sell ',' Special ',' Package ',' Internet ',' Loss', 'Paketan', 'Multimedia', 'Didlm', ""]")</f>
        <v>['Package', 'Data', 'Telkomsel', 'Divided', 'Use', 'Work', 'Loss',' Package ',' Multimedia ',' Used ',' Out ',' Entrance ',' Try ',' Telkmsel ',' Sell ',' Special ',' Package ',' Internet ',' Loss', 'Paketan', 'Multimedia', 'Didlm', "]</v>
      </c>
      <c r="D14236" s="3">
        <v>2.0</v>
      </c>
    </row>
    <row r="14237" ht="15.75" customHeight="1">
      <c r="A14237" s="1">
        <v>15143.0</v>
      </c>
      <c r="B14237" s="3" t="s">
        <v>13553</v>
      </c>
      <c r="C14237" s="3" t="str">
        <f>IFERROR(__xludf.DUMMYFUNCTION("GOOGLETRANSLATE(B14237,""id"",""en"")"),"['application', 'supports', 'really', 'emang', 'medicine', ""]")</f>
        <v>['application', 'supports', 'really', 'emang', 'medicine', "]</v>
      </c>
      <c r="D14237" s="3">
        <v>5.0</v>
      </c>
    </row>
    <row r="14238" ht="15.75" customHeight="1">
      <c r="A14238" s="1">
        <v>15144.0</v>
      </c>
      <c r="B14238" s="3" t="s">
        <v>13554</v>
      </c>
      <c r="C14238" s="3" t="str">
        <f>IFERROR(__xludf.DUMMYFUNCTION("GOOGLETRANSLATE(B14238,""id"",""en"")"),"['Steady', 'Please', 'Telkomsel', 'Murahinlan', 'Price', 'Package', 'Pliisssss', 'Network', 'Imprecial', 'Area', 'Leet', 'Network']")</f>
        <v>['Steady', 'Please', 'Telkomsel', 'Murahinlan', 'Price', 'Package', 'Pliisssss', 'Network', 'Imprecial', 'Area', 'Leet', 'Network']</v>
      </c>
      <c r="D14238" s="3">
        <v>4.0</v>
      </c>
    </row>
    <row r="14239" ht="15.75" customHeight="1">
      <c r="A14239" s="1">
        <v>15145.0</v>
      </c>
      <c r="B14239" s="3" t="s">
        <v>13555</v>
      </c>
      <c r="C14239" s="3" t="str">
        <f>IFERROR(__xludf.DUMMYFUNCTION("GOOGLETRANSLATE(B14239,""id"",""en"")"),"['Log', 'already', 'thousand', 'Target', 'buy', 'package', 'easy', 'already', 'expensive', 'network', 'ugly', 'return', ' Telkomsel ',' Update ',' Good ',' Error ',' Please ',' Fix ',' Search ',' Handal ',' Reliable ']")</f>
        <v>['Log', 'already', 'thousand', 'Target', 'buy', 'package', 'easy', 'already', 'expensive', 'network', 'ugly', 'return', ' Telkomsel ',' Update ',' Good ',' Error ',' Please ',' Fix ',' Search ',' Handal ',' Reliable ']</v>
      </c>
      <c r="D14239" s="3">
        <v>1.0</v>
      </c>
    </row>
    <row r="14240" ht="15.75" customHeight="1">
      <c r="A14240" s="1">
        <v>15146.0</v>
      </c>
      <c r="B14240" s="3" t="s">
        <v>13556</v>
      </c>
      <c r="C14240" s="3" t="str">
        <f>IFERROR(__xludf.DUMMYFUNCTION("GOOGLETRANSLATE(B14240,""id"",""en"")"),"['Increase', 'donk', 'quality', 'network', 'quota', 'GB', 'network', 'slow', 'pdhal', 'signal', 'full', 'buy', ' Paketan ',' expensive ',' slow ',' streaming ']")</f>
        <v>['Increase', 'donk', 'quality', 'network', 'quota', 'GB', 'network', 'slow', 'pdhal', 'signal', 'full', 'buy', ' Paketan ',' expensive ',' slow ',' streaming ']</v>
      </c>
      <c r="D14240" s="3">
        <v>3.0</v>
      </c>
    </row>
    <row r="14241" ht="15.75" customHeight="1">
      <c r="A14241" s="1">
        <v>15147.0</v>
      </c>
      <c r="B14241" s="3" t="s">
        <v>10908</v>
      </c>
      <c r="C14241" s="3" t="str">
        <f>IFERROR(__xludf.DUMMYFUNCTION("GOOGLETRANSLATE(B14241,""id"",""en"")"),"['Open', 'application']")</f>
        <v>['Open', 'application']</v>
      </c>
      <c r="D14241" s="3">
        <v>1.0</v>
      </c>
    </row>
    <row r="14242" ht="15.75" customHeight="1">
      <c r="A14242" s="1">
        <v>15148.0</v>
      </c>
      <c r="B14242" s="3" t="s">
        <v>13557</v>
      </c>
      <c r="C14242" s="3" t="str">
        <f>IFERROR(__xludf.DUMMYFUNCTION("GOOGLETRANSLATE(B14242,""id"",""en"")"),"['Good', 'it's easy', '']")</f>
        <v>['Good', 'it's easy', '']</v>
      </c>
      <c r="D14242" s="3">
        <v>5.0</v>
      </c>
    </row>
    <row r="14243" ht="15.75" customHeight="1">
      <c r="A14243" s="1">
        <v>15149.0</v>
      </c>
      <c r="B14243" s="3" t="s">
        <v>13558</v>
      </c>
      <c r="C14243" s="3" t="str">
        <f>IFERROR(__xludf.DUMMYFUNCTION("GOOGLETRANSLATE(B14243,""id"",""en"")"),"['', 'Package', 'Free', 'Dowlnd', 'Telkomsel']")</f>
        <v>['', 'Package', 'Free', 'Dowlnd', 'Telkomsel']</v>
      </c>
      <c r="D14243" s="3">
        <v>1.0</v>
      </c>
    </row>
    <row r="14244" ht="15.75" customHeight="1">
      <c r="A14244" s="1">
        <v>15152.0</v>
      </c>
      <c r="B14244" s="3" t="s">
        <v>13559</v>
      </c>
      <c r="C14244" s="3" t="str">
        <f>IFERROR(__xludf.DUMMYFUNCTION("GOOGLETRANSLATE(B14244,""id"",""en"")"),"['difficult', 'open', 'network', '']")</f>
        <v>['difficult', 'open', 'network', '']</v>
      </c>
      <c r="D14244" s="3">
        <v>3.0</v>
      </c>
    </row>
    <row r="14245" ht="15.75" customHeight="1">
      <c r="A14245" s="1">
        <v>15153.0</v>
      </c>
      <c r="B14245" s="3" t="s">
        <v>13560</v>
      </c>
      <c r="C14245" s="3" t="str">
        <f>IFERROR(__xludf.DUMMYFUNCTION("GOOGLETRANSLATE(B14245,""id"",""en"")"),"['application', 'ngak', 'access', 'install', 'reset', '']")</f>
        <v>['application', 'ngak', 'access', 'install', 'reset', '']</v>
      </c>
      <c r="D14245" s="3">
        <v>2.0</v>
      </c>
    </row>
    <row r="14246" ht="15.75" customHeight="1">
      <c r="A14246" s="1">
        <v>15154.0</v>
      </c>
      <c r="B14246" s="3" t="s">
        <v>13561</v>
      </c>
      <c r="C14246" s="3" t="str">
        <f>IFERROR(__xludf.DUMMYFUNCTION("GOOGLETRANSLATE(B14246,""id"",""en"")"),"['Package', 'promo', 'like', 'missing', 'embossed']")</f>
        <v>['Package', 'promo', 'like', 'missing', 'embossed']</v>
      </c>
      <c r="D14246" s="3">
        <v>2.0</v>
      </c>
    </row>
    <row r="14247" ht="15.75" customHeight="1">
      <c r="A14247" s="1">
        <v>15155.0</v>
      </c>
      <c r="B14247" s="3" t="s">
        <v>13562</v>
      </c>
      <c r="C14247" s="3" t="str">
        <f>IFERROR(__xludf.DUMMYFUNCTION("GOOGLETRANSLATE(B14247,""id"",""en"")"),"['expensive', 'doang', 'slow', 'yes', '']")</f>
        <v>['expensive', 'doang', 'slow', 'yes', '']</v>
      </c>
      <c r="D14247" s="3">
        <v>1.0</v>
      </c>
    </row>
    <row r="14248" ht="15.75" customHeight="1">
      <c r="A14248" s="1">
        <v>15156.0</v>
      </c>
      <c r="B14248" s="3" t="s">
        <v>13563</v>
      </c>
      <c r="C14248" s="3" t="str">
        <f>IFERROR(__xludf.DUMMYFUNCTION("GOOGLETRANSLATE(B14248,""id"",""en"")"),"['Good', 'buy', 'package', '']")</f>
        <v>['Good', 'buy', 'package', '']</v>
      </c>
      <c r="D14248" s="3">
        <v>3.0</v>
      </c>
    </row>
    <row r="14249" ht="15.75" customHeight="1">
      <c r="A14249" s="1">
        <v>15158.0</v>
      </c>
      <c r="B14249" s="3" t="s">
        <v>13564</v>
      </c>
      <c r="C14249" s="3" t="str">
        <f>IFERROR(__xludf.DUMMYFUNCTION("GOOGLETRANSLATE(B14249,""id"",""en"")"),"['knp', 'data', 'can', 'application', 'Facebook', 'list', 'package']")</f>
        <v>['knp', 'data', 'can', 'application', 'Facebook', 'list', 'package']</v>
      </c>
      <c r="D14249" s="3">
        <v>3.0</v>
      </c>
    </row>
    <row r="14250" ht="15.75" customHeight="1">
      <c r="A14250" s="1">
        <v>15159.0</v>
      </c>
      <c r="B14250" s="3" t="s">
        <v>13565</v>
      </c>
      <c r="C14250" s="3" t="str">
        <f>IFERROR(__xludf.DUMMYFUNCTION("GOOGLETRANSLATE(B14250,""id"",""en"")"),"['Please', 'Credit', 'Lottery', 'Potatoes', 'RAM', 'ROM', '']")</f>
        <v>['Please', 'Credit', 'Lottery', 'Potatoes', 'RAM', 'ROM', '']</v>
      </c>
      <c r="D14250" s="3">
        <v>5.0</v>
      </c>
    </row>
    <row r="14251" ht="15.75" customHeight="1">
      <c r="A14251" s="1">
        <v>15160.0</v>
      </c>
      <c r="B14251" s="3" t="s">
        <v>13566</v>
      </c>
      <c r="C14251" s="3" t="str">
        <f>IFERROR(__xludf.DUMMYFUNCTION("GOOGLETRANSLATE(B14251,""id"",""en"")"),"[ 'Bagusssssssssssssssssssssssssssssssssssssssssssssssssssssssssssssssssssssssssssssssssssssssssssssssssssssssss', 'ssssssssssssssssssssssssssssssssssssssssssssssssssssssssssssssssssssssss', 'tough', 'tough', 'cave', 'handsome', 'ya', 'thanks']")</f>
        <v>[ 'Bagusssssssssssssssssssssssssssssssssssssssssssssssssssssssssssssssssssssssssssssssssssssssssssssssssssssssss', 'ssssssssssssssssssssssssssssssssssssssssssssssssssssssssssssssssssssssss', 'tough', 'tough', 'cave', 'handsome', 'ya', 'thanks']</v>
      </c>
      <c r="D14251" s="3">
        <v>5.0</v>
      </c>
    </row>
    <row r="14252" ht="15.75" customHeight="1">
      <c r="A14252" s="1">
        <v>15161.0</v>
      </c>
      <c r="B14252" s="3" t="s">
        <v>13567</v>
      </c>
      <c r="C14252" s="3" t="str">
        <f>IFERROR(__xludf.DUMMYFUNCTION("GOOGLETRANSLATE(B14252,""id"",""en"")"),"['Bagus', 'help']")</f>
        <v>['Bagus', 'help']</v>
      </c>
      <c r="D14252" s="3">
        <v>5.0</v>
      </c>
    </row>
    <row r="14253" ht="15.75" customHeight="1">
      <c r="A14253" s="1">
        <v>15162.0</v>
      </c>
      <c r="B14253" s="3" t="s">
        <v>13568</v>
      </c>
      <c r="C14253" s="3" t="str">
        <f>IFERROR(__xludf.DUMMYFUNCTION("GOOGLETRANSLATE(B14253,""id"",""en"")"),"['lost', 'missing', 'signal', 'Hamlet', 'Patocaan', 'Sulut']")</f>
        <v>['lost', 'missing', 'signal', 'Hamlet', 'Patocaan', 'Sulut']</v>
      </c>
      <c r="D14253" s="3">
        <v>1.0</v>
      </c>
    </row>
    <row r="14254" ht="15.75" customHeight="1">
      <c r="A14254" s="1">
        <v>15163.0</v>
      </c>
      <c r="B14254" s="3" t="s">
        <v>13569</v>
      </c>
      <c r="C14254" s="3" t="str">
        <f>IFERROR(__xludf.DUMMYFUNCTION("GOOGLETRANSLATE(B14254,""id"",""en"")"),"['KNPA', 'Telkomsel', 'Error', '']")</f>
        <v>['KNPA', 'Telkomsel', 'Error', '']</v>
      </c>
      <c r="D14254" s="3">
        <v>2.0</v>
      </c>
    </row>
    <row r="14255" ht="15.75" customHeight="1">
      <c r="A14255" s="1">
        <v>15164.0</v>
      </c>
      <c r="B14255" s="3" t="s">
        <v>13570</v>
      </c>
      <c r="C14255" s="3" t="str">
        <f>IFERROR(__xludf.DUMMYFUNCTION("GOOGLETRANSLATE(B14255,""id"",""en"")"),"['Application', 'Accessible', 'installed', 'many', 'times', 'access', 'Goodbye', 'Telkomsel']")</f>
        <v>['Application', 'Accessible', 'installed', 'many', 'times', 'access', 'Goodbye', 'Telkomsel']</v>
      </c>
      <c r="D14255" s="3">
        <v>1.0</v>
      </c>
    </row>
    <row r="14256" ht="15.75" customHeight="1">
      <c r="A14256" s="1">
        <v>15165.0</v>
      </c>
      <c r="B14256" s="3" t="s">
        <v>13571</v>
      </c>
      <c r="C14256" s="3" t="str">
        <f>IFERROR(__xludf.DUMMYFUNCTION("GOOGLETRANSLATE(B14256,""id"",""en"")"),"['', 'opened', 'strange', 'white', 'screen', 'doang', 'appears', 'check', 'package', 'ribet']")</f>
        <v>['', 'opened', 'strange', 'white', 'screen', 'doang', 'appears', 'check', 'package', 'ribet']</v>
      </c>
      <c r="D14256" s="3">
        <v>5.0</v>
      </c>
    </row>
    <row r="14257" ht="15.75" customHeight="1">
      <c r="A14257" s="1">
        <v>15166.0</v>
      </c>
      <c r="B14257" s="3" t="s">
        <v>13572</v>
      </c>
      <c r="C14257" s="3" t="str">
        <f>IFERROR(__xludf.DUMMYFUNCTION("GOOGLETRANSLATE(B14257,""id"",""en"")"),"['Sis', 'My APK', 'Heng']")</f>
        <v>['Sis', 'My APK', 'Heng']</v>
      </c>
      <c r="D14257" s="3">
        <v>1.0</v>
      </c>
    </row>
    <row r="14258" ht="15.75" customHeight="1">
      <c r="A14258" s="1">
        <v>15167.0</v>
      </c>
      <c r="B14258" s="3" t="s">
        <v>13573</v>
      </c>
      <c r="C14258" s="3" t="str">
        <f>IFERROR(__xludf.DUMMYFUNCTION("GOOGLETRANSLATE(B14258,""id"",""en"")"),"['Application', 'Open', 'Disappointed', 'Cutomer', '']")</f>
        <v>['Application', 'Open', 'Disappointed', 'Cutomer', '']</v>
      </c>
      <c r="D14258" s="3">
        <v>1.0</v>
      </c>
    </row>
    <row r="14259" ht="15.75" customHeight="1">
      <c r="A14259" s="1">
        <v>15168.0</v>
      </c>
      <c r="B14259" s="3" t="s">
        <v>13574</v>
      </c>
      <c r="C14259" s="3" t="str">
        <f>IFERROR(__xludf.DUMMYFUNCTION("GOOGLETRANSLATE(B14259,""id"",""en"")"),"['Update']")</f>
        <v>['Update']</v>
      </c>
      <c r="D14259" s="3">
        <v>5.0</v>
      </c>
    </row>
    <row r="14260" ht="15.75" customHeight="1">
      <c r="A14260" s="1">
        <v>15169.0</v>
      </c>
      <c r="B14260" s="3" t="s">
        <v>13575</v>
      </c>
      <c r="C14260" s="3" t="str">
        <f>IFERROR(__xludf.DUMMYFUNCTION("GOOGLETRANSLATE(B14260,""id"",""en"")"),"['Out', 'Update', 'No', 'opened', 'That's',' Mimin ',' Please ',' Contact ',' Komen ',' Screen ',' White ',' Can't ',' Opened ']")</f>
        <v>['Out', 'Update', 'No', 'opened', 'That's',' Mimin ',' Please ',' Contact ',' Komen ',' Screen ',' White ',' Can't ',' Opened ']</v>
      </c>
      <c r="D14260" s="3">
        <v>2.0</v>
      </c>
    </row>
    <row r="14261" ht="15.75" customHeight="1">
      <c r="A14261" s="1">
        <v>15170.0</v>
      </c>
      <c r="B14261" s="3" t="s">
        <v>13576</v>
      </c>
      <c r="C14261" s="3" t="str">
        <f>IFERROR(__xludf.DUMMYFUNCTION("GOOGLETRANSLATE(B14261,""id"",""en"")"),"['It's easy', 'buy', 'package']")</f>
        <v>['It's easy', 'buy', 'package']</v>
      </c>
      <c r="D14261" s="3">
        <v>5.0</v>
      </c>
    </row>
    <row r="14262" ht="15.75" customHeight="1">
      <c r="A14262" s="1">
        <v>15171.0</v>
      </c>
      <c r="B14262" s="3" t="s">
        <v>9440</v>
      </c>
      <c r="C14262" s="3" t="str">
        <f>IFERROR(__xludf.DUMMYFUNCTION("GOOGLETRANSLATE(B14262,""id"",""en"")"),"['Network', 'Telkomsel', 'slow', '']")</f>
        <v>['Network', 'Telkomsel', 'slow', '']</v>
      </c>
      <c r="D14262" s="3">
        <v>2.0</v>
      </c>
    </row>
    <row r="14263" ht="15.75" customHeight="1">
      <c r="A14263" s="1">
        <v>15172.0</v>
      </c>
      <c r="B14263" s="3" t="s">
        <v>13577</v>
      </c>
      <c r="C14263" s="3" t="str">
        <f>IFERROR(__xludf.DUMMYFUNCTION("GOOGLETRANSLATE(B14263,""id"",""en"")"),"['Woy', 'apk', 'open', 'Wait', 'clock', 'open', 'delete', 'open', 'pokonya', 'knpa', 'open', 'open', ' DDI ',' Open ',' Open ',' Open ',' Open ',' Open ',' Open ']")</f>
        <v>['Woy', 'apk', 'open', 'Wait', 'clock', 'open', 'delete', 'open', 'pokonya', 'knpa', 'open', 'open', ' DDI ',' Open ',' Open ',' Open ',' Open ',' Open ',' Open ']</v>
      </c>
      <c r="D14263" s="3">
        <v>3.0</v>
      </c>
    </row>
    <row r="14264" ht="15.75" customHeight="1">
      <c r="A14264" s="1">
        <v>15173.0</v>
      </c>
      <c r="B14264" s="3" t="s">
        <v>13578</v>
      </c>
      <c r="C14264" s="3" t="str">
        <f>IFERROR(__xludf.DUMMYFUNCTION("GOOGLETRANSLATE(B14264,""id"",""en"")"),"['Application', 'MyTelkomsel', 'Use', 'SJA', 'Buy', 'Puisa', 'Package', 'Data', 'MyTelkomsel', 'Dangan', 'Service', 'Default', ' Cards', 'SIM', 'Different', 'Thin', '']")</f>
        <v>['Application', 'MyTelkomsel', 'Use', 'SJA', 'Buy', 'Puisa', 'Package', 'Data', 'MyTelkomsel', 'Dangan', 'Service', 'Default', ' Cards', 'SIM', 'Different', 'Thin', '']</v>
      </c>
      <c r="D14264" s="3">
        <v>3.0</v>
      </c>
    </row>
    <row r="14265" ht="15.75" customHeight="1">
      <c r="A14265" s="1">
        <v>15174.0</v>
      </c>
      <c r="B14265" s="3" t="s">
        <v>68</v>
      </c>
      <c r="C14265" s="3" t="str">
        <f>IFERROR(__xludf.DUMMYFUNCTION("GOOGLETRANSLATE(B14265,""id"",""en"")"),"['steady']")</f>
        <v>['steady']</v>
      </c>
      <c r="D14265" s="3">
        <v>5.0</v>
      </c>
    </row>
    <row r="14266" ht="15.75" customHeight="1">
      <c r="A14266" s="1">
        <v>15175.0</v>
      </c>
      <c r="B14266" s="3" t="s">
        <v>13579</v>
      </c>
      <c r="C14266" s="3" t="str">
        <f>IFERROR(__xludf.DUMMYFUNCTION("GOOGLETRANSLATE(B14266,""id"",""en"")"),"['signal', 'GAM', 'lag', 'star', 'dlu']")</f>
        <v>['signal', 'GAM', 'lag', 'star', 'dlu']</v>
      </c>
      <c r="D14266" s="3">
        <v>2.0</v>
      </c>
    </row>
    <row r="14267" ht="15.75" customHeight="1">
      <c r="A14267" s="1">
        <v>15176.0</v>
      </c>
      <c r="B14267" s="3" t="s">
        <v>13580</v>
      </c>
      <c r="C14267" s="3" t="str">
        <f>IFERROR(__xludf.DUMMYFUNCTION("GOOGLETRANSLATE(B14267,""id"",""en"")"),"['application', 'open', 'gmn']")</f>
        <v>['application', 'open', 'gmn']</v>
      </c>
      <c r="D14267" s="3">
        <v>1.0</v>
      </c>
    </row>
    <row r="14268" ht="15.75" customHeight="1">
      <c r="A14268" s="1">
        <v>15177.0</v>
      </c>
      <c r="B14268" s="3" t="s">
        <v>13581</v>
      </c>
      <c r="C14268" s="3" t="str">
        <f>IFERROR(__xludf.DUMMYFUNCTION("GOOGLETRANSLATE(B14268,""id"",""en"")"),"['fast', 'response']")</f>
        <v>['fast', 'response']</v>
      </c>
      <c r="D14268" s="3">
        <v>5.0</v>
      </c>
    </row>
    <row r="14269" ht="15.75" customHeight="1">
      <c r="A14269" s="1">
        <v>15178.0</v>
      </c>
      <c r="B14269" s="3" t="s">
        <v>13582</v>
      </c>
      <c r="C14269" s="3" t="str">
        <f>IFERROR(__xludf.DUMMYFUNCTION("GOOGLETRANSLATE(B14269,""id"",""en"")"),"['Telkomsel', 'network', 'broad', 'price', 'quota', 'cheap', 'diverse', 'package']")</f>
        <v>['Telkomsel', 'network', 'broad', 'price', 'quota', 'cheap', 'diverse', 'package']</v>
      </c>
      <c r="D14269" s="3">
        <v>5.0</v>
      </c>
    </row>
    <row r="14270" ht="15.75" customHeight="1">
      <c r="A14270" s="1">
        <v>15179.0</v>
      </c>
      <c r="B14270" s="3" t="s">
        <v>13583</v>
      </c>
      <c r="C14270" s="3" t="str">
        <f>IFERROR(__xludf.DUMMYFUNCTION("GOOGLETRANSLATE(B14270,""id"",""en"")"),"['Application', 'SERBA', 'POSTING', 'ADVERTIS']")</f>
        <v>['Application', 'SERBA', 'POSTING', 'ADVERTIS']</v>
      </c>
      <c r="D14270" s="3">
        <v>1.0</v>
      </c>
    </row>
    <row r="14271" ht="15.75" customHeight="1">
      <c r="A14271" s="1">
        <v>15180.0</v>
      </c>
      <c r="B14271" s="3" t="s">
        <v>13584</v>
      </c>
      <c r="C14271" s="3" t="str">
        <f>IFERROR(__xludf.DUMMYFUNCTION("GOOGLETRANSLATE(B14271,""id"",""en"")"),"['package', 'expensive', 'signal', 'kek', 'snail']")</f>
        <v>['package', 'expensive', 'signal', 'kek', 'snail']</v>
      </c>
      <c r="D14271" s="3">
        <v>3.0</v>
      </c>
    </row>
    <row r="14272" ht="15.75" customHeight="1">
      <c r="A14272" s="1">
        <v>15181.0</v>
      </c>
      <c r="B14272" s="3" t="s">
        <v>13585</v>
      </c>
      <c r="C14272" s="3" t="str">
        <f>IFERROR(__xludf.DUMMYFUNCTION("GOOGLETRANSLATE(B14272,""id"",""en"")"),"['Need', 'Apps', 'TPI', 'already', 'Ngak', 'Bsa', 'Asked']")</f>
        <v>['Need', 'Apps', 'TPI', 'already', 'Ngak', 'Bsa', 'Asked']</v>
      </c>
      <c r="D14272" s="3">
        <v>2.0</v>
      </c>
    </row>
    <row r="14273" ht="15.75" customHeight="1">
      <c r="A14273" s="1">
        <v>15182.0</v>
      </c>
      <c r="B14273" s="3" t="s">
        <v>13586</v>
      </c>
      <c r="C14273" s="3" t="str">
        <f>IFERROR(__xludf.DUMMYFUNCTION("GOOGLETRANSLATE(B14273,""id"",""en"")"),"['', 'BSA', 'opened', 'application', '']")</f>
        <v>['', 'BSA', 'opened', 'application', '']</v>
      </c>
      <c r="D14273" s="3">
        <v>5.0</v>
      </c>
    </row>
    <row r="14274" ht="15.75" customHeight="1">
      <c r="A14274" s="1">
        <v>15183.0</v>
      </c>
      <c r="B14274" s="3" t="s">
        <v>13587</v>
      </c>
      <c r="C14274" s="3" t="str">
        <f>IFERROR(__xludf.DUMMYFUNCTION("GOOGLETRANSLATE(B14274,""id"",""en"")"),"['Points', 'Exchange', 'plsa']")</f>
        <v>['Points', 'Exchange', 'plsa']</v>
      </c>
      <c r="D14274" s="3">
        <v>2.0</v>
      </c>
    </row>
    <row r="14275" ht="15.75" customHeight="1">
      <c r="A14275" s="1">
        <v>15184.0</v>
      </c>
      <c r="B14275" s="3" t="s">
        <v>13588</v>
      </c>
      <c r="C14275" s="3" t="str">
        <f>IFERROR(__xludf.DUMMYFUNCTION("GOOGLETRANSLATE(B14275,""id"",""en"")"),"['Telkomsel', 'signal', 'bad', 'good', 'that's', 'sneng', 'emotion', 'gara', 'signal']")</f>
        <v>['Telkomsel', 'signal', 'bad', 'good', 'that's', 'sneng', 'emotion', 'gara', 'signal']</v>
      </c>
      <c r="D14275" s="3">
        <v>1.0</v>
      </c>
    </row>
    <row r="14276" ht="15.75" customHeight="1">
      <c r="A14276" s="1">
        <v>15185.0</v>
      </c>
      <c r="B14276" s="3" t="s">
        <v>4434</v>
      </c>
      <c r="C14276" s="3" t="str">
        <f>IFERROR(__xludf.DUMMYFUNCTION("GOOGLETRANSLATE(B14276,""id"",""en"")"),"['Application', 'opened', '']")</f>
        <v>['Application', 'opened', '']</v>
      </c>
      <c r="D14276" s="3">
        <v>1.0</v>
      </c>
    </row>
    <row r="14277" ht="15.75" customHeight="1">
      <c r="A14277" s="1">
        <v>15187.0</v>
      </c>
      <c r="B14277" s="3" t="s">
        <v>13589</v>
      </c>
      <c r="C14277" s="3" t="str">
        <f>IFERROR(__xludf.DUMMYFUNCTION("GOOGLETRANSLATE(B14277,""id"",""en"")"),"['', 'already', 'open', '']")</f>
        <v>['', 'already', 'open', '']</v>
      </c>
      <c r="D14277" s="3">
        <v>2.0</v>
      </c>
    </row>
    <row r="14278" ht="15.75" customHeight="1">
      <c r="A14278" s="1">
        <v>15188.0</v>
      </c>
      <c r="B14278" s="3" t="s">
        <v>13590</v>
      </c>
      <c r="C14278" s="3" t="str">
        <f>IFERROR(__xludf.DUMMYFUNCTION("GOOGLETRANSLATE(B14278,""id"",""en"")"),"['Minn', 'Application', 'White', 'DANGGG', 'GMNA', 'GMNA', 'Check', 'Quota', 'then', 'right', 'Try', 'Manual', ' Check ',' quota ',' SMS ',' enter ',' SMS ',' enter ',' also ',' Hikss', ""]")</f>
        <v>['Minn', 'Application', 'White', 'DANGGG', 'GMNA', 'GMNA', 'Check', 'Quota', 'then', 'right', 'Try', 'Manual', ' Check ',' quota ',' SMS ',' enter ',' SMS ',' enter ',' also ',' Hikss', "]</v>
      </c>
      <c r="D14278" s="3">
        <v>2.0</v>
      </c>
    </row>
    <row r="14279" ht="15.75" customHeight="1">
      <c r="A14279" s="1">
        <v>15189.0</v>
      </c>
      <c r="B14279" s="3" t="s">
        <v>13591</v>
      </c>
      <c r="C14279" s="3" t="str">
        <f>IFERROR(__xludf.DUMMYFUNCTION("GOOGLETRANSLATE(B14279,""id"",""en"")"),"['rain', 'drizzle', 'down', 'auto', 'difficult', 'internet', '4 hours', 'hours', '']")</f>
        <v>['rain', 'drizzle', 'down', 'auto', 'difficult', 'internet', '4 hours', 'hours', '']</v>
      </c>
      <c r="D14279" s="3">
        <v>1.0</v>
      </c>
    </row>
    <row r="14280" ht="15.75" customHeight="1">
      <c r="A14280" s="1">
        <v>15190.0</v>
      </c>
      <c r="B14280" s="3" t="s">
        <v>13592</v>
      </c>
      <c r="C14280" s="3" t="str">
        <f>IFERROR(__xludf.DUMMYFUNCTION("GOOGLETRANSLATE(B14280,""id"",""en"")"),"['thank', 'love', 'semogatelkomsel', 'service', 'optimal', 'effective', 'efficient']")</f>
        <v>['thank', 'love', 'semogatelkomsel', 'service', 'optimal', 'effective', 'efficient']</v>
      </c>
      <c r="D14280" s="3">
        <v>5.0</v>
      </c>
    </row>
    <row r="14281" ht="15.75" customHeight="1">
      <c r="A14281" s="1">
        <v>15191.0</v>
      </c>
      <c r="B14281" s="3" t="s">
        <v>13593</v>
      </c>
      <c r="C14281" s="3" t="str">
        <f>IFERROR(__xludf.DUMMYFUNCTION("GOOGLETRANSLATE(B14281,""id"",""en"")"),"['uda', 'buy', 'expensive', 'jargan', 'kayak', 'ngelek', 'baget', 'please', 'good', 'jarigan', '']")</f>
        <v>['uda', 'buy', 'expensive', 'jargan', 'kayak', 'ngelek', 'baget', 'please', 'good', 'jarigan', '']</v>
      </c>
      <c r="D14281" s="3">
        <v>1.0</v>
      </c>
    </row>
    <row r="14282" ht="15.75" customHeight="1">
      <c r="A14282" s="1">
        <v>15192.0</v>
      </c>
      <c r="B14282" s="3" t="s">
        <v>13594</v>
      </c>
      <c r="C14282" s="3" t="str">
        <f>IFERROR(__xludf.DUMMYFUNCTION("GOOGLETRANSLATE(B14282,""id"",""en"")"),"['SDA', 'Download', 'Delete', 'Delete', 'Delete', 'Download', 'Look', 'Screen', 'White', 'Update', 'Appainia', 'Dissed', ' Blom ',' Network ',' Telkomsel ',' Kayak ',' Taik ',' Leet ',' Kayak ',' Keong ',' Original ',' Telkomsel ',' Blood ']")</f>
        <v>['SDA', 'Download', 'Delete', 'Delete', 'Delete', 'Download', 'Look', 'Screen', 'White', 'Update', 'Appainia', 'Dissed', ' Blom ',' Network ',' Telkomsel ',' Kayak ',' Taik ',' Leet ',' Kayak ',' Keong ',' Original ',' Telkomsel ',' Blood ']</v>
      </c>
      <c r="D14282" s="3">
        <v>1.0</v>
      </c>
    </row>
    <row r="14283" ht="15.75" customHeight="1">
      <c r="A14283" s="1">
        <v>15193.0</v>
      </c>
      <c r="B14283" s="3" t="s">
        <v>13595</v>
      </c>
      <c r="C14283" s="3" t="str">
        <f>IFERROR(__xludf.DUMMYFUNCTION("GOOGLETRANSLATE(B14283,""id"",""en"")"),"['Contents', 'Package', 'Learning', 'Online', 'Child']")</f>
        <v>['Contents', 'Package', 'Learning', 'Online', 'Child']</v>
      </c>
      <c r="D14283" s="3">
        <v>2.0</v>
      </c>
    </row>
    <row r="14284" ht="15.75" customHeight="1">
      <c r="A14284" s="1">
        <v>15194.0</v>
      </c>
      <c r="B14284" s="3" t="s">
        <v>13596</v>
      </c>
      <c r="C14284" s="3" t="str">
        <f>IFERROR(__xludf.DUMMYFUNCTION("GOOGLETRANSLATE(B14284,""id"",""en"")"),"['Mimin', 'Hold', 'Telkomsel', 'Points', 'Exchange', 'Diamond', 'Mobile', 'Legend', ""]")</f>
        <v>['Mimin', 'Hold', 'Telkomsel', 'Points', 'Exchange', 'Diamond', 'Mobile', 'Legend', "]</v>
      </c>
      <c r="D14284" s="3">
        <v>5.0</v>
      </c>
    </row>
    <row r="14285" ht="15.75" customHeight="1">
      <c r="A14285" s="1">
        <v>15195.0</v>
      </c>
      <c r="B14285" s="3" t="s">
        <v>13597</v>
      </c>
      <c r="C14285" s="3" t="str">
        <f>IFERROR(__xludf.DUMMYFUNCTION("GOOGLETRANSLATE(B14285,""id"",""en"")"),"['May', 'Telkomsel', 'Mood']")</f>
        <v>['May', 'Telkomsel', 'Mood']</v>
      </c>
      <c r="D14285" s="3">
        <v>5.0</v>
      </c>
    </row>
    <row r="14286" ht="15.75" customHeight="1">
      <c r="A14286" s="1">
        <v>15197.0</v>
      </c>
      <c r="B14286" s="3" t="s">
        <v>13598</v>
      </c>
      <c r="C14286" s="3" t="str">
        <f>IFERROR(__xludf.DUMMYFUNCTION("GOOGLETRANSLATE(B14286,""id"",""en"")"),"['updated', 'the application', 'opened', 'appears', 'screen', 'white']")</f>
        <v>['updated', 'the application', 'opened', 'appears', 'screen', 'white']</v>
      </c>
      <c r="D14286" s="3">
        <v>2.0</v>
      </c>
    </row>
    <row r="14287" ht="15.75" customHeight="1">
      <c r="A14287" s="1">
        <v>15198.0</v>
      </c>
      <c r="B14287" s="3" t="s">
        <v>13599</v>
      </c>
      <c r="C14287" s="3" t="str">
        <f>IFERROR(__xludf.DUMMYFUNCTION("GOOGLETRANSLATE(B14287,""id"",""en"")"),"['apk', 'week', 'opened', 'please', 'developer', 'love', 'news', 'update', '']")</f>
        <v>['apk', 'week', 'opened', 'please', 'developer', 'love', 'news', 'update', '']</v>
      </c>
      <c r="D14287" s="3">
        <v>5.0</v>
      </c>
    </row>
    <row r="14288" ht="15.75" customHeight="1">
      <c r="A14288" s="1">
        <v>15199.0</v>
      </c>
      <c r="B14288" s="3" t="s">
        <v>13600</v>
      </c>
      <c r="C14288" s="3" t="str">
        <f>IFERROR(__xludf.DUMMYFUNCTION("GOOGLETRANSLATE(B14288,""id"",""en"")"),"['difficult', 'logged']")</f>
        <v>['difficult', 'logged']</v>
      </c>
      <c r="D14288" s="3">
        <v>2.0</v>
      </c>
    </row>
    <row r="14289" ht="15.75" customHeight="1">
      <c r="A14289" s="1">
        <v>15200.0</v>
      </c>
      <c r="B14289" s="3" t="s">
        <v>13601</v>
      </c>
      <c r="C14289" s="3" t="str">
        <f>IFERROR(__xludf.DUMMYFUNCTION("GOOGLETRANSLATE(B14289,""id"",""en"")"),"['hope', 'Bgus', 'my APK']")</f>
        <v>['hope', 'Bgus', 'my APK']</v>
      </c>
      <c r="D14289" s="3">
        <v>5.0</v>
      </c>
    </row>
    <row r="14290" ht="15.75" customHeight="1">
      <c r="A14290" s="1">
        <v>15201.0</v>
      </c>
      <c r="B14290" s="3" t="s">
        <v>13602</v>
      </c>
      <c r="C14290" s="3" t="str">
        <f>IFERROR(__xludf.DUMMYFUNCTION("GOOGLETRANSLATE(B14290,""id"",""en"")"),"['idiot', 'strange', 'application', 'open', 'open']")</f>
        <v>['idiot', 'strange', 'application', 'open', 'open']</v>
      </c>
      <c r="D14290" s="3">
        <v>1.0</v>
      </c>
    </row>
    <row r="14291" ht="15.75" customHeight="1">
      <c r="A14291" s="1">
        <v>15202.0</v>
      </c>
      <c r="B14291" s="3" t="s">
        <v>13603</v>
      </c>
      <c r="C14291" s="3" t="str">
        <f>IFERROR(__xludf.DUMMYFUNCTION("GOOGLETRANSLATE(B14291,""id"",""en"")"),"['wahhh', 'good', 'really']")</f>
        <v>['wahhh', 'good', 'really']</v>
      </c>
      <c r="D14291" s="3">
        <v>5.0</v>
      </c>
    </row>
    <row r="14292" ht="15.75" customHeight="1">
      <c r="A14292" s="1">
        <v>15203.0</v>
      </c>
      <c r="B14292" s="3" t="s">
        <v>13604</v>
      </c>
      <c r="C14292" s="3" t="str">
        <f>IFERROR(__xludf.DUMMYFUNCTION("GOOGLETRANSLATE(B14292,""id"",""en"")"),"['Enter', 'APK', 'ugly', 'bat', 'already', 'update', 'ugly']")</f>
        <v>['Enter', 'APK', 'ugly', 'bat', 'already', 'update', 'ugly']</v>
      </c>
      <c r="D14292" s="3">
        <v>1.0</v>
      </c>
    </row>
    <row r="14293" ht="15.75" customHeight="1">
      <c r="A14293" s="1">
        <v>15205.0</v>
      </c>
      <c r="B14293" s="3" t="s">
        <v>12137</v>
      </c>
      <c r="C14293" s="3" t="str">
        <f>IFERROR(__xludf.DUMMYFUNCTION("GOOGLETRANSLATE(B14293,""id"",""en"")"),"['Knpa', 'Open', '']")</f>
        <v>['Knpa', 'Open', '']</v>
      </c>
      <c r="D14293" s="3">
        <v>1.0</v>
      </c>
    </row>
    <row r="14294" ht="15.75" customHeight="1">
      <c r="A14294" s="1">
        <v>15206.0</v>
      </c>
      <c r="B14294" s="3" t="s">
        <v>13605</v>
      </c>
      <c r="C14294" s="3" t="str">
        <f>IFERROR(__xludf.DUMMYFUNCTION("GOOGLETRANSLATE(B14294,""id"",""en"")"),"['Exchange', 'Application', 'Rich', 'Gini']")</f>
        <v>['Exchange', 'Application', 'Rich', 'Gini']</v>
      </c>
      <c r="D14294" s="3">
        <v>1.0</v>
      </c>
    </row>
    <row r="14295" ht="15.75" customHeight="1">
      <c r="A14295" s="1">
        <v>15207.0</v>
      </c>
      <c r="B14295" s="3" t="s">
        <v>13606</v>
      </c>
      <c r="C14295" s="3" t="str">
        <f>IFERROR(__xludf.DUMMYFUNCTION("GOOGLETRANSLATE(B14295,""id"",""en"")"),"['Help', 'Mager']")</f>
        <v>['Help', 'Mager']</v>
      </c>
      <c r="D14295" s="3">
        <v>4.0</v>
      </c>
    </row>
    <row r="14296" ht="15.75" customHeight="1">
      <c r="A14296" s="1">
        <v>15208.0</v>
      </c>
      <c r="B14296" s="3" t="s">
        <v>13607</v>
      </c>
      <c r="C14296" s="3" t="str">
        <f>IFERROR(__xludf.DUMMYFUNCTION("GOOGLETRANSLATE(B14296,""id"",""en"")"),"['Buy', 'Package', 'Combo', 'Unlimited', 'Telkomsel']")</f>
        <v>['Buy', 'Package', 'Combo', 'Unlimited', 'Telkomsel']</v>
      </c>
      <c r="D14296" s="3">
        <v>1.0</v>
      </c>
    </row>
    <row r="14297" ht="15.75" customHeight="1">
      <c r="A14297" s="1">
        <v>15210.0</v>
      </c>
      <c r="B14297" s="3" t="s">
        <v>13608</v>
      </c>
      <c r="C14297" s="3" t="str">
        <f>IFERROR(__xludf.DUMMYFUNCTION("GOOGLETRANSLATE(B14297,""id"",""en"")"),"['Enter']")</f>
        <v>['Enter']</v>
      </c>
      <c r="D14297" s="3">
        <v>3.0</v>
      </c>
    </row>
    <row r="14298" ht="15.75" customHeight="1">
      <c r="A14298" s="1">
        <v>15211.0</v>
      </c>
      <c r="B14298" s="3" t="s">
        <v>13609</v>
      </c>
      <c r="C14298" s="3" t="str">
        <f>IFERROR(__xludf.DUMMYFUNCTION("GOOGLETRANSLATE(B14298,""id"",""en"")"),"['cook', 'package', 'expensive', 'signal', 'missing', 'missing']")</f>
        <v>['cook', 'package', 'expensive', 'signal', 'missing', 'missing']</v>
      </c>
      <c r="D14298" s="3">
        <v>1.0</v>
      </c>
    </row>
    <row r="14299" ht="15.75" customHeight="1">
      <c r="A14299" s="1">
        <v>15212.0</v>
      </c>
      <c r="B14299" s="3" t="s">
        <v>13610</v>
      </c>
      <c r="C14299" s="3" t="str">
        <f>IFERROR(__xludf.DUMMYFUNCTION("GOOGLETRANSLATE(B14299,""id"",""en"")"),"['Login', 'Fast', 'Network', 'Internet', 'Setabil']")</f>
        <v>['Login', 'Fast', 'Network', 'Internet', 'Setabil']</v>
      </c>
      <c r="D14299" s="3">
        <v>5.0</v>
      </c>
    </row>
    <row r="14300" ht="15.75" customHeight="1">
      <c r="A14300" s="1">
        <v>15213.0</v>
      </c>
      <c r="B14300" s="3" t="s">
        <v>13611</v>
      </c>
      <c r="C14300" s="3" t="str">
        <f>IFERROR(__xludf.DUMMYFUNCTION("GOOGLETRANSLATE(B14300,""id"",""en"")"),"['easy', 'check', 'quota', 'pulse', 'package', 'cheap', '']")</f>
        <v>['easy', 'check', 'quota', 'pulse', 'package', 'cheap', '']</v>
      </c>
      <c r="D14300" s="3">
        <v>5.0</v>
      </c>
    </row>
    <row r="14301" ht="15.75" customHeight="1">
      <c r="A14301" s="1">
        <v>15214.0</v>
      </c>
      <c r="B14301" s="3" t="s">
        <v>13612</v>
      </c>
      <c r="C14301" s="3" t="str">
        <f>IFERROR(__xludf.DUMMYFUNCTION("GOOGLETRANSLATE(B14301,""id"",""en"")"),"['Good', 'ALIH']")</f>
        <v>['Good', 'ALIH']</v>
      </c>
      <c r="D14301" s="3">
        <v>5.0</v>
      </c>
    </row>
    <row r="14302" ht="15.75" customHeight="1">
      <c r="A14302" s="1">
        <v>15215.0</v>
      </c>
      <c r="B14302" s="3" t="s">
        <v>13613</v>
      </c>
      <c r="C14302" s="3" t="str">
        <f>IFERROR(__xludf.DUMMYFUNCTION("GOOGLETRANSLATE(B14302,""id"",""en"")"),"['Network', 'Power', 'REST', 'Kaliwungu', 'South', 'Magelung', 'Highed', 'Embossed', 'Sinking', 'Tower', 'Village', 'Darupono', ' Caferral ',' reach ',' signal ',' Telkomsel ',' TSB ',' LGI ',' Magelung ',' as', 'City', 'Kecamatan', 'Kaliwungu', 'SLTN', '"&amp;"Really' , 'SNGT', 'Iron', '']")</f>
        <v>['Network', 'Power', 'REST', 'Kaliwungu', 'South', 'Magelung', 'Highed', 'Embossed', 'Sinking', 'Tower', 'Village', 'Darupono', ' Caferral ',' reach ',' signal ',' Telkomsel ',' TSB ',' LGI ',' Magelung ',' as', 'City', 'Kecamatan', 'Kaliwungu', 'SLTN', 'Really' , 'SNGT', 'Iron', '']</v>
      </c>
      <c r="D14302" s="3">
        <v>3.0</v>
      </c>
    </row>
    <row r="14303" ht="15.75" customHeight="1">
      <c r="A14303" s="1">
        <v>15216.0</v>
      </c>
      <c r="B14303" s="3" t="s">
        <v>13614</v>
      </c>
      <c r="C14303" s="3" t="str">
        <f>IFERROR(__xludf.DUMMYFUNCTION("GOOGLETRANSLATE(B14303,""id"",""en"")"),"['Application', 'Taii', 'Disruption', 'Telkomsel', 'Pig', 'Changed', 'Rates', 'Internet', 'Expensive', '']")</f>
        <v>['Application', 'Taii', 'Disruption', 'Telkomsel', 'Pig', 'Changed', 'Rates', 'Internet', 'Expensive', '']</v>
      </c>
      <c r="D14303" s="3">
        <v>1.0</v>
      </c>
    </row>
    <row r="14304" ht="15.75" customHeight="1">
      <c r="A14304" s="1">
        <v>15217.0</v>
      </c>
      <c r="B14304" s="3" t="s">
        <v>13615</v>
      </c>
      <c r="C14304" s="3" t="str">
        <f>IFERROR(__xludf.DUMMYFUNCTION("GOOGLETRANSLATE(B14304,""id"",""en"")"),"['Telkomsel', 'gajelas', 'here', 'package', 'expensive', 'gajelas', ""]")</f>
        <v>['Telkomsel', 'gajelas', 'here', 'package', 'expensive', 'gajelas', "]</v>
      </c>
      <c r="D14304" s="3">
        <v>1.0</v>
      </c>
    </row>
    <row r="14305" ht="15.75" customHeight="1">
      <c r="A14305" s="1">
        <v>15218.0</v>
      </c>
      <c r="B14305" s="3" t="s">
        <v>12164</v>
      </c>
      <c r="C14305" s="3" t="str">
        <f>IFERROR(__xludf.DUMMYFUNCTION("GOOGLETRANSLATE(B14305,""id"",""en"")"),"['Login', '']")</f>
        <v>['Login', '']</v>
      </c>
      <c r="D14305" s="3">
        <v>1.0</v>
      </c>
    </row>
    <row r="14306" ht="15.75" customHeight="1">
      <c r="A14306" s="1">
        <v>15219.0</v>
      </c>
      <c r="B14306" s="3" t="s">
        <v>13616</v>
      </c>
      <c r="C14306" s="3" t="str">
        <f>IFERROR(__xludf.DUMMYFUNCTION("GOOGLETRANSLATE(B14306,""id"",""en"")"),"['Delete', 'APK', 'JDI', 'Open', 'Change', 'Cat', 'Sinyal', 'Lemot', '']")</f>
        <v>['Delete', 'APK', 'JDI', 'Open', 'Change', 'Cat', 'Sinyal', 'Lemot', '']</v>
      </c>
      <c r="D14306" s="3">
        <v>1.0</v>
      </c>
    </row>
    <row r="14307" ht="15.75" customHeight="1">
      <c r="A14307" s="1">
        <v>15220.0</v>
      </c>
      <c r="B14307" s="3" t="s">
        <v>13617</v>
      </c>
      <c r="C14307" s="3" t="str">
        <f>IFERROR(__xludf.DUMMYFUNCTION("GOOGLETRANSLATE(B14307,""id"",""en"")"),"['cool', '']")</f>
        <v>['cool', '']</v>
      </c>
      <c r="D14307" s="3">
        <v>5.0</v>
      </c>
    </row>
    <row r="14308" ht="15.75" customHeight="1">
      <c r="A14308" s="1">
        <v>15221.0</v>
      </c>
      <c r="B14308" s="3" t="s">
        <v>13618</v>
      </c>
      <c r="C14308" s="3" t="str">
        <f>IFERROR(__xludf.DUMMYFUNCTION("GOOGLETRANSLATE(B14308,""id"",""en"")"),"['use', 'application', 'easy']")</f>
        <v>['use', 'application', 'easy']</v>
      </c>
      <c r="D14308" s="3">
        <v>4.0</v>
      </c>
    </row>
    <row r="14309" ht="15.75" customHeight="1">
      <c r="A14309" s="1">
        <v>15222.0</v>
      </c>
      <c r="B14309" s="3" t="s">
        <v>13619</v>
      </c>
      <c r="C14309" s="3" t="str">
        <f>IFERROR(__xludf.DUMMYFUNCTION("GOOGLETRANSLATE(B14309,""id"",""en"")"),"['Sorry', 'knapa', 'price', 'package', 'expensive', 'quota', 'combo', 'magic', 'price', 'below', 'han', 'skarant', ' package ',' internet ',' reduced ',' please ',' provider ',' senior ',' jngn ',' gini ']")</f>
        <v>['Sorry', 'knapa', 'price', 'package', 'expensive', 'quota', 'combo', 'magic', 'price', 'below', 'han', 'skarant', ' package ',' internet ',' reduced ',' please ',' provider ',' senior ',' jngn ',' gini ']</v>
      </c>
      <c r="D14309" s="3">
        <v>2.0</v>
      </c>
    </row>
    <row r="14310" ht="15.75" customHeight="1">
      <c r="A14310" s="1">
        <v>15223.0</v>
      </c>
      <c r="B14310" s="3" t="s">
        <v>13620</v>
      </c>
      <c r="C14310" s="3" t="str">
        <f>IFERROR(__xludf.DUMMYFUNCTION("GOOGLETRANSLATE(B14310,""id"",""en"")"),"['Good', 'Telkomsel', 'people', 'smart', 'use', 'Telkomsel']")</f>
        <v>['Good', 'Telkomsel', 'people', 'smart', 'use', 'Telkomsel']</v>
      </c>
      <c r="D14310" s="3">
        <v>5.0</v>
      </c>
    </row>
    <row r="14311" ht="15.75" customHeight="1">
      <c r="A14311" s="1">
        <v>15225.0</v>
      </c>
      <c r="B14311" s="3" t="s">
        <v>13621</v>
      </c>
      <c r="C14311" s="3" t="str">
        <f>IFERROR(__xludf.DUMMYFUNCTION("GOOGLETRANSLATE(B14311,""id"",""en"")"),"['Application', 'NGK', 'Open']")</f>
        <v>['Application', 'NGK', 'Open']</v>
      </c>
      <c r="D14311" s="3">
        <v>5.0</v>
      </c>
    </row>
    <row r="14312" ht="15.75" customHeight="1">
      <c r="A14312" s="1">
        <v>15226.0</v>
      </c>
      <c r="B14312" s="3" t="s">
        <v>13622</v>
      </c>
      <c r="C14312" s="3" t="str">
        <f>IFERROR(__xludf.DUMMYFUNCTION("GOOGLETRANSLATE(B14312,""id"",""en"")"),"['Telkomsel', 'destroyed', 'The network', 'apalgi', 'lined', 'remote', 'apart', 'settlement', 'please', 'Telkomsel', 'repaired', 'network', ' Ntah ',' The network ',' Severe ',' buy ',' package ',' expensive ',' network ',' plump ',' ']")</f>
        <v>['Telkomsel', 'destroyed', 'The network', 'apalgi', 'lined', 'remote', 'apart', 'settlement', 'please', 'Telkomsel', 'repaired', 'network', ' Ntah ',' The network ',' Severe ',' buy ',' package ',' expensive ',' network ',' plump ',' ']</v>
      </c>
      <c r="D14312" s="3">
        <v>1.0</v>
      </c>
    </row>
    <row r="14313" ht="15.75" customHeight="1">
      <c r="A14313" s="1">
        <v>15227.0</v>
      </c>
      <c r="B14313" s="3" t="s">
        <v>13623</v>
      </c>
      <c r="C14313" s="3" t="str">
        <f>IFERROR(__xludf.DUMMYFUNCTION("GOOGLETRANSLATE(B14313,""id"",""en"")"),"['glassouuuu', 'right', 'open', 'Telkomsel', 'ilang', 'sighting', 'white', 'blushing', 'screen']")</f>
        <v>['glassouuuu', 'right', 'open', 'Telkomsel', 'ilang', 'sighting', 'white', 'blushing', 'screen']</v>
      </c>
      <c r="D14313" s="3">
        <v>2.0</v>
      </c>
    </row>
    <row r="14314" ht="15.75" customHeight="1">
      <c r="A14314" s="1">
        <v>15228.0</v>
      </c>
      <c r="B14314" s="3" t="s">
        <v>13624</v>
      </c>
      <c r="C14314" s="3" t="str">
        <f>IFERROR(__xludf.DUMMYFUNCTION("GOOGLETRANSLATE(B14314,""id"",""en"")"),"['hope', 'hope', 'package', 'unlimited', 'gpp', 'expensive']")</f>
        <v>['hope', 'hope', 'package', 'unlimited', 'gpp', 'expensive']</v>
      </c>
      <c r="D14314" s="3">
        <v>5.0</v>
      </c>
    </row>
    <row r="14315" ht="15.75" customHeight="1">
      <c r="A14315" s="1">
        <v>15229.0</v>
      </c>
      <c r="B14315" s="3" t="s">
        <v>13625</v>
      </c>
      <c r="C14315" s="3" t="str">
        <f>IFERROR(__xludf.DUMMYFUNCTION("GOOGLETRANSLATE(B14315,""id"",""en"")"),"['a week', 'open']")</f>
        <v>['a week', 'open']</v>
      </c>
      <c r="D14315" s="3">
        <v>5.0</v>
      </c>
    </row>
    <row r="14316" ht="15.75" customHeight="1">
      <c r="A14316" s="1">
        <v>15230.0</v>
      </c>
      <c r="B14316" s="3" t="s">
        <v>13626</v>
      </c>
      <c r="C14316" s="3" t="str">
        <f>IFERROR(__xludf.DUMMYFUNCTION("GOOGLETRANSLATE(B14316,""id"",""en"")"),"['Fix', 'update', 'Yesterday', 'application', 'screen', 'white', 'Please', 'repair']")</f>
        <v>['Fix', 'update', 'Yesterday', 'application', 'screen', 'white', 'Please', 'repair']</v>
      </c>
      <c r="D14316" s="3">
        <v>1.0</v>
      </c>
    </row>
    <row r="14317" ht="15.75" customHeight="1">
      <c r="A14317" s="1">
        <v>15231.0</v>
      </c>
      <c r="B14317" s="3" t="s">
        <v>13627</v>
      </c>
      <c r="C14317" s="3" t="str">
        <f>IFERROR(__xludf.DUMMYFUNCTION("GOOGLETRANSLATE(B14317,""id"",""en"")"),"['Open', 'told', 'update', 'Mulu', 'UDH', 'forgotten', 'neglected', 'turn', 'update', 'opened', 'apk', 'uninstall', ' Download ',' Msh ',' Tetep ',' Opened ',' ']")</f>
        <v>['Open', 'told', 'update', 'Mulu', 'UDH', 'forgotten', 'neglected', 'turn', 'update', 'opened', 'apk', 'uninstall', ' Download ',' Msh ',' Tetep ',' Opened ',' ']</v>
      </c>
      <c r="D14317" s="3">
        <v>1.0</v>
      </c>
    </row>
    <row r="14318" ht="15.75" customHeight="1">
      <c r="A14318" s="1">
        <v>15232.0</v>
      </c>
      <c r="B14318" s="3" t="s">
        <v>13628</v>
      </c>
      <c r="C14318" s="3" t="str">
        <f>IFERROR(__xludf.DUMMYFUNCTION("GOOGLETRANSLATE(B14318,""id"",""en"")"),"['Network', 'Internet', 'Good']")</f>
        <v>['Network', 'Internet', 'Good']</v>
      </c>
      <c r="D14318" s="3">
        <v>2.0</v>
      </c>
    </row>
    <row r="14319" ht="15.75" customHeight="1">
      <c r="A14319" s="1">
        <v>15233.0</v>
      </c>
      <c r="B14319" s="3" t="s">
        <v>13629</v>
      </c>
      <c r="C14319" s="3" t="str">
        <f>IFERROR(__xludf.DUMMYFUNCTION("GOOGLETRANSLATE(B14319,""id"",""en"")"),"['Please', 'Package', 'Data', 'Cheap', '']")</f>
        <v>['Please', 'Package', 'Data', 'Cheap', '']</v>
      </c>
      <c r="D14319" s="3">
        <v>5.0</v>
      </c>
    </row>
    <row r="14320" ht="15.75" customHeight="1">
      <c r="A14320" s="1">
        <v>15235.0</v>
      </c>
      <c r="B14320" s="3" t="s">
        <v>13630</v>
      </c>
      <c r="C14320" s="3" t="str">
        <f>IFERROR(__xludf.DUMMYFUNCTION("GOOGLETRANSLATE(B14320,""id"",""en"")"),"['network', 'Telkomsel', 'best', 'quota', 'expensive', 'network', 'data', 'cellular', 'likes',' broke ',' maen ',' game ',' Ngellag ',' Terms', '']")</f>
        <v>['network', 'Telkomsel', 'best', 'quota', 'expensive', 'network', 'data', 'cellular', 'likes',' broke ',' maen ',' game ',' Ngellag ',' Terms', '']</v>
      </c>
      <c r="D14320" s="3">
        <v>1.0</v>
      </c>
    </row>
    <row r="14321" ht="15.75" customHeight="1">
      <c r="A14321" s="1">
        <v>15236.0</v>
      </c>
      <c r="B14321" s="3" t="s">
        <v>13631</v>
      </c>
      <c r="C14321" s="3" t="str">
        <f>IFERROR(__xludf.DUMMYFUNCTION("GOOGLETRANSLATE(B14321,""id"",""en"")"),"['virtue', 'good', 'Mahallll', '']")</f>
        <v>['virtue', 'good', 'Mahallll', '']</v>
      </c>
      <c r="D14321" s="3">
        <v>5.0</v>
      </c>
    </row>
    <row r="14322" ht="15.75" customHeight="1">
      <c r="A14322" s="1">
        <v>15237.0</v>
      </c>
      <c r="B14322" s="3" t="s">
        <v>13632</v>
      </c>
      <c r="C14322" s="3" t="str">
        <f>IFERROR(__xludf.DUMMYFUNCTION("GOOGLETRANSLATE(B14322,""id"",""en"")"),"['Telkomsel', 'Uda', 'Nga', 'opened', 'please', 'atmin', 'enlightenment', 'thanks']")</f>
        <v>['Telkomsel', 'Uda', 'Nga', 'opened', 'please', 'atmin', 'enlightenment', 'thanks']</v>
      </c>
      <c r="D14322" s="3">
        <v>5.0</v>
      </c>
    </row>
    <row r="14323" ht="15.75" customHeight="1">
      <c r="A14323" s="1">
        <v>15238.0</v>
      </c>
      <c r="B14323" s="3" t="s">
        <v>13633</v>
      </c>
      <c r="C14323" s="3" t="str">
        <f>IFERROR(__xludf.DUMMYFUNCTION("GOOGLETRANSLATE(B14323,""id"",""en"")"),"['The application', 'Uda', 'opened', '']")</f>
        <v>['The application', 'Uda', 'opened', '']</v>
      </c>
      <c r="D14323" s="3">
        <v>3.0</v>
      </c>
    </row>
    <row r="14324" ht="15.75" customHeight="1">
      <c r="A14324" s="1">
        <v>15239.0</v>
      </c>
      <c r="B14324" s="3" t="s">
        <v>355</v>
      </c>
      <c r="C14324" s="3" t="str">
        <f>IFERROR(__xludf.DUMMYFUNCTION("GOOGLETRANSLATE(B14324,""id"",""en"")"),"['open', '']")</f>
        <v>['open', '']</v>
      </c>
      <c r="D14324" s="3">
        <v>2.0</v>
      </c>
    </row>
    <row r="14325" ht="15.75" customHeight="1">
      <c r="A14325" s="1">
        <v>15240.0</v>
      </c>
      <c r="B14325" s="3" t="s">
        <v>13634</v>
      </c>
      <c r="C14325" s="3" t="str">
        <f>IFERROR(__xludf.DUMMYFUNCTION("GOOGLETRANSLATE(B14325,""id"",""en"")"),"['Alhamdulillah', 'easy', 'makes it easy', '']")</f>
        <v>['Alhamdulillah', 'easy', 'makes it easy', '']</v>
      </c>
      <c r="D14325" s="3">
        <v>5.0</v>
      </c>
    </row>
    <row r="14326" ht="15.75" customHeight="1">
      <c r="A14326" s="1">
        <v>15241.0</v>
      </c>
      <c r="B14326" s="3" t="s">
        <v>13635</v>
      </c>
      <c r="C14326" s="3" t="str">
        <f>IFERROR(__xludf.DUMMYFUNCTION("GOOGLETRANSLATE(B14326,""id"",""en"")"),"['Help', 'aspect', 'activity', 'good', '']")</f>
        <v>['Help', 'aspect', 'activity', 'good', '']</v>
      </c>
      <c r="D14326" s="3">
        <v>5.0</v>
      </c>
    </row>
    <row r="14327" ht="15.75" customHeight="1">
      <c r="A14327" s="1">
        <v>15242.0</v>
      </c>
      <c r="B14327" s="3" t="s">
        <v>13636</v>
      </c>
      <c r="C14327" s="3" t="str">
        <f>IFERROR(__xludf.DUMMYFUNCTION("GOOGLETRANSLATE(B14327,""id"",""en"")"),"['Telkomsel', 'brought', 'toilet', 'ilang', 'signal', 'disorder', 'please', 'in the region', 'centra', 'primary', 'cakung', 'signal', ' bad ',' rain ',' hot ',' direct ',' disorder ',' lose ',' operator ',' kasian ',' content ',' creator ',' ']")</f>
        <v>['Telkomsel', 'brought', 'toilet', 'ilang', 'signal', 'disorder', 'please', 'in the region', 'centra', 'primary', 'cakung', 'signal', ' bad ',' rain ',' hot ',' direct ',' disorder ',' lose ',' operator ',' kasian ',' content ',' creator ',' ']</v>
      </c>
      <c r="D14327" s="3">
        <v>1.0</v>
      </c>
    </row>
    <row r="14328" ht="15.75" customHeight="1">
      <c r="A14328" s="1">
        <v>15243.0</v>
      </c>
      <c r="B14328" s="3" t="s">
        <v>13637</v>
      </c>
      <c r="C14328" s="3" t="str">
        <f>IFERROR(__xludf.DUMMYFUNCTION("GOOGLETRANSLATE(B14328,""id"",""en"")"),"['Telkom', 'Siih', 'Rich', 'Gini', 'Access', 'The Application', 'Payaaaaah']")</f>
        <v>['Telkom', 'Siih', 'Rich', 'Gini', 'Access', 'The Application', 'Payaaaaah']</v>
      </c>
      <c r="D14328" s="3">
        <v>1.0</v>
      </c>
    </row>
    <row r="14329" ht="15.75" customHeight="1">
      <c r="A14329" s="1">
        <v>15244.0</v>
      </c>
      <c r="B14329" s="3" t="s">
        <v>13638</v>
      </c>
      <c r="C14329" s="3" t="str">
        <f>IFERROR(__xludf.DUMMYFUNCTION("GOOGLETRANSLATE(B14329,""id"",""en"")"),"['Sunday', 'no', 'opened', 'notification', 'renewal']")</f>
        <v>['Sunday', 'no', 'opened', 'notification', 'renewal']</v>
      </c>
      <c r="D14329" s="3">
        <v>2.0</v>
      </c>
    </row>
    <row r="14330" ht="15.75" customHeight="1">
      <c r="A14330" s="1">
        <v>15245.0</v>
      </c>
      <c r="B14330" s="3" t="s">
        <v>13639</v>
      </c>
      <c r="C14330" s="3" t="str">
        <f>IFERROR(__xludf.DUMMYFUNCTION("GOOGLETRANSLATE(B14330,""id"",""en"")"),"['application', 'open', 'open', 'kah', 'system', '']")</f>
        <v>['application', 'open', 'open', 'kah', 'system', '']</v>
      </c>
      <c r="D14330" s="3">
        <v>1.0</v>
      </c>
    </row>
    <row r="14331" ht="15.75" customHeight="1">
      <c r="A14331" s="1">
        <v>15246.0</v>
      </c>
      <c r="B14331" s="3" t="s">
        <v>13640</v>
      </c>
      <c r="C14331" s="3" t="str">
        <f>IFERROR(__xludf.DUMMYFUNCTION("GOOGLETRANSLATE(B14331,""id"",""en"")"),"['Errr', ""]")</f>
        <v>['Errr', "]</v>
      </c>
      <c r="D14331" s="3">
        <v>3.0</v>
      </c>
    </row>
    <row r="14332" ht="15.75" customHeight="1">
      <c r="A14332" s="1">
        <v>15247.0</v>
      </c>
      <c r="B14332" s="3" t="s">
        <v>13641</v>
      </c>
      <c r="C14332" s="3" t="str">
        <f>IFERROR(__xludf.DUMMYFUNCTION("GOOGLETRANSLATE(B14332,""id"",""en"")"),"['open', 'Telkomsel', 'really', 'screen', 'white', 'ngebleng', 'application', 'Lola', 'road', 'annoyed']")</f>
        <v>['open', 'Telkomsel', 'really', 'screen', 'white', 'ngebleng', 'application', 'Lola', 'road', 'annoyed']</v>
      </c>
      <c r="D14332" s="3">
        <v>1.0</v>
      </c>
    </row>
    <row r="14333" ht="15.75" customHeight="1">
      <c r="A14333" s="1">
        <v>15248.0</v>
      </c>
      <c r="B14333" s="3" t="s">
        <v>13642</v>
      </c>
      <c r="C14333" s="3" t="str">
        <f>IFERROR(__xludf.DUMMYFUNCTION("GOOGLETRANSLATE(B14333,""id"",""en"")"),"['', 'right', 'enter', 'application', 'white', 'keep', 'please', 'repair']")</f>
        <v>['', 'right', 'enter', 'application', 'white', 'keep', 'please', 'repair']</v>
      </c>
      <c r="D14333" s="3">
        <v>1.0</v>
      </c>
    </row>
    <row r="14334" ht="15.75" customHeight="1">
      <c r="A14334" s="1">
        <v>15249.0</v>
      </c>
      <c r="B14334" s="3" t="s">
        <v>13643</v>
      </c>
      <c r="C14334" s="3" t="str">
        <f>IFERROR(__xludf.DUMMYFUNCTION("GOOGLETRANSLATE(B14334,""id"",""en"")"),"['max', 'service', 'service']")</f>
        <v>['max', 'service', 'service']</v>
      </c>
      <c r="D14334" s="3">
        <v>5.0</v>
      </c>
    </row>
    <row r="14335" ht="15.75" customHeight="1">
      <c r="A14335" s="1">
        <v>15250.0</v>
      </c>
      <c r="B14335" s="3" t="s">
        <v>13644</v>
      </c>
      <c r="C14335" s="3" t="str">
        <f>IFERROR(__xludf.DUMMYFUNCTION("GOOGLETRANSLATE(B14335,""id"",""en"")"),"['Congratulations', 'Afternoon', 'Telkomsel', 'Login', 'Telkomsel', 'Update', 'Please', 'Assisted', 'Accept', 'Love', 'Telkomsel', ""]")</f>
        <v>['Congratulations', 'Afternoon', 'Telkomsel', 'Login', 'Telkomsel', 'Update', 'Please', 'Assisted', 'Accept', 'Love', 'Telkomsel', "]</v>
      </c>
      <c r="D14335" s="3">
        <v>3.0</v>
      </c>
    </row>
    <row r="14336" ht="15.75" customHeight="1">
      <c r="A14336" s="1">
        <v>15251.0</v>
      </c>
      <c r="B14336" s="3" t="s">
        <v>13645</v>
      </c>
      <c r="C14336" s="3" t="str">
        <f>IFERROR(__xludf.DUMMYFUNCTION("GOOGLETRANSLATE(B14336,""id"",""en"")"),"['slow', 'win', 'expensive', 'doang', 'user', 'card', 'hello', 'herds',' brand ',' service ',' bad ',' segini ',' Java Island', '']")</f>
        <v>['slow', 'win', 'expensive', 'doang', 'user', 'card', 'hello', 'herds',' brand ',' service ',' bad ',' segini ',' Java Island', '']</v>
      </c>
      <c r="D14336" s="3">
        <v>1.0</v>
      </c>
    </row>
    <row r="14337" ht="15.75" customHeight="1">
      <c r="A14337" s="1">
        <v>15252.0</v>
      </c>
      <c r="B14337" s="3" t="s">
        <v>13646</v>
      </c>
      <c r="C14337" s="3" t="str">
        <f>IFERROR(__xludf.DUMMYFUNCTION("GOOGLETRANSLATE(B14337,""id"",""en"")"),"['Network', 'ngeleq', 'rotten', 'play', 'network', 'red', 'mulu']")</f>
        <v>['Network', 'ngeleq', 'rotten', 'play', 'network', 'red', 'mulu']</v>
      </c>
      <c r="D14337" s="3">
        <v>1.0</v>
      </c>
    </row>
    <row r="14338" ht="15.75" customHeight="1">
      <c r="A14338" s="1">
        <v>15254.0</v>
      </c>
      <c r="B14338" s="3" t="s">
        <v>13647</v>
      </c>
      <c r="C14338" s="3" t="str">
        <f>IFERROR(__xludf.DUMMYFUNCTION("GOOGLETRANSLATE(B14338,""id"",""en"")"),"['Telkomsel', 'expensive', 'bonus', '']")</f>
        <v>['Telkomsel', 'expensive', 'bonus', '']</v>
      </c>
      <c r="D14338" s="3">
        <v>3.0</v>
      </c>
    </row>
    <row r="14339" ht="15.75" customHeight="1">
      <c r="A14339" s="1">
        <v>15255.0</v>
      </c>
      <c r="B14339" s="3" t="s">
        <v>13648</v>
      </c>
      <c r="C14339" s="3" t="str">
        <f>IFERROR(__xludf.DUMMYFUNCTION("GOOGLETRANSLATE(B14339,""id"",""en"")"),"['application', 'opened', 'eroooorrrr', '']")</f>
        <v>['application', 'opened', 'eroooorrrr', '']</v>
      </c>
      <c r="D14339" s="3">
        <v>1.0</v>
      </c>
    </row>
    <row r="14340" ht="15.75" customHeight="1">
      <c r="A14340" s="1">
        <v>15256.0</v>
      </c>
      <c r="B14340" s="3" t="s">
        <v>13649</v>
      </c>
      <c r="C14340" s="3" t="str">
        <f>IFERROR(__xludf.DUMMYFUNCTION("GOOGLETRANSLATE(B14340,""id"",""en"")"),"['already', 'apk', 'Telkomsel', 'rich', 'ngeblank', 'white', 'that's',' trs', 'quota', 'subscription', 'gabisa', 'bought', ' Knp ',' min ',' here ',' gaje ',' speed ',' internet ',' masi ',' good ',' please ',' repaired ',' min ']")</f>
        <v>['already', 'apk', 'Telkomsel', 'rich', 'ngeblank', 'white', 'that's',' trs', 'quota', 'subscription', 'gabisa', 'bought', ' Knp ',' min ',' here ',' gaje ',' speed ',' internet ',' masi ',' good ',' please ',' repaired ',' min ']</v>
      </c>
      <c r="D14340" s="3">
        <v>2.0</v>
      </c>
    </row>
    <row r="14341" ht="15.75" customHeight="1">
      <c r="A14341" s="1">
        <v>15257.0</v>
      </c>
      <c r="B14341" s="3" t="s">
        <v>13650</v>
      </c>
      <c r="C14341" s="3" t="str">
        <f>IFERROR(__xludf.DUMMYFUNCTION("GOOGLETRANSLATE(B14341,""id"",""en"")"),"['The application', 'canbdi', 'open', 'install']")</f>
        <v>['The application', 'canbdi', 'open', 'install']</v>
      </c>
      <c r="D14341" s="3">
        <v>4.0</v>
      </c>
    </row>
    <row r="14342" ht="15.75" customHeight="1">
      <c r="A14342" s="1">
        <v>15258.0</v>
      </c>
      <c r="B14342" s="3" t="s">
        <v>13651</v>
      </c>
      <c r="C14342" s="3" t="str">
        <f>IFERROR(__xludf.DUMMYFUNCTION("GOOGLETRANSLATE(B14342,""id"",""en"")"),"['Severe', 'opened']")</f>
        <v>['Severe', 'opened']</v>
      </c>
      <c r="D14342" s="3">
        <v>1.0</v>
      </c>
    </row>
    <row r="14343" ht="15.75" customHeight="1">
      <c r="A14343" s="1">
        <v>15259.0</v>
      </c>
      <c r="B14343" s="3" t="s">
        <v>13652</v>
      </c>
      <c r="C14343" s="3" t="str">
        <f>IFERROR(__xludf.DUMMYFUNCTION("GOOGLETRANSLATE(B14343,""id"",""en"")"),"['signal', 'down', 'comfortable', 'cave', 'maen', 'game', 'huu', 'please', 'fixed', 'disappointed', 'moved', 'provider']")</f>
        <v>['signal', 'down', 'comfortable', 'cave', 'maen', 'game', 'huu', 'please', 'fixed', 'disappointed', 'moved', 'provider']</v>
      </c>
      <c r="D14343" s="3">
        <v>1.0</v>
      </c>
    </row>
    <row r="14344" ht="15.75" customHeight="1">
      <c r="A14344" s="1">
        <v>15260.0</v>
      </c>
      <c r="B14344" s="3" t="s">
        <v>13653</v>
      </c>
      <c r="C14344" s="3" t="str">
        <f>IFERROR(__xludf.DUMMYFUNCTION("GOOGLETRANSLATE(B14344,""id"",""en"")"),"['expensive', 'doang', 'signal', 'ugly', '']")</f>
        <v>['expensive', 'doang', 'signal', 'ugly', '']</v>
      </c>
      <c r="D14344" s="3">
        <v>1.0</v>
      </c>
    </row>
    <row r="14345" ht="15.75" customHeight="1">
      <c r="A14345" s="1">
        <v>15261.0</v>
      </c>
      <c r="B14345" s="3" t="s">
        <v>13654</v>
      </c>
      <c r="C14345" s="3" t="str">
        <f>IFERROR(__xludf.DUMMYFUNCTION("GOOGLETRANSLATE(B14345,""id"",""en"")"),"['habit', 'network', 'ugly', 'pulse', 'direct', 'cut', 'network', 'continued']")</f>
        <v>['habit', 'network', 'ugly', 'pulse', 'direct', 'cut', 'network', 'continued']</v>
      </c>
      <c r="D14345" s="3">
        <v>1.0</v>
      </c>
    </row>
    <row r="14346" ht="15.75" customHeight="1">
      <c r="A14346" s="1">
        <v>15262.0</v>
      </c>
      <c r="B14346" s="3" t="s">
        <v>13655</v>
      </c>
      <c r="C14346" s="3" t="str">
        <f>IFERROR(__xludf.DUMMYFUNCTION("GOOGLETRANSLATE(B14346,""id"",""en"")"),"['Applicine', 'Open']")</f>
        <v>['Applicine', 'Open']</v>
      </c>
      <c r="D14346" s="3">
        <v>1.0</v>
      </c>
    </row>
    <row r="14347" ht="15.75" customHeight="1">
      <c r="A14347" s="1">
        <v>15263.0</v>
      </c>
      <c r="B14347" s="3" t="s">
        <v>13656</v>
      </c>
      <c r="C14347" s="3" t="str">
        <f>IFERROR(__xludf.DUMMYFUNCTION("GOOGLETRANSLATE(B14347,""id"",""en"")"),"['buy', 'package', 'unlimited', 'price', 'expensive']")</f>
        <v>['buy', 'package', 'unlimited', 'price', 'expensive']</v>
      </c>
      <c r="D14347" s="3">
        <v>5.0</v>
      </c>
    </row>
    <row r="14348" ht="15.75" customHeight="1">
      <c r="A14348" s="1">
        <v>15264.0</v>
      </c>
      <c r="B14348" s="3" t="s">
        <v>13657</v>
      </c>
      <c r="C14348" s="3" t="str">
        <f>IFERROR(__xludf.DUMMYFUNCTION("GOOGLETRANSLATE(B14348,""id"",""en"")"),"['Telkomsel', 'slow', '']")</f>
        <v>['Telkomsel', 'slow', '']</v>
      </c>
      <c r="D14348" s="3">
        <v>1.0</v>
      </c>
    </row>
    <row r="14349" ht="15.75" customHeight="1">
      <c r="A14349" s="1">
        <v>15266.0</v>
      </c>
      <c r="B14349" s="3" t="s">
        <v>13658</v>
      </c>
      <c r="C14349" s="3" t="str">
        <f>IFERROR(__xludf.DUMMYFUNCTION("GOOGLETRANSLATE(B14349,""id"",""en"")"),"['', 'star', 'talk', 'application', 'open', 'screen', 'white', 'doang', 'network', 'Telkomsel', 'slow', 'slow', 'slow ',' robot ',' be patient ',' move ',' wait ',' change ',' kagak ', ""]")</f>
        <v>['', 'star', 'talk', 'application', 'open', 'screen', 'white', 'doang', 'network', 'Telkomsel', 'slow', 'slow', 'slow ',' robot ',' be patient ',' move ',' wait ',' change ',' kagak ', "]</v>
      </c>
      <c r="D14349" s="3">
        <v>1.0</v>
      </c>
    </row>
    <row r="14350" ht="15.75" customHeight="1">
      <c r="A14350" s="1">
        <v>15267.0</v>
      </c>
      <c r="B14350" s="3" t="s">
        <v>13659</v>
      </c>
      <c r="C14350" s="3" t="str">
        <f>IFERROR(__xludf.DUMMYFUNCTION("GOOGLETRANSLATE(B14350,""id"",""en"")"),"['ugly', 'signal', 'expensive', 'network', 'ugly', 'kumplit', 'deh', 'please', 'fix', 'network', 'blankel', 'Telkomsel', ' Telkomsel ',' TPI ',' Change ',' Tetep ',' ugly ',' Network ',' Disappointing ']")</f>
        <v>['ugly', 'signal', 'expensive', 'network', 'ugly', 'kumplit', 'deh', 'please', 'fix', 'network', 'blankel', 'Telkomsel', ' Telkomsel ',' TPI ',' Change ',' Tetep ',' ugly ',' Network ',' Disappointing ']</v>
      </c>
      <c r="D14350" s="3">
        <v>3.0</v>
      </c>
    </row>
    <row r="14351" ht="15.75" customHeight="1">
      <c r="A14351" s="1">
        <v>15268.0</v>
      </c>
      <c r="B14351" s="3" t="s">
        <v>13660</v>
      </c>
      <c r="C14351" s="3" t="str">
        <f>IFERROR(__xludf.DUMMYFUNCTION("GOOGLETRANSLATE(B14351,""id"",""en"")"),"['Telkomsel', 'ngentodddd', 'ngelagg', 'anjekkkk']")</f>
        <v>['Telkomsel', 'ngentodddd', 'ngelagg', 'anjekkkk']</v>
      </c>
      <c r="D14351" s="3">
        <v>1.0</v>
      </c>
    </row>
    <row r="14352" ht="15.75" customHeight="1">
      <c r="A14352" s="1">
        <v>15269.0</v>
      </c>
      <c r="B14352" s="3" t="s">
        <v>13661</v>
      </c>
      <c r="C14352" s="3" t="str">
        <f>IFERROR(__xludf.DUMMYFUNCTION("GOOGLETRANSLATE(B14352,""id"",""en"")"),"['How', 'Telkomsel', 'update', 'enter', 'please', 'explanation', 'dri', 'Telkomsel']")</f>
        <v>['How', 'Telkomsel', 'update', 'enter', 'please', 'explanation', 'dri', 'Telkomsel']</v>
      </c>
      <c r="D14352" s="3">
        <v>1.0</v>
      </c>
    </row>
    <row r="14353" ht="15.75" customHeight="1">
      <c r="A14353" s="1">
        <v>15270.0</v>
      </c>
      <c r="B14353" s="3" t="s">
        <v>13662</v>
      </c>
      <c r="C14353" s="3" t="str">
        <f>IFERROR(__xludf.DUMMYFUNCTION("GOOGLETRANSLATE(B14353,""id"",""en"")"),"['Hope it is useful', '']")</f>
        <v>['Hope it is useful', '']</v>
      </c>
      <c r="D14353" s="3">
        <v>5.0</v>
      </c>
    </row>
    <row r="14354" ht="15.75" customHeight="1">
      <c r="A14354" s="1">
        <v>15271.0</v>
      </c>
      <c r="B14354" s="3" t="s">
        <v>13663</v>
      </c>
      <c r="C14354" s="3" t="str">
        <f>IFERROR(__xludf.DUMMYFUNCTION("GOOGLETRANSLATE(B14354,""id"",""en"")"),"['It's easy', 'transaction', 'puksa']")</f>
        <v>['It's easy', 'transaction', 'puksa']</v>
      </c>
      <c r="D14354" s="3">
        <v>5.0</v>
      </c>
    </row>
    <row r="14355" ht="15.75" customHeight="1">
      <c r="A14355" s="1">
        <v>15272.0</v>
      </c>
      <c r="B14355" s="3" t="s">
        <v>13664</v>
      </c>
      <c r="C14355" s="3" t="str">
        <f>IFERROR(__xludf.DUMMYFUNCTION("GOOGLETRANSLATE(B14355,""id"",""en"")"),"['Gabisa', 'opened', 'The application', '']")</f>
        <v>['Gabisa', 'opened', 'The application', '']</v>
      </c>
      <c r="D14355" s="3">
        <v>1.0</v>
      </c>
    </row>
    <row r="14356" ht="15.75" customHeight="1">
      <c r="A14356" s="1">
        <v>15273.0</v>
      </c>
      <c r="B14356" s="3" t="s">
        <v>13665</v>
      </c>
      <c r="C14356" s="3" t="str">
        <f>IFERROR(__xludf.DUMMYFUNCTION("GOOGLETRANSLATE(B14356,""id"",""en"")"),"['wow', 'quota', 'geratis', 'work', '']")</f>
        <v>['wow', 'quota', 'geratis', 'work', '']</v>
      </c>
      <c r="D14356" s="3">
        <v>5.0</v>
      </c>
    </row>
    <row r="14357" ht="15.75" customHeight="1">
      <c r="A14357" s="1">
        <v>15274.0</v>
      </c>
      <c r="B14357" s="3" t="s">
        <v>13666</v>
      </c>
      <c r="C14357" s="3" t="str">
        <f>IFERROR(__xludf.DUMMYFUNCTION("GOOGLETRANSLATE(B14357,""id"",""en"")"),"['Telkomsel', 'open', 'update', '']")</f>
        <v>['Telkomsel', 'open', 'update', '']</v>
      </c>
      <c r="D14357" s="3">
        <v>2.0</v>
      </c>
    </row>
    <row r="14358" ht="15.75" customHeight="1">
      <c r="A14358" s="1">
        <v>15275.0</v>
      </c>
      <c r="B14358" s="3" t="s">
        <v>13667</v>
      </c>
      <c r="C14358" s="3" t="str">
        <f>IFERROR(__xludf.DUMMYFUNCTION("GOOGLETRANSLATE(B14358,""id"",""en"")"),"['NetworkNtelkomsol', 'Kyak', 'taek', 'bah', 'bangs']")</f>
        <v>['NetworkNtelkomsol', 'Kyak', 'taek', 'bah', 'bangs']</v>
      </c>
      <c r="D14358" s="3">
        <v>1.0</v>
      </c>
    </row>
    <row r="14359" ht="15.75" customHeight="1">
      <c r="A14359" s="1">
        <v>15276.0</v>
      </c>
      <c r="B14359" s="3" t="s">
        <v>4924</v>
      </c>
      <c r="C14359" s="3" t="str">
        <f>IFERROR(__xludf.DUMMYFUNCTION("GOOGLETRANSLATE(B14359,""id"",""en"")"),"['Open', 'blank', 'white']")</f>
        <v>['Open', 'blank', 'white']</v>
      </c>
      <c r="D14359" s="3">
        <v>5.0</v>
      </c>
    </row>
    <row r="14360" ht="15.75" customHeight="1">
      <c r="A14360" s="1">
        <v>15277.0</v>
      </c>
      <c r="B14360" s="3" t="s">
        <v>13668</v>
      </c>
      <c r="C14360" s="3" t="str">
        <f>IFERROR(__xludf.DUMMYFUNCTION("GOOGLETRANSLATE(B14360,""id"",""en"")"),"['Data', 'internet', 'use', 'leftover', 'package', 'data', 'yesterday', 'use', 'aka', 'scorched', 'fooling', '']")</f>
        <v>['Data', 'internet', 'use', 'leftover', 'package', 'data', 'yesterday', 'use', 'aka', 'scorched', 'fooling', '']</v>
      </c>
      <c r="D14360" s="3">
        <v>1.0</v>
      </c>
    </row>
    <row r="14361" ht="15.75" customHeight="1">
      <c r="A14361" s="1">
        <v>15278.0</v>
      </c>
      <c r="B14361" s="3" t="s">
        <v>13669</v>
      </c>
      <c r="C14361" s="3" t="str">
        <f>IFERROR(__xludf.DUMMYFUNCTION("GOOGLETRANSLATE(B14361,""id"",""en"")"),"['Promotions', 'MOTHER', '']")</f>
        <v>['Promotions', 'MOTHER', '']</v>
      </c>
      <c r="D14361" s="3">
        <v>5.0</v>
      </c>
    </row>
    <row r="14362" ht="15.75" customHeight="1">
      <c r="A14362" s="1">
        <v>15279.0</v>
      </c>
      <c r="B14362" s="3" t="s">
        <v>13670</v>
      </c>
      <c r="C14362" s="3" t="str">
        <f>IFERROR(__xludf.DUMMYFUNCTION("GOOGLETRANSLATE(B14362,""id"",""en"")"),"['bukabaa', '']")</f>
        <v>['bukabaa', '']</v>
      </c>
      <c r="D14362" s="3">
        <v>3.0</v>
      </c>
    </row>
    <row r="14363" ht="15.75" customHeight="1">
      <c r="A14363" s="1">
        <v>15280.0</v>
      </c>
      <c r="B14363" s="3" t="s">
        <v>13671</v>
      </c>
      <c r="C14363" s="3" t="str">
        <f>IFERROR(__xludf.DUMMYFUNCTION("GOOGLETRANSLATE(B14363,""id"",""en"")"),"['price', 'package', 'network', 'missing', 'right', 'dead', 'lights',' package ',' expensive ',' fast ',' run out ',' ']")</f>
        <v>['price', 'package', 'network', 'missing', 'right', 'dead', 'lights',' package ',' expensive ',' fast ',' run out ',' ']</v>
      </c>
      <c r="D14363" s="3">
        <v>1.0</v>
      </c>
    </row>
    <row r="14364" ht="15.75" customHeight="1">
      <c r="A14364" s="1">
        <v>15281.0</v>
      </c>
      <c r="B14364" s="3" t="s">
        <v>13672</v>
      </c>
      <c r="C14364" s="3" t="str">
        <f>IFERROR(__xludf.DUMMYFUNCTION("GOOGLETRANSLATE(B14364,""id"",""en"")"),"['week', 'apk', 'Telkomsel', 'follow', 'renewal', 'open', 'ngebleng', 'already', 'uninstall', 'install', 'solution', ""]")</f>
        <v>['week', 'apk', 'Telkomsel', 'follow', 'renewal', 'open', 'ngebleng', 'already', 'uninstall', 'install', 'solution', "]</v>
      </c>
      <c r="D14364" s="3">
        <v>2.0</v>
      </c>
    </row>
    <row r="14365" ht="15.75" customHeight="1">
      <c r="A14365" s="1">
        <v>15282.0</v>
      </c>
      <c r="B14365" s="3" t="s">
        <v>13673</v>
      </c>
      <c r="C14365" s="3" t="str">
        <f>IFERROR(__xludf.DUMMYFUNCTION("GOOGLETRANSLATE(B14365,""id"",""en"")"),"['Mantappp', 'easy', 'hopefully', 'gift', 'exchange', 'point', 'bismilah', 'hanphone']")</f>
        <v>['Mantappp', 'easy', 'hopefully', 'gift', 'exchange', 'point', 'bismilah', 'hanphone']</v>
      </c>
      <c r="D14365" s="3">
        <v>5.0</v>
      </c>
    </row>
    <row r="14366" ht="15.75" customHeight="1">
      <c r="A14366" s="1">
        <v>15283.0</v>
      </c>
      <c r="B14366" s="3" t="s">
        <v>13674</v>
      </c>
      <c r="C14366" s="3" t="str">
        <f>IFERROR(__xludf.DUMMYFUNCTION("GOOGLETRANSLATE(B14366,""id"",""en"")"),"['disappointing', 'quota', 'unlimited', 'monthly', 'ngak', 'buy', 'really', 'disappointing', 'price', 'quota', 'expensive', 'mending', ' Buy ',' counter ',' APK ']")</f>
        <v>['disappointing', 'quota', 'unlimited', 'monthly', 'ngak', 'buy', 'really', 'disappointing', 'price', 'quota', 'expensive', 'mending', ' Buy ',' counter ',' APK ']</v>
      </c>
      <c r="D14366" s="3">
        <v>1.0</v>
      </c>
    </row>
    <row r="14367" ht="15.75" customHeight="1">
      <c r="A14367" s="1">
        <v>15284.0</v>
      </c>
      <c r="B14367" s="3" t="s">
        <v>13675</v>
      </c>
      <c r="C14367" s="3" t="str">
        <f>IFERROR(__xludf.DUMMYFUNCTION("GOOGLETRANSLATE(B14367,""id"",""en"")"),"['convenience', 'use']")</f>
        <v>['convenience', 'use']</v>
      </c>
      <c r="D14367" s="3">
        <v>3.0</v>
      </c>
    </row>
    <row r="14368" ht="15.75" customHeight="1">
      <c r="A14368" s="1">
        <v>15285.0</v>
      </c>
      <c r="B14368" s="3" t="s">
        <v>13676</v>
      </c>
      <c r="C14368" s="3" t="str">
        <f>IFERROR(__xludf.DUMMYFUNCTION("GOOGLETRANSLATE(B14368,""id"",""en"")"),"['Load', 'down', 'open', 'application', 'please', 'finish', 'user', 'wonder', 'love']")</f>
        <v>['Load', 'down', 'open', 'application', 'please', 'finish', 'user', 'wonder', 'love']</v>
      </c>
      <c r="D14368" s="3">
        <v>1.0</v>
      </c>
    </row>
    <row r="14369" ht="15.75" customHeight="1">
      <c r="A14369" s="1">
        <v>15286.0</v>
      </c>
      <c r="B14369" s="3" t="s">
        <v>13677</v>
      </c>
      <c r="C14369" s="3" t="str">
        <f>IFERROR(__xludf.DUMMYFUNCTION("GOOGLETRANSLATE(B14369,""id"",""en"")"),"['making easier', 'buy', 'quota']")</f>
        <v>['making easier', 'buy', 'quota']</v>
      </c>
      <c r="D14369" s="3">
        <v>5.0</v>
      </c>
    </row>
    <row r="14370" ht="15.75" customHeight="1">
      <c r="A14370" s="1">
        <v>15287.0</v>
      </c>
      <c r="B14370" s="3" t="s">
        <v>13678</v>
      </c>
      <c r="C14370" s="3" t="str">
        <f>IFERROR(__xludf.DUMMYFUNCTION("GOOGLETRANSLATE(B14370,""id"",""en"")"),"['Package', 'Combo', 'Price', 'Naikan', 'Minutes', 'Jamin', 'Laris', 'Sweet', 'Mantap', 'Steady', 'Mantap', ""]")</f>
        <v>['Package', 'Combo', 'Price', 'Naikan', 'Minutes', 'Jamin', 'Laris', 'Sweet', 'Mantap', 'Steady', 'Mantap', "]</v>
      </c>
      <c r="D14370" s="3">
        <v>5.0</v>
      </c>
    </row>
    <row r="14371" ht="15.75" customHeight="1">
      <c r="A14371" s="1">
        <v>15288.0</v>
      </c>
      <c r="B14371" s="3" t="s">
        <v>13679</v>
      </c>
      <c r="C14371" s="3" t="str">
        <f>IFERROR(__xludf.DUMMYFUNCTION("GOOGLETRANSLATE(B14371,""id"",""en"")"),"['Telkomsel', 'Cave', 'Card', 'Combo', 'Sakti', 'Can', 'Buy', 'PKET', 'Mending', 'Ush', 'PKE', 'Combo', ' magic']")</f>
        <v>['Telkomsel', 'Cave', 'Card', 'Combo', 'Sakti', 'Can', 'Buy', 'PKET', 'Mending', 'Ush', 'PKE', 'Combo', ' magic']</v>
      </c>
      <c r="D14371" s="3">
        <v>1.0</v>
      </c>
    </row>
    <row r="14372" ht="15.75" customHeight="1">
      <c r="A14372" s="1">
        <v>15289.0</v>
      </c>
      <c r="B14372" s="3" t="s">
        <v>13680</v>
      </c>
      <c r="C14372" s="3" t="str">
        <f>IFERROR(__xludf.DUMMYFUNCTION("GOOGLETRANSLATE(B14372,""id"",""en"")"),"['operator', 'classy', 'signal', 'bad', 'good', 'for a while', 'Nurun', 'quality', 'class',' Telkomsel ',' keep ',' Quality ',' disappointing', '']")</f>
        <v>['operator', 'classy', 'signal', 'bad', 'good', 'for a while', 'Nurun', 'quality', 'class',' Telkomsel ',' keep ',' Quality ',' disappointing', '']</v>
      </c>
      <c r="D14372" s="3">
        <v>1.0</v>
      </c>
    </row>
    <row r="14373" ht="15.75" customHeight="1">
      <c r="A14373" s="1">
        <v>15290.0</v>
      </c>
      <c r="B14373" s="3" t="s">
        <v>13681</v>
      </c>
      <c r="C14373" s="3" t="str">
        <f>IFERROR(__xludf.DUMMYFUNCTION("GOOGLETRANSLATE(B14373,""id"",""en"")"),"['Hello', 'Telkomsel', 'Application', 'Opened', 'Download', 'Error', 'Technical', ""]")</f>
        <v>['Hello', 'Telkomsel', 'Application', 'Opened', 'Download', 'Error', 'Technical', "]</v>
      </c>
      <c r="D14373" s="3">
        <v>2.0</v>
      </c>
    </row>
    <row r="14374" ht="15.75" customHeight="1">
      <c r="A14374" s="1">
        <v>15291.0</v>
      </c>
      <c r="B14374" s="3" t="s">
        <v>13682</v>
      </c>
      <c r="C14374" s="3" t="str">
        <f>IFERROR(__xludf.DUMMYFUNCTION("GOOGLETRANSLATE(B14374,""id"",""en"")"),"['MyTelkomsel', 'No "",' opened ',' Click ',' then ',' Blank ',' White ',' Report ',' Call ',' Center ',' Kt ',' repaired ',' no ',' in fact ',' until ',' seconds', 'blm', 'gmn', 'solution', '']")</f>
        <v>['MyTelkomsel', 'No ",' opened ',' Click ',' then ',' Blank ',' White ',' Report ',' Call ',' Center ',' Kt ',' repaired ',' no ',' in fact ',' until ',' seconds', 'blm', 'gmn', 'solution', '']</v>
      </c>
      <c r="D14374" s="3">
        <v>1.0</v>
      </c>
    </row>
    <row r="14375" ht="15.75" customHeight="1">
      <c r="A14375" s="1">
        <v>15292.0</v>
      </c>
      <c r="B14375" s="3" t="s">
        <v>13683</v>
      </c>
      <c r="C14375" s="3" t="str">
        <f>IFERROR(__xludf.DUMMYFUNCTION("GOOGLETRANSLATE(B14375,""id"",""en"")"),"['Please', 'repaired', 'sometimes', 'difficult', 'enter', 'the application']")</f>
        <v>['Please', 'repaired', 'sometimes', 'difficult', 'enter', 'the application']</v>
      </c>
      <c r="D14375" s="3">
        <v>5.0</v>
      </c>
    </row>
    <row r="14376" ht="15.75" customHeight="1">
      <c r="A14376" s="1">
        <v>15293.0</v>
      </c>
      <c r="B14376" s="3" t="s">
        <v>13684</v>
      </c>
      <c r="C14376" s="3" t="str">
        <f>IFERROR(__xludf.DUMMYFUNCTION("GOOGLETRANSLATE(B14376,""id"",""en"")"),"['Increase', 'discount']")</f>
        <v>['Increase', 'discount']</v>
      </c>
      <c r="D14376" s="3">
        <v>5.0</v>
      </c>
    </row>
    <row r="14377" ht="15.75" customHeight="1">
      <c r="A14377" s="1">
        <v>15294.0</v>
      </c>
      <c r="B14377" s="3" t="s">
        <v>13685</v>
      </c>
      <c r="C14377" s="3" t="str">
        <f>IFERROR(__xludf.DUMMYFUNCTION("GOOGLETRANSLATE(B14377,""id"",""en"")"),"['Application', 'Loading', 'then']")</f>
        <v>['Application', 'Loading', 'then']</v>
      </c>
      <c r="D14377" s="3">
        <v>1.0</v>
      </c>
    </row>
    <row r="14378" ht="15.75" customHeight="1">
      <c r="A14378" s="1">
        <v>15295.0</v>
      </c>
      <c r="B14378" s="3" t="s">
        <v>13686</v>
      </c>
      <c r="C14378" s="3" t="str">
        <f>IFERROR(__xludf.DUMMYFUNCTION("GOOGLETRANSLATE(B14378,""id"",""en"")"),"['Telkomsel', 'The network', 'Kya', 'ugly']")</f>
        <v>['Telkomsel', 'The network', 'Kya', 'ugly']</v>
      </c>
      <c r="D14378" s="3">
        <v>1.0</v>
      </c>
    </row>
    <row r="14379" ht="15.75" customHeight="1">
      <c r="A14379" s="1">
        <v>15296.0</v>
      </c>
      <c r="B14379" s="3" t="s">
        <v>13687</v>
      </c>
      <c r="C14379" s="3" t="str">
        <f>IFERROR(__xludf.DUMMYFUNCTION("GOOGLETRANSLATE(B14379,""id"",""en"")"),"['Application', 'JLass', 'Uda', 'list', 'Telkomsel', 'Tetep', 'idiot', 'emng']")</f>
        <v>['Application', 'JLass', 'Uda', 'list', 'Telkomsel', 'Tetep', 'idiot', 'emng']</v>
      </c>
      <c r="D14379" s="3">
        <v>1.0</v>
      </c>
    </row>
    <row r="14380" ht="15.75" customHeight="1">
      <c r="A14380" s="1">
        <v>15297.0</v>
      </c>
      <c r="B14380" s="3" t="s">
        <v>13688</v>
      </c>
      <c r="C14380" s="3" t="str">
        <f>IFERROR(__xludf.DUMMYFUNCTION("GOOGLETRANSLATE(B14380,""id"",""en"")"),"['cheap', 'price', 'package', 'internet', 'subrek', 'sipompong', 'fish', '']")</f>
        <v>['cheap', 'price', 'package', 'internet', 'subrek', 'sipompong', 'fish', '']</v>
      </c>
      <c r="D14380" s="3">
        <v>5.0</v>
      </c>
    </row>
    <row r="14381" ht="15.75" customHeight="1">
      <c r="A14381" s="1">
        <v>15299.0</v>
      </c>
      <c r="B14381" s="3" t="s">
        <v>13689</v>
      </c>
      <c r="C14381" s="3" t="str">
        <f>IFERROR(__xludf.DUMMYFUNCTION("GOOGLETRANSLATE(B14381,""id"",""en"")"),"['Improve', 'Quality', 'Quality', 'Service']")</f>
        <v>['Improve', 'Quality', 'Quality', 'Service']</v>
      </c>
      <c r="D14381" s="3">
        <v>5.0</v>
      </c>
    </row>
    <row r="14382" ht="15.75" customHeight="1">
      <c r="A14382" s="1">
        <v>15300.0</v>
      </c>
      <c r="B14382" s="3" t="s">
        <v>13690</v>
      </c>
      <c r="C14382" s="3" t="str">
        <f>IFERROR(__xludf.DUMMYFUNCTION("GOOGLETRANSLATE(B14382,""id"",""en"")"),"['Please', 'Enhanced', 'Event']")</f>
        <v>['Please', 'Enhanced', 'Event']</v>
      </c>
      <c r="D14382" s="3">
        <v>5.0</v>
      </c>
    </row>
    <row r="14383" ht="15.75" customHeight="1">
      <c r="A14383" s="1">
        <v>15302.0</v>
      </c>
      <c r="B14383" s="3" t="s">
        <v>13691</v>
      </c>
      <c r="C14383" s="3" t="str">
        <f>IFERROR(__xludf.DUMMYFUNCTION("GOOGLETRANSLATE(B14383,""id"",""en"")"),"['knpa', 'signal', 'wifi', 'indihome', 'stable', 'pdhl', 'pay']")</f>
        <v>['knpa', 'signal', 'wifi', 'indihome', 'stable', 'pdhl', 'pay']</v>
      </c>
      <c r="D14383" s="3">
        <v>2.0</v>
      </c>
    </row>
    <row r="14384" ht="15.75" customHeight="1">
      <c r="A14384" s="1">
        <v>15303.0</v>
      </c>
      <c r="B14384" s="3" t="s">
        <v>13692</v>
      </c>
      <c r="C14384" s="3" t="str">
        <f>IFERROR(__xludf.DUMMYFUNCTION("GOOGLETRANSLATE(B14384,""id"",""en"")"),"['Loak', 'Samsung', 'Attelah', 'Update', 'Kmaren', 'Ahhh', 'Pekahh', 'Nihhh']")</f>
        <v>['Loak', 'Samsung', 'Attelah', 'Update', 'Kmaren', 'Ahhh', 'Pekahh', 'Nihhh']</v>
      </c>
      <c r="D14384" s="3">
        <v>1.0</v>
      </c>
    </row>
    <row r="14385" ht="15.75" customHeight="1">
      <c r="A14385" s="1">
        <v>15305.0</v>
      </c>
      <c r="B14385" s="3" t="s">
        <v>13693</v>
      </c>
      <c r="C14385" s="3" t="str">
        <f>IFERROR(__xludf.DUMMYFUNCTION("GOOGLETRANSLATE(B14385,""id"",""en"")"),"['Telkomsel', 'Riau', 'Open', 'Gapa', ""]")</f>
        <v>['Telkomsel', 'Riau', 'Open', 'Gapa', "]</v>
      </c>
      <c r="D14385" s="3">
        <v>5.0</v>
      </c>
    </row>
    <row r="14386" ht="15.75" customHeight="1">
      <c r="A14386" s="1">
        <v>15306.0</v>
      </c>
      <c r="B14386" s="3" t="s">
        <v>13694</v>
      </c>
      <c r="C14386" s="3" t="str">
        <f>IFERROR(__xludf.DUMMYFUNCTION("GOOGLETRANSLATE(B14386,""id"",""en"")"),"['Star', 'Internet', 'combo', 'Sakti', 'missing', 'right', 'buy']")</f>
        <v>['Star', 'Internet', 'combo', 'Sakti', 'missing', 'right', 'buy']</v>
      </c>
      <c r="D14386" s="3">
        <v>5.0</v>
      </c>
    </row>
    <row r="14387" ht="15.75" customHeight="1">
      <c r="A14387" s="1">
        <v>15307.0</v>
      </c>
      <c r="B14387" s="3" t="s">
        <v>13695</v>
      </c>
      <c r="C14387" s="3" t="str">
        <f>IFERROR(__xludf.DUMMYFUNCTION("GOOGLETRANSLATE(B14387,""id"",""en"")"),"['', 'knp', 'skrg', 'koq', 'open', 'until', 'disorder', ""]")</f>
        <v>['', 'knp', 'skrg', 'koq', 'open', 'until', 'disorder', "]</v>
      </c>
      <c r="D14387" s="3">
        <v>5.0</v>
      </c>
    </row>
    <row r="14388" ht="15.75" customHeight="1">
      <c r="A14388" s="1">
        <v>15308.0</v>
      </c>
      <c r="B14388" s="3" t="s">
        <v>13696</v>
      </c>
      <c r="C14388" s="3" t="str">
        <f>IFERROR(__xludf.DUMMYFUNCTION("GOOGLETRANSLATE(B14388,""id"",""en"")"),"['Week', 'White', 'Screen', 'Updated', 'Zonk', 'Unistal', 'Install', 'Uninstall', 'Install', 'That's',' Number ',' Promo ',' cheap ',' palm ',' ttp ',' buy ',' good ',' mlh ',' decline ',' ']")</f>
        <v>['Week', 'White', 'Screen', 'Updated', 'Zonk', 'Unistal', 'Install', 'Uninstall', 'Install', 'That's',' Number ',' Promo ',' cheap ',' palm ',' ttp ',' buy ',' good ',' mlh ',' decline ',' ']</v>
      </c>
      <c r="D14388" s="3">
        <v>2.0</v>
      </c>
    </row>
    <row r="14389" ht="15.75" customHeight="1">
      <c r="A14389" s="1">
        <v>15309.0</v>
      </c>
      <c r="B14389" s="3" t="s">
        <v>13697</v>
      </c>
      <c r="C14389" s="3" t="str">
        <f>IFERROR(__xludf.DUMMYFUNCTION("GOOGLETRANSLATE(B14389,""id"",""en"")"),"['signal', 'ngelag', 'ngelag', 'anjg']")</f>
        <v>['signal', 'ngelag', 'ngelag', 'anjg']</v>
      </c>
      <c r="D14389" s="3">
        <v>1.0</v>
      </c>
    </row>
    <row r="14390" ht="15.75" customHeight="1">
      <c r="A14390" s="1">
        <v>15310.0</v>
      </c>
      <c r="B14390" s="3" t="s">
        <v>13698</v>
      </c>
      <c r="C14390" s="3" t="str">
        <f>IFERROR(__xludf.DUMMYFUNCTION("GOOGLETRANSLATE(B14390,""id"",""en"")"),"['apk', 'good', 'mhn', 'keep', 'promo', 'validity', 'tks']")</f>
        <v>['apk', 'good', 'mhn', 'keep', 'promo', 'validity', 'tks']</v>
      </c>
      <c r="D14390" s="3">
        <v>5.0</v>
      </c>
    </row>
    <row r="14391" ht="15.75" customHeight="1">
      <c r="A14391" s="1">
        <v>15311.0</v>
      </c>
      <c r="B14391" s="3" t="s">
        <v>13699</v>
      </c>
      <c r="C14391" s="3" t="str">
        <f>IFERROR(__xludf.DUMMYFUNCTION("GOOGLETRANSLATE(B14391,""id"",""en"")"),"['Application', 'Kerrn', 'really']")</f>
        <v>['Application', 'Kerrn', 'really']</v>
      </c>
      <c r="D14391" s="3">
        <v>5.0</v>
      </c>
    </row>
    <row r="14392" ht="15.75" customHeight="1">
      <c r="A14392" s="1">
        <v>15312.0</v>
      </c>
      <c r="B14392" s="3" t="s">
        <v>13700</v>
      </c>
      <c r="C14392" s="3" t="str">
        <f>IFERROR(__xludf.DUMMYFUNCTION("GOOGLETRANSLATE(B14392,""id"",""en"")"),"['chargeb', 'bran']")</f>
        <v>['chargeb', 'bran']</v>
      </c>
      <c r="D14392" s="3">
        <v>5.0</v>
      </c>
    </row>
    <row r="14393" ht="15.75" customHeight="1">
      <c r="A14393" s="1">
        <v>15313.0</v>
      </c>
      <c r="B14393" s="3" t="s">
        <v>13701</v>
      </c>
      <c r="C14393" s="3" t="str">
        <f>IFERROR(__xludf.DUMMYFUNCTION("GOOGLETRANSLATE(B14393,""id"",""en"")"),"['APK', 'Woy', 'White', 'Doang', '']")</f>
        <v>['APK', 'Woy', 'White', 'Doang', '']</v>
      </c>
      <c r="D14393" s="3">
        <v>1.0</v>
      </c>
    </row>
    <row r="14394" ht="15.75" customHeight="1">
      <c r="A14394" s="1">
        <v>15314.0</v>
      </c>
      <c r="B14394" s="3" t="s">
        <v>13702</v>
      </c>
      <c r="C14394" s="3" t="str">
        <f>IFERROR(__xludf.DUMMYFUNCTION("GOOGLETRANSLATE(B14394,""id"",""en"")"),"['Open', 'application', 'quota', 'suggestion', 'check', 'forget', 'contents', 'quota', 'pulse']")</f>
        <v>['Open', 'application', 'quota', 'suggestion', 'check', 'forget', 'contents', 'quota', 'pulse']</v>
      </c>
      <c r="D14394" s="3">
        <v>5.0</v>
      </c>
    </row>
    <row r="14395" ht="15.75" customHeight="1">
      <c r="A14395" s="1">
        <v>15316.0</v>
      </c>
      <c r="B14395" s="3" t="s">
        <v>13703</v>
      </c>
      <c r="C14395" s="3" t="str">
        <f>IFERROR(__xludf.DUMMYFUNCTION("GOOGLETRANSLATE(B14395,""id"",""en"")"),"['Saua', 'enter', 'apk', 'Telkomsel', 'screen', 'blank', 'white', 'just', 'sorry', 'rating', 'star', 'love', ' Please ',' repaired ']")</f>
        <v>['Saua', 'enter', 'apk', 'Telkomsel', 'screen', 'blank', 'white', 'just', 'sorry', 'rating', 'star', 'love', ' Please ',' repaired ']</v>
      </c>
      <c r="D14395" s="3">
        <v>1.0</v>
      </c>
    </row>
    <row r="14396" ht="15.75" customHeight="1">
      <c r="A14396" s="1">
        <v>15317.0</v>
      </c>
      <c r="B14396" s="3" t="s">
        <v>13704</v>
      </c>
      <c r="C14396" s="3" t="str">
        <f>IFERROR(__xludf.DUMMYFUNCTION("GOOGLETRANSLATE(B14396,""id"",""en"")"),"['If', 'topup', 'game', 'rich', 'myxl', 'axisnet', 'exciting', 'deh']")</f>
        <v>['If', 'topup', 'game', 'rich', 'myxl', 'axisnet', 'exciting', 'deh']</v>
      </c>
      <c r="D14396" s="3">
        <v>3.0</v>
      </c>
    </row>
    <row r="14397" ht="15.75" customHeight="1">
      <c r="A14397" s="1">
        <v>15318.0</v>
      </c>
      <c r="B14397" s="3" t="s">
        <v>13705</v>
      </c>
      <c r="C14397" s="3" t="str">
        <f>IFERROR(__xludf.DUMMYFUNCTION("GOOGLETRANSLATE(B14397,""id"",""en"")"),"['application', 'broken', 'opened', 'application', 'Telkomsel', 'Overcome', '']")</f>
        <v>['application', 'broken', 'opened', 'application', 'Telkomsel', 'Overcome', '']</v>
      </c>
      <c r="D14397" s="3">
        <v>1.0</v>
      </c>
    </row>
    <row r="14398" ht="15.75" customHeight="1">
      <c r="A14398" s="1">
        <v>15319.0</v>
      </c>
      <c r="B14398" s="3" t="s">
        <v>13706</v>
      </c>
      <c r="C14398" s="3" t="str">
        <f>IFERROR(__xludf.DUMMYFUNCTION("GOOGLETRANSLATE(B14398,""id"",""en"")"),"['right', 'update', 'application', 'ngeblank', 'color', 'white', 'min', 'Telkomsel', ""]")</f>
        <v>['right', 'update', 'application', 'ngeblank', 'color', 'white', 'min', 'Telkomsel', "]</v>
      </c>
      <c r="D14398" s="3">
        <v>2.0</v>
      </c>
    </row>
    <row r="14399" ht="15.75" customHeight="1">
      <c r="A14399" s="1">
        <v>15320.0</v>
      </c>
      <c r="B14399" s="3" t="s">
        <v>13707</v>
      </c>
      <c r="C14399" s="3" t="str">
        <f>IFERROR(__xludf.DUMMYFUNCTION("GOOGLETRANSLATE(B14399,""id"",""en"")"),"['waduhhhhhhhhhhhhhhhhhhhhhhhhhhhhhhhhhhhhhhhhhhhhhhhhhhhhhhhhhhhhhhhhhhhhhhhhhhhhhhhhhhhhhhhhhhhhhhhhhhhhhhhhhhhhhhhhhhhhhhhhhhhhhhhhhhhhhhhhhhhhhhhhhhhhhhhhhhhhhhhhhhhhhhhhhhhhhhhhhhhhhhhhhhhhhhhhhhc")</f>
        <v>['waduhhhhhhhhhhhhhhhhhhhhhhhhhhhhhhhhhhhhhhhhhhhhhhhhhhhhhhhhhhhhhhhhhhhhhhhhhhhhhhhhhhhhhhhhhhhhhhhhhhhhhhhhhhhhhhhhhhhhhhhhhhhhhhhhhhhhhhhhhhhhhhhhhhhhhhhhhhhhhhhhhhhhhhhhhhhhhhhhhhhhhhhhhhhhhhhhhhc</v>
      </c>
      <c r="D14399" s="3">
        <v>2.0</v>
      </c>
    </row>
    <row r="14400" ht="15.75" customHeight="1">
      <c r="A14400" s="1">
        <v>15321.0</v>
      </c>
      <c r="B14400" s="3" t="s">
        <v>9413</v>
      </c>
      <c r="C14400" s="3" t="str">
        <f>IFERROR(__xludf.DUMMYFUNCTION("GOOGLETRANSLATE(B14400,""id"",""en"")"),"['Application', 'Open']")</f>
        <v>['Application', 'Open']</v>
      </c>
      <c r="D14400" s="3">
        <v>1.0</v>
      </c>
    </row>
    <row r="14401" ht="15.75" customHeight="1">
      <c r="A14401" s="1">
        <v>15322.0</v>
      </c>
      <c r="B14401" s="3" t="s">
        <v>13708</v>
      </c>
      <c r="C14401" s="3" t="str">
        <f>IFERROR(__xludf.DUMMYFUNCTION("GOOGLETRANSLATE(B14401,""id"",""en"")"),"['Sorry', 'Love', 'Star', 'Week', 'Network', 'Down', 'Application', 'Telkomsel', 'Opened', 'Ngeblank', 'White', 'Taste', ' Ngumpet ',' Club ',' Cave ',' Please ',' Repaired ',' Customer ',' Switch ',' Provider ',' ']")</f>
        <v>['Sorry', 'Love', 'Star', 'Week', 'Network', 'Down', 'Application', 'Telkomsel', 'Opened', 'Ngeblank', 'White', 'Taste', ' Ngumpet ',' Club ',' Cave ',' Please ',' Repaired ',' Customer ',' Switch ',' Provider ',' ']</v>
      </c>
      <c r="D14401" s="3">
        <v>1.0</v>
      </c>
    </row>
    <row r="14402" ht="15.75" customHeight="1">
      <c r="A14402" s="1">
        <v>15323.0</v>
      </c>
      <c r="B14402" s="3" t="s">
        <v>1294</v>
      </c>
      <c r="C14402" s="3" t="str">
        <f>IFERROR(__xludf.DUMMYFUNCTION("GOOGLETRANSLATE(B14402,""id"",""en"")"),"['APK', 'Help']")</f>
        <v>['APK', 'Help']</v>
      </c>
      <c r="D14402" s="3">
        <v>5.0</v>
      </c>
    </row>
    <row r="14403" ht="15.75" customHeight="1">
      <c r="A14403" s="1">
        <v>15324.0</v>
      </c>
      <c r="B14403" s="3" t="s">
        <v>13709</v>
      </c>
      <c r="C14403" s="3" t="str">
        <f>IFERROR(__xludf.DUMMYFUNCTION("GOOGLETRANSLATE(B14403,""id"",""en"")"),"['Open', 'Blank', 'White', 'Update', 'Latest', 'Device', 'Samsung', 'Try', 'Developer', 'App', 'Min', 'Caskek', ' number ',' my subscription ',' Kouta ',' number ',' difficult ',' star ']")</f>
        <v>['Open', 'Blank', 'White', 'Update', 'Latest', 'Device', 'Samsung', 'Try', 'Developer', 'App', 'Min', 'Caskek', ' number ',' my subscription ',' Kouta ',' number ',' difficult ',' star ']</v>
      </c>
      <c r="D14403" s="3">
        <v>2.0</v>
      </c>
    </row>
    <row r="14404" ht="15.75" customHeight="1">
      <c r="A14404" s="1">
        <v>15325.0</v>
      </c>
      <c r="B14404" s="3" t="s">
        <v>5247</v>
      </c>
      <c r="C14404" s="3" t="str">
        <f>IFERROR(__xludf.DUMMYFUNCTION("GOOGLETRANSLATE(B14404,""id"",""en"")"),"['Loading']")</f>
        <v>['Loading']</v>
      </c>
      <c r="D14404" s="3">
        <v>1.0</v>
      </c>
    </row>
    <row r="14405" ht="15.75" customHeight="1">
      <c r="A14405" s="1">
        <v>15326.0</v>
      </c>
      <c r="B14405" s="3" t="s">
        <v>13710</v>
      </c>
      <c r="C14405" s="3" t="str">
        <f>IFERROR(__xludf.DUMMYFUNCTION("GOOGLETRANSLATE(B14405,""id"",""en"")"),"['Network', 'ugly', 'hope', 'in the future']")</f>
        <v>['Network', 'ugly', 'hope', 'in the future']</v>
      </c>
      <c r="D14405" s="3">
        <v>1.0</v>
      </c>
    </row>
    <row r="14406" ht="15.75" customHeight="1">
      <c r="A14406" s="1">
        <v>15327.0</v>
      </c>
      <c r="B14406" s="3" t="s">
        <v>13711</v>
      </c>
      <c r="C14406" s="3" t="str">
        <f>IFERROR(__xludf.DUMMYFUNCTION("GOOGLETRANSLATE(B14406,""id"",""en"")"),"['Enter', 'Application', 'Difficult', 'Please', 'Increased', 'Iki']")</f>
        <v>['Enter', 'Application', 'Difficult', 'Please', 'Increased', 'Iki']</v>
      </c>
      <c r="D14406" s="3">
        <v>5.0</v>
      </c>
    </row>
    <row r="14407" ht="15.75" customHeight="1">
      <c r="A14407" s="1">
        <v>15328.0</v>
      </c>
      <c r="B14407" s="3" t="s">
        <v>13712</v>
      </c>
      <c r="C14407" s="3" t="str">
        <f>IFERROR(__xludf.DUMMYFUNCTION("GOOGLETRANSLATE(B14407,""id"",""en"")"),"['expensive', 'price', 'package', 'package', 'special', 'quota', 'main']")</f>
        <v>['expensive', 'price', 'package', 'package', 'special', 'quota', 'main']</v>
      </c>
      <c r="D14407" s="3">
        <v>3.0</v>
      </c>
    </row>
    <row r="14408" ht="15.75" customHeight="1">
      <c r="A14408" s="1">
        <v>15329.0</v>
      </c>
      <c r="B14408" s="3" t="s">
        <v>13713</v>
      </c>
      <c r="C14408" s="3" t="str">
        <f>IFERROR(__xludf.DUMMYFUNCTION("GOOGLETRANSLATE(B14408,""id"",""en"")"),"['opened', 'update', 'gimanapai', 'network', 'good', 'error', 'severe', 'update', 'good', 'severe']")</f>
        <v>['opened', 'update', 'gimanapai', 'network', 'good', 'error', 'severe', 'update', 'good', 'severe']</v>
      </c>
      <c r="D14408" s="3">
        <v>1.0</v>
      </c>
    </row>
    <row r="14409" ht="15.75" customHeight="1">
      <c r="A14409" s="1">
        <v>15330.0</v>
      </c>
      <c r="B14409" s="3" t="s">
        <v>13714</v>
      </c>
      <c r="C14409" s="3" t="str">
        <f>IFERROR(__xludf.DUMMYFUNCTION("GOOGLETRANSLATE(B14409,""id"",""en"")"),"['The application', 'tidk', 'opened']")</f>
        <v>['The application', 'tidk', 'opened']</v>
      </c>
      <c r="D14409" s="3">
        <v>2.0</v>
      </c>
    </row>
    <row r="14410" ht="15.75" customHeight="1">
      <c r="A14410" s="1">
        <v>15331.0</v>
      </c>
      <c r="B14410" s="3" t="s">
        <v>13715</v>
      </c>
      <c r="C14410" s="3" t="str">
        <f>IFERROR(__xludf.DUMMYFUNCTION("GOOGLETRANSLATE(B14410,""id"",""en"")"),"['Hopefully', 'can', 'help', 'make it easy', 'need']")</f>
        <v>['Hopefully', 'can', 'help', 'make it easy', 'need']</v>
      </c>
      <c r="D14410" s="3">
        <v>3.0</v>
      </c>
    </row>
    <row r="14411" ht="15.75" customHeight="1">
      <c r="A14411" s="1">
        <v>15332.0</v>
      </c>
      <c r="B14411" s="3" t="s">
        <v>13716</v>
      </c>
      <c r="C14411" s="3" t="str">
        <f>IFERROR(__xludf.DUMMYFUNCTION("GOOGLETRANSLATE(B14411,""id"",""en"")"),"['Satisfied', 'Telkomsel', 'Enhanced', 'Quality', 'Signal', '']")</f>
        <v>['Satisfied', 'Telkomsel', 'Enhanced', 'Quality', 'Signal', '']</v>
      </c>
      <c r="D14411" s="3">
        <v>4.0</v>
      </c>
    </row>
    <row r="14412" ht="15.75" customHeight="1">
      <c r="A14412" s="1">
        <v>15333.0</v>
      </c>
      <c r="B14412" s="3" t="s">
        <v>13717</v>
      </c>
      <c r="C14412" s="3" t="str">
        <f>IFERROR(__xludf.DUMMYFUNCTION("GOOGLETRANSLATE(B14412,""id"",""en"")"),"['Application', 'Jeleeeeekkkkk', 'open', ""]")</f>
        <v>['Application', 'Jeleeeeekkkkk', 'open', "]</v>
      </c>
      <c r="D14412" s="3">
        <v>1.0</v>
      </c>
    </row>
    <row r="14413" ht="15.75" customHeight="1">
      <c r="A14413" s="1">
        <v>15334.0</v>
      </c>
      <c r="B14413" s="3" t="s">
        <v>13718</v>
      </c>
      <c r="C14413" s="3" t="str">
        <f>IFERROR(__xludf.DUMMYFUNCTION("GOOGLETRANSLATE(B14413,""id"",""en"")"),"['TOP', 'MobileLegend', 'Open']")</f>
        <v>['TOP', 'MobileLegend', 'Open']</v>
      </c>
      <c r="D14413" s="3">
        <v>5.0</v>
      </c>
    </row>
    <row r="14414" ht="15.75" customHeight="1">
      <c r="A14414" s="1">
        <v>15335.0</v>
      </c>
      <c r="B14414" s="3" t="s">
        <v>13719</v>
      </c>
      <c r="C14414" s="3" t="str">
        <f>IFERROR(__xludf.DUMMYFUNCTION("GOOGLETRANSLATE(B14414,""id"",""en"")"),"['MANCAPP', 'level', 'then', 'Quality', 'Telkomsel']")</f>
        <v>['MANCAPP', 'level', 'then', 'Quality', 'Telkomsel']</v>
      </c>
      <c r="D14414" s="3">
        <v>5.0</v>
      </c>
    </row>
    <row r="14415" ht="15.75" customHeight="1">
      <c r="A14415" s="1">
        <v>15336.0</v>
      </c>
      <c r="B14415" s="3" t="s">
        <v>13720</v>
      </c>
      <c r="C14415" s="3" t="str">
        <f>IFERROR(__xludf.DUMMYFUNCTION("GOOGLETRANSLATE(B14415,""id"",""en"")"),"['Login', 'Screen', 'Ngehank', 'Sis',' Please ',' Help ',' Uninstall ',' Install ',' Cache ',' Already ',' Diter ',' TTEP ',' Login ',' Sis', 'Please', 'Enlightenment', 'Sis',' Help ',' ']")</f>
        <v>['Login', 'Screen', 'Ngehank', 'Sis',' Please ',' Help ',' Uninstall ',' Install ',' Cache ',' Already ',' Diter ',' TTEP ',' Login ',' Sis', 'Please', 'Enlightenment', 'Sis',' Help ',' ']</v>
      </c>
      <c r="D14415" s="3">
        <v>1.0</v>
      </c>
    </row>
    <row r="14416" ht="15.75" customHeight="1">
      <c r="A14416" s="1">
        <v>15337.0</v>
      </c>
      <c r="B14416" s="3" t="s">
        <v>13721</v>
      </c>
      <c r="C14416" s="3" t="str">
        <f>IFERROR(__xludf.DUMMYFUNCTION("GOOGLETRANSLATE(B14416,""id"",""en"")"),"['Reach', 'Signal', 'Strong', '']")</f>
        <v>['Reach', 'Signal', 'Strong', '']</v>
      </c>
      <c r="D14416" s="3">
        <v>1.0</v>
      </c>
    </row>
    <row r="14417" ht="15.75" customHeight="1">
      <c r="A14417" s="1">
        <v>15339.0</v>
      </c>
      <c r="B14417" s="3" t="s">
        <v>13722</v>
      </c>
      <c r="C14417" s="3" t="str">
        <f>IFERROR(__xludf.DUMMYFUNCTION("GOOGLETRANSLATE(B14417,""id"",""en"")"),"['signal', 'slow', 'please', 'fix']")</f>
        <v>['signal', 'slow', 'please', 'fix']</v>
      </c>
      <c r="D14417" s="3">
        <v>1.0</v>
      </c>
    </row>
    <row r="14418" ht="15.75" customHeight="1">
      <c r="A14418" s="1">
        <v>15340.0</v>
      </c>
      <c r="B14418" s="3" t="s">
        <v>13723</v>
      </c>
      <c r="C14418" s="3" t="str">
        <f>IFERROR(__xludf.DUMMYFUNCTION("GOOGLETRANSLATE(B14418,""id"",""en"")"),"['MyTelkomsel', 'no', 'Bukak', 'improvement', '']")</f>
        <v>['MyTelkomsel', 'no', 'Bukak', 'improvement', '']</v>
      </c>
      <c r="D14418" s="3">
        <v>5.0</v>
      </c>
    </row>
    <row r="14419" ht="15.75" customHeight="1">
      <c r="A14419" s="1">
        <v>15341.0</v>
      </c>
      <c r="B14419" s="3" t="s">
        <v>13724</v>
      </c>
      <c r="C14419" s="3" t="str">
        <f>IFERROR(__xludf.DUMMYFUNCTION("GOOGLETRANSLATE(B14419,""id"",""en"")"),"['Network', 'disappointing', 'play', 'game', 'strong', 'ngellag', 'then', 'package', 'Ajh', 'expensive', 'network', 'rot', ' ']")</f>
        <v>['Network', 'disappointing', 'play', 'game', 'strong', 'ngellag', 'then', 'package', 'Ajh', 'expensive', 'network', 'rot', ' ']</v>
      </c>
      <c r="D14419" s="3">
        <v>1.0</v>
      </c>
    </row>
    <row r="14420" ht="15.75" customHeight="1">
      <c r="A14420" s="1">
        <v>15342.0</v>
      </c>
      <c r="B14420" s="3" t="s">
        <v>13725</v>
      </c>
      <c r="C14420" s="3" t="str">
        <f>IFERROR(__xludf.DUMMYFUNCTION("GOOGLETRANSLATE(B14420,""id"",""en"")"),"['application', 'open', 'hnya', 'appears', 'screen', 'white']")</f>
        <v>['application', 'open', 'hnya', 'appears', 'screen', 'white']</v>
      </c>
      <c r="D14420" s="3">
        <v>2.0</v>
      </c>
    </row>
    <row r="14421" ht="15.75" customHeight="1">
      <c r="A14421" s="1">
        <v>15343.0</v>
      </c>
      <c r="B14421" s="3" t="s">
        <v>13726</v>
      </c>
      <c r="C14421" s="3" t="str">
        <f>IFERROR(__xludf.DUMMYFUNCTION("GOOGLETRANSLATE(B14421,""id"",""en"")"),"['Sunday', 'Open', 'Install', 'repeat', 'reset', 'please', 'fix', 'APL', 'nyak']")</f>
        <v>['Sunday', 'Open', 'Install', 'repeat', 'reset', 'please', 'fix', 'APL', 'nyak']</v>
      </c>
      <c r="D14421" s="3">
        <v>1.0</v>
      </c>
    </row>
    <row r="14422" ht="15.75" customHeight="1">
      <c r="A14422" s="1">
        <v>15344.0</v>
      </c>
      <c r="B14422" s="3" t="s">
        <v>13727</v>
      </c>
      <c r="C14422" s="3" t="str">
        <f>IFERROR(__xludf.DUMMYFUNCTION("GOOGLETRANSLATE(B14422,""id"",""en"")"),"['Package', 'GB', 'GB', 'Monthly', 'Help', 'Held', 'Gausah', 'Drama', 'Package', 'Special', 'Tiktok', 'Twitter', ' etc', '']")</f>
        <v>['Package', 'GB', 'GB', 'Monthly', 'Help', 'Held', 'Gausah', 'Drama', 'Package', 'Special', 'Tiktok', 'Twitter', ' etc', '']</v>
      </c>
      <c r="D14422" s="3">
        <v>1.0</v>
      </c>
    </row>
    <row r="14423" ht="15.75" customHeight="1">
      <c r="A14423" s="1">
        <v>15345.0</v>
      </c>
      <c r="B14423" s="3" t="s">
        <v>13728</v>
      </c>
      <c r="C14423" s="3" t="str">
        <f>IFERROR(__xludf.DUMMYFUNCTION("GOOGLETRANSLATE(B14423,""id"",""en"")"),"['Since', 'slow', 'turn over', 'star', '']")</f>
        <v>['Since', 'slow', 'turn over', 'star', '']</v>
      </c>
      <c r="D14423" s="3">
        <v>5.0</v>
      </c>
    </row>
    <row r="14424" ht="15.75" customHeight="1">
      <c r="A14424" s="1">
        <v>15346.0</v>
      </c>
      <c r="B14424" s="3" t="s">
        <v>13729</v>
      </c>
      <c r="C14424" s="3" t="str">
        <f>IFERROR(__xludf.DUMMYFUNCTION("GOOGLETRANSLATE(B14424,""id"",""en"")"),"['price', 'floating', 'quality', 'animal', 'country', 'owe', 'money', 'print', 'owe', 'megawati', 'happy', ""]")</f>
        <v>['price', 'floating', 'quality', 'animal', 'country', 'owe', 'money', 'print', 'owe', 'megawati', 'happy', "]</v>
      </c>
      <c r="D14424" s="3">
        <v>1.0</v>
      </c>
    </row>
    <row r="14425" ht="15.75" customHeight="1">
      <c r="A14425" s="1">
        <v>15347.0</v>
      </c>
      <c r="B14425" s="3" t="s">
        <v>13730</v>
      </c>
      <c r="C14425" s="3" t="str">
        <f>IFERROR(__xludf.DUMMYFUNCTION("GOOGLETRANSLATE(B14425,""id"",""en"")"),"['Telkomselku', 'opened', '']")</f>
        <v>['Telkomselku', 'opened', '']</v>
      </c>
      <c r="D14425" s="3">
        <v>5.0</v>
      </c>
    </row>
    <row r="14426" ht="15.75" customHeight="1">
      <c r="A14426" s="1">
        <v>15348.0</v>
      </c>
      <c r="B14426" s="3" t="s">
        <v>13731</v>
      </c>
      <c r="C14426" s="3" t="str">
        <f>IFERROR(__xludf.DUMMYFUNCTION("GOOGLETRANSLATE(B14426,""id"",""en"")"),"['Disappointed', 'Telkomsel', 'Karna', 'Update', 'White', 'Scren', 'Pdhal', 'Install', 'reset', 'repeat', 'Enter', 'Disappointed', ' Please '' Fix ']")</f>
        <v>['Disappointed', 'Telkomsel', 'Karna', 'Update', 'White', 'Scren', 'Pdhal', 'Install', 'reset', 'repeat', 'Enter', 'Disappointed', ' Please '' Fix ']</v>
      </c>
      <c r="D14426" s="3">
        <v>1.0</v>
      </c>
    </row>
    <row r="14427" ht="15.75" customHeight="1">
      <c r="A14427" s="1">
        <v>15349.0</v>
      </c>
      <c r="B14427" s="3" t="s">
        <v>13732</v>
      </c>
      <c r="C14427" s="3" t="str">
        <f>IFERROR(__xludf.DUMMYFUNCTION("GOOGLETRANSLATE(B14427,""id"",""en"")"),"['Display', 'Open', 'The application', 'appears',' aupdate ',' screen ',' white ',' look ',' Wait ',' minute ',' it hurts', 'open', ' Min ',' beg "", 'made easier', 'use', '']")</f>
        <v>['Display', 'Open', 'The application', 'appears',' aupdate ',' screen ',' white ',' look ',' Wait ',' minute ',' it hurts', 'open', ' Min ',' beg ", 'made easier', 'use', '']</v>
      </c>
      <c r="D14427" s="3">
        <v>3.0</v>
      </c>
    </row>
    <row r="14428" ht="15.75" customHeight="1">
      <c r="A14428" s="1">
        <v>15350.0</v>
      </c>
      <c r="B14428" s="3" t="s">
        <v>13733</v>
      </c>
      <c r="C14428" s="3" t="str">
        <f>IFERROR(__xludf.DUMMYFUNCTION("GOOGLETRANSLATE(B14428,""id"",""en"")"),"['Opened', 'Nie', 'The application', '']")</f>
        <v>['Opened', 'Nie', 'The application', '']</v>
      </c>
      <c r="D14428" s="3">
        <v>2.0</v>
      </c>
    </row>
    <row r="14429" ht="15.75" customHeight="1">
      <c r="A14429" s="1">
        <v>15351.0</v>
      </c>
      <c r="B14429" s="3" t="s">
        <v>13734</v>
      </c>
      <c r="C14429" s="3" t="str">
        <f>IFERROR(__xludf.DUMMYFUNCTION("GOOGLETRANSLATE(B14429,""id"",""en"")"),"['masang', '']")</f>
        <v>['masang', '']</v>
      </c>
      <c r="D14429" s="3">
        <v>3.0</v>
      </c>
    </row>
    <row r="14430" ht="15.75" customHeight="1">
      <c r="A14430" s="1">
        <v>15352.0</v>
      </c>
      <c r="B14430" s="3" t="s">
        <v>13735</v>
      </c>
      <c r="C14430" s="3" t="str">
        <f>IFERROR(__xludf.DUMMYFUNCTION("GOOGLETRANSLATE(B14430,""id"",""en"")"),"['Good', 'Addin', 'Promo', 'Donk', 'Card', 'Sdah', 'Brthan']")</f>
        <v>['Good', 'Addin', 'Promo', 'Donk', 'Card', 'Sdah', 'Brthan']</v>
      </c>
      <c r="D14430" s="3">
        <v>5.0</v>
      </c>
    </row>
    <row r="14431" ht="15.75" customHeight="1">
      <c r="A14431" s="1">
        <v>15353.0</v>
      </c>
      <c r="B14431" s="3" t="s">
        <v>13736</v>
      </c>
      <c r="C14431" s="3" t="str">
        <f>IFERROR(__xludf.DUMMYFUNCTION("GOOGLETRANSLATE(B14431,""id"",""en"")"),"['Mantab', 'staple', 'transact', 'application', '']")</f>
        <v>['Mantab', 'staple', 'transact', 'application', '']</v>
      </c>
      <c r="D14431" s="3">
        <v>5.0</v>
      </c>
    </row>
    <row r="14432" ht="15.75" customHeight="1">
      <c r="A14432" s="1">
        <v>15354.0</v>
      </c>
      <c r="B14432" s="3" t="s">
        <v>13737</v>
      </c>
      <c r="C14432" s="3" t="str">
        <f>IFERROR(__xludf.DUMMYFUNCTION("GOOGLETRANSLATE(B14432,""id"",""en"")"),"['update', 'told', 'update']")</f>
        <v>['update', 'told', 'update']</v>
      </c>
      <c r="D14432" s="3">
        <v>1.0</v>
      </c>
    </row>
    <row r="14433" ht="15.75" customHeight="1">
      <c r="A14433" s="1">
        <v>15355.0</v>
      </c>
      <c r="B14433" s="3" t="s">
        <v>13738</v>
      </c>
      <c r="C14433" s="3" t="str">
        <f>IFERROR(__xludf.DUMMYFUNCTION("GOOGLETRANSLATE(B14433,""id"",""en"")"),"['system', 'slow', 'opened', 'please', 'updated']")</f>
        <v>['system', 'slow', 'opened', 'please', 'updated']</v>
      </c>
      <c r="D14433" s="3">
        <v>2.0</v>
      </c>
    </row>
    <row r="14434" ht="15.75" customHeight="1">
      <c r="A14434" s="1">
        <v>15356.0</v>
      </c>
      <c r="B14434" s="3" t="s">
        <v>13739</v>
      </c>
      <c r="C14434" s="3" t="str">
        <f>IFERROR(__xludf.DUMMYFUNCTION("GOOGLETRANSLATE(B14434,""id"",""en"")"),"['Hopefully', 'Help', 'Relieve', 'Orng', 'Cultured']")</f>
        <v>['Hopefully', 'Help', 'Relieve', 'Orng', 'Cultured']</v>
      </c>
      <c r="D14434" s="3">
        <v>5.0</v>
      </c>
    </row>
    <row r="14435" ht="15.75" customHeight="1">
      <c r="A14435" s="1">
        <v>15357.0</v>
      </c>
      <c r="B14435" s="3" t="s">
        <v>13740</v>
      </c>
      <c r="C14435" s="3" t="str">
        <f>IFERROR(__xludf.DUMMYFUNCTION("GOOGLETRANSLATE(B14435,""id"",""en"")"),"['Update', 'Wait', 'achieved', 'Minute']")</f>
        <v>['Update', 'Wait', 'achieved', 'Minute']</v>
      </c>
      <c r="D14435" s="3">
        <v>2.0</v>
      </c>
    </row>
    <row r="14436" ht="15.75" customHeight="1">
      <c r="A14436" s="1">
        <v>15359.0</v>
      </c>
      <c r="B14436" s="3" t="s">
        <v>13741</v>
      </c>
      <c r="C14436" s="3" t="str">
        <f>IFERROR(__xludf.DUMMYFUNCTION("GOOGLETRANSLATE(B14436,""id"",""en"")"),"['Disappointed', 'Crazy', 'Experience', 'BLI', 'Credit', 'Direct', 'Cut', 'LBH', 'Credit', 'Purchased', 'Suggestion', 'Ush', ' Telkom ',' Ntar ',' Nambah ',' Sin ',' Angry ',' Anjng ']")</f>
        <v>['Disappointed', 'Crazy', 'Experience', 'BLI', 'Credit', 'Direct', 'Cut', 'LBH', 'Credit', 'Purchased', 'Suggestion', 'Ush', ' Telkom ',' Ntar ',' Nambah ',' Sin ',' Angry ',' Anjng ']</v>
      </c>
      <c r="D14436" s="3">
        <v>1.0</v>
      </c>
    </row>
    <row r="14437" ht="15.75" customHeight="1">
      <c r="A14437" s="1">
        <v>15360.0</v>
      </c>
      <c r="B14437" s="3" t="s">
        <v>13742</v>
      </c>
      <c r="C14437" s="3" t="str">
        <f>IFERROR(__xludf.DUMMYFUNCTION("GOOGLETRANSLATE(B14437,""id"",""en"")"),"['Hello', 'Telkomsel', 'Please', 'repaired', 'understand', 'price', 'expensive', 'application', 'troubled']")</f>
        <v>['Hello', 'Telkomsel', 'Please', 'repaired', 'understand', 'price', 'expensive', 'application', 'troubled']</v>
      </c>
      <c r="D14437" s="3">
        <v>1.0</v>
      </c>
    </row>
    <row r="14438" ht="15.75" customHeight="1">
      <c r="A14438" s="1">
        <v>15362.0</v>
      </c>
      <c r="B14438" s="3" t="s">
        <v>13743</v>
      </c>
      <c r="C14438" s="3" t="str">
        <f>IFERROR(__xludf.DUMMYFUNCTION("GOOGLETRANSLATE(B14438,""id"",""en"")"),"['Koq', 'already', 'update', 'open', 'the application', ""]")</f>
        <v>['Koq', 'already', 'update', 'open', 'the application', "]</v>
      </c>
      <c r="D14438" s="3">
        <v>2.0</v>
      </c>
    </row>
    <row r="14439" ht="15.75" customHeight="1">
      <c r="A14439" s="1">
        <v>15363.0</v>
      </c>
      <c r="B14439" s="3" t="s">
        <v>13744</v>
      </c>
      <c r="C14439" s="3" t="str">
        <f>IFERROR(__xludf.DUMMYFUNCTION("GOOGLETRANSLATE(B14439,""id"",""en"")"),"['Network', 'ugly', 'according to', 'price', 'quota', 'expensive']")</f>
        <v>['Network', 'ugly', 'according to', 'price', 'quota', 'expensive']</v>
      </c>
      <c r="D14439" s="3">
        <v>1.0</v>
      </c>
    </row>
    <row r="14440" ht="15.75" customHeight="1">
      <c r="A14440" s="1">
        <v>15364.0</v>
      </c>
      <c r="B14440" s="3" t="s">
        <v>13745</v>
      </c>
      <c r="C14440" s="3" t="str">
        <f>IFERROR(__xludf.DUMMYFUNCTION("GOOGLETRANSLATE(B14440,""id"",""en"")"),"['buy', 'quota', 'unlimited', 'youtube', 'sumps', 'quota', 'main', 'how', 'aduuuh', 'severe', ""]")</f>
        <v>['buy', 'quota', 'unlimited', 'youtube', 'sumps', 'quota', 'main', 'how', 'aduuuh', 'severe', "]</v>
      </c>
      <c r="D14440" s="3">
        <v>2.0</v>
      </c>
    </row>
    <row r="14441" ht="15.75" customHeight="1">
      <c r="A14441" s="1">
        <v>15365.0</v>
      </c>
      <c r="B14441" s="3" t="s">
        <v>1044</v>
      </c>
      <c r="C14441" s="3" t="str">
        <f>IFERROR(__xludf.DUMMYFUNCTION("GOOGLETRANSLATE(B14441,""id"",""en"")"),"['good', '']")</f>
        <v>['good', '']</v>
      </c>
      <c r="D14441" s="3">
        <v>5.0</v>
      </c>
    </row>
    <row r="14442" ht="15.75" customHeight="1">
      <c r="A14442" s="1">
        <v>15366.0</v>
      </c>
      <c r="B14442" s="3" t="s">
        <v>13746</v>
      </c>
      <c r="C14442" s="3" t="str">
        <f>IFERROR(__xludf.DUMMYFUNCTION("GOOGLETRANSLATE(B14442,""id"",""en"")"),"['already', 'open']")</f>
        <v>['already', 'open']</v>
      </c>
      <c r="D14442" s="3">
        <v>4.0</v>
      </c>
    </row>
    <row r="14443" ht="15.75" customHeight="1">
      <c r="A14443" s="1">
        <v>15367.0</v>
      </c>
      <c r="B14443" s="3" t="s">
        <v>13747</v>
      </c>
      <c r="C14443" s="3" t="str">
        <f>IFERROR(__xludf.DUMMYFUNCTION("GOOGLETRANSLATE(B14443,""id"",""en"")"),"['Thn', 'Telkomsel', 'please', 'price', 'package', 'data', 'internet', 'monthly', 'expensive', 'Dung', 'love', 'Telkomsel', ' thank you', '']")</f>
        <v>['Thn', 'Telkomsel', 'please', 'price', 'package', 'data', 'internet', 'monthly', 'expensive', 'Dung', 'love', 'Telkomsel', ' thank you', '']</v>
      </c>
      <c r="D14443" s="3">
        <v>5.0</v>
      </c>
    </row>
    <row r="14444" ht="15.75" customHeight="1">
      <c r="A14444" s="1">
        <v>15368.0</v>
      </c>
      <c r="B14444" s="3" t="s">
        <v>13748</v>
      </c>
      <c r="C14444" s="3" t="str">
        <f>IFERROR(__xludf.DUMMYFUNCTION("GOOGLETRANSLATE(B14444,""id"",""en"")"),"['Litue', 'application', 'ugly', 'error']")</f>
        <v>['Litue', 'application', 'ugly', 'error']</v>
      </c>
      <c r="D14444" s="3">
        <v>1.0</v>
      </c>
    </row>
    <row r="14445" ht="15.75" customHeight="1">
      <c r="A14445" s="1">
        <v>15369.0</v>
      </c>
      <c r="B14445" s="3" t="s">
        <v>13749</v>
      </c>
      <c r="C14445" s="3" t="str">
        <f>IFERROR(__xludf.DUMMYFUNCTION("GOOGLETRANSLATE(B14445,""id"",""en"")"),"['Telkomsel', 'enter', 'screen', 'white', 'weird']")</f>
        <v>['Telkomsel', 'enter', 'screen', 'white', 'weird']</v>
      </c>
      <c r="D14445" s="3">
        <v>1.0</v>
      </c>
    </row>
    <row r="14446" ht="15.75" customHeight="1">
      <c r="A14446" s="1">
        <v>15370.0</v>
      </c>
      <c r="B14446" s="3" t="s">
        <v>13750</v>
      </c>
      <c r="C14446" s="3" t="str">
        <f>IFERROR(__xludf.DUMMYFUNCTION("GOOGLETRANSLATE(B14446,""id"",""en"")"),"['sip', 'help', 'package']")</f>
        <v>['sip', 'help', 'package']</v>
      </c>
      <c r="D14446" s="3">
        <v>5.0</v>
      </c>
    </row>
    <row r="14447" ht="15.75" customHeight="1">
      <c r="A14447" s="1">
        <v>15371.0</v>
      </c>
      <c r="B14447" s="3" t="s">
        <v>13751</v>
      </c>
      <c r="C14447" s="3" t="str">
        <f>IFERROR(__xludf.DUMMYFUNCTION("GOOGLETRANSLATE(B14447,""id"",""en"")"),"['knp', 'error', 'trs', 'yaa', 'fix', '']")</f>
        <v>['knp', 'error', 'trs', 'yaa', 'fix', '']</v>
      </c>
      <c r="D14447" s="3">
        <v>1.0</v>
      </c>
    </row>
    <row r="14448" ht="15.75" customHeight="1">
      <c r="A14448" s="1">
        <v>15372.0</v>
      </c>
      <c r="B14448" s="3" t="s">
        <v>13752</v>
      </c>
      <c r="C14448" s="3" t="str">
        <f>IFERROR(__xludf.DUMMYFUNCTION("GOOGLETRANSLATE(B14448,""id"",""en"")"),"['already', 'contents', 'pulse', 'pulse', 'stay', 'Please', 'betrayed', 'my apk']")</f>
        <v>['already', 'contents', 'pulse', 'pulse', 'stay', 'Please', 'betrayed', 'my apk']</v>
      </c>
      <c r="D14448" s="3">
        <v>1.0</v>
      </c>
    </row>
    <row r="14449" ht="15.75" customHeight="1">
      <c r="A14449" s="1">
        <v>15373.0</v>
      </c>
      <c r="B14449" s="3" t="s">
        <v>13753</v>
      </c>
      <c r="C14449" s="3" t="str">
        <f>IFERROR(__xludf.DUMMYFUNCTION("GOOGLETRANSLATE(B14449,""id"",""en"")"),"['Downloade', 'App', 'Blum', 'Good', 'Nida', '']")</f>
        <v>['Downloade', 'App', 'Blum', 'Good', 'Nida', '']</v>
      </c>
      <c r="D14449" s="3">
        <v>5.0</v>
      </c>
    </row>
    <row r="14450" ht="15.75" customHeight="1">
      <c r="A14450" s="1">
        <v>15374.0</v>
      </c>
      <c r="B14450" s="3" t="s">
        <v>13754</v>
      </c>
      <c r="C14450" s="3" t="str">
        <f>IFERROR(__xludf.DUMMYFUNCTION("GOOGLETRANSLATE(B14450,""id"",""en"")"),"['Please', 'Kasi', 'Package', '']")</f>
        <v>['Please', 'Kasi', 'Package', '']</v>
      </c>
      <c r="D14450" s="3">
        <v>5.0</v>
      </c>
    </row>
    <row r="14451" ht="15.75" customHeight="1">
      <c r="A14451" s="1">
        <v>15375.0</v>
      </c>
      <c r="B14451" s="3" t="s">
        <v>13755</v>
      </c>
      <c r="C14451" s="3" t="str">
        <f>IFERROR(__xludf.DUMMYFUNCTION("GOOGLETRANSLATE(B14451,""id"",""en"")"),"['opened', 'BBR', 'Uninstall', 'Install', '']")</f>
        <v>['opened', 'BBR', 'Uninstall', 'Install', '']</v>
      </c>
      <c r="D14451" s="3">
        <v>1.0</v>
      </c>
    </row>
    <row r="14452" ht="15.75" customHeight="1">
      <c r="A14452" s="1">
        <v>15376.0</v>
      </c>
      <c r="B14452" s="3" t="s">
        <v>13756</v>
      </c>
      <c r="C14452" s="3" t="str">
        <f>IFERROR(__xludf.DUMMYFUNCTION("GOOGLETRANSLATE(B14452,""id"",""en"")"),"['Wooy', 'how', 'Telkomsel', 'told', 'Update', 'App', 'Telkomsel', 'opened', 'Ngeblank', 'Gini', 'mah', 'update', ' Hadeeeu ',' Disappointed ',' ']")</f>
        <v>['Wooy', 'how', 'Telkomsel', 'told', 'Update', 'App', 'Telkomsel', 'opened', 'Ngeblank', 'Gini', 'mah', 'update', ' Hadeeeu ',' Disappointed ',' ']</v>
      </c>
      <c r="D14452" s="3">
        <v>2.0</v>
      </c>
    </row>
    <row r="14453" ht="15.75" customHeight="1">
      <c r="A14453" s="1">
        <v>15378.0</v>
      </c>
      <c r="B14453" s="3" t="s">
        <v>13757</v>
      </c>
      <c r="C14453" s="3" t="str">
        <f>IFERROR(__xludf.DUMMYFUNCTION("GOOGLETRANSLATE(B14453,""id"",""en"")"),"['Telkomsel', 'open', 'application', 'click', 'Mucul', 'screen', 'screen', 'white', 'Please', 'direction', 'min', '']")</f>
        <v>['Telkomsel', 'open', 'application', 'click', 'Mucul', 'screen', 'screen', 'white', 'Please', 'direction', 'min', '']</v>
      </c>
      <c r="D14453" s="3">
        <v>3.0</v>
      </c>
    </row>
    <row r="14454" ht="15.75" customHeight="1">
      <c r="A14454" s="1">
        <v>15379.0</v>
      </c>
      <c r="B14454" s="3" t="s">
        <v>13758</v>
      </c>
      <c r="C14454" s="3" t="str">
        <f>IFERROR(__xludf.DUMMYFUNCTION("GOOGLETRANSLATE(B14454,""id"",""en"")"),"['users', 'Telkomsel', 'Update', 'White', 'Screen', 'Terips', 'Enter', 'Please', 'Repaired', 'Mksh']")</f>
        <v>['users', 'Telkomsel', 'Update', 'White', 'Screen', 'Terips', 'Enter', 'Please', 'Repaired', 'Mksh']</v>
      </c>
      <c r="D14454" s="3">
        <v>1.0</v>
      </c>
    </row>
    <row r="14455" ht="15.75" customHeight="1">
      <c r="A14455" s="1">
        <v>15380.0</v>
      </c>
      <c r="B14455" s="3" t="s">
        <v>13759</v>
      </c>
      <c r="C14455" s="3" t="str">
        <f>IFERROR(__xludf.DUMMYFUNCTION("GOOGLETRANSLATE(B14455,""id"",""en"")"),"['Application', 'Telkomsel', 'week', 'screen', 'white', ""]")</f>
        <v>['Application', 'Telkomsel', 'week', 'screen', 'white', "]</v>
      </c>
      <c r="D14455" s="3">
        <v>2.0</v>
      </c>
    </row>
    <row r="14456" ht="15.75" customHeight="1">
      <c r="A14456" s="1">
        <v>15381.0</v>
      </c>
      <c r="B14456" s="3" t="s">
        <v>13760</v>
      </c>
      <c r="C14456" s="3" t="str">
        <f>IFERROR(__xludf.DUMMYFUNCTION("GOOGLETRANSLATE(B14456,""id"",""en"")"),"['Applation', 'Open', 'Update', 'Please', 'Repaikik', 'TOD']")</f>
        <v>['Applation', 'Open', 'Update', 'Please', 'Repaikik', 'TOD']</v>
      </c>
      <c r="D14456" s="3">
        <v>1.0</v>
      </c>
    </row>
    <row r="14457" ht="15.75" customHeight="1">
      <c r="A14457" s="1">
        <v>15382.0</v>
      </c>
      <c r="B14457" s="3" t="s">
        <v>13761</v>
      </c>
      <c r="C14457" s="3" t="str">
        <f>IFERROR(__xludf.DUMMYFUNCTION("GOOGLETRANSLATE(B14457,""id"",""en"")"),"['', 'open', 'Telkomsel', 'look', 'screen', 'white', 'please', 'bntu', 'how']")</f>
        <v>['', 'open', 'Telkomsel', 'look', 'screen', 'white', 'please', 'bntu', 'how']</v>
      </c>
      <c r="D14457" s="3">
        <v>5.0</v>
      </c>
    </row>
    <row r="14458" ht="15.75" customHeight="1">
      <c r="A14458" s="1">
        <v>15383.0</v>
      </c>
      <c r="B14458" s="3" t="s">
        <v>13762</v>
      </c>
      <c r="C14458" s="3" t="str">
        <f>IFERROR(__xludf.DUMMYFUNCTION("GOOGLETRANSLATE(B14458,""id"",""en"")"),"['application', 'Telkomsel', 'no', 'open', 'week', 'Telkomsel', 'no', 'open', 'gymna', ""]")</f>
        <v>['application', 'Telkomsel', 'no', 'open', 'week', 'Telkomsel', 'no', 'open', 'gymna', "]</v>
      </c>
      <c r="D14458" s="3">
        <v>2.0</v>
      </c>
    </row>
    <row r="14459" ht="15.75" customHeight="1">
      <c r="A14459" s="1">
        <v>15384.0</v>
      </c>
      <c r="B14459" s="3" t="s">
        <v>13763</v>
      </c>
      <c r="C14459" s="3" t="str">
        <f>IFERROR(__xludf.DUMMYFUNCTION("GOOGLETRANSLATE(B14459,""id"",""en"")"),"['Cheap', 'bang']")</f>
        <v>['Cheap', 'bang']</v>
      </c>
      <c r="D14459" s="3">
        <v>5.0</v>
      </c>
    </row>
    <row r="14460" ht="15.75" customHeight="1">
      <c r="A14460" s="1">
        <v>15385.0</v>
      </c>
      <c r="B14460" s="3" t="s">
        <v>13764</v>
      </c>
      <c r="C14460" s="3" t="str">
        <f>IFERROR(__xludf.DUMMYFUNCTION("GOOGLETRANSLATE(B14460,""id"",""en"")"),"['', 'entry', 'the application', 'screen', 'white', 'plain', ""]")</f>
        <v>['', 'entry', 'the application', 'screen', 'white', 'plain', "]</v>
      </c>
      <c r="D14460" s="3">
        <v>1.0</v>
      </c>
    </row>
    <row r="14461" ht="15.75" customHeight="1">
      <c r="A14461" s="1">
        <v>15386.0</v>
      </c>
      <c r="B14461" s="3" t="s">
        <v>13765</v>
      </c>
      <c r="C14461" s="3" t="str">
        <f>IFERROR(__xludf.DUMMYFUNCTION("GOOGLETRANSLATE(B14461,""id"",""en"")"),"['application', 'Telkomsel', 'appears', 'screen', 'white', 'update', 'uninstall', 'kli', 'Please', 'accompanied', ""]")</f>
        <v>['application', 'Telkomsel', 'appears', 'screen', 'white', 'update', 'uninstall', 'kli', 'Please', 'accompanied', "]</v>
      </c>
      <c r="D14461" s="3">
        <v>3.0</v>
      </c>
    </row>
    <row r="14462" ht="15.75" customHeight="1">
      <c r="A14462" s="1">
        <v>15387.0</v>
      </c>
      <c r="B14462" s="3" t="s">
        <v>13766</v>
      </c>
      <c r="C14462" s="3" t="str">
        <f>IFERROR(__xludf.DUMMYFUNCTION("GOOGLETRANSLATE(B14462,""id"",""en"")"),"['bari', 'install', 'already', '']")</f>
        <v>['bari', 'install', 'already', '']</v>
      </c>
      <c r="D14462" s="3">
        <v>1.0</v>
      </c>
    </row>
    <row r="14463" ht="15.75" customHeight="1">
      <c r="A14463" s="1">
        <v>15388.0</v>
      </c>
      <c r="B14463" s="3" t="s">
        <v>13767</v>
      </c>
      <c r="C14463" s="3" t="str">
        <f>IFERROR(__xludf.DUMMYFUNCTION("GOOGLETRANSLATE(B14463,""id"",""en"")"),"['bad', 'application', 'opened', 'error']")</f>
        <v>['bad', 'application', 'opened', 'error']</v>
      </c>
      <c r="D14463" s="3">
        <v>1.0</v>
      </c>
    </row>
    <row r="14464" ht="15.75" customHeight="1">
      <c r="A14464" s="1">
        <v>15389.0</v>
      </c>
      <c r="B14464" s="3" t="s">
        <v>13768</v>
      </c>
      <c r="C14464" s="3" t="str">
        <f>IFERROR(__xludf.DUMMYFUNCTION("GOOGLETRANSLATE(B14464,""id"",""en"")"),"['', 'Sudha', 'download', 'opened', 'appears', 'screen', 'white', 'APK', 'Support', 'RealMe', ""]")</f>
        <v>['', 'Sudha', 'download', 'opened', 'appears', 'screen', 'white', 'APK', 'Support', 'RealMe', "]</v>
      </c>
      <c r="D14464" s="3">
        <v>1.0</v>
      </c>
    </row>
    <row r="14465" ht="15.75" customHeight="1">
      <c r="A14465" s="1">
        <v>15390.0</v>
      </c>
      <c r="B14465" s="3" t="s">
        <v>13769</v>
      </c>
      <c r="C14465" s="3" t="str">
        <f>IFERROR(__xludf.DUMMYFUNCTION("GOOGLETRANSLATE(B14465,""id"",""en"")"),"['Severe', 'opened', 'download', 'repeat', 'reset', 'uninstall', 'download', 'uninstall', 'download', 'difficult', 'really', 'opened', ' Super ',' slow ',' Telkomsel ', ""]")</f>
        <v>['Severe', 'opened', 'download', 'repeat', 'reset', 'uninstall', 'download', 'uninstall', 'download', 'difficult', 'really', 'opened', ' Super ',' slow ',' Telkomsel ', "]</v>
      </c>
      <c r="D14465" s="3">
        <v>2.0</v>
      </c>
    </row>
    <row r="14466" ht="15.75" customHeight="1">
      <c r="A14466" s="1">
        <v>15391.0</v>
      </c>
      <c r="B14466" s="3" t="s">
        <v>13770</v>
      </c>
      <c r="C14466" s="3" t="str">
        <f>IFERROR(__xludf.DUMMYFUNCTION("GOOGLETRANSLATE(B14466,""id"",""en"")"),"['Koq', 'appears', 'the application', 'open']")</f>
        <v>['Koq', 'appears', 'the application', 'open']</v>
      </c>
      <c r="D14466" s="3">
        <v>1.0</v>
      </c>
    </row>
    <row r="14467" ht="15.75" customHeight="1">
      <c r="A14467" s="1">
        <v>15392.0</v>
      </c>
      <c r="B14467" s="3" t="s">
        <v>13771</v>
      </c>
      <c r="C14467" s="3" t="str">
        <f>IFERROR(__xludf.DUMMYFUNCTION("GOOGLETRANSLATE(B14467,""id"",""en"")"),"['Where', 'extra', 'quota', 'daily', 'package', 'expensive', '']")</f>
        <v>['Where', 'extra', 'quota', 'daily', 'package', 'expensive', '']</v>
      </c>
      <c r="D14467" s="3">
        <v>1.0</v>
      </c>
    </row>
    <row r="14468" ht="15.75" customHeight="1">
      <c r="A14468" s="1">
        <v>15393.0</v>
      </c>
      <c r="B14468" s="3" t="s">
        <v>13772</v>
      </c>
      <c r="C14468" s="3" t="str">
        <f>IFERROR(__xludf.DUMMYFUNCTION("GOOGLETRANSLATE(B14468,""id"",""en"")"),"['Benerin', 'Woyy', 'APK', '']")</f>
        <v>['Benerin', 'Woyy', 'APK', '']</v>
      </c>
      <c r="D14468" s="3">
        <v>1.0</v>
      </c>
    </row>
    <row r="14469" ht="15.75" customHeight="1">
      <c r="A14469" s="1">
        <v>15394.0</v>
      </c>
      <c r="B14469" s="3" t="s">
        <v>13773</v>
      </c>
      <c r="C14469" s="3" t="str">
        <f>IFERROR(__xludf.DUMMYFUNCTION("GOOGLETRANSLATE(B14469,""id"",""en"")"),"['Sympathy', 'TLP', 'Customer', 'Service', 'Try', 'Change', 'Hello', 'Turn', 'Fox', 'Hallo', 'Sympathy', 'Convenient', ' Please, 'info', 'disappointed', 'gini']")</f>
        <v>['Sympathy', 'TLP', 'Customer', 'Service', 'Try', 'Change', 'Hello', 'Turn', 'Fox', 'Hallo', 'Sympathy', 'Convenient', ' Please, 'info', 'disappointed', 'gini']</v>
      </c>
      <c r="D14469" s="3">
        <v>1.0</v>
      </c>
    </row>
    <row r="14470" ht="15.75" customHeight="1">
      <c r="A14470" s="1">
        <v>15395.0</v>
      </c>
      <c r="B14470" s="3" t="s">
        <v>13774</v>
      </c>
      <c r="C14470" s="3" t="str">
        <f>IFERROR(__xludf.DUMMYFUNCTION("GOOGLETRANSLATE(B14470,""id"",""en"")"),"['Update', 'Blank', 'White', 'Screen', 'Please', 'Fix']")</f>
        <v>['Update', 'Blank', 'White', 'Screen', 'Please', 'Fix']</v>
      </c>
      <c r="D14470" s="3">
        <v>1.0</v>
      </c>
    </row>
    <row r="14471" ht="15.75" customHeight="1">
      <c r="A14471" s="1">
        <v>15396.0</v>
      </c>
      <c r="B14471" s="3" t="s">
        <v>10241</v>
      </c>
      <c r="C14471" s="3" t="str">
        <f>IFERROR(__xludf.DUMMYFUNCTION("GOOGLETRANSLATE(B14471,""id"",""en"")"),"['use']")</f>
        <v>['use']</v>
      </c>
      <c r="D14471" s="3">
        <v>5.0</v>
      </c>
    </row>
    <row r="14472" ht="15.75" customHeight="1">
      <c r="A14472" s="1">
        <v>15397.0</v>
      </c>
      <c r="B14472" s="3" t="s">
        <v>13775</v>
      </c>
      <c r="C14472" s="3" t="str">
        <f>IFERROR(__xludf.DUMMYFUNCTION("GOOGLETRANSLATE(B14472,""id"",""en"")"),"['easy', 'hopefully', 'obstacles', '']")</f>
        <v>['easy', 'hopefully', 'obstacles', '']</v>
      </c>
      <c r="D14472" s="3">
        <v>3.0</v>
      </c>
    </row>
    <row r="14473" ht="15.75" customHeight="1">
      <c r="A14473" s="1">
        <v>15398.0</v>
      </c>
      <c r="B14473" s="3" t="s">
        <v>13776</v>
      </c>
      <c r="C14473" s="3" t="str">
        <f>IFERROR(__xludf.DUMMYFUNCTION("GOOGLETRANSLATE(B14473,""id"",""en"")"),"['signal', 'slow', 'really', 'user', 'telkomsel', 'already', 'tell', 'sebel', 'rich', 'gini', 'yaudah', 'congratulations',' Stayed ',' Telkomsel ',' Move ',' Provider ']")</f>
        <v>['signal', 'slow', 'really', 'user', 'telkomsel', 'already', 'tell', 'sebel', 'rich', 'gini', 'yaudah', 'congratulations',' Stayed ',' Telkomsel ',' Move ',' Provider ']</v>
      </c>
      <c r="D14473" s="3">
        <v>1.0</v>
      </c>
    </row>
    <row r="14474" ht="15.75" customHeight="1">
      <c r="A14474" s="1">
        <v>15399.0</v>
      </c>
      <c r="B14474" s="3" t="s">
        <v>13777</v>
      </c>
      <c r="C14474" s="3" t="str">
        <f>IFERROR(__xludf.DUMMYFUNCTION("GOOGLETRANSLATE(B14474,""id"",""en"")"),"['Help', 'benefits']")</f>
        <v>['Help', 'benefits']</v>
      </c>
      <c r="D14474" s="3">
        <v>5.0</v>
      </c>
    </row>
    <row r="14475" ht="15.75" customHeight="1">
      <c r="A14475" s="1">
        <v>15400.0</v>
      </c>
      <c r="B14475" s="3" t="s">
        <v>4434</v>
      </c>
      <c r="C14475" s="3" t="str">
        <f>IFERROR(__xludf.DUMMYFUNCTION("GOOGLETRANSLATE(B14475,""id"",""en"")"),"['Application', 'opened', '']")</f>
        <v>['Application', 'opened', '']</v>
      </c>
      <c r="D14475" s="3">
        <v>5.0</v>
      </c>
    </row>
    <row r="14476" ht="15.75" customHeight="1">
      <c r="A14476" s="1">
        <v>15401.0</v>
      </c>
      <c r="B14476" s="3" t="s">
        <v>13778</v>
      </c>
      <c r="C14476" s="3" t="str">
        <f>IFERROR(__xludf.DUMMYFUNCTION("GOOGLETRANSLATE(B14476,""id"",""en"")"),"['Gimanaaa', 'apk', 'gabisa', 'open', 'woiiiiiii', '']")</f>
        <v>['Gimanaaa', 'apk', 'gabisa', 'open', 'woiiiiiii', '']</v>
      </c>
      <c r="D14476" s="3">
        <v>1.0</v>
      </c>
    </row>
    <row r="14477" ht="15.75" customHeight="1">
      <c r="A14477" s="1">
        <v>15402.0</v>
      </c>
      <c r="B14477" s="3" t="s">
        <v>13779</v>
      </c>
      <c r="C14477" s="3" t="str">
        <f>IFERROR(__xludf.DUMMYFUNCTION("GOOGLETRANSLATE(B14477,""id"",""en"")"),"['Severe', 'the application', 'ngeblank', 'screen', 'white', 'doang', 'week', 'screen', 'white', 'Telkomsel']")</f>
        <v>['Severe', 'the application', 'ngeblank', 'screen', 'white', 'doang', 'week', 'screen', 'white', 'Telkomsel']</v>
      </c>
      <c r="D14477" s="3">
        <v>3.0</v>
      </c>
    </row>
    <row r="14478" ht="15.75" customHeight="1">
      <c r="A14478" s="1">
        <v>15403.0</v>
      </c>
      <c r="B14478" s="3" t="s">
        <v>13780</v>
      </c>
      <c r="C14478" s="3" t="str">
        <f>IFERROR(__xludf.DUMMYFUNCTION("GOOGLETRANSLATE(B14478,""id"",""en"")"),"['The application', 'good', 'buy', 'quota', 'easy']")</f>
        <v>['The application', 'good', 'buy', 'quota', 'easy']</v>
      </c>
      <c r="D14478" s="3">
        <v>5.0</v>
      </c>
    </row>
    <row r="14479" ht="15.75" customHeight="1">
      <c r="A14479" s="1">
        <v>15404.0</v>
      </c>
      <c r="B14479" s="3" t="s">
        <v>13781</v>
      </c>
      <c r="C14479" s="3" t="str">
        <f>IFERROR(__xludf.DUMMYFUNCTION("GOOGLETRANSLATE(B14479,""id"",""en"")"),"['Talikin', 'pulse', 'zero', 'pedahal', 'dipake']")</f>
        <v>['Talikin', 'pulse', 'zero', 'pedahal', 'dipake']</v>
      </c>
      <c r="D14479" s="3">
        <v>5.0</v>
      </c>
    </row>
    <row r="14480" ht="15.75" customHeight="1">
      <c r="A14480" s="1">
        <v>15405.0</v>
      </c>
      <c r="B14480" s="3" t="s">
        <v>13782</v>
      </c>
      <c r="C14480" s="3" t="str">
        <f>IFERROR(__xludf.DUMMYFUNCTION("GOOGLETRANSLATE(B14480,""id"",""en"")"),"['already', 'slow', 'sometimes', 'difficult', 'open', 'mytelkom', 'bner', 'ad', 'doang', 'bnyak', 'signal']")</f>
        <v>['already', 'slow', 'sometimes', 'difficult', 'open', 'mytelkom', 'bner', 'ad', 'doang', 'bnyak', 'signal']</v>
      </c>
      <c r="D14480" s="3">
        <v>3.0</v>
      </c>
    </row>
    <row r="14481" ht="15.75" customHeight="1">
      <c r="A14481" s="1">
        <v>15407.0</v>
      </c>
      <c r="B14481" s="3" t="s">
        <v>13783</v>
      </c>
      <c r="C14481" s="3" t="str">
        <f>IFERROR(__xludf.DUMMYFUNCTION("GOOGLETRANSLATE(B14481,""id"",""en"")"),"['Semngt', 'min', 'develop', 'apk', 'price', 'package', 'netting', 'according to', 'love', 'star', 'dlu', ""]")</f>
        <v>['Semngt', 'min', 'develop', 'apk', 'price', 'package', 'netting', 'according to', 'love', 'star', 'dlu', "]</v>
      </c>
      <c r="D14481" s="3">
        <v>1.0</v>
      </c>
    </row>
    <row r="14482" ht="15.75" customHeight="1">
      <c r="A14482" s="1">
        <v>15408.0</v>
      </c>
      <c r="B14482" s="3" t="s">
        <v>13784</v>
      </c>
      <c r="C14482" s="3" t="str">
        <f>IFERROR(__xludf.DUMMYFUNCTION("GOOGLETRANSLATE(B14482,""id"",""en"")"),"['', 'like', 'buy', 'package', 'data']")</f>
        <v>['', 'like', 'buy', 'package', 'data']</v>
      </c>
      <c r="D14482" s="3">
        <v>5.0</v>
      </c>
    </row>
    <row r="14483" ht="15.75" customHeight="1">
      <c r="A14483" s="1">
        <v>15409.0</v>
      </c>
      <c r="B14483" s="3" t="s">
        <v>13785</v>
      </c>
      <c r="C14483" s="3" t="str">
        <f>IFERROR(__xludf.DUMMYFUNCTION("GOOGLETRANSLATE(B14483,""id"",""en"")"),"['quota', 'Games',' Open ',' Mobile ',' Legends', 'Quota', 'Utamanys',' Open ',' Web ',' Sosmed ',' Browser ',' Quota ',' sosmed ',' no ',' kayak ',' Telkomsel ',' no ',' expensive ',' package ',' package ',' unlimited ',' no ',' ']")</f>
        <v>['quota', 'Games',' Open ',' Mobile ',' Legends', 'Quota', 'Utamanys',' Open ',' Web ',' Sosmed ',' Browser ',' Quota ',' sosmed ',' no ',' kayak ',' Telkomsel ',' no ',' expensive ',' package ',' package ',' unlimited ',' no ',' ']</v>
      </c>
      <c r="D14483" s="3">
        <v>1.0</v>
      </c>
    </row>
    <row r="14484" ht="15.75" customHeight="1">
      <c r="A14484" s="1">
        <v>15410.0</v>
      </c>
      <c r="B14484" s="3" t="s">
        <v>13786</v>
      </c>
      <c r="C14484" s="3" t="str">
        <f>IFERROR(__xludf.DUMMYFUNCTION("GOOGLETRANSLATE(B14484,""id"",""en"")"),"['White', 'Screen', 'Update', 'Latest', 'Please', 'Repair']")</f>
        <v>['White', 'Screen', 'Update', 'Latest', 'Please', 'Repair']</v>
      </c>
      <c r="D14484" s="3">
        <v>1.0</v>
      </c>
    </row>
    <row r="14485" ht="15.75" customHeight="1">
      <c r="A14485" s="1">
        <v>15411.0</v>
      </c>
      <c r="B14485" s="3" t="s">
        <v>13787</v>
      </c>
      <c r="C14485" s="3" t="str">
        <f>IFERROR(__xludf.DUMMYFUNCTION("GOOGLETRANSLATE(B14485,""id"",""en"")"),"['Telkomsel', 'Application', 'MyTelkomel', 'opened', 'opened', 'Ngeblank', 'White', 'Screen', 'Talk', 'Veronika', 'Visit', 'GraPARI', ' The results', 'told', 'Waiting', 'Why', ""]")</f>
        <v>['Telkomsel', 'Application', 'MyTelkomel', 'opened', 'opened', 'Ngeblank', 'White', 'Screen', 'Talk', 'Veronika', 'Visit', 'GraPARI', ' The results', 'told', 'Waiting', 'Why', "]</v>
      </c>
      <c r="D14485" s="3">
        <v>5.0</v>
      </c>
    </row>
    <row r="14486" ht="15.75" customHeight="1">
      <c r="A14486" s="1">
        <v>15412.0</v>
      </c>
      <c r="B14486" s="3" t="s">
        <v>13788</v>
      </c>
      <c r="C14486" s="3" t="str">
        <f>IFERROR(__xludf.DUMMYFUNCTION("GOOGLETRANSLATE(B14486,""id"",""en"")"),"['Increases', 'Maintain', 'Service', 'Normal']")</f>
        <v>['Increases', 'Maintain', 'Service', 'Normal']</v>
      </c>
      <c r="D14486" s="3">
        <v>5.0</v>
      </c>
    </row>
    <row r="14487" ht="15.75" customHeight="1">
      <c r="A14487" s="1">
        <v>15413.0</v>
      </c>
      <c r="B14487" s="3" t="s">
        <v>13789</v>
      </c>
      <c r="C14487" s="3" t="str">
        <f>IFERROR(__xludf.DUMMYFUNCTION("GOOGLETRANSLATE(B14487,""id"",""en"")"),"['Maxh', 'Application', 'Meytekomsel', 'Pokonya', 'Best']")</f>
        <v>['Maxh', 'Application', 'Meytekomsel', 'Pokonya', 'Best']</v>
      </c>
      <c r="D14487" s="3">
        <v>5.0</v>
      </c>
    </row>
    <row r="14488" ht="15.75" customHeight="1">
      <c r="A14488" s="1">
        <v>15414.0</v>
      </c>
      <c r="B14488" s="3" t="s">
        <v>13790</v>
      </c>
      <c r="C14488" s="3" t="str">
        <f>IFERROR(__xludf.DUMMYFUNCTION("GOOGLETRANSLATE(B14488,""id"",""en"")"),"['Slow', 'Open', 'Application', 'Telkomsel', 'Confused', 'Slow', 'Skli', 'Please', 'Fix', 'Application', 'Network', 'Telkomsel', ' strong ',' good ',' skli ',' open ',' the application ',' slow ',' need ',' repair ',' reason ']")</f>
        <v>['Slow', 'Open', 'Application', 'Telkomsel', 'Confused', 'Slow', 'Skli', 'Please', 'Fix', 'Application', 'Network', 'Telkomsel', ' strong ',' good ',' skli ',' open ',' the application ',' slow ',' need ',' repair ',' reason ']</v>
      </c>
      <c r="D14488" s="3">
        <v>4.0</v>
      </c>
    </row>
    <row r="14489" ht="15.75" customHeight="1">
      <c r="A14489" s="1">
        <v>15415.0</v>
      </c>
      <c r="B14489" s="3" t="s">
        <v>4434</v>
      </c>
      <c r="C14489" s="3" t="str">
        <f>IFERROR(__xludf.DUMMYFUNCTION("GOOGLETRANSLATE(B14489,""id"",""en"")"),"['Application', 'opened', '']")</f>
        <v>['Application', 'opened', '']</v>
      </c>
      <c r="D14489" s="3">
        <v>1.0</v>
      </c>
    </row>
    <row r="14490" ht="15.75" customHeight="1">
      <c r="A14490" s="1">
        <v>15416.0</v>
      </c>
      <c r="B14490" s="3" t="s">
        <v>13791</v>
      </c>
      <c r="C14490" s="3" t="str">
        <f>IFERROR(__xludf.DUMMYFUNCTION("GOOGLETRANSLATE(B14490,""id"",""en"")"),"['Hi', 'Sis',' The application ',' opened ',' White ',' screen ',' Please ',' Solution ',' Sis', 'Fast', 'Fix', 'Accept', ' love']")</f>
        <v>['Hi', 'Sis',' The application ',' opened ',' White ',' screen ',' Please ',' Solution ',' Sis', 'Fast', 'Fix', 'Accept', ' love']</v>
      </c>
      <c r="D14490" s="3">
        <v>4.0</v>
      </c>
    </row>
    <row r="14491" ht="15.75" customHeight="1">
      <c r="A14491" s="1">
        <v>15417.0</v>
      </c>
      <c r="B14491" s="3" t="s">
        <v>13792</v>
      </c>
      <c r="C14491" s="3" t="str">
        <f>IFERROR(__xludf.DUMMYFUNCTION("GOOGLETRANSLATE(B14491,""id"",""en"")"),"['Out', 'Update', 'Open', 'Telkom', 'Makim', 'Bad', 'Dam', 'Burik', 'Kayak', 'Card', 'another', 'shame', ' Shame ',' Telkom ',' Application ',' ']")</f>
        <v>['Out', 'Update', 'Open', 'Telkom', 'Makim', 'Bad', 'Dam', 'Burik', 'Kayak', 'Card', 'another', 'shame', ' Shame ',' Telkom ',' Application ',' ']</v>
      </c>
      <c r="D14491" s="3">
        <v>1.0</v>
      </c>
    </row>
    <row r="14492" ht="15.75" customHeight="1">
      <c r="A14492" s="1">
        <v>15418.0</v>
      </c>
      <c r="B14492" s="3" t="s">
        <v>13793</v>
      </c>
      <c r="C14492" s="3" t="str">
        <f>IFERROR(__xludf.DUMMYFUNCTION("GOOGLETRANSLATE(B14492,""id"",""en"")"),"['Screen', 'blank', 'white']")</f>
        <v>['Screen', 'blank', 'white']</v>
      </c>
      <c r="D14492" s="3">
        <v>1.0</v>
      </c>
    </row>
    <row r="14493" ht="15.75" customHeight="1">
      <c r="A14493" s="1">
        <v>15419.0</v>
      </c>
      <c r="B14493" s="3" t="s">
        <v>13794</v>
      </c>
      <c r="C14493" s="3" t="str">
        <f>IFERROR(__xludf.DUMMYFUNCTION("GOOGLETRANSLATE(B14493,""id"",""en"")"),"['', 'Telkomsel', 'open', 'how', 'Telkomsel', ""]")</f>
        <v>['', 'Telkomsel', 'open', 'how', 'Telkomsel', "]</v>
      </c>
      <c r="D14493" s="3">
        <v>5.0</v>
      </c>
    </row>
    <row r="14494" ht="15.75" customHeight="1">
      <c r="A14494" s="1">
        <v>15420.0</v>
      </c>
      <c r="B14494" s="3" t="s">
        <v>13795</v>
      </c>
      <c r="C14494" s="3" t="str">
        <f>IFERROR(__xludf.DUMMYFUNCTION("GOOGLETRANSLATE(B14494,""id"",""en"")"),"['knp', 'apk', 'telkomsel', 'ngk', 'open', 'brother', 'mhon', 'instructions']")</f>
        <v>['knp', 'apk', 'telkomsel', 'ngk', 'open', 'brother', 'mhon', 'instructions']</v>
      </c>
      <c r="D14494" s="3">
        <v>5.0</v>
      </c>
    </row>
    <row r="14495" ht="15.75" customHeight="1">
      <c r="A14495" s="1">
        <v>15421.0</v>
      </c>
      <c r="B14495" s="3" t="s">
        <v>13796</v>
      </c>
      <c r="C14495" s="3" t="str">
        <f>IFERROR(__xludf.DUMMYFUNCTION("GOOGLETRANSLATE(B14495,""id"",""en"")"),"['knp', 'brother', 'apk', 'telkomsel', 'ngk', 'open', 'maxh']")</f>
        <v>['knp', 'brother', 'apk', 'telkomsel', 'ngk', 'open', 'maxh']</v>
      </c>
      <c r="D14495" s="3">
        <v>5.0</v>
      </c>
    </row>
    <row r="14496" ht="15.75" customHeight="1">
      <c r="A14496" s="1">
        <v>15422.0</v>
      </c>
      <c r="B14496" s="3" t="s">
        <v>13797</v>
      </c>
      <c r="C14496" s="3" t="str">
        <f>IFERROR(__xludf.DUMMYFUNCTION("GOOGLETRANSLATE(B14496,""id"",""en"")"),"['slow', 'network', 'skrg', 'telkomsel', 'udh', 'expensive', 'package', 'internet', 'smpe', 'sya', 'buy', 'card', ' Provider ',' tnyata ',' good ',' slow ',' quota ',' telkomsel ',' sya ',' msh ',' byyak ',' try ',' dtimatein ',' cmn ',' price ' , 'Level'"&amp;", 'TPI', 'Quality', 'Network', 'Sequence', 'SMPE', 'Customer', 'Over', 'Provider']")</f>
        <v>['slow', 'network', 'skrg', 'telkomsel', 'udh', 'expensive', 'package', 'internet', 'smpe', 'sya', 'buy', 'card', ' Provider ',' tnyata ',' good ',' slow ',' quota ',' telkomsel ',' sya ',' msh ',' byyak ',' try ',' dtimatein ',' cmn ',' price ' , 'Level', 'TPI', 'Quality', 'Network', 'Sequence', 'SMPE', 'Customer', 'Over', 'Provider']</v>
      </c>
      <c r="D14496" s="3">
        <v>1.0</v>
      </c>
    </row>
    <row r="14497" ht="15.75" customHeight="1">
      <c r="A14497" s="1">
        <v>15424.0</v>
      </c>
      <c r="B14497" s="3" t="s">
        <v>13798</v>
      </c>
      <c r="C14497" s="3" t="str">
        <f>IFERROR(__xludf.DUMMYFUNCTION("GOOGLETRANSLATE(B14497,""id"",""en"")"),"['Telkomsel', 'signal', 'strong', 'anywhere', 'location']")</f>
        <v>['Telkomsel', 'signal', 'strong', 'anywhere', 'location']</v>
      </c>
      <c r="D14497" s="3">
        <v>4.0</v>
      </c>
    </row>
    <row r="14498" ht="15.75" customHeight="1">
      <c r="A14498" s="1">
        <v>15425.0</v>
      </c>
      <c r="B14498" s="3" t="s">
        <v>13799</v>
      </c>
      <c r="C14498" s="3" t="str">
        <f>IFERROR(__xludf.DUMMYFUNCTION("GOOGLETRANSLATE(B14498,""id"",""en"")"),"['Enter', 'GMN', ""]")</f>
        <v>['Enter', 'GMN', "]</v>
      </c>
      <c r="D14498" s="3">
        <v>1.0</v>
      </c>
    </row>
    <row r="14499" ht="15.75" customHeight="1">
      <c r="A14499" s="1">
        <v>15426.0</v>
      </c>
      <c r="B14499" s="3" t="s">
        <v>3814</v>
      </c>
      <c r="C14499" s="3" t="str">
        <f>IFERROR(__xludf.DUMMYFUNCTION("GOOGLETRANSLATE(B14499,""id"",""en"")"),"['Application', 'MyTelkomsel', 'Good']")</f>
        <v>['Application', 'MyTelkomsel', 'Good']</v>
      </c>
      <c r="D14499" s="3">
        <v>5.0</v>
      </c>
    </row>
    <row r="14500" ht="15.75" customHeight="1">
      <c r="A14500" s="1">
        <v>15427.0</v>
      </c>
      <c r="B14500" s="3" t="s">
        <v>1367</v>
      </c>
      <c r="C14500" s="3" t="str">
        <f>IFERROR(__xludf.DUMMYFUNCTION("GOOGLETRANSLATE(B14500,""id"",""en"")"),"['good']")</f>
        <v>['good']</v>
      </c>
      <c r="D14500" s="3">
        <v>5.0</v>
      </c>
    </row>
    <row r="14501" ht="15.75" customHeight="1">
      <c r="A14501" s="1">
        <v>15428.0</v>
      </c>
      <c r="B14501" s="3" t="s">
        <v>13800</v>
      </c>
      <c r="C14501" s="3" t="str">
        <f>IFERROR(__xludf.DUMMYFUNCTION("GOOGLETRANSLATE(B14501,""id"",""en"")"),"['sympathy', 'network', 'melted', 'then', 'Mending', 'Pkei', 'card', 'next door']")</f>
        <v>['sympathy', 'network', 'melted', 'then', 'Mending', 'Pkei', 'card', 'next door']</v>
      </c>
      <c r="D14501" s="3">
        <v>1.0</v>
      </c>
    </row>
    <row r="14502" ht="15.75" customHeight="1">
      <c r="A14502" s="1">
        <v>15429.0</v>
      </c>
      <c r="B14502" s="3" t="s">
        <v>13801</v>
      </c>
      <c r="C14502" s="3" t="str">
        <f>IFERROR(__xludf.DUMMYFUNCTION("GOOGLETRANSLATE(B14502,""id"",""en"")"),"['Steady', 'really', 'Addin', 'quota', 'free', 'APK']")</f>
        <v>['Steady', 'really', 'Addin', 'quota', 'free', 'APK']</v>
      </c>
      <c r="D14502" s="3">
        <v>3.0</v>
      </c>
    </row>
    <row r="14503" ht="15.75" customHeight="1">
      <c r="A14503" s="1">
        <v>15430.0</v>
      </c>
      <c r="B14503" s="3" t="s">
        <v>13802</v>
      </c>
      <c r="C14503" s="3" t="str">
        <f>IFERROR(__xludf.DUMMYFUNCTION("GOOGLETRANSLATE(B14503,""id"",""en"")"),"['ping it', 'good', 'play', 'game']")</f>
        <v>['ping it', 'good', 'play', 'game']</v>
      </c>
      <c r="D14503" s="3">
        <v>5.0</v>
      </c>
    </row>
    <row r="14504" ht="15.75" customHeight="1">
      <c r="A14504" s="1">
        <v>15431.0</v>
      </c>
      <c r="B14504" s="3" t="s">
        <v>13803</v>
      </c>
      <c r="C14504" s="3" t="str">
        <f>IFERROR(__xludf.DUMMYFUNCTION("GOOGLETRANSLATE(B14504,""id"",""en"")"),"['Credit', 'Cutting', 'Notice', 'Try', 'Chat', 'Telkomsel', 'Veronika']")</f>
        <v>['Credit', 'Cutting', 'Notice', 'Try', 'Chat', 'Telkomsel', 'Veronika']</v>
      </c>
      <c r="D14504" s="3">
        <v>1.0</v>
      </c>
    </row>
    <row r="14505" ht="15.75" customHeight="1">
      <c r="A14505" s="1">
        <v>15432.0</v>
      </c>
      <c r="B14505" s="3" t="s">
        <v>13804</v>
      </c>
      <c r="C14505" s="3" t="str">
        <f>IFERROR(__xludf.DUMMYFUNCTION("GOOGLETRANSLATE(B14505,""id"",""en"")"),"['Telkomsel', 'ugly', 'signal', 'slow', 'really', 'play', 'connected', 'reset', 'then', 'feeling', 'signal', 'slow', ' Please, 'Fix', '']")</f>
        <v>['Telkomsel', 'ugly', 'signal', 'slow', 'really', 'play', 'connected', 'reset', 'then', 'feeling', 'signal', 'slow', ' Please, 'Fix', '']</v>
      </c>
      <c r="D14505" s="3">
        <v>1.0</v>
      </c>
    </row>
    <row r="14506" ht="15.75" customHeight="1">
      <c r="A14506" s="1">
        <v>15433.0</v>
      </c>
      <c r="B14506" s="3" t="s">
        <v>13805</v>
      </c>
      <c r="C14506" s="3" t="str">
        <f>IFERROR(__xludf.DUMMYFUNCTION("GOOGLETRANSLATE(B14506,""id"",""en"")"),"['Good', 'MyTelkomsel', 'buy', 'quota', 'TPI', 'already', 'weekly', 'application', 'open', 'blank', 'screen', 'white', ' Please, 'Fix', '']")</f>
        <v>['Good', 'MyTelkomsel', 'buy', 'quota', 'TPI', 'already', 'weekly', 'application', 'open', 'blank', 'screen', 'white', ' Please, 'Fix', '']</v>
      </c>
      <c r="D14506" s="3">
        <v>2.0</v>
      </c>
    </row>
    <row r="14507" ht="15.75" customHeight="1">
      <c r="A14507" s="1">
        <v>15434.0</v>
      </c>
      <c r="B14507" s="3" t="s">
        <v>13806</v>
      </c>
      <c r="C14507" s="3" t="str">
        <f>IFERROR(__xludf.DUMMYFUNCTION("GOOGLETRANSLATE(B14507,""id"",""en"")"),"['Sis', 'enter', 'application', 'Telkomsel', 'please', 'repaired', 'buy', 'quota', ""]")</f>
        <v>['Sis', 'enter', 'application', 'Telkomsel', 'please', 'repaired', 'buy', 'quota', "]</v>
      </c>
      <c r="D14507" s="3">
        <v>1.0</v>
      </c>
    </row>
    <row r="14508" ht="15.75" customHeight="1">
      <c r="A14508" s="1">
        <v>15435.0</v>
      </c>
      <c r="B14508" s="3" t="s">
        <v>592</v>
      </c>
      <c r="C14508" s="3" t="str">
        <f>IFERROR(__xludf.DUMMYFUNCTION("GOOGLETRANSLATE(B14508,""id"",""en"")"),"['Telkomsel']")</f>
        <v>['Telkomsel']</v>
      </c>
      <c r="D14508" s="3">
        <v>5.0</v>
      </c>
    </row>
    <row r="14509" ht="15.75" customHeight="1">
      <c r="A14509" s="1">
        <v>15436.0</v>
      </c>
      <c r="B14509" s="3" t="s">
        <v>13807</v>
      </c>
      <c r="C14509" s="3" t="str">
        <f>IFERROR(__xludf.DUMMYFUNCTION("GOOGLETRANSLATE(B14509,""id"",""en"")"),"['Telkomsel', 'The', 'Best', 'Forever', 'Quality', 'Best']")</f>
        <v>['Telkomsel', 'The', 'Best', 'Forever', 'Quality', 'Best']</v>
      </c>
      <c r="D14509" s="3">
        <v>5.0</v>
      </c>
    </row>
    <row r="14510" ht="15.75" customHeight="1">
      <c r="A14510" s="1">
        <v>15437.0</v>
      </c>
      <c r="B14510" s="3" t="s">
        <v>13808</v>
      </c>
      <c r="C14510" s="3" t="str">
        <f>IFERROR(__xludf.DUMMYFUNCTION("GOOGLETRANSLATE(B14510,""id"",""en"")"),"['Update', 'Open', 'Hanta', 'White', 'Screen', 'Disappointed', 'Very', '']")</f>
        <v>['Update', 'Open', 'Hanta', 'White', 'Screen', 'Disappointed', 'Very', '']</v>
      </c>
      <c r="D14510" s="3">
        <v>5.0</v>
      </c>
    </row>
    <row r="14511" ht="15.75" customHeight="1">
      <c r="A14511" s="1">
        <v>15438.0</v>
      </c>
      <c r="B14511" s="3" t="s">
        <v>13809</v>
      </c>
      <c r="C14511" s="3" t="str">
        <f>IFERROR(__xludf.DUMMYFUNCTION("GOOGLETRANSLATE(B14511,""id"",""en"")"),"['Good', 'Application', 'Sometimes', 'Logout', 'then', 'Update', ""]")</f>
        <v>['Good', 'Application', 'Sometimes', 'Logout', 'then', 'Update', "]</v>
      </c>
      <c r="D14511" s="3">
        <v>4.0</v>
      </c>
    </row>
    <row r="14512" ht="15.75" customHeight="1">
      <c r="A14512" s="1">
        <v>15439.0</v>
      </c>
      <c r="B14512" s="3" t="s">
        <v>13810</v>
      </c>
      <c r="C14512" s="3" t="str">
        <f>IFERROR(__xludf.DUMMYFUNCTION("GOOGLETRANSLATE(B14512,""id"",""en"")"),"['game', 'good', 'loss',' download ',' graphics', 'class',' camera ',' MP ',' play ',' thank ',' love ',' game ',' Honey ',' MyTelkomsel ',' ']")</f>
        <v>['game', 'good', 'loss',' download ',' graphics', 'class',' camera ',' MP ',' play ',' thank ',' love ',' game ',' Honey ',' MyTelkomsel ',' ']</v>
      </c>
      <c r="D14512" s="3">
        <v>2.0</v>
      </c>
    </row>
    <row r="14513" ht="15.75" customHeight="1">
      <c r="A14513" s="1">
        <v>15440.0</v>
      </c>
      <c r="B14513" s="3" t="s">
        <v>13811</v>
      </c>
      <c r="C14513" s="3" t="str">
        <f>IFERROR(__xludf.DUMMYFUNCTION("GOOGLETRANSLATE(B14513,""id"",""en"")"),"['enter', 'Telkomsel', 'difficult']")</f>
        <v>['enter', 'Telkomsel', 'difficult']</v>
      </c>
      <c r="D14513" s="3">
        <v>1.0</v>
      </c>
    </row>
    <row r="14514" ht="15.75" customHeight="1">
      <c r="A14514" s="1">
        <v>15441.0</v>
      </c>
      <c r="B14514" s="3" t="s">
        <v>13812</v>
      </c>
      <c r="C14514" s="3" t="str">
        <f>IFERROR(__xludf.DUMMYFUNCTION("GOOGLETRANSLATE(B14514,""id"",""en"")"),"['Satisfied', 'use', 'MyTelkomsel', 'darling', 'application', 'Nga', 'open', 'update', 'eeh', 'nga', 'open', 'try', ' Uninstall ',' Download ']")</f>
        <v>['Satisfied', 'use', 'MyTelkomsel', 'darling', 'application', 'Nga', 'open', 'update', 'eeh', 'nga', 'open', 'try', ' Uninstall ',' Download ']</v>
      </c>
      <c r="D14514" s="3">
        <v>3.0</v>
      </c>
    </row>
    <row r="14515" ht="15.75" customHeight="1">
      <c r="A14515" s="1">
        <v>15442.0</v>
      </c>
      <c r="B14515" s="3" t="s">
        <v>13813</v>
      </c>
      <c r="C14515" s="3" t="str">
        <f>IFERROR(__xludf.DUMMYFUNCTION("GOOGLETRANSLATE(B14515,""id"",""en"")"),"['Good', 'lag', 'please', 'kouta', 'main', 'musicmax', 'plus', 'use', 'in the future', 'user', 'subscribe', ""]")</f>
        <v>['Good', 'lag', 'please', 'kouta', 'main', 'musicmax', 'plus', 'use', 'in the future', 'user', 'subscribe', "]</v>
      </c>
      <c r="D14515" s="3">
        <v>4.0</v>
      </c>
    </row>
    <row r="14516" ht="15.75" customHeight="1">
      <c r="A14516" s="1">
        <v>15443.0</v>
      </c>
      <c r="B14516" s="3" t="s">
        <v>13814</v>
      </c>
      <c r="C14516" s="3" t="str">
        <f>IFERROR(__xludf.DUMMYFUNCTION("GOOGLETRANSLATE(B14516,""id"",""en"")"),"['The', 'Best', 'Telkomsel', 'save', 'money', 'signal', 'smooth', 'smooth', 'PKE', 'Fanny', 'delay', 'beuh', ' Hungry ',' Telkomsel ',' The ',' Best ',' Love ',' You ',' Telkom ', ""]")</f>
        <v>['The', 'Best', 'Telkomsel', 'save', 'money', 'signal', 'smooth', 'smooth', 'PKE', 'Fanny', 'delay', 'beuh', ' Hungry ',' Telkomsel ',' The ',' Best ',' Love ',' You ',' Telkom ', "]</v>
      </c>
      <c r="D14516" s="3">
        <v>5.0</v>
      </c>
    </row>
    <row r="14517" ht="15.75" customHeight="1">
      <c r="A14517" s="1">
        <v>15444.0</v>
      </c>
      <c r="B14517" s="3" t="s">
        <v>13815</v>
      </c>
      <c r="C14517" s="3" t="str">
        <f>IFERROR(__xludf.DUMMYFUNCTION("GOOGLETRANSLATE(B14517,""id"",""en"")"),"['smooth', 'Abis', 'update', 'opened', 'please', 'replied']")</f>
        <v>['smooth', 'Abis', 'update', 'opened', 'please', 'replied']</v>
      </c>
      <c r="D14517" s="3">
        <v>1.0</v>
      </c>
    </row>
    <row r="14518" ht="15.75" customHeight="1">
      <c r="A14518" s="1">
        <v>15445.0</v>
      </c>
      <c r="B14518" s="3" t="s">
        <v>13816</v>
      </c>
      <c r="C14518" s="3" t="str">
        <f>IFERROR(__xludf.DUMMYFUNCTION("GOOGLETRANSLATE(B14518,""id"",""en"")"),"['Download', 'application', 'use', 'click', 'application', 'MyTelkomsel', 'appears',' screen ',' white ',' many ',' times', 'download', ' Delete ',' The application ',' used ',' solution ',' ']")</f>
        <v>['Download', 'application', 'use', 'click', 'application', 'MyTelkomsel', 'appears',' screen ',' white ',' many ',' times', 'download', ' Delete ',' The application ',' used ',' solution ',' ']</v>
      </c>
      <c r="D14518" s="3">
        <v>1.0</v>
      </c>
    </row>
    <row r="14519" ht="15.75" customHeight="1">
      <c r="A14519" s="1">
        <v>15446.0</v>
      </c>
      <c r="B14519" s="3" t="s">
        <v>13817</v>
      </c>
      <c r="C14519" s="3" t="str">
        <f>IFERROR(__xludf.DUMMYFUNCTION("GOOGLETRANSLATE(B14519,""id"",""en"")"),"['Hello', 'Telokomsel', 'App', 'Telkomsel', 'Open', 'See', 'Turitoutial', 'YouTub', 'Open', 'Please', 'Fix', 'App', ' like this']")</f>
        <v>['Hello', 'Telokomsel', 'App', 'Telkomsel', 'Open', 'See', 'Turitoutial', 'YouTub', 'Open', 'Please', 'Fix', 'App', ' like this']</v>
      </c>
      <c r="D14519" s="3">
        <v>2.0</v>
      </c>
    </row>
    <row r="14520" ht="15.75" customHeight="1">
      <c r="A14520" s="1">
        <v>15447.0</v>
      </c>
      <c r="B14520" s="3" t="s">
        <v>13818</v>
      </c>
      <c r="C14520" s="3" t="str">
        <f>IFERROR(__xludf.DUMMYFUNCTION("GOOGLETRANSLATE(B14520,""id"",""en"")"),"['', 'application', 'right', 'enter', 'white', 'trs', 'kluar', 'no']")</f>
        <v>['', 'application', 'right', 'enter', 'white', 'trs', 'kluar', 'no']</v>
      </c>
      <c r="D14520" s="3">
        <v>1.0</v>
      </c>
    </row>
    <row r="14521" ht="15.75" customHeight="1">
      <c r="A14521" s="1">
        <v>15448.0</v>
      </c>
      <c r="B14521" s="3" t="s">
        <v>13819</v>
      </c>
      <c r="C14521" s="3" t="str">
        <f>IFERROR(__xludf.DUMMYFUNCTION("GOOGLETRANSLATE(B14521,""id"",""en"")"),"['Please', 'Quality', 'Network', 'Unlimitid', 'Increase', 'Mksih', ""]")</f>
        <v>['Please', 'Quality', 'Network', 'Unlimitid', 'Increase', 'Mksih', "]</v>
      </c>
      <c r="D14521" s="3">
        <v>3.0</v>
      </c>
    </row>
    <row r="14522" ht="15.75" customHeight="1">
      <c r="A14522" s="1">
        <v>15449.0</v>
      </c>
      <c r="B14522" s="3" t="s">
        <v>13820</v>
      </c>
      <c r="C14522" s="3" t="str">
        <f>IFERROR(__xludf.DUMMYFUNCTION("GOOGLETRANSLATE(B14522,""id"",""en"")"),"['Wonder', 'Telkomsel', 'Koutaa', 'Monthly', 'GB', 'omitted', 'Confused', 'Choose', 'Koutaa', 'No "",' Very ',' Telkomsel ']")</f>
        <v>['Wonder', 'Telkomsel', 'Koutaa', 'Monthly', 'GB', 'omitted', 'Confused', 'Choose', 'Koutaa', 'No ",' Very ',' Telkomsel ']</v>
      </c>
      <c r="D14522" s="3">
        <v>2.0</v>
      </c>
    </row>
    <row r="14523" ht="15.75" customHeight="1">
      <c r="A14523" s="1">
        <v>15450.0</v>
      </c>
      <c r="B14523" s="3" t="s">
        <v>13821</v>
      </c>
      <c r="C14523" s="3" t="str">
        <f>IFERROR(__xludf.DUMMYFUNCTION("GOOGLETRANSLATE(B14523,""id"",""en"")"),"['why', 'stlah', 'update', 'open', 'the application']")</f>
        <v>['why', 'stlah', 'update', 'open', 'the application']</v>
      </c>
      <c r="D14523" s="3">
        <v>5.0</v>
      </c>
    </row>
    <row r="14524" ht="15.75" customHeight="1">
      <c r="A14524" s="1">
        <v>15451.0</v>
      </c>
      <c r="B14524" s="3" t="s">
        <v>2004</v>
      </c>
      <c r="C14524" s="3" t="str">
        <f>IFERROR(__xludf.DUMMYFUNCTION("GOOGLETRANSLATE(B14524,""id"",""en"")"),"['login']")</f>
        <v>['login']</v>
      </c>
      <c r="D14524" s="3">
        <v>1.0</v>
      </c>
    </row>
    <row r="14525" ht="15.75" customHeight="1">
      <c r="A14525" s="1">
        <v>15452.0</v>
      </c>
      <c r="B14525" s="3" t="s">
        <v>13822</v>
      </c>
      <c r="C14525" s="3" t="str">
        <f>IFERROR(__xludf.DUMMYFUNCTION("GOOGLETRANSLATE(B14525,""id"",""en"")"),"['', 'opened', 'yaaaaa', '']")</f>
        <v>['', 'opened', 'yaaaaa', '']</v>
      </c>
      <c r="D14525" s="3">
        <v>2.0</v>
      </c>
    </row>
    <row r="14526" ht="15.75" customHeight="1">
      <c r="A14526" s="1">
        <v>15453.0</v>
      </c>
      <c r="B14526" s="3" t="s">
        <v>13823</v>
      </c>
      <c r="C14526" s="3" t="str">
        <f>IFERROR(__xludf.DUMMYFUNCTION("GOOGLETRANSLATE(B14526,""id"",""en"")"),"['', 'update', 'screen', 'white', 'application', 'mah', '']")</f>
        <v>['', 'update', 'screen', 'white', 'application', 'mah', '']</v>
      </c>
      <c r="D14526" s="3">
        <v>5.0</v>
      </c>
    </row>
    <row r="14527" ht="15.75" customHeight="1">
      <c r="A14527" s="1">
        <v>15454.0</v>
      </c>
      <c r="B14527" s="3" t="s">
        <v>13824</v>
      </c>
      <c r="C14527" s="3" t="str">
        <f>IFERROR(__xludf.DUMMYFUNCTION("GOOGLETRANSLATE(B14527,""id"",""en"")"),"['Application', 'opened', 'check', 'pulse', 'kouta', 'etc.', 'gmn', 'restart', 'install', 'reset', 'tetep', 'opened', ' why', '']")</f>
        <v>['Application', 'opened', 'check', 'pulse', 'kouta', 'etc.', 'gmn', 'restart', 'install', 'reset', 'tetep', 'opened', ' why', '']</v>
      </c>
      <c r="D14527" s="3">
        <v>1.0</v>
      </c>
    </row>
    <row r="14528" ht="15.75" customHeight="1">
      <c r="A14528" s="1">
        <v>15455.0</v>
      </c>
      <c r="B14528" s="3" t="s">
        <v>13825</v>
      </c>
      <c r="C14528" s="3" t="str">
        <f>IFERROR(__xludf.DUMMYFUNCTION("GOOGLETRANSLATE(B14528,""id"",""en"")"),"['Telkomsel', 'anjggg', 'asuuu', 'price', 'expensive', 'TPI', 'tissue', 'slow', 'kyk', 'taiik', 'oath', 'bgtt', ' Telkomsel ',' original ',' slow ',' sequence ',' severe ',' bgtt ',' telkomsel ',' anjgg ',' pig ',' haram ',' bgstt ']")</f>
        <v>['Telkomsel', 'anjggg', 'asuuu', 'price', 'expensive', 'TPI', 'tissue', 'slow', 'kyk', 'taiik', 'oath', 'bgtt', ' Telkomsel ',' original ',' slow ',' sequence ',' severe ',' bgtt ',' telkomsel ',' anjgg ',' pig ',' haram ',' bgstt ']</v>
      </c>
      <c r="D14528" s="3">
        <v>1.0</v>
      </c>
    </row>
    <row r="14529" ht="15.75" customHeight="1">
      <c r="A14529" s="1">
        <v>15456.0</v>
      </c>
      <c r="B14529" s="3" t="s">
        <v>13826</v>
      </c>
      <c r="C14529" s="3" t="str">
        <f>IFERROR(__xludf.DUMMYFUNCTION("GOOGLETRANSLATE(B14529,""id"",""en"")"),"['staple', 'steady', 'boss', 'manyin', 'promo', 'boss', ""]")</f>
        <v>['staple', 'steady', 'boss', 'manyin', 'promo', 'boss', "]</v>
      </c>
      <c r="D14529" s="3">
        <v>5.0</v>
      </c>
    </row>
    <row r="14530" ht="15.75" customHeight="1">
      <c r="A14530" s="1">
        <v>15457.0</v>
      </c>
      <c r="B14530" s="3" t="s">
        <v>13827</v>
      </c>
      <c r="C14530" s="3" t="str">
        <f>IFERROR(__xludf.DUMMYFUNCTION("GOOGLETRANSLATE(B14530,""id"",""en"")"),"['Price', 'Network', 'Leet']")</f>
        <v>['Price', 'Network', 'Leet']</v>
      </c>
      <c r="D14530" s="3">
        <v>1.0</v>
      </c>
    </row>
    <row r="14531" ht="15.75" customHeight="1">
      <c r="A14531" s="1">
        <v>15458.0</v>
      </c>
      <c r="B14531" s="3" t="s">
        <v>13828</v>
      </c>
      <c r="C14531" s="3" t="str">
        <f>IFERROR(__xludf.DUMMYFUNCTION("GOOGLETRANSLATE(B14531,""id"",""en"")"),"['pig', 'Gga', 'APK']")</f>
        <v>['pig', 'Gga', 'APK']</v>
      </c>
      <c r="D14531" s="3">
        <v>5.0</v>
      </c>
    </row>
    <row r="14532" ht="15.75" customHeight="1">
      <c r="A14532" s="1">
        <v>15459.0</v>
      </c>
      <c r="B14532" s="3" t="s">
        <v>13829</v>
      </c>
      <c r="C14532" s="3" t="str">
        <f>IFERROR(__xludf.DUMMYFUNCTION("GOOGLETRANSLATE(B14532,""id"",""en"")"),"['Nggk', 'signal', 'emg', 'screen', 'white', 'nggk', 'look', ""]")</f>
        <v>['Nggk', 'signal', 'emg', 'screen', 'white', 'nggk', 'look', "]</v>
      </c>
      <c r="D14532" s="3">
        <v>1.0</v>
      </c>
    </row>
    <row r="14533" ht="15.75" customHeight="1">
      <c r="A14533" s="1">
        <v>15460.0</v>
      </c>
      <c r="B14533" s="3" t="s">
        <v>13830</v>
      </c>
      <c r="C14533" s="3" t="str">
        <f>IFERROR(__xludf.DUMMYFUNCTION("GOOGLETRANSLATE(B14533,""id"",""en"")"),"['The application', 'Nggk', 'Abis', 'Abis', 'Update', 'Nggk', 'Open', 'Kah', 'HP', 'The application', ""]")</f>
        <v>['The application', 'Nggk', 'Abis', 'Abis', 'Update', 'Nggk', 'Open', 'Kah', 'HP', 'The application', "]</v>
      </c>
      <c r="D14533" s="3">
        <v>1.0</v>
      </c>
    </row>
    <row r="14534" ht="15.75" customHeight="1">
      <c r="A14534" s="1">
        <v>15461.0</v>
      </c>
      <c r="B14534" s="3" t="s">
        <v>13831</v>
      </c>
      <c r="C14534" s="3" t="str">
        <f>IFERROR(__xludf.DUMMYFUNCTION("GOOGLETRANSLATE(B14534,""id"",""en"")"),"['Error', 'Dipake', 'Sables', 'White', 'all']")</f>
        <v>['Error', 'Dipake', 'Sables', 'White', 'all']</v>
      </c>
      <c r="D14534" s="3">
        <v>1.0</v>
      </c>
    </row>
    <row r="14535" ht="15.75" customHeight="1">
      <c r="A14535" s="1">
        <v>15462.0</v>
      </c>
      <c r="B14535" s="3" t="s">
        <v>13832</v>
      </c>
      <c r="C14535" s="3" t="str">
        <f>IFERROR(__xludf.DUMMYFUNCTION("GOOGLETRANSLATE(B14535,""id"",""en"")"),"['Telkomsel', 'connection', 'ugly', 'Kontl', 'card', 'defective', 'sell', 'child', 'pig']")</f>
        <v>['Telkomsel', 'connection', 'ugly', 'Kontl', 'card', 'defective', 'sell', 'child', 'pig']</v>
      </c>
      <c r="D14535" s="3">
        <v>1.0</v>
      </c>
    </row>
    <row r="14536" ht="15.75" customHeight="1">
      <c r="A14536" s="1">
        <v>15463.0</v>
      </c>
      <c r="B14536" s="3" t="s">
        <v>13833</v>
      </c>
      <c r="C14536" s="3" t="str">
        <f>IFERROR(__xludf.DUMMYFUNCTION("GOOGLETRANSLATE(B14536,""id"",""en"")"),"['application', 'good', 'buy', 'package', 'saving', 'cheap', 'mytelkomsel', '']")</f>
        <v>['application', 'good', 'buy', 'package', 'saving', 'cheap', 'mytelkomsel', '']</v>
      </c>
      <c r="D14536" s="3">
        <v>5.0</v>
      </c>
    </row>
    <row r="14537" ht="15.75" customHeight="1">
      <c r="A14537" s="1">
        <v>15464.0</v>
      </c>
      <c r="B14537" s="3" t="s">
        <v>13834</v>
      </c>
      <c r="C14537" s="3" t="str">
        <f>IFERROR(__xludf.DUMMYFUNCTION("GOOGLETRANSLATE(B14537,""id"",""en"")"),"['', 'Open', 'application', '']")</f>
        <v>['', 'Open', 'application', '']</v>
      </c>
      <c r="D14537" s="3">
        <v>5.0</v>
      </c>
    </row>
    <row r="14538" ht="15.75" customHeight="1">
      <c r="A14538" s="1">
        <v>15465.0</v>
      </c>
      <c r="B14538" s="3" t="s">
        <v>13835</v>
      </c>
      <c r="C14538" s="3" t="str">
        <f>IFERROR(__xludf.DUMMYFUNCTION("GOOGLETRANSLATE(B14538,""id"",""en"")"),"['enter', 'difficult', 'really']")</f>
        <v>['enter', 'difficult', 'really']</v>
      </c>
      <c r="D14538" s="3">
        <v>1.0</v>
      </c>
    </row>
    <row r="14539" ht="15.75" customHeight="1">
      <c r="A14539" s="1">
        <v>15467.0</v>
      </c>
      <c r="B14539" s="3" t="s">
        <v>4442</v>
      </c>
      <c r="C14539" s="3" t="str">
        <f>IFERROR(__xludf.DUMMYFUNCTION("GOOGLETRANSLATE(B14539,""id"",""en"")"),"['', 'Telkomsel', 'Good']")</f>
        <v>['', 'Telkomsel', 'Good']</v>
      </c>
      <c r="D14539" s="3">
        <v>2.0</v>
      </c>
    </row>
    <row r="14540" ht="15.75" customHeight="1">
      <c r="A14540" s="1">
        <v>15468.0</v>
      </c>
      <c r="B14540" s="3" t="s">
        <v>13836</v>
      </c>
      <c r="C14540" s="3" t="str">
        <f>IFERROR(__xludf.DUMMYFUNCTION("GOOGLETRANSLATE(B14540,""id"",""en"")"),"['Thanks', 'Ashih', 'Promo', 'Matap']")</f>
        <v>['Thanks', 'Ashih', 'Promo', 'Matap']</v>
      </c>
      <c r="D14540" s="3">
        <v>5.0</v>
      </c>
    </row>
    <row r="14541" ht="15.75" customHeight="1">
      <c r="A14541" s="1">
        <v>15470.0</v>
      </c>
      <c r="B14541" s="3" t="s">
        <v>13837</v>
      </c>
      <c r="C14541" s="3" t="str">
        <f>IFERROR(__xludf.DUMMYFUNCTION("GOOGLETRANSLATE(B14541,""id"",""en"")"),"['Cheap', 'Bangat', 'deh', '']")</f>
        <v>['Cheap', 'Bangat', 'deh', '']</v>
      </c>
      <c r="D14541" s="3">
        <v>4.0</v>
      </c>
    </row>
    <row r="14542" ht="15.75" customHeight="1">
      <c r="A14542" s="1">
        <v>15471.0</v>
      </c>
      <c r="B14542" s="3" t="s">
        <v>13838</v>
      </c>
      <c r="C14542" s="3" t="str">
        <f>IFERROR(__xludf.DUMMYFUNCTION("GOOGLETRANSLATE(B14542,""id"",""en"")"),"['Nnti', '']")</f>
        <v>['Nnti', '']</v>
      </c>
      <c r="D14542" s="3">
        <v>1.0</v>
      </c>
    </row>
    <row r="14543" ht="15.75" customHeight="1">
      <c r="A14543" s="1">
        <v>15472.0</v>
      </c>
      <c r="B14543" s="3" t="s">
        <v>13839</v>
      </c>
      <c r="C14543" s="3" t="str">
        <f>IFERROR(__xludf.DUMMYFUNCTION("GOOGLETRANSLATE(B14543,""id"",""en"")"),"['apk', 'Telkomsel', 'open', 'purchase', 'package', 'other', 'please', 'clarification', 'time', 'install', 'screen', 'bleng', ' White', '']")</f>
        <v>['apk', 'Telkomsel', 'open', 'purchase', 'package', 'other', 'please', 'clarification', 'time', 'install', 'screen', 'bleng', ' White', '']</v>
      </c>
      <c r="D14543" s="3">
        <v>5.0</v>
      </c>
    </row>
    <row r="14544" ht="15.75" customHeight="1">
      <c r="A14544" s="1">
        <v>15473.0</v>
      </c>
      <c r="B14544" s="3" t="s">
        <v>13840</v>
      </c>
      <c r="C14544" s="3" t="str">
        <f>IFERROR(__xludf.DUMMYFUNCTION("GOOGLETRANSLATE(B14544,""id"",""en"")"),"['update', 'apk', 'not', 'opened', 'stuck', 'screen', 'blank', '']")</f>
        <v>['update', 'apk', 'not', 'opened', 'stuck', 'screen', 'blank', '']</v>
      </c>
      <c r="D14544" s="3">
        <v>3.0</v>
      </c>
    </row>
    <row r="14545" ht="15.75" customHeight="1">
      <c r="A14545" s="1">
        <v>15474.0</v>
      </c>
      <c r="B14545" s="3" t="s">
        <v>13841</v>
      </c>
      <c r="C14545" s="3" t="str">
        <f>IFERROR(__xludf.DUMMYFUNCTION("GOOGLETRANSLATE(B14545,""id"",""en"")"),"['Telkomsel', 'emang', ""]")</f>
        <v>['Telkomsel', 'emang', "]</v>
      </c>
      <c r="D14545" s="3">
        <v>5.0</v>
      </c>
    </row>
    <row r="14546" ht="15.75" customHeight="1">
      <c r="A14546" s="1">
        <v>15475.0</v>
      </c>
      <c r="B14546" s="3" t="s">
        <v>13842</v>
      </c>
      <c r="C14546" s="3" t="str">
        <f>IFERROR(__xludf.DUMMYFUNCTION("GOOGLETRANSLATE(B14546,""id"",""en"")"),"['MyTelkomsel', 'Open', 'Disappointed', 'Very']")</f>
        <v>['MyTelkomsel', 'Open', 'Disappointed', 'Very']</v>
      </c>
      <c r="D14546" s="3">
        <v>1.0</v>
      </c>
    </row>
    <row r="14547" ht="15.75" customHeight="1">
      <c r="A14547" s="1">
        <v>15476.0</v>
      </c>
      <c r="B14547" s="3" t="s">
        <v>13843</v>
      </c>
      <c r="C14547" s="3" t="str">
        <f>IFERROR(__xludf.DUMMYFUNCTION("GOOGLETRANSLATE(B14547,""id"",""en"")"),"['Steady', 'staple']")</f>
        <v>['Steady', 'staple']</v>
      </c>
      <c r="D14547" s="3">
        <v>5.0</v>
      </c>
    </row>
    <row r="14548" ht="15.75" customHeight="1">
      <c r="A14548" s="1">
        <v>15477.0</v>
      </c>
      <c r="B14548" s="3" t="s">
        <v>13844</v>
      </c>
      <c r="C14548" s="3" t="str">
        <f>IFERROR(__xludf.DUMMYFUNCTION("GOOGLETRANSLATE(B14548,""id"",""en"")"),"['Signal', 'Telkomsel', 'Severe']")</f>
        <v>['Signal', 'Telkomsel', 'Severe']</v>
      </c>
      <c r="D14548" s="3">
        <v>1.0</v>
      </c>
    </row>
    <row r="14549" ht="15.75" customHeight="1">
      <c r="A14549" s="1">
        <v>15478.0</v>
      </c>
      <c r="B14549" s="3" t="s">
        <v>5296</v>
      </c>
      <c r="C14549" s="3" t="str">
        <f>IFERROR(__xludf.DUMMYFUNCTION("GOOGLETRANSLATE(B14549,""id"",""en"")"),"['signal', 'down']")</f>
        <v>['signal', 'down']</v>
      </c>
      <c r="D14549" s="3">
        <v>1.0</v>
      </c>
    </row>
    <row r="14550" ht="15.75" customHeight="1">
      <c r="A14550" s="1">
        <v>15479.0</v>
      </c>
      <c r="B14550" s="3" t="s">
        <v>13845</v>
      </c>
      <c r="C14550" s="3" t="str">
        <f>IFERROR(__xludf.DUMMYFUNCTION("GOOGLETRANSLATE(B14550,""id"",""en"")"),"['Figure', 'credit', 'Rp', 'Yakali', 'buy', 'rebu', 'buy', 'quota', 'gabisa', 'gajelas']")</f>
        <v>['Figure', 'credit', 'Rp', 'Yakali', 'buy', 'rebu', 'buy', 'quota', 'gabisa', 'gajelas']</v>
      </c>
      <c r="D14550" s="3">
        <v>1.0</v>
      </c>
    </row>
    <row r="14551" ht="15.75" customHeight="1">
      <c r="A14551" s="1">
        <v>15480.0</v>
      </c>
      <c r="B14551" s="3" t="s">
        <v>13846</v>
      </c>
      <c r="C14551" s="3" t="str">
        <f>IFERROR(__xludf.DUMMYFUNCTION("GOOGLETRANSLATE(B14551,""id"",""en"")"),"['blank', 'white', 'go']")</f>
        <v>['blank', 'white', 'go']</v>
      </c>
      <c r="D14551" s="3">
        <v>1.0</v>
      </c>
    </row>
    <row r="14552" ht="15.75" customHeight="1">
      <c r="A14552" s="1">
        <v>15481.0</v>
      </c>
      <c r="B14552" s="3" t="s">
        <v>13847</v>
      </c>
      <c r="C14552" s="3" t="str">
        <f>IFERROR(__xludf.DUMMYFUNCTION("GOOGLETRANSLATE(B14552,""id"",""en"")"),"['Use', 'Telkomsel', 'The', 'Best']")</f>
        <v>['Use', 'Telkomsel', 'The', 'Best']</v>
      </c>
      <c r="D14552" s="3">
        <v>5.0</v>
      </c>
    </row>
    <row r="14553" ht="15.75" customHeight="1">
      <c r="A14553" s="1">
        <v>15482.0</v>
      </c>
      <c r="B14553" s="3" t="s">
        <v>13848</v>
      </c>
      <c r="C14553" s="3" t="str">
        <f>IFERROR(__xludf.DUMMYFUNCTION("GOOGLETRANSLATE(B14553,""id"",""en"")"),"['', 'Telkomsel', 'open', 'Uninstall', 'open']")</f>
        <v>['', 'Telkomsel', 'open', 'Uninstall', 'open']</v>
      </c>
      <c r="D14553" s="3">
        <v>1.0</v>
      </c>
    </row>
    <row r="14554" ht="15.75" customHeight="1">
      <c r="A14554" s="1">
        <v>15483.0</v>
      </c>
      <c r="B14554" s="3" t="s">
        <v>13849</v>
      </c>
      <c r="C14554" s="3" t="str">
        <f>IFERROR(__xludf.DUMMYFUNCTION("GOOGLETRANSLATE(B14554,""id"",""en"")"),"['Steady', 'Hopefully', 'ALIIII', 'LOTES', 'Marriage', 'Child', 'Want', 'Car', 'Bring', 'Dedek', 'Ntar', 'No', ' Use ',' Motor ',' GPP ',' said ',' child ',' Telkomsel ', ""]")</f>
        <v>['Steady', 'Hopefully', 'ALIIII', 'LOTES', 'Marriage', 'Child', 'Want', 'Car', 'Bring', 'Dedek', 'Ntar', 'No', ' Use ',' Motor ',' GPP ',' said ',' child ',' Telkomsel ', "]</v>
      </c>
      <c r="D14554" s="3">
        <v>5.0</v>
      </c>
    </row>
    <row r="14555" ht="15.75" customHeight="1">
      <c r="A14555" s="1">
        <v>15484.0</v>
      </c>
      <c r="B14555" s="3" t="s">
        <v>13850</v>
      </c>
      <c r="C14555" s="3" t="str">
        <f>IFERROR(__xludf.DUMMYFUNCTION("GOOGLETRANSLATE(B14555,""id"",""en"")"),"['Good', 'varied', 'expensive', 'internet', 'mulmed', '']")</f>
        <v>['Good', 'varied', 'expensive', 'internet', 'mulmed', '']</v>
      </c>
      <c r="D14555" s="3">
        <v>5.0</v>
      </c>
    </row>
    <row r="14556" ht="15.75" customHeight="1">
      <c r="A14556" s="1">
        <v>15485.0</v>
      </c>
      <c r="B14556" s="3" t="s">
        <v>13851</v>
      </c>
      <c r="C14556" s="3" t="str">
        <f>IFERROR(__xludf.DUMMYFUNCTION("GOOGLETRANSLATE(B14556,""id"",""en"")"),"['Telkomsel', 'Network', 'destroyed', 'good', 'dipake', 'Telkomsel', 'please', 'hurt', 'heart', 'network', 'slow', 'kayak', ' Snails', 'better', 'discarded', 'bought']")</f>
        <v>['Telkomsel', 'Network', 'destroyed', 'good', 'dipake', 'Telkomsel', 'please', 'hurt', 'heart', 'network', 'slow', 'kayak', ' Snails', 'better', 'discarded', 'bought']</v>
      </c>
      <c r="D14556" s="3">
        <v>2.0</v>
      </c>
    </row>
    <row r="14557" ht="15.75" customHeight="1">
      <c r="A14557" s="1">
        <v>15486.0</v>
      </c>
      <c r="B14557" s="3" t="s">
        <v>13852</v>
      </c>
      <c r="C14557" s="3" t="str">
        <f>IFERROR(__xludf.DUMMYFUNCTION("GOOGLETRANSLATE(B14557,""id"",""en"")"),"['quota', 'main', 'quota', 'media', 'social', 'combined', 'quota', 'medsos', 'kalok', 'said', 'mah', 'boong']")</f>
        <v>['quota', 'main', 'quota', 'media', 'social', 'combined', 'quota', 'medsos', 'kalok', 'said', 'mah', 'boong']</v>
      </c>
      <c r="D14557" s="3">
        <v>1.0</v>
      </c>
    </row>
    <row r="14558" ht="15.75" customHeight="1">
      <c r="A14558" s="1">
        <v>15487.0</v>
      </c>
      <c r="B14558" s="3" t="s">
        <v>13853</v>
      </c>
      <c r="C14558" s="3" t="str">
        <f>IFERROR(__xludf.DUMMYFUNCTION("GOOGLETRANSLATE(B14558,""id"",""en"")"),"['Price', 'quota', 'expensive', 'promo', 'cheating']")</f>
        <v>['Price', 'quota', 'expensive', 'promo', 'cheating']</v>
      </c>
      <c r="D14558" s="3">
        <v>1.0</v>
      </c>
    </row>
    <row r="14559" ht="15.75" customHeight="1">
      <c r="A14559" s="1">
        <v>15488.0</v>
      </c>
      <c r="B14559" s="3" t="s">
        <v>13854</v>
      </c>
      <c r="C14559" s="3" t="str">
        <f>IFERROR(__xludf.DUMMYFUNCTION("GOOGLETRANSLATE(B14559,""id"",""en"")"),"['Hopefully', 'good', 'network', 'etc.']")</f>
        <v>['Hopefully', 'good', 'network', 'etc.']</v>
      </c>
      <c r="D14559" s="3">
        <v>1.0</v>
      </c>
    </row>
    <row r="14560" ht="15.75" customHeight="1">
      <c r="A14560" s="1">
        <v>15489.0</v>
      </c>
      <c r="B14560" s="3" t="s">
        <v>13855</v>
      </c>
      <c r="C14560" s="3" t="str">
        <f>IFERROR(__xludf.DUMMYFUNCTION("GOOGLETRANSLATE(B14560,""id"",""en"")"),"['makes it easier', 'fill out', 'reset', 'package', 'data']")</f>
        <v>['makes it easier', 'fill out', 'reset', 'package', 'data']</v>
      </c>
      <c r="D14560" s="3">
        <v>5.0</v>
      </c>
    </row>
    <row r="14561" ht="15.75" customHeight="1">
      <c r="A14561" s="1">
        <v>15490.0</v>
      </c>
      <c r="B14561" s="3" t="s">
        <v>13856</v>
      </c>
      <c r="C14561" s="3" t="str">
        <f>IFERROR(__xludf.DUMMYFUNCTION("GOOGLETRANSLATE(B14561,""id"",""en"")"),"['Sorry', 'Change', 'Star', 'Krna', 'Bebhrpa', 'APK', 'opened', 'smpe', 'Install', 'reset', 'Udh', 'contact', ' Instagram ',' checked ',' KTNY ',' KRNA ',' quota ',' Telkomsel ',' open ',' APK ',' HRUS ',' PKE ',' quota ',' Telkomsel ',' fill ' , 'Quota',"&amp;" 'Masi', 'Masi', 'opened', 'APK', 'GMN', 'Please', 'CPT', 'Micedin', 'HRGA', 'quota', 'expensive', ' Services', 'kyk', 'gini', 'open', 'mytelkomsel', 'lwt', 'browser', '']")</f>
        <v>['Sorry', 'Change', 'Star', 'Krna', 'Bebhrpa', 'APK', 'opened', 'smpe', 'Install', 'reset', 'Udh', 'contact', ' Instagram ',' checked ',' KTNY ',' KRNA ',' quota ',' Telkomsel ',' open ',' APK ',' HRUS ',' PKE ',' quota ',' Telkomsel ',' fill ' , 'Quota', 'Masi', 'Masi', 'opened', 'APK', 'GMN', 'Please', 'CPT', 'Micedin', 'HRGA', 'quota', 'expensive', ' Services', 'kyk', 'gini', 'open', 'mytelkomsel', 'lwt', 'browser', '']</v>
      </c>
      <c r="D14561" s="3">
        <v>1.0</v>
      </c>
    </row>
    <row r="14562" ht="15.75" customHeight="1">
      <c r="A14562" s="1">
        <v>15491.0</v>
      </c>
      <c r="B14562" s="3" t="s">
        <v>13857</v>
      </c>
      <c r="C14562" s="3" t="str">
        <f>IFERROR(__xludf.DUMMYFUNCTION("GOOGLETRANSLATE(B14562,""id"",""en"")"),"['application', 'open', 'application', 'blank', 'white', 'how', 'love', 'solution', 'search', 'employee', 'apprentice', ' expensive ',' ugly ',' signal ',' already ',' blank ',' white ',' pulse ',' replace ',' pulse ',' cave ',' take ',' noh ',' activated"&amp;" ' , 'Package', 'Data', 'Suck', 'Credit', 'Wonder', 'Try', 'Fix', 'System', 'Fix', 'Employee']")</f>
        <v>['application', 'open', 'application', 'blank', 'white', 'how', 'love', 'solution', 'search', 'employee', 'apprentice', ' expensive ',' ugly ',' signal ',' already ',' blank ',' white ',' pulse ',' replace ',' pulse ',' cave ',' take ',' noh ',' activated ' , 'Package', 'Data', 'Suck', 'Credit', 'Wonder', 'Try', 'Fix', 'System', 'Fix', 'Employee']</v>
      </c>
      <c r="D14562" s="3">
        <v>1.0</v>
      </c>
    </row>
    <row r="14563" ht="15.75" customHeight="1">
      <c r="A14563" s="1">
        <v>15492.0</v>
      </c>
      <c r="B14563" s="3" t="s">
        <v>13858</v>
      </c>
      <c r="C14563" s="3" t="str">
        <f>IFERROR(__xludf.DUMMYFUNCTION("GOOGLETRANSLATE(B14563,""id"",""en"")"),"['Upgrade', 'no', 'opened', '']")</f>
        <v>['Upgrade', 'no', 'opened', '']</v>
      </c>
      <c r="D14563" s="3">
        <v>4.0</v>
      </c>
    </row>
    <row r="14564" ht="15.75" customHeight="1">
      <c r="A14564" s="1">
        <v>15493.0</v>
      </c>
      <c r="B14564" s="3" t="s">
        <v>13859</v>
      </c>
      <c r="C14564" s="3" t="str">
        <f>IFERROR(__xludf.DUMMYFUNCTION("GOOGLETRANSLATE(B14564,""id"",""en"")"),"['Paketan', 'expensive', 'special', 'driver', 'Tuker', 'Points', 'pulses', 'Hadeh', ""]")</f>
        <v>['Paketan', 'expensive', 'special', 'driver', 'Tuker', 'Points', 'pulses', 'Hadeh', "]</v>
      </c>
      <c r="D14564" s="3">
        <v>1.0</v>
      </c>
    </row>
    <row r="14565" ht="15.75" customHeight="1">
      <c r="A14565" s="1">
        <v>15494.0</v>
      </c>
      <c r="B14565" s="3" t="s">
        <v>13860</v>
      </c>
      <c r="C14565" s="3" t="str">
        <f>IFERROR(__xludf.DUMMYFUNCTION("GOOGLETRANSLATE(B14565,""id"",""en"")"),"['try', 'give', 'star', '']")</f>
        <v>['try', 'give', 'star', '']</v>
      </c>
      <c r="D14565" s="3">
        <v>1.0</v>
      </c>
    </row>
    <row r="14566" ht="15.75" customHeight="1">
      <c r="A14566" s="1">
        <v>15495.0</v>
      </c>
      <c r="B14566" s="3" t="s">
        <v>13861</v>
      </c>
      <c r="C14566" s="3" t="str">
        <f>IFERROR(__xludf.DUMMYFUNCTION("GOOGLETRANSLATE(B14566,""id"",""en"")"),"['Feature', 'Not bad', 'good', 'network', 'slow', 'that's',' Telkomsel ',' smooth ',' Where ',' condition ',' weather ',' anything ',' Current ',' Jaya ',' said ',' slow ',' please ',' fix ',' in the future ', ""]")</f>
        <v>['Feature', 'Not bad', 'good', 'network', 'slow', 'that's',' Telkomsel ',' smooth ',' Where ',' condition ',' weather ',' anything ',' Current ',' Jaya ',' said ',' slow ',' please ',' fix ',' in the future ', "]</v>
      </c>
      <c r="D14566" s="3">
        <v>4.0</v>
      </c>
    </row>
    <row r="14567" ht="15.75" customHeight="1">
      <c r="A14567" s="1">
        <v>15496.0</v>
      </c>
      <c r="B14567" s="3" t="s">
        <v>13862</v>
      </c>
      <c r="C14567" s="3" t="str">
        <f>IFERROR(__xludf.DUMMYFUNCTION("GOOGLETRANSLATE(B14567,""id"",""en"")"),"['Bug', 'open']")</f>
        <v>['Bug', 'open']</v>
      </c>
      <c r="D14567" s="3">
        <v>1.0</v>
      </c>
    </row>
    <row r="14568" ht="15.75" customHeight="1">
      <c r="A14568" s="1">
        <v>15497.0</v>
      </c>
      <c r="B14568" s="3" t="s">
        <v>13863</v>
      </c>
      <c r="C14568" s="3" t="str">
        <f>IFERROR(__xludf.DUMMYFUNCTION("GOOGLETRANSLATE(B14568,""id"",""en"")"),"['Telkomsel', 'Communication', 'Best']")</f>
        <v>['Telkomsel', 'Communication', 'Best']</v>
      </c>
      <c r="D14568" s="3">
        <v>5.0</v>
      </c>
    </row>
    <row r="14569" ht="15.75" customHeight="1">
      <c r="A14569" s="1">
        <v>15498.0</v>
      </c>
      <c r="B14569" s="3" t="s">
        <v>13864</v>
      </c>
      <c r="C14569" s="3" t="str">
        <f>IFERROR(__xludf.DUMMYFUNCTION("GOOGLETRANSLATE(B14569,""id"",""en"")"),"['Price', 'expensive', 'package', 'quota', 'national', 'most', 'quota', 'application']")</f>
        <v>['Price', 'expensive', 'package', 'quota', 'national', 'most', 'quota', 'application']</v>
      </c>
      <c r="D14569" s="3">
        <v>3.0</v>
      </c>
    </row>
    <row r="14570" ht="15.75" customHeight="1">
      <c r="A14570" s="1">
        <v>15499.0</v>
      </c>
      <c r="B14570" s="3" t="s">
        <v>13865</v>
      </c>
      <c r="C14570" s="3" t="str">
        <f>IFERROR(__xludf.DUMMYFUNCTION("GOOGLETRANSLATE(B14570,""id"",""en"")"),"['The application', 'open', 'gmna', 'buy', 'package', 'internet', 'already', 'delete', 'download', 'open', 'please', 'donk', ' GMna ',' thisiiiiii ']")</f>
        <v>['The application', 'open', 'gmna', 'buy', 'package', 'internet', 'already', 'delete', 'download', 'open', 'please', 'donk', ' GMna ',' thisiiiiii ']</v>
      </c>
      <c r="D14570" s="3">
        <v>1.0</v>
      </c>
    </row>
    <row r="14571" ht="15.75" customHeight="1">
      <c r="A14571" s="1">
        <v>15500.0</v>
      </c>
      <c r="B14571" s="3" t="s">
        <v>13866</v>
      </c>
      <c r="C14571" s="3" t="str">
        <f>IFERROR(__xludf.DUMMYFUNCTION("GOOGLETRANSLATE(B14571,""id"",""en"")"),"['', 'Telkomsel', 'means', 'menu', 'package', 'bought', '']")</f>
        <v>['', 'Telkomsel', 'means', 'menu', 'package', 'bought', '']</v>
      </c>
      <c r="D14571" s="3">
        <v>5.0</v>
      </c>
    </row>
    <row r="14572" ht="15.75" customHeight="1">
      <c r="A14572" s="1">
        <v>15501.0</v>
      </c>
      <c r="B14572" s="3" t="s">
        <v>13867</v>
      </c>
      <c r="C14572" s="3" t="str">
        <f>IFERROR(__xludf.DUMMYFUNCTION("GOOGLETRANSLATE(B14572,""id"",""en"")"),"['no', 'purchase', 'package', 'data', 'application', 'Telkomsel', 'pulse', 'card', 'active', 'list', 'package', 'status',' process', 'no', 'list', 'package', 'beg', 'repair', 'thanks']")</f>
        <v>['no', 'purchase', 'package', 'data', 'application', 'Telkomsel', 'pulse', 'card', 'active', 'list', 'package', 'status',' process', 'no', 'list', 'package', 'beg', 'repair', 'thanks']</v>
      </c>
      <c r="D14572" s="3">
        <v>3.0</v>
      </c>
    </row>
    <row r="14573" ht="15.75" customHeight="1">
      <c r="A14573" s="1">
        <v>15502.0</v>
      </c>
      <c r="B14573" s="3" t="s">
        <v>13868</v>
      </c>
      <c r="C14573" s="3" t="str">
        <f>IFERROR(__xludf.DUMMYFUNCTION("GOOGLETRANSLATE(B14573,""id"",""en"")"),"['pulse', 'use', 'data', 'sms', 'mode', 'fraud', 'Telkomsel', 'kah', '']")</f>
        <v>['pulse', 'use', 'data', 'sms', 'mode', 'fraud', 'Telkomsel', 'kah', '']</v>
      </c>
      <c r="D14573" s="3">
        <v>1.0</v>
      </c>
    </row>
    <row r="14574" ht="15.75" customHeight="1">
      <c r="A14574" s="1">
        <v>15503.0</v>
      </c>
      <c r="B14574" s="3" t="s">
        <v>13869</v>
      </c>
      <c r="C14574" s="3" t="str">
        <f>IFERROR(__xludf.DUMMYFUNCTION("GOOGLETRANSLATE(B14574,""id"",""en"")"),"['quality', 'useful', 'mandatory', 'recommended', 'because' download ',' so "", 'star', '']")</f>
        <v>['quality', 'useful', 'mandatory', 'recommended', 'because' download ',' so ", 'star', '']</v>
      </c>
      <c r="D14574" s="3">
        <v>3.0</v>
      </c>
    </row>
    <row r="14575" ht="15.75" customHeight="1">
      <c r="A14575" s="1">
        <v>15504.0</v>
      </c>
      <c r="B14575" s="3" t="s">
        <v>13870</v>
      </c>
      <c r="C14575" s="3" t="str">
        <f>IFERROR(__xludf.DUMMYFUNCTION("GOOGLETRANSLATE(B14575,""id"",""en"")"),"['Over', 'use', 'Telkomsel', 'Try', 'use', 'Application', 'Tuker', 'Point', 'DNG', 'Gift', 'Main', 'belongs',' fortune ',' me ', ""]")</f>
        <v>['Over', 'use', 'Telkomsel', 'Try', 'use', 'Application', 'Tuker', 'Point', 'DNG', 'Gift', 'Main', 'belongs',' fortune ',' me ', "]</v>
      </c>
      <c r="D14575" s="3">
        <v>4.0</v>
      </c>
    </row>
    <row r="14576" ht="15.75" customHeight="1">
      <c r="A14576" s="1">
        <v>15505.0</v>
      </c>
      <c r="B14576" s="3" t="s">
        <v>13871</v>
      </c>
      <c r="C14576" s="3" t="str">
        <f>IFERROR(__xludf.DUMMYFUNCTION("GOOGLETRANSLATE(B14576,""id"",""en"")"),"['Weeee', 'Telkomsel', 'just', 'Application', 'Open', 'Nipu', 'Consumer', 'Name', 'Donlot', 'Use', 'Money', 'Open', ' Use ',' Money ',' Tebukan ',' Open ',' Nipu ',' People ',' Tuuuuh ',' Rich ',' Kalin ',' Tipu ',' Inactencies']")</f>
        <v>['Weeee', 'Telkomsel', 'just', 'Application', 'Open', 'Nipu', 'Consumer', 'Name', 'Donlot', 'Use', 'Money', 'Open', ' Use ',' Money ',' Tebukan ',' Open ',' Nipu ',' People ',' Tuuuuh ',' Rich ',' Kalin ',' Tipu ',' Inactencies']</v>
      </c>
      <c r="D14576" s="3">
        <v>1.0</v>
      </c>
    </row>
    <row r="14577" ht="15.75" customHeight="1">
      <c r="A14577" s="1">
        <v>15506.0</v>
      </c>
      <c r="B14577" s="3" t="s">
        <v>13872</v>
      </c>
      <c r="C14577" s="3" t="str">
        <f>IFERROR(__xludf.DUMMYFUNCTION("GOOGLETRANSLATE(B14577,""id"",""en"")"),"['knpa', 'in', 'brp', 'hri', 'nda', 'open', 'application', 'telkomsel', 'application', 'protu', 'renewal', 'lbh', ' Bgus', '']")</f>
        <v>['knpa', 'in', 'brp', 'hri', 'nda', 'open', 'application', 'telkomsel', 'application', 'protu', 'renewal', 'lbh', ' Bgus', '']</v>
      </c>
      <c r="D14577" s="3">
        <v>2.0</v>
      </c>
    </row>
    <row r="14578" ht="15.75" customHeight="1">
      <c r="A14578" s="1">
        <v>15507.0</v>
      </c>
      <c r="B14578" s="3" t="s">
        <v>13873</v>
      </c>
      <c r="C14578" s="3" t="str">
        <f>IFERROR(__xludf.DUMMYFUNCTION("GOOGLETRANSLATE(B14578,""id"",""en"")"),"['How', 'opened']")</f>
        <v>['How', 'opened']</v>
      </c>
      <c r="D14578" s="3">
        <v>4.0</v>
      </c>
    </row>
    <row r="14579" ht="15.75" customHeight="1">
      <c r="A14579" s="1">
        <v>15508.0</v>
      </c>
      <c r="B14579" s="3" t="s">
        <v>13874</v>
      </c>
      <c r="C14579" s="3" t="str">
        <f>IFERROR(__xludf.DUMMYFUNCTION("GOOGLETRANSLATE(B14579,""id"",""en"")"),"['buy', 'quota', 'lapse', 'Instagram', 'right', 'open', 'Instagram', 'Cut', 'quota', 'regular', 'quota', 'lap', ' Instagram ',' Heeuuh ']")</f>
        <v>['buy', 'quota', 'lapse', 'Instagram', 'right', 'open', 'Instagram', 'Cut', 'quota', 'regular', 'quota', 'lap', ' Instagram ',' Heeuuh ']</v>
      </c>
      <c r="D14579" s="3">
        <v>1.0</v>
      </c>
    </row>
    <row r="14580" ht="15.75" customHeight="1">
      <c r="A14580" s="1">
        <v>15509.0</v>
      </c>
      <c r="B14580" s="3" t="s">
        <v>13875</v>
      </c>
      <c r="C14580" s="3" t="str">
        <f>IFERROR(__xludf.DUMMYFUNCTION("GOOGLETRANSLATE(B14580,""id"",""en"")"),"['reviewed', 'service', 'Telkomsel', 'Telkomsel', 'experience', 'setbacks',' significant ',' date ',' des', 'open', 'White', 'screen', ' appears', 'uninstall', 'many', 'times',' results', 'complain', 'complete', 'problem', 'resolved']")</f>
        <v>['reviewed', 'service', 'Telkomsel', 'Telkomsel', 'experience', 'setbacks',' significant ',' date ',' des', 'open', 'White', 'screen', ' appears', 'uninstall', 'many', 'times',' results', 'complain', 'complete', 'problem', 'resolved']</v>
      </c>
      <c r="D14580" s="3">
        <v>2.0</v>
      </c>
    </row>
    <row r="14581" ht="15.75" customHeight="1">
      <c r="A14581" s="1">
        <v>15510.0</v>
      </c>
      <c r="B14581" s="3" t="s">
        <v>13876</v>
      </c>
      <c r="C14581" s="3" t="str">
        <f>IFERROR(__xludf.DUMMYFUNCTION("GOOGLETRANSLATE(B14581,""id"",""en"")"),"['Costumer', 'servicenya', 'ugly', 'service']")</f>
        <v>['Costumer', 'servicenya', 'ugly', 'service']</v>
      </c>
      <c r="D14581" s="3">
        <v>1.0</v>
      </c>
    </row>
    <row r="14582" ht="15.75" customHeight="1">
      <c r="A14582" s="1">
        <v>15511.0</v>
      </c>
      <c r="B14582" s="3" t="s">
        <v>13877</v>
      </c>
      <c r="C14582" s="3" t="str">
        <f>IFERROR(__xludf.DUMMYFUNCTION("GOOGLETRANSLATE(B14582,""id"",""en"")"),"['bjsa', 'opened']")</f>
        <v>['bjsa', 'opened']</v>
      </c>
      <c r="D14582" s="3">
        <v>5.0</v>
      </c>
    </row>
    <row r="14583" ht="15.75" customHeight="1">
      <c r="A14583" s="1">
        <v>15512.0</v>
      </c>
      <c r="B14583" s="3" t="s">
        <v>13878</v>
      </c>
      <c r="C14583" s="3" t="str">
        <f>IFERROR(__xludf.DUMMYFUNCTION("GOOGLETRANSLATE(B14583,""id"",""en"")"),"['Sumpot', 'pulse', 'buy', 'RB', 'reduced', 'reduced', 'stay', 'Rupiah', 'use', 'buy', 'quota', 'fail']")</f>
        <v>['Sumpot', 'pulse', 'buy', 'RB', 'reduced', 'reduced', 'stay', 'Rupiah', 'use', 'buy', 'quota', 'fail']</v>
      </c>
      <c r="D14583" s="3">
        <v>1.0</v>
      </c>
    </row>
    <row r="14584" ht="15.75" customHeight="1">
      <c r="A14584" s="1">
        <v>15514.0</v>
      </c>
      <c r="B14584" s="3" t="s">
        <v>13879</v>
      </c>
      <c r="C14584" s="3" t="str">
        <f>IFERROR(__xludf.DUMMYFUNCTION("GOOGLETRANSLATE(B14584,""id"",""en"")"),"['Application', 'Cool', 'really', '']")</f>
        <v>['Application', 'Cool', 'really', '']</v>
      </c>
      <c r="D14584" s="3">
        <v>5.0</v>
      </c>
    </row>
    <row r="14585" ht="15.75" customHeight="1">
      <c r="A14585" s="1">
        <v>15515.0</v>
      </c>
      <c r="B14585" s="3" t="s">
        <v>13880</v>
      </c>
      <c r="C14585" s="3" t="str">
        <f>IFERROR(__xludf.DUMMYFUNCTION("GOOGLETRANSLATE(B14585,""id"",""en"")"),"['Uda', 'weekly', 'Telkomsel', 'login', 'screen', 'white', 'please', 'top', 'thank', 'love', ""]")</f>
        <v>['Uda', 'weekly', 'Telkomsel', 'login', 'screen', 'white', 'please', 'top', 'thank', 'love', "]</v>
      </c>
      <c r="D14585" s="3">
        <v>5.0</v>
      </c>
    </row>
    <row r="14586" ht="15.75" customHeight="1">
      <c r="A14586" s="1">
        <v>15516.0</v>
      </c>
      <c r="B14586" s="3" t="s">
        <v>13881</v>
      </c>
      <c r="C14586" s="3" t="str">
        <f>IFERROR(__xludf.DUMMYFUNCTION("GOOGLETRANSLATE(B14586,""id"",""en"")"),"['Application', 'Damaged', 'Tolo', '']")</f>
        <v>['Application', 'Damaged', 'Tolo', '']</v>
      </c>
      <c r="D14586" s="3">
        <v>1.0</v>
      </c>
    </row>
    <row r="14587" ht="15.75" customHeight="1">
      <c r="A14587" s="1">
        <v>15517.0</v>
      </c>
      <c r="B14587" s="3" t="s">
        <v>13882</v>
      </c>
      <c r="C14587" s="3" t="str">
        <f>IFERROR(__xludf.DUMMYFUNCTION("GOOGLETRANSLATE(B14587,""id"",""en"")"),"['entry', 'apk', 'times', 'update', 'application', 'whitescreen', 'times', 'open', '']")</f>
        <v>['entry', 'apk', 'times', 'update', 'application', 'whitescreen', 'times', 'open', '']</v>
      </c>
      <c r="D14587" s="3">
        <v>4.0</v>
      </c>
    </row>
    <row r="14588" ht="15.75" customHeight="1">
      <c r="A14588" s="1">
        <v>15518.0</v>
      </c>
      <c r="B14588" s="3" t="s">
        <v>13883</v>
      </c>
      <c r="C14588" s="3" t="str">
        <f>IFERROR(__xludf.DUMMYFUNCTION("GOOGLETRANSLATE(B14588,""id"",""en"")"),"['best', 'Telkomsel']")</f>
        <v>['best', 'Telkomsel']</v>
      </c>
      <c r="D14588" s="3">
        <v>5.0</v>
      </c>
    </row>
    <row r="14589" ht="15.75" customHeight="1">
      <c r="A14589" s="1">
        <v>15520.0</v>
      </c>
      <c r="B14589" s="3" t="s">
        <v>4207</v>
      </c>
      <c r="C14589" s="3" t="str">
        <f>IFERROR(__xludf.DUMMYFUNCTION("GOOGLETRANSLATE(B14589,""id"",""en"")"),"['Bgus']")</f>
        <v>['Bgus']</v>
      </c>
      <c r="D14589" s="3">
        <v>5.0</v>
      </c>
    </row>
    <row r="14590" ht="15.75" customHeight="1">
      <c r="A14590" s="1">
        <v>15521.0</v>
      </c>
      <c r="B14590" s="3" t="s">
        <v>13884</v>
      </c>
      <c r="C14590" s="3" t="str">
        <f>IFERROR(__xludf.DUMMYFUNCTION("GOOGLETRANSLATE(B14590,""id"",""en"")"),"['ugly', 'quality', 'Telkomsel']")</f>
        <v>['ugly', 'quality', 'Telkomsel']</v>
      </c>
      <c r="D14590" s="3">
        <v>2.0</v>
      </c>
    </row>
    <row r="14591" ht="15.75" customHeight="1">
      <c r="A14591" s="1">
        <v>15522.0</v>
      </c>
      <c r="B14591" s="3" t="s">
        <v>13885</v>
      </c>
      <c r="C14591" s="3" t="str">
        <f>IFERROR(__xludf.DUMMYFUNCTION("GOOGLETRANSLATE(B14591,""id"",""en"")"),"['', 'slow', 'update', 'login', 'application', 'ngeblank', 'taikkkk']")</f>
        <v>['', 'slow', 'update', 'login', 'application', 'ngeblank', 'taikkkk']</v>
      </c>
      <c r="D14591" s="3">
        <v>1.0</v>
      </c>
    </row>
    <row r="14592" ht="15.75" customHeight="1">
      <c r="A14592" s="1">
        <v>15523.0</v>
      </c>
      <c r="B14592" s="3" t="s">
        <v>13886</v>
      </c>
      <c r="C14592" s="3" t="str">
        <f>IFERROR(__xludf.DUMMYFUNCTION("GOOGLETRANSLATE(B14592,""id"",""en"")"),"['little', 'little', 'notif', 'access', 'internet', 'tariff', 'non', 'package', 'mulu', 'pdhl', 'package', 'internet']")</f>
        <v>['little', 'little', 'notif', 'access', 'internet', 'tariff', 'non', 'package', 'mulu', 'pdhl', 'package', 'internet']</v>
      </c>
      <c r="D14592" s="3">
        <v>3.0</v>
      </c>
    </row>
    <row r="14593" ht="15.75" customHeight="1">
      <c r="A14593" s="1">
        <v>15524.0</v>
      </c>
      <c r="B14593" s="3" t="s">
        <v>13887</v>
      </c>
      <c r="C14593" s="3" t="str">
        <f>IFERROR(__xludf.DUMMYFUNCTION("GOOGLETRANSLATE(B14593,""id"",""en"")"),"['Package', 'Data', 'expensive', 'network', 'chaotic', 'lost', 'missing', 'repair', 'Telkomsel']")</f>
        <v>['Package', 'Data', 'expensive', 'network', 'chaotic', 'lost', 'missing', 'repair', 'Telkomsel']</v>
      </c>
      <c r="D14593" s="3">
        <v>1.0</v>
      </c>
    </row>
    <row r="14594" ht="15.75" customHeight="1">
      <c r="A14594" s="1">
        <v>15525.0</v>
      </c>
      <c r="B14594" s="3" t="s">
        <v>13888</v>
      </c>
      <c r="C14594" s="3" t="str">
        <f>IFERROR(__xludf.DUMMYFUNCTION("GOOGLETRANSLATE(B14594,""id"",""en"")"),"['Seekuota', 'ngak', 'link', 'Telkomsel', 'ngak']")</f>
        <v>['Seekuota', 'ngak', 'link', 'Telkomsel', 'ngak']</v>
      </c>
      <c r="D14594" s="3">
        <v>5.0</v>
      </c>
    </row>
    <row r="14595" ht="15.75" customHeight="1">
      <c r="A14595" s="1">
        <v>15526.0</v>
      </c>
      <c r="B14595" s="3" t="s">
        <v>13889</v>
      </c>
      <c r="C14595" s="3" t="str">
        <f>IFERROR(__xludf.DUMMYFUNCTION("GOOGLETRANSLATE(B14595,""id"",""en"")"),"['Addin', 'quota', 'telephone']")</f>
        <v>['Addin', 'quota', 'telephone']</v>
      </c>
      <c r="D14595" s="3">
        <v>2.0</v>
      </c>
    </row>
    <row r="14596" ht="15.75" customHeight="1">
      <c r="A14596" s="1">
        <v>15527.0</v>
      </c>
      <c r="B14596" s="3" t="s">
        <v>13890</v>
      </c>
      <c r="C14596" s="3" t="str">
        <f>IFERROR(__xludf.DUMMYFUNCTION("GOOGLETRANSLATE(B14596,""id"",""en"")"),"['Bnyak', 'experience', 'Open', 'APK', 'White', 'Doank']")</f>
        <v>['Bnyak', 'experience', 'Open', 'APK', 'White', 'Doank']</v>
      </c>
      <c r="D14596" s="3">
        <v>3.0</v>
      </c>
    </row>
    <row r="14597" ht="15.75" customHeight="1">
      <c r="A14597" s="1">
        <v>15529.0</v>
      </c>
      <c r="B14597" s="3" t="s">
        <v>13891</v>
      </c>
      <c r="C14597" s="3" t="str">
        <f>IFERROR(__xludf.DUMMYFUNCTION("GOOGLETRANSLATE(B14597,""id"",""en"")"),"['Use', 'Vivo', 'slow', '']")</f>
        <v>['Use', 'Vivo', 'slow', '']</v>
      </c>
      <c r="D14597" s="3">
        <v>1.0</v>
      </c>
    </row>
    <row r="14598" ht="15.75" customHeight="1">
      <c r="A14598" s="1">
        <v>15530.0</v>
      </c>
      <c r="B14598" s="3" t="s">
        <v>13892</v>
      </c>
      <c r="C14598" s="3" t="str">
        <f>IFERROR(__xludf.DUMMYFUNCTION("GOOGLETRANSLATE(B14598,""id"",""en"")"),"['bang', 'package', 'internet', 'telkom', 'nga', 'cheap']")</f>
        <v>['bang', 'package', 'internet', 'telkom', 'nga', 'cheap']</v>
      </c>
      <c r="D14598" s="3">
        <v>1.0</v>
      </c>
    </row>
    <row r="14599" ht="15.75" customHeight="1">
      <c r="A14599" s="1">
        <v>15531.0</v>
      </c>
      <c r="B14599" s="3" t="s">
        <v>13893</v>
      </c>
      <c r="C14599" s="3" t="str">
        <f>IFERROR(__xludf.DUMMYFUNCTION("GOOGLETRANSLATE(B14599,""id"",""en"")"),"['Alhamdulillah', 'price', 'Kouta', 'Not bad', 'cheap']")</f>
        <v>['Alhamdulillah', 'price', 'Kouta', 'Not bad', 'cheap']</v>
      </c>
      <c r="D14599" s="3">
        <v>5.0</v>
      </c>
    </row>
    <row r="14600" ht="15.75" customHeight="1">
      <c r="A14600" s="1">
        <v>15532.0</v>
      </c>
      <c r="B14600" s="3" t="s">
        <v>13894</v>
      </c>
      <c r="C14600" s="3" t="str">
        <f>IFERROR(__xludf.DUMMYFUNCTION("GOOGLETRANSLATE(B14600,""id"",""en"")"),"['Parahhhhh', 'Open']")</f>
        <v>['Parahhhhh', 'Open']</v>
      </c>
      <c r="D14600" s="3">
        <v>1.0</v>
      </c>
    </row>
    <row r="14601" ht="15.75" customHeight="1">
      <c r="A14601" s="1">
        <v>15533.0</v>
      </c>
      <c r="B14601" s="3" t="s">
        <v>13895</v>
      </c>
      <c r="C14601" s="3" t="str">
        <f>IFERROR(__xludf.DUMMYFUNCTION("GOOGLETRANSLATE(B14601,""id"",""en"")"),"['Severe', 'App', 'Difficult', 'Open', '']")</f>
        <v>['Severe', 'App', 'Difficult', 'Open', '']</v>
      </c>
      <c r="D14601" s="3">
        <v>1.0</v>
      </c>
    </row>
    <row r="14602" ht="15.75" customHeight="1">
      <c r="A14602" s="1">
        <v>15534.0</v>
      </c>
      <c r="B14602" s="3" t="s">
        <v>13896</v>
      </c>
      <c r="C14602" s="3" t="str">
        <f>IFERROR(__xludf.DUMMYFUNCTION("GOOGLETRANSLATE(B14602,""id"",""en"")"),"['already', 'App', 'opened', 'Please', 'enlightenment']")</f>
        <v>['already', 'App', 'opened', 'Please', 'enlightenment']</v>
      </c>
      <c r="D14602" s="3">
        <v>5.0</v>
      </c>
    </row>
    <row r="14603" ht="15.75" customHeight="1">
      <c r="A14603" s="1">
        <v>15535.0</v>
      </c>
      <c r="B14603" s="3" t="s">
        <v>13897</v>
      </c>
      <c r="C14603" s="3" t="str">
        <f>IFERROR(__xludf.DUMMYFUNCTION("GOOGLETRANSLATE(B14603,""id"",""en"")"),"['Reinforce', 'Delete', 'Install', 'reset', 'Telkomsel', 'Open', 'Ribet', 'Layan', 'Telkomsel', 'Disappointed', 'Poor', 'Service', ' Telkomsel ',' complaints', 'consumers',' repairs', 'pay', 'service', ""]")</f>
        <v>['Reinforce', 'Delete', 'Install', 'reset', 'Telkomsel', 'Open', 'Ribet', 'Layan', 'Telkomsel', 'Disappointed', 'Poor', 'Service', ' Telkomsel ',' complaints', 'consumers',' repairs', 'pay', 'service', "]</v>
      </c>
      <c r="D14603" s="3">
        <v>1.0</v>
      </c>
    </row>
    <row r="14604" ht="15.75" customHeight="1">
      <c r="A14604" s="1">
        <v>15536.0</v>
      </c>
      <c r="B14604" s="3" t="s">
        <v>13898</v>
      </c>
      <c r="C14604" s="3" t="str">
        <f>IFERROR(__xludf.DUMMYFUNCTION("GOOGLETRANSLATE(B14604,""id"",""en"")"),"['Comfortable', 'bet']")</f>
        <v>['Comfortable', 'bet']</v>
      </c>
      <c r="D14604" s="3">
        <v>5.0</v>
      </c>
    </row>
    <row r="14605" ht="15.75" customHeight="1">
      <c r="A14605" s="1">
        <v>15537.0</v>
      </c>
      <c r="B14605" s="3" t="s">
        <v>13899</v>
      </c>
      <c r="C14605" s="3" t="str">
        <f>IFERROR(__xludf.DUMMYFUNCTION("GOOGLETRANSLATE(B14605,""id"",""en"")"),"['Good', 'Package', 'Unlimited', '']")</f>
        <v>['Good', 'Package', 'Unlimited', '']</v>
      </c>
      <c r="D14605" s="3">
        <v>3.0</v>
      </c>
    </row>
    <row r="14606" ht="15.75" customHeight="1">
      <c r="A14606" s="1">
        <v>15538.0</v>
      </c>
      <c r="B14606" s="3" t="s">
        <v>13900</v>
      </c>
      <c r="C14606" s="3" t="str">
        <f>IFERROR(__xludf.DUMMYFUNCTION("GOOGLETRANSLATE(B14606,""id"",""en"")"),"['Telkomsel', 'help', 'signal', ""]")</f>
        <v>['Telkomsel', 'help', 'signal', "]</v>
      </c>
      <c r="D14606" s="3">
        <v>5.0</v>
      </c>
    </row>
    <row r="14607" ht="15.75" customHeight="1">
      <c r="A14607" s="1">
        <v>15539.0</v>
      </c>
      <c r="B14607" s="3" t="s">
        <v>13901</v>
      </c>
      <c r="C14607" s="3" t="str">
        <f>IFERROR(__xludf.DUMMYFUNCTION("GOOGLETRANSLATE(B14607,""id"",""en"")"),"['blank', 'white', 'then', 'action', 'silent', 'company', 'BUMN', 'application', 'error', 'rich', 'gini', 'left', ' take ',' profit ',' attached to ',' customer ',' moved ',' provider ',' alsoaa ',' rich ',' gini ']")</f>
        <v>['blank', 'white', 'then', 'action', 'silent', 'company', 'BUMN', 'application', 'error', 'rich', 'gini', 'left', ' take ',' profit ',' attached to ',' customer ',' moved ',' provider ',' alsoaa ',' rich ',' gini ']</v>
      </c>
      <c r="D14607" s="3">
        <v>1.0</v>
      </c>
    </row>
    <row r="14608" ht="15.75" customHeight="1">
      <c r="A14608" s="1">
        <v>15540.0</v>
      </c>
      <c r="B14608" s="3" t="s">
        <v>13902</v>
      </c>
      <c r="C14608" s="3" t="str">
        <f>IFERROR(__xludf.DUMMYFUNCTION("GOOGLETRANSLATE(B14608,""id"",""en"")"),"['bonus', 'unlimited', 'youtube', 'purchase', 'package', 'internet', '']")</f>
        <v>['bonus', 'unlimited', 'youtube', 'purchase', 'package', 'internet', '']</v>
      </c>
      <c r="D14608" s="3">
        <v>5.0</v>
      </c>
    </row>
    <row r="14609" ht="15.75" customHeight="1">
      <c r="A14609" s="1">
        <v>15541.0</v>
      </c>
      <c r="B14609" s="3" t="s">
        <v>13903</v>
      </c>
      <c r="C14609" s="3" t="str">
        <f>IFERROR(__xludf.DUMMYFUNCTION("GOOGLETRANSLATE(B14609,""id"",""en"")"),"['Telkomsel', 'steady', 'pokonya', 'success', 'then']")</f>
        <v>['Telkomsel', 'steady', 'pokonya', 'success', 'then']</v>
      </c>
      <c r="D14609" s="3">
        <v>5.0</v>
      </c>
    </row>
    <row r="14610" ht="15.75" customHeight="1">
      <c r="A14610" s="1">
        <v>15542.0</v>
      </c>
      <c r="B14610" s="3" t="s">
        <v>13904</v>
      </c>
      <c r="C14610" s="3" t="str">
        <f>IFERROR(__xludf.DUMMYFUNCTION("GOOGLETRANSLATE(B14610,""id"",""en"")"),"['area', 'suburbs', 'sea', 'Seruwai', 'access', 'internet', 'data', 'Telkomsel', '']")</f>
        <v>['area', 'suburbs', 'sea', 'Seruwai', 'access', 'internet', 'data', 'Telkomsel', '']</v>
      </c>
      <c r="D14610" s="3">
        <v>5.0</v>
      </c>
    </row>
    <row r="14611" ht="15.75" customHeight="1">
      <c r="A14611" s="1">
        <v>15543.0</v>
      </c>
      <c r="B14611" s="3" t="s">
        <v>13905</v>
      </c>
      <c r="C14611" s="3" t="str">
        <f>IFERROR(__xludf.DUMMYFUNCTION("GOOGLETRANSLATE(B14611,""id"",""en"")"),"['Kirain', 'the application', 'opened', 'please', 'donk', 'the developer', 'noticed', 'obstacles', 'the application']")</f>
        <v>['Kirain', 'the application', 'opened', 'please', 'donk', 'the developer', 'noticed', 'obstacles', 'the application']</v>
      </c>
      <c r="D14611" s="3">
        <v>1.0</v>
      </c>
    </row>
    <row r="14612" ht="15.75" customHeight="1">
      <c r="A14612" s="1">
        <v>15544.0</v>
      </c>
      <c r="B14612" s="3" t="s">
        <v>13906</v>
      </c>
      <c r="C14612" s="3" t="str">
        <f>IFERROR(__xludf.DUMMYFUNCTION("GOOGLETRANSLATE(B14612,""id"",""en"")"),"['Make', 'Quality', 'Application']")</f>
        <v>['Make', 'Quality', 'Application']</v>
      </c>
      <c r="D14612" s="3">
        <v>5.0</v>
      </c>
    </row>
    <row r="14613" ht="15.75" customHeight="1">
      <c r="A14613" s="1">
        <v>15545.0</v>
      </c>
      <c r="B14613" s="3" t="s">
        <v>13907</v>
      </c>
      <c r="C14613" s="3" t="str">
        <f>IFERROR(__xludf.DUMMYFUNCTION("GOOGLETRANSLATE(B14613,""id"",""en"")"),"['The application', 'good', 'entered', 'application', 'loading', 'really', 'expensive', 'entry', 'difficult', 'Please', 'repaired', 'Entar', ' The star ']")</f>
        <v>['The application', 'good', 'entered', 'application', 'loading', 'really', 'expensive', 'entry', 'difficult', 'Please', 'repaired', 'Entar', ' The star ']</v>
      </c>
      <c r="D14613" s="3">
        <v>2.0</v>
      </c>
    </row>
    <row r="14614" ht="15.75" customHeight="1">
      <c r="A14614" s="1">
        <v>15546.0</v>
      </c>
      <c r="B14614" s="3" t="s">
        <v>13908</v>
      </c>
      <c r="C14614" s="3" t="str">
        <f>IFERROR(__xludf.DUMMYFUNCTION("GOOGLETRANSLATE(B14614,""id"",""en"")"),"['Good', 'really', 'help']")</f>
        <v>['Good', 'really', 'help']</v>
      </c>
      <c r="D14614" s="3">
        <v>5.0</v>
      </c>
    </row>
    <row r="14615" ht="15.75" customHeight="1">
      <c r="A14615" s="1">
        <v>15547.0</v>
      </c>
      <c r="B14615" s="3" t="s">
        <v>13909</v>
      </c>
      <c r="C14615" s="3" t="str">
        <f>IFERROR(__xludf.DUMMYFUNCTION("GOOGLETRANSLATE(B14615,""id"",""en"")"),"['package', 'expensive', 'slow', 'xiaomi', 'pro']")</f>
        <v>['package', 'expensive', 'slow', 'xiaomi', 'pro']</v>
      </c>
      <c r="D14615" s="3">
        <v>1.0</v>
      </c>
    </row>
    <row r="14616" ht="15.75" customHeight="1">
      <c r="A14616" s="1">
        <v>15548.0</v>
      </c>
      <c r="B14616" s="3" t="s">
        <v>13910</v>
      </c>
      <c r="C14616" s="3" t="str">
        <f>IFERROR(__xludf.DUMMYFUNCTION("GOOGLETRANSLATE(B14616,""id"",""en"")"),"['Application', 'Open', 'Ngeblank', 'Screen', 'White', 'Delete', 'Cache']")</f>
        <v>['Application', 'Open', 'Ngeblank', 'Screen', 'White', 'Delete', 'Cache']</v>
      </c>
      <c r="D14616" s="3">
        <v>1.0</v>
      </c>
    </row>
    <row r="14617" ht="15.75" customHeight="1">
      <c r="A14617" s="1">
        <v>15549.0</v>
      </c>
      <c r="B14617" s="3" t="s">
        <v>13911</v>
      </c>
      <c r="C14617" s="3" t="str">
        <f>IFERROR(__xludf.DUMMYFUNCTION("GOOGLETRANSLATE(B14617,""id"",""en"")"),"['Kouta', 'Internet', 'Wants', 'Di'ed', 'Current', 'Sya', 'Bring', 'Telapa', 'Kouta', 'sucks']")</f>
        <v>['Kouta', 'Internet', 'Wants', 'Di'ed', 'Current', 'Sya', 'Bring', 'Telapa', 'Kouta', 'sucks']</v>
      </c>
      <c r="D14617" s="3">
        <v>2.0</v>
      </c>
    </row>
    <row r="14618" ht="15.75" customHeight="1">
      <c r="A14618" s="1">
        <v>15551.0</v>
      </c>
      <c r="B14618" s="3" t="s">
        <v>13912</v>
      </c>
      <c r="C14618" s="3" t="str">
        <f>IFERROR(__xludf.DUMMYFUNCTION("GOOGLETRANSLATE(B14618,""id"",""en"")"),"['application', 'open', 'Samsung', '']")</f>
        <v>['application', 'open', 'Samsung', '']</v>
      </c>
      <c r="D14618" s="3">
        <v>1.0</v>
      </c>
    </row>
    <row r="14619" ht="15.75" customHeight="1">
      <c r="A14619" s="1">
        <v>15552.0</v>
      </c>
      <c r="B14619" s="3" t="s">
        <v>13913</v>
      </c>
      <c r="C14619" s="3" t="str">
        <f>IFERROR(__xludf.DUMMYFUNCTION("GOOGLETRANSLATE(B14619,""id"",""en"")"),"['Package', 'TLPN', 'mantaaaap', '']")</f>
        <v>['Package', 'TLPN', 'mantaaaap', '']</v>
      </c>
      <c r="D14619" s="3">
        <v>4.0</v>
      </c>
    </row>
    <row r="14620" ht="15.75" customHeight="1">
      <c r="A14620" s="1">
        <v>15553.0</v>
      </c>
      <c r="B14620" s="3" t="s">
        <v>791</v>
      </c>
      <c r="C14620" s="3" t="str">
        <f>IFERROR(__xludf.DUMMYFUNCTION("GOOGLETRANSLATE(B14620,""id"",""en"")"),"['like']")</f>
        <v>['like']</v>
      </c>
      <c r="D14620" s="3">
        <v>5.0</v>
      </c>
    </row>
    <row r="14621" ht="15.75" customHeight="1">
      <c r="A14621" s="1">
        <v>15554.0</v>
      </c>
      <c r="B14621" s="3" t="s">
        <v>2174</v>
      </c>
      <c r="C14621" s="3" t="str">
        <f>IFERROR(__xludf.DUMMYFUNCTION("GOOGLETRANSLATE(B14621,""id"",""en"")"),"['Help', 'Thank you', 'Telkomsel']")</f>
        <v>['Help', 'Thank you', 'Telkomsel']</v>
      </c>
      <c r="D14621" s="3">
        <v>5.0</v>
      </c>
    </row>
    <row r="14622" ht="15.75" customHeight="1">
      <c r="A14622" s="1">
        <v>15555.0</v>
      </c>
      <c r="B14622" s="3" t="s">
        <v>13914</v>
      </c>
      <c r="C14622" s="3" t="str">
        <f>IFERROR(__xludf.DUMMYFUNCTION("GOOGLETRANSLATE(B14622,""id"",""en"")"),"['Application', 'Telkomsel', 'White', 'Screen', 'Trusssssss', 'Try', 'Uninstall', '']")</f>
        <v>['Application', 'Telkomsel', 'White', 'Screen', 'Trusssssss', 'Try', 'Uninstall', '']</v>
      </c>
      <c r="D14622" s="3">
        <v>1.0</v>
      </c>
    </row>
    <row r="14623" ht="15.75" customHeight="1">
      <c r="A14623" s="1">
        <v>15556.0</v>
      </c>
      <c r="B14623" s="3" t="s">
        <v>13915</v>
      </c>
      <c r="C14623" s="3" t="str">
        <f>IFERROR(__xludf.DUMMYFUNCTION("GOOGLETRANSLATE(B14623,""id"",""en"")"),"['The application', 'open', 'already', 'hri']")</f>
        <v>['The application', 'open', 'already', 'hri']</v>
      </c>
      <c r="D14623" s="3">
        <v>1.0</v>
      </c>
    </row>
    <row r="14624" ht="15.75" customHeight="1">
      <c r="A14624" s="1">
        <v>15557.0</v>
      </c>
      <c r="B14624" s="3" t="s">
        <v>13916</v>
      </c>
      <c r="C14624" s="3" t="str">
        <f>IFERROR(__xludf.DUMMYFUNCTION("GOOGLETRANSLATE(B14624,""id"",""en"")"),"['Already', 'Open', 'Application', 'Come on', 'Class', 'Telkomsel']")</f>
        <v>['Already', 'Open', 'Application', 'Come on', 'Class', 'Telkomsel']</v>
      </c>
      <c r="D14624" s="3">
        <v>1.0</v>
      </c>
    </row>
    <row r="14625" ht="15.75" customHeight="1">
      <c r="A14625" s="1">
        <v>15558.0</v>
      </c>
      <c r="B14625" s="3" t="s">
        <v>13917</v>
      </c>
      <c r="C14625" s="3" t="str">
        <f>IFERROR(__xludf.DUMMYFUNCTION("GOOGLETRANSLATE(B14625,""id"",""en"")"),"['Easy', 'tasty', 'promo']")</f>
        <v>['Easy', 'tasty', 'promo']</v>
      </c>
      <c r="D14625" s="3">
        <v>5.0</v>
      </c>
    </row>
    <row r="14626" ht="15.75" customHeight="1">
      <c r="A14626" s="1">
        <v>15559.0</v>
      </c>
      <c r="B14626" s="3" t="s">
        <v>13918</v>
      </c>
      <c r="C14626" s="3" t="str">
        <f>IFERROR(__xludf.DUMMYFUNCTION("GOOGLETRANSLATE(B14626,""id"",""en"")"),"['Sis', 'Yesterday', 'Application', 'Open', 'Normal', 'Please', 'Help']")</f>
        <v>['Sis', 'Yesterday', 'Application', 'Open', 'Normal', 'Please', 'Help']</v>
      </c>
      <c r="D14626" s="3">
        <v>4.0</v>
      </c>
    </row>
    <row r="14627" ht="15.75" customHeight="1">
      <c r="A14627" s="1">
        <v>15560.0</v>
      </c>
      <c r="B14627" s="3" t="s">
        <v>13919</v>
      </c>
      <c r="C14627" s="3" t="str">
        <f>IFERROR(__xludf.DUMMYFUNCTION("GOOGLETRANSLATE(B14627,""id"",""en"")"),"['', 'Telkomsel', 'Erro', 'Open', 'Ngebalnk', 'White', ""]")</f>
        <v>['', 'Telkomsel', 'Erro', 'Open', 'Ngebalnk', 'White', "]</v>
      </c>
      <c r="D14627" s="3">
        <v>3.0</v>
      </c>
    </row>
    <row r="14628" ht="15.75" customHeight="1">
      <c r="A14628" s="1">
        <v>15561.0</v>
      </c>
      <c r="B14628" s="3" t="s">
        <v>13920</v>
      </c>
      <c r="C14628" s="3" t="str">
        <f>IFERROR(__xludf.DUMMYFUNCTION("GOOGLETRANSLATE(B14628,""id"",""en"")"),"['signal', 'poor', 'missing', '']")</f>
        <v>['signal', 'poor', 'missing', '']</v>
      </c>
      <c r="D14628" s="3">
        <v>1.0</v>
      </c>
    </row>
    <row r="14629" ht="15.75" customHeight="1">
      <c r="A14629" s="1">
        <v>15562.0</v>
      </c>
      <c r="B14629" s="3" t="s">
        <v>13921</v>
      </c>
      <c r="C14629" s="3" t="str">
        <f>IFERROR(__xludf.DUMMYFUNCTION("GOOGLETRANSLATE(B14629,""id"",""en"")"),"['', 'star', 'comfortable', 'slow']")</f>
        <v>['', 'star', 'comfortable', 'slow']</v>
      </c>
      <c r="D14629" s="3">
        <v>3.0</v>
      </c>
    </row>
    <row r="14630" ht="15.75" customHeight="1">
      <c r="A14630" s="1">
        <v>15563.0</v>
      </c>
      <c r="B14630" s="3" t="s">
        <v>13922</v>
      </c>
      <c r="C14630" s="3" t="str">
        <f>IFERROR(__xludf.DUMMYFUNCTION("GOOGLETRANSLATE(B14630,""id"",""en"")"),"['Easy', 'buy', 'package', 'network', 'decent', 'good', 'good', 'play', 'game', 'suggestion', 'wifi', 'network', ' maintenance ',' detype ',' network ']")</f>
        <v>['Easy', 'buy', 'package', 'network', 'decent', 'good', 'good', 'play', 'game', 'suggestion', 'wifi', 'network', ' maintenance ',' detype ',' network ']</v>
      </c>
      <c r="D14630" s="3">
        <v>5.0</v>
      </c>
    </row>
    <row r="14631" ht="15.75" customHeight="1">
      <c r="A14631" s="1">
        <v>15564.0</v>
      </c>
      <c r="B14631" s="3" t="s">
        <v>13923</v>
      </c>
      <c r="C14631" s="3" t="str">
        <f>IFERROR(__xludf.DUMMYFUNCTION("GOOGLETRANSLATE(B14631,""id"",""en"")"),"['Downloaded', 'take', 'package', 'internet', 'disorder', 'dwoanload']")</f>
        <v>['Downloaded', 'take', 'package', 'internet', 'disorder', 'dwoanload']</v>
      </c>
      <c r="D14631" s="3">
        <v>2.0</v>
      </c>
    </row>
    <row r="14632" ht="15.75" customHeight="1">
      <c r="A14632" s="1">
        <v>15565.0</v>
      </c>
      <c r="B14632" s="3" t="s">
        <v>13924</v>
      </c>
      <c r="C14632" s="3" t="str">
        <f>IFERROR(__xludf.DUMMYFUNCTION("GOOGLETRANSLATE(B14632,""id"",""en"")"),"['Dabest', 'PKOK', 'Telkomsel', 'Tetep', 'Best', 'Best']")</f>
        <v>['Dabest', 'PKOK', 'Telkomsel', 'Tetep', 'Best', 'Best']</v>
      </c>
      <c r="D14632" s="3">
        <v>5.0</v>
      </c>
    </row>
    <row r="14633" ht="15.75" customHeight="1">
      <c r="A14633" s="1">
        <v>15566.0</v>
      </c>
      <c r="B14633" s="3" t="s">
        <v>13925</v>
      </c>
      <c r="C14633" s="3" t="str">
        <f>IFERROR(__xludf.DUMMYFUNCTION("GOOGLETRANSLATE(B14633,""id"",""en"")"),"['Lelatt', 'Yorobun', 'children', 'expensive', 'slow', 'forgiveness', 'please', 'fix', 'convenience', 'plenty']")</f>
        <v>['Lelatt', 'Yorobun', 'children', 'expensive', 'slow', 'forgiveness', 'please', 'fix', 'convenience', 'plenty']</v>
      </c>
      <c r="D14633" s="3">
        <v>1.0</v>
      </c>
    </row>
    <row r="14634" ht="15.75" customHeight="1">
      <c r="A14634" s="1">
        <v>15567.0</v>
      </c>
      <c r="B14634" s="3" t="s">
        <v>13926</v>
      </c>
      <c r="C14634" s="3" t="str">
        <f>IFERROR(__xludf.DUMMYFUNCTION("GOOGLETRANSLATE(B14634,""id"",""en"")"),"['woi', 'Telkomsel', 'intention', 'love', 'promo', 'no', 'emang', 'enek', 'salespeople', 'promo', 'expensive', 'expensive', ' Mending ',' list ',' no ',' times', 'application', 'emotions',' see ',' comment ',' bales', 'laaaa', 'no', 'intention', 'gave' , "&amp;"'convenience', 'Uninstall', 'Application', 'Paokkk', ""]")</f>
        <v>['woi', 'Telkomsel', 'intention', 'love', 'promo', 'no', 'emang', 'enek', 'salespeople', 'promo', 'expensive', 'expensive', ' Mending ',' list ',' no ',' times', 'application', 'emotions',' see ',' comment ',' bales', 'laaaa', 'no', 'intention', 'gave' , 'convenience', 'Uninstall', 'Application', 'Paokkk', "]</v>
      </c>
      <c r="D14634" s="3">
        <v>1.0</v>
      </c>
    </row>
    <row r="14635" ht="15.75" customHeight="1">
      <c r="A14635" s="1">
        <v>15568.0</v>
      </c>
      <c r="B14635" s="3" t="s">
        <v>13927</v>
      </c>
      <c r="C14635" s="3" t="str">
        <f>IFERROR(__xludf.DUMMYFUNCTION("GOOGLETRANSLATE(B14635,""id"",""en"")"),"['Update', 'White', 'Screen', 'Uninstall', 'Install', 'reset', 'stop', 'number', ""]")</f>
        <v>['Update', 'White', 'Screen', 'Uninstall', 'Install', 'reset', 'stop', 'number', "]</v>
      </c>
      <c r="D14635" s="3">
        <v>1.0</v>
      </c>
    </row>
    <row r="14636" ht="15.75" customHeight="1">
      <c r="A14636" s="1">
        <v>15569.0</v>
      </c>
      <c r="B14636" s="3" t="s">
        <v>13928</v>
      </c>
      <c r="C14636" s="3" t="str">
        <f>IFERROR(__xludf.DUMMYFUNCTION("GOOGLETRANSLATE(B14636,""id"",""en"")"),"['How', 'Application', 'Date', 'Open', '']")</f>
        <v>['How', 'Application', 'Date', 'Open', '']</v>
      </c>
      <c r="D14636" s="3">
        <v>2.0</v>
      </c>
    </row>
    <row r="14637" ht="15.75" customHeight="1">
      <c r="A14637" s="1">
        <v>15570.0</v>
      </c>
      <c r="B14637" s="3" t="s">
        <v>13929</v>
      </c>
      <c r="C14637" s="3" t="str">
        <f>IFERROR(__xludf.DUMMYFUNCTION("GOOGLETRANSLATE(B14637,""id"",""en"")"),"['', 'percent', '']")</f>
        <v>['', 'percent', '']</v>
      </c>
      <c r="D14637" s="3">
        <v>5.0</v>
      </c>
    </row>
    <row r="14638" ht="15.75" customHeight="1">
      <c r="A14638" s="1">
        <v>15571.0</v>
      </c>
      <c r="B14638" s="3" t="s">
        <v>13930</v>
      </c>
      <c r="C14638" s="3" t="str">
        <f>IFERROR(__xludf.DUMMYFUNCTION("GOOGLETRANSLATE(B14638,""id"",""en"")"),"['Rain', 'play', 'ping', 'drop']")</f>
        <v>['Rain', 'play', 'ping', 'drop']</v>
      </c>
      <c r="D14638" s="3">
        <v>5.0</v>
      </c>
    </row>
    <row r="14639" ht="15.75" customHeight="1">
      <c r="A14639" s="1">
        <v>15572.0</v>
      </c>
      <c r="B14639" s="3" t="s">
        <v>13931</v>
      </c>
      <c r="C14639" s="3" t="str">
        <f>IFERROR(__xludf.DUMMYFUNCTION("GOOGLETRANSLATE(B14639,""id"",""en"")"),"['Telkomsel', 'package', 'internet', 'expensive', '']")</f>
        <v>['Telkomsel', 'package', 'internet', 'expensive', '']</v>
      </c>
      <c r="D14639" s="3">
        <v>5.0</v>
      </c>
    </row>
    <row r="14640" ht="15.75" customHeight="1">
      <c r="A14640" s="1">
        <v>15573.0</v>
      </c>
      <c r="B14640" s="3" t="s">
        <v>13932</v>
      </c>
      <c r="C14640" s="3" t="str">
        <f>IFERROR(__xludf.DUMMYFUNCTION("GOOGLETRANSLATE(B14640,""id"",""en"")"),"['hope', 'package', 'cheap']")</f>
        <v>['hope', 'package', 'cheap']</v>
      </c>
      <c r="D14640" s="3">
        <v>5.0</v>
      </c>
    </row>
    <row r="14641" ht="15.75" customHeight="1">
      <c r="A14641" s="1">
        <v>15574.0</v>
      </c>
      <c r="B14641" s="3" t="s">
        <v>13933</v>
      </c>
      <c r="C14641" s="3" t="str">
        <f>IFERROR(__xludf.DUMMYFUNCTION("GOOGLETRANSLATE(B14641,""id"",""en"")"),"['Easy', 'Unfortunately', 'Network', 'Troubled', '']")</f>
        <v>['Easy', 'Unfortunately', 'Network', 'Troubled', '']</v>
      </c>
      <c r="D14641" s="3">
        <v>3.0</v>
      </c>
    </row>
    <row r="14642" ht="15.75" customHeight="1">
      <c r="A14642" s="1">
        <v>15575.0</v>
      </c>
      <c r="B14642" s="3" t="s">
        <v>13934</v>
      </c>
      <c r="C14642" s="3" t="str">
        <f>IFERROR(__xludf.DUMMYFUNCTION("GOOGLETRANSLATE(B14642,""id"",""en"")"),"['internet', 'expensive', 'ngelag', 'ngelag']")</f>
        <v>['internet', 'expensive', 'ngelag', 'ngelag']</v>
      </c>
      <c r="D14642" s="3">
        <v>3.0</v>
      </c>
    </row>
    <row r="14643" ht="15.75" customHeight="1">
      <c r="A14643" s="1">
        <v>15576.0</v>
      </c>
      <c r="B14643" s="3" t="s">
        <v>13935</v>
      </c>
      <c r="C14643" s="3" t="str">
        <f>IFERROR(__xludf.DUMMYFUNCTION("GOOGLETRANSLATE(B14643,""id"",""en"")"),"['company', 'big', 'the application', 'disappointing', 'opened', 'display', 'screen', 'white', ""]")</f>
        <v>['company', 'big', 'the application', 'disappointing', 'opened', 'display', 'screen', 'white', "]</v>
      </c>
      <c r="D14643" s="3">
        <v>1.0</v>
      </c>
    </row>
    <row r="14644" ht="15.75" customHeight="1">
      <c r="A14644" s="1">
        <v>15577.0</v>
      </c>
      <c r="B14644" s="3" t="s">
        <v>13936</v>
      </c>
      <c r="C14644" s="3" t="str">
        <f>IFERROR(__xludf.DUMMYFUNCTION("GOOGLETRANSLATE(B14644,""id"",""en"")"),"['Suitable', 'Bintang', 'Network', 'Region', 'Lemot', 'Main', 'Open', 'MyTelkomsel', 'Stagnant', 'Pekah', ""]")</f>
        <v>['Suitable', 'Bintang', 'Network', 'Region', 'Lemot', 'Main', 'Open', 'MyTelkomsel', 'Stagnant', 'Pekah', "]</v>
      </c>
      <c r="D14644" s="3">
        <v>1.0</v>
      </c>
    </row>
    <row r="14645" ht="15.75" customHeight="1">
      <c r="A14645" s="1">
        <v>15579.0</v>
      </c>
      <c r="B14645" s="3" t="s">
        <v>13937</v>
      </c>
      <c r="C14645" s="3" t="str">
        <f>IFERROR(__xludf.DUMMYFUNCTION("GOOGLETRANSLATE(B14645,""id"",""en"")"),"['', 'Search', 'Calculator']")</f>
        <v>['', 'Search', 'Calculator']</v>
      </c>
      <c r="D14645" s="3">
        <v>4.0</v>
      </c>
    </row>
    <row r="14646" ht="15.75" customHeight="1">
      <c r="A14646" s="1">
        <v>15580.0</v>
      </c>
      <c r="B14646" s="3" t="s">
        <v>13938</v>
      </c>
      <c r="C14646" s="3" t="str">
        <f>IFERROR(__xludf.DUMMYFUNCTION("GOOGLETRANSLATE(B14646,""id"",""en"")"),"['pulse', 'price', 'package', 'knp', 'mwncukupi']")</f>
        <v>['pulse', 'price', 'package', 'knp', 'mwncukupi']</v>
      </c>
      <c r="D14646" s="3">
        <v>1.0</v>
      </c>
    </row>
    <row r="14647" ht="15.75" customHeight="1">
      <c r="A14647" s="1">
        <v>15581.0</v>
      </c>
      <c r="B14647" s="3" t="s">
        <v>13939</v>
      </c>
      <c r="C14647" s="3" t="str">
        <f>IFERROR(__xludf.DUMMYFUNCTION("GOOGLETRANSLATE(B14647,""id"",""en"")"),"['Open', 'Application', 'Telkomsel', 'Samsung']")</f>
        <v>['Open', 'Application', 'Telkomsel', 'Samsung']</v>
      </c>
      <c r="D14647" s="3">
        <v>4.0</v>
      </c>
    </row>
    <row r="14648" ht="15.75" customHeight="1">
      <c r="A14648" s="1">
        <v>15582.0</v>
      </c>
      <c r="B14648" s="3" t="s">
        <v>13940</v>
      </c>
      <c r="C14648" s="3" t="str">
        <f>IFERROR(__xludf.DUMMYFUNCTION("GOOGLETRANSLATE(B14648,""id"",""en"")"),"['contents', 'package', 'application', 'Telkomsel', 'Network', 'bad', 'told', 'reset']")</f>
        <v>['contents', 'package', 'application', 'Telkomsel', 'Network', 'bad', 'told', 'reset']</v>
      </c>
      <c r="D14648" s="3">
        <v>1.0</v>
      </c>
    </row>
    <row r="14649" ht="15.75" customHeight="1">
      <c r="A14649" s="1">
        <v>15583.0</v>
      </c>
      <c r="B14649" s="3" t="s">
        <v>13941</v>
      </c>
      <c r="C14649" s="3" t="str">
        <f>IFERROR(__xludf.DUMMYFUNCTION("GOOGLETRANSLATE(B14649,""id"",""en"")"),"['Package', 'Data', 'GB', 'Gaada', 'Season', 'Deh']")</f>
        <v>['Package', 'Data', 'GB', 'Gaada', 'Season', 'Deh']</v>
      </c>
      <c r="D14649" s="3">
        <v>1.0</v>
      </c>
    </row>
    <row r="14650" ht="15.75" customHeight="1">
      <c r="A14650" s="1">
        <v>15584.0</v>
      </c>
      <c r="B14650" s="3" t="s">
        <v>13942</v>
      </c>
      <c r="C14650" s="3" t="str">
        <f>IFERROR(__xludf.DUMMYFUNCTION("GOOGLETRANSLATE(B14650,""id"",""en"")"),"['Hello', 'Telkomsel', 'application', 'Telkomsel', 'open', 'White', 'Screen', 'Diear', 'Sunday', 'Disappointed', 'SKR', 'Msh', ' Repair ',' Telkomsel ']")</f>
        <v>['Hello', 'Telkomsel', 'application', 'Telkomsel', 'open', 'White', 'Screen', 'Diear', 'Sunday', 'Disappointed', 'SKR', 'Msh', ' Repair ',' Telkomsel ']</v>
      </c>
      <c r="D14650" s="3">
        <v>1.0</v>
      </c>
    </row>
    <row r="14651" ht="15.75" customHeight="1">
      <c r="A14651" s="1">
        <v>15585.0</v>
      </c>
      <c r="B14651" s="3" t="s">
        <v>2947</v>
      </c>
      <c r="C14651" s="3" t="str">
        <f>IFERROR(__xludf.DUMMYFUNCTION("GOOGLETRANSLATE(B14651,""id"",""en"")"),"['easy', 'cheap']")</f>
        <v>['easy', 'cheap']</v>
      </c>
      <c r="D14651" s="3">
        <v>5.0</v>
      </c>
    </row>
    <row r="14652" ht="15.75" customHeight="1">
      <c r="A14652" s="1">
        <v>15586.0</v>
      </c>
      <c r="B14652" s="3" t="s">
        <v>13943</v>
      </c>
      <c r="C14652" s="3" t="str">
        <f>IFERROR(__xludf.DUMMYFUNCTION("GOOGLETRANSLATE(B14652,""id"",""en"")"),"['Application', 'Ngadat', 'opened', 'Woiii', 'class', 'Telkomsel', ""]")</f>
        <v>['Application', 'Ngadat', 'opened', 'Woiii', 'class', 'Telkomsel', "]</v>
      </c>
      <c r="D14652" s="3">
        <v>1.0</v>
      </c>
    </row>
    <row r="14653" ht="15.75" customHeight="1">
      <c r="A14653" s="1">
        <v>15587.0</v>
      </c>
      <c r="B14653" s="3" t="s">
        <v>13944</v>
      </c>
      <c r="C14653" s="3" t="str">
        <f>IFERROR(__xludf.DUMMYFUNCTION("GOOGLETRANSLATE(B14653,""id"",""en"")"),"['Disappointed', 'Telkomsel', 'Yesterday', 'Type', 'Package', 'Daily', 'GB', 'PKL', 'Wake Up', 'Pair', 'Package', 'Lost', ' pulse ',' ties', 'disappointed', 'bnget', 'telkomsel', 'please', 'fix', 'system', 'hope', 'future', 'fix']")</f>
        <v>['Disappointed', 'Telkomsel', 'Yesterday', 'Type', 'Package', 'Daily', 'GB', 'PKL', 'Wake Up', 'Pair', 'Package', 'Lost', ' pulse ',' ties', 'disappointed', 'bnget', 'telkomsel', 'please', 'fix', 'system', 'hope', 'future', 'fix']</v>
      </c>
      <c r="D14653" s="3">
        <v>1.0</v>
      </c>
    </row>
    <row r="14654" ht="15.75" customHeight="1">
      <c r="A14654" s="1">
        <v>15588.0</v>
      </c>
      <c r="B14654" s="3" t="s">
        <v>13945</v>
      </c>
      <c r="C14654" s="3" t="str">
        <f>IFERROR(__xludf.DUMMYFUNCTION("GOOGLETRANSLATE(B14654,""id"",""en"")"),"['Network', 'reinforced']")</f>
        <v>['Network', 'reinforced']</v>
      </c>
      <c r="D14654" s="3">
        <v>5.0</v>
      </c>
    </row>
    <row r="14655" ht="15.75" customHeight="1">
      <c r="A14655" s="1">
        <v>15589.0</v>
      </c>
      <c r="B14655" s="3" t="s">
        <v>13946</v>
      </c>
      <c r="C14655" s="3" t="str">
        <f>IFERROR(__xludf.DUMMYFUNCTION("GOOGLETRANSLATE(B14655,""id"",""en"")"),"['Sya', 'Update', 'Support', 'aka', 'screen', 'White', 'please', 'fix']")</f>
        <v>['Sya', 'Update', 'Support', 'aka', 'screen', 'White', 'please', 'fix']</v>
      </c>
      <c r="D14655" s="3">
        <v>1.0</v>
      </c>
    </row>
    <row r="14656" ht="15.75" customHeight="1">
      <c r="A14656" s="1">
        <v>15590.0</v>
      </c>
      <c r="B14656" s="3" t="s">
        <v>619</v>
      </c>
      <c r="C14656" s="3" t="str">
        <f>IFERROR(__xludf.DUMMYFUNCTION("GOOGLETRANSLATE(B14656,""id"",""en"")"),"['Good', 'help']")</f>
        <v>['Good', 'help']</v>
      </c>
      <c r="D14656" s="3">
        <v>5.0</v>
      </c>
    </row>
    <row r="14657" ht="15.75" customHeight="1">
      <c r="A14657" s="1">
        <v>15591.0</v>
      </c>
      <c r="B14657" s="3" t="s">
        <v>13947</v>
      </c>
      <c r="C14657" s="3" t="str">
        <f>IFERROR(__xludf.DUMMYFUNCTION("GOOGLETRANSLATE(B14657,""id"",""en"")"),"['Hi', 'Sis', 'Please', 'response', 'Abis', 'update', 'appears', 'White', 'Screen', 'Mulu', 'Yaa', ""]")</f>
        <v>['Hi', 'Sis', 'Please', 'response', 'Abis', 'update', 'appears', 'White', 'Screen', 'Mulu', 'Yaa', "]</v>
      </c>
      <c r="D14657" s="3">
        <v>3.0</v>
      </c>
    </row>
    <row r="14658" ht="15.75" customHeight="1">
      <c r="A14658" s="1">
        <v>15592.0</v>
      </c>
      <c r="B14658" s="3" t="s">
        <v>8462</v>
      </c>
      <c r="C14658" s="3" t="str">
        <f>IFERROR(__xludf.DUMMYFUNCTION("GOOGLETRANSLATE(B14658,""id"",""en"")"),"['Opened', 'The application']")</f>
        <v>['Opened', 'The application']</v>
      </c>
      <c r="D14658" s="3">
        <v>1.0</v>
      </c>
    </row>
    <row r="14659" ht="15.75" customHeight="1">
      <c r="A14659" s="1">
        <v>15593.0</v>
      </c>
      <c r="B14659" s="3" t="s">
        <v>13948</v>
      </c>
      <c r="C14659" s="3" t="str">
        <f>IFERROR(__xludf.DUMMYFUNCTION("GOOGLETRANSLATE(B14659,""id"",""en"")"),"['Points', 'DSB', '']")</f>
        <v>['Points', 'DSB', '']</v>
      </c>
      <c r="D14659" s="3">
        <v>4.0</v>
      </c>
    </row>
    <row r="14660" ht="15.75" customHeight="1">
      <c r="A14660" s="1">
        <v>15594.0</v>
      </c>
      <c r="B14660" s="3" t="s">
        <v>13949</v>
      </c>
      <c r="C14660" s="3" t="str">
        <f>IFERROR(__xludf.DUMMYFUNCTION("GOOGLETRANSLATE(B14660,""id"",""en"")"),"['GBU']")</f>
        <v>['GBU']</v>
      </c>
      <c r="D14660" s="3">
        <v>5.0</v>
      </c>
    </row>
    <row r="14661" ht="15.75" customHeight="1">
      <c r="A14661" s="1">
        <v>15595.0</v>
      </c>
      <c r="B14661" s="3" t="s">
        <v>13950</v>
      </c>
      <c r="C14661" s="3" t="str">
        <f>IFERROR(__xludf.DUMMYFUNCTION("GOOGLETRANSLATE(B14661,""id"",""en"")"),"['belli', 'pulse', 'thousand', 'tpi', 'pulses',' enter ',' do ',' communication ',' transaction ',' send ',' proof ',' transaction ',' Satisfying ',' Sorry ',' improvement ',' in the future ']")</f>
        <v>['belli', 'pulse', 'thousand', 'tpi', 'pulses',' enter ',' do ',' communication ',' transaction ',' send ',' proof ',' transaction ',' Satisfying ',' Sorry ',' improvement ',' in the future ']</v>
      </c>
      <c r="D14661" s="3">
        <v>1.0</v>
      </c>
    </row>
    <row r="14662" ht="15.75" customHeight="1">
      <c r="A14662" s="1">
        <v>15596.0</v>
      </c>
      <c r="B14662" s="3" t="s">
        <v>13951</v>
      </c>
      <c r="C14662" s="3" t="str">
        <f>IFERROR(__xludf.DUMMYFUNCTION("GOOGLETRANSLATE(B14662,""id"",""en"")"),"['Package', 'Data', 'Indosat', 'SMS', 'Enter', 'Telkomsel', 'Access',' Internet ',' Rates', 'Non', 'Package', 'emang', ' signal ',' Ngaco ',' price ',' crazy ',' already ',' Gunain ',' Telkomsel ',' provider ',' signal ',' good ',' price ',' cheap ',' th "&amp;"' , 'PKE', 'Telkomsel', 'Sampe', 'Ninggalin', 'Telkomsel']")</f>
        <v>['Package', 'Data', 'Indosat', 'SMS', 'Enter', 'Telkomsel', 'Access',' Internet ',' Rates', 'Non', 'Package', 'emang', ' signal ',' Ngaco ',' price ',' crazy ',' already ',' Gunain ',' Telkomsel ',' provider ',' signal ',' good ',' price ',' cheap ',' th ' , 'PKE', 'Telkomsel', 'Sampe', 'Ninggalin', 'Telkomsel']</v>
      </c>
      <c r="D14662" s="3">
        <v>1.0</v>
      </c>
    </row>
    <row r="14663" ht="15.75" customHeight="1">
      <c r="A14663" s="1">
        <v>15597.0</v>
      </c>
      <c r="B14663" s="3" t="s">
        <v>13952</v>
      </c>
      <c r="C14663" s="3" t="str">
        <f>IFERROR(__xludf.DUMMYFUNCTION("GOOGLETRANSLATE(B14663,""id"",""en"")"),"['Tanguinis', 'try']")</f>
        <v>['Tanguinis', 'try']</v>
      </c>
      <c r="D14663" s="3">
        <v>4.0</v>
      </c>
    </row>
    <row r="14664" ht="15.75" customHeight="1">
      <c r="A14664" s="1">
        <v>15598.0</v>
      </c>
      <c r="B14664" s="3" t="s">
        <v>13953</v>
      </c>
      <c r="C14664" s="3" t="str">
        <f>IFERROR(__xludf.DUMMYFUNCTION("GOOGLETRANSLATE(B14664,""id"",""en"")"),"['Pas', 'Open', 'White', 'Screen']")</f>
        <v>['Pas', 'Open', 'White', 'Screen']</v>
      </c>
      <c r="D14664" s="3">
        <v>1.0</v>
      </c>
    </row>
    <row r="14665" ht="15.75" customHeight="1">
      <c r="A14665" s="1">
        <v>15599.0</v>
      </c>
      <c r="B14665" s="3" t="s">
        <v>13954</v>
      </c>
      <c r="C14665" s="3" t="str">
        <f>IFERROR(__xludf.DUMMYFUNCTION("GOOGLETRANSLATE(B14665,""id"",""en"")"),"['No "",' opened ',' Stuck ',' Screen ',' White ']")</f>
        <v>['No ",' opened ',' Stuck ',' Screen ',' White ']</v>
      </c>
      <c r="D14665" s="3">
        <v>3.0</v>
      </c>
    </row>
    <row r="14666" ht="15.75" customHeight="1">
      <c r="A14666" s="1">
        <v>15600.0</v>
      </c>
      <c r="B14666" s="3" t="s">
        <v>13955</v>
      </c>
      <c r="C14666" s="3" t="str">
        <f>IFERROR(__xludf.DUMMYFUNCTION("GOOGLETRANSLATE(B14666,""id"",""en"")"),"['Telkomsel', 'really']")</f>
        <v>['Telkomsel', 'really']</v>
      </c>
      <c r="D14666" s="3">
        <v>4.0</v>
      </c>
    </row>
    <row r="14667" ht="15.75" customHeight="1">
      <c r="A14667" s="1">
        <v>15601.0</v>
      </c>
      <c r="B14667" s="3" t="s">
        <v>13956</v>
      </c>
      <c r="C14667" s="3" t="str">
        <f>IFERROR(__xludf.DUMMYFUNCTION("GOOGLETRANSLATE(B14667,""id"",""en"")"),"['Difficulty', 'Mendowlod', 'Telkom']")</f>
        <v>['Difficulty', 'Mendowlod', 'Telkom']</v>
      </c>
      <c r="D14667" s="3">
        <v>5.0</v>
      </c>
    </row>
    <row r="14668" ht="15.75" customHeight="1">
      <c r="A14668" s="1">
        <v>15602.0</v>
      </c>
      <c r="B14668" s="3" t="s">
        <v>9167</v>
      </c>
      <c r="C14668" s="3" t="str">
        <f>IFERROR(__xludf.DUMMYFUNCTION("GOOGLETRANSLATE(B14668,""id"",""en"")"),"['Application', 'Helpful']")</f>
        <v>['Application', 'Helpful']</v>
      </c>
      <c r="D14668" s="3">
        <v>5.0</v>
      </c>
    </row>
    <row r="14669" ht="15.75" customHeight="1">
      <c r="A14669" s="1">
        <v>15603.0</v>
      </c>
      <c r="B14669" s="3" t="s">
        <v>13957</v>
      </c>
      <c r="C14669" s="3" t="str">
        <f>IFERROR(__xludf.DUMMYFUNCTION("GOOGLETRANSLATE(B14669,""id"",""en"")"),"['likes',' Krna ',' cheap ',' ehh ',' skrang ',' expensive ',' right ',' see ',' package ',' cheap ',' pket ',' promo ',' OTW ',' Move ',' ']")</f>
        <v>['likes',' Krna ',' cheap ',' ehh ',' skrang ',' expensive ',' right ',' see ',' package ',' cheap ',' pket ',' promo ',' OTW ',' Move ',' ']</v>
      </c>
      <c r="D14669" s="3">
        <v>3.0</v>
      </c>
    </row>
    <row r="14670" ht="15.75" customHeight="1">
      <c r="A14670" s="1">
        <v>15604.0</v>
      </c>
      <c r="B14670" s="3" t="s">
        <v>13958</v>
      </c>
      <c r="C14670" s="3" t="str">
        <f>IFERROR(__xludf.DUMMYFUNCTION("GOOGLETRANSLATE(B14670,""id"",""en"")"),"['Try', 'open', 'app', 'just', 'screen', 'white', 'ngeselin', 'really', 'strange', 'ugly', 'really', 'gini']")</f>
        <v>['Try', 'open', 'app', 'just', 'screen', 'white', 'ngeselin', 'really', 'strange', 'ugly', 'really', 'gini']</v>
      </c>
      <c r="D14670" s="3">
        <v>1.0</v>
      </c>
    </row>
    <row r="14671" ht="15.75" customHeight="1">
      <c r="A14671" s="1">
        <v>15605.0</v>
      </c>
      <c r="B14671" s="3" t="s">
        <v>13959</v>
      </c>
      <c r="C14671" s="3" t="str">
        <f>IFERROR(__xludf.DUMMYFUNCTION("GOOGLETRANSLATE(B14671,""id"",""en"")"),"['amazing']")</f>
        <v>['amazing']</v>
      </c>
      <c r="D14671" s="3">
        <v>5.0</v>
      </c>
    </row>
    <row r="14672" ht="15.75" customHeight="1">
      <c r="A14672" s="1">
        <v>15607.0</v>
      </c>
      <c r="B14672" s="3" t="s">
        <v>13960</v>
      </c>
      <c r="C14672" s="3" t="str">
        <f>IFERROR(__xludf.DUMMYFUNCTION("GOOGLETRANSLATE(B14672,""id"",""en"")"),"['Open', 'The application', 'screen', 'white', 'what']]")</f>
        <v>['Open', 'The application', 'screen', 'white', 'what']]</v>
      </c>
      <c r="D14672" s="3">
        <v>2.0</v>
      </c>
    </row>
    <row r="14673" ht="15.75" customHeight="1">
      <c r="A14673" s="1">
        <v>15608.0</v>
      </c>
      <c r="B14673" s="3" t="s">
        <v>13961</v>
      </c>
      <c r="C14673" s="3" t="str">
        <f>IFERROR(__xludf.DUMMYFUNCTION("GOOGLETRANSLATE(B14673,""id"",""en"")"),"['Good', 'easy', 'buy', 'package']")</f>
        <v>['Good', 'easy', 'buy', 'package']</v>
      </c>
      <c r="D14673" s="3">
        <v>5.0</v>
      </c>
    </row>
    <row r="14674" ht="15.75" customHeight="1">
      <c r="A14674" s="1">
        <v>15609.0</v>
      </c>
      <c r="B14674" s="3" t="s">
        <v>13962</v>
      </c>
      <c r="C14674" s="3" t="str">
        <f>IFERROR(__xludf.DUMMYFUNCTION("GOOGLETRANSLATE(B14674,""id"",""en"")"),"['Network', 'Rural', 'Strengthen', 'Region', 'Tirtomoyo', 'Krisikik', 'Signal', 'Weak']")</f>
        <v>['Network', 'Rural', 'Strengthen', 'Region', 'Tirtomoyo', 'Krisikik', 'Signal', 'Weak']</v>
      </c>
      <c r="D14674" s="3">
        <v>5.0</v>
      </c>
    </row>
    <row r="14675" ht="15.75" customHeight="1">
      <c r="A14675" s="1">
        <v>15610.0</v>
      </c>
      <c r="B14675" s="3" t="s">
        <v>13963</v>
      </c>
      <c r="C14675" s="3" t="str">
        <f>IFERROR(__xludf.DUMMYFUNCTION("GOOGLETRANSLATE(B14675,""id"",""en"")"),"['The application', 'opened', 'subscribe', 'Telkomsel']")</f>
        <v>['The application', 'opened', 'subscribe', 'Telkomsel']</v>
      </c>
      <c r="D14675" s="3">
        <v>1.0</v>
      </c>
    </row>
    <row r="14676" ht="15.75" customHeight="1">
      <c r="A14676" s="1">
        <v>15611.0</v>
      </c>
      <c r="B14676" s="3" t="s">
        <v>13964</v>
      </c>
      <c r="C14676" s="3" t="str">
        <f>IFERROR(__xludf.DUMMYFUNCTION("GOOGLETRANSLATE(B14676,""id"",""en"")"),"['PKE', 'Telkomsel', 'Okay', 'Network', 'Smooth']")</f>
        <v>['PKE', 'Telkomsel', 'Okay', 'Network', 'Smooth']</v>
      </c>
      <c r="D14676" s="3">
        <v>5.0</v>
      </c>
    </row>
    <row r="14677" ht="15.75" customHeight="1">
      <c r="A14677" s="1">
        <v>15612.0</v>
      </c>
      <c r="B14677" s="3" t="s">
        <v>13965</v>
      </c>
      <c r="C14677" s="3" t="str">
        <f>IFERROR(__xludf.DUMMYFUNCTION("GOOGLETRANSLATE(B14677,""id"",""en"")"),"['opened', 'please', 'repaired', 'check', 'quota', 'manual', 'understand']")</f>
        <v>['opened', 'please', 'repaired', 'check', 'quota', 'manual', 'understand']</v>
      </c>
      <c r="D14677" s="3">
        <v>1.0</v>
      </c>
    </row>
    <row r="14678" ht="15.75" customHeight="1">
      <c r="A14678" s="1">
        <v>15613.0</v>
      </c>
      <c r="B14678" s="3" t="s">
        <v>13966</v>
      </c>
      <c r="C14678" s="3" t="str">
        <f>IFERROR(__xludf.DUMMYFUNCTION("GOOGLETRANSLATE(B14678,""id"",""en"")"),"['Kaga', 'opened', 'application', 'down', 'star', '']")</f>
        <v>['Kaga', 'opened', 'application', 'down', 'star', '']</v>
      </c>
      <c r="D14678" s="3">
        <v>1.0</v>
      </c>
    </row>
    <row r="14679" ht="15.75" customHeight="1">
      <c r="A14679" s="1">
        <v>15614.0</v>
      </c>
      <c r="B14679" s="3" t="s">
        <v>13967</v>
      </c>
      <c r="C14679" s="3" t="str">
        <f>IFERROR(__xludf.DUMMYFUNCTION("GOOGLETRANSLATE(B14679,""id"",""en"")"),"['hehehe', 'Komenku', 'Delete']")</f>
        <v>['hehehe', 'Komenku', 'Delete']</v>
      </c>
      <c r="D14679" s="3">
        <v>1.0</v>
      </c>
    </row>
    <row r="14680" ht="15.75" customHeight="1">
      <c r="A14680" s="1">
        <v>15615.0</v>
      </c>
      <c r="B14680" s="3" t="s">
        <v>13968</v>
      </c>
      <c r="C14680" s="3" t="str">
        <f>IFERROR(__xludf.DUMMYFUNCTION("GOOGLETRANSLATE(B14680,""id"",""en"")"),"['Price', 'Package', 'Changed', 'PHP', 'Cheap', 'Use', 'Many']")</f>
        <v>['Price', 'Package', 'Changed', 'PHP', 'Cheap', 'Use', 'Many']</v>
      </c>
      <c r="D14680" s="3">
        <v>3.0</v>
      </c>
    </row>
    <row r="14681" ht="15.75" customHeight="1">
      <c r="A14681" s="1">
        <v>15616.0</v>
      </c>
      <c r="B14681" s="3" t="s">
        <v>13969</v>
      </c>
      <c r="C14681" s="3" t="str">
        <f>IFERROR(__xludf.DUMMYFUNCTION("GOOGLETRANSLATE(B14681,""id"",""en"")"),"['Telkomsel', 'Stay', 'Unlimited', 'YouTube', 'Watch', 'YouTube', 'Suck', 'Quota', 'Main', 'Hurry', 'Repaired']")</f>
        <v>['Telkomsel', 'Stay', 'Unlimited', 'YouTube', 'Watch', 'YouTube', 'Suck', 'Quota', 'Main', 'Hurry', 'Repaired']</v>
      </c>
      <c r="D14681" s="3">
        <v>1.0</v>
      </c>
    </row>
    <row r="14682" ht="15.75" customHeight="1">
      <c r="A14682" s="1">
        <v>15617.0</v>
      </c>
      <c r="B14682" s="3" t="s">
        <v>13970</v>
      </c>
      <c r="C14682" s="3" t="str">
        <f>IFERROR(__xludf.DUMMYFUNCTION("GOOGLETRANSLATE(B14682,""id"",""en"")"),"['Install', 'uninstall', 'restart', 'many', 'times',' blank ',' display ',' error ',' system ',' transaction ',' number ',' disabled ',' Blocked ',' hope ', ""]")</f>
        <v>['Install', 'uninstall', 'restart', 'many', 'times',' blank ',' display ',' error ',' system ',' transaction ',' number ',' disabled ',' Blocked ',' hope ', "]</v>
      </c>
      <c r="D14682" s="3">
        <v>1.0</v>
      </c>
    </row>
    <row r="14683" ht="15.75" customHeight="1">
      <c r="A14683" s="1">
        <v>15618.0</v>
      </c>
      <c r="B14683" s="3" t="s">
        <v>13971</v>
      </c>
      <c r="C14683" s="3" t="str">
        <f>IFERROR(__xludf.DUMMYFUNCTION("GOOGLETRANSLATE(B14683,""id"",""en"")"),"['Addin', 'bonus', 'contents', 'reset', 'pulse', 'good', 'operator', '']")</f>
        <v>['Addin', 'bonus', 'contents', 'reset', 'pulse', 'good', 'operator', '']</v>
      </c>
      <c r="D14683" s="3">
        <v>5.0</v>
      </c>
    </row>
    <row r="14684" ht="15.75" customHeight="1">
      <c r="A14684" s="1">
        <v>15619.0</v>
      </c>
      <c r="B14684" s="3" t="s">
        <v>846</v>
      </c>
      <c r="C14684" s="3" t="str">
        <f>IFERROR(__xludf.DUMMYFUNCTION("GOOGLETRANSLATE(B14684,""id"",""en"")"),"['application', 'good']")</f>
        <v>['application', 'good']</v>
      </c>
      <c r="D14684" s="3">
        <v>5.0</v>
      </c>
    </row>
    <row r="14685" ht="15.75" customHeight="1">
      <c r="A14685" s="1">
        <v>15620.0</v>
      </c>
      <c r="B14685" s="3" t="s">
        <v>13972</v>
      </c>
      <c r="C14685" s="3" t="str">
        <f>IFERROR(__xludf.DUMMYFUNCTION("GOOGLETRANSLATE(B14685,""id"",""en"")"),"['brother', 'admin', 'app', 'Telkomsel', 'open', 'please', 'love', 'news']")</f>
        <v>['brother', 'admin', 'app', 'Telkomsel', 'open', 'please', 'love', 'news']</v>
      </c>
      <c r="D14685" s="3">
        <v>5.0</v>
      </c>
    </row>
    <row r="14686" ht="15.75" customHeight="1">
      <c r="A14686" s="1">
        <v>15622.0</v>
      </c>
      <c r="B14686" s="3" t="s">
        <v>592</v>
      </c>
      <c r="C14686" s="3" t="str">
        <f>IFERROR(__xludf.DUMMYFUNCTION("GOOGLETRANSLATE(B14686,""id"",""en"")"),"['Telkomsel']")</f>
        <v>['Telkomsel']</v>
      </c>
      <c r="D14686" s="3">
        <v>5.0</v>
      </c>
    </row>
    <row r="14687" ht="15.75" customHeight="1">
      <c r="A14687" s="1">
        <v>15623.0</v>
      </c>
      <c r="B14687" s="3" t="s">
        <v>13973</v>
      </c>
      <c r="C14687" s="3" t="str">
        <f>IFERROR(__xludf.DUMMYFUNCTION("GOOGLETRANSLATE(B14687,""id"",""en"")"),"['Disappointed', 'enter', 'application', 'use', 'card', 'Telkomsel', 'signal', 'good', 'fast', 'sekrang', 'slow', 'star', ' repair']")</f>
        <v>['Disappointed', 'enter', 'application', 'use', 'card', 'Telkomsel', 'signal', 'good', 'fast', 'sekrang', 'slow', 'star', ' repair']</v>
      </c>
      <c r="D14687" s="3">
        <v>1.0</v>
      </c>
    </row>
    <row r="14688" ht="15.75" customHeight="1">
      <c r="A14688" s="1">
        <v>15624.0</v>
      </c>
      <c r="B14688" s="3" t="s">
        <v>13974</v>
      </c>
      <c r="C14688" s="3" t="str">
        <f>IFERROR(__xludf.DUMMYFUNCTION("GOOGLETRANSLATE(B14688,""id"",""en"")"),"['Min', 'Nge', 'Criticism', 'Buy', 'Quota', 'Points', 'Credit', 'Rich', 'Azab', ""]")</f>
        <v>['Min', 'Nge', 'Criticism', 'Buy', 'Quota', 'Points', 'Credit', 'Rich', 'Azab', "]</v>
      </c>
      <c r="D14688" s="3">
        <v>1.0</v>
      </c>
    </row>
    <row r="14689" ht="15.75" customHeight="1">
      <c r="A14689" s="1">
        <v>15625.0</v>
      </c>
      <c r="B14689" s="3" t="s">
        <v>13975</v>
      </c>
      <c r="C14689" s="3" t="str">
        <f>IFERROR(__xludf.DUMMYFUNCTION("GOOGLETRANSLATE(B14689,""id"",""en"")"),"['', 'Telkomsel', 'Help', 'KNPA', 'Application', 'Error', '']")</f>
        <v>['', 'Telkomsel', 'Help', 'KNPA', 'Application', 'Error', '']</v>
      </c>
      <c r="D14689" s="3">
        <v>4.0</v>
      </c>
    </row>
    <row r="14690" ht="15.75" customHeight="1">
      <c r="A14690" s="1">
        <v>15626.0</v>
      </c>
      <c r="B14690" s="3" t="s">
        <v>13976</v>
      </c>
      <c r="C14690" s="3" t="str">
        <f>IFERROR(__xludf.DUMMYFUNCTION("GOOGLETRANSLATE(B14690,""id"",""en"")"),"['Help', 'Purchase', 'Kaota']")</f>
        <v>['Help', 'Purchase', 'Kaota']</v>
      </c>
      <c r="D14690" s="3">
        <v>4.0</v>
      </c>
    </row>
    <row r="14691" ht="15.75" customHeight="1">
      <c r="A14691" s="1">
        <v>15627.0</v>
      </c>
      <c r="B14691" s="3" t="s">
        <v>13977</v>
      </c>
      <c r="C14691" s="3" t="str">
        <f>IFERROR(__xludf.DUMMYFUNCTION("GOOGLETRANSLATE(B14691,""id"",""en"")"),"['TELKOMNYET', 'Ngilkaklah', 'little', 'price', 'expensive', 'quality', 'network', 'plump', 'Anying', 'ride', 'price', 'ride', ' Quality ']")</f>
        <v>['TELKOMNYET', 'Ngilkaklah', 'little', 'price', 'expensive', 'quality', 'network', 'plump', 'Anying', 'ride', 'price', 'ride', ' Quality ']</v>
      </c>
      <c r="D14691" s="3">
        <v>1.0</v>
      </c>
    </row>
    <row r="14692" ht="15.75" customHeight="1">
      <c r="A14692" s="1">
        <v>15628.0</v>
      </c>
      <c r="B14692" s="3" t="s">
        <v>13978</v>
      </c>
      <c r="C14692" s="3" t="str">
        <f>IFERROR(__xludf.DUMMYFUNCTION("GOOGLETRANSLATE(B14692,""id"",""en"")"),"['fluent']")</f>
        <v>['fluent']</v>
      </c>
      <c r="D14692" s="3">
        <v>4.0</v>
      </c>
    </row>
    <row r="14693" ht="15.75" customHeight="1">
      <c r="A14693" s="1">
        <v>15630.0</v>
      </c>
      <c r="B14693" s="3" t="s">
        <v>13979</v>
      </c>
      <c r="C14693" s="3" t="str">
        <f>IFERROR(__xludf.DUMMYFUNCTION("GOOGLETRANSLATE(B14693,""id"",""en"")"),"['Please', 'team', 'dev', 'respect', 'customer', 'shout', 'shout', 'gini', 'mytelkom', 'function', 'please', 'fix', ' application ',' user ',' gini ',' difficult ',' buy ',' application ',' arrogant ', ""]")</f>
        <v>['Please', 'team', 'dev', 'respect', 'customer', 'shout', 'shout', 'gini', 'mytelkom', 'function', 'please', 'fix', ' application ',' user ',' gini ',' difficult ',' buy ',' application ',' arrogant ', "]</v>
      </c>
      <c r="D14693" s="3">
        <v>1.0</v>
      </c>
    </row>
    <row r="14694" ht="15.75" customHeight="1">
      <c r="A14694" s="1">
        <v>15631.0</v>
      </c>
      <c r="B14694" s="3" t="s">
        <v>13980</v>
      </c>
      <c r="C14694" s="3" t="str">
        <f>IFERROR(__xludf.DUMMYFUNCTION("GOOGLETRANSLATE(B14694,""id"",""en"")"),"['version', 'difficult', 'open', 'disappointed', 'really', '']")</f>
        <v>['version', 'difficult', 'open', 'disappointed', 'really', '']</v>
      </c>
      <c r="D14694" s="3">
        <v>1.0</v>
      </c>
    </row>
    <row r="14695" ht="15.75" customHeight="1">
      <c r="A14695" s="1">
        <v>15632.0</v>
      </c>
      <c r="B14695" s="3" t="s">
        <v>13981</v>
      </c>
      <c r="C14695" s="3" t="str">
        <f>IFERROR(__xludf.DUMMYFUNCTION("GOOGLETRANSLATE(B14695,""id"",""en"")"),"['signal', 'rungddddd', '']")</f>
        <v>['signal', 'rungddddd', '']</v>
      </c>
      <c r="D14695" s="3">
        <v>1.0</v>
      </c>
    </row>
    <row r="14696" ht="15.75" customHeight="1">
      <c r="A14696" s="1">
        <v>15633.0</v>
      </c>
      <c r="B14696" s="3" t="s">
        <v>13982</v>
      </c>
      <c r="C14696" s="3" t="str">
        <f>IFERROR(__xludf.DUMMYFUNCTION("GOOGLETRANSLATE(B14696,""id"",""en"")"),"['Cool', 'Gokil', 'Abis', ""]")</f>
        <v>['Cool', 'Gokil', 'Abis', "]</v>
      </c>
      <c r="D14696" s="3">
        <v>5.0</v>
      </c>
    </row>
    <row r="14697" ht="15.75" customHeight="1">
      <c r="A14697" s="1">
        <v>15634.0</v>
      </c>
      <c r="B14697" s="3" t="s">
        <v>13983</v>
      </c>
      <c r="C14697" s="3" t="str">
        <f>IFERROR(__xludf.DUMMYFUNCTION("GOOGLETRANSLATE(B14697,""id"",""en"")"),"['Please', 'promo', 'bang', 'card', '']")</f>
        <v>['Please', 'promo', 'bang', 'card', '']</v>
      </c>
      <c r="D14697" s="3">
        <v>5.0</v>
      </c>
    </row>
    <row r="14698" ht="15.75" customHeight="1">
      <c r="A14698" s="1">
        <v>15635.0</v>
      </c>
      <c r="B14698" s="3" t="s">
        <v>13984</v>
      </c>
      <c r="C14698" s="3" t="str">
        <f>IFERROR(__xludf.DUMMYFUNCTION("GOOGLETRANSLATE(B14698,""id"",""en"")"),"['', 'a week', 'Telkomsel', 'Open', 'Delete', 'Install', 'enter', 'please', 'help']")</f>
        <v>['', 'a week', 'Telkomsel', 'Open', 'Delete', 'Install', 'enter', 'please', 'help']</v>
      </c>
      <c r="D14698" s="3">
        <v>5.0</v>
      </c>
    </row>
    <row r="14699" ht="15.75" customHeight="1">
      <c r="A14699" s="1">
        <v>15636.0</v>
      </c>
      <c r="B14699" s="3" t="s">
        <v>13985</v>
      </c>
      <c r="C14699" s="3" t="str">
        <f>IFERROR(__xludf.DUMMYFUNCTION("GOOGLETRANSLATE(B14699,""id"",""en"")"),"['', 'Love', 'Applications', 'Difficult', 'GMN', 'Min', ""]")</f>
        <v>['', 'Love', 'Applications', 'Difficult', 'GMN', 'Min', "]</v>
      </c>
      <c r="D14699" s="3">
        <v>2.0</v>
      </c>
    </row>
    <row r="14700" ht="15.75" customHeight="1">
      <c r="A14700" s="1">
        <v>15637.0</v>
      </c>
      <c r="B14700" s="3" t="s">
        <v>13986</v>
      </c>
      <c r="C14700" s="3" t="str">
        <f>IFERROR(__xludf.DUMMYFUNCTION("GOOGLETRANSLATE(B14700,""id"",""en"")"),"['White', 'Screen', 'TeruuuuuuSS', 'Stress',' Using ',' Ampuuuuuun ',' How ','AA']")</f>
        <v>['White', 'Screen', 'TeruuuuuuSS', 'Stress',' Using ',' Ampuuuuuun ',' How ','AA']</v>
      </c>
      <c r="D14700" s="3">
        <v>2.0</v>
      </c>
    </row>
    <row r="14701" ht="15.75" customHeight="1">
      <c r="A14701" s="1">
        <v>15638.0</v>
      </c>
      <c r="B14701" s="3" t="s">
        <v>13987</v>
      </c>
      <c r="C14701" s="3" t="str">
        <f>IFERROR(__xludf.DUMMYFUNCTION("GOOGLETRANSLATE(B14701,""id"",""en"")"),"['The application', 'open', 'please', 'fix']")</f>
        <v>['The application', 'open', 'please', 'fix']</v>
      </c>
      <c r="D14701" s="3">
        <v>5.0</v>
      </c>
    </row>
    <row r="14702" ht="15.75" customHeight="1">
      <c r="A14702" s="1">
        <v>15639.0</v>
      </c>
      <c r="B14702" s="3" t="s">
        <v>13988</v>
      </c>
      <c r="C14702" s="3" t="str">
        <f>IFERROR(__xludf.DUMMYFUNCTION("GOOGLETRANSLATE(B14702,""id"",""en"")"),"['Tlkomsel', 'weak', 'slow', 'area', '']")</f>
        <v>['Tlkomsel', 'weak', 'slow', 'area', '']</v>
      </c>
      <c r="D14702" s="3">
        <v>5.0</v>
      </c>
    </row>
    <row r="14703" ht="15.75" customHeight="1">
      <c r="A14703" s="1">
        <v>15640.0</v>
      </c>
      <c r="B14703" s="3" t="s">
        <v>13989</v>
      </c>
      <c r="C14703" s="3" t="str">
        <f>IFERROR(__xludf.DUMMYFUNCTION("GOOGLETRANSLATE(B14703,""id"",""en"")"),"['Feature', 'setting']")</f>
        <v>['Feature', 'setting']</v>
      </c>
      <c r="D14703" s="3">
        <v>4.0</v>
      </c>
    </row>
    <row r="14704" ht="15.75" customHeight="1">
      <c r="A14704" s="1">
        <v>15641.0</v>
      </c>
      <c r="B14704" s="3" t="s">
        <v>13990</v>
      </c>
      <c r="C14704" s="3" t="str">
        <f>IFERROR(__xludf.DUMMYFUNCTION("GOOGLETRANSLATE(B14704,""id"",""en"")"),"['Update', 'Open', 'Super', 'ugly']")</f>
        <v>['Update', 'Open', 'Super', 'ugly']</v>
      </c>
      <c r="D14704" s="3">
        <v>1.0</v>
      </c>
    </row>
    <row r="14705" ht="15.75" customHeight="1">
      <c r="A14705" s="1">
        <v>15642.0</v>
      </c>
      <c r="B14705" s="3" t="s">
        <v>13991</v>
      </c>
      <c r="C14705" s="3" t="str">
        <f>IFERROR(__xludf.DUMMYFUNCTION("GOOGLETRANSLATE(B14705,""id"",""en"")"),"['Tired', 'Application', 'Discard']")</f>
        <v>['Tired', 'Application', 'Discard']</v>
      </c>
      <c r="D14705" s="3">
        <v>1.0</v>
      </c>
    </row>
    <row r="14706" ht="15.75" customHeight="1">
      <c r="A14706" s="1">
        <v>15643.0</v>
      </c>
      <c r="B14706" s="3" t="s">
        <v>13992</v>
      </c>
      <c r="C14706" s="3" t="str">
        <f>IFERROR(__xludf.DUMMYFUNCTION("GOOGLETRANSLATE(B14706,""id"",""en"")"),"['', 'Wednesday', 'Application', 'Telkomsel', 'opened', 'please', 'repaired']")</f>
        <v>['', 'Wednesday', 'Application', 'Telkomsel', 'opened', 'please', 'repaired']</v>
      </c>
      <c r="D14706" s="3">
        <v>3.0</v>
      </c>
    </row>
    <row r="14707" ht="15.75" customHeight="1">
      <c r="A14707" s="1">
        <v>15644.0</v>
      </c>
      <c r="B14707" s="3" t="s">
        <v>13993</v>
      </c>
      <c r="C14707" s="3" t="str">
        <f>IFERROR(__xludf.DUMMYFUNCTION("GOOGLETRANSLATE(B14707,""id"",""en"")"),"['Nggk', 'knp', 'APK', 'opened', 'screen', 'white', 'run out', 'try', 'package', 'data', 'tetep', 'rich', ' GTU ',' knp ',' ']")</f>
        <v>['Nggk', 'knp', 'APK', 'opened', 'screen', 'white', 'run out', 'try', 'package', 'data', 'tetep', 'rich', ' GTU ',' knp ',' ']</v>
      </c>
      <c r="D14707" s="3">
        <v>1.0</v>
      </c>
    </row>
    <row r="14708" ht="15.75" customHeight="1">
      <c r="A14708" s="1">
        <v>15645.0</v>
      </c>
      <c r="B14708" s="3" t="s">
        <v>13994</v>
      </c>
      <c r="C14708" s="3" t="str">
        <f>IFERROR(__xludf.DUMMYFUNCTION("GOOGLETRANSLATE(B14708,""id"",""en"")"),"['Since', 'Update', 'Atuh', 'tired', 'Login', 'Fix', '']")</f>
        <v>['Since', 'Update', 'Atuh', 'tired', 'Login', 'Fix', '']</v>
      </c>
      <c r="D14708" s="3">
        <v>1.0</v>
      </c>
    </row>
    <row r="14709" ht="15.75" customHeight="1">
      <c r="A14709" s="1">
        <v>15646.0</v>
      </c>
      <c r="B14709" s="3" t="s">
        <v>13995</v>
      </c>
      <c r="C14709" s="3" t="str">
        <f>IFERROR(__xludf.DUMMYFUNCTION("GOOGLETRANSLATE(B14709,""id"",""en"")"),"['already', 'the application', 'opened', 'fix', '']")</f>
        <v>['already', 'the application', 'opened', 'fix', '']</v>
      </c>
      <c r="D14709" s="3">
        <v>1.0</v>
      </c>
    </row>
    <row r="14710" ht="15.75" customHeight="1">
      <c r="A14710" s="1">
        <v>15647.0</v>
      </c>
      <c r="B14710" s="3" t="s">
        <v>13996</v>
      </c>
      <c r="C14710" s="3" t="str">
        <f>IFERROR(__xludf.DUMMYFUNCTION("GOOGLETRANSLATE(B14710,""id"",""en"")"),"['Bugu', 'Very', 'Telkomsel', 'Features',' Credit ',' Safe ',' Credit ',' Sumpot ',' Ngacactivity ',' Data ',' Out ',' Shame ',' You ',' ']")</f>
        <v>['Bugu', 'Very', 'Telkomsel', 'Features',' Credit ',' Safe ',' Credit ',' Sumpot ',' Ngacactivity ',' Data ',' Out ',' Shame ',' You ',' ']</v>
      </c>
      <c r="D14710" s="3">
        <v>1.0</v>
      </c>
    </row>
    <row r="14711" ht="15.75" customHeight="1">
      <c r="A14711" s="1">
        <v>15649.0</v>
      </c>
      <c r="B14711" s="3" t="s">
        <v>13997</v>
      </c>
      <c r="C14711" s="3" t="str">
        <f>IFERROR(__xludf.DUMMYFUNCTION("GOOGLETRANSLATE(B14711,""id"",""en"")"),"['buy', 'quota', 'hrinya']")</f>
        <v>['buy', 'quota', 'hrinya']</v>
      </c>
      <c r="D14711" s="3">
        <v>2.0</v>
      </c>
    </row>
    <row r="14712" ht="15.75" customHeight="1">
      <c r="A14712" s="1">
        <v>15650.0</v>
      </c>
      <c r="B14712" s="3" t="s">
        <v>13998</v>
      </c>
      <c r="C14712" s="3" t="str">
        <f>IFERROR(__xludf.DUMMYFUNCTION("GOOGLETRANSLATE(B14712,""id"",""en"")"),"['', 'Madih', '']")</f>
        <v>['', 'Madih', '']</v>
      </c>
      <c r="D14712" s="3">
        <v>5.0</v>
      </c>
    </row>
    <row r="14713" ht="15.75" customHeight="1">
      <c r="A14713" s="1">
        <v>15651.0</v>
      </c>
      <c r="B14713" s="3" t="s">
        <v>13999</v>
      </c>
      <c r="C14713" s="3" t="str">
        <f>IFERROR(__xludf.DUMMYFUNCTION("GOOGLETRANSLATE(B14713,""id"",""en"")"),"['rotten', 'package']")</f>
        <v>['rotten', 'package']</v>
      </c>
      <c r="D14713" s="3">
        <v>1.0</v>
      </c>
    </row>
    <row r="14714" ht="15.75" customHeight="1">
      <c r="A14714" s="1">
        <v>15652.0</v>
      </c>
      <c r="B14714" s="3" t="s">
        <v>14000</v>
      </c>
      <c r="C14714" s="3" t="str">
        <f>IFERROR(__xludf.DUMMYFUNCTION("GOOGLETRANSLATE(B14714,""id"",""en"")"),"['Telkomsel', 'choose', 'love', 'expensive', 'package', 'package', 'splashy', 'paketan', 'RBAN', 'RH', 'cheap', 'Rb', ' Please ',' Choose ',' Love ',' Udh ',' mah ',' signal ',' ugly ',' given ',' Ujan ',' hmmmm ',' moved ',' provider ',' btw ' , 'Gamau',"&amp;" 'anything', 'twitter', 'telegram', 'etc.', 'Males', 'response', 'let', 'complaints', 'person', 'Thanks', ""]")</f>
        <v>['Telkomsel', 'choose', 'love', 'expensive', 'package', 'package', 'splashy', 'paketan', 'RBAN', 'RH', 'cheap', 'Rb', ' Please ',' Choose ',' Love ',' Udh ',' mah ',' signal ',' ugly ',' given ',' Ujan ',' hmmmm ',' moved ',' provider ',' btw ' , 'Gamau', 'anything', 'twitter', 'telegram', 'etc.', 'Males', 'response', 'let', 'complaints', 'person', 'Thanks', "]</v>
      </c>
      <c r="D14714" s="3">
        <v>1.0</v>
      </c>
    </row>
    <row r="14715" ht="15.75" customHeight="1">
      <c r="A14715" s="1">
        <v>15653.0</v>
      </c>
      <c r="B14715" s="3" t="s">
        <v>14001</v>
      </c>
      <c r="C14715" s="3" t="str">
        <f>IFERROR(__xludf.DUMMYFUNCTION("GOOGLETRANSLATE(B14715,""id"",""en"")"),"['Application', 'responds',' opened ',' screen ',' wherite ',' white ',' display ',' anything ',' application ',' closed ',' try ',' cleaning ',' Waste ',' Data ',' Change ',' Performance ',' Application ',' Bad ',' ']")</f>
        <v>['Application', 'responds',' opened ',' screen ',' wherite ',' white ',' display ',' anything ',' application ',' closed ',' try ',' cleaning ',' Waste ',' Data ',' Change ',' Performance ',' Application ',' Bad ',' ']</v>
      </c>
      <c r="D14715" s="3">
        <v>1.0</v>
      </c>
    </row>
    <row r="14716" ht="15.75" customHeight="1">
      <c r="A14716" s="1">
        <v>15654.0</v>
      </c>
      <c r="B14716" s="3" t="s">
        <v>14002</v>
      </c>
      <c r="C14716" s="3" t="str">
        <f>IFERROR(__xludf.DUMMYFUNCTION("GOOGLETRANSLATE(B14716,""id"",""en"")"),"['Help', 'process', 'fast']")</f>
        <v>['Help', 'process', 'fast']</v>
      </c>
      <c r="D14716" s="3">
        <v>5.0</v>
      </c>
    </row>
    <row r="14717" ht="15.75" customHeight="1">
      <c r="A14717" s="1">
        <v>15655.0</v>
      </c>
      <c r="B14717" s="3" t="s">
        <v>14003</v>
      </c>
      <c r="C14717" s="3" t="str">
        <f>IFERROR(__xludf.DUMMYFUNCTION("GOOGLETRANSLATE(B14717,""id"",""en"")"),"['Good', 'Network', 'Lemott']")</f>
        <v>['Good', 'Network', 'Lemott']</v>
      </c>
      <c r="D14717" s="3">
        <v>5.0</v>
      </c>
    </row>
    <row r="14718" ht="15.75" customHeight="1">
      <c r="A14718" s="1">
        <v>15656.0</v>
      </c>
      <c r="B14718" s="3" t="s">
        <v>14004</v>
      </c>
      <c r="C14718" s="3" t="str">
        <f>IFERROR(__xludf.DUMMYFUNCTION("GOOGLETRANSLATE(B14718,""id"",""en"")"),"['What', 'installed', 'reset', 'Ngebelng', 'Sihh', 'use', 'Lohhh', 'how', 'Telkomsel', 'his service', 'mulempm', 'Sihhhh', ' ']")</f>
        <v>['What', 'installed', 'reset', 'Ngebelng', 'Sihh', 'use', 'Lohhh', 'how', 'Telkomsel', 'his service', 'mulempm', 'Sihhhh', ' ']</v>
      </c>
      <c r="D14718" s="3">
        <v>5.0</v>
      </c>
    </row>
    <row r="14719" ht="15.75" customHeight="1">
      <c r="A14719" s="1">
        <v>15657.0</v>
      </c>
      <c r="B14719" s="3" t="s">
        <v>14005</v>
      </c>
      <c r="C14719" s="3" t="str">
        <f>IFERROR(__xludf.DUMMYFUNCTION("GOOGLETRANSLATE(B14719,""id"",""en"")"),"['Hopefully', 'Data', 'Personal', 'Customer', 'Safe', '']")</f>
        <v>['Hopefully', 'Data', 'Personal', 'Customer', 'Safe', '']</v>
      </c>
      <c r="D14719" s="3">
        <v>5.0</v>
      </c>
    </row>
    <row r="14720" ht="15.75" customHeight="1">
      <c r="A14720" s="1">
        <v>15658.0</v>
      </c>
      <c r="B14720" s="3" t="s">
        <v>14006</v>
      </c>
      <c r="C14720" s="3" t="str">
        <f>IFERROR(__xludf.DUMMYFUNCTION("GOOGLETRANSLATE(B14720,""id"",""en"")"),"['', 'Telkomsel', 'nyngang', 'match', 'card', 'Telkomsel']")</f>
        <v>['', 'Telkomsel', 'nyngang', 'match', 'card', 'Telkomsel']</v>
      </c>
      <c r="D14720" s="3">
        <v>3.0</v>
      </c>
    </row>
    <row r="14721" ht="15.75" customHeight="1">
      <c r="A14721" s="1">
        <v>15659.0</v>
      </c>
      <c r="B14721" s="3" t="s">
        <v>14007</v>
      </c>
      <c r="C14721" s="3" t="str">
        <f>IFERROR(__xludf.DUMMYFUNCTION("GOOGLETRANSLATE(B14721,""id"",""en"")"),"['Sinyal', 'Okay', 'Tampa', 'Leet', 'Telkomsel', ""]")</f>
        <v>['Sinyal', 'Okay', 'Tampa', 'Leet', 'Telkomsel', "]</v>
      </c>
      <c r="D14721" s="3">
        <v>5.0</v>
      </c>
    </row>
    <row r="14722" ht="15.75" customHeight="1">
      <c r="A14722" s="1">
        <v>15660.0</v>
      </c>
      <c r="B14722" s="3" t="s">
        <v>14008</v>
      </c>
      <c r="C14722" s="3" t="str">
        <f>IFERROR(__xludf.DUMMYFUNCTION("GOOGLETRANSLATE(B14722,""id"",""en"")"),"['poor', 'package', 'internet', 'useful', 'package', 'needed', 'use', 'package', 'watch', 'package', 'night']")</f>
        <v>['poor', 'package', 'internet', 'useful', 'package', 'needed', 'use', 'package', 'watch', 'package', 'night']</v>
      </c>
      <c r="D14722" s="3">
        <v>1.0</v>
      </c>
    </row>
    <row r="14723" ht="15.75" customHeight="1">
      <c r="A14723" s="1">
        <v>15661.0</v>
      </c>
      <c r="B14723" s="3" t="s">
        <v>14009</v>
      </c>
      <c r="C14723" s="3" t="str">
        <f>IFERROR(__xludf.DUMMYFUNCTION("GOOGLETRANSLATE(B14723,""id"",""en"")"),"['Severe', 'buy', 'package', 'family', 'all day', 'reason', 'server', 'busy', 'use', 'number', 'different', 'busy', ' Status', 'Package', 'Family', 'Out', 'A Day', 'Change', 'Package', 'Combo', 'Direct', 'SUCCESS', '']")</f>
        <v>['Severe', 'buy', 'package', 'family', 'all day', 'reason', 'server', 'busy', 'use', 'number', 'different', 'busy', ' Status', 'Package', 'Family', 'Out', 'A Day', 'Change', 'Package', 'Combo', 'Direct', 'SUCCESS', '']</v>
      </c>
      <c r="D14723" s="3">
        <v>1.0</v>
      </c>
    </row>
    <row r="14724" ht="15.75" customHeight="1">
      <c r="A14724" s="1">
        <v>15662.0</v>
      </c>
      <c r="B14724" s="3" t="s">
        <v>14010</v>
      </c>
      <c r="C14724" s="3" t="str">
        <f>IFERROR(__xludf.DUMMYFUNCTION("GOOGLETRANSLATE(B14724,""id"",""en"")"),"['application', 'msalah', 'opened', 'abdade', 'strange', ""]")</f>
        <v>['application', 'msalah', 'opened', 'abdade', 'strange', "]</v>
      </c>
      <c r="D14724" s="3">
        <v>1.0</v>
      </c>
    </row>
    <row r="14725" ht="15.75" customHeight="1">
      <c r="A14725" s="1">
        <v>15663.0</v>
      </c>
      <c r="B14725" s="3" t="s">
        <v>14011</v>
      </c>
      <c r="C14725" s="3" t="str">
        <f>IFERROR(__xludf.DUMMYFUNCTION("GOOGLETRANSLATE(B14725,""id"",""en"")"),"['Glad', 'side', 'pulse', 'Sya', 'Collongan', 'at the level', 'his perperm']")</f>
        <v>['Glad', 'side', 'pulse', 'Sya', 'Collongan', 'at the level', 'his perperm']</v>
      </c>
      <c r="D14725" s="3">
        <v>4.0</v>
      </c>
    </row>
    <row r="14726" ht="15.75" customHeight="1">
      <c r="A14726" s="1">
        <v>15664.0</v>
      </c>
      <c r="B14726" s="3" t="s">
        <v>14012</v>
      </c>
      <c r="C14726" s="3" t="str">
        <f>IFERROR(__xludf.DUMMYFUNCTION("GOOGLETRANSLATE(B14726,""id"",""en"")"),"['application', 'not', 'opened', 'update', 'apk', 'open', 'apk', 'color', 'white', 'udh', 'try', 'uninstall', ' Tetep ',' Nothing ',' Ever ',' Try ',' Min ',' Quota ',' Abis', 'Automatic', 'Stopped', 'internet', 'sucked', 'pulses', ""]")</f>
        <v>['application', 'not', 'opened', 'update', 'apk', 'open', 'apk', 'color', 'white', 'udh', 'try', 'uninstall', ' Tetep ',' Nothing ',' Ever ',' Try ',' Min ',' Quota ',' Abis', 'Automatic', 'Stopped', 'internet', 'sucked', 'pulses', "]</v>
      </c>
      <c r="D14726" s="3">
        <v>1.0</v>
      </c>
    </row>
    <row r="14727" ht="15.75" customHeight="1">
      <c r="A14727" s="1">
        <v>15665.0</v>
      </c>
      <c r="B14727" s="3" t="s">
        <v>14013</v>
      </c>
      <c r="C14727" s="3" t="str">
        <f>IFERROR(__xludf.DUMMYFUNCTION("GOOGLETRANSLATE(B14727,""id"",""en"")"),"['knp', 'network', 'Telkomsel', 'signal', 'ngelag', 'knp', 'company', 'rich', 'Indonesia', 'gini', 'maen', 'game', ' Tiktok ',' Whatsap ',' Ngelag ',' Knp ',' Please ',' Fix ',' Min ',' Disturbs', 'Activity', 'A Day']")</f>
        <v>['knp', 'network', 'Telkomsel', 'signal', 'ngelag', 'knp', 'company', 'rich', 'Indonesia', 'gini', 'maen', 'game', ' Tiktok ',' Whatsap ',' Ngelag ',' Knp ',' Please ',' Fix ',' Min ',' Disturbs', 'Activity', 'A Day']</v>
      </c>
      <c r="D14727" s="3">
        <v>1.0</v>
      </c>
    </row>
    <row r="14728" ht="15.75" customHeight="1">
      <c r="A14728" s="1">
        <v>15666.0</v>
      </c>
      <c r="B14728" s="3" t="s">
        <v>14014</v>
      </c>
      <c r="C14728" s="3" t="str">
        <f>IFERROR(__xludf.DUMMYFUNCTION("GOOGLETRANSLATE(B14728,""id"",""en"")"),"['Bonus', 'Login', 'Quota', 'Internet', 'Taro', 'Ujung', '']")</f>
        <v>['Bonus', 'Login', 'Quota', 'Internet', 'Taro', 'Ujung', '']</v>
      </c>
      <c r="D14728" s="3">
        <v>5.0</v>
      </c>
    </row>
    <row r="14729" ht="15.75" customHeight="1">
      <c r="A14729" s="1">
        <v>15667.0</v>
      </c>
      <c r="B14729" s="3" t="s">
        <v>14015</v>
      </c>
      <c r="C14729" s="3" t="str">
        <f>IFERROR(__xludf.DUMMYFUNCTION("GOOGLETRANSLATE(B14729,""id"",""en"")"),"['Kbuka', 'then', 'update', 'skarang', 'mah', 'kga', 'skali', 'clock', 'screen', 'white', 'pour', ' Taapee ',' Deeeh ',' bgin ',' update ',' ']")</f>
        <v>['Kbuka', 'then', 'update', 'skarang', 'mah', 'kga', 'skali', 'clock', 'screen', 'white', 'pour', ' Taapee ',' Deeeh ',' bgin ',' update ',' ']</v>
      </c>
      <c r="D14729" s="3">
        <v>1.0</v>
      </c>
    </row>
    <row r="14730" ht="15.75" customHeight="1">
      <c r="A14730" s="1">
        <v>15668.0</v>
      </c>
      <c r="B14730" s="3" t="s">
        <v>14016</v>
      </c>
      <c r="C14730" s="3" t="str">
        <f>IFERROR(__xludf.DUMMYFUNCTION("GOOGLETRANSLATE(B14730,""id"",""en"")"),"['Satisfied', 'use', 'Telkomsel']")</f>
        <v>['Satisfied', 'use', 'Telkomsel']</v>
      </c>
      <c r="D14730" s="3">
        <v>5.0</v>
      </c>
    </row>
    <row r="14731" ht="15.75" customHeight="1">
      <c r="A14731" s="1">
        <v>15670.0</v>
      </c>
      <c r="B14731" s="3" t="s">
        <v>14017</v>
      </c>
      <c r="C14731" s="3" t="str">
        <f>IFERROR(__xludf.DUMMYFUNCTION("GOOGLETRANSLATE(B14731,""id"",""en"")"),"['Package', 'Combo', 'Sakti', 'Lost', 'Price', 'Package', 'OMG', 'Offered', 'Expensive', '']")</f>
        <v>['Package', 'Combo', 'Sakti', 'Lost', 'Price', 'Package', 'OMG', 'Offered', 'Expensive', '']</v>
      </c>
      <c r="D14731" s="3">
        <v>1.0</v>
      </c>
    </row>
    <row r="14732" ht="15.75" customHeight="1">
      <c r="A14732" s="1">
        <v>15671.0</v>
      </c>
      <c r="B14732" s="3" t="s">
        <v>14018</v>
      </c>
      <c r="C14732" s="3" t="str">
        <f>IFERROR(__xludf.DUMMYFUNCTION("GOOGLETRANSLATE(B14732,""id"",""en"")"),"['Help', 'check', 'quota']")</f>
        <v>['Help', 'check', 'quota']</v>
      </c>
      <c r="D14732" s="3">
        <v>5.0</v>
      </c>
    </row>
    <row r="14733" ht="15.75" customHeight="1">
      <c r="A14733" s="1">
        <v>15672.0</v>
      </c>
      <c r="B14733" s="3" t="s">
        <v>1707</v>
      </c>
      <c r="C14733" s="3" t="str">
        <f>IFERROR(__xludf.DUMMYFUNCTION("GOOGLETRANSLATE(B14733,""id"",""en"")"),"['Telkomsel', 'okay', 'really', '']")</f>
        <v>['Telkomsel', 'okay', 'really', '']</v>
      </c>
      <c r="D14733" s="3">
        <v>4.0</v>
      </c>
    </row>
    <row r="14734" ht="15.75" customHeight="1">
      <c r="A14734" s="1">
        <v>15673.0</v>
      </c>
      <c r="B14734" s="3" t="s">
        <v>14019</v>
      </c>
      <c r="C14734" s="3" t="str">
        <f>IFERROR(__xludf.DUMMYFUNCTION("GOOGLETRANSLATE(B14734,""id"",""en"")"),"['', 'update', 'blank', 'doang']")</f>
        <v>['', 'update', 'blank', 'doang']</v>
      </c>
      <c r="D14734" s="3">
        <v>1.0</v>
      </c>
    </row>
    <row r="14735" ht="15.75" customHeight="1">
      <c r="A14735" s="1">
        <v>15674.0</v>
      </c>
      <c r="B14735" s="3" t="s">
        <v>14020</v>
      </c>
      <c r="C14735" s="3" t="str">
        <f>IFERROR(__xludf.DUMMYFUNCTION("GOOGLETRANSLATE(B14735,""id"",""en"")"),"['Gymna', 'Open', 'White', '']")</f>
        <v>['Gymna', 'Open', 'White', '']</v>
      </c>
      <c r="D14735" s="3">
        <v>1.0</v>
      </c>
    </row>
    <row r="14736" ht="15.75" customHeight="1">
      <c r="A14736" s="1">
        <v>15675.0</v>
      </c>
      <c r="B14736" s="3" t="s">
        <v>10908</v>
      </c>
      <c r="C14736" s="3" t="str">
        <f>IFERROR(__xludf.DUMMYFUNCTION("GOOGLETRANSLATE(B14736,""id"",""en"")"),"['Open', 'application']")</f>
        <v>['Open', 'application']</v>
      </c>
      <c r="D14736" s="3">
        <v>1.0</v>
      </c>
    </row>
    <row r="14737" ht="15.75" customHeight="1">
      <c r="A14737" s="1">
        <v>15676.0</v>
      </c>
      <c r="B14737" s="3" t="s">
        <v>14021</v>
      </c>
      <c r="C14737" s="3" t="str">
        <f>IFERROR(__xludf.DUMMYFUNCTION("GOOGLETRANSLATE(B14737,""id"",""en"")"),"['The application', 'opened', 'Wait', 'Loading', 'Minutes', 'Look', 'Color', 'White']")</f>
        <v>['The application', 'opened', 'Wait', 'Loading', 'Minutes', 'Look', 'Color', 'White']</v>
      </c>
      <c r="D14737" s="3">
        <v>1.0</v>
      </c>
    </row>
    <row r="14738" ht="15.75" customHeight="1">
      <c r="A14738" s="1">
        <v>15677.0</v>
      </c>
      <c r="B14738" s="3" t="s">
        <v>14022</v>
      </c>
      <c r="C14738" s="3" t="str">
        <f>IFERROR(__xludf.DUMMYFUNCTION("GOOGLETRANSLATE(B14738,""id"",""en"")"),"['Telkomsel', 'Khsus',' Customer ',' Card ',' Hello ',' Karna ',' Send ',' Code ',' Verification ',' Credit ',' Contents', 'Credit', ' Valid ',' processed ',' buy ',' pulse ',' list ',' mobile ',' JKN ',' BPJS ',' list ',' application ',' pulses', 'what',"&amp;" 'negini' , 'Yesterday', 'moved', 'Hello', ""]")</f>
        <v>['Telkomsel', 'Khsus',' Customer ',' Card ',' Hello ',' Karna ',' Send ',' Code ',' Verification ',' Credit ',' Contents', 'Credit', ' Valid ',' processed ',' buy ',' pulse ',' list ',' mobile ',' JKN ',' BPJS ',' list ',' application ',' pulses', 'what', 'negini' , 'Yesterday', 'moved', 'Hello', "]</v>
      </c>
      <c r="D14738" s="3">
        <v>1.0</v>
      </c>
    </row>
    <row r="14739" ht="15.75" customHeight="1">
      <c r="A14739" s="1">
        <v>15678.0</v>
      </c>
      <c r="B14739" s="3" t="s">
        <v>14023</v>
      </c>
      <c r="C14739" s="3" t="str">
        <f>IFERROR(__xludf.DUMMYFUNCTION("GOOGLETRANSLATE(B14739,""id"",""en"")"),"['The application', 'opened', 'Ngeblank', 'White', 'already', 'disappointed', ""]")</f>
        <v>['The application', 'opened', 'Ngeblank', 'White', 'already', 'disappointed', "]</v>
      </c>
      <c r="D14739" s="3">
        <v>2.0</v>
      </c>
    </row>
    <row r="14740" ht="15.75" customHeight="1">
      <c r="A14740" s="1">
        <v>15679.0</v>
      </c>
      <c r="B14740" s="3" t="s">
        <v>14024</v>
      </c>
      <c r="C14740" s="3" t="str">
        <f>IFERROR(__xludf.DUMMYFUNCTION("GOOGLETRANSLATE(B14740,""id"",""en"")"),"['Good', 'Application', 'Opened', '']")</f>
        <v>['Good', 'Application', 'Opened', '']</v>
      </c>
      <c r="D14740" s="3">
        <v>1.0</v>
      </c>
    </row>
    <row r="14741" ht="15.75" customHeight="1">
      <c r="A14741" s="1">
        <v>15680.0</v>
      </c>
      <c r="B14741" s="3" t="s">
        <v>14025</v>
      </c>
      <c r="C14741" s="3" t="str">
        <f>IFERROR(__xludf.DUMMYFUNCTION("GOOGLETRANSLATE(B14741,""id"",""en"")"),"['', 'Telkomsel', 'difficult', 'opened', 'please', 'help']")</f>
        <v>['', 'Telkomsel', 'difficult', 'opened', 'please', 'help']</v>
      </c>
      <c r="D14741" s="3">
        <v>4.0</v>
      </c>
    </row>
    <row r="14742" ht="15.75" customHeight="1">
      <c r="A14742" s="1">
        <v>15681.0</v>
      </c>
      <c r="B14742" s="3" t="s">
        <v>14026</v>
      </c>
      <c r="C14742" s="3" t="str">
        <f>IFERROR(__xludf.DUMMYFUNCTION("GOOGLETRANSLATE(B14742,""id"",""en"")"),"['Mantip', 'cheap', 'nampol', 'mksh', 'telkomsel', 'heart', '']")</f>
        <v>['Mantip', 'cheap', 'nampol', 'mksh', 'telkomsel', 'heart', '']</v>
      </c>
      <c r="D14742" s="3">
        <v>5.0</v>
      </c>
    </row>
    <row r="14743" ht="15.75" customHeight="1">
      <c r="A14743" s="1">
        <v>15682.0</v>
      </c>
      <c r="B14743" s="3" t="s">
        <v>14027</v>
      </c>
      <c r="C14743" s="3" t="str">
        <f>IFERROR(__xludf.DUMMYFUNCTION("GOOGLETRANSLATE(B14743,""id"",""en"")"),"['signal', 'ugly', 'subscription', 'sky', 'music', 'function', 'complaint', 'grapari', 'told', 'waiting', 'until', 'until' active ',' subscription ',' run out ',' sky ',' music ',' premium ',' active ',' vain ',' vain ',' heart ',' heart ',' subscribe ','"&amp;" package ' , 'additional', 'buy', 'package', 'data']")</f>
        <v>['signal', 'ugly', 'subscription', 'sky', 'music', 'function', 'complaint', 'grapari', 'told', 'waiting', 'until', 'until' active ',' subscription ',' run out ',' sky ',' music ',' premium ',' active ',' vain ',' vain ',' heart ',' heart ',' subscribe ',' package ' , 'additional', 'buy', 'package', 'data']</v>
      </c>
      <c r="D14743" s="3">
        <v>1.0</v>
      </c>
    </row>
    <row r="14744" ht="15.75" customHeight="1">
      <c r="A14744" s="1">
        <v>15683.0</v>
      </c>
      <c r="B14744" s="3" t="s">
        <v>14028</v>
      </c>
      <c r="C14744" s="3" t="str">
        <f>IFERROR(__xludf.DUMMYFUNCTION("GOOGLETRANSLATE(B14744,""id"",""en"")"),"['network', 'Telkomsel', 'slow', 'rich', 'price', 'network', 'slow', '']")</f>
        <v>['network', 'Telkomsel', 'slow', 'rich', 'price', 'network', 'slow', '']</v>
      </c>
      <c r="D14744" s="3">
        <v>1.0</v>
      </c>
    </row>
    <row r="14745" ht="15.75" customHeight="1">
      <c r="A14745" s="1">
        <v>15684.0</v>
      </c>
      <c r="B14745" s="3" t="s">
        <v>14029</v>
      </c>
      <c r="C14745" s="3" t="str">
        <f>IFERROR(__xludf.DUMMYFUNCTION("GOOGLETRANSLATE(B14745,""id"",""en"")"),"['pulse', 'missing', 'notification', 'please']")</f>
        <v>['pulse', 'missing', 'notification', 'please']</v>
      </c>
      <c r="D14745" s="3">
        <v>1.0</v>
      </c>
    </row>
    <row r="14746" ht="15.75" customHeight="1">
      <c r="A14746" s="1">
        <v>15685.0</v>
      </c>
      <c r="B14746" s="3" t="s">
        <v>14030</v>
      </c>
      <c r="C14746" s="3" t="str">
        <f>IFERROR(__xludf.DUMMYFUNCTION("GOOGLETRANSLATE(B14746,""id"",""en"")"),"['Open', 'Application', 'Out', 'Update', 'Opened', '']")</f>
        <v>['Open', 'Application', 'Out', 'Update', 'Opened', '']</v>
      </c>
      <c r="D14746" s="3">
        <v>5.0</v>
      </c>
    </row>
    <row r="14747" ht="15.75" customHeight="1">
      <c r="A14747" s="1">
        <v>15686.0</v>
      </c>
      <c r="B14747" s="3" t="s">
        <v>14031</v>
      </c>
      <c r="C14747" s="3" t="str">
        <f>IFERROR(__xludf.DUMMYFUNCTION("GOOGLETRANSLATE(B14747,""id"",""en"")"),"['', 'open', 'application', 'Telkomsel', 'contents', 'quota', 'jga', 'difficult', 'please', 'fast', 'fix']")</f>
        <v>['', 'open', 'application', 'Telkomsel', 'contents', 'quota', 'jga', 'difficult', 'please', 'fast', 'fix']</v>
      </c>
      <c r="D14747" s="3">
        <v>1.0</v>
      </c>
    </row>
    <row r="14748" ht="15.75" customHeight="1">
      <c r="A14748" s="1">
        <v>15688.0</v>
      </c>
      <c r="B14748" s="3" t="s">
        <v>14032</v>
      </c>
      <c r="C14748" s="3" t="str">
        <f>IFERROR(__xludf.DUMMYFUNCTION("GOOGLETRANSLATE(B14748,""id"",""en"")"),"['Update', 'application', 'open']")</f>
        <v>['Update', 'application', 'open']</v>
      </c>
      <c r="D14748" s="3">
        <v>1.0</v>
      </c>
    </row>
    <row r="14749" ht="15.75" customHeight="1">
      <c r="A14749" s="1">
        <v>15689.0</v>
      </c>
      <c r="B14749" s="3" t="s">
        <v>14033</v>
      </c>
      <c r="C14749" s="3" t="str">
        <f>IFERROR(__xludf.DUMMYFUNCTION("GOOGLETRANSLATE(B14749,""id"",""en"")"),"['', 'BRP', 'Application', 'Telkomsel', 'Open', 'Difficult', 'Nyari', 'Information', 'Telkomsel', 'Tollong', 'Donk', 'explanation']")</f>
        <v>['', 'BRP', 'Application', 'Telkomsel', 'Open', 'Difficult', 'Nyari', 'Information', 'Telkomsel', 'Tollong', 'Donk', 'explanation']</v>
      </c>
      <c r="D14749" s="3">
        <v>4.0</v>
      </c>
    </row>
    <row r="14750" ht="15.75" customHeight="1">
      <c r="A14750" s="1">
        <v>15690.0</v>
      </c>
      <c r="B14750" s="3" t="s">
        <v>14034</v>
      </c>
      <c r="C14750" s="3" t="str">
        <f>IFERROR(__xludf.DUMMYFUNCTION("GOOGLETRANSLATE(B14750,""id"",""en"")"),"['Trimaxi', 'MEPERMEND', 'User', 'Telkomsel']")</f>
        <v>['Trimaxi', 'MEPERMEND', 'User', 'Telkomsel']</v>
      </c>
      <c r="D14750" s="3">
        <v>4.0</v>
      </c>
    </row>
    <row r="14751" ht="15.75" customHeight="1">
      <c r="A14751" s="1">
        <v>15691.0</v>
      </c>
      <c r="B14751" s="3" t="s">
        <v>14035</v>
      </c>
      <c r="C14751" s="3" t="str">
        <f>IFERROR(__xludf.DUMMYFUNCTION("GOOGLETRANSLATE(B14751,""id"",""en"")"),"['', 'looks', 'results', 'Install', 'Telkomsel', 'Dilayar', '']")</f>
        <v>['', 'looks', 'results', 'Install', 'Telkomsel', 'Dilayar', '']</v>
      </c>
      <c r="D14751" s="3">
        <v>5.0</v>
      </c>
    </row>
    <row r="14752" ht="15.75" customHeight="1">
      <c r="A14752" s="1">
        <v>15692.0</v>
      </c>
      <c r="B14752" s="3" t="s">
        <v>14036</v>
      </c>
      <c r="C14752" s="3" t="str">
        <f>IFERROR(__xludf.DUMMYFUNCTION("GOOGLETRANSLATE(B14752,""id"",""en"")"),"['Exchange', 'Credit', 'Kayak']")</f>
        <v>['Exchange', 'Credit', 'Kayak']</v>
      </c>
      <c r="D14752" s="3">
        <v>1.0</v>
      </c>
    </row>
    <row r="14753" ht="15.75" customHeight="1">
      <c r="A14753" s="1">
        <v>15693.0</v>
      </c>
      <c r="B14753" s="3" t="s">
        <v>14037</v>
      </c>
      <c r="C14753" s="3" t="str">
        <f>IFERROR(__xludf.DUMMYFUNCTION("GOOGLETRANSLATE(B14753,""id"",""en"")"),"['Please', 'Price', 'Package', 'Quota', 'Combo', 'Sakti', 'Unlimited', 'GB', 'GB', 'Dinaikin', 'Price', 'right', ' ']")</f>
        <v>['Please', 'Price', 'Package', 'Quota', 'Combo', 'Sakti', 'Unlimited', 'GB', 'GB', 'Dinaikin', 'Price', 'right', ' ']</v>
      </c>
      <c r="D14753" s="3">
        <v>3.0</v>
      </c>
    </row>
    <row r="14754" ht="15.75" customHeight="1">
      <c r="A14754" s="1">
        <v>15694.0</v>
      </c>
      <c r="B14754" s="3" t="s">
        <v>14038</v>
      </c>
      <c r="C14754" s="3" t="str">
        <f>IFERROR(__xludf.DUMMYFUNCTION("GOOGLETRANSLATE(B14754,""id"",""en"")"),"['How', 'APK', 'Blank', 'Please', 'Fix', 'Difficult', 'Access', '']")</f>
        <v>['How', 'APK', 'Blank', 'Please', 'Fix', 'Difficult', 'Access', '']</v>
      </c>
      <c r="D14754" s="3">
        <v>1.0</v>
      </c>
    </row>
    <row r="14755" ht="15.75" customHeight="1">
      <c r="A14755" s="1">
        <v>15695.0</v>
      </c>
      <c r="B14755" s="3" t="s">
        <v>14039</v>
      </c>
      <c r="C14755" s="3" t="str">
        <f>IFERROR(__xludf.DUMMYFUNCTION("GOOGLETRANSLATE(B14755,""id"",""en"")"),"['', 'Telkomsel', 'update', 'enter', 'already', 'try', 'uninstall', 'dowlod', 'please', 'fix', '']")</f>
        <v>['', 'Telkomsel', 'update', 'enter', 'already', 'try', 'uninstall', 'dowlod', 'please', 'fix', '']</v>
      </c>
      <c r="D14755" s="3">
        <v>1.0</v>
      </c>
    </row>
    <row r="14756" ht="15.75" customHeight="1">
      <c r="A14756" s="1">
        <v>15696.0</v>
      </c>
      <c r="B14756" s="3" t="s">
        <v>14040</v>
      </c>
      <c r="C14756" s="3" t="str">
        <f>IFERROR(__xludf.DUMMYFUNCTION("GOOGLETRANSLATE(B14756,""id"",""en"")"),"['Update', 'gabisa', 'entered', 'yaa', 'sya', 'udh', 'try', 'uninstall', 'then', 'sya', 'install', 'ttp', ' gabisa ',' entered ',' yaa ',' blank ',' gituu ',' knpa ',' yaa ',' please ',' fix ','a']")</f>
        <v>['Update', 'gabisa', 'entered', 'yaa', 'sya', 'udh', 'try', 'uninstall', 'then', 'sya', 'install', 'ttp', ' gabisa ',' entered ',' yaa ',' blank ',' gituu ',' knpa ',' yaa ',' please ',' fix ','a']</v>
      </c>
      <c r="D14756" s="3">
        <v>2.0</v>
      </c>
    </row>
    <row r="14757" ht="15.75" customHeight="1">
      <c r="A14757" s="1">
        <v>15697.0</v>
      </c>
      <c r="B14757" s="3" t="s">
        <v>14041</v>
      </c>
      <c r="C14757" s="3" t="str">
        <f>IFERROR(__xludf.DUMMYFUNCTION("GOOGLETRANSLATE(B14757,""id"",""en"")"),"['entry', 'application', 'yesterday', 'open', 'application', 'Telkomsel', 'screen', 'white', 'then', 'koc', 'like', 'gini', ' ']")</f>
        <v>['entry', 'application', 'yesterday', 'open', 'application', 'Telkomsel', 'screen', 'white', 'then', 'koc', 'like', 'gini', ' ']</v>
      </c>
      <c r="D14757" s="3">
        <v>2.0</v>
      </c>
    </row>
    <row r="14758" ht="15.75" customHeight="1">
      <c r="A14758" s="1">
        <v>15698.0</v>
      </c>
      <c r="B14758" s="3" t="s">
        <v>14042</v>
      </c>
      <c r="C14758" s="3" t="str">
        <f>IFERROR(__xludf.DUMMYFUNCTION("GOOGLETRANSLATE(B14758,""id"",""en"")"),"['hi', 'Telkomsel', 'user', 'your wife', 'times',' disappointing ',' Telkomsel ',' difficult ',' opened ',' ngeselin ',' really ',' your name ',' Family ',' fix ',' quality ',' ']")</f>
        <v>['hi', 'Telkomsel', 'user', 'your wife', 'times',' disappointing ',' Telkomsel ',' difficult ',' opened ',' ngeselin ',' really ',' your name ',' Family ',' fix ',' quality ',' ']</v>
      </c>
      <c r="D14758" s="3">
        <v>1.0</v>
      </c>
    </row>
    <row r="14759" ht="15.75" customHeight="1">
      <c r="A14759" s="1">
        <v>15700.0</v>
      </c>
      <c r="B14759" s="3" t="s">
        <v>14043</v>
      </c>
      <c r="C14759" s="3" t="str">
        <f>IFERROR(__xludf.DUMMYFUNCTION("GOOGLETRANSLATE(B14759,""id"",""en"")"),"['Link', 'Link', 'Login', 'Function', 'Becus', '']")</f>
        <v>['Link', 'Link', 'Login', 'Function', 'Becus', '']</v>
      </c>
      <c r="D14759" s="3">
        <v>1.0</v>
      </c>
    </row>
    <row r="14760" ht="15.75" customHeight="1">
      <c r="A14760" s="1">
        <v>15701.0</v>
      </c>
      <c r="B14760" s="3" t="s">
        <v>14044</v>
      </c>
      <c r="C14760" s="3" t="str">
        <f>IFERROR(__xludf.DUMMYFUNCTION("GOOGLETRANSLATE(B14760,""id"",""en"")"),"['Please', 'fix', 'app', 'already', 'hri', 'open', 'slow', 'response', '']")</f>
        <v>['Please', 'fix', 'app', 'already', 'hri', 'open', 'slow', 'response', '']</v>
      </c>
      <c r="D14760" s="3">
        <v>1.0</v>
      </c>
    </row>
    <row r="14761" ht="15.75" customHeight="1">
      <c r="A14761" s="1">
        <v>15702.0</v>
      </c>
      <c r="B14761" s="3" t="s">
        <v>14045</v>
      </c>
      <c r="C14761" s="3" t="str">
        <f>IFERROR(__xludf.DUMMYFUNCTION("GOOGLETRANSLATE(B14761,""id"",""en"")"),"['Application', 'koplak', 'a week', 'opened', 'Jirrr']")</f>
        <v>['Application', 'koplak', 'a week', 'opened', 'Jirrr']</v>
      </c>
      <c r="D14761" s="3">
        <v>1.0</v>
      </c>
    </row>
    <row r="14762" ht="15.75" customHeight="1">
      <c r="A14762" s="1">
        <v>15703.0</v>
      </c>
      <c r="B14762" s="3" t="s">
        <v>14046</v>
      </c>
      <c r="C14762" s="3" t="str">
        <f>IFERROR(__xludf.DUMMYFUNCTION("GOOGLETRANSLATE(B14762,""id"",""en"")"),"['Ribet', 'really', 'just', 'login', 'knp', 'nggk', 'kek', 'just', 'enter', 'code', 'kek', 'gini', ' enter', '']")</f>
        <v>['Ribet', 'really', 'just', 'login', 'knp', 'nggk', 'kek', 'just', 'enter', 'code', 'kek', 'gini', ' enter', '']</v>
      </c>
      <c r="D14762" s="3">
        <v>1.0</v>
      </c>
    </row>
    <row r="14763" ht="15.75" customHeight="1">
      <c r="A14763" s="1">
        <v>15704.0</v>
      </c>
      <c r="B14763" s="3" t="s">
        <v>14047</v>
      </c>
      <c r="C14763" s="3" t="str">
        <f>IFERROR(__xludf.DUMMYFUNCTION("GOOGLETRANSLATE(B14763,""id"",""en"")"),"['apk', 'open', 'package', 'data', 'operator', 'open', 'package', 'data', 'telkomsel', 'result', 'zong', 'slow', ' very']")</f>
        <v>['apk', 'open', 'package', 'data', 'operator', 'open', 'package', 'data', 'telkomsel', 'result', 'zong', 'slow', ' very']</v>
      </c>
      <c r="D14763" s="3">
        <v>2.0</v>
      </c>
    </row>
    <row r="14764" ht="15.75" customHeight="1">
      <c r="A14764" s="1">
        <v>15705.0</v>
      </c>
      <c r="B14764" s="3" t="s">
        <v>14048</v>
      </c>
      <c r="C14764" s="3" t="str">
        <f>IFERROR(__xludf.DUMMYFUNCTION("GOOGLETRANSLATE(B14764,""id"",""en"")"),"['opened', 'use', 'application']")</f>
        <v>['opened', 'use', 'application']</v>
      </c>
      <c r="D14764" s="3">
        <v>1.0</v>
      </c>
    </row>
    <row r="14765" ht="15.75" customHeight="1">
      <c r="A14765" s="1">
        <v>15706.0</v>
      </c>
      <c r="B14765" s="3" t="s">
        <v>14049</v>
      </c>
      <c r="C14765" s="3" t="str">
        <f>IFERROR(__xludf.DUMMYFUNCTION("GOOGLETRANSLATE(B14765,""id"",""en"")"),"['process', 'fast', 'good', 'really']")</f>
        <v>['process', 'fast', 'good', 'really']</v>
      </c>
      <c r="D14765" s="3">
        <v>5.0</v>
      </c>
    </row>
    <row r="14766" ht="15.75" customHeight="1">
      <c r="A14766" s="1">
        <v>15708.0</v>
      </c>
      <c r="B14766" s="3" t="s">
        <v>14050</v>
      </c>
      <c r="C14766" s="3" t="str">
        <f>IFERROR(__xludf.DUMMYFUNCTION("GOOGLETRANSLATE(B14766,""id"",""en"")"),"['Promo', '']")</f>
        <v>['Promo', '']</v>
      </c>
      <c r="D14766" s="3">
        <v>5.0</v>
      </c>
    </row>
    <row r="14767" ht="15.75" customHeight="1">
      <c r="A14767" s="1">
        <v>15709.0</v>
      </c>
      <c r="B14767" s="3" t="s">
        <v>14051</v>
      </c>
      <c r="C14767" s="3" t="str">
        <f>IFERROR(__xludf.DUMMYFUNCTION("GOOGLETRANSLATE(B14767,""id"",""en"")"),"['Sorry', 'Lower', 'The Star', 'Try', 'Uninstall', 'Reinstall', 'Many', 'Kali', 'Karna', 'Opened', 'Display', 'White']")</f>
        <v>['Sorry', 'Lower', 'The Star', 'Try', 'Uninstall', 'Reinstall', 'Many', 'Kali', 'Karna', 'Opened', 'Display', 'White']</v>
      </c>
      <c r="D14767" s="3">
        <v>2.0</v>
      </c>
    </row>
    <row r="14768" ht="15.75" customHeight="1">
      <c r="A14768" s="1">
        <v>15710.0</v>
      </c>
      <c r="B14768" s="3" t="s">
        <v>14052</v>
      </c>
      <c r="C14768" s="3" t="str">
        <f>IFERROR(__xludf.DUMMYFUNCTION("GOOGLETRANSLATE(B14768,""id"",""en"")"),"['Application', 'Blank', 'White', 'BSA', 'Opened', 'Update']")</f>
        <v>['Application', 'Blank', 'White', 'BSA', 'Opened', 'Update']</v>
      </c>
      <c r="D14768" s="3">
        <v>1.0</v>
      </c>
    </row>
    <row r="14769" ht="15.75" customHeight="1">
      <c r="A14769" s="1">
        <v>15711.0</v>
      </c>
      <c r="B14769" s="3" t="s">
        <v>14053</v>
      </c>
      <c r="C14769" s="3" t="str">
        <f>IFERROR(__xludf.DUMMYFUNCTION("GOOGLETRANSLATE(B14769,""id"",""en"")"),"['Hbs', 'update', 'Telkomsel', 'Open']")</f>
        <v>['Hbs', 'update', 'Telkomsel', 'Open']</v>
      </c>
      <c r="D14769" s="3">
        <v>2.0</v>
      </c>
    </row>
    <row r="14770" ht="15.75" customHeight="1">
      <c r="A14770" s="1">
        <v>15712.0</v>
      </c>
      <c r="B14770" s="3" t="s">
        <v>14054</v>
      </c>
      <c r="C14770" s="3" t="str">
        <f>IFERROR(__xludf.DUMMYFUNCTION("GOOGLETRANSLATE(B14770,""id"",""en"")"),"['Hopefully', 'get', ""]")</f>
        <v>['Hopefully', 'get', "]</v>
      </c>
      <c r="D14770" s="3">
        <v>5.0</v>
      </c>
    </row>
    <row r="14771" ht="15.75" customHeight="1">
      <c r="A14771" s="1">
        <v>15713.0</v>
      </c>
      <c r="B14771" s="3" t="s">
        <v>1601</v>
      </c>
      <c r="C14771" s="3" t="str">
        <f>IFERROR(__xludf.DUMMYFUNCTION("GOOGLETRANSLATE(B14771,""id"",""en"")"),"['open']")</f>
        <v>['open']</v>
      </c>
      <c r="D14771" s="3">
        <v>1.0</v>
      </c>
    </row>
    <row r="14772" ht="15.75" customHeight="1">
      <c r="A14772" s="1">
        <v>15714.0</v>
      </c>
      <c r="B14772" s="3" t="s">
        <v>14055</v>
      </c>
      <c r="C14772" s="3" t="str">
        <f>IFERROR(__xludf.DUMMYFUNCTION("GOOGLETRANSLATE(B14772,""id"",""en"")"),"['convenience', 'child', 'school', 'economy', 'right', 'pasas', ""]")</f>
        <v>['convenience', 'child', 'school', 'economy', 'right', 'pasas', "]</v>
      </c>
      <c r="D14772" s="3">
        <v>4.0</v>
      </c>
    </row>
    <row r="14773" ht="15.75" customHeight="1">
      <c r="A14773" s="1">
        <v>15715.0</v>
      </c>
      <c r="B14773" s="3" t="s">
        <v>14056</v>
      </c>
      <c r="C14773" s="3" t="str">
        <f>IFERROR(__xludf.DUMMYFUNCTION("GOOGLETRANSLATE(B14773,""id"",""en"")"),"['already', 'a week', 'application', 'uninstall', 'open', 'error']")</f>
        <v>['already', 'a week', 'application', 'uninstall', 'open', 'error']</v>
      </c>
      <c r="D14773" s="3">
        <v>2.0</v>
      </c>
    </row>
    <row r="14774" ht="15.75" customHeight="1">
      <c r="A14774" s="1">
        <v>15716.0</v>
      </c>
      <c r="B14774" s="3" t="s">
        <v>14057</v>
      </c>
      <c r="C14774" s="3" t="str">
        <f>IFERROR(__xludf.DUMMYFUNCTION("GOOGLETRANSLATE(B14774,""id"",""en"")"),"['Hopefully', 'Can', 'Lottery']")</f>
        <v>['Hopefully', 'Can', 'Lottery']</v>
      </c>
      <c r="D14774" s="3">
        <v>5.0</v>
      </c>
    </row>
    <row r="14775" ht="15.75" customHeight="1">
      <c r="A14775" s="1">
        <v>15717.0</v>
      </c>
      <c r="B14775" s="3" t="s">
        <v>14058</v>
      </c>
      <c r="C14775" s="3" t="str">
        <f>IFERROR(__xludf.DUMMYFUNCTION("GOOGLETRANSLATE(B14775,""id"",""en"")"),"['The application', 'Heavy', 'Login', 'Need', 'Minutes', 'Login', ""]")</f>
        <v>['The application', 'Heavy', 'Login', 'Need', 'Minutes', 'Login', "]</v>
      </c>
      <c r="D14775" s="3">
        <v>2.0</v>
      </c>
    </row>
    <row r="14776" ht="15.75" customHeight="1">
      <c r="A14776" s="1">
        <v>15719.0</v>
      </c>
      <c r="B14776" s="3" t="s">
        <v>14059</v>
      </c>
      <c r="C14776" s="3" t="str">
        <f>IFERROR(__xludf.DUMMYFUNCTION("GOOGLETRANSLATE(B14776,""id"",""en"")"),"['Telkomsel', 'Application', 'Dilapidated', 'Signal', 'ilang', 'Nilagan', 'Molo', 'Telkomsel', 'Blom', 'Pay', 'Tax', 'Jdi', ' Lemottt ',' Telkomsel ',' hope ', ""]")</f>
        <v>['Telkomsel', 'Application', 'Dilapidated', 'Signal', 'ilang', 'Nilagan', 'Molo', 'Telkomsel', 'Blom', 'Pay', 'Tax', 'Jdi', ' Lemottt ',' Telkomsel ',' hope ', "]</v>
      </c>
      <c r="D14776" s="3">
        <v>1.0</v>
      </c>
    </row>
    <row r="14777" ht="15.75" customHeight="1">
      <c r="A14777" s="1">
        <v>15721.0</v>
      </c>
      <c r="B14777" s="3" t="s">
        <v>9036</v>
      </c>
      <c r="C14777" s="3" t="str">
        <f>IFERROR(__xludf.DUMMYFUNCTION("GOOGLETRANSLATE(B14777,""id"",""en"")"),"['signal', 'wherever']")</f>
        <v>['signal', 'wherever']</v>
      </c>
      <c r="D14777" s="3">
        <v>5.0</v>
      </c>
    </row>
    <row r="14778" ht="15.75" customHeight="1">
      <c r="A14778" s="1">
        <v>15722.0</v>
      </c>
      <c r="B14778" s="3" t="s">
        <v>14060</v>
      </c>
      <c r="C14778" s="3" t="str">
        <f>IFERROR(__xludf.DUMMYFUNCTION("GOOGLETRANSLATE(B14778,""id"",""en"")"),"['application', 'buy', 'package', 'sms', 'description', 'success', 'pokonya', 'buy', 'package', ""]")</f>
        <v>['application', 'buy', 'package', 'sms', 'description', 'success', 'pokonya', 'buy', 'package', "]</v>
      </c>
      <c r="D14778" s="3">
        <v>1.0</v>
      </c>
    </row>
    <row r="14779" ht="15.75" customHeight="1">
      <c r="A14779" s="1">
        <v>15723.0</v>
      </c>
      <c r="B14779" s="3" t="s">
        <v>14061</v>
      </c>
      <c r="C14779" s="3" t="str">
        <f>IFERROR(__xludf.DUMMYFUNCTION("GOOGLETRANSLATE(B14779,""id"",""en"")"),"['', 'Sis',' Sorry ',' brother ',' comfortable ',' complaints', 'application', 'Telkomsel', 'please', 'confirm', 'account', 'twitter', 'telegram ',' Official ',' bot ',' Facebook ',' Messenger ',' Telkomsel ',' WhatsApp ',' Telkomsel ',' Virtual ',' Assis"&amp;"tant ',' Mimin ',' Wait ',' Kaka ', 'handsome', 'sweet', 'heart', 'arrogant', ""]")</f>
        <v>['', 'Sis',' Sorry ',' brother ',' comfortable ',' complaints', 'application', 'Telkomsel', 'please', 'confirm', 'account', 'twitter', 'telegram ',' Official ',' bot ',' Facebook ',' Messenger ',' Telkomsel ',' WhatsApp ',' Telkomsel ',' Virtual ',' Assistant ',' Mimin ',' Wait ',' Kaka ', 'handsome', 'sweet', 'heart', 'arrogant', "]</v>
      </c>
      <c r="D14779" s="3">
        <v>1.0</v>
      </c>
    </row>
    <row r="14780" ht="15.75" customHeight="1">
      <c r="A14780" s="1">
        <v>15724.0</v>
      </c>
      <c r="B14780" s="3" t="s">
        <v>14062</v>
      </c>
      <c r="C14780" s="3" t="str">
        <f>IFERROR(__xludf.DUMMYFUNCTION("GOOGLETRANSLATE(B14780,""id"",""en"")"),"['hope', 'signal', 'slow', 'repaired', 'multiplied', 'choice', 'package', 'internet', 'cheap', 'expensive', 'slow', 'strange', ' Sometimes', 'used', 'quota', 'contents',' pulse ',' buy ',' package ',' disorder ',' sometimes', 'vain', 'vain', 'please', 'pa"&amp;"y attention' , 'Features', 'Donations', 'App', 'Telkomsel', 'Open', 'Donations', 'Region', 'Indonesia', ""]")</f>
        <v>['hope', 'signal', 'slow', 'repaired', 'multiplied', 'choice', 'package', 'internet', 'cheap', 'expensive', 'slow', 'strange', ' Sometimes', 'used', 'quota', 'contents',' pulse ',' buy ',' package ',' disorder ',' sometimes', 'vain', 'vain', 'please', 'pay attention' , 'Features', 'Donations', 'App', 'Telkomsel', 'Open', 'Donations', 'Region', 'Indonesia', "]</v>
      </c>
      <c r="D14780" s="3">
        <v>4.0</v>
      </c>
    </row>
    <row r="14781" ht="15.75" customHeight="1">
      <c r="A14781" s="1">
        <v>15725.0</v>
      </c>
      <c r="B14781" s="3" t="s">
        <v>14063</v>
      </c>
      <c r="C14781" s="3" t="str">
        <f>IFERROR(__xludf.DUMMYFUNCTION("GOOGLETRANSLATE(B14781,""id"",""en"")"),"['Network', 'Please', 'Level', 'Like', 'Lemot']")</f>
        <v>['Network', 'Please', 'Level', 'Like', 'Lemot']</v>
      </c>
      <c r="D14781" s="3">
        <v>5.0</v>
      </c>
    </row>
    <row r="14782" ht="15.75" customHeight="1">
      <c r="A14782" s="1">
        <v>15726.0</v>
      </c>
      <c r="B14782" s="3" t="s">
        <v>92</v>
      </c>
      <c r="C14782" s="3" t="str">
        <f>IFERROR(__xludf.DUMMYFUNCTION("GOOGLETRANSLATE(B14782,""id"",""en"")"),"['Application', 'Open']")</f>
        <v>['Application', 'Open']</v>
      </c>
      <c r="D14782" s="3">
        <v>1.0</v>
      </c>
    </row>
    <row r="14783" ht="15.75" customHeight="1">
      <c r="A14783" s="1">
        <v>15727.0</v>
      </c>
      <c r="B14783" s="3" t="s">
        <v>14064</v>
      </c>
      <c r="C14783" s="3" t="str">
        <f>IFERROR(__xludf.DUMMYFUNCTION("GOOGLETRANSLATE(B14783,""id"",""en"")"),"['Like', 'Telkomsel', 'Win', 'Lottery', 'Wlaupun', 'Telkomsel', 'Jaya', 'Amiin']")</f>
        <v>['Like', 'Telkomsel', 'Win', 'Lottery', 'Wlaupun', 'Telkomsel', 'Jaya', 'Amiin']</v>
      </c>
      <c r="D14783" s="3">
        <v>5.0</v>
      </c>
    </row>
    <row r="14784" ht="15.75" customHeight="1">
      <c r="A14784" s="1">
        <v>15728.0</v>
      </c>
      <c r="B14784" s="3" t="s">
        <v>14065</v>
      </c>
      <c r="C14784" s="3" t="str">
        <f>IFERROR(__xludf.DUMMYFUNCTION("GOOGLETRANSLATE(B14784,""id"",""en"")"),"['Application', 'Open', 'Knpa', '']")</f>
        <v>['Application', 'Open', 'Knpa', '']</v>
      </c>
      <c r="D14784" s="3">
        <v>1.0</v>
      </c>
    </row>
    <row r="14785" ht="15.75" customHeight="1">
      <c r="A14785" s="1">
        <v>15729.0</v>
      </c>
      <c r="B14785" s="3" t="s">
        <v>14066</v>
      </c>
      <c r="C14785" s="3" t="str">
        <f>IFERROR(__xludf.DUMMYFUNCTION("GOOGLETRANSLATE(B14785,""id"",""en"")"),"['Please', 'as soon as possible', 'fix', 'application', 'difficult', 'really', 'open']")</f>
        <v>['Please', 'as soon as possible', 'fix', 'application', 'difficult', 'really', 'open']</v>
      </c>
      <c r="D14785" s="3">
        <v>2.0</v>
      </c>
    </row>
    <row r="14786" ht="15.75" customHeight="1">
      <c r="A14786" s="1">
        <v>15730.0</v>
      </c>
      <c r="B14786" s="3" t="s">
        <v>14067</v>
      </c>
      <c r="C14786" s="3" t="str">
        <f>IFERROR(__xludf.DUMMYFUNCTION("GOOGLETRANSLATE(B14786,""id"",""en"")"),"['Disappointed', 'Network', 'Telkomsel', 'Advantages',' Telkomsel ',' Fikikik ',' Make Easy ',' Activity ',' Network ',' Stable ',' Kali ',' Error ',' slow', '']")</f>
        <v>['Disappointed', 'Network', 'Telkomsel', 'Advantages',' Telkomsel ',' Fikikik ',' Make Easy ',' Activity ',' Network ',' Stable ',' Kali ',' Error ',' slow', '']</v>
      </c>
      <c r="D14786" s="3">
        <v>1.0</v>
      </c>
    </row>
    <row r="14787" ht="15.75" customHeight="1">
      <c r="A14787" s="1">
        <v>15731.0</v>
      </c>
      <c r="B14787" s="3" t="s">
        <v>14068</v>
      </c>
      <c r="C14787" s="3" t="str">
        <f>IFERROR(__xludf.DUMMYFUNCTION("GOOGLETRANSLATE(B14787,""id"",""en"")"),"['Open', 'application', 'quota', 'emang', 'quota', 'ngepain', 'buy', 'then', 'function', 'application', ""]")</f>
        <v>['Open', 'application', 'quota', 'emang', 'quota', 'ngepain', 'buy', 'then', 'function', 'application', "]</v>
      </c>
      <c r="D14787" s="3">
        <v>2.0</v>
      </c>
    </row>
    <row r="14788" ht="15.75" customHeight="1">
      <c r="A14788" s="1">
        <v>15732.0</v>
      </c>
      <c r="B14788" s="3" t="s">
        <v>14069</v>
      </c>
      <c r="C14788" s="3" t="str">
        <f>IFERROR(__xludf.DUMMYFUNCTION("GOOGLETRANSLATE(B14788,""id"",""en"")"),"['signal', 'ugly', 'package', 'expensive', 'Bandung', 'LUP', 'LEP', 'Kayak', 'Telkomsel', 'byu']")</f>
        <v>['signal', 'ugly', 'package', 'expensive', 'Bandung', 'LUP', 'LEP', 'Kayak', 'Telkomsel', 'byu']</v>
      </c>
      <c r="D14788" s="3">
        <v>1.0</v>
      </c>
    </row>
    <row r="14789" ht="15.75" customHeight="1">
      <c r="A14789" s="1">
        <v>15733.0</v>
      </c>
      <c r="B14789" s="3" t="s">
        <v>14070</v>
      </c>
      <c r="C14789" s="3" t="str">
        <f>IFERROR(__xludf.DUMMYFUNCTION("GOOGLETRANSLATE(B14789,""id"",""en"")"),"['Hopefully', 'Success']")</f>
        <v>['Hopefully', 'Success']</v>
      </c>
      <c r="D14789" s="3">
        <v>5.0</v>
      </c>
    </row>
    <row r="14790" ht="15.75" customHeight="1">
      <c r="A14790" s="1">
        <v>15734.0</v>
      </c>
      <c r="B14790" s="3" t="s">
        <v>14071</v>
      </c>
      <c r="C14790" s="3" t="str">
        <f>IFERROR(__xludf.DUMMYFUNCTION("GOOGLETRANSLATE(B14790,""id"",""en"")"),"['', 'Uklum', 'Perdana', 'Transaction', 'City', 'Internet']")</f>
        <v>['', 'Uklum', 'Perdana', 'Transaction', 'City', 'Internet']</v>
      </c>
      <c r="D14790" s="3">
        <v>3.0</v>
      </c>
    </row>
    <row r="14791" ht="15.75" customHeight="1">
      <c r="A14791" s="1">
        <v>15735.0</v>
      </c>
      <c r="B14791" s="3" t="s">
        <v>14072</v>
      </c>
      <c r="C14791" s="3" t="str">
        <f>IFERROR(__xludf.DUMMYFUNCTION("GOOGLETRANSLATE(B14791,""id"",""en"")"),"['mmbantu', 'everyday']")</f>
        <v>['mmbantu', 'everyday']</v>
      </c>
      <c r="D14791" s="3">
        <v>4.0</v>
      </c>
    </row>
    <row r="14792" ht="15.75" customHeight="1">
      <c r="A14792" s="1">
        <v>15736.0</v>
      </c>
      <c r="B14792" s="3" t="s">
        <v>14073</v>
      </c>
      <c r="C14792" s="3" t="str">
        <f>IFERROR(__xludf.DUMMYFUNCTION("GOOGLETRANSLATE(B14792,""id"",""en"")"),"['Please', 'Provide', 'Paketan', 'Cheap', 'populat']")</f>
        <v>['Please', 'Provide', 'Paketan', 'Cheap', 'populat']</v>
      </c>
      <c r="D14792" s="3">
        <v>1.0</v>
      </c>
    </row>
    <row r="14793" ht="15.75" customHeight="1">
      <c r="A14793" s="1">
        <v>15737.0</v>
      </c>
      <c r="B14793" s="3" t="s">
        <v>14074</v>
      </c>
      <c r="C14793" s="3" t="str">
        <f>IFERROR(__xludf.DUMMYFUNCTION("GOOGLETRANSLATE(B14793,""id"",""en"")"),"['Help', 'Top', 'deh']")</f>
        <v>['Help', 'Top', 'deh']</v>
      </c>
      <c r="D14793" s="3">
        <v>5.0</v>
      </c>
    </row>
    <row r="14794" ht="15.75" customHeight="1">
      <c r="A14794" s="1">
        <v>15738.0</v>
      </c>
      <c r="B14794" s="3" t="s">
        <v>14075</v>
      </c>
      <c r="C14794" s="3" t="str">
        <f>IFERROR(__xludf.DUMMYFUNCTION("GOOGLETRANSLATE(B14794,""id"",""en"")"),"['Help', 'sya', 'apiligation']")</f>
        <v>['Help', 'sya', 'apiligation']</v>
      </c>
      <c r="D14794" s="3">
        <v>5.0</v>
      </c>
    </row>
    <row r="14795" ht="15.75" customHeight="1">
      <c r="A14795" s="1">
        <v>15739.0</v>
      </c>
      <c r="B14795" s="3" t="s">
        <v>14076</v>
      </c>
      <c r="C14795" s="3" t="str">
        <f>IFERROR(__xludf.DUMMYFUNCTION("GOOGLETRANSLATE(B14795,""id"",""en"")"),"['quota', 'internet', 'just', 'houses']")</f>
        <v>['quota', 'internet', 'just', 'houses']</v>
      </c>
      <c r="D14795" s="3">
        <v>3.0</v>
      </c>
    </row>
    <row r="14796" ht="15.75" customHeight="1">
      <c r="A14796" s="1">
        <v>15740.0</v>
      </c>
      <c r="B14796" s="3" t="s">
        <v>14077</v>
      </c>
      <c r="C14796" s="3" t="str">
        <f>IFERROR(__xludf.DUMMYFUNCTION("GOOGLETRANSLATE(B14796,""id"",""en"")"),"['Feature', 'Send', 'Package', 'UDH', 'Disappointed']")</f>
        <v>['Feature', 'Send', 'Package', 'UDH', 'Disappointed']</v>
      </c>
      <c r="D14796" s="3">
        <v>1.0</v>
      </c>
    </row>
    <row r="14797" ht="15.75" customHeight="1">
      <c r="A14797" s="1">
        <v>15742.0</v>
      </c>
      <c r="B14797" s="3" t="s">
        <v>14078</v>
      </c>
      <c r="C14797" s="3" t="str">
        <f>IFERROR(__xludf.DUMMYFUNCTION("GOOGLETRANSLATE(B14797,""id"",""en"")"),"['Good', 'Network']")</f>
        <v>['Good', 'Network']</v>
      </c>
      <c r="D14797" s="3">
        <v>5.0</v>
      </c>
    </row>
    <row r="14798" ht="15.75" customHeight="1">
      <c r="A14798" s="1">
        <v>15743.0</v>
      </c>
      <c r="B14798" s="3" t="s">
        <v>14079</v>
      </c>
      <c r="C14798" s="3" t="str">
        <f>IFERROR(__xludf.DUMMYFUNCTION("GOOGLETRANSLATE(B14798,""id"",""en"")"),"['convenience', 'check', 'pulse', 'data', 'internet', 'multiply', 'promo', 'package', 'internet', 'cheap', 'educational', 'nation', ' etc']")</f>
        <v>['convenience', 'check', 'pulse', 'data', 'internet', 'multiply', 'promo', 'package', 'internet', 'cheap', 'educational', 'nation', ' etc']</v>
      </c>
      <c r="D14798" s="3">
        <v>5.0</v>
      </c>
    </row>
    <row r="14799" ht="15.75" customHeight="1">
      <c r="A14799" s="1">
        <v>15744.0</v>
      </c>
      <c r="B14799" s="3" t="s">
        <v>14080</v>
      </c>
      <c r="C14799" s="3" t="str">
        <f>IFERROR(__xludf.DUMMYFUNCTION("GOOGLETRANSLATE(B14799,""id"",""en"")"),"['apk', 'mntap', 'satisfied']")</f>
        <v>['apk', 'mntap', 'satisfied']</v>
      </c>
      <c r="D14799" s="3">
        <v>5.0</v>
      </c>
    </row>
    <row r="14800" ht="15.75" customHeight="1">
      <c r="A14800" s="1">
        <v>15745.0</v>
      </c>
      <c r="B14800" s="3" t="s">
        <v>14081</v>
      </c>
      <c r="C14800" s="3" t="str">
        <f>IFERROR(__xludf.DUMMYFUNCTION("GOOGLETRANSLATE(B14800,""id"",""en"")"),"['application', 'opened', 'contact', 'telegram', 'solution', 'application', 'fucking']")</f>
        <v>['application', 'opened', 'contact', 'telegram', 'solution', 'application', 'fucking']</v>
      </c>
      <c r="D14800" s="3">
        <v>1.0</v>
      </c>
    </row>
    <row r="14801" ht="15.75" customHeight="1">
      <c r="A14801" s="1">
        <v>15746.0</v>
      </c>
      <c r="B14801" s="3" t="s">
        <v>14082</v>
      </c>
      <c r="C14801" s="3" t="str">
        <f>IFERROR(__xludf.DUMMYFUNCTION("GOOGLETRANSLATE(B14801,""id"",""en"")"),"['Log', 'application', 'difficult']")</f>
        <v>['Log', 'application', 'difficult']</v>
      </c>
      <c r="D14801" s="3">
        <v>1.0</v>
      </c>
    </row>
    <row r="14802" ht="15.75" customHeight="1">
      <c r="A14802" s="1">
        <v>15747.0</v>
      </c>
      <c r="B14802" s="3" t="s">
        <v>14083</v>
      </c>
      <c r="C14802" s="3" t="str">
        <f>IFERROR(__xludf.DUMMYFUNCTION("GOOGLETRANSLATE(B14802,""id"",""en"")"),"['Application', 'MyTelkomsel', 'opened', 'Ngeblank', 'White', 'please', 'repaired', 'class',' telephone ',' experience ',' constraints', 'updated', ' Performance ',' The application ',' bad ',' ']")</f>
        <v>['Application', 'MyTelkomsel', 'opened', 'Ngeblank', 'White', 'please', 'repaired', 'class',' telephone ',' experience ',' constraints', 'updated', ' Performance ',' The application ',' bad ',' ']</v>
      </c>
      <c r="D14802" s="3">
        <v>1.0</v>
      </c>
    </row>
    <row r="14803" ht="15.75" customHeight="1">
      <c r="A14803" s="1">
        <v>15748.0</v>
      </c>
      <c r="B14803" s="3" t="s">
        <v>14084</v>
      </c>
      <c r="C14803" s="3" t="str">
        <f>IFERROR(__xludf.DUMMYFUNCTION("GOOGLETRANSLATE(B14803,""id"",""en"")"),"['The application', 'enter', 'application', 'really', 'error', 'hope', 'repaired']")</f>
        <v>['The application', 'enter', 'application', 'really', 'error', 'hope', 'repaired']</v>
      </c>
      <c r="D14803" s="3">
        <v>1.0</v>
      </c>
    </row>
    <row r="14804" ht="15.75" customHeight="1">
      <c r="A14804" s="1">
        <v>15749.0</v>
      </c>
      <c r="B14804" s="3" t="s">
        <v>14085</v>
      </c>
      <c r="C14804" s="3" t="str">
        <f>IFERROR(__xludf.DUMMYFUNCTION("GOOGLETRANSLATE(B14804,""id"",""en"")"),"['application', 'open', 'screen', 'white', 'Telkomsel', 'provider', 'coolest', 'regret', 'disorder', 'please', 'fix', 'aspetnya']")</f>
        <v>['application', 'open', 'screen', 'white', 'Telkomsel', 'provider', 'coolest', 'regret', 'disorder', 'please', 'fix', 'aspetnya']</v>
      </c>
      <c r="D14804" s="3">
        <v>1.0</v>
      </c>
    </row>
    <row r="14805" ht="15.75" customHeight="1">
      <c r="A14805" s="1">
        <v>15750.0</v>
      </c>
      <c r="B14805" s="3" t="s">
        <v>14086</v>
      </c>
      <c r="C14805" s="3" t="str">
        <f>IFERROR(__xludf.DUMMYFUNCTION("GOOGLETRANSLATE(B14805,""id"",""en"")"),"['difficult', 'enter', 'ugly']")</f>
        <v>['difficult', 'enter', 'ugly']</v>
      </c>
      <c r="D14805" s="3">
        <v>2.0</v>
      </c>
    </row>
    <row r="14806" ht="15.75" customHeight="1">
      <c r="A14806" s="1">
        <v>15751.0</v>
      </c>
      <c r="B14806" s="3" t="s">
        <v>14087</v>
      </c>
      <c r="C14806" s="3" t="str">
        <f>IFERROR(__xludf.DUMMYFUNCTION("GOOGLETRANSLATE(B14806,""id"",""en"")"),"['Application', 'Open', 'Application', 'Open', 'Application', '']")</f>
        <v>['Application', 'Open', 'Application', 'Open', 'Application', '']</v>
      </c>
      <c r="D14806" s="3">
        <v>1.0</v>
      </c>
    </row>
    <row r="14807" ht="15.75" customHeight="1">
      <c r="A14807" s="1">
        <v>15752.0</v>
      </c>
      <c r="B14807" s="3" t="s">
        <v>14088</v>
      </c>
      <c r="C14807" s="3" t="str">
        <f>IFERROR(__xludf.DUMMYFUNCTION("GOOGLETRANSLATE(B14807,""id"",""en"")"),"['Klau', 'check', 'Telkom', 'appears', '']")</f>
        <v>['Klau', 'check', 'Telkom', 'appears', '']</v>
      </c>
      <c r="D14807" s="3">
        <v>5.0</v>
      </c>
    </row>
    <row r="14808" ht="15.75" customHeight="1">
      <c r="A14808" s="1">
        <v>15753.0</v>
      </c>
      <c r="B14808" s="3" t="s">
        <v>12164</v>
      </c>
      <c r="C14808" s="3" t="str">
        <f>IFERROR(__xludf.DUMMYFUNCTION("GOOGLETRANSLATE(B14808,""id"",""en"")"),"['Login', '']")</f>
        <v>['Login', '']</v>
      </c>
      <c r="D14808" s="3">
        <v>1.0</v>
      </c>
    </row>
    <row r="14809" ht="15.75" customHeight="1">
      <c r="A14809" s="1">
        <v>15754.0</v>
      </c>
      <c r="B14809" s="3" t="s">
        <v>14089</v>
      </c>
      <c r="C14809" s="3" t="str">
        <f>IFERROR(__xludf.DUMMYFUNCTION("GOOGLETRANSLATE(B14809,""id"",""en"")"),"['Chat', 'Customer', 'Service', 'Credit', 'Cut "",' Out ',' Help ',' Bad ',' Service ',' Disappointing ',' System ',' Ribet ',' Conflary ',' ']")</f>
        <v>['Chat', 'Customer', 'Service', 'Credit', 'Cut ",' Out ',' Help ',' Bad ',' Service ',' Disappointing ',' System ',' Ribet ',' Conflary ',' ']</v>
      </c>
      <c r="D14809" s="3">
        <v>1.0</v>
      </c>
    </row>
    <row r="14810" ht="15.75" customHeight="1">
      <c r="A14810" s="1">
        <v>15755.0</v>
      </c>
      <c r="B14810" s="3" t="s">
        <v>763</v>
      </c>
      <c r="C14810" s="3" t="str">
        <f>IFERROR(__xludf.DUMMYFUNCTION("GOOGLETRANSLATE(B14810,""id"",""en"")"),"['Anyway', 'Satisfied', 'Use', 'Telkomsel']")</f>
        <v>['Anyway', 'Satisfied', 'Use', 'Telkomsel']</v>
      </c>
      <c r="D14810" s="3">
        <v>5.0</v>
      </c>
    </row>
    <row r="14811" ht="15.75" customHeight="1">
      <c r="A14811" s="1">
        <v>15756.0</v>
      </c>
      <c r="B14811" s="3" t="s">
        <v>14090</v>
      </c>
      <c r="C14811" s="3" t="str">
        <f>IFERROR(__xludf.DUMMYFUNCTION("GOOGLETRANSLATE(B14811,""id"",""en"")"),"['MyTelkomsel', 'tasty', 'cheap', 'slow']")</f>
        <v>['MyTelkomsel', 'tasty', 'cheap', 'slow']</v>
      </c>
      <c r="D14811" s="3">
        <v>5.0</v>
      </c>
    </row>
    <row r="14812" ht="15.75" customHeight="1">
      <c r="A14812" s="1">
        <v>15757.0</v>
      </c>
      <c r="B14812" s="3" t="s">
        <v>14091</v>
      </c>
      <c r="C14812" s="3" t="str">
        <f>IFERROR(__xludf.DUMMYFUNCTION("GOOGLETRANSLATE(B14812,""id"",""en"")"),"['Signal', 'Telkomsel', 'Jngan', 'MAYAL', 'QUALITY', 'repairs']")</f>
        <v>['Signal', 'Telkomsel', 'Jngan', 'MAYAL', 'QUALITY', 'repairs']</v>
      </c>
      <c r="D14812" s="3">
        <v>1.0</v>
      </c>
    </row>
    <row r="14813" ht="15.75" customHeight="1">
      <c r="A14813" s="1">
        <v>15758.0</v>
      </c>
      <c r="B14813" s="3" t="s">
        <v>14092</v>
      </c>
      <c r="C14813" s="3" t="str">
        <f>IFERROR(__xludf.DUMMYFUNCTION("GOOGLETRANSLATE(B14813,""id"",""en"")"),"['a month', 'Sinyal', 'Mulu', 'Since', 'Fill', 'Package', 'Data', 'Full', 'Signal', 'Clock', 'Since', 'Update', ' APK ',' Gunain ',' Package ',' Data ',' ']")</f>
        <v>['a month', 'Sinyal', 'Mulu', 'Since', 'Fill', 'Package', 'Data', 'Full', 'Signal', 'Clock', 'Since', 'Update', ' APK ',' Gunain ',' Package ',' Data ',' ']</v>
      </c>
      <c r="D14813" s="3">
        <v>1.0</v>
      </c>
    </row>
    <row r="14814" ht="15.75" customHeight="1">
      <c r="A14814" s="1">
        <v>15759.0</v>
      </c>
      <c r="B14814" s="3" t="s">
        <v>14093</v>
      </c>
      <c r="C14814" s="3" t="str">
        <f>IFERROR(__xludf.DUMMYFUNCTION("GOOGLETRANSLATE(B14814,""id"",""en"")"),"['apk', 'bug', 'bug', 'sometimes', 'error', 'also']")</f>
        <v>['apk', 'bug', 'bug', 'sometimes', 'error', 'also']</v>
      </c>
      <c r="D14814" s="3">
        <v>1.0</v>
      </c>
    </row>
    <row r="14815" ht="15.75" customHeight="1">
      <c r="A14815" s="1">
        <v>15760.0</v>
      </c>
      <c r="B14815" s="3" t="s">
        <v>14094</v>
      </c>
      <c r="C14815" s="3" t="str">
        <f>IFERROR(__xludf.DUMMYFUNCTION("GOOGLETRANSLATE(B14815,""id"",""en"")"),"['likes',' app ',' Telkomsel ',' app ',' contents', 'plsa', 'check', 'pulse', 'buy', 'quota', 'check', 'quota', ' Msih ',' BNYK ',' Thank you ',' Telkomsel ']")</f>
        <v>['likes',' app ',' Telkomsel ',' app ',' contents', 'plsa', 'check', 'pulse', 'buy', 'quota', 'check', 'quota', ' Msih ',' BNYK ',' Thank you ',' Telkomsel ']</v>
      </c>
      <c r="D14815" s="3">
        <v>5.0</v>
      </c>
    </row>
    <row r="14816" ht="15.75" customHeight="1">
      <c r="A14816" s="1">
        <v>15761.0</v>
      </c>
      <c r="B14816" s="3" t="s">
        <v>14095</v>
      </c>
      <c r="C14816" s="3" t="str">
        <f>IFERROR(__xludf.DUMMYFUNCTION("GOOGLETRANSLATE(B14816,""id"",""en"")"),"['Alah', 'JLS', 'ISI', 'Credit', 'TPI', 'Sumpot', 'Debt', 'Fill', 'TPI', 'Sumpot', 'Content', 'Sumpot', ' After ',' JLS ']")</f>
        <v>['Alah', 'JLS', 'ISI', 'Credit', 'TPI', 'Sumpot', 'Debt', 'Fill', 'TPI', 'Sumpot', 'Content', 'Sumpot', ' After ',' JLS ']</v>
      </c>
      <c r="D14816" s="3">
        <v>1.0</v>
      </c>
    </row>
    <row r="14817" ht="15.75" customHeight="1">
      <c r="A14817" s="1">
        <v>15763.0</v>
      </c>
      <c r="B14817" s="3" t="s">
        <v>14096</v>
      </c>
      <c r="C14817" s="3" t="str">
        <f>IFERROR(__xludf.DUMMYFUNCTION("GOOGLETRANSLATE(B14817,""id"",""en"")"),"['era', 'Baheula', 'use', 'Telkomsel', 'contents',' pulse ',' Points', 'Kiwari', 'Teu', 'win', 'gift', 'just', ' php ',' boss']")</f>
        <v>['era', 'Baheula', 'use', 'Telkomsel', 'contents',' pulse ',' Points', 'Kiwari', 'Teu', 'win', 'gift', 'just', ' php ',' boss']</v>
      </c>
      <c r="D14817" s="3">
        <v>3.0</v>
      </c>
    </row>
    <row r="14818" ht="15.75" customHeight="1">
      <c r="A14818" s="1">
        <v>15764.0</v>
      </c>
      <c r="B14818" s="3" t="s">
        <v>14097</v>
      </c>
      <c r="C14818" s="3" t="str">
        <f>IFERROR(__xludf.DUMMYFUNCTION("GOOGLETRANSLATE(B14818,""id"",""en"")"),"['Telkomsel', 'good', 'confused', 'buy', 'package', 'really', 'type', 'package', 'package', 'coakes', 'application', 'opened' Already ',' Uninstall ',' Install ',' Opened ',' Disappointed ',' ']")</f>
        <v>['Telkomsel', 'good', 'confused', 'buy', 'package', 'really', 'type', 'package', 'package', 'coakes', 'application', 'opened' Already ',' Uninstall ',' Install ',' Opened ',' Disappointed ',' ']</v>
      </c>
      <c r="D14818" s="3">
        <v>1.0</v>
      </c>
    </row>
    <row r="14819" ht="15.75" customHeight="1">
      <c r="A14819" s="1">
        <v>15765.0</v>
      </c>
      <c r="B14819" s="3" t="s">
        <v>14098</v>
      </c>
      <c r="C14819" s="3" t="str">
        <f>IFERROR(__xludf.DUMMYFUNCTION("GOOGLETRANSLATE(B14819,""id"",""en"")"),"['Success', 'Telkomsel']")</f>
        <v>['Success', 'Telkomsel']</v>
      </c>
      <c r="D14819" s="3">
        <v>5.0</v>
      </c>
    </row>
    <row r="14820" ht="15.75" customHeight="1">
      <c r="A14820" s="1">
        <v>15766.0</v>
      </c>
      <c r="B14820" s="3" t="s">
        <v>14099</v>
      </c>
      <c r="C14820" s="3" t="str">
        <f>IFERROR(__xludf.DUMMYFUNCTION("GOOGLETRANSLATE(B14820,""id"",""en"")"),"['If', 'Card', 'Telkomsel', 'Switch', 'Network', 'Expensive', 'Package', 'Jarinngan', 'Original', 'Jeleeekkk', 'really', 'forgiveness',' yaaa ',' how ',' just ',' Telkomsel ',' please ',' thousands', 'org', 'Telkomsel', 'koq', 'kek', 'gini', 'network', 's"&amp;"low' , 'very']")</f>
        <v>['If', 'Card', 'Telkomsel', 'Switch', 'Network', 'Expensive', 'Package', 'Jarinngan', 'Original', 'Jeleeekkk', 'really', 'forgiveness',' yaaa ',' how ',' just ',' Telkomsel ',' please ',' thousands', 'org', 'Telkomsel', 'koq', 'kek', 'gini', 'network', 'slow' , 'very']</v>
      </c>
      <c r="D14820" s="3">
        <v>1.0</v>
      </c>
    </row>
    <row r="14821" ht="15.75" customHeight="1">
      <c r="A14821" s="1">
        <v>15767.0</v>
      </c>
      <c r="B14821" s="3" t="s">
        <v>14100</v>
      </c>
      <c r="C14821" s="3" t="str">
        <f>IFERROR(__xludf.DUMMYFUNCTION("GOOGLETRANSLATE(B14821,""id"",""en"")"),"['Download', 'DRDL', 'Times', 'Open', 'The Application', 'Difficult']")</f>
        <v>['Download', 'DRDL', 'Times', 'Open', 'The Application', 'Difficult']</v>
      </c>
      <c r="D14821" s="3">
        <v>2.0</v>
      </c>
    </row>
    <row r="14822" ht="15.75" customHeight="1">
      <c r="A14822" s="1">
        <v>15768.0</v>
      </c>
      <c r="B14822" s="3" t="s">
        <v>14101</v>
      </c>
      <c r="C14822" s="3" t="str">
        <f>IFERROR(__xludf.DUMMYFUNCTION("GOOGLETRANSLATE(B14822,""id"",""en"")"),"['bang', 'please', 'cheap', 'little', 'quata', 'bang', 'expensive', 'please', 'truly', 'signal', 'disorder', 'then' Play ',' game ',' missing ',' annoyed ',' cave ',' ']")</f>
        <v>['bang', 'please', 'cheap', 'little', 'quata', 'bang', 'expensive', 'please', 'truly', 'signal', 'disorder', 'then' Play ',' game ',' missing ',' annoyed ',' cave ',' ']</v>
      </c>
      <c r="D14822" s="3">
        <v>3.0</v>
      </c>
    </row>
    <row r="14823" ht="15.75" customHeight="1">
      <c r="A14823" s="1">
        <v>15769.0</v>
      </c>
      <c r="B14823" s="3" t="s">
        <v>14102</v>
      </c>
      <c r="C14823" s="3" t="str">
        <f>IFERROR(__xludf.DUMMYFUNCTION("GOOGLETRANSLATE(B14823,""id"",""en"")"),"['apk', 'Telkomsel', 'kaga', 'open', 'delete', 'data', 'kaga', 'buy', 'package', 'data', 'kaga', 'klu', ' APK ',' Constraints', 'Love', 'Customer', 'Telkomsel', 'Telkomsel', 'sophisticated', ""]")</f>
        <v>['apk', 'Telkomsel', 'kaga', 'open', 'delete', 'data', 'kaga', 'buy', 'package', 'data', 'kaga', 'klu', ' APK ',' Constraints', 'Love', 'Customer', 'Telkomsel', 'Telkomsel', 'sophisticated', "]</v>
      </c>
      <c r="D14823" s="3">
        <v>1.0</v>
      </c>
    </row>
    <row r="14824" ht="15.75" customHeight="1">
      <c r="A14824" s="1">
        <v>15770.0</v>
      </c>
      <c r="B14824" s="3" t="s">
        <v>14103</v>
      </c>
      <c r="C14824" s="3" t="str">
        <f>IFERROR(__xludf.DUMMYFUNCTION("GOOGLETRANSLATE(B14824,""id"",""en"")"),"['Sorry', 'min', 'network', 'Telkomsel', 'slow', 'broken', 'broken', 'network', 'Lamabat', 'Connec', 'Anyway', 'network', ' Damaged ',' application ',' ']")</f>
        <v>['Sorry', 'min', 'network', 'Telkomsel', 'slow', 'broken', 'broken', 'network', 'Lamabat', 'Connec', 'Anyway', 'network', ' Damaged ',' application ',' ']</v>
      </c>
      <c r="D14824" s="3">
        <v>5.0</v>
      </c>
    </row>
    <row r="14825" ht="15.75" customHeight="1">
      <c r="A14825" s="1">
        <v>15771.0</v>
      </c>
      <c r="B14825" s="3" t="s">
        <v>14104</v>
      </c>
      <c r="C14825" s="3" t="str">
        <f>IFERROR(__xludf.DUMMYFUNCTION("GOOGLETRANSLATE(B14825,""id"",""en"")"),"['signal', 'bad', 'skarang', 'pdahal', 'city', 'except', 'low', 'village', 'remote', 'maklum', 'msak', 'high school', ' smartfren ',' good ',' smarfren ',' signal ',' ']")</f>
        <v>['signal', 'bad', 'skarang', 'pdahal', 'city', 'except', 'low', 'village', 'remote', 'maklum', 'msak', 'high school', ' smartfren ',' good ',' smarfren ',' signal ',' ']</v>
      </c>
      <c r="D14825" s="3">
        <v>1.0</v>
      </c>
    </row>
    <row r="14826" ht="15.75" customHeight="1">
      <c r="A14826" s="1">
        <v>15772.0</v>
      </c>
      <c r="B14826" s="3" t="s">
        <v>14105</v>
      </c>
      <c r="C14826" s="3" t="str">
        <f>IFERROR(__xludf.DUMMYFUNCTION("GOOGLETRANSLATE(B14826,""id"",""en"")"),"['Amit', 'Amit', 'Buy', 'Package', 'A Day', 'Clock', 'Clock', 'Abis', 'Itung', 'Clock', 'Bener', 'That's']")</f>
        <v>['Amit', 'Amit', 'Buy', 'Package', 'A Day', 'Clock', 'Clock', 'Abis', 'Itung', 'Clock', 'Bener', 'That's']</v>
      </c>
      <c r="D14826" s="3">
        <v>1.0</v>
      </c>
    </row>
    <row r="14827" ht="15.75" customHeight="1">
      <c r="A14827" s="1">
        <v>15773.0</v>
      </c>
      <c r="B14827" s="3" t="s">
        <v>644</v>
      </c>
      <c r="C14827" s="3" t="str">
        <f>IFERROR(__xludf.DUMMYFUNCTION("GOOGLETRANSLATE(B14827,""id"",""en"")"),"['Promo']")</f>
        <v>['Promo']</v>
      </c>
      <c r="D14827" s="3">
        <v>4.0</v>
      </c>
    </row>
    <row r="14828" ht="15.75" customHeight="1">
      <c r="A14828" s="1">
        <v>15774.0</v>
      </c>
      <c r="B14828" s="3" t="s">
        <v>14106</v>
      </c>
      <c r="C14828" s="3" t="str">
        <f>IFERROR(__xludf.DUMMYFUNCTION("GOOGLETRANSLATE(B14828,""id"",""en"")"),"['Signal', 'bad', 'connection', 'internet']")</f>
        <v>['Signal', 'bad', 'connection', 'internet']</v>
      </c>
      <c r="D14828" s="3">
        <v>1.0</v>
      </c>
    </row>
    <row r="14829" ht="15.75" customHeight="1">
      <c r="A14829" s="1">
        <v>15775.0</v>
      </c>
      <c r="B14829" s="3" t="s">
        <v>14107</v>
      </c>
      <c r="C14829" s="3" t="str">
        <f>IFERROR(__xludf.DUMMYFUNCTION("GOOGLETRANSLATE(B14829,""id"",""en"")"),"['Disappointed', 'Telkomsel', 'December', 'satisfying', ""]")</f>
        <v>['Disappointed', 'Telkomsel', 'December', 'satisfying', "]</v>
      </c>
      <c r="D14829" s="3">
        <v>1.0</v>
      </c>
    </row>
    <row r="14830" ht="15.75" customHeight="1">
      <c r="A14830" s="1">
        <v>15776.0</v>
      </c>
      <c r="B14830" s="3" t="s">
        <v>14108</v>
      </c>
      <c r="C14830" s="3" t="str">
        <f>IFERROR(__xludf.DUMMYFUNCTION("GOOGLETRANSLATE(B14830,""id"",""en"")"),"['bad', 'signal', 'expensive', 'belayin', 'package', 'use', 'sympathy', 'supports', 'signal', '']")</f>
        <v>['bad', 'signal', 'expensive', 'belayin', 'package', 'use', 'sympathy', 'supports', 'signal', '']</v>
      </c>
      <c r="D14830" s="3">
        <v>1.0</v>
      </c>
    </row>
    <row r="14831" ht="15.75" customHeight="1">
      <c r="A14831" s="1">
        <v>15777.0</v>
      </c>
      <c r="B14831" s="3" t="s">
        <v>14109</v>
      </c>
      <c r="C14831" s="3" t="str">
        <f>IFERROR(__xludf.DUMMYFUNCTION("GOOGLETRANSLATE(B14831,""id"",""en"")"),"['Sometimes', 'difficult', 'enter', 'slow']")</f>
        <v>['Sometimes', 'difficult', 'enter', 'slow']</v>
      </c>
      <c r="D14831" s="3">
        <v>3.0</v>
      </c>
    </row>
    <row r="14832" ht="15.75" customHeight="1">
      <c r="A14832" s="1">
        <v>15778.0</v>
      </c>
      <c r="B14832" s="3" t="s">
        <v>14110</v>
      </c>
      <c r="C14832" s="3" t="str">
        <f>IFERROR(__xludf.DUMMYFUNCTION("GOOGLETRANSLATE(B14832,""id"",""en"")"),"['Memandakan']")</f>
        <v>['Memandakan']</v>
      </c>
      <c r="D14832" s="3">
        <v>5.0</v>
      </c>
    </row>
    <row r="14833" ht="15.75" customHeight="1">
      <c r="A14833" s="1">
        <v>15780.0</v>
      </c>
      <c r="B14833" s="3" t="s">
        <v>14111</v>
      </c>
      <c r="C14833" s="3" t="str">
        <f>IFERROR(__xludf.DUMMYFUNCTION("GOOGLETRANSLATE(B14833,""id"",""en"")"),"['application', 'inconsequential', 'a week', 'open', '']")</f>
        <v>['application', 'inconsequential', 'a week', 'open', '']</v>
      </c>
      <c r="D14833" s="3">
        <v>1.0</v>
      </c>
    </row>
    <row r="14834" ht="15.75" customHeight="1">
      <c r="A14834" s="1">
        <v>15781.0</v>
      </c>
      <c r="B14834" s="3" t="s">
        <v>14112</v>
      </c>
      <c r="C14834" s="3" t="str">
        <f>IFERROR(__xludf.DUMMYFUNCTION("GOOGLETRANSLATE(B14834,""id"",""en"")"),"['Useful', 'Helpful']")</f>
        <v>['Useful', 'Helpful']</v>
      </c>
      <c r="D14834" s="3">
        <v>4.0</v>
      </c>
    </row>
    <row r="14835" ht="15.75" customHeight="1">
      <c r="A14835" s="1">
        <v>15782.0</v>
      </c>
      <c r="B14835" s="3" t="s">
        <v>14113</v>
      </c>
      <c r="C14835" s="3" t="str">
        <f>IFERROR(__xludf.DUMMYFUNCTION("GOOGLETRANSLATE(B14835,""id"",""en"")"),"['Kasi', 'star']")</f>
        <v>['Kasi', 'star']</v>
      </c>
      <c r="D14835" s="3">
        <v>5.0</v>
      </c>
    </row>
    <row r="14836" ht="15.75" customHeight="1">
      <c r="A14836" s="1">
        <v>15783.0</v>
      </c>
      <c r="B14836" s="3" t="s">
        <v>14114</v>
      </c>
      <c r="C14836" s="3" t="str">
        <f>IFERROR(__xludf.DUMMYFUNCTION("GOOGLETRANSLATE(B14836,""id"",""en"")"),"['Telkomsel', 'example', 'times',' exchange ',' point ',' Telkomsel ',' result ',' zero ',' sesui ',' hope ',' week ',' exchange ',' Points', 'can', 'pulses',' thousand ',' enter ',' severe ',' Betuuuul ', ""]")</f>
        <v>['Telkomsel', 'example', 'times',' exchange ',' point ',' Telkomsel ',' result ',' zero ',' sesui ',' hope ',' week ',' exchange ',' Points', 'can', 'pulses',' thousand ',' enter ',' severe ',' Betuuuul ', "]</v>
      </c>
      <c r="D14836" s="3">
        <v>5.0</v>
      </c>
    </row>
    <row r="14837" ht="15.75" customHeight="1">
      <c r="A14837" s="1">
        <v>15784.0</v>
      </c>
      <c r="B14837" s="3" t="s">
        <v>14115</v>
      </c>
      <c r="C14837" s="3" t="str">
        <f>IFERROR(__xludf.DUMMYFUNCTION("GOOGLETRANSLATE(B14837,""id"",""en"")"),"['Waiter', 'stable']")</f>
        <v>['Waiter', 'stable']</v>
      </c>
      <c r="D14837" s="3">
        <v>5.0</v>
      </c>
    </row>
    <row r="14838" ht="15.75" customHeight="1">
      <c r="A14838" s="1">
        <v>15785.0</v>
      </c>
      <c r="B14838" s="3" t="s">
        <v>14116</v>
      </c>
      <c r="C14838" s="3" t="str">
        <f>IFERROR(__xludf.DUMMYFUNCTION("GOOGLETRANSLATE(B14838,""id"",""en"")"),"['Lally', 'promo', 'min', '']")</f>
        <v>['Lally', 'promo', 'min', '']</v>
      </c>
      <c r="D14838" s="3">
        <v>5.0</v>
      </c>
    </row>
    <row r="14839" ht="15.75" customHeight="1">
      <c r="A14839" s="1">
        <v>15786.0</v>
      </c>
      <c r="B14839" s="3" t="s">
        <v>2929</v>
      </c>
      <c r="C14839" s="3" t="str">
        <f>IFERROR(__xludf.DUMMYFUNCTION("GOOGLETRANSLATE(B14839,""id"",""en"")"),"['Update', 'opened', '']")</f>
        <v>['Update', 'opened', '']</v>
      </c>
      <c r="D14839" s="3">
        <v>5.0</v>
      </c>
    </row>
    <row r="14840" ht="15.75" customHeight="1">
      <c r="A14840" s="1">
        <v>15787.0</v>
      </c>
      <c r="B14840" s="3" t="s">
        <v>14117</v>
      </c>
      <c r="C14840" s="3" t="str">
        <f>IFERROR(__xludf.DUMMYFUNCTION("GOOGLETRANSLATE(B14840,""id"",""en"")"),"['apps', 'open']")</f>
        <v>['apps', 'open']</v>
      </c>
      <c r="D14840" s="3">
        <v>1.0</v>
      </c>
    </row>
    <row r="14841" ht="15.75" customHeight="1">
      <c r="A14841" s="1">
        <v>15788.0</v>
      </c>
      <c r="B14841" s="3" t="s">
        <v>14118</v>
      </c>
      <c r="C14841" s="3" t="str">
        <f>IFERROR(__xludf.DUMMYFUNCTION("GOOGLETRANSLATE(B14841,""id"",""en"")"),"['quota', 'free', 'right', 'use', 'credit', 'sumps',' how ',' please ',' repaired ',' operator ',' no ',' rich ',' So ',' Search ',' Fortunately ',' Telkomsel ',' No ',' Rich ',' Telkomsel ',' Cuman ',' Expensive ',' Sinyal ',' ugly ',' woi ',' woi ',' pl"&amp;"ease ' , 'Benerin', 'signal', 'play', 'game', 'lag', 'internet', 'loading', 'wants',' already ',' that's', 'price', 'price', ' signal ',' good ',' ugly ']")</f>
        <v>['quota', 'free', 'right', 'use', 'credit', 'sumps',' how ',' please ',' repaired ',' operator ',' no ',' rich ',' So ',' Search ',' Fortunately ',' Telkomsel ',' No ',' Rich ',' Telkomsel ',' Cuman ',' Expensive ',' Sinyal ',' ugly ',' woi ',' woi ',' please ' , 'Benerin', 'signal', 'play', 'game', 'lag', 'internet', 'loading', 'wants',' already ',' that's', 'price', 'price', ' signal ',' good ',' ugly ']</v>
      </c>
      <c r="D14841" s="3">
        <v>1.0</v>
      </c>
    </row>
    <row r="14842" ht="15.75" customHeight="1">
      <c r="A14842" s="1">
        <v>15789.0</v>
      </c>
      <c r="B14842" s="3" t="s">
        <v>14119</v>
      </c>
      <c r="C14842" s="3" t="str">
        <f>IFERROR(__xludf.DUMMYFUNCTION("GOOGLETRANSLATE(B14842,""id"",""en"")"),"['Telkomsel', 'Destroyed', 'Gini', 'Login', 'APL', 'Please', 'repay', 'Selayed', 'Customer', 'Please', 'Very', ""]")</f>
        <v>['Telkomsel', 'Destroyed', 'Gini', 'Login', 'APL', 'Please', 'repay', 'Selayed', 'Customer', 'Please', 'Very', "]</v>
      </c>
      <c r="D14842" s="3">
        <v>1.0</v>
      </c>
    </row>
    <row r="14843" ht="15.75" customHeight="1">
      <c r="A14843" s="1">
        <v>15790.0</v>
      </c>
      <c r="B14843" s="3" t="s">
        <v>14120</v>
      </c>
      <c r="C14843" s="3" t="str">
        <f>IFERROR(__xludf.DUMMYFUNCTION("GOOGLETRANSLATE(B14843,""id"",""en"")"),"['Ngeblank', 'White', 'Log', 'Update', 'Please', 'Fix', 'Customer', 'Telkomsel', 'SKR']")</f>
        <v>['Ngeblank', 'White', 'Log', 'Update', 'Please', 'Fix', 'Customer', 'Telkomsel', 'SKR']</v>
      </c>
      <c r="D14843" s="3">
        <v>1.0</v>
      </c>
    </row>
    <row r="14844" ht="15.75" customHeight="1">
      <c r="A14844" s="1">
        <v>15791.0</v>
      </c>
      <c r="B14844" s="3" t="s">
        <v>14121</v>
      </c>
      <c r="C14844" s="3" t="str">
        <f>IFERROR(__xludf.DUMMYFUNCTION("GOOGLETRANSLATE(B14844,""id"",""en"")"),"['Bagis', 'Open', 'APL', 'quota']")</f>
        <v>['Bagis', 'Open', 'APL', 'quota']</v>
      </c>
      <c r="D14844" s="3">
        <v>5.0</v>
      </c>
    </row>
    <row r="14845" ht="15.75" customHeight="1">
      <c r="A14845" s="1">
        <v>15792.0</v>
      </c>
      <c r="B14845" s="3" t="s">
        <v>1543</v>
      </c>
      <c r="C14845" s="3" t="str">
        <f>IFERROR(__xludf.DUMMYFUNCTION("GOOGLETRANSLATE(B14845,""id"",""en"")"),"['Telkomsel', 'Open']")</f>
        <v>['Telkomsel', 'Open']</v>
      </c>
      <c r="D14845" s="3">
        <v>1.0</v>
      </c>
    </row>
    <row r="14846" ht="15.75" customHeight="1">
      <c r="A14846" s="1">
        <v>15793.0</v>
      </c>
      <c r="B14846" s="3" t="s">
        <v>14122</v>
      </c>
      <c r="C14846" s="3" t="str">
        <f>IFERROR(__xludf.DUMMYFUNCTION("GOOGLETRANSLATE(B14846,""id"",""en"")"),"['Telkomsel', 'stealing', 'pulses',' satisfying ',' pulses', 'truncated', 'take', 'application', 'paid', 'Urus',' GRA ',' Pari ',' embarrassing', '']")</f>
        <v>['Telkomsel', 'stealing', 'pulses',' satisfying ',' pulses', 'truncated', 'take', 'application', 'paid', 'Urus',' GRA ',' Pari ',' embarrassing', '']</v>
      </c>
      <c r="D14846" s="3">
        <v>1.0</v>
      </c>
    </row>
    <row r="14847" ht="15.75" customHeight="1">
      <c r="A14847" s="1">
        <v>15794.0</v>
      </c>
      <c r="B14847" s="3" t="s">
        <v>14123</v>
      </c>
      <c r="C14847" s="3" t="str">
        <f>IFERROR(__xludf.DUMMYFUNCTION("GOOGLETRANSLATE(B14847,""id"",""en"")"),"['Please', 'repaired', 'function', 'hnya', 'screen', 'white', '']")</f>
        <v>['Please', 'repaired', 'function', 'hnya', 'screen', 'white', '']</v>
      </c>
      <c r="D14847" s="3">
        <v>2.0</v>
      </c>
    </row>
    <row r="14848" ht="15.75" customHeight="1">
      <c r="A14848" s="1">
        <v>15795.0</v>
      </c>
      <c r="B14848" s="3" t="s">
        <v>14124</v>
      </c>
      <c r="C14848" s="3" t="str">
        <f>IFERROR(__xludf.DUMMYFUNCTION("GOOGLETRANSLATE(B14848,""id"",""en"")"),"['Hadehh', 'pretentious',' classy ',' pretentious', 'expensive', 'pretentious',' strong ',' signal ',' city ',' signal ',' Jdi ',' Males', ' Subscribe ',' UDH ',' YRIUNAN ',' MKE ',' TMET ',' CPET ',' Fix ',' Detailed ',' complaint ']")</f>
        <v>['Hadehh', 'pretentious',' classy ',' pretentious', 'expensive', 'pretentious',' strong ',' signal ',' city ',' signal ',' Jdi ',' Males', ' Subscribe ',' UDH ',' YRIUNAN ',' MKE ',' TMET ',' CPET ',' Fix ',' Detailed ',' complaint ']</v>
      </c>
      <c r="D14848" s="3">
        <v>1.0</v>
      </c>
    </row>
    <row r="14849" ht="15.75" customHeight="1">
      <c r="A14849" s="1">
        <v>15796.0</v>
      </c>
      <c r="B14849" s="3" t="s">
        <v>14125</v>
      </c>
      <c r="C14849" s="3" t="str">
        <f>IFERROR(__xludf.DUMMYFUNCTION("GOOGLETRANSLATE(B14849,""id"",""en"")"),"['love', 'explanation', 'pulse', 'contents', 'rupiah', 'until', 'pulse', 'leftover', 'kasi', 'explanation', 'Telkomsel', ""]")</f>
        <v>['love', 'explanation', 'pulse', 'contents', 'rupiah', 'until', 'pulse', 'leftover', 'kasi', 'explanation', 'Telkomsel', "]</v>
      </c>
      <c r="D14849" s="3">
        <v>1.0</v>
      </c>
    </row>
    <row r="14850" ht="15.75" customHeight="1">
      <c r="A14850" s="1">
        <v>15797.0</v>
      </c>
      <c r="B14850" s="3" t="s">
        <v>14126</v>
      </c>
      <c r="C14850" s="3" t="str">
        <f>IFERROR(__xludf.DUMMYFUNCTION("GOOGLETRANSLATE(B14850,""id"",""en"")"),"['Telkomsel', 'quota', 'expensive', 'customers', 'loyal', 'disappointed']")</f>
        <v>['Telkomsel', 'quota', 'expensive', 'customers', 'loyal', 'disappointed']</v>
      </c>
      <c r="D14850" s="3">
        <v>1.0</v>
      </c>
    </row>
    <row r="14851" ht="15.75" customHeight="1">
      <c r="A14851" s="1">
        <v>15798.0</v>
      </c>
      <c r="B14851" s="3" t="s">
        <v>14127</v>
      </c>
      <c r="C14851" s="3" t="str">
        <f>IFERROR(__xludf.DUMMYFUNCTION("GOOGLETRANSLATE(B14851,""id"",""en"")"),"['Hello', 'Min', 'Package', 'Unlimax', 'Gemes',' Free ',' Fre ',' Signal ',' Difficult ',' Please ',' Help ',' Nambah ',' Buy ',' Package ',' Unlimax ',' Signal ',' Gemes', 'Leg']")</f>
        <v>['Hello', 'Min', 'Package', 'Unlimax', 'Gemes',' Free ',' Fre ',' Signal ',' Difficult ',' Please ',' Help ',' Nambah ',' Buy ',' Package ',' Unlimax ',' Signal ',' Gemes', 'Leg']</v>
      </c>
      <c r="D14851" s="3">
        <v>2.0</v>
      </c>
    </row>
    <row r="14852" ht="15.75" customHeight="1">
      <c r="A14852" s="1">
        <v>15799.0</v>
      </c>
      <c r="B14852" s="3" t="s">
        <v>14128</v>
      </c>
      <c r="C14852" s="3" t="str">
        <f>IFERROR(__xludf.DUMMYFUNCTION("GOOGLETRANSLATE(B14852,""id"",""en"")"),"['Disappointed', 'Telkomsel', 'Network', 'Good', 'Package', 'Already', 'Expensive', 'Network', 'Barkot', 'Signal', 'Full', 'Watch', ' buffring ',' muter ',' mulu ',' road ',' no ',' play ',' game ',' lag ',' stable ', ""]")</f>
        <v>['Disappointed', 'Telkomsel', 'Network', 'Good', 'Package', 'Already', 'Expensive', 'Network', 'Barkot', 'Signal', 'Full', 'Watch', ' buffring ',' muter ',' mulu ',' road ',' no ',' play ',' game ',' lag ',' stable ', "]</v>
      </c>
      <c r="D14852" s="3">
        <v>1.0</v>
      </c>
    </row>
    <row r="14853" ht="15.75" customHeight="1">
      <c r="A14853" s="1">
        <v>15801.0</v>
      </c>
      <c r="B14853" s="3" t="s">
        <v>14129</v>
      </c>
      <c r="C14853" s="3" t="str">
        <f>IFERROR(__xludf.DUMMYFUNCTION("GOOGLETRANSLATE(B14853,""id"",""en"")"),"['Mengek', 'heavy', 'signal', 'lagging', 'profider']")</f>
        <v>['Mengek', 'heavy', 'signal', 'lagging', 'profider']</v>
      </c>
      <c r="D14853" s="3">
        <v>1.0</v>
      </c>
    </row>
    <row r="14854" ht="15.75" customHeight="1">
      <c r="A14854" s="1">
        <v>15802.0</v>
      </c>
      <c r="B14854" s="3" t="s">
        <v>14130</v>
      </c>
      <c r="C14854" s="3" t="str">
        <f>IFERROR(__xludf.DUMMYFUNCTION("GOOGLETRANSLATE(B14854,""id"",""en"")"),"['Bener', 'right', 'kapok', 'Telkomsel', 'weak', 'signal', 'please', 'min', 'repaired', 'ducialidoni', 'city', 'palembang', ' signal ',' ugly ',' severe ',' change ',' mending ',' pakek ', ""]")</f>
        <v>['Bener', 'right', 'kapok', 'Telkomsel', 'weak', 'signal', 'please', 'min', 'repaired', 'ducialidoni', 'city', 'palembang', ' signal ',' ugly ',' severe ',' change ',' mending ',' pakek ', "]</v>
      </c>
      <c r="D14854" s="3">
        <v>1.0</v>
      </c>
    </row>
    <row r="14855" ht="15.75" customHeight="1">
      <c r="A14855" s="1">
        <v>15803.0</v>
      </c>
      <c r="B14855" s="3" t="s">
        <v>14131</v>
      </c>
      <c r="C14855" s="3" t="str">
        <f>IFERROR(__xludf.DUMMYFUNCTION("GOOGLETRANSLATE(B14855,""id"",""en"")"),"['satisfying', 'makes it easy', 'buy', 'package', 'info', 'complete', '']")</f>
        <v>['satisfying', 'makes it easy', 'buy', 'package', 'info', 'complete', '']</v>
      </c>
      <c r="D14855" s="3">
        <v>5.0</v>
      </c>
    </row>
    <row r="14856" ht="15.75" customHeight="1">
      <c r="A14856" s="1">
        <v>15804.0</v>
      </c>
      <c r="B14856" s="3" t="s">
        <v>14132</v>
      </c>
      <c r="C14856" s="3" t="str">
        <f>IFERROR(__xludf.DUMMYFUNCTION("GOOGLETRANSLATE(B14856,""id"",""en"")"),"['entry', 'application', 'difficult', 'cost', 'expensive', 'service', 'knp', 'difficult', 'nota', 'loading']")</f>
        <v>['entry', 'application', 'difficult', 'cost', 'expensive', 'service', 'knp', 'difficult', 'nota', 'loading']</v>
      </c>
      <c r="D14856" s="3">
        <v>1.0</v>
      </c>
    </row>
    <row r="14857" ht="15.75" customHeight="1">
      <c r="A14857" s="1">
        <v>15805.0</v>
      </c>
      <c r="B14857" s="3" t="s">
        <v>14133</v>
      </c>
      <c r="C14857" s="3" t="str">
        <f>IFERROR(__xludf.DUMMYFUNCTION("GOOGLETRANSLATE(B14857,""id"",""en"")"),"['ngebleng', 'white', 'access', 'how', 'fix', '']")</f>
        <v>['ngebleng', 'white', 'access', 'how', 'fix', '']</v>
      </c>
      <c r="D14857" s="3">
        <v>1.0</v>
      </c>
    </row>
    <row r="14858" ht="15.75" customHeight="1">
      <c r="A14858" s="1">
        <v>15806.0</v>
      </c>
      <c r="B14858" s="3" t="s">
        <v>14134</v>
      </c>
      <c r="C14858" s="3" t="str">
        <f>IFERROR(__xludf.DUMMYFUNCTION("GOOGLETRANSLATE(B14858,""id"",""en"")"),"['Down', 'Star', 'Application', 'Blank', 'White', 'Enter', 'Menu', 'Screen', 'Dead', 'Limited', 'Delete', 'Data', ' Cache ',' constraints', ""]")</f>
        <v>['Down', 'Star', 'Application', 'Blank', 'White', 'Enter', 'Menu', 'Screen', 'Dead', 'Limited', 'Delete', 'Data', ' Cache ',' constraints', "]</v>
      </c>
      <c r="D14858" s="3">
        <v>2.0</v>
      </c>
    </row>
    <row r="14859" ht="15.75" customHeight="1">
      <c r="A14859" s="1">
        <v>15807.0</v>
      </c>
      <c r="B14859" s="3" t="s">
        <v>14135</v>
      </c>
      <c r="C14859" s="3" t="str">
        <f>IFERROR(__xludf.DUMMYFUNCTION("GOOGLETRANSLATE(B14859,""id"",""en"")"),"['Thank you', 'Telkomsel', 'Members', 'Switch', 'Service', 'Hope']")</f>
        <v>['Thank you', 'Telkomsel', 'Members', 'Switch', 'Service', 'Hope']</v>
      </c>
      <c r="D14859" s="3">
        <v>5.0</v>
      </c>
    </row>
    <row r="14860" ht="15.75" customHeight="1">
      <c r="A14860" s="1">
        <v>15808.0</v>
      </c>
      <c r="B14860" s="3" t="s">
        <v>14136</v>
      </c>
      <c r="C14860" s="3" t="str">
        <f>IFERROR(__xludf.DUMMYFUNCTION("GOOGLETRANSLATE(B14860,""id"",""en"")"),"['difficult', 'entry', 'apps', 'Telkomsel', '']")</f>
        <v>['difficult', 'entry', 'apps', 'Telkomsel', '']</v>
      </c>
      <c r="D14860" s="3">
        <v>1.0</v>
      </c>
    </row>
    <row r="14861" ht="15.75" customHeight="1">
      <c r="A14861" s="1">
        <v>15809.0</v>
      </c>
      <c r="B14861" s="3" t="s">
        <v>14137</v>
      </c>
      <c r="C14861" s="3" t="str">
        <f>IFERROR(__xludf.DUMMYFUNCTION("GOOGLETRANSLATE(B14861,""id"",""en"")"),"['update', 'open', '']")</f>
        <v>['update', 'open', '']</v>
      </c>
      <c r="D14861" s="3">
        <v>1.0</v>
      </c>
    </row>
    <row r="14862" ht="15.75" customHeight="1">
      <c r="A14862" s="1">
        <v>15810.0</v>
      </c>
      <c r="B14862" s="3" t="s">
        <v>14138</v>
      </c>
      <c r="C14862" s="3" t="str">
        <f>IFERROR(__xludf.DUMMYFUNCTION("GOOGLETRANSLATE(B14862,""id"",""en"")"),"['Application', 'garbage', 'opened']")</f>
        <v>['Application', 'garbage', 'opened']</v>
      </c>
      <c r="D14862" s="3">
        <v>1.0</v>
      </c>
    </row>
    <row r="14863" ht="15.75" customHeight="1">
      <c r="A14863" s="1">
        <v>15811.0</v>
      </c>
      <c r="B14863" s="3" t="s">
        <v>14139</v>
      </c>
      <c r="C14863" s="3" t="str">
        <f>IFERROR(__xludf.DUMMYFUNCTION("GOOGLETRANSLATE(B14863,""id"",""en"")"),"['MyTelkomsel', 'opened', 'appears', 'screen', 'white', 'please']")</f>
        <v>['MyTelkomsel', 'opened', 'appears', 'screen', 'white', 'please']</v>
      </c>
      <c r="D14863" s="3">
        <v>2.0</v>
      </c>
    </row>
    <row r="14864" ht="15.75" customHeight="1">
      <c r="A14864" s="1">
        <v>15812.0</v>
      </c>
      <c r="B14864" s="3" t="s">
        <v>14140</v>
      </c>
      <c r="C14864" s="3" t="str">
        <f>IFERROR(__xludf.DUMMYFUNCTION("GOOGLETRANSLATE(B14864,""id"",""en"")"),"['Slalu', 'Sumpot', 'Credit', 'SMS', 'Enter', 'Filling', 'Package', 'On']")</f>
        <v>['Slalu', 'Sumpot', 'Credit', 'SMS', 'Enter', 'Filling', 'Package', 'On']</v>
      </c>
      <c r="D14864" s="3">
        <v>5.0</v>
      </c>
    </row>
    <row r="14865" ht="15.75" customHeight="1">
      <c r="A14865" s="1">
        <v>15813.0</v>
      </c>
      <c r="B14865" s="3" t="s">
        <v>14141</v>
      </c>
      <c r="C14865" s="3" t="str">
        <f>IFERROR(__xludf.DUMMYFUNCTION("GOOGLETRANSLATE(B14865,""id"",""en"")"),"['signal', 'ugly', 'unlimited', 'limited', 'just', 'until', '']")</f>
        <v>['signal', 'ugly', 'unlimited', 'limited', 'just', 'until', '']</v>
      </c>
      <c r="D14865" s="3">
        <v>1.0</v>
      </c>
    </row>
    <row r="14866" ht="15.75" customHeight="1">
      <c r="A14866" s="1">
        <v>15814.0</v>
      </c>
      <c r="B14866" s="3" t="s">
        <v>3287</v>
      </c>
      <c r="C14866" s="3" t="str">
        <f>IFERROR(__xludf.DUMMYFUNCTION("GOOGLETRANSLATE(B14866,""id"",""en"")"),"['', 'open', '']")</f>
        <v>['', 'open', '']</v>
      </c>
      <c r="D14866" s="3">
        <v>2.0</v>
      </c>
    </row>
    <row r="14867" ht="15.75" customHeight="1">
      <c r="A14867" s="1">
        <v>15815.0</v>
      </c>
      <c r="B14867" s="3" t="s">
        <v>14142</v>
      </c>
      <c r="C14867" s="3" t="str">
        <f>IFERROR(__xludf.DUMMYFUNCTION("GOOGLETRANSLATE(B14867,""id"",""en"")"),"['user', 'loyal', 'Telkomsel', 'application', 'use', 'redemption', 'point', 'point', 'pretty', 'exchange', 'coupon', 'lottery', ' The problem ',' drawn ',' platform ',' provided ',' user ',' direct ',' process', 'draw', 'failed', 'win', 'gift', 'his draw'"&amp;", ""]")</f>
        <v>['user', 'loyal', 'Telkomsel', 'application', 'use', 'redemption', 'point', 'point', 'pretty', 'exchange', 'coupon', 'lottery', ' The problem ',' drawn ',' platform ',' provided ',' user ',' direct ',' process', 'draw', 'failed', 'win', 'gift', 'his draw', "]</v>
      </c>
      <c r="D14867" s="3">
        <v>1.0</v>
      </c>
    </row>
    <row r="14868" ht="15.75" customHeight="1">
      <c r="A14868" s="1">
        <v>15817.0</v>
      </c>
      <c r="B14868" s="3" t="s">
        <v>14143</v>
      </c>
      <c r="C14868" s="3" t="str">
        <f>IFERROR(__xludf.DUMMYFUNCTION("GOOGLETRANSLATE(B14868,""id"",""en"")"),"['Reduce', 'Star', 'Open', 'UDH', 'Update', 'Uninstall', 'Reinstall', 'opened', 'PDHL', 'quota', 'warning', ' run out ',' open ',' web ',' package ',' bought ',' yes', 'class',' Telkomsel ',' application ', ""]")</f>
        <v>['Reduce', 'Star', 'Open', 'UDH', 'Update', 'Uninstall', 'Reinstall', 'opened', 'PDHL', 'quota', 'warning', ' run out ',' open ',' web ',' package ',' bought ',' yes', 'class',' Telkomsel ',' application ', "]</v>
      </c>
      <c r="D14868" s="3">
        <v>2.0</v>
      </c>
    </row>
    <row r="14869" ht="15.75" customHeight="1">
      <c r="A14869" s="1">
        <v>15818.0</v>
      </c>
      <c r="B14869" s="3" t="s">
        <v>14144</v>
      </c>
      <c r="C14869" s="3" t="str">
        <f>IFERROR(__xludf.DUMMYFUNCTION("GOOGLETRANSLATE(B14869,""id"",""en"")"),"['', 'Open', 'Severe', 'Application', 'Cape', 'Delete', 'Download', 'Clear', 'Data', '']")</f>
        <v>['', 'Open', 'Severe', 'Application', 'Cape', 'Delete', 'Download', 'Clear', 'Data', '']</v>
      </c>
      <c r="D14869" s="3">
        <v>1.0</v>
      </c>
    </row>
    <row r="14870" ht="15.75" customHeight="1">
      <c r="A14870" s="1">
        <v>15819.0</v>
      </c>
      <c r="B14870" s="3" t="s">
        <v>14145</v>
      </c>
      <c r="C14870" s="3" t="str">
        <f>IFERROR(__xludf.DUMMYFUNCTION("GOOGLETRANSLATE(B14870,""id"",""en"")"),"['Good', 'bget', 'help']")</f>
        <v>['Good', 'bget', 'help']</v>
      </c>
      <c r="D14870" s="3">
        <v>5.0</v>
      </c>
    </row>
    <row r="14871" ht="15.75" customHeight="1">
      <c r="A14871" s="1">
        <v>15820.0</v>
      </c>
      <c r="B14871" s="3" t="s">
        <v>14146</v>
      </c>
      <c r="C14871" s="3" t="str">
        <f>IFERROR(__xludf.DUMMYFUNCTION("GOOGLETRANSLATE(B14871,""id"",""en"")"),"['Asu', 'Bener', 'monkey', 'already', 'expensive', 'network', 'Kek', 'Taik']")</f>
        <v>['Asu', 'Bener', 'monkey', 'already', 'expensive', 'network', 'Kek', 'Taik']</v>
      </c>
      <c r="D14871" s="3">
        <v>1.0</v>
      </c>
    </row>
    <row r="14872" ht="15.75" customHeight="1">
      <c r="A14872" s="1">
        <v>15821.0</v>
      </c>
      <c r="B14872" s="3" t="s">
        <v>14147</v>
      </c>
      <c r="C14872" s="3" t="str">
        <f>IFERROR(__xludf.DUMMYFUNCTION("GOOGLETRANSLATE(B14872,""id"",""en"")"),"['Help', 'forget', 'package', 'cheap', 'multiply', 'knapa', 'the application', 'difficult', 'open', 'slow', 'Telkomsel', 'sorry', ' Blum ',' enter ',' service ',' complaints']")</f>
        <v>['Help', 'forget', 'package', 'cheap', 'multiply', 'knapa', 'the application', 'difficult', 'open', 'slow', 'Telkomsel', 'sorry', ' Blum ',' enter ',' service ',' complaints']</v>
      </c>
      <c r="D14872" s="3">
        <v>4.0</v>
      </c>
    </row>
    <row r="14873" ht="15.75" customHeight="1">
      <c r="A14873" s="1">
        <v>15822.0</v>
      </c>
      <c r="B14873" s="3" t="s">
        <v>14148</v>
      </c>
      <c r="C14873" s="3" t="str">
        <f>IFERROR(__xludf.DUMMYFUNCTION("GOOGLETRANSLATE(B14873,""id"",""en"")"),"['Open', 'Application', 'Bnr']")</f>
        <v>['Open', 'Application', 'Bnr']</v>
      </c>
      <c r="D14873" s="3">
        <v>1.0</v>
      </c>
    </row>
    <row r="14874" ht="15.75" customHeight="1">
      <c r="A14874" s="1">
        <v>15823.0</v>
      </c>
      <c r="B14874" s="3" t="s">
        <v>14149</v>
      </c>
      <c r="C14874" s="3" t="str">
        <f>IFERROR(__xludf.DUMMYFUNCTION("GOOGLETRANSLATE(B14874,""id"",""en"")"),"['Enter', 'Login']")</f>
        <v>['Enter', 'Login']</v>
      </c>
      <c r="D14874" s="3">
        <v>1.0</v>
      </c>
    </row>
    <row r="14875" ht="15.75" customHeight="1">
      <c r="A14875" s="1">
        <v>15824.0</v>
      </c>
      <c r="B14875" s="3" t="s">
        <v>14150</v>
      </c>
      <c r="C14875" s="3" t="str">
        <f>IFERROR(__xludf.DUMMYFUNCTION("GOOGLETRANSLATE(B14875,""id"",""en"")"),"['Applikasih', 'entry', 'app', 'disappointing', 'customer', 'hello', 'love', 'star', ""]")</f>
        <v>['Applikasih', 'entry', 'app', 'disappointing', 'customer', 'hello', 'love', 'star', "]</v>
      </c>
      <c r="D14875" s="3">
        <v>1.0</v>
      </c>
    </row>
    <row r="14876" ht="15.75" customHeight="1">
      <c r="A14876" s="1">
        <v>15825.0</v>
      </c>
      <c r="B14876" s="3" t="s">
        <v>3867</v>
      </c>
      <c r="C14876" s="3" t="str">
        <f>IFERROR(__xludf.DUMMYFUNCTION("GOOGLETRANSLATE(B14876,""id"",""en"")"),"['Enter', 'application']")</f>
        <v>['Enter', 'application']</v>
      </c>
      <c r="D14876" s="3">
        <v>2.0</v>
      </c>
    </row>
    <row r="14877" ht="15.75" customHeight="1">
      <c r="A14877" s="1">
        <v>15826.0</v>
      </c>
      <c r="B14877" s="3" t="s">
        <v>14151</v>
      </c>
      <c r="C14877" s="3" t="str">
        <f>IFERROR(__xludf.DUMMYFUNCTION("GOOGLETRANSLATE(B14877,""id"",""en"")"),"['Telkomsel', 'Nge', 'Leg', 'Severe', 'Main', 'Game', 'Moba', 'Gili', 'Trawangan']")</f>
        <v>['Telkomsel', 'Nge', 'Leg', 'Severe', 'Main', 'Game', 'Moba', 'Gili', 'Trawangan']</v>
      </c>
      <c r="D14877" s="3">
        <v>2.0</v>
      </c>
    </row>
    <row r="14878" ht="15.75" customHeight="1">
      <c r="A14878" s="1">
        <v>15827.0</v>
      </c>
      <c r="B14878" s="3" t="s">
        <v>14152</v>
      </c>
      <c r="C14878" s="3" t="str">
        <f>IFERROR(__xludf.DUMMYFUNCTION("GOOGLETRANSLATE(B14878,""id"",""en"")"),"['play', 'game', 'use', 'card', 'lose', 'because' skill ',' network ',' internet ',' user ',' loyal ',' tekomsel ',' Feedback ',' Good ',' ']")</f>
        <v>['play', 'game', 'use', 'card', 'lose', 'because' skill ',' network ',' internet ',' user ',' loyal ',' tekomsel ',' Feedback ',' Good ',' ']</v>
      </c>
      <c r="D14878" s="3">
        <v>1.0</v>
      </c>
    </row>
    <row r="14879" ht="15.75" customHeight="1">
      <c r="A14879" s="1">
        <v>15828.0</v>
      </c>
      <c r="B14879" s="3" t="s">
        <v>14153</v>
      </c>
      <c r="C14879" s="3" t="str">
        <f>IFERROR(__xludf.DUMMYFUNCTION("GOOGLETRANSLATE(B14879,""id"",""en"")"),"['Heart', 'emang']")</f>
        <v>['Heart', 'emang']</v>
      </c>
      <c r="D14879" s="3">
        <v>5.0</v>
      </c>
    </row>
    <row r="14880" ht="15.75" customHeight="1">
      <c r="A14880" s="1">
        <v>15829.0</v>
      </c>
      <c r="B14880" s="3" t="s">
        <v>14154</v>
      </c>
      <c r="C14880" s="3" t="str">
        <f>IFERROR(__xludf.DUMMYFUNCTION("GOOGLETRANSLATE(B14880,""id"",""en"")"),"['Please', 'Sis', 'Enter', 'Telkomsel', 'Color', 'White', 'Please', 'Repaired', 'APK', ""]")</f>
        <v>['Please', 'Sis', 'Enter', 'Telkomsel', 'Color', 'White', 'Please', 'Repaired', 'APK', "]</v>
      </c>
      <c r="D14880" s="3">
        <v>1.0</v>
      </c>
    </row>
    <row r="14881" ht="15.75" customHeight="1">
      <c r="A14881" s="1">
        <v>15830.0</v>
      </c>
      <c r="B14881" s="3" t="s">
        <v>14155</v>
      </c>
      <c r="C14881" s="3" t="str">
        <f>IFERROR(__xludf.DUMMYFUNCTION("GOOGLETRANSLATE(B14881,""id"",""en"")"),"['Application', 'update', 'update', 'as a result', 'screen', 'white', 'solution', 'results', 'nihil', '']")</f>
        <v>['Application', 'update', 'update', 'as a result', 'screen', 'white', 'solution', 'results', 'nihil', '']</v>
      </c>
      <c r="D14881" s="3">
        <v>2.0</v>
      </c>
    </row>
    <row r="14882" ht="15.75" customHeight="1">
      <c r="A14882" s="1">
        <v>15831.0</v>
      </c>
      <c r="B14882" s="3" t="s">
        <v>14156</v>
      </c>
      <c r="C14882" s="3" t="str">
        <f>IFERROR(__xludf.DUMMYFUNCTION("GOOGLETRANSLATE(B14882,""id"",""en"")"),"['Application', 'updated', 'blank', '']")</f>
        <v>['Application', 'updated', 'blank', '']</v>
      </c>
      <c r="D14882" s="3">
        <v>1.0</v>
      </c>
    </row>
    <row r="14883" ht="15.75" customHeight="1">
      <c r="A14883" s="1">
        <v>15832.0</v>
      </c>
      <c r="B14883" s="3" t="s">
        <v>14157</v>
      </c>
      <c r="C14883" s="3" t="str">
        <f>IFERROR(__xludf.DUMMYFUNCTION("GOOGLETRANSLATE(B14883,""id"",""en"")"),"['Whatever', 'The network', 'Telkomsel', 'connection', 'network', 'best', ""]")</f>
        <v>['Whatever', 'The network', 'Telkomsel', 'connection', 'network', 'best', "]</v>
      </c>
      <c r="D14883" s="3">
        <v>3.0</v>
      </c>
    </row>
    <row r="14884" ht="15.75" customHeight="1">
      <c r="A14884" s="1">
        <v>15833.0</v>
      </c>
      <c r="B14884" s="3" t="s">
        <v>14158</v>
      </c>
      <c r="C14884" s="3" t="str">
        <f>IFERROR(__xludf.DUMMYFUNCTION("GOOGLETRANSLATE(B14884,""id"",""en"")"),"['The application', 'opened', 'Development']")</f>
        <v>['The application', 'opened', 'Development']</v>
      </c>
      <c r="D14884" s="3">
        <v>2.0</v>
      </c>
    </row>
    <row r="14885" ht="15.75" customHeight="1">
      <c r="A14885" s="1">
        <v>15834.0</v>
      </c>
      <c r="B14885" s="3" t="s">
        <v>14159</v>
      </c>
      <c r="C14885" s="3" t="str">
        <f>IFERROR(__xludf.DUMMYFUNCTION("GOOGLETRANSLATE(B14885,""id"",""en"")"),"['Effectiveness',' buy ',' Kouta ',' package ',' makes it easy ',' customer ',' consumer ',' buy ',' customer ',' search ',' counter ',' outlet ',' kiosks', 'stay', 'help', 'Telkomsel', 'communicate', 'family', 'city', 'outlets',' or ',' kiosk ',' sell ',"&amp;"' pulse ',' closed ' , 'preaching', 'news', 'happy', 'sorrow', 'Telkomsel', 'help', 'soft', 'bran', 'dlm', 'information', ""]")</f>
        <v>['Effectiveness',' buy ',' Kouta ',' package ',' makes it easy ',' customer ',' consumer ',' buy ',' customer ',' search ',' counter ',' outlet ',' kiosks', 'stay', 'help', 'Telkomsel', 'communicate', 'family', 'city', 'outlets',' or ',' kiosk ',' sell ',' pulse ',' closed ' , 'preaching', 'news', 'happy', 'sorrow', 'Telkomsel', 'help', 'soft', 'bran', 'dlm', 'information', "]</v>
      </c>
      <c r="D14885" s="3">
        <v>5.0</v>
      </c>
    </row>
    <row r="14886" ht="15.75" customHeight="1">
      <c r="A14886" s="1">
        <v>15835.0</v>
      </c>
      <c r="B14886" s="3" t="s">
        <v>14160</v>
      </c>
      <c r="C14886" s="3" t="str">
        <f>IFERROR(__xludf.DUMMYFUNCTION("GOOGLETRANSLATE(B14886,""id"",""en"")"),"['Application', 'apdet', 'gabisa', 'opened']")</f>
        <v>['Application', 'apdet', 'gabisa', 'opened']</v>
      </c>
      <c r="D14886" s="3">
        <v>1.0</v>
      </c>
    </row>
    <row r="14887" ht="15.75" customHeight="1">
      <c r="A14887" s="1">
        <v>15836.0</v>
      </c>
      <c r="B14887" s="3" t="s">
        <v>14161</v>
      </c>
      <c r="C14887" s="3" t="str">
        <f>IFERROR(__xludf.DUMMYFUNCTION("GOOGLETRANSLATE(B14887,""id"",""en"")"),"['Kenpa', 'Difficult', 'Enter', 'The Application', '']")</f>
        <v>['Kenpa', 'Difficult', 'Enter', 'The Application', '']</v>
      </c>
      <c r="D14887" s="3">
        <v>1.0</v>
      </c>
    </row>
    <row r="14888" ht="15.75" customHeight="1">
      <c r="A14888" s="1">
        <v>15837.0</v>
      </c>
      <c r="B14888" s="3" t="s">
        <v>14162</v>
      </c>
      <c r="C14888" s="3" t="str">
        <f>IFERROR(__xludf.DUMMYFUNCTION("GOOGLETRANSLATE(B14888,""id"",""en"")"),"['Please', 'fix', 'enter']")</f>
        <v>['Please', 'fix', 'enter']</v>
      </c>
      <c r="D14888" s="3">
        <v>2.0</v>
      </c>
    </row>
    <row r="14889" ht="15.75" customHeight="1">
      <c r="A14889" s="1">
        <v>15838.0</v>
      </c>
      <c r="B14889" s="3" t="s">
        <v>14163</v>
      </c>
      <c r="C14889" s="3" t="str">
        <f>IFERROR(__xludf.DUMMYFUNCTION("GOOGLETRANSLATE(B14889,""id"",""en"")"),"['Please', 'Package', 'Combo', 'Sakti', 'Cheap', 'Admin', '']")</f>
        <v>['Please', 'Package', 'Combo', 'Sakti', 'Cheap', 'Admin', '']</v>
      </c>
      <c r="D14889" s="3">
        <v>2.0</v>
      </c>
    </row>
    <row r="14890" ht="15.75" customHeight="1">
      <c r="A14890" s="1">
        <v>15839.0</v>
      </c>
      <c r="B14890" s="3" t="s">
        <v>14164</v>
      </c>
      <c r="C14890" s="3" t="str">
        <f>IFERROR(__xludf.DUMMYFUNCTION("GOOGLETRANSLATE(B14890,""id"",""en"")"),"['application', 'difficult', 'open', 'slow', 'access', '']")</f>
        <v>['application', 'difficult', 'open', 'slow', 'access', '']</v>
      </c>
      <c r="D14890" s="3">
        <v>2.0</v>
      </c>
    </row>
    <row r="14891" ht="15.75" customHeight="1">
      <c r="A14891" s="1">
        <v>15840.0</v>
      </c>
      <c r="B14891" s="3" t="s">
        <v>14165</v>
      </c>
      <c r="C14891" s="3" t="str">
        <f>IFERROR(__xludf.DUMMYFUNCTION("GOOGLETRANSLATE(B14891,""id"",""en"")"),"['Price', 'Changed', 'Consistent']")</f>
        <v>['Price', 'Changed', 'Consistent']</v>
      </c>
      <c r="D14891" s="3">
        <v>1.0</v>
      </c>
    </row>
    <row r="14892" ht="15.75" customHeight="1">
      <c r="A14892" s="1">
        <v>15841.0</v>
      </c>
      <c r="B14892" s="3" t="s">
        <v>14166</v>
      </c>
      <c r="C14892" s="3" t="str">
        <f>IFERROR(__xludf.DUMMYFUNCTION("GOOGLETRANSLATE(B14892,""id"",""en"")"),"['Notif', 'LGI', 'Event', 'Kesorean', 'Sometimes', 'Gataau', 'ADS', 'Event', 'Litu']")</f>
        <v>['Notif', 'LGI', 'Event', 'Kesorean', 'Sometimes', 'Gataau', 'ADS', 'Event', 'Litu']</v>
      </c>
      <c r="D14892" s="3">
        <v>2.0</v>
      </c>
    </row>
    <row r="14893" ht="15.75" customHeight="1">
      <c r="A14893" s="1">
        <v>15842.0</v>
      </c>
      <c r="B14893" s="3" t="s">
        <v>14167</v>
      </c>
      <c r="C14893" s="3" t="str">
        <f>IFERROR(__xludf.DUMMYFUNCTION("GOOGLETRANSLATE(B14893,""id"",""en"")"),"['difficult', 'access']")</f>
        <v>['difficult', 'access']</v>
      </c>
      <c r="D14893" s="3">
        <v>1.0</v>
      </c>
    </row>
    <row r="14894" ht="15.75" customHeight="1">
      <c r="A14894" s="1">
        <v>15844.0</v>
      </c>
      <c r="B14894" s="3" t="s">
        <v>14168</v>
      </c>
      <c r="C14894" s="3" t="str">
        <f>IFERROR(__xludf.DUMMYFUNCTION("GOOGLETRANSLATE(B14894,""id"",""en"")"),"['lucky', 'fortunate', 'satisfying']")</f>
        <v>['lucky', 'fortunate', 'satisfying']</v>
      </c>
      <c r="D14894" s="3">
        <v>5.0</v>
      </c>
    </row>
    <row r="14895" ht="15.75" customHeight="1">
      <c r="A14895" s="1">
        <v>15845.0</v>
      </c>
      <c r="B14895" s="3" t="s">
        <v>14169</v>
      </c>
      <c r="C14895" s="3" t="str">
        <f>IFERROR(__xludf.DUMMYFUNCTION("GOOGLETRANSLATE(B14895,""id"",""en"")"),"['Restore', 'Credit', 'Reduced', '']")</f>
        <v>['Restore', 'Credit', 'Reduced', '']</v>
      </c>
      <c r="D14895" s="3">
        <v>1.0</v>
      </c>
    </row>
    <row r="14896" ht="15.75" customHeight="1">
      <c r="A14896" s="1">
        <v>15846.0</v>
      </c>
      <c r="B14896" s="3" t="s">
        <v>14170</v>
      </c>
      <c r="C14896" s="3" t="str">
        <f>IFERROR(__xludf.DUMMYFUNCTION("GOOGLETRANSLATE(B14896,""id"",""en"")"),"['Telkomsel', 'expensive', 'doang', 'signal', 'person', 'naek', 'blood', 'emotion', ""]")</f>
        <v>['Telkomsel', 'expensive', 'doang', 'signal', 'person', 'naek', 'blood', 'emotion', "]</v>
      </c>
      <c r="D14896" s="3">
        <v>1.0</v>
      </c>
    </row>
    <row r="14897" ht="15.75" customHeight="1">
      <c r="A14897" s="1">
        <v>15847.0</v>
      </c>
      <c r="B14897" s="3" t="s">
        <v>14171</v>
      </c>
      <c r="C14897" s="3" t="str">
        <f>IFERROR(__xludf.DUMMYFUNCTION("GOOGLETRANSLATE(B14897,""id"",""en"")"),"['Please', 'Fix', 'Network', 'Lost', 'Network', 'Derture', 'Telkomsel', '']")</f>
        <v>['Please', 'Fix', 'Network', 'Lost', 'Network', 'Derture', 'Telkomsel', '']</v>
      </c>
      <c r="D14897" s="3">
        <v>1.0</v>
      </c>
    </row>
    <row r="14898" ht="15.75" customHeight="1">
      <c r="A14898" s="1">
        <v>15848.0</v>
      </c>
      <c r="B14898" s="3" t="s">
        <v>14172</v>
      </c>
      <c r="C14898" s="3" t="str">
        <f>IFERROR(__xludf.DUMMYFUNCTION("GOOGLETRANSLATE(B14898,""id"",""en"")"),"['Package', 'The special', 'NGK']")</f>
        <v>['Package', 'The special', 'NGK']</v>
      </c>
      <c r="D14898" s="3">
        <v>1.0</v>
      </c>
    </row>
    <row r="14899" ht="15.75" customHeight="1">
      <c r="A14899" s="1">
        <v>15849.0</v>
      </c>
      <c r="B14899" s="3" t="s">
        <v>14173</v>
      </c>
      <c r="C14899" s="3" t="str">
        <f>IFERROR(__xludf.DUMMYFUNCTION("GOOGLETRANSLATE(B14899,""id"",""en"")"),"['happy', 'Telkomsel']")</f>
        <v>['happy', 'Telkomsel']</v>
      </c>
      <c r="D14899" s="3">
        <v>5.0</v>
      </c>
    </row>
    <row r="14900" ht="15.75" customHeight="1">
      <c r="A14900" s="1">
        <v>15850.0</v>
      </c>
      <c r="B14900" s="3" t="s">
        <v>14174</v>
      </c>
      <c r="C14900" s="3" t="str">
        <f>IFERROR(__xludf.DUMMYFUNCTION("GOOGLETRANSLATE(B14900,""id"",""en"")"),"['Apilkasi', 'Good', 'Karna', 'Package', 'Mura', ""]")</f>
        <v>['Apilkasi', 'Good', 'Karna', 'Package', 'Mura', "]</v>
      </c>
      <c r="D14900" s="3">
        <v>1.0</v>
      </c>
    </row>
    <row r="14901" ht="15.75" customHeight="1">
      <c r="A14901" s="1">
        <v>15851.0</v>
      </c>
      <c r="B14901" s="3" t="s">
        <v>14175</v>
      </c>
      <c r="C14901" s="3" t="str">
        <f>IFERROR(__xludf.DUMMYFUNCTION("GOOGLETRANSLATE(B14901,""id"",""en"")"),"['Please', 'Quality', 'Signal', 'Strength']")</f>
        <v>['Please', 'Quality', 'Signal', 'Strength']</v>
      </c>
      <c r="D14901" s="3">
        <v>1.0</v>
      </c>
    </row>
    <row r="14902" ht="15.75" customHeight="1">
      <c r="A14902" s="1">
        <v>15852.0</v>
      </c>
      <c r="B14902" s="3" t="s">
        <v>14176</v>
      </c>
      <c r="C14902" s="3" t="str">
        <f>IFERROR(__xludf.DUMMYFUNCTION("GOOGLETRANSLATE(B14902,""id"",""en"")"),"['min', 'date', 'no', 'opened', 'APL']")</f>
        <v>['min', 'date', 'no', 'opened', 'APL']</v>
      </c>
      <c r="D14902" s="3">
        <v>5.0</v>
      </c>
    </row>
    <row r="14903" ht="15.75" customHeight="1">
      <c r="A14903" s="1">
        <v>15853.0</v>
      </c>
      <c r="B14903" s="3" t="s">
        <v>14177</v>
      </c>
      <c r="C14903" s="3" t="str">
        <f>IFERROR(__xludf.DUMMYFUNCTION("GOOGLETRANSLATE(B14903,""id"",""en"")"),"['Wait', 'DMN', 'Mimin', 'stupid', 'UDH', 'Telkomsel', 'Crazy', 'You', 'Nee']")</f>
        <v>['Wait', 'DMN', 'Mimin', 'stupid', 'UDH', 'Telkomsel', 'Crazy', 'You', 'Nee']</v>
      </c>
      <c r="D14903" s="3">
        <v>1.0</v>
      </c>
    </row>
    <row r="14904" ht="15.75" customHeight="1">
      <c r="A14904" s="1">
        <v>15854.0</v>
      </c>
      <c r="B14904" s="3" t="s">
        <v>14178</v>
      </c>
      <c r="C14904" s="3" t="str">
        <f>IFERROR(__xludf.DUMMYFUNCTION("GOOGLETRANSLATE(B14904,""id"",""en"")"),"['Anjaiiii', 'steady', 'cheap']")</f>
        <v>['Anjaiiii', 'steady', 'cheap']</v>
      </c>
      <c r="D14904" s="3">
        <v>5.0</v>
      </c>
    </row>
    <row r="14905" ht="15.75" customHeight="1">
      <c r="A14905" s="1">
        <v>15855.0</v>
      </c>
      <c r="B14905" s="3" t="s">
        <v>14179</v>
      </c>
      <c r="C14905" s="3" t="str">
        <f>IFERROR(__xludf.DUMMYFUNCTION("GOOGLETRANSLATE(B14905,""id"",""en"")"),"['Login', 'difficult', 'price', 'changed', 'disappointed', 'heavy', 'Telkomsel']")</f>
        <v>['Login', 'difficult', 'price', 'changed', 'disappointed', 'heavy', 'Telkomsel']</v>
      </c>
      <c r="D14905" s="3">
        <v>1.0</v>
      </c>
    </row>
    <row r="14906" ht="15.75" customHeight="1">
      <c r="A14906" s="1">
        <v>15856.0</v>
      </c>
      <c r="B14906" s="3" t="s">
        <v>14180</v>
      </c>
      <c r="C14906" s="3" t="str">
        <f>IFERROR(__xludf.DUMMYFUNCTION("GOOGLETRANSLATE(B14906,""id"",""en"")"),"['like', 'cashback']")</f>
        <v>['like', 'cashback']</v>
      </c>
      <c r="D14906" s="3">
        <v>4.0</v>
      </c>
    </row>
    <row r="14907" ht="15.75" customHeight="1">
      <c r="A14907" s="1">
        <v>15857.0</v>
      </c>
      <c r="B14907" s="3" t="s">
        <v>14181</v>
      </c>
      <c r="C14907" s="3" t="str">
        <f>IFERROR(__xludf.DUMMYFUNCTION("GOOGLETRANSLATE(B14907,""id"",""en"")"),"['App']")</f>
        <v>['App']</v>
      </c>
      <c r="D14907" s="3">
        <v>1.0</v>
      </c>
    </row>
    <row r="14908" ht="15.75" customHeight="1">
      <c r="A14908" s="1">
        <v>15858.0</v>
      </c>
      <c r="B14908" s="3" t="s">
        <v>14182</v>
      </c>
      <c r="C14908" s="3" t="str">
        <f>IFERROR(__xludf.DUMMYFUNCTION("GOOGLETRANSLATE(B14908,""id"",""en"")"),"['application', 'mantul']")</f>
        <v>['application', 'mantul']</v>
      </c>
      <c r="D14908" s="3">
        <v>5.0</v>
      </c>
    </row>
    <row r="14909" ht="15.75" customHeight="1">
      <c r="A14909" s="1">
        <v>15859.0</v>
      </c>
      <c r="B14909" s="3" t="s">
        <v>14183</v>
      </c>
      <c r="C14909" s="3" t="str">
        <f>IFERROR(__xludf.DUMMYFUNCTION("GOOGLETRANSLATE(B14909,""id"",""en"")"),"['love', 'star', 'application', 'Telkom', 'Different', 'bedaya', 'choice', 'quota', 'only', 'hotpromo', 'the reason', ""]")</f>
        <v>['love', 'star', 'application', 'Telkom', 'Different', 'bedaya', 'choice', 'quota', 'only', 'hotpromo', 'the reason', "]</v>
      </c>
      <c r="D14909" s="3">
        <v>4.0</v>
      </c>
    </row>
    <row r="14910" ht="15.75" customHeight="1">
      <c r="A14910" s="1">
        <v>15860.0</v>
      </c>
      <c r="B14910" s="3" t="s">
        <v>1294</v>
      </c>
      <c r="C14910" s="3" t="str">
        <f>IFERROR(__xludf.DUMMYFUNCTION("GOOGLETRANSLATE(B14910,""id"",""en"")"),"['APK', 'Help']")</f>
        <v>['APK', 'Help']</v>
      </c>
      <c r="D14910" s="3">
        <v>5.0</v>
      </c>
    </row>
    <row r="14911" ht="15.75" customHeight="1">
      <c r="A14911" s="1">
        <v>15861.0</v>
      </c>
      <c r="B14911" s="3" t="s">
        <v>14184</v>
      </c>
      <c r="C14911" s="3" t="str">
        <f>IFERROR(__xludf.DUMMYFUNCTION("GOOGLETRANSLATE(B14911,""id"",""en"")"),"['Class',' Telkomsel ',' Application ',' Maintence ',' Log ',' then ',' Application ',' Talk ',' Network ',' Connection ',' What's', 'Use', ' WiFi ',' Login ',' Please ',' Confirmation ',' Team ',' Telkomsel ', ""]")</f>
        <v>['Class',' Telkomsel ',' Application ',' Maintence ',' Log ',' then ',' Application ',' Talk ',' Network ',' Connection ',' What's', 'Use', ' WiFi ',' Login ',' Please ',' Confirmation ',' Team ',' Telkomsel ', "]</v>
      </c>
      <c r="D14911" s="3">
        <v>1.0</v>
      </c>
    </row>
    <row r="14912" ht="15.75" customHeight="1">
      <c r="A14912" s="1">
        <v>15862.0</v>
      </c>
      <c r="B14912" s="3" t="s">
        <v>14185</v>
      </c>
      <c r="C14912" s="3" t="str">
        <f>IFERROR(__xludf.DUMMYFUNCTION("GOOGLETRANSLATE(B14912,""id"",""en"")"),"['Package', 'Data', 'Unlimited', 'Cheap']")</f>
        <v>['Package', 'Data', 'Unlimited', 'Cheap']</v>
      </c>
      <c r="D14912" s="3">
        <v>5.0</v>
      </c>
    </row>
    <row r="14913" ht="15.75" customHeight="1">
      <c r="A14913" s="1">
        <v>15863.0</v>
      </c>
      <c r="B14913" s="3" t="s">
        <v>11517</v>
      </c>
      <c r="C14913" s="3" t="str">
        <f>IFERROR(__xludf.DUMMYFUNCTION("GOOGLETRANSLATE(B14913,""id"",""en"")"),"['experience']")</f>
        <v>['experience']</v>
      </c>
      <c r="D14913" s="3">
        <v>1.0</v>
      </c>
    </row>
    <row r="14914" ht="15.75" customHeight="1">
      <c r="A14914" s="1">
        <v>15864.0</v>
      </c>
      <c r="B14914" s="3" t="s">
        <v>14186</v>
      </c>
      <c r="C14914" s="3" t="str">
        <f>IFERROR(__xludf.DUMMYFUNCTION("GOOGLETRANSLATE(B14914,""id"",""en"")"),"['Telkomsel', 'idiot', 'lag', 'lag', 'mulu', 'idiot']")</f>
        <v>['Telkomsel', 'idiot', 'lag', 'lag', 'mulu', 'idiot']</v>
      </c>
      <c r="D14914" s="3">
        <v>1.0</v>
      </c>
    </row>
    <row r="14915" ht="15.75" customHeight="1">
      <c r="A14915" s="1">
        <v>15865.0</v>
      </c>
      <c r="B14915" s="3" t="s">
        <v>14187</v>
      </c>
      <c r="C14915" s="3" t="str">
        <f>IFERROR(__xludf.DUMMYFUNCTION("GOOGLETRANSLATE(B14915,""id"",""en"")"),"['', 'application', 'problematic', 'response', 'application', 'slow', '']")</f>
        <v>['', 'application', 'problematic', 'response', 'application', 'slow', '']</v>
      </c>
      <c r="D14915" s="3">
        <v>4.0</v>
      </c>
    </row>
    <row r="14916" ht="15.75" customHeight="1">
      <c r="A14916" s="1">
        <v>15866.0</v>
      </c>
      <c r="B14916" s="3" t="s">
        <v>14188</v>
      </c>
      <c r="C14916" s="3" t="str">
        <f>IFERROR(__xludf.DUMMYFUNCTION("GOOGLETRANSLATE(B14916,""id"",""en"")"),"['KNPA', 'application', 'open', 'buy', 'data', 'expensive', 'network', 'kayak', 'sea']")</f>
        <v>['KNPA', 'application', 'open', 'buy', 'data', 'expensive', 'network', 'kayak', 'sea']</v>
      </c>
      <c r="D14916" s="3">
        <v>1.0</v>
      </c>
    </row>
    <row r="14917" ht="15.75" customHeight="1">
      <c r="A14917" s="1">
        <v>15867.0</v>
      </c>
      <c r="B14917" s="3" t="s">
        <v>9167</v>
      </c>
      <c r="C14917" s="3" t="str">
        <f>IFERROR(__xludf.DUMMYFUNCTION("GOOGLETRANSLATE(B14917,""id"",""en"")"),"['Application', 'Helpful']")</f>
        <v>['Application', 'Helpful']</v>
      </c>
      <c r="D14917" s="3">
        <v>5.0</v>
      </c>
    </row>
    <row r="14918" ht="15.75" customHeight="1">
      <c r="A14918" s="1">
        <v>15868.0</v>
      </c>
      <c r="B14918" s="3" t="s">
        <v>14189</v>
      </c>
      <c r="C14918" s="3" t="str">
        <f>IFERROR(__xludf.DUMMYFUNCTION("GOOGLETRANSLATE(B14918,""id"",""en"")"),"['Genesis',' bad ',' use ',' package ',' unlimited ',' youtube ',' package ',' data ',' leak ',' cook ',' yes', 'packetan', ' GB ',' Unlimited ',' YouTube ',' Paketan ',' Regular ',' Out ',' Unlimited ',' YouTube ',' No ',' Useful ',' Use ',' Cell ',' Dis"&amp;"appointing ' ]")</f>
        <v>['Genesis',' bad ',' use ',' package ',' unlimited ',' youtube ',' package ',' data ',' leak ',' cook ',' yes', 'packetan', ' GB ',' Unlimited ',' YouTube ',' Paketan ',' Regular ',' Out ',' Unlimited ',' YouTube ',' No ',' Useful ',' Use ',' Cell ',' Disappointing ' ]</v>
      </c>
      <c r="D14918" s="3">
        <v>1.0</v>
      </c>
    </row>
    <row r="14919" ht="15.75" customHeight="1">
      <c r="A14919" s="1">
        <v>15869.0</v>
      </c>
      <c r="B14919" s="3" t="s">
        <v>14190</v>
      </c>
      <c r="C14919" s="3" t="str">
        <f>IFERROR(__xludf.DUMMYFUNCTION("GOOGLETRANSLATE(B14919,""id"",""en"")"),"['Negri', 'right', 'already', 'update']")</f>
        <v>['Negri', 'right', 'already', 'update']</v>
      </c>
      <c r="D14919" s="3">
        <v>1.0</v>
      </c>
    </row>
    <row r="14920" ht="15.75" customHeight="1">
      <c r="A14920" s="1">
        <v>15870.0</v>
      </c>
      <c r="B14920" s="3" t="s">
        <v>14191</v>
      </c>
      <c r="C14920" s="3" t="str">
        <f>IFERROR(__xludf.DUMMYFUNCTION("GOOGLETRANSLATE(B14920,""id"",""en"")"),"['Underya', 'Akau']")</f>
        <v>['Underya', 'Akau']</v>
      </c>
      <c r="D14920" s="3">
        <v>5.0</v>
      </c>
    </row>
    <row r="14921" ht="15.75" customHeight="1">
      <c r="A14921" s="1">
        <v>15871.0</v>
      </c>
      <c r="B14921" s="3" t="s">
        <v>14192</v>
      </c>
      <c r="C14921" s="3" t="str">
        <f>IFERROR(__xludf.DUMMYFUNCTION("GOOGLETRANSLATE(B14921,""id"",""en"")"),"['Glad', 'Wear', 'MyTelkomsel']")</f>
        <v>['Glad', 'Wear', 'MyTelkomsel']</v>
      </c>
      <c r="D14921" s="3">
        <v>5.0</v>
      </c>
    </row>
    <row r="14922" ht="15.75" customHeight="1">
      <c r="A14922" s="1">
        <v>15872.0</v>
      </c>
      <c r="B14922" s="3" t="s">
        <v>14193</v>
      </c>
      <c r="C14922" s="3" t="str">
        <f>IFERROR(__xludf.DUMMYFUNCTION("GOOGLETRANSLATE(B14922,""id"",""en"")"),"['Keapasih', 'Package', 'Buy', 'Remove', 'then', 'right', 'buy', 'mailbox', 'gabisa', 'deliberate', 'buy', 'package', ' expensive ',' then ',' lucky ',' ']")</f>
        <v>['Keapasih', 'Package', 'Buy', 'Remove', 'then', 'right', 'buy', 'mailbox', 'gabisa', 'deliberate', 'buy', 'package', ' expensive ',' then ',' lucky ',' ']</v>
      </c>
      <c r="D14922" s="3">
        <v>1.0</v>
      </c>
    </row>
    <row r="14923" ht="15.75" customHeight="1">
      <c r="A14923" s="1">
        <v>15873.0</v>
      </c>
      <c r="B14923" s="3" t="s">
        <v>14194</v>
      </c>
      <c r="C14923" s="3" t="str">
        <f>IFERROR(__xludf.DUMMYFUNCTION("GOOGLETRANSLATE(B14923,""id"",""en"")"),"['STLH', 'Upgrade', 'Open', 'Knp', '']")</f>
        <v>['STLH', 'Upgrade', 'Open', 'Knp', '']</v>
      </c>
      <c r="D14923" s="3">
        <v>1.0</v>
      </c>
    </row>
    <row r="14924" ht="15.75" customHeight="1">
      <c r="A14924" s="1">
        <v>15874.0</v>
      </c>
      <c r="B14924" s="3" t="s">
        <v>14195</v>
      </c>
      <c r="C14924" s="3" t="str">
        <f>IFERROR(__xludf.DUMMYFUNCTION("GOOGLETRANSLATE(B14924,""id"",""en"")"),"['said', 'Telkomsel', 'price', 'according to', 'strength', 'network', 'life', 'city', 'network', 'rich', 'garden', ""]")</f>
        <v>['said', 'Telkomsel', 'price', 'according to', 'strength', 'network', 'life', 'city', 'network', 'rich', 'garden', "]</v>
      </c>
      <c r="D14924" s="3">
        <v>2.0</v>
      </c>
    </row>
    <row r="14925" ht="15.75" customHeight="1">
      <c r="A14925" s="1">
        <v>15875.0</v>
      </c>
      <c r="B14925" s="3" t="s">
        <v>14196</v>
      </c>
      <c r="C14925" s="3" t="str">
        <f>IFERROR(__xludf.DUMMYFUNCTION("GOOGLETRANSLATE(B14925,""id"",""en"")"),"['difficult', 'forgiveness', 'open', 'application', 'Telkomsel', 'like this']")</f>
        <v>['difficult', 'forgiveness', 'open', 'application', 'Telkomsel', 'like this']</v>
      </c>
      <c r="D14925" s="3">
        <v>1.0</v>
      </c>
    </row>
    <row r="14926" ht="15.75" customHeight="1">
      <c r="A14926" s="1">
        <v>15876.0</v>
      </c>
      <c r="B14926" s="3" t="s">
        <v>592</v>
      </c>
      <c r="C14926" s="3" t="str">
        <f>IFERROR(__xludf.DUMMYFUNCTION("GOOGLETRANSLATE(B14926,""id"",""en"")"),"['Telkomsel']")</f>
        <v>['Telkomsel']</v>
      </c>
      <c r="D14926" s="3">
        <v>5.0</v>
      </c>
    </row>
    <row r="14927" ht="15.75" customHeight="1">
      <c r="A14927" s="1">
        <v>15877.0</v>
      </c>
      <c r="B14927" s="3" t="s">
        <v>14197</v>
      </c>
      <c r="C14927" s="3" t="str">
        <f>IFERROR(__xludf.DUMMYFUNCTION("GOOGLETRANSLATE(B14927,""id"",""en"")"),"['Exchange', 'Points', 'GIMN', 'CONTACT', 'BRP', '']")</f>
        <v>['Exchange', 'Points', 'GIMN', 'CONTACT', 'BRP', '']</v>
      </c>
      <c r="D14927" s="3">
        <v>5.0</v>
      </c>
    </row>
    <row r="14928" ht="15.75" customHeight="1">
      <c r="A14928" s="1">
        <v>15878.0</v>
      </c>
      <c r="B14928" s="3" t="s">
        <v>14198</v>
      </c>
      <c r="C14928" s="3" t="str">
        <f>IFERROR(__xludf.DUMMYFUNCTION("GOOGLETRANSLATE(B14928,""id"",""en"")"),"['Price', 'Package', 'Sakti', 'Combo', 'Please', 'Dampened', 'Price', 'Buy', 'Price', 'Package', 'Sakti', 'Combo', ' GB ',' RB ',' A Week ',' Please ',' Repaired ',' ']")</f>
        <v>['Price', 'Package', 'Sakti', 'Combo', 'Please', 'Dampened', 'Price', 'Buy', 'Price', 'Package', 'Sakti', 'Combo', ' GB ',' RB ',' A Week ',' Please ',' Repaired ',' ']</v>
      </c>
      <c r="D14928" s="3">
        <v>2.0</v>
      </c>
    </row>
    <row r="14929" ht="15.75" customHeight="1">
      <c r="A14929" s="1">
        <v>15879.0</v>
      </c>
      <c r="B14929" s="3" t="s">
        <v>14199</v>
      </c>
      <c r="C14929" s="3" t="str">
        <f>IFERROR(__xludf.DUMMYFUNCTION("GOOGLETRANSLATE(B14929,""id"",""en"")"),"['Sya', 'bsa', 'login', 'app', 'Telkomsel', 'a week', 'lbh', 'knp', 'yaa']")</f>
        <v>['Sya', 'bsa', 'login', 'app', 'Telkomsel', 'a week', 'lbh', 'knp', 'yaa']</v>
      </c>
      <c r="D14929" s="3">
        <v>2.0</v>
      </c>
    </row>
    <row r="14930" ht="15.75" customHeight="1">
      <c r="A14930" s="1">
        <v>15880.0</v>
      </c>
      <c r="B14930" s="3" t="s">
        <v>1113</v>
      </c>
      <c r="C14930" s="3" t="str">
        <f>IFERROR(__xludf.DUMMYFUNCTION("GOOGLETRANSLATE(B14930,""id"",""en"")"),"['Price', 'Package', 'Cheap']")</f>
        <v>['Price', 'Package', 'Cheap']</v>
      </c>
      <c r="D14930" s="3">
        <v>5.0</v>
      </c>
    </row>
    <row r="14931" ht="15.75" customHeight="1">
      <c r="A14931" s="1">
        <v>15881.0</v>
      </c>
      <c r="B14931" s="3" t="s">
        <v>14200</v>
      </c>
      <c r="C14931" s="3" t="str">
        <f>IFERROR(__xludf.DUMMYFUNCTION("GOOGLETRANSLATE(B14931,""id"",""en"")"),"['network', 'Telkomsel', 'ugly', 'rain', 'sometimes', 'network', 'reliable', 'experience', 'lag', 'play', 'game', ""]")</f>
        <v>['network', 'Telkomsel', 'ugly', 'rain', 'sometimes', 'network', 'reliable', 'experience', 'lag', 'play', 'game', "]</v>
      </c>
      <c r="D14931" s="3">
        <v>1.0</v>
      </c>
    </row>
    <row r="14932" ht="15.75" customHeight="1">
      <c r="A14932" s="1">
        <v>15882.0</v>
      </c>
      <c r="B14932" s="3" t="s">
        <v>14201</v>
      </c>
      <c r="C14932" s="3" t="str">
        <f>IFERROR(__xludf.DUMMYFUNCTION("GOOGLETRANSLATE(B14932,""id"",""en"")"),"['application', 'open', 'right', 'open', 'blank']")</f>
        <v>['application', 'open', 'right', 'open', 'blank']</v>
      </c>
      <c r="D14932" s="3">
        <v>1.0</v>
      </c>
    </row>
    <row r="14933" ht="15.75" customHeight="1">
      <c r="A14933" s="1">
        <v>15884.0</v>
      </c>
      <c r="B14933" s="3" t="s">
        <v>14202</v>
      </c>
      <c r="C14933" s="3" t="str">
        <f>IFERROR(__xludf.DUMMYFUNCTION("GOOGLETRANSLATE(B14933,""id"",""en"")"),"['expensive', 'lag', '']")</f>
        <v>['expensive', 'lag', '']</v>
      </c>
      <c r="D14933" s="3">
        <v>2.0</v>
      </c>
    </row>
    <row r="14934" ht="15.75" customHeight="1">
      <c r="A14934" s="1">
        <v>15885.0</v>
      </c>
      <c r="B14934" s="3" t="s">
        <v>14203</v>
      </c>
      <c r="C14934" s="3" t="str">
        <f>IFERROR(__xludf.DUMMYFUNCTION("GOOGLETRANSLATE(B14934,""id"",""en"")"),"['Strange', 'Telkomsel', 'expensive', 'Doank', 'Ngelag']")</f>
        <v>['Strange', 'Telkomsel', 'expensive', 'Doank', 'Ngelag']</v>
      </c>
      <c r="D14934" s="3">
        <v>1.0</v>
      </c>
    </row>
    <row r="14935" ht="15.75" customHeight="1">
      <c r="A14935" s="1">
        <v>15886.0</v>
      </c>
      <c r="B14935" s="3" t="s">
        <v>14204</v>
      </c>
      <c r="C14935" s="3" t="str">
        <f>IFERROR(__xludf.DUMMYFUNCTION("GOOGLETRANSLATE(B14935,""id"",""en"")"),"['Kouta', 'lapse', 'youtube', 'slow', 'forgiveness',' release ',' kenceng ',' really ',' already ',' expensive ',' slow ',' pulak ',' Koutaa ',' Thinking ',' YouTube ',' Price ',' It's', 'Leet', 'Kek', 'Snail', 'Tower', 'Telkomsel', 'Ama', 'home', ""]")</f>
        <v>['Kouta', 'lapse', 'youtube', 'slow', 'forgiveness',' release ',' kenceng ',' really ',' already ',' expensive ',' slow ',' pulak ',' Koutaa ',' Thinking ',' YouTube ',' Price ',' It's', 'Leet', 'Kek', 'Snail', 'Tower', 'Telkomsel', 'Ama', 'home', "]</v>
      </c>
      <c r="D14935" s="3">
        <v>1.0</v>
      </c>
    </row>
    <row r="14936" ht="15.75" customHeight="1">
      <c r="A14936" s="1">
        <v>15887.0</v>
      </c>
      <c r="B14936" s="3" t="s">
        <v>14205</v>
      </c>
      <c r="C14936" s="3" t="str">
        <f>IFERROR(__xludf.DUMMYFUNCTION("GOOGLETRANSLATE(B14936,""id"",""en"")"),"['sympathy', 'network', 'bad', 'Hera', 'signal', 'then', 'TPI', 'KNPA', 'right', 'Game', 'Gada', 'signal', ' Min ']")</f>
        <v>['sympathy', 'network', 'bad', 'Hera', 'signal', 'then', 'TPI', 'KNPA', 'right', 'Game', 'Gada', 'signal', ' Min ']</v>
      </c>
      <c r="D14936" s="3">
        <v>1.0</v>
      </c>
    </row>
    <row r="14937" ht="15.75" customHeight="1">
      <c r="A14937" s="1">
        <v>15889.0</v>
      </c>
      <c r="B14937" s="3" t="s">
        <v>14206</v>
      </c>
      <c r="C14937" s="3" t="str">
        <f>IFERROR(__xludf.DUMMYFUNCTION("GOOGLETRANSLATE(B14937,""id"",""en"")"),"['Enter', 'Cook', 'Disruption']")</f>
        <v>['Enter', 'Cook', 'Disruption']</v>
      </c>
      <c r="D14937" s="3">
        <v>2.0</v>
      </c>
    </row>
    <row r="14938" ht="15.75" customHeight="1">
      <c r="A14938" s="1">
        <v>15890.0</v>
      </c>
      <c r="B14938" s="3" t="s">
        <v>14207</v>
      </c>
      <c r="C14938" s="3" t="str">
        <f>IFERROR(__xludf.DUMMYFUNCTION("GOOGLETRANSLATE(B14938,""id"",""en"")"),"['enter', 'difficult', 'times', 'already', 'like', 'grandma', 'grandma', 'enter', 'thread', 'needle', 'difficult']")</f>
        <v>['enter', 'difficult', 'times', 'already', 'like', 'grandma', 'grandma', 'enter', 'thread', 'needle', 'difficult']</v>
      </c>
      <c r="D14938" s="3">
        <v>1.0</v>
      </c>
    </row>
    <row r="14939" ht="15.75" customHeight="1">
      <c r="A14939" s="1">
        <v>15891.0</v>
      </c>
      <c r="B14939" s="3" t="s">
        <v>2727</v>
      </c>
      <c r="C14939" s="3" t="str">
        <f>IFERROR(__xludf.DUMMYFUNCTION("GOOGLETRANSLATE(B14939,""id"",""en"")"),"['Opened', '']")</f>
        <v>['Opened', '']</v>
      </c>
      <c r="D14939" s="3">
        <v>1.0</v>
      </c>
    </row>
    <row r="14940" ht="15.75" customHeight="1">
      <c r="A14940" s="1">
        <v>15892.0</v>
      </c>
      <c r="B14940" s="3" t="s">
        <v>14208</v>
      </c>
      <c r="C14940" s="3" t="str">
        <f>IFERROR(__xludf.DUMMYFUNCTION("GOOGLETRANSLATE(B14940,""id"",""en"")"),"['fill', 'package', 'easy', 'promo', 'promo']")</f>
        <v>['fill', 'package', 'easy', 'promo', 'promo']</v>
      </c>
      <c r="D14940" s="3">
        <v>5.0</v>
      </c>
    </row>
    <row r="14941" ht="15.75" customHeight="1">
      <c r="A14941" s="1">
        <v>15893.0</v>
      </c>
      <c r="B14941" s="3" t="s">
        <v>14209</v>
      </c>
      <c r="C14941" s="3" t="str">
        <f>IFERROR(__xludf.DUMMYFUNCTION("GOOGLETRANSLATE(B14941,""id"",""en"")"),"['Application', 'Tekomsel', 'Bukak', '']")</f>
        <v>['Application', 'Tekomsel', 'Bukak', '']</v>
      </c>
      <c r="D14941" s="3">
        <v>1.0</v>
      </c>
    </row>
    <row r="14942" ht="15.75" customHeight="1">
      <c r="A14942" s="1">
        <v>15894.0</v>
      </c>
      <c r="B14942" s="3" t="s">
        <v>4546</v>
      </c>
      <c r="C14942" s="3" t="str">
        <f>IFERROR(__xludf.DUMMYFUNCTION("GOOGLETRANSLATE(B14942,""id"",""en"")"),"['satisfied']")</f>
        <v>['satisfied']</v>
      </c>
      <c r="D14942" s="3">
        <v>5.0</v>
      </c>
    </row>
    <row r="14943" ht="15.75" customHeight="1">
      <c r="A14943" s="1">
        <v>15895.0</v>
      </c>
      <c r="B14943" s="3" t="s">
        <v>14210</v>
      </c>
      <c r="C14943" s="3" t="str">
        <f>IFERROR(__xludf.DUMMYFUNCTION("GOOGLETRANSLATE(B14943,""id"",""en"")"),"['Apikkannya']")</f>
        <v>['Apikkannya']</v>
      </c>
      <c r="D14943" s="3">
        <v>1.0</v>
      </c>
    </row>
    <row r="14944" ht="15.75" customHeight="1">
      <c r="A14944" s="1">
        <v>15896.0</v>
      </c>
      <c r="B14944" s="3" t="s">
        <v>14211</v>
      </c>
      <c r="C14944" s="3" t="str">
        <f>IFERROR(__xludf.DUMMYFUNCTION("GOOGLETRANSLATE(B14944,""id"",""en"")"),"['woi', 'Telkomsel', 'please', 'fix', 'network', 'lgi', 'night', 'ugly']")</f>
        <v>['woi', 'Telkomsel', 'please', 'fix', 'network', 'lgi', 'night', 'ugly']</v>
      </c>
      <c r="D14944" s="3">
        <v>1.0</v>
      </c>
    </row>
    <row r="14945" ht="15.75" customHeight="1">
      <c r="A14945" s="1">
        <v>15897.0</v>
      </c>
      <c r="B14945" s="3" t="s">
        <v>14212</v>
      </c>
      <c r="C14945" s="3" t="str">
        <f>IFERROR(__xludf.DUMMYFUNCTION("GOOGLETRANSLATE(B14945,""id"",""en"")"),"['gloomy', 'Telkomsel', 'Error', 'Mulu', 'Open']")</f>
        <v>['gloomy', 'Telkomsel', 'Error', 'Mulu', 'Open']</v>
      </c>
      <c r="D14945" s="3">
        <v>1.0</v>
      </c>
    </row>
    <row r="14946" ht="15.75" customHeight="1">
      <c r="A14946" s="1">
        <v>15898.0</v>
      </c>
      <c r="B14946" s="3" t="s">
        <v>14213</v>
      </c>
      <c r="C14946" s="3" t="str">
        <f>IFERROR(__xludf.DUMMYFUNCTION("GOOGLETRANSLATE(B14946,""id"",""en"")"),"['number', 'telephone', 'above', 'promo', 'koata', 'cheap', ""]")</f>
        <v>['number', 'telephone', 'above', 'promo', 'koata', 'cheap', "]</v>
      </c>
      <c r="D14946" s="3">
        <v>5.0</v>
      </c>
    </row>
    <row r="14947" ht="15.75" customHeight="1">
      <c r="A14947" s="1">
        <v>15899.0</v>
      </c>
      <c r="B14947" s="3" t="s">
        <v>14214</v>
      </c>
      <c r="C14947" s="3" t="str">
        <f>IFERROR(__xludf.DUMMYFUNCTION("GOOGLETRANSLATE(B14947,""id"",""en"")"),"['easy', 'bother', 'bli', 'quota', 'tow', 'pulse']")</f>
        <v>['easy', 'bother', 'bli', 'quota', 'tow', 'pulse']</v>
      </c>
      <c r="D14947" s="3">
        <v>4.0</v>
      </c>
    </row>
    <row r="14948" ht="15.75" customHeight="1">
      <c r="A14948" s="1">
        <v>15900.0</v>
      </c>
      <c r="B14948" s="3" t="s">
        <v>14215</v>
      </c>
      <c r="C14948" s="3" t="str">
        <f>IFERROR(__xludf.DUMMYFUNCTION("GOOGLETRANSLATE(B14948,""id"",""en"")"),"['Please', 'fix', 'network', 'why', 'every lamp', 'dead', 'tmpat', 'signal', 'follow', 'lost', 'skarang', ' Nge ',' Game ',' Jripping ',' Lost ',' Please ',' Fix ',' Network ',' Kmpung ',' River ',' Sariak ',' Padang ',' Pariaman ',' Sumatra ' , 'West', '"&amp;"']")</f>
        <v>['Please', 'fix', 'network', 'why', 'every lamp', 'dead', 'tmpat', 'signal', 'follow', 'lost', 'skarang', ' Nge ',' Game ',' Jripping ',' Lost ',' Please ',' Fix ',' Network ',' Kmpung ',' River ',' Sariak ',' Padang ',' Pariaman ',' Sumatra ' , 'West', '']</v>
      </c>
      <c r="D14948" s="3">
        <v>1.0</v>
      </c>
    </row>
    <row r="14949" ht="15.75" customHeight="1">
      <c r="A14949" s="1">
        <v>15901.0</v>
      </c>
      <c r="B14949" s="3" t="s">
        <v>14216</v>
      </c>
      <c r="C14949" s="3" t="str">
        <f>IFERROR(__xludf.DUMMYFUNCTION("GOOGLETRANSLATE(B14949,""id"",""en"")"),"['Update', 'Severe', 'Check', 'Quota', 'Application', 'Screen', 'White', 'Doang', 'Raying', 'Out', 'Update', ""]")</f>
        <v>['Update', 'Severe', 'Check', 'Quota', 'Application', 'Screen', 'White', 'Doang', 'Raying', 'Out', 'Update', "]</v>
      </c>
      <c r="D14949" s="3">
        <v>1.0</v>
      </c>
    </row>
    <row r="14950" ht="15.75" customHeight="1">
      <c r="A14950" s="1">
        <v>15903.0</v>
      </c>
      <c r="B14950" s="3" t="s">
        <v>14217</v>
      </c>
      <c r="C14950" s="3" t="str">
        <f>IFERROR(__xludf.DUMMYFUNCTION("GOOGLETRANSLATE(B14950,""id"",""en"")"),"['Badkkkk', 'signal']")</f>
        <v>['Badkkkk', 'signal']</v>
      </c>
      <c r="D14950" s="3">
        <v>1.0</v>
      </c>
    </row>
    <row r="14951" ht="15.75" customHeight="1">
      <c r="A14951" s="1">
        <v>15904.0</v>
      </c>
      <c r="B14951" s="3" t="s">
        <v>14218</v>
      </c>
      <c r="C14951" s="3" t="str">
        <f>IFERROR(__xludf.DUMMYFUNCTION("GOOGLETRANSLATE(B14951,""id"",""en"")"),"['Cuk', 'heavy', 'BATT', 'Link', 'Mending', 'Card', 'Cuk', 'Tingual', 'Entering', 'Code', 'Verification', 'Link']")</f>
        <v>['Cuk', 'heavy', 'BATT', 'Link', 'Mending', 'Card', 'Cuk', 'Tingual', 'Entering', 'Code', 'Verification', 'Link']</v>
      </c>
      <c r="D14951" s="3">
        <v>2.0</v>
      </c>
    </row>
    <row r="14952" ht="15.75" customHeight="1">
      <c r="A14952" s="1">
        <v>15905.0</v>
      </c>
      <c r="B14952" s="3" t="s">
        <v>14219</v>
      </c>
      <c r="C14952" s="3" t="str">
        <f>IFERROR(__xludf.DUMMYFUNCTION("GOOGLETRANSLATE(B14952,""id"",""en"")"),"['expensive', 'number', 'slow', 'number', 'jabodetabek', 'already', 'like', 'gini', 'how', 'area', 'area', 'data', ' already ',' like ',' gini ',' free ',' minus', 'star', 'love', 'Telkomsel', '']")</f>
        <v>['expensive', 'number', 'slow', 'number', 'jabodetabek', 'already', 'like', 'gini', 'how', 'area', 'area', 'data', ' already ',' like ',' gini ',' free ',' minus', 'star', 'love', 'Telkomsel', '']</v>
      </c>
      <c r="D14952" s="3">
        <v>1.0</v>
      </c>
    </row>
    <row r="14953" ht="15.75" customHeight="1">
      <c r="A14953" s="1">
        <v>15906.0</v>
      </c>
      <c r="B14953" s="3" t="s">
        <v>14220</v>
      </c>
      <c r="C14953" s="3" t="str">
        <f>IFERROR(__xludf.DUMMYFUNCTION("GOOGLETRANSLATE(B14953,""id"",""en"")"),"['slow', 'update', 'data', 'Wait', 'until', 'package', 'pulse', 'regular', 'run out', ""]")</f>
        <v>['slow', 'update', 'data', 'Wait', 'until', 'package', 'pulse', 'regular', 'run out', "]</v>
      </c>
      <c r="D14953" s="3">
        <v>1.0</v>
      </c>
    </row>
    <row r="14954" ht="15.75" customHeight="1">
      <c r="A14954" s="1">
        <v>15907.0</v>
      </c>
      <c r="B14954" s="3" t="s">
        <v>14221</v>
      </c>
      <c r="C14954" s="3" t="str">
        <f>IFERROR(__xludf.DUMMYFUNCTION("GOOGLETRANSLATE(B14954,""id"",""en"")"),"['Package', 'Free', '']")</f>
        <v>['Package', 'Free', '']</v>
      </c>
      <c r="D14954" s="3">
        <v>5.0</v>
      </c>
    </row>
    <row r="14955" ht="15.75" customHeight="1">
      <c r="A14955" s="1">
        <v>15908.0</v>
      </c>
      <c r="B14955" s="3" t="s">
        <v>14222</v>
      </c>
      <c r="C14955" s="3" t="str">
        <f>IFERROR(__xludf.DUMMYFUNCTION("GOOGLETRANSLATE(B14955,""id"",""en"")"),"['Application', 'Telkomsel', 'DAK', 'opened', 'Please', 'Help']")</f>
        <v>['Application', 'Telkomsel', 'DAK', 'opened', 'Please', 'Help']</v>
      </c>
      <c r="D14955" s="3">
        <v>5.0</v>
      </c>
    </row>
    <row r="14956" ht="15.75" customHeight="1">
      <c r="A14956" s="1">
        <v>15909.0</v>
      </c>
      <c r="B14956" s="3" t="s">
        <v>14223</v>
      </c>
      <c r="C14956" s="3" t="str">
        <f>IFERROR(__xludf.DUMMYFUNCTION("GOOGLETRANSLATE(B14956,""id"",""en"")"),"['Good', 'easy', 'buy', 'package', 'hope', 'gift', 'car', 'exchange', 'Points', '']")</f>
        <v>['Good', 'easy', 'buy', 'package', 'hope', 'gift', 'car', 'exchange', 'Points', '']</v>
      </c>
      <c r="D14956" s="3">
        <v>5.0</v>
      </c>
    </row>
    <row r="14957" ht="15.75" customHeight="1">
      <c r="A14957" s="1">
        <v>15910.0</v>
      </c>
      <c r="B14957" s="3" t="s">
        <v>14224</v>
      </c>
      <c r="C14957" s="3" t="str">
        <f>IFERROR(__xludf.DUMMYFUNCTION("GOOGLETRANSLATE(B14957,""id"",""en"")"),"['beginner']")</f>
        <v>['beginner']</v>
      </c>
      <c r="D14957" s="3">
        <v>4.0</v>
      </c>
    </row>
    <row r="14958" ht="15.75" customHeight="1">
      <c r="A14958" s="1">
        <v>15911.0</v>
      </c>
      <c r="B14958" s="3" t="s">
        <v>14225</v>
      </c>
      <c r="C14958" s="3" t="str">
        <f>IFERROR(__xludf.DUMMYFUNCTION("GOOGLETRANSLATE(B14958,""id"",""en"")"),"['application', 'rubbish', 'sucks',' entry ',' number ',' difficult ',' kayak ',' collapse ',' safe ',' bank ',' link ',' abis', ' Clicked ',' enter ',' poor ', ""]")</f>
        <v>['application', 'rubbish', 'sucks',' entry ',' number ',' difficult ',' kayak ',' collapse ',' safe ',' bank ',' link ',' abis', ' Clicked ',' enter ',' poor ', "]</v>
      </c>
      <c r="D14958" s="3">
        <v>1.0</v>
      </c>
    </row>
    <row r="14959" ht="15.75" customHeight="1">
      <c r="A14959" s="1">
        <v>15912.0</v>
      </c>
      <c r="B14959" s="3" t="s">
        <v>14226</v>
      </c>
      <c r="C14959" s="3" t="str">
        <f>IFERROR(__xludf.DUMMYFUNCTION("GOOGLETRANSLATE(B14959,""id"",""en"")"),"['Please', 'Signal', 'Telkomsel', 'Fix', 'Sunday', 'Signal', 'Down', 'Telkomsel', 'Sign', 'Closed', 'Server', 'Telkomsel', ' Please ',' Action ',' Continue ',' Jejaringan ',' Telkomsel ']")</f>
        <v>['Please', 'Signal', 'Telkomsel', 'Fix', 'Sunday', 'Signal', 'Down', 'Telkomsel', 'Sign', 'Closed', 'Server', 'Telkomsel', ' Please ',' Action ',' Continue ',' Jejaringan ',' Telkomsel ']</v>
      </c>
      <c r="D14959" s="3">
        <v>1.0</v>
      </c>
    </row>
    <row r="14960" ht="15.75" customHeight="1">
      <c r="A14960" s="1">
        <v>15913.0</v>
      </c>
      <c r="B14960" s="3" t="s">
        <v>14227</v>
      </c>
      <c r="C14960" s="3" t="str">
        <f>IFERROR(__xludf.DUMMYFUNCTION("GOOGLETRANSLATE(B14960,""id"",""en"")"),"['thank you']")</f>
        <v>['thank you']</v>
      </c>
      <c r="D14960" s="3">
        <v>4.0</v>
      </c>
    </row>
    <row r="14961" ht="15.75" customHeight="1">
      <c r="A14961" s="1">
        <v>15914.0</v>
      </c>
      <c r="B14961" s="3" t="s">
        <v>14228</v>
      </c>
      <c r="C14961" s="3" t="str">
        <f>IFERROR(__xludf.DUMMYFUNCTION("GOOGLETRANSLATE(B14961,""id"",""en"")"),"['apk', 'Telkomsel', 'blank', 'white', 'suggestion', 'Telkomsel', 'version', 'DIYT']")</f>
        <v>['apk', 'Telkomsel', 'blank', 'white', 'suggestion', 'Telkomsel', 'version', 'DIYT']</v>
      </c>
      <c r="D14961" s="3">
        <v>1.0</v>
      </c>
    </row>
    <row r="14962" ht="15.75" customHeight="1">
      <c r="A14962" s="1">
        <v>15915.0</v>
      </c>
      <c r="B14962" s="3" t="s">
        <v>14229</v>
      </c>
      <c r="C14962" s="3" t="str">
        <f>IFERROR(__xludf.DUMMYFUNCTION("GOOGLETRANSLATE(B14962,""id"",""en"")"),"['Open', 'the application', 'difficult', 'yesterday', 'easy']")</f>
        <v>['Open', 'the application', 'difficult', 'yesterday', 'easy']</v>
      </c>
      <c r="D14962" s="3">
        <v>1.0</v>
      </c>
    </row>
    <row r="14963" ht="15.75" customHeight="1">
      <c r="A14963" s="1">
        <v>15916.0</v>
      </c>
      <c r="B14963" s="3" t="s">
        <v>14230</v>
      </c>
      <c r="C14963" s="3" t="str">
        <f>IFERROR(__xludf.DUMMYFUNCTION("GOOGLETRANSLATE(B14963,""id"",""en"")"),"['enter', 'app']")</f>
        <v>['enter', 'app']</v>
      </c>
      <c r="D14963" s="3">
        <v>2.0</v>
      </c>
    </row>
    <row r="14964" ht="15.75" customHeight="1">
      <c r="A14964" s="1">
        <v>15917.0</v>
      </c>
      <c r="B14964" s="3" t="s">
        <v>14231</v>
      </c>
      <c r="C14964" s="3" t="str">
        <f>IFERROR(__xludf.DUMMYFUNCTION("GOOGLETRANSLATE(B14964,""id"",""en"")"),"['Fix', 'Signal', 'Network', 'Special', 'WIL', 'Luwung', 'Mundu', 'Kab', 'Cirebon', 'Javanese', 'West', 'Lemot', ' Class', 'Telkomsel', 'Signal', '']")</f>
        <v>['Fix', 'Signal', 'Network', 'Special', 'WIL', 'Luwung', 'Mundu', 'Kab', 'Cirebon', 'Javanese', 'West', 'Lemot', ' Class', 'Telkomsel', 'Signal', '']</v>
      </c>
      <c r="D14964" s="3">
        <v>2.0</v>
      </c>
    </row>
    <row r="14965" ht="15.75" customHeight="1">
      <c r="A14965" s="1">
        <v>15918.0</v>
      </c>
      <c r="B14965" s="3" t="s">
        <v>14232</v>
      </c>
      <c r="C14965" s="3" t="str">
        <f>IFERROR(__xludf.DUMMYFUNCTION("GOOGLETRANSLATE(B14965,""id"",""en"")"),"['ksini', 'jdi', 'ngaco', 'application', 'yes', 'tbtb', 'gabisa', 'entered', 'then', 'jringan', 'telkomsel']")</f>
        <v>['ksini', 'jdi', 'ngaco', 'application', 'yes', 'tbtb', 'gabisa', 'entered', 'then', 'jringan', 'telkomsel']</v>
      </c>
      <c r="D14965" s="3">
        <v>1.0</v>
      </c>
    </row>
    <row r="14966" ht="15.75" customHeight="1">
      <c r="A14966" s="1">
        <v>15919.0</v>
      </c>
      <c r="B14966" s="3" t="s">
        <v>14233</v>
      </c>
      <c r="C14966" s="3" t="str">
        <f>IFERROR(__xludf.DUMMYFUNCTION("GOOGLETRANSLATE(B14966,""id"",""en"")"),"['heavy', 'enter', 'the application', 'sorry', 'star', 'hope', 'in the future', 'star', '']")</f>
        <v>['heavy', 'enter', 'the application', 'sorry', 'star', 'hope', 'in the future', 'star', '']</v>
      </c>
      <c r="D14966" s="3">
        <v>3.0</v>
      </c>
    </row>
    <row r="14967" ht="15.75" customHeight="1">
      <c r="A14967" s="1">
        <v>15920.0</v>
      </c>
      <c r="B14967" s="3" t="s">
        <v>708</v>
      </c>
      <c r="C14967" s="3" t="str">
        <f>IFERROR(__xludf.DUMMYFUNCTION("GOOGLETRANSLATE(B14967,""id"",""en"")"),"['easy', 'help']")</f>
        <v>['easy', 'help']</v>
      </c>
      <c r="D14967" s="3">
        <v>5.0</v>
      </c>
    </row>
    <row r="14968" ht="15.75" customHeight="1">
      <c r="A14968" s="1">
        <v>15921.0</v>
      </c>
      <c r="B14968" s="3" t="s">
        <v>14234</v>
      </c>
      <c r="C14968" s="3" t="str">
        <f>IFERROR(__xludf.DUMMYFUNCTION("GOOGLETRANSLATE(B14968,""id"",""en"")"),"['It's easier for', 'thank you']")</f>
        <v>['It's easier for', 'thank you']</v>
      </c>
      <c r="D14968" s="3">
        <v>5.0</v>
      </c>
    </row>
    <row r="14969" ht="15.75" customHeight="1">
      <c r="A14969" s="1">
        <v>15922.0</v>
      </c>
      <c r="B14969" s="3" t="s">
        <v>14235</v>
      </c>
      <c r="C14969" s="3" t="str">
        <f>IFERROR(__xludf.DUMMYFUNCTION("GOOGLETRANSLATE(B14969,""id"",""en"")"),"['network', 'destroyed', 'Telkomsel', 'sympathy', 'network', 'destroyed', 'bright', 'disappointed', 'network', 'Telkomsel', ""]")</f>
        <v>['network', 'destroyed', 'Telkomsel', 'sympathy', 'network', 'destroyed', 'bright', 'disappointed', 'network', 'Telkomsel', "]</v>
      </c>
      <c r="D14969" s="3">
        <v>1.0</v>
      </c>
    </row>
    <row r="14970" ht="15.75" customHeight="1">
      <c r="A14970" s="1">
        <v>15923.0</v>
      </c>
      <c r="B14970" s="3" t="s">
        <v>14236</v>
      </c>
      <c r="C14970" s="3" t="str">
        <f>IFERROR(__xludf.DUMMYFUNCTION("GOOGLETRANSLATE(B14970,""id"",""en"")"),"['package', 'expensive', 'signal', 'cheap']")</f>
        <v>['package', 'expensive', 'signal', 'cheap']</v>
      </c>
      <c r="D14970" s="3">
        <v>1.0</v>
      </c>
    </row>
    <row r="14971" ht="15.75" customHeight="1">
      <c r="A14971" s="1">
        <v>15924.0</v>
      </c>
      <c r="B14971" s="3" t="s">
        <v>14237</v>
      </c>
      <c r="C14971" s="3" t="str">
        <f>IFERROR(__xludf.DUMMYFUNCTION("GOOGLETRANSLATE(B14971,""id"",""en"")"),"['Severe', 'network', 'Telkomsel', 'price', 'exorbitant', 'appeal', 'nets',' next door ',' Think ',' Peguna ',' like ',' Gini ',' Mending ',' move ',' network ',' next door ',' buy ',' expensive ',' network ',' slow ',' sugar ', ""]")</f>
        <v>['Severe', 'network', 'Telkomsel', 'price', 'exorbitant', 'appeal', 'nets',' next door ',' Think ',' Peguna ',' like ',' Gini ',' Mending ',' move ',' network ',' next door ',' buy ',' expensive ',' network ',' slow ',' sugar ', "]</v>
      </c>
      <c r="D14971" s="3">
        <v>1.0</v>
      </c>
    </row>
    <row r="14972" ht="15.75" customHeight="1">
      <c r="A14972" s="1">
        <v>15925.0</v>
      </c>
      <c r="B14972" s="3" t="s">
        <v>14238</v>
      </c>
      <c r="C14972" s="3" t="str">
        <f>IFERROR(__xludf.DUMMYFUNCTION("GOOGLETRANSLATE(B14972,""id"",""en"")"),"['Network', 'Telkom', 'Rich', 'Current', 'Ngeleg', 'Fast', 'Fix', 'Sis', 'Glad', 'Card', 'Telkom', ""]")</f>
        <v>['Network', 'Telkom', 'Rich', 'Current', 'Ngeleg', 'Fast', 'Fix', 'Sis', 'Glad', 'Card', 'Telkom', "]</v>
      </c>
      <c r="D14972" s="3">
        <v>1.0</v>
      </c>
    </row>
    <row r="14973" ht="15.75" customHeight="1">
      <c r="A14973" s="1">
        <v>15926.0</v>
      </c>
      <c r="B14973" s="3" t="s">
        <v>14239</v>
      </c>
      <c r="C14973" s="3" t="str">
        <f>IFERROR(__xludf.DUMMYFUNCTION("GOOGLETRANSLATE(B14973,""id"",""en"")"),"['Nyesel', 'Moving', 'Provider', 'Haduhh', 'Push', 'Rank', 'Signal', 'Ngeedown', 'Teros']")</f>
        <v>['Nyesel', 'Moving', 'Provider', 'Haduhh', 'Push', 'Rank', 'Signal', 'Ngeedown', 'Teros']</v>
      </c>
      <c r="D14973" s="3">
        <v>1.0</v>
      </c>
    </row>
    <row r="14974" ht="15.75" customHeight="1">
      <c r="A14974" s="1">
        <v>15927.0</v>
      </c>
      <c r="B14974" s="3" t="s">
        <v>14240</v>
      </c>
      <c r="C14974" s="3" t="str">
        <f>IFERROR(__xludf.DUMMYFUNCTION("GOOGLETRANSLATE(B14974,""id"",""en"")"),"['Enter', 'Application', 'Ribet', 'Package', 'Not bad', 'expensive']")</f>
        <v>['Enter', 'Application', 'Ribet', 'Package', 'Not bad', 'expensive']</v>
      </c>
      <c r="D14974" s="3">
        <v>2.0</v>
      </c>
    </row>
    <row r="14975" ht="15.75" customHeight="1">
      <c r="A14975" s="1">
        <v>15928.0</v>
      </c>
      <c r="B14975" s="3" t="s">
        <v>14241</v>
      </c>
      <c r="C14975" s="3" t="str">
        <f>IFERROR(__xludf.DUMMYFUNCTION("GOOGLETRANSLATE(B14975,""id"",""en"")"),"['Network', 'slow', 'kayak', ""]")</f>
        <v>['Network', 'slow', 'kayak', "]</v>
      </c>
      <c r="D14975" s="3">
        <v>2.0</v>
      </c>
    </row>
    <row r="14976" ht="15.75" customHeight="1">
      <c r="A14976" s="1">
        <v>15929.0</v>
      </c>
      <c r="B14976" s="3" t="s">
        <v>14242</v>
      </c>
      <c r="C14976" s="3" t="str">
        <f>IFERROR(__xludf.DUMMYFUNCTION("GOOGLETRANSLATE(B14976,""id"",""en"")"),"['apk', 'error', 'knpa', 'login']")</f>
        <v>['apk', 'error', 'knpa', 'login']</v>
      </c>
      <c r="D14976" s="3">
        <v>2.0</v>
      </c>
    </row>
    <row r="14977" ht="15.75" customHeight="1">
      <c r="A14977" s="1">
        <v>15930.0</v>
      </c>
      <c r="B14977" s="3" t="s">
        <v>14243</v>
      </c>
      <c r="C14977" s="3" t="str">
        <f>IFERROR(__xludf.DUMMYFUNCTION("GOOGLETRANSLATE(B14977,""id"",""en"")"),"['', 'Please', 'Benerin', 'The Application', 'Gini', 'Opens', 'White']")</f>
        <v>['', 'Please', 'Benerin', 'The Application', 'Gini', 'Opens', 'White']</v>
      </c>
      <c r="D14977" s="3">
        <v>1.0</v>
      </c>
    </row>
    <row r="14978" ht="15.75" customHeight="1">
      <c r="A14978" s="1">
        <v>15931.0</v>
      </c>
      <c r="B14978" s="3" t="s">
        <v>14244</v>
      </c>
      <c r="C14978" s="3" t="str">
        <f>IFERROR(__xludf.DUMMYFUNCTION("GOOGLETRANSLATE(B14978,""id"",""en"")"),"['application', 'Telkomsel', 'opened', 'times', 'Download', 'open']")</f>
        <v>['application', 'Telkomsel', 'opened', 'times', 'Download', 'open']</v>
      </c>
      <c r="D14978" s="3">
        <v>1.0</v>
      </c>
    </row>
    <row r="14979" ht="15.75" customHeight="1">
      <c r="A14979" s="1">
        <v>15932.0</v>
      </c>
      <c r="B14979" s="3" t="s">
        <v>14245</v>
      </c>
      <c r="C14979" s="3" t="str">
        <f>IFERROR(__xludf.DUMMYFUNCTION("GOOGLETRANSLATE(B14979,""id"",""en"")"),"['Provider', 'intention', 'Try', 'Signal', 'Telkomsel', 'Suitable', 'Nurunin', 'Rank', 'Game', 'BTW', ""]")</f>
        <v>['Provider', 'intention', 'Try', 'Signal', 'Telkomsel', 'Suitable', 'Nurunin', 'Rank', 'Game', 'BTW', "]</v>
      </c>
      <c r="D14979" s="3">
        <v>1.0</v>
      </c>
    </row>
    <row r="14980" ht="15.75" customHeight="1">
      <c r="A14980" s="1">
        <v>15933.0</v>
      </c>
      <c r="B14980" s="3" t="s">
        <v>14246</v>
      </c>
      <c r="C14980" s="3" t="str">
        <f>IFERROR(__xludf.DUMMYFUNCTION("GOOGLETRANSLATE(B14980,""id"",""en"")"),"['Good', 'JDI', 'Simple', 'check', 'quota', 'pls']")</f>
        <v>['Good', 'JDI', 'Simple', 'check', 'quota', 'pls']</v>
      </c>
      <c r="D14980" s="3">
        <v>5.0</v>
      </c>
    </row>
    <row r="14981" ht="15.75" customHeight="1">
      <c r="A14981" s="1">
        <v>15934.0</v>
      </c>
      <c r="B14981" s="3" t="s">
        <v>14247</v>
      </c>
      <c r="C14981" s="3" t="str">
        <f>IFERROR(__xludf.DUMMYFUNCTION("GOOGLETRANSLATE(B14981,""id"",""en"")"),"['Optimize', 'signal', '']")</f>
        <v>['Optimize', 'signal', '']</v>
      </c>
      <c r="D14981" s="3">
        <v>5.0</v>
      </c>
    </row>
    <row r="14982" ht="15.75" customHeight="1">
      <c r="A14982" s="1">
        <v>15935.0</v>
      </c>
      <c r="B14982" s="3" t="s">
        <v>14248</v>
      </c>
      <c r="C14982" s="3" t="str">
        <f>IFERROR(__xludf.DUMMYFUNCTION("GOOGLETRANSLATE(B14982,""id"",""en"")"),"['Hi', 'Sis', 'APK', 'go']")</f>
        <v>['Hi', 'Sis', 'APK', 'go']</v>
      </c>
      <c r="D14982" s="3">
        <v>5.0</v>
      </c>
    </row>
    <row r="14983" ht="15.75" customHeight="1">
      <c r="A14983" s="1">
        <v>15936.0</v>
      </c>
      <c r="B14983" s="3" t="s">
        <v>14249</v>
      </c>
      <c r="C14983" s="3" t="str">
        <f>IFERROR(__xludf.DUMMYFUNCTION("GOOGLETRANSLATE(B14983,""id"",""en"")"),"['Network', 'Benerin', 'card', 'Doang', 'expensive']")</f>
        <v>['Network', 'Benerin', 'card', 'Doang', 'expensive']</v>
      </c>
      <c r="D14983" s="3">
        <v>1.0</v>
      </c>
    </row>
    <row r="14984" ht="15.75" customHeight="1">
      <c r="A14984" s="1">
        <v>15937.0</v>
      </c>
      <c r="B14984" s="3" t="s">
        <v>14250</v>
      </c>
      <c r="C14984" s="3" t="str">
        <f>IFERROR(__xludf.DUMMYFUNCTION("GOOGLETRANSLATE(B14984,""id"",""en"")"),"['Good', 'Condition', 'Signal', 'Kebanykn', 'Lemot']")</f>
        <v>['Good', 'Condition', 'Signal', 'Kebanykn', 'Lemot']</v>
      </c>
      <c r="D14984" s="3">
        <v>4.0</v>
      </c>
    </row>
    <row r="14985" ht="15.75" customHeight="1">
      <c r="A14985" s="1">
        <v>15938.0</v>
      </c>
      <c r="B14985" s="3" t="s">
        <v>14251</v>
      </c>
      <c r="C14985" s="3" t="str">
        <f>IFERROR(__xludf.DUMMYFUNCTION("GOOGLETRANSLATE(B14985,""id"",""en"")"),"['update', 'application', 'open', 'screen', 'white', '']")</f>
        <v>['update', 'application', 'open', 'screen', 'white', '']</v>
      </c>
      <c r="D14985" s="3">
        <v>1.0</v>
      </c>
    </row>
    <row r="14986" ht="15.75" customHeight="1">
      <c r="A14986" s="1">
        <v>15939.0</v>
      </c>
      <c r="B14986" s="3" t="s">
        <v>1754</v>
      </c>
      <c r="C14986" s="3" t="str">
        <f>IFERROR(__xludf.DUMMYFUNCTION("GOOGLETRANSLATE(B14986,""id"",""en"")"),"['', 'open']")</f>
        <v>['', 'open']</v>
      </c>
      <c r="D14986" s="3">
        <v>1.0</v>
      </c>
    </row>
    <row r="14987" ht="15.75" customHeight="1">
      <c r="A14987" s="1">
        <v>15941.0</v>
      </c>
      <c r="B14987" s="3" t="s">
        <v>14252</v>
      </c>
      <c r="C14987" s="3" t="str">
        <f>IFERROR(__xludf.DUMMYFUNCTION("GOOGLETRANSLATE(B14987,""id"",""en"")"),"['App', 'Telkomsel', 'open']")</f>
        <v>['App', 'Telkomsel', 'open']</v>
      </c>
      <c r="D14987" s="3">
        <v>2.0</v>
      </c>
    </row>
    <row r="14988" ht="15.75" customHeight="1">
      <c r="A14988" s="1">
        <v>15942.0</v>
      </c>
      <c r="B14988" s="3" t="s">
        <v>14253</v>
      </c>
      <c r="C14988" s="3" t="str">
        <f>IFERROR(__xludf.DUMMYFUNCTION("GOOGLETRANSLATE(B14988,""id"",""en"")"),"['Anyway', 'Telkomsel', 'Bangettt', 'Increases', 'Service', '']")</f>
        <v>['Anyway', 'Telkomsel', 'Bangettt', 'Increases', 'Service', '']</v>
      </c>
      <c r="D14988" s="3">
        <v>5.0</v>
      </c>
    </row>
    <row r="14989" ht="15.75" customHeight="1">
      <c r="A14989" s="1">
        <v>15943.0</v>
      </c>
      <c r="B14989" s="3" t="s">
        <v>14254</v>
      </c>
      <c r="C14989" s="3" t="str">
        <f>IFERROR(__xludf.DUMMYFUNCTION("GOOGLETRANSLATE(B14989,""id"",""en"")"),"['quota', 'unlimited', 'youtube', 'sumps', 'quota', 'main', 'what', '']")</f>
        <v>['quota', 'unlimited', 'youtube', 'sumps', 'quota', 'main', 'what', '']</v>
      </c>
      <c r="D14989" s="3">
        <v>5.0</v>
      </c>
    </row>
    <row r="14990" ht="15.75" customHeight="1">
      <c r="A14990" s="1">
        <v>15944.0</v>
      </c>
      <c r="B14990" s="3" t="s">
        <v>14255</v>
      </c>
      <c r="C14990" s="3" t="str">
        <f>IFERROR(__xludf.DUMMYFUNCTION("GOOGLETRANSLATE(B14990,""id"",""en"")"),"['application', 'ugly', 'log', 'look', 'white']")</f>
        <v>['application', 'ugly', 'log', 'look', 'white']</v>
      </c>
      <c r="D14990" s="3">
        <v>1.0</v>
      </c>
    </row>
    <row r="14991" ht="15.75" customHeight="1">
      <c r="A14991" s="1">
        <v>15945.0</v>
      </c>
      <c r="B14991" s="3" t="s">
        <v>1843</v>
      </c>
      <c r="C14991" s="3" t="str">
        <f>IFERROR(__xludf.DUMMYFUNCTION("GOOGLETRANSLATE(B14991,""id"",""en"")"),"['thank', 'love', 'Telkomsel']")</f>
        <v>['thank', 'love', 'Telkomsel']</v>
      </c>
      <c r="D14991" s="3">
        <v>5.0</v>
      </c>
    </row>
    <row r="14992" ht="15.75" customHeight="1">
      <c r="A14992" s="1">
        <v>15946.0</v>
      </c>
      <c r="B14992" s="3" t="s">
        <v>14256</v>
      </c>
      <c r="C14992" s="3" t="str">
        <f>IFERROR(__xludf.DUMMYFUNCTION("GOOGLETRANSLATE(B14992,""id"",""en"")"),"['Telkomsel', 'difficult', 'BGTZ', 'enter', 'application', 'signal', 'difficult', 'Bkin', 'emotion']")</f>
        <v>['Telkomsel', 'difficult', 'BGTZ', 'enter', 'application', 'signal', 'difficult', 'Bkin', 'emotion']</v>
      </c>
      <c r="D14992" s="3">
        <v>1.0</v>
      </c>
    </row>
    <row r="14993" ht="15.75" customHeight="1">
      <c r="A14993" s="1">
        <v>15947.0</v>
      </c>
      <c r="B14993" s="3" t="s">
        <v>14257</v>
      </c>
      <c r="C14993" s="3" t="str">
        <f>IFERROR(__xludf.DUMMYFUNCTION("GOOGLETRANSLATE(B14993,""id"",""en"")"),"['like', 'application', 'Telkomsel', 'because', 'paketan', 'pulse', 'berkacem', 'macem']")</f>
        <v>['like', 'application', 'Telkomsel', 'because', 'paketan', 'pulse', 'berkacem', 'macem']</v>
      </c>
      <c r="D14993" s="3">
        <v>5.0</v>
      </c>
    </row>
    <row r="14994" ht="15.75" customHeight="1">
      <c r="A14994" s="1">
        <v>15948.0</v>
      </c>
      <c r="B14994" s="3" t="s">
        <v>14258</v>
      </c>
      <c r="C14994" s="3" t="str">
        <f>IFERROR(__xludf.DUMMYFUNCTION("GOOGLETRANSLATE(B14994,""id"",""en"")"),"['signal', 'Telkomsel', 'slow']")</f>
        <v>['signal', 'Telkomsel', 'slow']</v>
      </c>
      <c r="D14994" s="3">
        <v>1.0</v>
      </c>
    </row>
    <row r="14995" ht="15.75" customHeight="1">
      <c r="A14995" s="1">
        <v>15949.0</v>
      </c>
      <c r="B14995" s="3" t="s">
        <v>14259</v>
      </c>
      <c r="C14995" s="3" t="str">
        <f>IFERROR(__xludf.DUMMYFUNCTION("GOOGLETRANSLATE(B14995,""id"",""en"")"),"['Collapin', 'Star', 'Point', 'Exchange', 'Ribet', 'Win']")</f>
        <v>['Collapin', 'Star', 'Point', 'Exchange', 'Ribet', 'Win']</v>
      </c>
      <c r="D14995" s="3">
        <v>1.0</v>
      </c>
    </row>
    <row r="14996" ht="15.75" customHeight="1">
      <c r="A14996" s="1">
        <v>15950.0</v>
      </c>
      <c r="B14996" s="3" t="s">
        <v>14260</v>
      </c>
      <c r="C14996" s="3" t="str">
        <f>IFERROR(__xludf.DUMMYFUNCTION("GOOGLETRANSLATE(B14996,""id"",""en"")"),"['Network', 'ngelek', 'play', 'games', 'mobile', 'legend', 'severe', 'disappointed', 'cave', 'quota', 'game', 'gunannya']")</f>
        <v>['Network', 'ngelek', 'play', 'games', 'mobile', 'legend', 'severe', 'disappointed', 'cave', 'quota', 'game', 'gunannya']</v>
      </c>
      <c r="D14996" s="3">
        <v>1.0</v>
      </c>
    </row>
    <row r="14997" ht="15.75" customHeight="1">
      <c r="A14997" s="1">
        <v>15951.0</v>
      </c>
      <c r="B14997" s="3" t="s">
        <v>14261</v>
      </c>
      <c r="C14997" s="3" t="str">
        <f>IFERROR(__xludf.DUMMYFUNCTION("GOOGLETRANSLATE(B14997,""id"",""en"")"),"['just', 'attached to', 'price', 'quality', 'network', 'urus', 'idiot', ""]")</f>
        <v>['just', 'attached to', 'price', 'quality', 'network', 'urus', 'idiot', "]</v>
      </c>
      <c r="D14997" s="3">
        <v>1.0</v>
      </c>
    </row>
    <row r="14998" ht="15.75" customHeight="1">
      <c r="A14998" s="1">
        <v>15952.0</v>
      </c>
      <c r="B14998" s="3" t="s">
        <v>14262</v>
      </c>
      <c r="C14998" s="3" t="str">
        <f>IFERROR(__xludf.DUMMYFUNCTION("GOOGLETRANSLATE(B14998,""id"",""en"")"),"['Network', 'ugly', 'play', 'game', 'please', 'fix', 'banyan', 'complain', 'please', 'action', 'continue']")</f>
        <v>['Network', 'ugly', 'play', 'game', 'please', 'fix', 'banyan', 'complain', 'please', 'action', 'continue']</v>
      </c>
      <c r="D14998" s="3">
        <v>1.0</v>
      </c>
    </row>
    <row r="14999" ht="15.75" customHeight="1">
      <c r="A14999" s="1">
        <v>15953.0</v>
      </c>
      <c r="B14999" s="3" t="s">
        <v>14263</v>
      </c>
      <c r="C14999" s="3" t="str">
        <f>IFERROR(__xludf.DUMMYFUNCTION("GOOGLETRANSLATE(B14999,""id"",""en"")"),"['Sorry', 'Disappointed', 'Make', 'Telkomsel', 'Turuni', 'Bintang', 'Telkomsel', 'Bad', ""]")</f>
        <v>['Sorry', 'Disappointed', 'Make', 'Telkomsel', 'Turuni', 'Bintang', 'Telkomsel', 'Bad', "]</v>
      </c>
      <c r="D14999" s="3">
        <v>1.0</v>
      </c>
    </row>
    <row r="15000" ht="15.75" customHeight="1">
      <c r="A15000" s="1">
        <v>15954.0</v>
      </c>
      <c r="B15000" s="3" t="s">
        <v>8490</v>
      </c>
      <c r="C15000" s="3" t="str">
        <f>IFERROR(__xludf.DUMMYFUNCTION("GOOGLETRANSLATE(B15000,""id"",""en"")"),"['Good', 'makes it easy']")</f>
        <v>['Good', 'makes it easy']</v>
      </c>
      <c r="D15000" s="3">
        <v>5.0</v>
      </c>
    </row>
    <row r="15001" ht="15.75" customHeight="1">
      <c r="A15001" s="1">
        <v>15955.0</v>
      </c>
      <c r="B15001" s="3" t="s">
        <v>14264</v>
      </c>
      <c r="C15001" s="3" t="str">
        <f>IFERROR(__xludf.DUMMYFUNCTION("GOOGLETRANSLATE(B15001,""id"",""en"")"),"['expensive', 'package', 'call']")</f>
        <v>['expensive', 'package', 'call']</v>
      </c>
      <c r="D15001" s="3">
        <v>1.0</v>
      </c>
    </row>
    <row r="15002" ht="15.75" customHeight="1">
      <c r="A15002" s="1">
        <v>15956.0</v>
      </c>
      <c r="B15002" s="3" t="s">
        <v>14265</v>
      </c>
      <c r="C15002" s="3" t="str">
        <f>IFERROR(__xludf.DUMMYFUNCTION("GOOGLETRANSLATE(B15002,""id"",""en"")"),"['Application', 'Telkomsel', 'DAK', 'opened', 'Kenapaya', ""]")</f>
        <v>['Application', 'Telkomsel', 'DAK', 'opened', 'Kenapaya', "]</v>
      </c>
      <c r="D15002" s="3">
        <v>2.0</v>
      </c>
    </row>
    <row r="15003" ht="15.75" customHeight="1">
      <c r="A15003" s="1">
        <v>15957.0</v>
      </c>
      <c r="B15003" s="3" t="s">
        <v>14266</v>
      </c>
      <c r="C15003" s="3" t="str">
        <f>IFERROR(__xludf.DUMMYFUNCTION("GOOGLETRANSLATE(B15003,""id"",""en"")"),"['Telkomsel', 'opened', 'color', 'white', 'ajah', 'already', 'uninstall', 'tetep', 'ajah']")</f>
        <v>['Telkomsel', 'opened', 'color', 'white', 'ajah', 'already', 'uninstall', 'tetep', 'ajah']</v>
      </c>
      <c r="D15003" s="3">
        <v>2.0</v>
      </c>
    </row>
    <row r="15004" ht="15.75" customHeight="1">
      <c r="A15004" s="1">
        <v>15959.0</v>
      </c>
      <c r="B15004" s="3" t="s">
        <v>14267</v>
      </c>
      <c r="C15004" s="3" t="str">
        <f>IFERROR(__xludf.DUMMYFUNCTION("GOOGLETRANSLATE(B15004,""id"",""en"")"),"['Severe', 'Telkomsel', 'kagak', 'kayak', 'told', 'hub', 'anything', 'high school', 'no', 'response', 'call', 'broken', ' Internet ',' Mending ',' Change ',' Card ',' Hadehhh ',' ']")</f>
        <v>['Severe', 'Telkomsel', 'kagak', 'kayak', 'told', 'hub', 'anything', 'high school', 'no', 'response', 'call', 'broken', ' Internet ',' Mending ',' Change ',' Card ',' Hadehhh ',' ']</v>
      </c>
      <c r="D15004" s="3">
        <v>1.0</v>
      </c>
    </row>
    <row r="15005" ht="15.75" customHeight="1">
      <c r="A15005" s="1">
        <v>15960.0</v>
      </c>
      <c r="B15005" s="3" t="s">
        <v>14268</v>
      </c>
      <c r="C15005" s="3" t="str">
        <f>IFERROR(__xludf.DUMMYFUNCTION("GOOGLETRANSLATE(B15005,""id"",""en"")"),"['devastating', 'life', 'a day', '']")</f>
        <v>['devastating', 'life', 'a day', '']</v>
      </c>
      <c r="D15005" s="3">
        <v>5.0</v>
      </c>
    </row>
    <row r="15006" ht="15.75" customHeight="1">
      <c r="A15006" s="1">
        <v>15961.0</v>
      </c>
      <c r="B15006" s="3" t="s">
        <v>14269</v>
      </c>
      <c r="C15006" s="3" t="str">
        <f>IFERROR(__xludf.DUMMYFUNCTION("GOOGLETRANSLATE(B15006,""id"",""en"")"),"['Difficult', 'Install', 'PDAH', 'Download', 'please', 'fix', 'Kouta', 'inedible', 'MEN', 'Download', ""]")</f>
        <v>['Difficult', 'Install', 'PDAH', 'Download', 'please', 'fix', 'Kouta', 'inedible', 'MEN', 'Download', "]</v>
      </c>
      <c r="D15006" s="3">
        <v>1.0</v>
      </c>
    </row>
    <row r="15007" ht="15.75" customHeight="1">
      <c r="A15007" s="1">
        <v>15962.0</v>
      </c>
      <c r="B15007" s="3" t="s">
        <v>14270</v>
      </c>
      <c r="C15007" s="3" t="str">
        <f>IFERROR(__xludf.DUMMYFUNCTION("GOOGLETRANSLATE(B15007,""id"",""en"")"),"['', 'Update', 'Nga', 'Open']")</f>
        <v>['', 'Update', 'Nga', 'Open']</v>
      </c>
      <c r="D15007" s="3">
        <v>5.0</v>
      </c>
    </row>
    <row r="15008" ht="15.75" customHeight="1">
      <c r="A15008" s="1">
        <v>15963.0</v>
      </c>
      <c r="B15008" s="3" t="s">
        <v>14271</v>
      </c>
      <c r="C15008" s="3" t="str">
        <f>IFERROR(__xludf.DUMMYFUNCTION("GOOGLETRANSLATE(B15008,""id"",""en"")"),"['already', 'times', 'Try', 'dowload', 'open', 'menu', 'application', 'Telkomsel', 'please', 'solution', 'thank', 'love']")</f>
        <v>['already', 'times', 'Try', 'dowload', 'open', 'menu', 'application', 'Telkomsel', 'please', 'solution', 'thank', 'love']</v>
      </c>
      <c r="D15008" s="3">
        <v>4.0</v>
      </c>
    </row>
    <row r="15009" ht="15.75" customHeight="1">
      <c r="A15009" s="1">
        <v>15964.0</v>
      </c>
      <c r="B15009" s="3" t="s">
        <v>14272</v>
      </c>
      <c r="C15009" s="3" t="str">
        <f>IFERROR(__xludf.DUMMYFUNCTION("GOOGLETRANSLATE(B15009,""id"",""en"")"),"['application', 'bangus', 'price', 'affordable', 'like', 'really', 'application', 'mytelkoksel', 'good', 'job']")</f>
        <v>['application', 'bangus', 'price', 'affordable', 'like', 'really', 'application', 'mytelkoksel', 'good', 'job']</v>
      </c>
      <c r="D15009" s="3">
        <v>5.0</v>
      </c>
    </row>
    <row r="15010" ht="15.75" customHeight="1">
      <c r="A15010" s="1">
        <v>15965.0</v>
      </c>
      <c r="B15010" s="3" t="s">
        <v>14273</v>
      </c>
      <c r="C15010" s="3" t="str">
        <f>IFERROR(__xludf.DUMMYFUNCTION("GOOGLETRANSLATE(B15010,""id"",""en"")"),"['Satisfied', 'Makai', 'MyTelkomsel']")</f>
        <v>['Satisfied', 'Makai', 'MyTelkomsel']</v>
      </c>
      <c r="D15010" s="3">
        <v>5.0</v>
      </c>
    </row>
    <row r="15011" ht="15.75" customHeight="1">
      <c r="A15011" s="1">
        <v>15966.0</v>
      </c>
      <c r="B15011" s="3" t="s">
        <v>14274</v>
      </c>
      <c r="C15011" s="3" t="str">
        <f>IFERROR(__xludf.DUMMYFUNCTION("GOOGLETRANSLATE(B15011,""id"",""en"")"),"['apk', 'ugly', 'bsa', 'bukak', 'emng']")</f>
        <v>['apk', 'ugly', 'bsa', 'bukak', 'emng']</v>
      </c>
      <c r="D15011" s="3">
        <v>1.0</v>
      </c>
    </row>
    <row r="15012" ht="15.75" customHeight="1">
      <c r="A15012" s="1">
        <v>15967.0</v>
      </c>
      <c r="B15012" s="3" t="s">
        <v>14275</v>
      </c>
      <c r="C15012" s="3" t="str">
        <f>IFERROR(__xludf.DUMMYFUNCTION("GOOGLETRANSLATE(B15012,""id"",""en"")"),"['Easy', 'Bermana', 'Hopefully', 'In the future', 'Success', 'Lov', 'Telkomsel', ""]")</f>
        <v>['Easy', 'Bermana', 'Hopefully', 'In the future', 'Success', 'Lov', 'Telkomsel', "]</v>
      </c>
      <c r="D15012" s="3">
        <v>5.0</v>
      </c>
    </row>
    <row r="15013" ht="15.75" customHeight="1">
      <c r="A15013" s="1">
        <v>15969.0</v>
      </c>
      <c r="B15013" s="3" t="s">
        <v>14276</v>
      </c>
      <c r="C15013" s="3" t="str">
        <f>IFERROR(__xludf.DUMMYFUNCTION("GOOGLETRANSLATE(B15013,""id"",""en"")"),"['Network', 'bad', 'developed', 'range', 'quality', 'network', 'bad', 'watch', 'youtube', 'crash']")</f>
        <v>['Network', 'bad', 'developed', 'range', 'quality', 'network', 'bad', 'watch', 'youtube', 'crash']</v>
      </c>
      <c r="D15013" s="3">
        <v>1.0</v>
      </c>
    </row>
    <row r="15014" ht="15.75" customHeight="1">
      <c r="A15014" s="1">
        <v>15970.0</v>
      </c>
      <c r="B15014" s="3" t="s">
        <v>14277</v>
      </c>
      <c r="C15014" s="3" t="str">
        <f>IFERROR(__xludf.DUMMYFUNCTION("GOOGLETRANSLATE(B15014,""id"",""en"")"),"['Basic', 'Satan', 'Signal', 'Lemot', 'Pig']")</f>
        <v>['Basic', 'Satan', 'Signal', 'Lemot', 'Pig']</v>
      </c>
      <c r="D15014" s="3">
        <v>1.0</v>
      </c>
    </row>
    <row r="15015" ht="15.75" customHeight="1">
      <c r="A15015" s="1">
        <v>15971.0</v>
      </c>
      <c r="B15015" s="3" t="s">
        <v>14278</v>
      </c>
      <c r="C15015" s="3" t="str">
        <f>IFERROR(__xludf.DUMMYFUNCTION("GOOGLETRANSLATE(B15015,""id"",""en"")"),"['Season', 'Sya', 'DPT', 'PKET', 'Free', 'Telkomsel', 'Amin', '']")</f>
        <v>['Season', 'Sya', 'DPT', 'PKET', 'Free', 'Telkomsel', 'Amin', '']</v>
      </c>
      <c r="D15015" s="3">
        <v>5.0</v>
      </c>
    </row>
    <row r="15016" ht="15.75" customHeight="1">
      <c r="A15016" s="1">
        <v>15972.0</v>
      </c>
      <c r="B15016" s="3" t="s">
        <v>14279</v>
      </c>
      <c r="C15016" s="3" t="str">
        <f>IFERROR(__xludf.DUMMYFUNCTION("GOOGLETRANSLATE(B15016,""id"",""en"")"),"['buy', 'package', 'internet', 'must', 'chat', '']")</f>
        <v>['buy', 'package', 'internet', 'must', 'chat', '']</v>
      </c>
      <c r="D15016" s="3">
        <v>1.0</v>
      </c>
    </row>
    <row r="15017" ht="15.75" customHeight="1">
      <c r="A15017" s="1">
        <v>15973.0</v>
      </c>
      <c r="B15017" s="3" t="s">
        <v>14280</v>
      </c>
      <c r="C15017" s="3" t="str">
        <f>IFERROR(__xludf.DUMMYFUNCTION("GOOGLETRANSLATE(B15017,""id"",""en"")"),"['Network', 'Telkomsel', 'paraaaaaaaah', 'Tower', 'Tower', 'TSL', 'Down', 'Ujan', 'Original', 'Rich', 'old', 'access',' Internet ',' Game ',' Online ',' Rich ',' Stay ',' Method ',' Card ',' Already ',' Migration ',' Card ',' Hello ',' Please ',' MyTelkom"&amp;"sel ' , 'Help', 'solution', '']")</f>
        <v>['Network', 'Telkomsel', 'paraaaaaaaah', 'Tower', 'Tower', 'TSL', 'Down', 'Ujan', 'Original', 'Rich', 'old', 'access',' Internet ',' Game ',' Online ',' Rich ',' Stay ',' Method ',' Card ',' Already ',' Migration ',' Card ',' Hello ',' Please ',' MyTelkomsel ' , 'Help', 'solution', '']</v>
      </c>
      <c r="D15017" s="3">
        <v>2.0</v>
      </c>
    </row>
    <row r="15018" ht="15.75" customHeight="1">
      <c r="A15018" s="1">
        <v>15974.0</v>
      </c>
      <c r="B15018" s="3" t="s">
        <v>14281</v>
      </c>
      <c r="C15018" s="3" t="str">
        <f>IFERROR(__xludf.DUMMYFUNCTION("GOOGLETRANSLATE(B15018,""id"",""en"")"),"['Network', 'Please', 'Repaired', 'Anjimg']")</f>
        <v>['Network', 'Please', 'Repaired', 'Anjimg']</v>
      </c>
      <c r="D15018" s="3">
        <v>1.0</v>
      </c>
    </row>
    <row r="15019" ht="15.75" customHeight="1">
      <c r="A15019" s="1">
        <v>15975.0</v>
      </c>
      <c r="B15019" s="3" t="s">
        <v>14282</v>
      </c>
      <c r="C15019" s="3" t="str">
        <f>IFERROR(__xludf.DUMMYFUNCTION("GOOGLETRANSLATE(B15019,""id"",""en"")"),"['Telkomsel', 'convenience', 'can', ""]")</f>
        <v>['Telkomsel', 'convenience', 'can', "]</v>
      </c>
      <c r="D15019" s="3">
        <v>5.0</v>
      </c>
    </row>
    <row r="15020" ht="15.75" customHeight="1">
      <c r="A15020" s="1">
        <v>15976.0</v>
      </c>
      <c r="B15020" s="3" t="s">
        <v>14283</v>
      </c>
      <c r="C15020" s="3" t="str">
        <f>IFERROR(__xludf.DUMMYFUNCTION("GOOGLETRANSLATE(B15020,""id"",""en"")"),"['safe']")</f>
        <v>['safe']</v>
      </c>
      <c r="D15020" s="3">
        <v>5.0</v>
      </c>
    </row>
    <row r="15021" ht="15.75" customHeight="1">
      <c r="A15021" s="1">
        <v>15977.0</v>
      </c>
      <c r="B15021" s="3" t="s">
        <v>14284</v>
      </c>
      <c r="C15021" s="3" t="str">
        <f>IFERROR(__xludf.DUMMYFUNCTION("GOOGLETRANSLATE(B15021,""id"",""en"")"),"['Tsel', 'slow', 'signal', 'stable', 'open', 'ngak', 'difficult', 'game', 'please', 'fix', 'customer', 'disappointer', ' Disight ',' consumers']")</f>
        <v>['Tsel', 'slow', 'signal', 'stable', 'open', 'ngak', 'difficult', 'game', 'please', 'fix', 'customer', 'disappointer', ' Disight ',' consumers']</v>
      </c>
      <c r="D15021" s="3">
        <v>1.0</v>
      </c>
    </row>
    <row r="15022" ht="15.75" customHeight="1">
      <c r="A15022" s="1">
        <v>15979.0</v>
      </c>
      <c r="B15022" s="3" t="s">
        <v>14285</v>
      </c>
      <c r="C15022" s="3" t="str">
        <f>IFERROR(__xludf.DUMMYFUNCTION("GOOGLETRANSLATE(B15022,""id"",""en"")"),"['Package', 'Data', 'Expensive', 'Pantes',' Tower ',' Telkom ',' Negri ',' Down ',' Price ',' Package ',' Data ',' Admin ',' ']")</f>
        <v>['Package', 'Data', 'Expensive', 'Pantes',' Tower ',' Telkom ',' Negri ',' Down ',' Price ',' Package ',' Data ',' Admin ',' ']</v>
      </c>
      <c r="D15022" s="3">
        <v>1.0</v>
      </c>
    </row>
    <row r="15023" ht="15.75" customHeight="1">
      <c r="A15023" s="1">
        <v>15980.0</v>
      </c>
      <c r="B15023" s="3" t="s">
        <v>14286</v>
      </c>
      <c r="C15023" s="3" t="str">
        <f>IFERROR(__xludf.DUMMYFUNCTION("GOOGLETRANSLATE(B15023,""id"",""en"")"),"['signal', 'crash', 'jammed', 'truss', 'severe', 'bgtttt', 'telkomsel']")</f>
        <v>['signal', 'crash', 'jammed', 'truss', 'severe', 'bgtttt', 'telkomsel']</v>
      </c>
      <c r="D15023" s="3">
        <v>1.0</v>
      </c>
    </row>
    <row r="15024" ht="15.75" customHeight="1">
      <c r="A15024" s="1">
        <v>15981.0</v>
      </c>
      <c r="B15024" s="3" t="s">
        <v>14287</v>
      </c>
      <c r="C15024" s="3" t="str">
        <f>IFERROR(__xludf.DUMMYFUNCTION("GOOGLETRANSLATE(B15024,""id"",""en"")"),"['already', 'signal', 'gajelas', 'app']")</f>
        <v>['already', 'signal', 'gajelas', 'app']</v>
      </c>
      <c r="D15024" s="3">
        <v>1.0</v>
      </c>
    </row>
    <row r="15025" ht="15.75" customHeight="1">
      <c r="A15025" s="1">
        <v>15982.0</v>
      </c>
      <c r="B15025" s="3" t="s">
        <v>14288</v>
      </c>
      <c r="C15025" s="3" t="str">
        <f>IFERROR(__xludf.DUMMYFUNCTION("GOOGLETRANSLATE(B15025,""id"",""en"")"),"['Unlimited', '']")</f>
        <v>['Unlimited', '']</v>
      </c>
      <c r="D15025" s="3">
        <v>5.0</v>
      </c>
    </row>
    <row r="15026" ht="15.75" customHeight="1">
      <c r="A15026" s="1">
        <v>15983.0</v>
      </c>
      <c r="B15026" s="3" t="s">
        <v>2551</v>
      </c>
      <c r="C15026" s="3" t="str">
        <f>IFERROR(__xludf.DUMMYFUNCTION("GOOGLETRANSLATE(B15026,""id"",""en"")"),"['Love', 'Bintang', '']")</f>
        <v>['Love', 'Bintang', '']</v>
      </c>
      <c r="D15026" s="3">
        <v>4.0</v>
      </c>
    </row>
    <row r="15027" ht="15.75" customHeight="1">
      <c r="A15027" s="1">
        <v>15984.0</v>
      </c>
      <c r="B15027" s="3" t="s">
        <v>2023</v>
      </c>
      <c r="C15027" s="3" t="str">
        <f>IFERROR(__xludf.DUMMYFUNCTION("GOOGLETRANSLATE(B15027,""id"",""en"")"),"['Open', 'The application', '']")</f>
        <v>['Open', 'The application', '']</v>
      </c>
      <c r="D15027" s="3">
        <v>5.0</v>
      </c>
    </row>
    <row r="15028" ht="15.75" customHeight="1">
      <c r="A15028" s="1">
        <v>15985.0</v>
      </c>
      <c r="B15028" s="3" t="s">
        <v>14289</v>
      </c>
      <c r="C15028" s="3" t="str">
        <f>IFERROR(__xludf.DUMMYFUNCTION("GOOGLETRANSLATE(B15028,""id"",""en"")"),"['complicated', 'app', 'entered', 'feeling', 'number', 'already', 'right', 'ttp', 'enter', 'input', 'number', 'woy']")</f>
        <v>['complicated', 'app', 'entered', 'feeling', 'number', 'already', 'right', 'ttp', 'enter', 'input', 'number', 'woy']</v>
      </c>
      <c r="D15028" s="3">
        <v>1.0</v>
      </c>
    </row>
    <row r="15029" ht="15.75" customHeight="1">
      <c r="A15029" s="1">
        <v>15986.0</v>
      </c>
      <c r="B15029" s="3" t="s">
        <v>14290</v>
      </c>
      <c r="C15029" s="3" t="str">
        <f>IFERROR(__xludf.DUMMYFUNCTION("GOOGLETRANSLATE(B15029,""id"",""en"")"),"['Enter', 'number', 'enter']")</f>
        <v>['Enter', 'number', 'enter']</v>
      </c>
      <c r="D15029" s="3">
        <v>2.0</v>
      </c>
    </row>
    <row r="15030" ht="15.75" customHeight="1">
      <c r="A15030" s="1">
        <v>15987.0</v>
      </c>
      <c r="B15030" s="3" t="s">
        <v>14291</v>
      </c>
      <c r="C15030" s="3" t="str">
        <f>IFERROR(__xludf.DUMMYFUNCTION("GOOGLETRANSLATE(B15030,""id"",""en"")"),"['It's easy', 'checked', 'buy', 'quota']")</f>
        <v>['It's easy', 'checked', 'buy', 'quota']</v>
      </c>
      <c r="D15030" s="3">
        <v>5.0</v>
      </c>
    </row>
    <row r="15031" ht="15.75" customHeight="1">
      <c r="A15031" s="1">
        <v>15988.0</v>
      </c>
      <c r="B15031" s="3" t="s">
        <v>14292</v>
      </c>
      <c r="C15031" s="3" t="str">
        <f>IFERROR(__xludf.DUMMYFUNCTION("GOOGLETRANSLATE(B15031,""id"",""en"")"),"['price', 'expensive', 'quality', 'internet', 'disappointing', 'star', 'version', 'old']")</f>
        <v>['price', 'expensive', 'quality', 'internet', 'disappointing', 'star', 'version', 'old']</v>
      </c>
      <c r="D15031" s="3">
        <v>1.0</v>
      </c>
    </row>
    <row r="15032" ht="15.75" customHeight="1">
      <c r="A15032" s="1">
        <v>15989.0</v>
      </c>
      <c r="B15032" s="3" t="s">
        <v>14293</v>
      </c>
      <c r="C15032" s="3" t="str">
        <f>IFERROR(__xludf.DUMMYFUNCTION("GOOGLETRANSLATE(B15032,""id"",""en"")"),"['telkom', 'signal', 'good', 'difficult', 'signal', 'severe', 'card', 'area', 'good', 'application', 'sii', 'open', ' difficult ',' slow ',' severe ',' signal ',' good ',' download ',' Najis']")</f>
        <v>['telkom', 'signal', 'good', 'difficult', 'signal', 'severe', 'card', 'area', 'good', 'application', 'sii', 'open', ' difficult ',' slow ',' severe ',' signal ',' good ',' download ',' Najis']</v>
      </c>
      <c r="D15032" s="3">
        <v>4.0</v>
      </c>
    </row>
    <row r="15033" ht="15.75" customHeight="1">
      <c r="A15033" s="1">
        <v>15990.0</v>
      </c>
      <c r="B15033" s="3" t="s">
        <v>14294</v>
      </c>
      <c r="C15033" s="3" t="str">
        <f>IFERROR(__xludf.DUMMYFUNCTION("GOOGLETRANSLATE(B15033,""id"",""en"")"),"['Steady', 'EPRIAL']")</f>
        <v>['Steady', 'EPRIAL']</v>
      </c>
      <c r="D15033" s="3">
        <v>5.0</v>
      </c>
    </row>
    <row r="15034" ht="15.75" customHeight="1">
      <c r="A15034" s="1">
        <v>15991.0</v>
      </c>
      <c r="B15034" s="3" t="s">
        <v>14295</v>
      </c>
      <c r="C15034" s="3" t="str">
        <f>IFERROR(__xludf.DUMMYFUNCTION("GOOGLETRANSLATE(B15034,""id"",""en"")"),"['UDH', 'Good', 'The application']")</f>
        <v>['UDH', 'Good', 'The application']</v>
      </c>
      <c r="D15034" s="3">
        <v>1.0</v>
      </c>
    </row>
    <row r="15035" ht="15.75" customHeight="1">
      <c r="A15035" s="1">
        <v>15992.0</v>
      </c>
      <c r="B15035" s="3" t="s">
        <v>14296</v>
      </c>
      <c r="C15035" s="3" t="str">
        <f>IFERROR(__xludf.DUMMYFUNCTION("GOOGLETRANSLATE(B15035,""id"",""en"")"),"['application', 'open', 'poor', '']")</f>
        <v>['application', 'open', 'poor', '']</v>
      </c>
      <c r="D15035" s="3">
        <v>4.0</v>
      </c>
    </row>
    <row r="15036" ht="15.75" customHeight="1">
      <c r="A15036" s="1">
        <v>15993.0</v>
      </c>
      <c r="B15036" s="3" t="s">
        <v>14297</v>
      </c>
      <c r="C15036" s="3" t="str">
        <f>IFERROR(__xludf.DUMMYFUNCTION("GOOGLETRANSLATE(B15036,""id"",""en"")"),"['Like', 'card', 'Telkomsel', 'nets', 'broad', '']")</f>
        <v>['Like', 'card', 'Telkomsel', 'nets', 'broad', '']</v>
      </c>
      <c r="D15036" s="3">
        <v>5.0</v>
      </c>
    </row>
    <row r="15037" ht="15.75" customHeight="1">
      <c r="A15037" s="1">
        <v>15994.0</v>
      </c>
      <c r="B15037" s="3" t="s">
        <v>14298</v>
      </c>
      <c r="C15037" s="3" t="str">
        <f>IFERROR(__xludf.DUMMYFUNCTION("GOOGLETRANSLATE(B15037,""id"",""en"")"),"['right', 'huka', 'the application', 'screen', 'color', 'white', 'giamana', 'solution', '']")</f>
        <v>['right', 'huka', 'the application', 'screen', 'color', 'white', 'giamana', 'solution', '']</v>
      </c>
      <c r="D15037" s="3">
        <v>1.0</v>
      </c>
    </row>
    <row r="15038" ht="15.75" customHeight="1">
      <c r="A15038" s="1">
        <v>15995.0</v>
      </c>
      <c r="B15038" s="3" t="s">
        <v>14299</v>
      </c>
      <c r="C15038" s="3" t="str">
        <f>IFERROR(__xludf.DUMMYFUNCTION("GOOGLETRANSLATE(B15038,""id"",""en"")"),"['price', 'package', 'kuotany', 'emang', 'cheap', 'signal', 'ugly', 'really', 'open', 'application', 'market', 'place' Loading ',' cheap ',' emotion ',' signal ',' ']")</f>
        <v>['price', 'package', 'kuotany', 'emang', 'cheap', 'signal', 'ugly', 'really', 'open', 'application', 'market', 'place' Loading ',' cheap ',' emotion ',' signal ',' ']</v>
      </c>
      <c r="D15038" s="3">
        <v>4.0</v>
      </c>
    </row>
    <row r="15039" ht="15.75" customHeight="1">
      <c r="A15039" s="1">
        <v>15996.0</v>
      </c>
      <c r="B15039" s="3" t="s">
        <v>14300</v>
      </c>
      <c r="C15039" s="3" t="str">
        <f>IFERROR(__xludf.DUMMYFUNCTION("GOOGLETRANSLATE(B15039,""id"",""en"")"),"['bonus', 'quota', 'and more', 'cheap', 'price', 'response', 'mind']")</f>
        <v>['bonus', 'quota', 'and more', 'cheap', 'price', 'response', 'mind']</v>
      </c>
      <c r="D15039" s="3">
        <v>5.0</v>
      </c>
    </row>
    <row r="15040" ht="15.75" customHeight="1">
      <c r="A15040" s="1">
        <v>15997.0</v>
      </c>
      <c r="B15040" s="3" t="s">
        <v>14301</v>
      </c>
      <c r="C15040" s="3" t="str">
        <f>IFERROR(__xludf.DUMMYFUNCTION("GOOGLETRANSLATE(B15040,""id"",""en"")"),"['buy', 'package', 'internet', 'application']")</f>
        <v>['buy', 'package', 'internet', 'application']</v>
      </c>
      <c r="D15040" s="3">
        <v>1.0</v>
      </c>
    </row>
    <row r="15041" ht="15.75" customHeight="1">
      <c r="A15041" s="1">
        <v>15998.0</v>
      </c>
      <c r="B15041" s="3" t="s">
        <v>14302</v>
      </c>
      <c r="C15041" s="3" t="str">
        <f>IFERROR(__xludf.DUMMYFUNCTION("GOOGLETRANSLATE(B15041,""id"",""en"")"),"['Telkomsel', 'already', 'expensive', 'skrg', 'ugly', 'open', 'application', 'pol', 'hadeuh', 'kayak']")</f>
        <v>['Telkomsel', 'already', 'expensive', 'skrg', 'ugly', 'open', 'application', 'pol', 'hadeuh', 'kayak']</v>
      </c>
      <c r="D15041" s="3">
        <v>1.0</v>
      </c>
    </row>
    <row r="15042" ht="15.75" customHeight="1">
      <c r="A15042" s="1">
        <v>16000.0</v>
      </c>
      <c r="B15042" s="3" t="s">
        <v>14303</v>
      </c>
      <c r="C15042" s="3" t="str">
        <f>IFERROR(__xludf.DUMMYFUNCTION("GOOGLETRANSLATE(B15042,""id"",""en"")"),"['bznyak', 'pitur', 'interesting', 'mdmberi', 'mznpaag', 'forward', 'then', 'Telkomsel']")</f>
        <v>['bznyak', 'pitur', 'interesting', 'mdmberi', 'mznpaag', 'forward', 'then', 'Telkomsel']</v>
      </c>
      <c r="D15042" s="3">
        <v>5.0</v>
      </c>
    </row>
    <row r="15043" ht="15.75" customHeight="1">
      <c r="A15043" s="1">
        <v>16001.0</v>
      </c>
      <c r="B15043" s="3" t="s">
        <v>14304</v>
      </c>
      <c r="C15043" s="3" t="str">
        <f>IFERROR(__xludf.DUMMYFUNCTION("GOOGLETRANSLATE(B15043,""id"",""en"")"),"['', 'Open', 'APK', 'CMA', 'Loading', 'Doang', 'KNPA', 'BGNI', 'already', 'Sunday', 'smpe', 'smpet', 'unistal ',' Dowload ',' lgi ',' ttp ',' ksih ',' star ',' ']")</f>
        <v>['', 'Open', 'APK', 'CMA', 'Loading', 'Doang', 'KNPA', 'BGNI', 'already', 'Sunday', 'smpe', 'smpet', 'unistal ',' Dowload ',' lgi ',' ttp ',' ksih ',' star ',' ']</v>
      </c>
      <c r="D15043" s="3">
        <v>1.0</v>
      </c>
    </row>
    <row r="15044" ht="15.75" customHeight="1">
      <c r="A15044" s="1">
        <v>16002.0</v>
      </c>
      <c r="B15044" s="3" t="s">
        <v>14305</v>
      </c>
      <c r="C15044" s="3" t="str">
        <f>IFERROR(__xludf.DUMMYFUNCTION("GOOGLETRANSLATE(B15044,""id"",""en"")"),"['APK', 'Good', 'gapain', 'see', 'kebawa']")</f>
        <v>['APK', 'Good', 'gapain', 'see', 'kebawa']</v>
      </c>
      <c r="D15044" s="3">
        <v>5.0</v>
      </c>
    </row>
    <row r="15045" ht="15.75" customHeight="1">
      <c r="A15045" s="1">
        <v>16004.0</v>
      </c>
      <c r="B15045" s="3" t="s">
        <v>14306</v>
      </c>
      <c r="C15045" s="3" t="str">
        <f>IFERROR(__xludf.DUMMYFUNCTION("GOOGLETRANSLATE(B15045,""id"",""en"")"),"['intentionally', 'ngidimin', 'data', 'a second', 'direct', 'dimatiin', 'check', 'use', 'pulse', 'truncated', 'pulses',' sadisss', ' Report ',' Service ',' Consumers', 'Indonesia', 'Mahalll', 'Imagine', 'Use', 'GB', 'Rates',' Edan ']")</f>
        <v>['intentionally', 'ngidimin', 'data', 'a second', 'direct', 'dimatiin', 'check', 'use', 'pulse', 'truncated', 'pulses',' sadisss', ' Report ',' Service ',' Consumers', 'Indonesia', 'Mahalll', 'Imagine', 'Use', 'GB', 'Rates',' Edan ']</v>
      </c>
      <c r="D15045" s="3">
        <v>1.0</v>
      </c>
    </row>
    <row r="15046" ht="15.75" customHeight="1">
      <c r="A15046" s="1">
        <v>16005.0</v>
      </c>
      <c r="B15046" s="3" t="s">
        <v>1893</v>
      </c>
      <c r="C15046" s="3" t="str">
        <f>IFERROR(__xludf.DUMMYFUNCTION("GOOGLETRANSLATE(B15046,""id"",""en"")"),"['Update', 'Open']")</f>
        <v>['Update', 'Open']</v>
      </c>
      <c r="D15046" s="3">
        <v>1.0</v>
      </c>
    </row>
    <row r="15047" ht="15.75" customHeight="1">
      <c r="A15047" s="1">
        <v>16006.0</v>
      </c>
      <c r="B15047" s="3" t="s">
        <v>14307</v>
      </c>
      <c r="C15047" s="3" t="str">
        <f>IFERROR(__xludf.DUMMYFUNCTION("GOOGLETRANSLATE(B15047,""id"",""en"")"),"['Network', 'broken', 'UDH', 'SIA', 'SIA', 'Package', 'I', 'I', 'buy', 'expensive']")</f>
        <v>['Network', 'broken', 'UDH', 'SIA', 'SIA', 'Package', 'I', 'I', 'buy', 'expensive']</v>
      </c>
      <c r="D15047" s="3">
        <v>1.0</v>
      </c>
    </row>
    <row r="15048" ht="15.75" customHeight="1">
      <c r="A15048" s="1">
        <v>16007.0</v>
      </c>
      <c r="B15048" s="3" t="s">
        <v>14308</v>
      </c>
      <c r="C15048" s="3" t="str">
        <f>IFERROR(__xludf.DUMMYFUNCTION("GOOGLETRANSLATE(B15048,""id"",""en"")"),"['Severe', 'Sometimes', 'Application', 'Open']")</f>
        <v>['Severe', 'Sometimes', 'Application', 'Open']</v>
      </c>
      <c r="D15048" s="3">
        <v>1.0</v>
      </c>
    </row>
    <row r="15049" ht="15.75" customHeight="1">
      <c r="A15049" s="1">
        <v>16008.0</v>
      </c>
      <c r="B15049" s="3" t="s">
        <v>14309</v>
      </c>
      <c r="C15049" s="3" t="str">
        <f>IFERROR(__xludf.DUMMYFUNCTION("GOOGLETRANSLATE(B15049,""id"",""en"")"),"['hope', 'promo', 'quota']")</f>
        <v>['hope', 'promo', 'quota']</v>
      </c>
      <c r="D15049" s="3">
        <v>5.0</v>
      </c>
    </row>
    <row r="15050" ht="15.75" customHeight="1">
      <c r="A15050" s="1">
        <v>16009.0</v>
      </c>
      <c r="B15050" s="3" t="s">
        <v>14310</v>
      </c>
      <c r="C15050" s="3" t="str">
        <f>IFERROR(__xludf.DUMMYFUNCTION("GOOGLETRANSLATE(B15050,""id"",""en"")"),"['Mantep', 'bother', 'checked', ""]")</f>
        <v>['Mantep', 'bother', 'checked', "]</v>
      </c>
      <c r="D15050" s="3">
        <v>5.0</v>
      </c>
    </row>
    <row r="15051" ht="15.75" customHeight="1">
      <c r="A15051" s="1">
        <v>16010.0</v>
      </c>
      <c r="B15051" s="3" t="s">
        <v>14311</v>
      </c>
      <c r="C15051" s="3" t="str">
        <f>IFERROR(__xludf.DUMMYFUNCTION("GOOGLETRANSLATE(B15051,""id"",""en"")"),"['naap', 'slow', 'down', 'star', 'yak', 'maap']")</f>
        <v>['naap', 'slow', 'down', 'star', 'yak', 'maap']</v>
      </c>
      <c r="D15051" s="3">
        <v>2.0</v>
      </c>
    </row>
    <row r="15052" ht="15.75" customHeight="1">
      <c r="A15052" s="1">
        <v>16011.0</v>
      </c>
      <c r="B15052" s="3" t="s">
        <v>14312</v>
      </c>
      <c r="C15052" s="3" t="str">
        <f>IFERROR(__xludf.DUMMYFUNCTION("GOOGLETRANSLATE(B15052,""id"",""en"")"),"['Good', 'makes it easy', 'buy', 'package', 'daily', 'monthly', '']")</f>
        <v>['Good', 'makes it easy', 'buy', 'package', 'daily', 'monthly', '']</v>
      </c>
      <c r="D15052" s="3">
        <v>5.0</v>
      </c>
    </row>
    <row r="15053" ht="15.75" customHeight="1">
      <c r="A15053" s="1">
        <v>16012.0</v>
      </c>
      <c r="B15053" s="3" t="s">
        <v>14313</v>
      </c>
      <c r="C15053" s="3" t="str">
        <f>IFERROR(__xludf.DUMMYFUNCTION("GOOGLETRANSLATE(B15053,""id"",""en"")"),"['expensive', 'doang', 'signal', 'ndut', 'ndutan', 'search', 'orders',' die ',' pay ',' package ',' signal ',' ilang ',' Nilagan ']")</f>
        <v>['expensive', 'doang', 'signal', 'ndut', 'ndutan', 'search', 'orders',' die ',' pay ',' package ',' signal ',' ilang ',' Nilagan ']</v>
      </c>
      <c r="D15053" s="3">
        <v>1.0</v>
      </c>
    </row>
    <row r="15054" ht="15.75" customHeight="1">
      <c r="A15054" s="1">
        <v>16013.0</v>
      </c>
      <c r="B15054" s="3" t="s">
        <v>14314</v>
      </c>
      <c r="C15054" s="3" t="str">
        <f>IFERROR(__xludf.DUMMYFUNCTION("GOOGLETRANSLATE(B15054,""id"",""en"")"),"['network', 'Telkomsel', 'ugly', 'kaga', 'morals',' tower ',' network ',' kaga ',' use ',' location ',' sulawesi ',' southeast ',' Buton ',' Sampolawa ',' Village ',' Wawoyi ',' Hamlet ',' Kangkele ',' Untung ',' Network ',' Region ',' Sampolawa ',' Klw '"&amp;",' already ',' Sekasan ' , 'replace', 'card', 'Please', 'sorry', 'offends', 'Please', 'sorry', 'already', 'no', 'Sya', 'Where', '']")</f>
        <v>['network', 'Telkomsel', 'ugly', 'kaga', 'morals',' tower ',' network ',' kaga ',' use ',' location ',' sulawesi ',' southeast ',' Buton ',' Sampolawa ',' Village ',' Wawoyi ',' Hamlet ',' Kangkele ',' Untung ',' Network ',' Region ',' Sampolawa ',' Klw ',' already ',' Sekasan ' , 'replace', 'card', 'Please', 'sorry', 'offends', 'Please', 'sorry', 'already', 'no', 'Sya', 'Where', '']</v>
      </c>
      <c r="D15054" s="3">
        <v>1.0</v>
      </c>
    </row>
    <row r="15055" ht="15.75" customHeight="1">
      <c r="A15055" s="1">
        <v>16014.0</v>
      </c>
      <c r="B15055" s="3" t="s">
        <v>14315</v>
      </c>
      <c r="C15055" s="3" t="str">
        <f>IFERROR(__xludf.DUMMYFUNCTION("GOOGLETRANSLATE(B15055,""id"",""en"")"),"['Speed', 'Unlimited', 'Kbps', 'Ngilak', 'Untung', 'Use', 'VPN', 'Mampus']")</f>
        <v>['Speed', 'Unlimited', 'Kbps', 'Ngilak', 'Untung', 'Use', 'VPN', 'Mampus']</v>
      </c>
      <c r="D15055" s="3">
        <v>1.0</v>
      </c>
    </row>
    <row r="15056" ht="15.75" customHeight="1">
      <c r="A15056" s="1">
        <v>16015.0</v>
      </c>
      <c r="B15056" s="3" t="s">
        <v>14316</v>
      </c>
      <c r="C15056" s="3" t="str">
        <f>IFERROR(__xludf.DUMMYFUNCTION("GOOGLETRANSLATE(B15056,""id"",""en"")"),"['please', 'donk', 'Telkomsel', 'slow', 'signal', 'already', 'slow', 'please', 'donk', 'repair', 'ntar', 'love', ' stars', 'deh', 'already', 'good', 'please', 'donk', 'telkomsel', 'signal', 'repay', 'quota', 'bnyk', 'slow']")</f>
        <v>['please', 'donk', 'Telkomsel', 'slow', 'signal', 'already', 'slow', 'please', 'donk', 'repair', 'ntar', 'love', ' stars', 'deh', 'already', 'good', 'please', 'donk', 'telkomsel', 'signal', 'repay', 'quota', 'bnyk', 'slow']</v>
      </c>
      <c r="D15056" s="3">
        <v>3.0</v>
      </c>
    </row>
    <row r="15057" ht="15.75" customHeight="1">
      <c r="A15057" s="1">
        <v>16017.0</v>
      </c>
      <c r="B15057" s="3" t="s">
        <v>14317</v>
      </c>
      <c r="C15057" s="3" t="str">
        <f>IFERROR(__xludf.DUMMYFUNCTION("GOOGLETRANSLATE(B15057,""id"",""en"")"),"['Access', 'APL', '']")</f>
        <v>['Access', 'APL', '']</v>
      </c>
      <c r="D15057" s="3">
        <v>1.0</v>
      </c>
    </row>
    <row r="15058" ht="15.75" customHeight="1">
      <c r="A15058" s="1">
        <v>16018.0</v>
      </c>
      <c r="B15058" s="3" t="s">
        <v>14318</v>
      </c>
      <c r="C15058" s="3" t="str">
        <f>IFERROR(__xludf.DUMMYFUNCTION("GOOGLETRANSLATE(B15058,""id"",""en"")"),"['signal', 'area', 'village', 'good', 'here', 'bad', 'repair']")</f>
        <v>['signal', 'area', 'village', 'good', 'here', 'bad', 'repair']</v>
      </c>
      <c r="D15058" s="3">
        <v>4.0</v>
      </c>
    </row>
    <row r="15059" ht="15.75" customHeight="1">
      <c r="A15059" s="1">
        <v>16019.0</v>
      </c>
      <c r="B15059" s="3" t="s">
        <v>14319</v>
      </c>
      <c r="C15059" s="3" t="str">
        <f>IFERROR(__xludf.DUMMYFUNCTION("GOOGLETRANSLATE(B15059,""id"",""en"")"),"['Telkomsel', 'please', 'network', 'signal', 'repaired', 'upgrade', 'fix', 'please', 'telkom', 'please', 'listen', ""]")</f>
        <v>['Telkomsel', 'please', 'network', 'signal', 'repaired', 'upgrade', 'fix', 'please', 'telkom', 'please', 'listen', "]</v>
      </c>
      <c r="D15059" s="3">
        <v>1.0</v>
      </c>
    </row>
    <row r="15060" ht="15.75" customHeight="1">
      <c r="A15060" s="1">
        <v>16020.0</v>
      </c>
      <c r="B15060" s="3" t="s">
        <v>1094</v>
      </c>
      <c r="C15060" s="3" t="str">
        <f>IFERROR(__xludf.DUMMYFUNCTION("GOOGLETRANSLATE(B15060,""id"",""en"")"),"['heart']")</f>
        <v>['heart']</v>
      </c>
      <c r="D15060" s="3">
        <v>5.0</v>
      </c>
    </row>
    <row r="15061" ht="15.75" customHeight="1">
      <c r="A15061" s="1">
        <v>16022.0</v>
      </c>
      <c r="B15061" s="3" t="s">
        <v>14320</v>
      </c>
      <c r="C15061" s="3" t="str">
        <f>IFERROR(__xludf.DUMMYFUNCTION("GOOGLETRANSLATE(B15061,""id"",""en"")"),"['knpa', 'here', 'signal', 'Telkomsel', 'weakened', 'Dulumh', 'strong', 'here', 'mehoy']")</f>
        <v>['knpa', 'here', 'signal', 'Telkomsel', 'weakened', 'Dulumh', 'strong', 'here', 'mehoy']</v>
      </c>
      <c r="D15061" s="3">
        <v>5.0</v>
      </c>
    </row>
    <row r="15062" ht="15.75" customHeight="1">
      <c r="A15062" s="1">
        <v>16023.0</v>
      </c>
      <c r="B15062" s="3" t="s">
        <v>14321</v>
      </c>
      <c r="C15062" s="3" t="str">
        <f>IFERROR(__xludf.DUMMYFUNCTION("GOOGLETRANSLATE(B15062,""id"",""en"")"),"['Nda', 'opened']")</f>
        <v>['Nda', 'opened']</v>
      </c>
      <c r="D15062" s="3">
        <v>1.0</v>
      </c>
    </row>
    <row r="15063" ht="15.75" customHeight="1">
      <c r="A15063" s="1">
        <v>16024.0</v>
      </c>
      <c r="B15063" s="3" t="s">
        <v>14322</v>
      </c>
      <c r="C15063" s="3" t="str">
        <f>IFERROR(__xludf.DUMMYFUNCTION("GOOGLETRANSLATE(B15063,""id"",""en"")"),"['tlg', 'application', 'offline', 'open', 'application', 'kouta', 'internet', 'buy', ""]")</f>
        <v>['tlg', 'application', 'offline', 'open', 'application', 'kouta', 'internet', 'buy', "]</v>
      </c>
      <c r="D15063" s="3">
        <v>5.0</v>
      </c>
    </row>
    <row r="15064" ht="15.75" customHeight="1">
      <c r="A15064" s="1">
        <v>16026.0</v>
      </c>
      <c r="B15064" s="3" t="s">
        <v>14323</v>
      </c>
      <c r="C15064" s="3" t="str">
        <f>IFERROR(__xludf.DUMMYFUNCTION("GOOGLETRANSLATE(B15064,""id"",""en"")"),"['Exchange', 'Points', 'Ngak', 'Whai', 'Telkomsel', ""]")</f>
        <v>['Exchange', 'Points', 'Ngak', 'Whai', 'Telkomsel', "]</v>
      </c>
      <c r="D15064" s="3">
        <v>4.0</v>
      </c>
    </row>
    <row r="15065" ht="15.75" customHeight="1">
      <c r="A15065" s="1">
        <v>16027.0</v>
      </c>
      <c r="B15065" s="3" t="s">
        <v>14324</v>
      </c>
      <c r="C15065" s="3" t="str">
        <f>IFERROR(__xludf.DUMMYFUNCTION("GOOGLETRANSLATE(B15065,""id"",""en"")"),"['Star', 'Star', 'upgrade', 'open', 'according to', 'version', 'Android', 'upgrade', 'open', 'upgrade', 'open', 'check', ' Whatever ',' manual ',' minimal ',' info ',' upgrade ',' application ',' according to ',' version ',' Android ',' upgrade ',' accord"&amp;"ing to ',' version ',' application ' , 'Normal', 'comment', 'After', 'Upgrade', 'Open', 'Please', 'Restore', 'Version', 'Thank you']")</f>
        <v>['Star', 'Star', 'upgrade', 'open', 'according to', 'version', 'Android', 'upgrade', 'open', 'upgrade', 'open', 'check', ' Whatever ',' manual ',' minimal ',' info ',' upgrade ',' application ',' according to ',' version ',' Android ',' upgrade ',' according to ',' version ',' application ' , 'Normal', 'comment', 'After', 'Upgrade', 'Open', 'Please', 'Restore', 'Version', 'Thank you']</v>
      </c>
      <c r="D15065" s="3">
        <v>2.0</v>
      </c>
    </row>
    <row r="15066" ht="15.75" customHeight="1">
      <c r="A15066" s="1">
        <v>16028.0</v>
      </c>
      <c r="B15066" s="3" t="s">
        <v>14325</v>
      </c>
      <c r="C15066" s="3" t="str">
        <f>IFERROR(__xludf.DUMMYFUNCTION("GOOGLETRANSLATE(B15066,""id"",""en"")"),"['Sometimes', 'sometimes', 'buy', 'package', 'lap']")</f>
        <v>['Sometimes', 'sometimes', 'buy', 'package', 'lap']</v>
      </c>
      <c r="D15066" s="3">
        <v>4.0</v>
      </c>
    </row>
    <row r="15067" ht="15.75" customHeight="1">
      <c r="A15067" s="1">
        <v>16029.0</v>
      </c>
      <c r="B15067" s="3" t="s">
        <v>14326</v>
      </c>
      <c r="C15067" s="3" t="str">
        <f>IFERROR(__xludf.DUMMYFUNCTION("GOOGLETRANSLATE(B15067,""id"",""en"")"),"['Upgrade', 'Open', 'Disappointed']")</f>
        <v>['Upgrade', 'Open', 'Disappointed']</v>
      </c>
      <c r="D15067" s="3">
        <v>1.0</v>
      </c>
    </row>
    <row r="15068" ht="15.75" customHeight="1">
      <c r="A15068" s="1">
        <v>16030.0</v>
      </c>
      <c r="B15068" s="3" t="s">
        <v>14327</v>
      </c>
      <c r="C15068" s="3" t="str">
        <f>IFERROR(__xludf.DUMMYFUNCTION("GOOGLETRANSLATE(B15068,""id"",""en"")"),"['Apikasi', 'Telkomsel', 'Enter', 'Apikasi', 'Erro']")</f>
        <v>['Apikasi', 'Telkomsel', 'Enter', 'Apikasi', 'Erro']</v>
      </c>
      <c r="D15068" s="3">
        <v>1.0</v>
      </c>
    </row>
    <row r="15069" ht="15.75" customHeight="1">
      <c r="A15069" s="1">
        <v>16031.0</v>
      </c>
      <c r="B15069" s="3" t="s">
        <v>14328</v>
      </c>
      <c r="C15069" s="3" t="str">
        <f>IFERROR(__xludf.DUMMYFUNCTION("GOOGLETRANSLATE(B15069,""id"",""en"")"),"['Unlimited', 'Jalan', 'Ong']")</f>
        <v>['Unlimited', 'Jalan', 'Ong']</v>
      </c>
      <c r="D15069" s="3">
        <v>1.0</v>
      </c>
    </row>
    <row r="15070" ht="15.75" customHeight="1">
      <c r="A15070" s="1">
        <v>16032.0</v>
      </c>
      <c r="B15070" s="3" t="s">
        <v>14329</v>
      </c>
      <c r="C15070" s="3" t="str">
        <f>IFERROR(__xludf.DUMMYFUNCTION("GOOGLETRANSLATE(B15070,""id"",""en"")"),"['Price', 'expensive', 'signal', 'slow']")</f>
        <v>['Price', 'expensive', 'signal', 'slow']</v>
      </c>
      <c r="D15070" s="3">
        <v>3.0</v>
      </c>
    </row>
    <row r="15071" ht="15.75" customHeight="1">
      <c r="A15071" s="1">
        <v>16033.0</v>
      </c>
      <c r="B15071" s="3" t="s">
        <v>14330</v>
      </c>
      <c r="C15071" s="3" t="str">
        <f>IFERROR(__xludf.DUMMYFUNCTION("GOOGLETRANSLATE(B15071,""id"",""en"")"),"['Please', 'Telkomsel', 'Fix', 'Payment', 'Via', 'Fund', ""]")</f>
        <v>['Please', 'Telkomsel', 'Fix', 'Payment', 'Via', 'Fund', "]</v>
      </c>
      <c r="D15071" s="3">
        <v>1.0</v>
      </c>
    </row>
    <row r="15072" ht="15.75" customHeight="1">
      <c r="A15072" s="1">
        <v>16034.0</v>
      </c>
      <c r="B15072" s="3" t="s">
        <v>7400</v>
      </c>
      <c r="C15072" s="3" t="str">
        <f>IFERROR(__xludf.DUMMYFUNCTION("GOOGLETRANSLATE(B15072,""id"",""en"")"),"['The application', 'opened', '']")</f>
        <v>['The application', 'opened', '']</v>
      </c>
      <c r="D15072" s="3">
        <v>2.0</v>
      </c>
    </row>
    <row r="15073" ht="15.75" customHeight="1">
      <c r="A15073" s="1">
        <v>16035.0</v>
      </c>
      <c r="B15073" s="3" t="s">
        <v>14331</v>
      </c>
      <c r="C15073" s="3" t="str">
        <f>IFERROR(__xludf.DUMMYFUNCTION("GOOGLETRANSLATE(B15073,""id"",""en"")"),"['smg', 'signal', 'strong', 'remote', 'country']")</f>
        <v>['smg', 'signal', 'strong', 'remote', 'country']</v>
      </c>
      <c r="D15073" s="3">
        <v>5.0</v>
      </c>
    </row>
    <row r="15074" ht="15.75" customHeight="1">
      <c r="A15074" s="1">
        <v>16036.0</v>
      </c>
      <c r="B15074" s="3" t="s">
        <v>14332</v>
      </c>
      <c r="C15074" s="3" t="str">
        <f>IFERROR(__xludf.DUMMYFUNCTION("GOOGLETRANSLATE(B15074,""id"",""en"")"),"['Subscribe', 'many years',' Sousal ',' Bad ',' in Surabaya ',' City ',' Kayak ',' Gini ',' Sinyal ',' Diesa ',' GKK ',' Signal ',' Named ',' service ',' best ',' believe ',' signal ',' threat ',' package ',' expensive ',' service ',' gkk ',' trusted ',' "&amp;"please ',' repaired ' ]")</f>
        <v>['Subscribe', 'many years',' Sousal ',' Bad ',' in Surabaya ',' City ',' Kayak ',' Gini ',' Sinyal ',' Diesa ',' GKK ',' Signal ',' Named ',' service ',' best ',' believe ',' signal ',' threat ',' package ',' expensive ',' service ',' gkk ',' trusted ',' please ',' repaired ' ]</v>
      </c>
      <c r="D15074" s="3">
        <v>1.0</v>
      </c>
    </row>
    <row r="15075" ht="15.75" customHeight="1">
      <c r="A15075" s="1">
        <v>16037.0</v>
      </c>
      <c r="B15075" s="3" t="s">
        <v>14333</v>
      </c>
      <c r="C15075" s="3" t="str">
        <f>IFERROR(__xludf.DUMMYFUNCTION("GOOGLETRANSLATE(B15075,""id"",""en"")"),"['Ngga', 'opened']")</f>
        <v>['Ngga', 'opened']</v>
      </c>
      <c r="D15075" s="3">
        <v>1.0</v>
      </c>
    </row>
    <row r="15076" ht="15.75" customHeight="1">
      <c r="A15076" s="1">
        <v>16038.0</v>
      </c>
      <c r="B15076" s="3" t="s">
        <v>14334</v>
      </c>
      <c r="C15076" s="3" t="str">
        <f>IFERROR(__xludf.DUMMYFUNCTION("GOOGLETRANSLATE(B15076,""id"",""en"")"),"['emang', 'Telkomsel', 'UPUNG', 'Data', 'GB', 'RB', 'RB', 'price', 'enthusiasts',' ride ',' price ',' monkey ',' ']")</f>
        <v>['emang', 'Telkomsel', 'UPUNG', 'Data', 'GB', 'RB', 'RB', 'price', 'enthusiasts',' ride ',' price ',' monkey ',' ']</v>
      </c>
      <c r="D15076" s="3">
        <v>1.0</v>
      </c>
    </row>
    <row r="15077" ht="15.75" customHeight="1">
      <c r="A15077" s="1">
        <v>16040.0</v>
      </c>
      <c r="B15077" s="3" t="s">
        <v>14335</v>
      </c>
      <c r="C15077" s="3" t="str">
        <f>IFERROR(__xludf.DUMMYFUNCTION("GOOGLETRANSLATE(B15077,""id"",""en"")"),"['Star', 'signal', 'gajelas', 'ride', 'star', '']")</f>
        <v>['Star', 'signal', 'gajelas', 'ride', 'star', '']</v>
      </c>
      <c r="D15077" s="3">
        <v>1.0</v>
      </c>
    </row>
    <row r="15078" ht="15.75" customHeight="1">
      <c r="A15078" s="1">
        <v>16041.0</v>
      </c>
      <c r="B15078" s="3" t="s">
        <v>14336</v>
      </c>
      <c r="C15078" s="3" t="str">
        <f>IFERROR(__xludf.DUMMYFUNCTION("GOOGLETRANSLATE(B15078,""id"",""en"")"),"['Help', 'easy', 'cheap']")</f>
        <v>['Help', 'easy', 'cheap']</v>
      </c>
      <c r="D15078" s="3">
        <v>5.0</v>
      </c>
    </row>
    <row r="15079" ht="15.75" customHeight="1">
      <c r="A15079" s="1">
        <v>16042.0</v>
      </c>
      <c r="B15079" s="3" t="s">
        <v>3231</v>
      </c>
      <c r="C15079" s="3" t="str">
        <f>IFERROR(__xludf.DUMMYFUNCTION("GOOGLETRANSLATE(B15079,""id"",""en"")"),"['APK', 'Open']")</f>
        <v>['APK', 'Open']</v>
      </c>
      <c r="D15079" s="3">
        <v>1.0</v>
      </c>
    </row>
    <row r="15080" ht="15.75" customHeight="1">
      <c r="A15080" s="1">
        <v>16043.0</v>
      </c>
      <c r="B15080" s="3" t="s">
        <v>14337</v>
      </c>
      <c r="C15080" s="3" t="str">
        <f>IFERROR(__xludf.DUMMYFUNCTION("GOOGLETRANSLATE(B15080,""id"",""en"")"),"['improvement', 'network', 'internet', 'please', 'Come', 'area', 'suburbs', 'feel', 'speed', 'internet', 'fast', 'thank you']")</f>
        <v>['improvement', 'network', 'internet', 'please', 'Come', 'area', 'suburbs', 'feel', 'speed', 'internet', 'fast', 'thank you']</v>
      </c>
      <c r="D15080" s="3">
        <v>5.0</v>
      </c>
    </row>
    <row r="15081" ht="15.75" customHeight="1">
      <c r="A15081" s="1">
        <v>16044.0</v>
      </c>
      <c r="B15081" s="3" t="s">
        <v>14338</v>
      </c>
      <c r="C15081" s="3" t="str">
        <f>IFERROR(__xludf.DUMMYFUNCTION("GOOGLETRANSLATE(B15081,""id"",""en"")"),"['Login', 'session', 'expiration', 'login', 'fix', 'application', 'make it difficult']")</f>
        <v>['Login', 'session', 'expiration', 'login', 'fix', 'application', 'make it difficult']</v>
      </c>
      <c r="D15081" s="3">
        <v>1.0</v>
      </c>
    </row>
    <row r="15082" ht="15.75" customHeight="1">
      <c r="A15082" s="1">
        <v>16045.0</v>
      </c>
      <c r="B15082" s="3" t="s">
        <v>4859</v>
      </c>
      <c r="C15082" s="3" t="str">
        <f>IFERROR(__xludf.DUMMYFUNCTION("GOOGLETRANSLATE(B15082,""id"",""en"")"),"['APK', 'Good', '']")</f>
        <v>['APK', 'Good', '']</v>
      </c>
      <c r="D15082" s="3">
        <v>5.0</v>
      </c>
    </row>
    <row r="15083" ht="15.75" customHeight="1">
      <c r="A15083" s="1">
        <v>16046.0</v>
      </c>
      <c r="B15083" s="3" t="s">
        <v>14339</v>
      </c>
      <c r="C15083" s="3" t="str">
        <f>IFERROR(__xludf.DUMMYFUNCTION("GOOGLETRANSLATE(B15083,""id"",""en"")"),"['', 'Login']")</f>
        <v>['', 'Login']</v>
      </c>
      <c r="D15083" s="3">
        <v>1.0</v>
      </c>
    </row>
    <row r="15084" ht="15.75" customHeight="1">
      <c r="A15084" s="1">
        <v>16047.0</v>
      </c>
      <c r="B15084" s="3" t="s">
        <v>14340</v>
      </c>
      <c r="C15084" s="3" t="str">
        <f>IFERROR(__xludf.DUMMYFUNCTION("GOOGLETRANSLATE(B15084,""id"",""en"")"),"['Fix', 'his web']")</f>
        <v>['Fix', 'his web']</v>
      </c>
      <c r="D15084" s="3">
        <v>5.0</v>
      </c>
    </row>
    <row r="15085" ht="15.75" customHeight="1">
      <c r="A15085" s="1">
        <v>16048.0</v>
      </c>
      <c r="B15085" s="3" t="s">
        <v>14341</v>
      </c>
      <c r="C15085" s="3" t="str">
        <f>IFERROR(__xludf.DUMMYFUNCTION("GOOGLETRANSLATE(B15085,""id"",""en"")"),"['Please', 'repaired', 'price', 'package', 'data', 'here', 'expensive', 'price', 'above', 'salary', 'kiruli', 'Please', ' Returned ',' Price ',' Package ',' Data ',' Thank you ',' ']")</f>
        <v>['Please', 'repaired', 'price', 'package', 'data', 'here', 'expensive', 'price', 'above', 'salary', 'kiruli', 'Please', ' Returned ',' Price ',' Package ',' Data ',' Thank you ',' ']</v>
      </c>
      <c r="D15085" s="3">
        <v>1.0</v>
      </c>
    </row>
    <row r="15086" ht="15.75" customHeight="1">
      <c r="A15086" s="1">
        <v>16049.0</v>
      </c>
      <c r="B15086" s="3" t="s">
        <v>14342</v>
      </c>
      <c r="C15086" s="3" t="str">
        <f>IFERROR(__xludf.DUMMYFUNCTION("GOOGLETRANSLATE(B15086,""id"",""en"")"),"['ugly', 'expensive', 'signal', 'bad', 'slow']")</f>
        <v>['ugly', 'expensive', 'signal', 'bad', 'slow']</v>
      </c>
      <c r="D15086" s="3">
        <v>1.0</v>
      </c>
    </row>
    <row r="15087" ht="15.75" customHeight="1">
      <c r="A15087" s="1">
        <v>16050.0</v>
      </c>
      <c r="B15087" s="3" t="s">
        <v>14343</v>
      </c>
      <c r="C15087" s="3" t="str">
        <f>IFERROR(__xludf.DUMMYFUNCTION("GOOGLETRANSLATE(B15087,""id"",""en"")"),"['Application', 'Internet', 'Bad', 'Meet', 'BUMN', 'Kayak', 'Gini']")</f>
        <v>['Application', 'Internet', 'Bad', 'Meet', 'BUMN', 'Kayak', 'Gini']</v>
      </c>
      <c r="D15087" s="3">
        <v>1.0</v>
      </c>
    </row>
    <row r="15088" ht="15.75" customHeight="1">
      <c r="A15088" s="1">
        <v>16051.0</v>
      </c>
      <c r="B15088" s="3" t="s">
        <v>14344</v>
      </c>
      <c r="C15088" s="3" t="str">
        <f>IFERROR(__xludf.DUMMYFUNCTION("GOOGLETRANSLATE(B15088,""id"",""en"")"),"['', 'Plus']")</f>
        <v>['', 'Plus']</v>
      </c>
      <c r="D15088" s="3">
        <v>5.0</v>
      </c>
    </row>
    <row r="15089" ht="15.75" customHeight="1">
      <c r="A15089" s="1">
        <v>16052.0</v>
      </c>
      <c r="B15089" s="3" t="s">
        <v>14345</v>
      </c>
      <c r="C15089" s="3" t="str">
        <f>IFERROR(__xludf.DUMMYFUNCTION("GOOGLETRANSLATE(B15089,""id"",""en"")"),"['application', 'difficult', 'open']")</f>
        <v>['application', 'difficult', 'open']</v>
      </c>
      <c r="D15089" s="3">
        <v>1.0</v>
      </c>
    </row>
    <row r="15090" ht="15.75" customHeight="1">
      <c r="A15090" s="1">
        <v>16053.0</v>
      </c>
      <c r="B15090" s="3" t="s">
        <v>14346</v>
      </c>
      <c r="C15090" s="3" t="str">
        <f>IFERROR(__xludf.DUMMYFUNCTION("GOOGLETRANSLATE(B15090,""id"",""en"")"),"['', 'Telkomsel', 'package', 'quality', 'destroyed', 'rare', 'buy', 'pulse', 'package', 'internet', 'telephone', 'mending', 'operator ',' Next to ',' cheap ',' quality ',' smooth ',' comment ',' edit ',' latest ',' comment ',' above ',' Telkomsel ',' send"&amp;" ',' pulse ', 'apply', 'example', 'like', 'entry', 'sense', 'given', 'combination', 'annoyed', 'lazy', 'contents',' pulse ',' Package ',' telephone ',' Internet ']")</f>
        <v>['', 'Telkomsel', 'package', 'quality', 'destroyed', 'rare', 'buy', 'pulse', 'package', 'internet', 'telephone', 'mending', 'operator ',' Next to ',' cheap ',' quality ',' smooth ',' comment ',' edit ',' latest ',' comment ',' above ',' Telkomsel ',' send ',' pulse ', 'apply', 'example', 'like', 'entry', 'sense', 'given', 'combination', 'annoyed', 'lazy', 'contents',' pulse ',' Package ',' telephone ',' Internet ']</v>
      </c>
      <c r="D15090" s="3">
        <v>1.0</v>
      </c>
    </row>
    <row r="15091" ht="15.75" customHeight="1">
      <c r="A15091" s="1">
        <v>16054.0</v>
      </c>
      <c r="B15091" s="3" t="s">
        <v>14347</v>
      </c>
      <c r="C15091" s="3" t="str">
        <f>IFERROR(__xludf.DUMMYFUNCTION("GOOGLETRANSLATE(B15091,""id"",""en"")"),"['Download', 'Open', 'buy', 'pulse', 'phone']")</f>
        <v>['Download', 'Open', 'buy', 'pulse', 'phone']</v>
      </c>
      <c r="D15091" s="3">
        <v>1.0</v>
      </c>
    </row>
    <row r="15092" ht="15.75" customHeight="1">
      <c r="A15092" s="1">
        <v>16055.0</v>
      </c>
      <c r="B15092" s="3" t="s">
        <v>14348</v>
      </c>
      <c r="C15092" s="3" t="str">
        <f>IFERROR(__xludf.DUMMYFUNCTION("GOOGLETRANSLATE(B15092,""id"",""en"")"),"['', 'hapeku', 'open', ""]")</f>
        <v>['', 'hapeku', 'open', "]</v>
      </c>
      <c r="D15092" s="3">
        <v>5.0</v>
      </c>
    </row>
    <row r="15093" ht="15.75" customHeight="1">
      <c r="A15093" s="1">
        <v>16056.0</v>
      </c>
      <c r="B15093" s="3" t="s">
        <v>14349</v>
      </c>
      <c r="C15093" s="3" t="str">
        <f>IFERROR(__xludf.DUMMYFUNCTION("GOOGLETRANSLATE(B15093,""id"",""en"")"),"['Please', 'Difficult', 'Bukak', 'Application', 'Buy', 'Package']")</f>
        <v>['Please', 'Difficult', 'Bukak', 'Application', 'Buy', 'Package']</v>
      </c>
      <c r="D15093" s="3">
        <v>1.0</v>
      </c>
    </row>
    <row r="15094" ht="15.75" customHeight="1">
      <c r="A15094" s="1">
        <v>16057.0</v>
      </c>
      <c r="B15094" s="3" t="s">
        <v>8462</v>
      </c>
      <c r="C15094" s="3" t="str">
        <f>IFERROR(__xludf.DUMMYFUNCTION("GOOGLETRANSLATE(B15094,""id"",""en"")"),"['Opened', 'The application']")</f>
        <v>['Opened', 'The application']</v>
      </c>
      <c r="D15094" s="3">
        <v>5.0</v>
      </c>
    </row>
    <row r="15095" ht="15.75" customHeight="1">
      <c r="A15095" s="1">
        <v>16058.0</v>
      </c>
      <c r="B15095" s="3" t="s">
        <v>14350</v>
      </c>
      <c r="C15095" s="3" t="str">
        <f>IFERROR(__xludf.DUMMYFUNCTION("GOOGLETRANSLATE(B15095,""id"",""en"")"),"['right', 'update', 'go', 'Nge', 'Loading', 'interest', 'Telkomsel', 'please', 'Segara', 'fix', 'poor', 'update', ' Stack ',' screen ',' white ']")</f>
        <v>['right', 'update', 'go', 'Nge', 'Loading', 'interest', 'Telkomsel', 'please', 'Segara', 'fix', 'poor', 'update', ' Stack ',' screen ',' white ']</v>
      </c>
      <c r="D15095" s="3">
        <v>2.0</v>
      </c>
    </row>
    <row r="15096" ht="15.75" customHeight="1">
      <c r="A15096" s="1">
        <v>16059.0</v>
      </c>
      <c r="B15096" s="3" t="s">
        <v>14351</v>
      </c>
      <c r="C15096" s="3" t="str">
        <f>IFERROR(__xludf.DUMMYFUNCTION("GOOGLETRANSLATE(B15096,""id"",""en"")"),"['Application', 'Telkomsel', 'Open', 'Please', 'Assisted', 'Telkomsel', ""]")</f>
        <v>['Application', 'Telkomsel', 'Open', 'Please', 'Assisted', 'Telkomsel', "]</v>
      </c>
      <c r="D15096" s="3">
        <v>5.0</v>
      </c>
    </row>
    <row r="15097" ht="15.75" customHeight="1">
      <c r="A15097" s="1">
        <v>16060.0</v>
      </c>
      <c r="B15097" s="3" t="s">
        <v>14352</v>
      </c>
      <c r="C15097" s="3" t="str">
        <f>IFERROR(__xludf.DUMMYFUNCTION("GOOGLETRANSLATE(B15097,""id"",""en"")"),"['', 'Telkomsel', 'enter', 'picture', 'white', 'what']]")</f>
        <v>['', 'Telkomsel', 'enter', 'picture', 'white', 'what']]</v>
      </c>
      <c r="D15097" s="3">
        <v>1.0</v>
      </c>
    </row>
    <row r="15098" ht="15.75" customHeight="1">
      <c r="A15098" s="1">
        <v>16061.0</v>
      </c>
      <c r="B15098" s="3" t="s">
        <v>14353</v>
      </c>
      <c r="C15098" s="3" t="str">
        <f>IFERROR(__xludf.DUMMYFUNCTION("GOOGLETRANSLATE(B15098,""id"",""en"")"),"['knp', 'used', 'buy', 'Goldpas', 'Game', 'Playrix', 'Township']")</f>
        <v>['knp', 'used', 'buy', 'Goldpas', 'Game', 'Playrix', 'Township']</v>
      </c>
      <c r="D15098" s="3">
        <v>5.0</v>
      </c>
    </row>
    <row r="15099" ht="15.75" customHeight="1">
      <c r="A15099" s="1">
        <v>16062.0</v>
      </c>
      <c r="B15099" s="3" t="s">
        <v>1481</v>
      </c>
      <c r="C15099" s="3" t="str">
        <f>IFERROR(__xludf.DUMMYFUNCTION("GOOGLETRANSLATE(B15099,""id"",""en"")"),"['difficult', 'open', 'application']")</f>
        <v>['difficult', 'open', 'application']</v>
      </c>
      <c r="D15099" s="3">
        <v>2.0</v>
      </c>
    </row>
    <row r="15100" ht="15.75" customHeight="1">
      <c r="A15100" s="1">
        <v>16063.0</v>
      </c>
      <c r="B15100" s="3" t="s">
        <v>14354</v>
      </c>
      <c r="C15100" s="3" t="str">
        <f>IFERROR(__xludf.DUMMYFUNCTION("GOOGLETRANSLATE(B15100,""id"",""en"")"),"['Points', 'yng', 'give', 'ngak', 'use', 'ngk', 'use', 'garbage', ""]")</f>
        <v>['Points', 'yng', 'give', 'ngak', 'use', 'ngk', 'use', 'garbage', "]</v>
      </c>
      <c r="D15100" s="3">
        <v>1.0</v>
      </c>
    </row>
    <row r="15101" ht="15.75" customHeight="1">
      <c r="A15101" s="1">
        <v>16064.0</v>
      </c>
      <c r="B15101" s="3" t="s">
        <v>14355</v>
      </c>
      <c r="C15101" s="3" t="str">
        <f>IFERROR(__xludf.DUMMYFUNCTION("GOOGLETRANSLATE(B15101,""id"",""en"")"),"['apk', 'gabisa', 'open', 'difficult', 'buy', 'check', 'kouta', 'udh', 'that's',' price ',' expensive ',' wear ',' APK ',' Telkomsel ',' please ',' fix ',' need ', ""]")</f>
        <v>['apk', 'gabisa', 'open', 'difficult', 'buy', 'check', 'kouta', 'udh', 'that's',' price ',' expensive ',' wear ',' APK ',' Telkomsel ',' please ',' fix ',' need ', "]</v>
      </c>
      <c r="D15101" s="3">
        <v>1.0</v>
      </c>
    </row>
    <row r="15102" ht="15.75" customHeight="1">
      <c r="A15102" s="1">
        <v>16065.0</v>
      </c>
      <c r="B15102" s="3" t="s">
        <v>14356</v>
      </c>
      <c r="C15102" s="3" t="str">
        <f>IFERROR(__xludf.DUMMYFUNCTION("GOOGLETRANSLATE(B15102,""id"",""en"")"),"['promo', 'multiply', 'calculated', 'buy', 'package', 'bkn', 'clock']")</f>
        <v>['promo', 'multiply', 'calculated', 'buy', 'package', 'bkn', 'clock']</v>
      </c>
      <c r="D15102" s="3">
        <v>5.0</v>
      </c>
    </row>
    <row r="15103" ht="15.75" customHeight="1">
      <c r="A15103" s="1">
        <v>16066.0</v>
      </c>
      <c r="B15103" s="3" t="s">
        <v>14357</v>
      </c>
      <c r="C15103" s="3" t="str">
        <f>IFERROR(__xludf.DUMMYFUNCTION("GOOGLETRANSLATE(B15103,""id"",""en"")"),"['koq', 'slow', '']")</f>
        <v>['koq', 'slow', '']</v>
      </c>
      <c r="D15103" s="3">
        <v>5.0</v>
      </c>
    </row>
    <row r="15104" ht="15.75" customHeight="1">
      <c r="A15104" s="1">
        <v>16067.0</v>
      </c>
      <c r="B15104" s="3" t="s">
        <v>14358</v>
      </c>
      <c r="C15104" s="3" t="str">
        <f>IFERROR(__xludf.DUMMYFUNCTION("GOOGLETRANSLATE(B15104,""id"",""en"")"),"['Sekrng', 'UDH', 'Not bad', 'Easy']")</f>
        <v>['Sekrng', 'UDH', 'Not bad', 'Easy']</v>
      </c>
      <c r="D15104" s="3">
        <v>4.0</v>
      </c>
    </row>
    <row r="15105" ht="15.75" customHeight="1">
      <c r="A15105" s="1">
        <v>16068.0</v>
      </c>
      <c r="B15105" s="3" t="s">
        <v>14359</v>
      </c>
      <c r="C15105" s="3" t="str">
        <f>IFERROR(__xludf.DUMMYFUNCTION("GOOGLETRANSLATE(B15105,""id"",""en"")"),"['APK', 'access', '']")</f>
        <v>['APK', 'access', '']</v>
      </c>
      <c r="D15105" s="3">
        <v>1.0</v>
      </c>
    </row>
    <row r="15106" ht="15.75" customHeight="1">
      <c r="A15106" s="1">
        <v>16069.0</v>
      </c>
      <c r="B15106" s="3" t="s">
        <v>14360</v>
      </c>
      <c r="C15106" s="3" t="str">
        <f>IFERROR(__xludf.DUMMYFUNCTION("GOOGLETRANSLATE(B15106,""id"",""en"")"),"['', 'opened', 'already', 'Uninstall', 'Install', 'reset']")</f>
        <v>['', 'opened', 'already', 'Uninstall', 'Install', 'reset']</v>
      </c>
      <c r="D15106" s="3">
        <v>1.0</v>
      </c>
    </row>
    <row r="15107" ht="15.75" customHeight="1">
      <c r="A15107" s="1">
        <v>16070.0</v>
      </c>
      <c r="B15107" s="3" t="s">
        <v>14361</v>
      </c>
      <c r="C15107" s="3" t="str">
        <f>IFERROR(__xludf.DUMMYFUNCTION("GOOGLETRANSLATE(B15107,""id"",""en"")"),"['Fun', 'Apasih', 'Telkomsel', 'quota', 'price', 'unlimited', 'unlimited', 'restricted', 'price', 'already', 'application', 'ngelag']")</f>
        <v>['Fun', 'Apasih', 'Telkomsel', 'quota', 'price', 'unlimited', 'unlimited', 'restricted', 'price', 'already', 'application', 'ngelag']</v>
      </c>
      <c r="D15107" s="3">
        <v>1.0</v>
      </c>
    </row>
    <row r="15108" ht="15.75" customHeight="1">
      <c r="A15108" s="1">
        <v>16071.0</v>
      </c>
      <c r="B15108" s="3" t="s">
        <v>14362</v>
      </c>
      <c r="C15108" s="3" t="str">
        <f>IFERROR(__xludf.DUMMYFUNCTION("GOOGLETRANSLATE(B15108,""id"",""en"")"),"['Come in', 'Come on', 'Lined', 'Lemot', 'User', 'Stia', 'Upgrate', 'Pakek', 'Card', 'Hello', 'Huhuhu', ""]")</f>
        <v>['Come in', 'Come on', 'Lined', 'Lemot', 'User', 'Stia', 'Upgrate', 'Pakek', 'Card', 'Hello', 'Huhuhu', "]</v>
      </c>
      <c r="D15108" s="3">
        <v>1.0</v>
      </c>
    </row>
    <row r="15109" ht="15.75" customHeight="1">
      <c r="A15109" s="1">
        <v>16072.0</v>
      </c>
      <c r="B15109" s="3" t="s">
        <v>14363</v>
      </c>
      <c r="C15109" s="3" t="str">
        <f>IFERROR(__xludf.DUMMYFUNCTION("GOOGLETRANSLATE(B15109,""id"",""en"")"),"['how', 'Telkomsel', 'open', 'application', 'gabisa', 'can', 'bgttt', 'nihhh', 'update', 'clean', 'cache', 'knp', ' Cana ', ""]")</f>
        <v>['how', 'Telkomsel', 'open', 'application', 'gabisa', 'can', 'bgttt', 'nihhh', 'update', 'clean', 'cache', 'knp', ' Cana ', "]</v>
      </c>
      <c r="D15109" s="3">
        <v>1.0</v>
      </c>
    </row>
    <row r="15110" ht="15.75" customHeight="1">
      <c r="A15110" s="1">
        <v>16073.0</v>
      </c>
      <c r="B15110" s="3" t="s">
        <v>14364</v>
      </c>
      <c r="C15110" s="3" t="str">
        <f>IFERROR(__xludf.DUMMYFUNCTION("GOOGLETRANSLATE(B15110,""id"",""en"")"),"['pulse', 'lost', 'wear it', 'buy', 'package', 'please', 'Telkomsel', 'fix']")</f>
        <v>['pulse', 'lost', 'wear it', 'buy', 'package', 'please', 'Telkomsel', 'fix']</v>
      </c>
      <c r="D15110" s="3">
        <v>1.0</v>
      </c>
    </row>
    <row r="15111" ht="15.75" customHeight="1">
      <c r="A15111" s="1">
        <v>16074.0</v>
      </c>
      <c r="B15111" s="3" t="s">
        <v>14365</v>
      </c>
      <c r="C15111" s="3" t="str">
        <f>IFERROR(__xludf.DUMMYFUNCTION("GOOGLETRANSLATE(B15111,""id"",""en"")"),"['AHIR', 'AHIR', 'Telkomsel', 'Lemot']")</f>
        <v>['AHIR', 'AHIR', 'Telkomsel', 'Lemot']</v>
      </c>
      <c r="D15111" s="3">
        <v>1.0</v>
      </c>
    </row>
    <row r="15112" ht="15.75" customHeight="1">
      <c r="A15112" s="1">
        <v>16075.0</v>
      </c>
      <c r="B15112" s="3" t="s">
        <v>14366</v>
      </c>
      <c r="C15112" s="3" t="str">
        <f>IFERROR(__xludf.DUMMYFUNCTION("GOOGLETRANSLATE(B15112,""id"",""en"")"),"['Assalamualaikum', 'May', 'Telkomsel', 'how', 'enter']")</f>
        <v>['Assalamualaikum', 'May', 'Telkomsel', 'how', 'enter']</v>
      </c>
      <c r="D15112" s="3">
        <v>1.0</v>
      </c>
    </row>
    <row r="15113" ht="15.75" customHeight="1">
      <c r="A15113" s="1">
        <v>16076.0</v>
      </c>
      <c r="B15113" s="3" t="s">
        <v>14367</v>
      </c>
      <c r="C15113" s="3" t="str">
        <f>IFERROR(__xludf.DUMMYFUNCTION("GOOGLETRANSLATE(B15113,""id"",""en"")"),"['Please', 'perman', 'price']")</f>
        <v>['Please', 'perman', 'price']</v>
      </c>
      <c r="D15113" s="3">
        <v>3.0</v>
      </c>
    </row>
    <row r="15114" ht="15.75" customHeight="1">
      <c r="A15114" s="1">
        <v>16077.0</v>
      </c>
      <c r="B15114" s="3" t="s">
        <v>14368</v>
      </c>
      <c r="C15114" s="3" t="str">
        <f>IFERROR(__xludf.DUMMYFUNCTION("GOOGLETRANSLATE(B15114,""id"",""en"")"),"['ugly', 'judged', 'enter', 'number', 'difficult', 'annoyed', 'open', 'screen', 'color', 'white', 'time', 'open', ' open']")</f>
        <v>['ugly', 'judged', 'enter', 'number', 'difficult', 'annoyed', 'open', 'screen', 'color', 'white', 'time', 'open', ' open']</v>
      </c>
      <c r="D15114" s="3">
        <v>1.0</v>
      </c>
    </row>
    <row r="15115" ht="15.75" customHeight="1">
      <c r="A15115" s="1">
        <v>16078.0</v>
      </c>
      <c r="B15115" s="3" t="s">
        <v>14369</v>
      </c>
      <c r="C15115" s="3" t="str">
        <f>IFERROR(__xludf.DUMMYFUNCTION("GOOGLETRANSLATE(B15115,""id"",""en"")"),"['likes',' Telkomsel ',' even though ',' expensive ',' the network ',' expensive ',' network ',' bad ',' disturbing ',' move ',' network ',' all ',' thank you']")</f>
        <v>['likes',' Telkomsel ',' even though ',' expensive ',' the network ',' expensive ',' network ',' bad ',' disturbing ',' move ',' network ',' all ',' thank you']</v>
      </c>
      <c r="D15115" s="3">
        <v>1.0</v>
      </c>
    </row>
    <row r="15116" ht="15.75" customHeight="1">
      <c r="A15116" s="1">
        <v>16079.0</v>
      </c>
      <c r="B15116" s="3" t="s">
        <v>14370</v>
      </c>
      <c r="C15116" s="3" t="str">
        <f>IFERROR(__xludf.DUMMYFUNCTION("GOOGLETRANSLATE(B15116,""id"",""en"")"),"['knp', 'abis',' contents', 'pulse', 'buy', 'package', 'then', 'buy', 'apk', 'pulse', 'truncated', 'data', ' Enter ',' Rugilah ']")</f>
        <v>['knp', 'abis',' contents', 'pulse', 'buy', 'package', 'then', 'buy', 'apk', 'pulse', 'truncated', 'data', ' Enter ',' Rugilah ']</v>
      </c>
      <c r="D15116" s="3">
        <v>1.0</v>
      </c>
    </row>
    <row r="15117" ht="15.75" customHeight="1">
      <c r="A15117" s="1">
        <v>16080.0</v>
      </c>
      <c r="B15117" s="3" t="s">
        <v>14371</v>
      </c>
      <c r="C15117" s="3" t="str">
        <f>IFERROR(__xludf.DUMMYFUNCTION("GOOGLETRANSLATE(B15117,""id"",""en"")"),"['BBPPA', 'Application', 'Tsel', 'Open', 'Habpus',' Data ',' Delete ',' Application ',' Install ',' Msh ',' TTP ',' Open ',' ']")</f>
        <v>['BBPPA', 'Application', 'Tsel', 'Open', 'Habpus',' Data ',' Delete ',' Application ',' Install ',' Msh ',' TTP ',' Open ',' ']</v>
      </c>
      <c r="D15117" s="3">
        <v>1.0</v>
      </c>
    </row>
    <row r="15118" ht="15.75" customHeight="1">
      <c r="A15118" s="1">
        <v>16081.0</v>
      </c>
      <c r="B15118" s="3" t="s">
        <v>14372</v>
      </c>
      <c r="C15118" s="3" t="str">
        <f>IFERROR(__xludf.DUMMYFUNCTION("GOOGLETRANSLATE(B15118,""id"",""en"")"),"['update', 'daily', 'skrg', 'opened', 'screen', 'white', 'ngeblank', 'restart', 'uninstall', 'install', 'delete', 'cache', ' The results', 'nil', 'app', 'Telkomsel', 'thank you']")</f>
        <v>['update', 'daily', 'skrg', 'opened', 'screen', 'white', 'ngeblank', 'restart', 'uninstall', 'install', 'delete', 'cache', ' The results', 'nil', 'app', 'Telkomsel', 'thank you']</v>
      </c>
      <c r="D15118" s="3">
        <v>4.0</v>
      </c>
    </row>
    <row r="15119" ht="15.75" customHeight="1">
      <c r="A15119" s="1">
        <v>16082.0</v>
      </c>
      <c r="B15119" s="3" t="s">
        <v>14373</v>
      </c>
      <c r="C15119" s="3" t="str">
        <f>IFERROR(__xludf.DUMMYFUNCTION("GOOGLETRANSLATE(B15119,""id"",""en"")"),"['Jangan', 'jon']")</f>
        <v>['Jangan', 'jon']</v>
      </c>
      <c r="D15119" s="3">
        <v>5.0</v>
      </c>
    </row>
    <row r="15120" ht="15.75" customHeight="1">
      <c r="A15120" s="1">
        <v>16083.0</v>
      </c>
      <c r="B15120" s="3" t="s">
        <v>14374</v>
      </c>
      <c r="C15120" s="3" t="str">
        <f>IFERROR(__xludf.DUMMYFUNCTION("GOOGLETRANSLATE(B15120,""id"",""en"")"),"['Knpa', 'opened', ""]")</f>
        <v>['Knpa', 'opened', "]</v>
      </c>
      <c r="D15120" s="3">
        <v>2.0</v>
      </c>
    </row>
    <row r="15121" ht="15.75" customHeight="1">
      <c r="A15121" s="1">
        <v>16084.0</v>
      </c>
      <c r="B15121" s="3" t="s">
        <v>14375</v>
      </c>
      <c r="C15121" s="3" t="str">
        <f>IFERROR(__xludf.DUMMYFUNCTION("GOOGLETRANSLATE(B15121,""id"",""en"")"),"['knpa', 'tdak', 'update', 'uninstall', 'then', 'install', 'reset', 'application', 'anjiggg', 'uda', 'expensive', 'slow', ' APK ',' Satan ',' Want ',' Nipu ',' Doang ',' Monkey ']")</f>
        <v>['knpa', 'tdak', 'update', 'uninstall', 'then', 'install', 'reset', 'application', 'anjiggg', 'uda', 'expensive', 'slow', ' APK ',' Satan ',' Want ',' Nipu ',' Doang ',' Monkey ']</v>
      </c>
      <c r="D15121" s="3">
        <v>1.0</v>
      </c>
    </row>
    <row r="15122" ht="15.75" customHeight="1">
      <c r="A15122" s="1">
        <v>16085.0</v>
      </c>
      <c r="B15122" s="3" t="s">
        <v>14376</v>
      </c>
      <c r="C15122" s="3" t="str">
        <f>IFERROR(__xludf.DUMMYFUNCTION("GOOGLETRANSLATE(B15122,""id"",""en"")"),"['update', 'kgak', 'open', 'heavy', 'forgiveness', 'payaaah', 'poor', 'miss', '']")</f>
        <v>['update', 'kgak', 'open', 'heavy', 'forgiveness', 'payaaah', 'poor', 'miss', '']</v>
      </c>
      <c r="D15122" s="3">
        <v>3.0</v>
      </c>
    </row>
    <row r="15123" ht="15.75" customHeight="1">
      <c r="A15123" s="1">
        <v>16086.0</v>
      </c>
      <c r="B15123" s="3" t="s">
        <v>7369</v>
      </c>
      <c r="C15123" s="3" t="str">
        <f>IFERROR(__xludf.DUMMYFUNCTION("GOOGLETRANSLATE(B15123,""id"",""en"")"),"['', 'opened', ""]")</f>
        <v>['', 'opened', "]</v>
      </c>
      <c r="D15123" s="3">
        <v>5.0</v>
      </c>
    </row>
    <row r="15124" ht="15.75" customHeight="1">
      <c r="A15124" s="1">
        <v>16087.0</v>
      </c>
      <c r="B15124" s="3" t="s">
        <v>14377</v>
      </c>
      <c r="C15124" s="3" t="str">
        <f>IFERROR(__xludf.DUMMYFUNCTION("GOOGLETRANSLATE(B15124,""id"",""en"")"),"['Iritin', 'network', 'supports']")</f>
        <v>['Iritin', 'network', 'supports']</v>
      </c>
      <c r="D15124" s="3">
        <v>5.0</v>
      </c>
    </row>
    <row r="15125" ht="15.75" customHeight="1">
      <c r="A15125" s="1">
        <v>16088.0</v>
      </c>
      <c r="B15125" s="3" t="s">
        <v>14378</v>
      </c>
      <c r="C15125" s="3" t="str">
        <f>IFERROR(__xludf.DUMMYFUNCTION("GOOGLETRANSLATE(B15125,""id"",""en"")"),"['', 'Choice', 'Package', 'Sakti']")</f>
        <v>['', 'Choice', 'Package', 'Sakti']</v>
      </c>
      <c r="D15125" s="3">
        <v>2.0</v>
      </c>
    </row>
    <row r="15126" ht="15.75" customHeight="1">
      <c r="A15126" s="1">
        <v>16089.0</v>
      </c>
      <c r="B15126" s="3" t="s">
        <v>14379</v>
      </c>
      <c r="C15126" s="3" t="str">
        <f>IFERROR(__xludf.DUMMYFUNCTION("GOOGLETRANSLATE(B15126,""id"",""en"")"),"['MyTelkomsel', 'access', '']")</f>
        <v>['MyTelkomsel', 'access', '']</v>
      </c>
      <c r="D15126" s="3">
        <v>4.0</v>
      </c>
    </row>
    <row r="15127" ht="15.75" customHeight="1">
      <c r="A15127" s="1">
        <v>16090.0</v>
      </c>
      <c r="B15127" s="3" t="s">
        <v>14380</v>
      </c>
      <c r="C15127" s="3" t="str">
        <f>IFERROR(__xludf.DUMMYFUNCTION("GOOGLETRANSLATE(B15127,""id"",""en"")"),"['Operator', 'garbage', 'ngellag', 'Maen', 'Jakarta']")</f>
        <v>['Operator', 'garbage', 'ngellag', 'Maen', 'Jakarta']</v>
      </c>
      <c r="D15127" s="3">
        <v>1.0</v>
      </c>
    </row>
    <row r="15128" ht="15.75" customHeight="1">
      <c r="A15128" s="1">
        <v>16091.0</v>
      </c>
      <c r="B15128" s="3" t="s">
        <v>14381</v>
      </c>
      <c r="C15128" s="3" t="str">
        <f>IFERROR(__xludf.DUMMYFUNCTION("GOOGLETRANSLATE(B15128,""id"",""en"")"),"['Check', 'Plza', 'Telkomsel', 'Open']")</f>
        <v>['Check', 'Plza', 'Telkomsel', 'Open']</v>
      </c>
      <c r="D15128" s="3">
        <v>5.0</v>
      </c>
    </row>
    <row r="15129" ht="15.75" customHeight="1">
      <c r="A15129" s="1">
        <v>16092.0</v>
      </c>
      <c r="B15129" s="3" t="s">
        <v>14382</v>
      </c>
      <c r="C15129" s="3" t="str">
        <f>IFERROR(__xludf.DUMMYFUNCTION("GOOGLETRANSLATE(B15129,""id"",""en"")"),"['Good', 'price', 'package', 'expensive']")</f>
        <v>['Good', 'price', 'package', 'expensive']</v>
      </c>
      <c r="D15129" s="3">
        <v>5.0</v>
      </c>
    </row>
    <row r="15130" ht="15.75" customHeight="1">
      <c r="A15130" s="1">
        <v>16093.0</v>
      </c>
      <c r="B15130" s="3" t="s">
        <v>5074</v>
      </c>
      <c r="C15130" s="3" t="str">
        <f>IFERROR(__xludf.DUMMYFUNCTION("GOOGLETRANSLATE(B15130,""id"",""en"")"),"['Telkomsel', 'Open', '']")</f>
        <v>['Telkomsel', 'Open', '']</v>
      </c>
      <c r="D15130" s="3">
        <v>2.0</v>
      </c>
    </row>
    <row r="15131" ht="15.75" customHeight="1">
      <c r="A15131" s="1">
        <v>16094.0</v>
      </c>
      <c r="B15131" s="3" t="s">
        <v>14383</v>
      </c>
      <c r="C15131" s="3" t="str">
        <f>IFERROR(__xludf.DUMMYFUNCTION("GOOGLETRANSLATE(B15131,""id"",""en"")"),"['Application', 'difficult', 'NOT', 'Bro', 'Telkomsel', ""]")</f>
        <v>['Application', 'difficult', 'NOT', 'Bro', 'Telkomsel', "]</v>
      </c>
      <c r="D15131" s="3">
        <v>1.0</v>
      </c>
    </row>
    <row r="15132" ht="15.75" customHeight="1">
      <c r="A15132" s="1">
        <v>16095.0</v>
      </c>
      <c r="B15132" s="3" t="s">
        <v>14384</v>
      </c>
      <c r="C15132" s="3" t="str">
        <f>IFERROR(__xludf.DUMMYFUNCTION("GOOGLETRANSLATE(B15132,""id"",""en"")"),"['with difficulties', '']")</f>
        <v>['with difficulties', '']</v>
      </c>
      <c r="D15132" s="3">
        <v>5.0</v>
      </c>
    </row>
    <row r="15133" ht="15.75" customHeight="1">
      <c r="A15133" s="1">
        <v>16096.0</v>
      </c>
      <c r="B15133" s="3" t="s">
        <v>14385</v>
      </c>
      <c r="C15133" s="3" t="str">
        <f>IFERROR(__xludf.DUMMYFUNCTION("GOOGLETRANSLATE(B15133,""id"",""en"")"),"['Telkomsel', 'expensive', 'good', 'bad', 'application', 'white', 'screen', 'doang', 'disappointing', '']")</f>
        <v>['Telkomsel', 'expensive', 'good', 'bad', 'application', 'white', 'screen', 'doang', 'disappointing', '']</v>
      </c>
      <c r="D15133" s="3">
        <v>1.0</v>
      </c>
    </row>
    <row r="15134" ht="15.75" customHeight="1">
      <c r="A15134" s="1">
        <v>16097.0</v>
      </c>
      <c r="B15134" s="3" t="s">
        <v>14386</v>
      </c>
      <c r="C15134" s="3" t="str">
        <f>IFERROR(__xludf.DUMMYFUNCTION("GOOGLETRANSLATE(B15134,""id"",""en"")"),"['The application', 'Bagus', '']")</f>
        <v>['The application', 'Bagus', '']</v>
      </c>
      <c r="D15134" s="3">
        <v>5.0</v>
      </c>
    </row>
    <row r="15135" ht="15.75" customHeight="1">
      <c r="A15135" s="1">
        <v>16098.0</v>
      </c>
      <c r="B15135" s="3" t="s">
        <v>7572</v>
      </c>
      <c r="C15135" s="3" t="str">
        <f>IFERROR(__xludf.DUMMYFUNCTION("GOOGLETRANSLATE(B15135,""id"",""en"")"),"['', 'update', 'opened']")</f>
        <v>['', 'update', 'opened']</v>
      </c>
      <c r="D15135" s="3">
        <v>1.0</v>
      </c>
    </row>
    <row r="15136" ht="15.75" customHeight="1">
      <c r="A15136" s="1">
        <v>16099.0</v>
      </c>
      <c r="B15136" s="3" t="s">
        <v>14387</v>
      </c>
      <c r="C15136" s="3" t="str">
        <f>IFERROR(__xludf.DUMMYFUNCTION("GOOGLETRANSLATE(B15136,""id"",""en"")"),"['The application', 'open', 'buy', 'pulse', 'phone']")</f>
        <v>['The application', 'open', 'buy', 'pulse', 'phone']</v>
      </c>
      <c r="D15136" s="3">
        <v>2.0</v>
      </c>
    </row>
    <row r="15137" ht="15.75" customHeight="1">
      <c r="A15137" s="1">
        <v>16100.0</v>
      </c>
      <c r="B15137" s="3" t="s">
        <v>14388</v>
      </c>
      <c r="C15137" s="3" t="str">
        <f>IFERROR(__xludf.DUMMYFUNCTION("GOOGLETRANSLATE(B15137,""id"",""en"")"),"['Oooh', 'Telkomsel', 'app', 'open', 'screen', 'white', 'open', 'already', 'week', 'Please', 'fix']")</f>
        <v>['Oooh', 'Telkomsel', 'app', 'open', 'screen', 'white', 'open', 'already', 'week', 'Please', 'fix']</v>
      </c>
      <c r="D15137" s="3">
        <v>1.0</v>
      </c>
    </row>
    <row r="15138" ht="15.75" customHeight="1">
      <c r="A15138" s="1">
        <v>16101.0</v>
      </c>
      <c r="B15138" s="3" t="s">
        <v>14389</v>
      </c>
      <c r="C15138" s="3" t="str">
        <f>IFERROR(__xludf.DUMMYFUNCTION("GOOGLETRANSLATE(B15138,""id"",""en"")"),"['Price', 'Naek', 'Quality', 'Network', 'Bad']")</f>
        <v>['Price', 'Naek', 'Quality', 'Network', 'Bad']</v>
      </c>
      <c r="D15138" s="3">
        <v>1.0</v>
      </c>
    </row>
    <row r="15139" ht="15.75" customHeight="1">
      <c r="A15139" s="1">
        <v>16102.0</v>
      </c>
      <c r="B15139" s="3" t="s">
        <v>14390</v>
      </c>
      <c r="C15139" s="3" t="str">
        <f>IFERROR(__xludf.DUMMYFUNCTION("GOOGLETRANSLATE(B15139,""id"",""en"")"),"['steady', 'app', 'update', 'suggestion', 'adm', 'package', 'expensive', 'discount', 'suggestion', 'seh', '']")</f>
        <v>['steady', 'app', 'update', 'suggestion', 'adm', 'package', 'expensive', 'discount', 'suggestion', 'seh', '']</v>
      </c>
      <c r="D15139" s="3">
        <v>5.0</v>
      </c>
    </row>
    <row r="15140" ht="15.75" customHeight="1">
      <c r="A15140" s="1">
        <v>16103.0</v>
      </c>
      <c r="B15140" s="3" t="s">
        <v>14391</v>
      </c>
      <c r="C15140" s="3" t="str">
        <f>IFERROR(__xludf.DUMMYFUNCTION("GOOGLETRANSLATE(B15140,""id"",""en"")"),"['How', 'Telkomsel', 'network', 'jammed', 'TRS', 'Disappointed', 'Jarigan', 'Telkomtol']")</f>
        <v>['How', 'Telkomsel', 'network', 'jammed', 'TRS', 'Disappointed', 'Jarigan', 'Telkomtol']</v>
      </c>
      <c r="D15140" s="3">
        <v>1.0</v>
      </c>
    </row>
    <row r="15141" ht="15.75" customHeight="1">
      <c r="A15141" s="1">
        <v>16104.0</v>
      </c>
      <c r="B15141" s="3" t="s">
        <v>14392</v>
      </c>
      <c r="C15141" s="3" t="str">
        <f>IFERROR(__xludf.DUMMYFUNCTION("GOOGLETRANSLATE(B15141,""id"",""en"")"),"['', 'Increase']")</f>
        <v>['', 'Increase']</v>
      </c>
      <c r="D15141" s="3">
        <v>2.0</v>
      </c>
    </row>
    <row r="15142" ht="15.75" customHeight="1">
      <c r="A15142" s="1">
        <v>16105.0</v>
      </c>
      <c r="B15142" s="3" t="s">
        <v>14393</v>
      </c>
      <c r="C15142" s="3" t="str">
        <f>IFERROR(__xludf.DUMMYFUNCTION("GOOGLETRANSLATE(B15142,""id"",""en"")"),"['', 'The application', 'opened', 'week as', 'Ngeblank', 'Mulu', 'WRNA', 'White', 'Support', 'SMSung', 'App', ""]")</f>
        <v>['', 'The application', 'opened', 'week as', 'Ngeblank', 'Mulu', 'WRNA', 'White', 'Support', 'SMSung', 'App', "]</v>
      </c>
      <c r="D15142" s="3">
        <v>5.0</v>
      </c>
    </row>
    <row r="15143" ht="15.75" customHeight="1">
      <c r="A15143" s="1">
        <v>16108.0</v>
      </c>
      <c r="B15143" s="3" t="s">
        <v>14394</v>
      </c>
      <c r="C15143" s="3" t="str">
        <f>IFERROR(__xludf.DUMMYFUNCTION("GOOGLETRANSLATE(B15143,""id"",""en"")"),"['open', 'apk', 'Telkomsel', 'uninstall', 'install', 'opened', 'Please', 'as soon as possible,' repaired ', ""]")</f>
        <v>['open', 'apk', 'Telkomsel', 'uninstall', 'install', 'opened', 'Please', 'as soon as possible,' repaired ', "]</v>
      </c>
      <c r="D15143" s="3">
        <v>1.0</v>
      </c>
    </row>
    <row r="15144" ht="15.75" customHeight="1">
      <c r="A15144" s="1">
        <v>16109.0</v>
      </c>
      <c r="B15144" s="3" t="s">
        <v>14395</v>
      </c>
      <c r="C15144" s="3" t="str">
        <f>IFERROR(__xludf.DUMMYFUNCTION("GOOGLETRANSLATE(B15144,""id"",""en"")"),"['already', 'a week', 'application', 'open', 'buy', 'quota', 'expensive', 'disorder', 'network', 'like', 'lost', 'strange', ' company ',' state ',' TPI ',' lose ',' quality ',' private ']")</f>
        <v>['already', 'a week', 'application', 'open', 'buy', 'quota', 'expensive', 'disorder', 'network', 'like', 'lost', 'strange', ' company ',' state ',' TPI ',' lose ',' quality ',' private ']</v>
      </c>
      <c r="D15144" s="3">
        <v>1.0</v>
      </c>
    </row>
    <row r="15145" ht="15.75" customHeight="1">
      <c r="A15145" s="1">
        <v>16111.0</v>
      </c>
      <c r="B15145" s="3" t="s">
        <v>14396</v>
      </c>
      <c r="C15145" s="3" t="str">
        <f>IFERROR(__xludf.DUMMYFUNCTION("GOOGLETRANSLATE(B15145,""id"",""en"")"),"['signal', 'break up', '']")</f>
        <v>['signal', 'break up', '']</v>
      </c>
      <c r="D15145" s="3">
        <v>4.0</v>
      </c>
    </row>
    <row r="15146" ht="15.75" customHeight="1">
      <c r="A15146" s="1">
        <v>16112.0</v>
      </c>
      <c r="B15146" s="3" t="s">
        <v>14397</v>
      </c>
      <c r="C15146" s="3" t="str">
        <f>IFERROR(__xludf.DUMMYFUNCTION("GOOGLETRANSLATE(B15146,""id"",""en"")"),"['application', 'good', 'possibility', 'login', 'finish', 'download', 'application', 'enter', 'clock', 'that's',' enter ',' Enter ',' enter ',' please ',' fix ',' ']")</f>
        <v>['application', 'good', 'possibility', 'login', 'finish', 'download', 'application', 'enter', 'clock', 'that's',' enter ',' Enter ',' enter ',' please ',' fix ',' ']</v>
      </c>
      <c r="D15146" s="3">
        <v>5.0</v>
      </c>
    </row>
    <row r="15147" ht="15.75" customHeight="1">
      <c r="A15147" s="1">
        <v>16113.0</v>
      </c>
      <c r="B15147" s="3" t="s">
        <v>14398</v>
      </c>
      <c r="C15147" s="3" t="str">
        <f>IFERROR(__xludf.DUMMYFUNCTION("GOOGLETRANSLATE(B15147,""id"",""en"")"),"['Promo', 'Good', 'Increase', 'Perfoma', '']")</f>
        <v>['Promo', 'Good', 'Increase', 'Perfoma', '']</v>
      </c>
      <c r="D15147" s="3">
        <v>5.0</v>
      </c>
    </row>
    <row r="15148" ht="15.75" customHeight="1">
      <c r="A15148" s="1">
        <v>16114.0</v>
      </c>
      <c r="B15148" s="3" t="s">
        <v>14399</v>
      </c>
      <c r="C15148" s="3" t="str">
        <f>IFERROR(__xludf.DUMMYFUNCTION("GOOGLETRANSLATE(B15148,""id"",""en"")"),"['Details', 'Help', 'Good', 'Anyway', 'Sia', 'Sia', 'APK', ""]")</f>
        <v>['Details', 'Help', 'Good', 'Anyway', 'Sia', 'Sia', 'APK', "]</v>
      </c>
      <c r="D15148" s="3">
        <v>5.0</v>
      </c>
    </row>
    <row r="15149" ht="15.75" customHeight="1">
      <c r="A15149" s="1">
        <v>16115.0</v>
      </c>
      <c r="B15149" s="3" t="s">
        <v>14400</v>
      </c>
      <c r="C15149" s="3" t="str">
        <f>IFERROR(__xludf.DUMMYFUNCTION("GOOGLETRANSLATE(B15149,""id"",""en"")"),"['', 'Donlod', 'MyTelkomsel', 'Application', 'Opened', 'Blank', 'White', ""]")</f>
        <v>['', 'Donlod', 'MyTelkomsel', 'Application', 'Opened', 'Blank', 'White', "]</v>
      </c>
      <c r="D15149" s="3">
        <v>1.0</v>
      </c>
    </row>
    <row r="15150" ht="15.75" customHeight="1">
      <c r="A15150" s="1">
        <v>16117.0</v>
      </c>
      <c r="B15150" s="3" t="s">
        <v>14401</v>
      </c>
      <c r="C15150" s="3" t="str">
        <f>IFERROR(__xludf.DUMMYFUNCTION("GOOGLETRANSLATE(B15150,""id"",""en"")"),"['Network', 'Bagusin', '']")</f>
        <v>['Network', 'Bagusin', '']</v>
      </c>
      <c r="D15150" s="3">
        <v>5.0</v>
      </c>
    </row>
    <row r="15151" ht="15.75" customHeight="1">
      <c r="A15151" s="1">
        <v>16118.0</v>
      </c>
      <c r="B15151" s="3" t="s">
        <v>14402</v>
      </c>
      <c r="C15151" s="3" t="str">
        <f>IFERROR(__xludf.DUMMYFUNCTION("GOOGLETRANSLATE(B15151,""id"",""en"")"),"['Out', 'update', 'MyTelkomsel', 'KOQ', 'opened', 'Application', 'Kepiye', 'iki', 'Jan']")</f>
        <v>['Out', 'update', 'MyTelkomsel', 'KOQ', 'opened', 'Application', 'Kepiye', 'iki', 'Jan']</v>
      </c>
      <c r="D15151" s="3">
        <v>1.0</v>
      </c>
    </row>
    <row r="15152" ht="15.75" customHeight="1">
      <c r="A15152" s="1">
        <v>16119.0</v>
      </c>
      <c r="B15152" s="3" t="s">
        <v>14403</v>
      </c>
      <c r="C15152" s="3" t="str">
        <f>IFERROR(__xludf.DUMMYFUNCTION("GOOGLETRANSLATE(B15152,""id"",""en"")"),"['Open', 'apk', 'Telkomsel', 'screen', 'white', 'pdhl', 'already', 'uninstall', 'download', 'change', 'please', 'fix', ' ']")</f>
        <v>['Open', 'apk', 'Telkomsel', 'screen', 'white', 'pdhl', 'already', 'uninstall', 'download', 'change', 'please', 'fix', ' ']</v>
      </c>
      <c r="D15152" s="3">
        <v>1.0</v>
      </c>
    </row>
    <row r="15153" ht="15.75" customHeight="1">
      <c r="A15153" s="1">
        <v>16121.0</v>
      </c>
      <c r="B15153" s="3" t="s">
        <v>14404</v>
      </c>
      <c r="C15153" s="3" t="str">
        <f>IFERROR(__xludf.DUMMYFUNCTION("GOOGLETRANSLATE(B15153,""id"",""en"")"),"['Network', 'break up', 'connection']")</f>
        <v>['Network', 'break up', 'connection']</v>
      </c>
      <c r="D15153" s="3">
        <v>5.0</v>
      </c>
    </row>
    <row r="15154" ht="15.75" customHeight="1">
      <c r="A15154" s="1">
        <v>16122.0</v>
      </c>
      <c r="B15154" s="3" t="s">
        <v>14405</v>
      </c>
      <c r="C15154" s="3" t="str">
        <f>IFERROR(__xludf.DUMMYFUNCTION("GOOGLETRANSLATE(B15154,""id"",""en"")"),"['Toped', 'free', 'min']")</f>
        <v>['Toped', 'free', 'min']</v>
      </c>
      <c r="D15154" s="3">
        <v>2.0</v>
      </c>
    </row>
    <row r="15155" ht="15.75" customHeight="1">
      <c r="A15155" s="1">
        <v>16123.0</v>
      </c>
      <c r="B15155" s="3" t="s">
        <v>471</v>
      </c>
      <c r="C15155" s="3" t="str">
        <f>IFERROR(__xludf.DUMMYFUNCTION("GOOGLETRANSLATE(B15155,""id"",""en"")"),"['']")</f>
        <v>['']</v>
      </c>
      <c r="D15155" s="3">
        <v>5.0</v>
      </c>
    </row>
    <row r="15156" ht="15.75" customHeight="1">
      <c r="A15156" s="1">
        <v>16124.0</v>
      </c>
      <c r="B15156" s="3" t="s">
        <v>14406</v>
      </c>
      <c r="C15156" s="3" t="str">
        <f>IFERROR(__xludf.DUMMYFUNCTION("GOOGLETRANSLATE(B15156,""id"",""en"")"),"['The application', 'update', 'open', 'ngeblank', 'Sya', 'think', 'error', 'a week', 'open', 'poor', ""]")</f>
        <v>['The application', 'update', 'open', 'ngeblank', 'Sya', 'think', 'error', 'a week', 'open', 'poor', "]</v>
      </c>
      <c r="D15156" s="3">
        <v>1.0</v>
      </c>
    </row>
    <row r="15157" ht="15.75" customHeight="1">
      <c r="A15157" s="1">
        <v>16125.0</v>
      </c>
      <c r="B15157" s="3" t="s">
        <v>14407</v>
      </c>
      <c r="C15157" s="3" t="str">
        <f>IFERROR(__xludf.DUMMYFUNCTION("GOOGLETRANSLATE(B15157,""id"",""en"")"),"['Bonus', 'user', 'asyikkkk']")</f>
        <v>['Bonus', 'user', 'asyikkkk']</v>
      </c>
      <c r="D15157" s="3">
        <v>3.0</v>
      </c>
    </row>
    <row r="15158" ht="15.75" customHeight="1">
      <c r="A15158" s="1">
        <v>16126.0</v>
      </c>
      <c r="B15158" s="3" t="s">
        <v>14408</v>
      </c>
      <c r="C15158" s="3" t="str">
        <f>IFERROR(__xludf.DUMMYFUNCTION("GOOGLETRANSLATE(B15158,""id"",""en"")"),"['Telkomsel', 'Taik', 'Network', 'Disconnect', '']")</f>
        <v>['Telkomsel', 'Taik', 'Network', 'Disconnect', '']</v>
      </c>
      <c r="D15158" s="3">
        <v>1.0</v>
      </c>
    </row>
    <row r="15159" ht="15.75" customHeight="1">
      <c r="A15159" s="1">
        <v>16127.0</v>
      </c>
      <c r="B15159" s="3" t="s">
        <v>14409</v>
      </c>
      <c r="C15159" s="3" t="str">
        <f>IFERROR(__xludf.DUMMYFUNCTION("GOOGLETRANSLATE(B15159,""id"",""en"")"),"['Variative', 'choice', 'type', 'Ribet', '']")</f>
        <v>['Variative', 'choice', 'type', 'Ribet', '']</v>
      </c>
      <c r="D15159" s="3">
        <v>2.0</v>
      </c>
    </row>
    <row r="15160" ht="15.75" customHeight="1">
      <c r="A15160" s="1">
        <v>16128.0</v>
      </c>
      <c r="B15160" s="3" t="s">
        <v>14410</v>
      </c>
      <c r="C15160" s="3" t="str">
        <f>IFERROR(__xludf.DUMMYFUNCTION("GOOGLETRANSLATE(B15160,""id"",""en"")"),"['tdinya', 'ksih', 'bintng', 'TPI', 'reduce', 'krna', 'skrng', 'difficult', 'bngt', 'msuk', 'application', 'msuk', ' Mah ',' Hrian ',' blank ',' white ',' then ',' ']")</f>
        <v>['tdinya', 'ksih', 'bintng', 'TPI', 'reduce', 'krna', 'skrng', 'difficult', 'bngt', 'msuk', 'application', 'msuk', ' Mah ',' Hrian ',' blank ',' white ',' then ',' ']</v>
      </c>
      <c r="D15160" s="3">
        <v>2.0</v>
      </c>
    </row>
    <row r="15161" ht="15.75" customHeight="1">
      <c r="A15161" s="1">
        <v>16129.0</v>
      </c>
      <c r="B15161" s="3" t="s">
        <v>14411</v>
      </c>
      <c r="C15161" s="3" t="str">
        <f>IFERROR(__xludf.DUMMYFUNCTION("GOOGLETRANSLATE(B15161,""id"",""en"")"),"['signal', 'ugly', 'right', 'rain', 'signal', 'signal', 'please', 'repair']")</f>
        <v>['signal', 'ugly', 'right', 'rain', 'signal', 'signal', 'please', 'repair']</v>
      </c>
      <c r="D15161" s="3">
        <v>1.0</v>
      </c>
    </row>
    <row r="15162" ht="15.75" customHeight="1">
      <c r="A15162" s="1">
        <v>16130.0</v>
      </c>
      <c r="B15162" s="3" t="s">
        <v>14412</v>
      </c>
      <c r="C15162" s="3" t="str">
        <f>IFERROR(__xludf.DUMMYFUNCTION("GOOGLETRANSLATE(B15162,""id"",""en"")"),"['Sorry', 'Telkomsell', 'Honest', 'Proud', 'Dwngan', 'Signal', 'Setabil']")</f>
        <v>['Sorry', 'Telkomsell', 'Honest', 'Proud', 'Dwngan', 'Signal', 'Setabil']</v>
      </c>
      <c r="D15162" s="3">
        <v>5.0</v>
      </c>
    </row>
    <row r="15163" ht="15.75" customHeight="1">
      <c r="A15163" s="1">
        <v>16131.0</v>
      </c>
      <c r="B15163" s="3" t="s">
        <v>14413</v>
      </c>
      <c r="C15163" s="3" t="str">
        <f>IFERROR(__xludf.DUMMYFUNCTION("GOOGLETRANSLATE(B15163,""id"",""en"")"),"['opened', 'the application', 'already', 'heavy', 'really', 'opened', 'come on', 'improving', 'cook', 'class',' Telkomsel ',' Kek ',' Gini ',' performance ',' ']")</f>
        <v>['opened', 'the application', 'already', 'heavy', 'really', 'opened', 'come on', 'improving', 'cook', 'class',' Telkomsel ',' Kek ',' Gini ',' performance ',' ']</v>
      </c>
      <c r="D15163" s="3">
        <v>1.0</v>
      </c>
    </row>
    <row r="15164" ht="15.75" customHeight="1">
      <c r="A15164" s="1">
        <v>16132.0</v>
      </c>
      <c r="B15164" s="3" t="s">
        <v>14414</v>
      </c>
      <c r="C15164" s="3" t="str">
        <f>IFERROR(__xludf.DUMMYFUNCTION("GOOGLETRANSLATE(B15164,""id"",""en"")"),"['Telkomsel', 'Error', 'Kah', 'open', 'APK', '']")</f>
        <v>['Telkomsel', 'Error', 'Kah', 'open', 'APK', '']</v>
      </c>
      <c r="D15164" s="3">
        <v>2.0</v>
      </c>
    </row>
    <row r="15165" ht="15.75" customHeight="1">
      <c r="A15165" s="1">
        <v>16133.0</v>
      </c>
      <c r="B15165" s="3" t="s">
        <v>14415</v>
      </c>
      <c r="C15165" s="3" t="str">
        <f>IFERROR(__xludf.DUMMYFUNCTION("GOOGLETRANSLATE(B15165,""id"",""en"")"),"['card', 'weird', 'top', 'pulse', 'appain', 'data', 'flame', 'angus',' slowly ',' land ',' nipu ',' gmn ',' Telkomsel ',' loss', 'really', 'disappointed', 'heavy', 'telkomtod', 'anjg', ""]")</f>
        <v>['card', 'weird', 'top', 'pulse', 'appain', 'data', 'flame', 'angus',' slowly ',' land ',' nipu ',' gmn ',' Telkomsel ',' loss', 'really', 'disappointed', 'heavy', 'telkomtod', 'anjg', "]</v>
      </c>
      <c r="D15165" s="3">
        <v>1.0</v>
      </c>
    </row>
    <row r="15166" ht="15.75" customHeight="1">
      <c r="A15166" s="1">
        <v>16134.0</v>
      </c>
      <c r="B15166" s="3" t="s">
        <v>14416</v>
      </c>
      <c r="C15166" s="3" t="str">
        <f>IFERROR(__xludf.DUMMYFUNCTION("GOOGLETRANSLATE(B15166,""id"",""en"")"),"['quota', 'expensive', 'in place', 'signal', 'Telkomsel', 'ngelag', 'price', 'doang', 'expensive', 'suits', 'price']")</f>
        <v>['quota', 'expensive', 'in place', 'signal', 'Telkomsel', 'ngelag', 'price', 'doang', 'expensive', 'suits', 'price']</v>
      </c>
      <c r="D15166" s="3">
        <v>1.0</v>
      </c>
    </row>
    <row r="15167" ht="15.75" customHeight="1">
      <c r="A15167" s="1">
        <v>16135.0</v>
      </c>
      <c r="B15167" s="3" t="s">
        <v>14417</v>
      </c>
      <c r="C15167" s="3" t="str">
        <f>IFERROR(__xludf.DUMMYFUNCTION("GOOGLETRANSLATE(B15167,""id"",""en"")"),"['already', 'slow', 'slow', 'rich', 'snail', 'see', 'Short', 'YouTube', 'muter', 'muter', 'doang']")</f>
        <v>['already', 'slow', 'slow', 'rich', 'snail', 'see', 'Short', 'YouTube', 'muter', 'muter', 'doang']</v>
      </c>
      <c r="D15167" s="3">
        <v>1.0</v>
      </c>
    </row>
    <row r="15168" ht="15.75" customHeight="1">
      <c r="A15168" s="1">
        <v>16136.0</v>
      </c>
      <c r="B15168" s="3" t="s">
        <v>14418</v>
      </c>
      <c r="C15168" s="3" t="str">
        <f>IFERROR(__xludf.DUMMYFUNCTION("GOOGLETRANSLATE(B15168,""id"",""en"")"),"['', 'BSA', 'opened']")</f>
        <v>['', 'BSA', 'opened']</v>
      </c>
      <c r="D15168" s="3">
        <v>1.0</v>
      </c>
    </row>
    <row r="15169" ht="15.75" customHeight="1">
      <c r="A15169" s="1">
        <v>16137.0</v>
      </c>
      <c r="B15169" s="3" t="s">
        <v>14419</v>
      </c>
      <c r="C15169" s="3" t="str">
        <f>IFERROR(__xludf.DUMMYFUNCTION("GOOGLETRANSLATE(B15169,""id"",""en"")"),"['Application', 'Ngebug', 'updated', 'right', 'opened', 'White', 'Screen', ""]")</f>
        <v>['Application', 'Ngebug', 'updated', 'right', 'opened', 'White', 'Screen', "]</v>
      </c>
      <c r="D15169" s="3">
        <v>1.0</v>
      </c>
    </row>
    <row r="15170" ht="15.75" customHeight="1">
      <c r="A15170" s="1">
        <v>16138.0</v>
      </c>
      <c r="B15170" s="3" t="s">
        <v>14420</v>
      </c>
      <c r="C15170" s="3" t="str">
        <f>IFERROR(__xludf.DUMMYFUNCTION("GOOGLETRANSLATE(B15170,""id"",""en"")"),"['Come', 'Signal', 'Lemot']")</f>
        <v>['Come', 'Signal', 'Lemot']</v>
      </c>
      <c r="D15170" s="3">
        <v>2.0</v>
      </c>
    </row>
    <row r="15171" ht="15.75" customHeight="1">
      <c r="A15171" s="1">
        <v>16139.0</v>
      </c>
      <c r="B15171" s="3" t="s">
        <v>14421</v>
      </c>
      <c r="C15171" s="3" t="str">
        <f>IFERROR(__xludf.DUMMYFUNCTION("GOOGLETRANSLATE(B15171,""id"",""en"")"),"['version', 'difficult', 'really', 'enter', 'application', '']")</f>
        <v>['version', 'difficult', 'really', 'enter', 'application', '']</v>
      </c>
      <c r="D15171" s="3">
        <v>2.0</v>
      </c>
    </row>
    <row r="15172" ht="15.75" customHeight="1">
      <c r="A15172" s="1">
        <v>16140.0</v>
      </c>
      <c r="B15172" s="3" t="s">
        <v>12724</v>
      </c>
      <c r="C15172" s="3" t="str">
        <f>IFERROR(__xludf.DUMMYFUNCTION("GOOGLETRANSLATE(B15172,""id"",""en"")"),"['Not bad', 'help', ""]")</f>
        <v>['Not bad', 'help', "]</v>
      </c>
      <c r="D15172" s="3">
        <v>4.0</v>
      </c>
    </row>
    <row r="15173" ht="15.75" customHeight="1">
      <c r="A15173" s="1">
        <v>16141.0</v>
      </c>
      <c r="B15173" s="3" t="s">
        <v>14422</v>
      </c>
      <c r="C15173" s="3" t="str">
        <f>IFERROR(__xludf.DUMMYFUNCTION("GOOGLETRANSLATE(B15173,""id"",""en"")"),"['Telkomsel', 'here', 'Males',' Dri ',' Credit ',' sucked ',' NGRTI ',' LGI ',' Cause ',' Feature ',' Veronika ',' Jga ',' JLK ',' JLS ',' Application ',' Jga ',' Heavy ',' NgrTI ',' LGI ',' SMA ',' Telkomsel ']")</f>
        <v>['Telkomsel', 'here', 'Males',' Dri ',' Credit ',' sucked ',' NGRTI ',' LGI ',' Cause ',' Feature ',' Veronika ',' Jga ',' JLK ',' JLS ',' Application ',' Jga ',' Heavy ',' NgrTI ',' LGI ',' SMA ',' Telkomsel ']</v>
      </c>
      <c r="D15173" s="3">
        <v>4.0</v>
      </c>
    </row>
    <row r="15174" ht="15.75" customHeight="1">
      <c r="A15174" s="1">
        <v>16142.0</v>
      </c>
      <c r="B15174" s="3" t="s">
        <v>14423</v>
      </c>
      <c r="C15174" s="3" t="str">
        <f>IFERROR(__xludf.DUMMYFUNCTION("GOOGLETRANSLATE(B15174,""id"",""en"")"),"['Class', 'Telkomsel', 'bad', 'gini']")</f>
        <v>['Class', 'Telkomsel', 'bad', 'gini']</v>
      </c>
      <c r="D15174" s="3">
        <v>1.0</v>
      </c>
    </row>
    <row r="15175" ht="15.75" customHeight="1">
      <c r="A15175" s="1">
        <v>16143.0</v>
      </c>
      <c r="B15175" s="3" t="s">
        <v>14424</v>
      </c>
      <c r="C15175" s="3" t="str">
        <f>IFERROR(__xludf.DUMMYFUNCTION("GOOGLETRANSLATE(B15175,""id"",""en"")"),"['Telkomsel', 'trouble', 'min', 'network', 'stable', 'quota', 'please', 'explanation']")</f>
        <v>['Telkomsel', 'trouble', 'min', 'network', 'stable', 'quota', 'please', 'explanation']</v>
      </c>
      <c r="D15175" s="3">
        <v>1.0</v>
      </c>
    </row>
    <row r="15176" ht="15.75" customHeight="1">
      <c r="A15176" s="1">
        <v>16144.0</v>
      </c>
      <c r="B15176" s="3" t="s">
        <v>14425</v>
      </c>
      <c r="C15176" s="3" t="str">
        <f>IFERROR(__xludf.DUMMYFUNCTION("GOOGLETRANSLATE(B15176,""id"",""en"")"),"['already', 'package', 'expensive', 'network', 'BURIK', 'card', 'Taik', 'Telkomsel']")</f>
        <v>['already', 'package', 'expensive', 'network', 'BURIK', 'card', 'Taik', 'Telkomsel']</v>
      </c>
      <c r="D15176" s="3">
        <v>1.0</v>
      </c>
    </row>
    <row r="15177" ht="15.75" customHeight="1">
      <c r="A15177" s="1">
        <v>16145.0</v>
      </c>
      <c r="B15177" s="3" t="s">
        <v>14426</v>
      </c>
      <c r="C15177" s="3" t="str">
        <f>IFERROR(__xludf.DUMMYFUNCTION("GOOGLETRANSLATE(B15177,""id"",""en"")"),"['hope', 'gift', 'pulse']")</f>
        <v>['hope', 'gift', 'pulse']</v>
      </c>
      <c r="D15177" s="3">
        <v>4.0</v>
      </c>
    </row>
    <row r="15178" ht="15.75" customHeight="1">
      <c r="A15178" s="1">
        <v>16146.0</v>
      </c>
      <c r="B15178" s="3" t="s">
        <v>14427</v>
      </c>
      <c r="C15178" s="3" t="str">
        <f>IFERROR(__xludf.DUMMYFUNCTION("GOOGLETRANSLATE(B15178,""id"",""en"")"),"['Ndak', 'JLS', 'APK', 'Cook', 'Credit', 'BNYK', 'Tawarin', 'Package', 'Recommendation', 'Cheap', 'Credit', 'Live', ' a little ',' Tawarin ',' recommendation ',' expensive ',' cheap ',' MLH ',' JLS ',' BNGET ',' SALAKHH ',' Benerin ',' Lahh ',' Telkom ']")</f>
        <v>['Ndak', 'JLS', 'APK', 'Cook', 'Credit', 'BNYK', 'Tawarin', 'Package', 'Recommendation', 'Cheap', 'Credit', 'Live', ' a little ',' Tawarin ',' recommendation ',' expensive ',' cheap ',' MLH ',' JLS ',' BNGET ',' SALAKHH ',' Benerin ',' Lahh ',' Telkom ']</v>
      </c>
      <c r="D15178" s="3">
        <v>1.0</v>
      </c>
    </row>
    <row r="15179" ht="15.75" customHeight="1">
      <c r="A15179" s="1">
        <v>16147.0</v>
      </c>
      <c r="B15179" s="3" t="s">
        <v>14428</v>
      </c>
      <c r="C15179" s="3" t="str">
        <f>IFERROR(__xludf.DUMMYFUNCTION("GOOGLETRANSLATE(B15179,""id"",""en"")"),"['Signal', 'smooth', 'Jaya']")</f>
        <v>['Signal', 'smooth', 'Jaya']</v>
      </c>
      <c r="D15179" s="3">
        <v>5.0</v>
      </c>
    </row>
    <row r="15180" ht="15.75" customHeight="1">
      <c r="A15180" s="1">
        <v>16148.0</v>
      </c>
      <c r="B15180" s="3" t="s">
        <v>14429</v>
      </c>
      <c r="C15180" s="3" t="str">
        <f>IFERROR(__xludf.DUMMYFUNCTION("GOOGLETRANSLATE(B15180,""id"",""en"")"),"['Open', 'Telkomsel', 'skg', ""]")</f>
        <v>['Open', 'Telkomsel', 'skg', "]</v>
      </c>
      <c r="D15180" s="3">
        <v>5.0</v>
      </c>
    </row>
    <row r="15181" ht="15.75" customHeight="1">
      <c r="A15181" s="1">
        <v>16149.0</v>
      </c>
      <c r="B15181" s="3" t="s">
        <v>14430</v>
      </c>
      <c r="C15181" s="3" t="str">
        <f>IFERROR(__xludf.DUMMYFUNCTION("GOOGLETRANSLATE(B15181,""id"",""en"")"),"['Afternoon', 'Enter', 'Application', 'Telkomsel', 'All Day', 'Enter', ""]")</f>
        <v>['Afternoon', 'Enter', 'Application', 'Telkomsel', 'All Day', 'Enter', "]</v>
      </c>
      <c r="D15181" s="3">
        <v>4.0</v>
      </c>
    </row>
    <row r="15182" ht="15.75" customHeight="1">
      <c r="A15182" s="1">
        <v>16150.0</v>
      </c>
      <c r="B15182" s="3" t="s">
        <v>14431</v>
      </c>
      <c r="C15182" s="3" t="str">
        <f>IFERROR(__xludf.DUMMYFUNCTION("GOOGLETRANSLATE(B15182,""id"",""en"")"),"['friend', 'buy', 'package', 'price', 'cheap', 'quota', 'to', 'thought', 'yaa', 'honest', 'try', 'buy', ' Package ',' 'Kutuk', 'YOUT', 'Twitter', 'Zoom', 'Dipake', 'Mending', 'Buy', 'Package', 'Mubazir', 'Money', 'Already', 'Try' , 'complaint', 'answer', "&amp;"'Please', 'sorry', 'hehehe', 'sad', 'company', 'plate', 'red', 'sorted out', 'so', 'hope', ' Material ',' evaluation ',' yes', 'lose', 'provider', 'private', '']")</f>
        <v>['friend', 'buy', 'package', 'price', 'cheap', 'quota', 'to', 'thought', 'yaa', 'honest', 'try', 'buy', ' Package ',' 'Kutuk', 'YOUT', 'Twitter', 'Zoom', 'Dipake', 'Mending', 'Buy', 'Package', 'Mubazir', 'Money', 'Already', 'Try' , 'complaint', 'answer', 'Please', 'sorry', 'hehehe', 'sad', 'company', 'plate', 'red', 'sorted out', 'so', 'hope', ' Material ',' evaluation ',' yes', 'lose', 'provider', 'private', '']</v>
      </c>
      <c r="D15182" s="3">
        <v>1.0</v>
      </c>
    </row>
    <row r="15183" ht="15.75" customHeight="1">
      <c r="A15183" s="1">
        <v>16151.0</v>
      </c>
      <c r="B15183" s="3" t="s">
        <v>14432</v>
      </c>
      <c r="C15183" s="3" t="str">
        <f>IFERROR(__xludf.DUMMYFUNCTION("GOOGLETRANSLATE(B15183,""id"",""en"")"),"['price', 'package', 'data', 'internet', 'apk', 'expensive', 'price', 'promo', 'cheap', 'yesterday', 'missing', 'disappointing', ' Wait ',' users', 'Switch', 'card', 'cellphone', 'card', 'disappointing']")</f>
        <v>['price', 'package', 'data', 'internet', 'apk', 'expensive', 'price', 'promo', 'cheap', 'yesterday', 'missing', 'disappointing', ' Wait ',' users', 'Switch', 'card', 'cellphone', 'card', 'disappointing']</v>
      </c>
      <c r="D15183" s="3">
        <v>1.0</v>
      </c>
    </row>
    <row r="15184" ht="15.75" customHeight="1">
      <c r="A15184" s="1">
        <v>16152.0</v>
      </c>
      <c r="B15184" s="3" t="s">
        <v>14433</v>
      </c>
      <c r="C15184" s="3" t="str">
        <f>IFERROR(__xludf.DUMMYFUNCTION("GOOGLETRANSLATE(B15184,""id"",""en"")"),"['difficult', 'enter', 'application']")</f>
        <v>['difficult', 'enter', 'application']</v>
      </c>
      <c r="D15184" s="3">
        <v>2.0</v>
      </c>
    </row>
    <row r="15185" ht="15.75" customHeight="1">
      <c r="A15185" s="1">
        <v>16153.0</v>
      </c>
      <c r="B15185" s="3" t="s">
        <v>14434</v>
      </c>
      <c r="C15185" s="3" t="str">
        <f>IFERROR(__xludf.DUMMYFUNCTION("GOOGLETRANSLATE(B15185,""id"",""en"")"),"['complicated', 'enter', 'confirm', 'difficult', 'application', 'long', 'enter', ""]")</f>
        <v>['complicated', 'enter', 'confirm', 'difficult', 'application', 'long', 'enter', "]</v>
      </c>
      <c r="D15185" s="3">
        <v>1.0</v>
      </c>
    </row>
    <row r="15186" ht="15.75" customHeight="1">
      <c r="A15186" s="1">
        <v>16154.0</v>
      </c>
      <c r="B15186" s="3" t="s">
        <v>14435</v>
      </c>
      <c r="C15186" s="3" t="str">
        <f>IFERROR(__xludf.DUMMYFUNCTION("GOOGLETRANSLATE(B15186,""id"",""en"")"),"['', 'function', 'error', 'kmarin', 'giman', 'nich', 'company', 'plate', 'red']")</f>
        <v>['', 'function', 'error', 'kmarin', 'giman', 'nich', 'company', 'plate', 'red']</v>
      </c>
      <c r="D15186" s="3">
        <v>2.0</v>
      </c>
    </row>
    <row r="15187" ht="15.75" customHeight="1">
      <c r="A15187" s="1">
        <v>16155.0</v>
      </c>
      <c r="B15187" s="3" t="s">
        <v>14436</v>
      </c>
      <c r="C15187" s="3" t="str">
        <f>IFERROR(__xludf.DUMMYFUNCTION("GOOGLETRANSLATE(B15187,""id"",""en"")"),"['update', 'sudh', 'tidk', 'login', ""]")</f>
        <v>['update', 'sudh', 'tidk', 'login', "]</v>
      </c>
      <c r="D15187" s="3">
        <v>2.0</v>
      </c>
    </row>
    <row r="15188" ht="15.75" customHeight="1">
      <c r="A15188" s="1">
        <v>16156.0</v>
      </c>
      <c r="B15188" s="3" t="s">
        <v>14437</v>
      </c>
      <c r="C15188" s="3" t="str">
        <f>IFERROR(__xludf.DUMMYFUNCTION("GOOGLETRANSLATE(B15188,""id"",""en"")"),"['easy', 'process', 'thank', 'love', 'Telkomsel', '']")</f>
        <v>['easy', 'process', 'thank', 'love', 'Telkomsel', '']</v>
      </c>
      <c r="D15188" s="3">
        <v>1.0</v>
      </c>
    </row>
    <row r="15189" ht="15.75" customHeight="1">
      <c r="A15189" s="1">
        <v>16157.0</v>
      </c>
      <c r="B15189" s="3" t="s">
        <v>14438</v>
      </c>
      <c r="C15189" s="3" t="str">
        <f>IFERROR(__xludf.DUMMYFUNCTION("GOOGLETRANSLATE(B15189,""id"",""en"")"),"['Love', 'Bintang', 'Control', 'History', 'Use', 'Data', 'Internet', 'Credit', 'Trimakasih', 'Telkomsel', ""]")</f>
        <v>['Love', 'Bintang', 'Control', 'History', 'Use', 'Data', 'Internet', 'Credit', 'Trimakasih', 'Telkomsel', "]</v>
      </c>
      <c r="D15189" s="3">
        <v>5.0</v>
      </c>
    </row>
    <row r="15190" ht="15.75" customHeight="1">
      <c r="A15190" s="1">
        <v>16158.0</v>
      </c>
      <c r="B15190" s="3" t="s">
        <v>14439</v>
      </c>
      <c r="C15190" s="3" t="str">
        <f>IFERROR(__xludf.DUMMYFUNCTION("GOOGLETRANSLATE(B15190,""id"",""en"")"),"['', 'blank', 'white']")</f>
        <v>['', 'blank', 'white']</v>
      </c>
      <c r="D15190" s="3">
        <v>2.0</v>
      </c>
    </row>
    <row r="15191" ht="15.75" customHeight="1">
      <c r="A15191" s="1">
        <v>16159.0</v>
      </c>
      <c r="B15191" s="3" t="s">
        <v>14440</v>
      </c>
      <c r="C15191" s="3" t="str">
        <f>IFERROR(__xludf.DUMMYFUNCTION("GOOGLETRANSLATE(B15191,""id"",""en"")"),"['', 'Telkomsel', 'open', 'screen', 'white', 'appears', ""]")</f>
        <v>['', 'Telkomsel', 'open', 'screen', 'white', 'appears', "]</v>
      </c>
      <c r="D15191" s="3">
        <v>1.0</v>
      </c>
    </row>
    <row r="15192" ht="15.75" customHeight="1">
      <c r="A15192" s="1">
        <v>16160.0</v>
      </c>
      <c r="B15192" s="3" t="s">
        <v>14441</v>
      </c>
      <c r="C15192" s="3" t="str">
        <f>IFERROR(__xludf.DUMMYFUNCTION("GOOGLETRANSLATE(B15192,""id"",""en"")"),"['App', 'crash', 'opened', 'please', 'repaired', 'submit', 'complaint', ""]")</f>
        <v>['App', 'crash', 'opened', 'please', 'repaired', 'submit', 'complaint', "]</v>
      </c>
      <c r="D15192" s="3">
        <v>2.0</v>
      </c>
    </row>
    <row r="15193" ht="15.75" customHeight="1">
      <c r="A15193" s="1">
        <v>16161.0</v>
      </c>
      <c r="B15193" s="3" t="s">
        <v>14442</v>
      </c>
      <c r="C15193" s="3" t="str">
        <f>IFERROR(__xludf.DUMMYFUNCTION("GOOGLETRANSLATE(B15193,""id"",""en"")"),"['Telkomsel', 'ngeleg', 'ngeleeeg', 'bales', 'chat', 'ngakak', 'wkwkwkwj']")</f>
        <v>['Telkomsel', 'ngeleg', 'ngeleeeg', 'bales', 'chat', 'ngakak', 'wkwkwkwj']</v>
      </c>
      <c r="D15193" s="3">
        <v>1.0</v>
      </c>
    </row>
    <row r="15194" ht="15.75" customHeight="1">
      <c r="A15194" s="1">
        <v>16162.0</v>
      </c>
      <c r="B15194" s="3" t="s">
        <v>14443</v>
      </c>
      <c r="C15194" s="3" t="str">
        <f>IFERROR(__xludf.DUMMYFUNCTION("GOOGLETRANSLATE(B15194,""id"",""en"")"),"['Recommended', 'really', 'user']")</f>
        <v>['Recommended', 'really', 'user']</v>
      </c>
      <c r="D15194" s="3">
        <v>5.0</v>
      </c>
    </row>
    <row r="15195" ht="15.75" customHeight="1">
      <c r="A15195" s="1">
        <v>16163.0</v>
      </c>
      <c r="B15195" s="3" t="s">
        <v>14444</v>
      </c>
      <c r="C15195" s="3" t="str">
        <f>IFERROR(__xludf.DUMMYFUNCTION("GOOGLETRANSLATE(B15195,""id"",""en"")"),"['please', 'fast', 'response', 'pulse', 'gamukun', 'eat', 'development', 'info', 'slow', '']")</f>
        <v>['please', 'fast', 'response', 'pulse', 'gamukun', 'eat', 'development', 'info', 'slow', '']</v>
      </c>
      <c r="D15195" s="3">
        <v>1.0</v>
      </c>
    </row>
    <row r="15196" ht="15.75" customHeight="1">
      <c r="A15196" s="1">
        <v>16164.0</v>
      </c>
      <c r="B15196" s="3" t="s">
        <v>14445</v>
      </c>
      <c r="C15196" s="3" t="str">
        <f>IFERROR(__xludf.DUMMYFUNCTION("GOOGLETRANSLATE(B15196,""id"",""en"")"),"['Sis',' application ',' Telkomsel ',' open ',' already ',' yesterday ',' already ',' apdet ',' open ',' use ',' samsung ',' please ',' BANT ',' Nawarin ',' buy ',' the application ',' picture ',' bleng ']")</f>
        <v>['Sis',' application ',' Telkomsel ',' open ',' already ',' yesterday ',' already ',' apdet ',' open ',' use ',' samsung ',' please ',' BANT ',' Nawarin ',' buy ',' the application ',' picture ',' bleng ']</v>
      </c>
      <c r="D15196" s="3">
        <v>2.0</v>
      </c>
    </row>
    <row r="15197" ht="15.75" customHeight="1">
      <c r="A15197" s="1">
        <v>16165.0</v>
      </c>
      <c r="B15197" s="3" t="s">
        <v>14446</v>
      </c>
      <c r="C15197" s="3" t="str">
        <f>IFERROR(__xludf.DUMMYFUNCTION("GOOGLETRANSLATE(B15197,""id"",""en"")"),"['Telkom', 'signal', 'Ngelag', '']")</f>
        <v>['Telkom', 'signal', 'Ngelag', '']</v>
      </c>
      <c r="D15197" s="3">
        <v>1.0</v>
      </c>
    </row>
    <row r="15198" ht="15.75" customHeight="1">
      <c r="A15198" s="1">
        <v>16166.0</v>
      </c>
      <c r="B15198" s="3" t="s">
        <v>14447</v>
      </c>
      <c r="C15198" s="3" t="str">
        <f>IFERROR(__xludf.DUMMYFUNCTION("GOOGLETRANSLATE(B15198,""id"",""en"")"),"['', 'said', 'Telkomsel', 'quota', 'expensive', 'signal', 'ugly', 'please', 'fix', '']")</f>
        <v>['', 'said', 'Telkomsel', 'quota', 'expensive', 'signal', 'ugly', 'please', 'fix', '']</v>
      </c>
      <c r="D15198" s="3">
        <v>1.0</v>
      </c>
    </row>
    <row r="15199" ht="15.75" customHeight="1">
      <c r="A15199" s="1">
        <v>16167.0</v>
      </c>
      <c r="B15199" s="3" t="s">
        <v>14448</v>
      </c>
      <c r="C15199" s="3" t="str">
        <f>IFERROR(__xludf.DUMMYFUNCTION("GOOGLETRANSLATE(B15199,""id"",""en"")"),"['Please', 'Fix', 'Application', 'Application', 'Opened', 'Display', 'Screen', 'White']")</f>
        <v>['Please', 'Fix', 'Application', 'Application', 'Opened', 'Display', 'Screen', 'White']</v>
      </c>
      <c r="D15199" s="3">
        <v>1.0</v>
      </c>
    </row>
    <row r="15200" ht="15.75" customHeight="1">
      <c r="A15200" s="1">
        <v>16168.0</v>
      </c>
      <c r="B15200" s="3" t="s">
        <v>14449</v>
      </c>
      <c r="C15200" s="3" t="str">
        <f>IFERROR(__xludf.DUMMYFUNCTION("GOOGLETRANSLATE(B15200,""id"",""en"")"),"['afternoon', 'open', 'Telkomsel', 'please', 'help', 'contents',' package ',' monthly ',' direct ',' disn ',' cut ',' pulse ',' TRIMS ']")</f>
        <v>['afternoon', 'open', 'Telkomsel', 'please', 'help', 'contents',' package ',' monthly ',' direct ',' disn ',' cut ',' pulse ',' TRIMS ']</v>
      </c>
      <c r="D15200" s="3">
        <v>2.0</v>
      </c>
    </row>
    <row r="15201" ht="15.75" customHeight="1">
      <c r="A15201" s="1">
        <v>16169.0</v>
      </c>
      <c r="B15201" s="3" t="s">
        <v>14450</v>
      </c>
      <c r="C15201" s="3" t="str">
        <f>IFERROR(__xludf.DUMMYFUNCTION("GOOGLETRANSLATE(B15201,""id"",""en"")"),"['Bgus', 'promo', '']")</f>
        <v>['Bgus', 'promo', '']</v>
      </c>
      <c r="D15201" s="3">
        <v>4.0</v>
      </c>
    </row>
    <row r="15202" ht="15.75" customHeight="1">
      <c r="A15202" s="1">
        <v>16170.0</v>
      </c>
      <c r="B15202" s="3" t="s">
        <v>14451</v>
      </c>
      <c r="C15202" s="3" t="str">
        <f>IFERROR(__xludf.DUMMYFUNCTION("GOOGLETRANSLATE(B15202,""id"",""en"")"),"['Application', 'Ngeblank', 'Mulu', 'Open', 'Hard', 'Bener', 'Ampe', 'Uninstall', 'Install', 'Many', 'BGitu', 'Open', ' ']")</f>
        <v>['Application', 'Ngeblank', 'Mulu', 'Open', 'Hard', 'Bener', 'Ampe', 'Uninstall', 'Install', 'Many', 'BGitu', 'Open', ' ']</v>
      </c>
      <c r="D15202" s="3">
        <v>1.0</v>
      </c>
    </row>
    <row r="15203" ht="15.75" customHeight="1">
      <c r="A15203" s="1">
        <v>16171.0</v>
      </c>
      <c r="B15203" s="3" t="s">
        <v>6621</v>
      </c>
      <c r="C15203" s="3" t="str">
        <f>IFERROR(__xludf.DUMMYFUNCTION("GOOGLETRANSLATE(B15203,""id"",""en"")"),"['really good', '']")</f>
        <v>['really good', '']</v>
      </c>
      <c r="D15203" s="3">
        <v>5.0</v>
      </c>
    </row>
    <row r="15204" ht="15.75" customHeight="1">
      <c r="A15204" s="1">
        <v>16172.0</v>
      </c>
      <c r="B15204" s="3" t="s">
        <v>14452</v>
      </c>
      <c r="C15204" s="3" t="str">
        <f>IFERROR(__xludf.DUMMYFUNCTION("GOOGLETRANSLATE(B15204,""id"",""en"")"),"['', 'APL', 'Open', 'Open']")</f>
        <v>['', 'APL', 'Open', 'Open']</v>
      </c>
      <c r="D15204" s="3">
        <v>1.0</v>
      </c>
    </row>
    <row r="15205" ht="15.75" customHeight="1">
      <c r="A15205" s="1">
        <v>16173.0</v>
      </c>
      <c r="B15205" s="3" t="s">
        <v>14453</v>
      </c>
      <c r="C15205" s="3" t="str">
        <f>IFERROR(__xludf.DUMMYFUNCTION("GOOGLETRANSLATE(B15205,""id"",""en"")"),"['', 'Open', 'Severe']")</f>
        <v>['', 'Open', 'Severe']</v>
      </c>
      <c r="D15205" s="3">
        <v>2.0</v>
      </c>
    </row>
    <row r="15206" ht="15.75" customHeight="1">
      <c r="A15206" s="1">
        <v>16174.0</v>
      </c>
      <c r="B15206" s="3" t="s">
        <v>14454</v>
      </c>
      <c r="C15206" s="3" t="str">
        <f>IFERROR(__xludf.DUMMYFUNCTION("GOOGLETRANSLATE(B15206,""id"",""en"")"),"['Knp', 'application', 'Telkom', 'open', 'please', 'help']")</f>
        <v>['Knp', 'application', 'Telkom', 'open', 'please', 'help']</v>
      </c>
      <c r="D15206" s="3">
        <v>1.0</v>
      </c>
    </row>
    <row r="15207" ht="15.75" customHeight="1">
      <c r="A15207" s="1">
        <v>16176.0</v>
      </c>
      <c r="B15207" s="3" t="s">
        <v>14455</v>
      </c>
      <c r="C15207" s="3" t="str">
        <f>IFERROR(__xludf.DUMMYFUNCTION("GOOGLETRANSLATE(B15207,""id"",""en"")"),"['Hopefully', 'Setian', 'Telkomsel', 'Lucky', 'Winner', 'Exchange', 'Points', 'Lucky', 'Draw', ""]")</f>
        <v>['Hopefully', 'Setian', 'Telkomsel', 'Lucky', 'Winner', 'Exchange', 'Points', 'Lucky', 'Draw', "]</v>
      </c>
      <c r="D15207" s="3">
        <v>5.0</v>
      </c>
    </row>
    <row r="15208" ht="15.75" customHeight="1">
      <c r="A15208" s="1">
        <v>16177.0</v>
      </c>
      <c r="B15208" s="3" t="s">
        <v>14456</v>
      </c>
      <c r="C15208" s="3" t="str">
        <f>IFERROR(__xludf.DUMMYFUNCTION("GOOGLETRANSLATE(B15208,""id"",""en"")"),"['Telkom', 'Please', 'Donk', 'Benerin', 'APL', 'Strange', 'Udh', 'Hard', 'Open', 'Buy', 'Package', 'Kantel', ' Package ',' Please ',' Benerin ',' whooii ', ""]")</f>
        <v>['Telkom', 'Please', 'Donk', 'Benerin', 'APL', 'Strange', 'Udh', 'Hard', 'Open', 'Buy', 'Package', 'Kantel', ' Package ',' Please ',' Benerin ',' whooii ', "]</v>
      </c>
      <c r="D15208" s="3">
        <v>1.0</v>
      </c>
    </row>
    <row r="15209" ht="15.75" customHeight="1">
      <c r="A15209" s="1">
        <v>16178.0</v>
      </c>
      <c r="B15209" s="3" t="s">
        <v>14457</v>
      </c>
      <c r="C15209" s="3" t="str">
        <f>IFERROR(__xludf.DUMMYFUNCTION("GOOGLETRANSLATE(B15209,""id"",""en"")"),"['Please', 'network', 'repaired', '']")</f>
        <v>['Please', 'network', 'repaired', '']</v>
      </c>
      <c r="D15209" s="3">
        <v>1.0</v>
      </c>
    </row>
    <row r="15210" ht="15.75" customHeight="1">
      <c r="A15210" s="1">
        <v>16179.0</v>
      </c>
      <c r="B15210" s="3" t="s">
        <v>14458</v>
      </c>
      <c r="C15210" s="3" t="str">
        <f>IFERROR(__xludf.DUMMYFUNCTION("GOOGLETRANSLATE(B15210,""id"",""en"")"),"['Difficult', 'enter', 'Ribet']")</f>
        <v>['Difficult', 'enter', 'Ribet']</v>
      </c>
      <c r="D15210" s="3">
        <v>1.0</v>
      </c>
    </row>
    <row r="15211" ht="15.75" customHeight="1">
      <c r="A15211" s="1">
        <v>16180.0</v>
      </c>
      <c r="B15211" s="3" t="s">
        <v>14459</v>
      </c>
      <c r="C15211" s="3" t="str">
        <f>IFERROR(__xludf.DUMMYFUNCTION("GOOGLETRANSLATE(B15211,""id"",""en"")"),"['opened', 'shy', 'shame', 'company', 'technology', 'erek', 'erek', 'base', 'emang', 'BUMN', 'try', 'private', ' advanced']")</f>
        <v>['opened', 'shy', 'shame', 'company', 'technology', 'erek', 'erek', 'base', 'emang', 'BUMN', 'try', 'private', ' advanced']</v>
      </c>
      <c r="D15211" s="3">
        <v>1.0</v>
      </c>
    </row>
    <row r="15212" ht="15.75" customHeight="1">
      <c r="A15212" s="1">
        <v>16181.0</v>
      </c>
      <c r="B15212" s="3" t="s">
        <v>14460</v>
      </c>
      <c r="C15212" s="3" t="str">
        <f>IFERROR(__xludf.DUMMYFUNCTION("GOOGLETRANSLATE(B15212,""id"",""en"")"),"['Ouch', 'confusing', 'sudh', 'buy', 'pulse', 'app', 'open', 'buy', 'package', 'tlg', 'kasi', 'info', ' why']")</f>
        <v>['Ouch', 'confusing', 'sudh', 'buy', 'pulse', 'app', 'open', 'buy', 'package', 'tlg', 'kasi', 'info', ' why']</v>
      </c>
      <c r="D15212" s="3">
        <v>2.0</v>
      </c>
    </row>
    <row r="15213" ht="15.75" customHeight="1">
      <c r="A15213" s="1">
        <v>16182.0</v>
      </c>
      <c r="B15213" s="3" t="s">
        <v>3317</v>
      </c>
      <c r="C15213" s="3" t="str">
        <f>IFERROR(__xludf.DUMMYFUNCTION("GOOGLETRANSLATE(B15213,""id"",""en"")"),"['Difficult', 'Open']")</f>
        <v>['Difficult', 'Open']</v>
      </c>
      <c r="D15213" s="3">
        <v>2.0</v>
      </c>
    </row>
    <row r="15214" ht="15.75" customHeight="1">
      <c r="A15214" s="1">
        <v>16183.0</v>
      </c>
      <c r="B15214" s="3" t="s">
        <v>14461</v>
      </c>
      <c r="C15214" s="3" t="str">
        <f>IFERROR(__xludf.DUMMYFUNCTION("GOOGLETRANSLATE(B15214,""id"",""en"")"),"['woi', 'signal', 'Please', 'repaired', 'Region', 'Lampung']")</f>
        <v>['woi', 'signal', 'Please', 'repaired', 'Region', 'Lampung']</v>
      </c>
      <c r="D15214" s="3">
        <v>1.0</v>
      </c>
    </row>
    <row r="15215" ht="15.75" customHeight="1">
      <c r="A15215" s="1">
        <v>16184.0</v>
      </c>
      <c r="B15215" s="3" t="s">
        <v>14462</v>
      </c>
      <c r="C15215" s="3" t="str">
        <f>IFERROR(__xludf.DUMMYFUNCTION("GOOGLETRANSLATE(B15215,""id"",""en"")"),"['already', 'good', 'trimakasih']")</f>
        <v>['already', 'good', 'trimakasih']</v>
      </c>
      <c r="D15215" s="3">
        <v>5.0</v>
      </c>
    </row>
    <row r="15216" ht="15.75" customHeight="1">
      <c r="A15216" s="1">
        <v>16185.0</v>
      </c>
      <c r="B15216" s="3" t="s">
        <v>14463</v>
      </c>
      <c r="C15216" s="3" t="str">
        <f>IFERROR(__xludf.DUMMYFUNCTION("GOOGLETRANSLATE(B15216,""id"",""en"")"),"['good', 'just', 'user', 'loop', 'loopers', 'expensive', 'quota', 'internet', 'card', 'Telkomsel', 'cheap']")</f>
        <v>['good', 'just', 'user', 'loop', 'loopers', 'expensive', 'quota', 'internet', 'card', 'Telkomsel', 'cheap']</v>
      </c>
      <c r="D15216" s="3">
        <v>5.0</v>
      </c>
    </row>
    <row r="15217" ht="15.75" customHeight="1">
      <c r="A15217" s="1">
        <v>16186.0</v>
      </c>
      <c r="B15217" s="3" t="s">
        <v>14464</v>
      </c>
      <c r="C15217" s="3" t="str">
        <f>IFERROR(__xludf.DUMMYFUNCTION("GOOGLETRANSLATE(B15217,""id"",""en"")"),"['Increase', 'Thank "",' Love ',' Activation ',' Card ',' Hello ',""]")</f>
        <v>['Increase', 'Thank ",' Love ',' Activation ',' Card ',' Hello ',"]</v>
      </c>
      <c r="D15217" s="3">
        <v>5.0</v>
      </c>
    </row>
    <row r="15218" ht="15.75" customHeight="1">
      <c r="A15218" s="1">
        <v>16187.0</v>
      </c>
      <c r="B15218" s="3" t="s">
        <v>14465</v>
      </c>
      <c r="C15218" s="3" t="str">
        <f>IFERROR(__xludf.DUMMYFUNCTION("GOOGLETRANSLATE(B15218,""id"",""en"")"),"['Thank you', 'application', 'business', 'pulse', 'package', 'data', 'smooth', 'just', 'promo', 'aggk', 'expensive', ""]")</f>
        <v>['Thank you', 'application', 'business', 'pulse', 'package', 'data', 'smooth', 'just', 'promo', 'aggk', 'expensive', "]</v>
      </c>
      <c r="D15218" s="3">
        <v>5.0</v>
      </c>
    </row>
    <row r="15219" ht="15.75" customHeight="1">
      <c r="A15219" s="1">
        <v>16188.0</v>
      </c>
      <c r="B15219" s="3" t="s">
        <v>14466</v>
      </c>
      <c r="C15219" s="3" t="str">
        <f>IFERROR(__xludf.DUMMYFUNCTION("GOOGLETRANSLATE(B15219,""id"",""en"")"),"['Bonos', 'Package', 'Jngan', 'expensive', 'expensive']")</f>
        <v>['Bonos', 'Package', 'Jngan', 'expensive', 'expensive']</v>
      </c>
      <c r="D15219" s="3">
        <v>3.0</v>
      </c>
    </row>
    <row r="15220" ht="15.75" customHeight="1">
      <c r="A15220" s="1">
        <v>16189.0</v>
      </c>
      <c r="B15220" s="3" t="s">
        <v>14467</v>
      </c>
      <c r="C15220" s="3" t="str">
        <f>IFERROR(__xludf.DUMMYFUNCTION("GOOGLETRANSLATE(B15220,""id"",""en"")"),"['Gunain', 'Telkomsel', 'How', 'Credit', 'Lost', 'Sikit', 'Sudh', 'Check', 'Subscribe', 'NSP', 'Pakaet', 'Data', ' Package ',' Call ',' Credit ',' Lost ',' ']")</f>
        <v>['Gunain', 'Telkomsel', 'How', 'Credit', 'Lost', 'Sikit', 'Sudh', 'Check', 'Subscribe', 'NSP', 'Pakaet', 'Data', ' Package ',' Call ',' Credit ',' Lost ',' ']</v>
      </c>
      <c r="D15220" s="3">
        <v>3.0</v>
      </c>
    </row>
    <row r="15221" ht="15.75" customHeight="1">
      <c r="A15221" s="1">
        <v>16190.0</v>
      </c>
      <c r="B15221" s="3" t="s">
        <v>14468</v>
      </c>
      <c r="C15221" s="3" t="str">
        <f>IFERROR(__xludf.DUMMYFUNCTION("GOOGLETRANSLATE(B15221,""id"",""en"")"),"['Please', 'Application', 'Open', 'Update', 'Enter', 'Seklai']")</f>
        <v>['Please', 'Application', 'Open', 'Update', 'Enter', 'Seklai']</v>
      </c>
      <c r="D15221" s="3">
        <v>4.0</v>
      </c>
    </row>
    <row r="15222" ht="15.75" customHeight="1">
      <c r="A15222" s="1">
        <v>16191.0</v>
      </c>
      <c r="B15222" s="3" t="s">
        <v>14469</v>
      </c>
      <c r="C15222" s="3" t="str">
        <f>IFERROR(__xludf.DUMMYFUNCTION("GOOGLETRANSLATE(B15222,""id"",""en"")"),"['Telkomsel', 'Point', 'Useful', 'World']")</f>
        <v>['Telkomsel', 'Point', 'Useful', 'World']</v>
      </c>
      <c r="D15222" s="3">
        <v>1.0</v>
      </c>
    </row>
    <row r="15223" ht="15.75" customHeight="1">
      <c r="A15223" s="1">
        <v>16192.0</v>
      </c>
      <c r="B15223" s="3" t="s">
        <v>14470</v>
      </c>
      <c r="C15223" s="3" t="str">
        <f>IFERROR(__xludf.DUMMYFUNCTION("GOOGLETRANSLATE(B15223,""id"",""en"")"),"['price']")</f>
        <v>['price']</v>
      </c>
      <c r="D15223" s="3">
        <v>1.0</v>
      </c>
    </row>
    <row r="15224" ht="15.75" customHeight="1">
      <c r="A15224" s="1">
        <v>16193.0</v>
      </c>
      <c r="B15224" s="3" t="s">
        <v>14471</v>
      </c>
      <c r="C15224" s="3" t="str">
        <f>IFERROR(__xludf.DUMMYFUNCTION("GOOGLETRANSLATE(B15224,""id"",""en"")"),"['Telkomsel', 'Bener', 'Bener', 'good', 'really', 'network', 'ugly', 'area', 'until', 'read', 'fast', 'pulib', ' Telkomsel ']")</f>
        <v>['Telkomsel', 'Bener', 'Bener', 'good', 'really', 'network', 'ugly', 'area', 'until', 'read', 'fast', 'pulib', ' Telkomsel ']</v>
      </c>
      <c r="D15224" s="3">
        <v>1.0</v>
      </c>
    </row>
    <row r="15225" ht="15.75" customHeight="1">
      <c r="A15225" s="1">
        <v>16194.0</v>
      </c>
      <c r="B15225" s="3" t="s">
        <v>14472</v>
      </c>
      <c r="C15225" s="3" t="str">
        <f>IFERROR(__xludf.DUMMYFUNCTION("GOOGLETRANSLATE(B15225,""id"",""en"")"),"['No "",' opened ',' Woy ',' mean ',' DHP ',' OPPO ',' Samsung ',' knp ',' no ',' Different ',' In ',' Select ',' Love ',' racist ', ""]")</f>
        <v>['No ",' opened ',' Woy ',' mean ',' DHP ',' OPPO ',' Samsung ',' knp ',' no ',' Different ',' In ',' Select ',' Love ',' racist ', "]</v>
      </c>
      <c r="D15225" s="3">
        <v>1.0</v>
      </c>
    </row>
    <row r="15226" ht="15.75" customHeight="1">
      <c r="A15226" s="1">
        <v>16195.0</v>
      </c>
      <c r="B15226" s="3" t="s">
        <v>14473</v>
      </c>
      <c r="C15226" s="3" t="str">
        <f>IFERROR(__xludf.DUMMYFUNCTION("GOOGLETRANSLATE(B15226,""id"",""en"")"),"['Help', 'bngt']")</f>
        <v>['Help', 'bngt']</v>
      </c>
      <c r="D15226" s="3">
        <v>5.0</v>
      </c>
    </row>
    <row r="15227" ht="15.75" customHeight="1">
      <c r="A15227" s="1">
        <v>16196.0</v>
      </c>
      <c r="B15227" s="3" t="s">
        <v>14474</v>
      </c>
      <c r="C15227" s="3" t="str">
        <f>IFERROR(__xludf.DUMMYFUNCTION("GOOGLETRANSLATE(B15227,""id"",""en"")"),"['Abis', 'contents', 'pulse', 'then', 'no', 'package', 'data', 'no', 'balance', 'pulses', 'abis']")</f>
        <v>['Abis', 'contents', 'pulse', 'then', 'no', 'package', 'data', 'no', 'balance', 'pulses', 'abis']</v>
      </c>
      <c r="D15227" s="3">
        <v>2.0</v>
      </c>
    </row>
    <row r="15228" ht="15.75" customHeight="1">
      <c r="A15228" s="1">
        <v>16197.0</v>
      </c>
      <c r="B15228" s="3" t="s">
        <v>14475</v>
      </c>
      <c r="C15228" s="3" t="str">
        <f>IFERROR(__xludf.DUMMYFUNCTION("GOOGLETRANSLATE(B15228,""id"",""en"")"),"['Opened', 'Samsung']")</f>
        <v>['Opened', 'Samsung']</v>
      </c>
      <c r="D15228" s="3">
        <v>1.0</v>
      </c>
    </row>
    <row r="15229" ht="15.75" customHeight="1">
      <c r="A15229" s="1">
        <v>16198.0</v>
      </c>
      <c r="B15229" s="3" t="s">
        <v>14476</v>
      </c>
      <c r="C15229" s="3" t="str">
        <f>IFERROR(__xludf.DUMMYFUNCTION("GOOGLETRANSLATE(B15229,""id"",""en"")"),"['The application', 'difficult', 'login', 'plus', 'network', 'lag', 'bget', 'padah', 'price', 'expensive', 'card', ""]")</f>
        <v>['The application', 'difficult', 'login', 'plus', 'network', 'lag', 'bget', 'padah', 'price', 'expensive', 'card', "]</v>
      </c>
      <c r="D15229" s="3">
        <v>2.0</v>
      </c>
    </row>
    <row r="15230" ht="15.75" customHeight="1">
      <c r="A15230" s="1">
        <v>16199.0</v>
      </c>
      <c r="B15230" s="3" t="s">
        <v>14477</v>
      </c>
      <c r="C15230" s="3" t="str">
        <f>IFERROR(__xludf.DUMMYFUNCTION("GOOGLETRANSLATE(B15230,""id"",""en"")"),"['upgraded', 'right', 'opened', 'blank', 'white', 'opened', ""]")</f>
        <v>['upgraded', 'right', 'opened', 'blank', 'white', 'opened', "]</v>
      </c>
      <c r="D15230" s="3">
        <v>1.0</v>
      </c>
    </row>
    <row r="15231" ht="15.75" customHeight="1">
      <c r="A15231" s="1">
        <v>16200.0</v>
      </c>
      <c r="B15231" s="3" t="s">
        <v>14478</v>
      </c>
      <c r="C15231" s="3" t="str">
        <f>IFERROR(__xludf.DUMMYFUNCTION("GOOGLETRANSLATE(B15231,""id"",""en"")"),"['update', 'opened', 'aka', 'stuck', 'Please', 'repaired', 'optimal', 'rating', 'thank', 'love']")</f>
        <v>['update', 'opened', 'aka', 'stuck', 'Please', 'repaired', 'optimal', 'rating', 'thank', 'love']</v>
      </c>
      <c r="D15231" s="3">
        <v>1.0</v>
      </c>
    </row>
    <row r="15232" ht="15.75" customHeight="1">
      <c r="A15232" s="1">
        <v>16201.0</v>
      </c>
      <c r="B15232" s="3" t="s">
        <v>14479</v>
      </c>
      <c r="C15232" s="3" t="str">
        <f>IFERROR(__xludf.DUMMYFUNCTION("GOOGLETRANSLATE(B15232,""id"",""en"")"),"['Open', 'Application', 'Darling', 'Bangett']")</f>
        <v>['Open', 'Application', 'Darling', 'Bangett']</v>
      </c>
      <c r="D15232" s="3">
        <v>2.0</v>
      </c>
    </row>
    <row r="15233" ht="15.75" customHeight="1">
      <c r="A15233" s="1">
        <v>16202.0</v>
      </c>
      <c r="B15233" s="3" t="s">
        <v>14480</v>
      </c>
      <c r="C15233" s="3" t="str">
        <f>IFERROR(__xludf.DUMMYFUNCTION("GOOGLETRANSLATE(B15233,""id"",""en"")"),"['Synity', 'ugly', 'Mulu']")</f>
        <v>['Synity', 'ugly', 'Mulu']</v>
      </c>
      <c r="D15233" s="3">
        <v>1.0</v>
      </c>
    </row>
    <row r="15234" ht="15.75" customHeight="1">
      <c r="A15234" s="1">
        <v>16203.0</v>
      </c>
      <c r="B15234" s="3" t="s">
        <v>14481</v>
      </c>
      <c r="C15234" s="3" t="str">
        <f>IFERROR(__xludf.DUMMYFUNCTION("GOOGLETRANSLATE(B15234,""id"",""en"")"),"['APK', 'good', 'times', 'bah']")</f>
        <v>['APK', 'good', 'times', 'bah']</v>
      </c>
      <c r="D15234" s="3">
        <v>5.0</v>
      </c>
    </row>
    <row r="15235" ht="15.75" customHeight="1">
      <c r="A15235" s="1">
        <v>16204.0</v>
      </c>
      <c r="B15235" s="3" t="s">
        <v>11503</v>
      </c>
      <c r="C15235" s="3" t="str">
        <f>IFERROR(__xludf.DUMMYFUNCTION("GOOGLETRANSLATE(B15235,""id"",""en"")"),"['Telkomsel', 'Open', '']")</f>
        <v>['Telkomsel', 'Open', '']</v>
      </c>
      <c r="D15235" s="3">
        <v>3.0</v>
      </c>
    </row>
    <row r="15236" ht="15.75" customHeight="1">
      <c r="A15236" s="1">
        <v>16205.0</v>
      </c>
      <c r="B15236" s="3" t="s">
        <v>14482</v>
      </c>
      <c r="C15236" s="3" t="str">
        <f>IFERROR(__xludf.DUMMYFUNCTION("GOOGLETRANSLATE(B15236,""id"",""en"")"),"['Telkomsel', 'open', 'update', 'Please', 'help', 'enter', 'love', 'star', ""]")</f>
        <v>['Telkomsel', 'open', 'update', 'Please', 'help', 'enter', 'love', 'star', "]</v>
      </c>
      <c r="D15236" s="3">
        <v>1.0</v>
      </c>
    </row>
    <row r="15237" ht="15.75" customHeight="1">
      <c r="A15237" s="1">
        <v>16206.0</v>
      </c>
      <c r="B15237" s="3" t="s">
        <v>14483</v>
      </c>
      <c r="C15237" s="3" t="str">
        <f>IFERROR(__xludf.DUMMYFUNCTION("GOOGLETRANSLATE(B15237,""id"",""en"")"),"['I mean', 'koq', 'pulse', 'cut', 'thousand', 'rupiah', 'please', '']")</f>
        <v>['I mean', 'koq', 'pulse', 'cut', 'thousand', 'rupiah', 'please', '']</v>
      </c>
      <c r="D15237" s="3">
        <v>1.0</v>
      </c>
    </row>
    <row r="15238" ht="15.75" customHeight="1">
      <c r="A15238" s="1">
        <v>16207.0</v>
      </c>
      <c r="B15238" s="3" t="s">
        <v>14484</v>
      </c>
      <c r="C15238" s="3" t="str">
        <f>IFERROR(__xludf.DUMMYFUNCTION("GOOGLETRANSLATE(B15238,""id"",""en"")"),"['A ',' Telkomsel ',' Sunday ',' Open ',' ']")</f>
        <v>['A ',' Telkomsel ',' Sunday ',' Open ',' ']</v>
      </c>
      <c r="D15238" s="3">
        <v>3.0</v>
      </c>
    </row>
    <row r="15239" ht="15.75" customHeight="1">
      <c r="A15239" s="1">
        <v>16208.0</v>
      </c>
      <c r="B15239" s="3" t="s">
        <v>14485</v>
      </c>
      <c r="C15239" s="3" t="str">
        <f>IFERROR(__xludf.DUMMYFUNCTION("GOOGLETRANSLATE(B15239,""id"",""en"")"),"['Out', 'update', 'open', 'bngt']")</f>
        <v>['Out', 'update', 'open', 'bngt']</v>
      </c>
      <c r="D15239" s="3">
        <v>1.0</v>
      </c>
    </row>
    <row r="15240" ht="15.75" customHeight="1">
      <c r="A15240" s="1">
        <v>16209.0</v>
      </c>
      <c r="B15240" s="3" t="s">
        <v>14486</v>
      </c>
      <c r="C15240" s="3" t="str">
        <f>IFERROR(__xludf.DUMMYFUNCTION("GOOGLETRANSLATE(B15240,""id"",""en"")"),"['Sya', 'Try', 'Install', 'reset', 'ttap', 'tdak', 'open', ""]")</f>
        <v>['Sya', 'Try', 'Install', 'reset', 'ttap', 'tdak', 'open', "]</v>
      </c>
      <c r="D15240" s="3">
        <v>1.0</v>
      </c>
    </row>
    <row r="15241" ht="15.75" customHeight="1">
      <c r="A15241" s="1">
        <v>16210.0</v>
      </c>
      <c r="B15241" s="3" t="s">
        <v>14487</v>
      </c>
      <c r="C15241" s="3" t="str">
        <f>IFERROR(__xludf.DUMMYFUNCTION("GOOGLETRANSLATE(B15241,""id"",""en"")"),"['price', 'package', 'internet', 'expensive']")</f>
        <v>['price', 'package', 'internet', 'expensive']</v>
      </c>
      <c r="D15241" s="3">
        <v>1.0</v>
      </c>
    </row>
    <row r="15242" ht="15.75" customHeight="1">
      <c r="A15242" s="1">
        <v>16211.0</v>
      </c>
      <c r="B15242" s="3" t="s">
        <v>14488</v>
      </c>
      <c r="C15242" s="3" t="str">
        <f>IFERROR(__xludf.DUMMYFUNCTION("GOOGLETRANSLATE(B15242,""id"",""en"")"),"['Please', 'Network', 'Main', 'Game', 'Nge', 'lag', 'Mulu']")</f>
        <v>['Please', 'Network', 'Main', 'Game', 'Nge', 'lag', 'Mulu']</v>
      </c>
      <c r="D15242" s="3">
        <v>1.0</v>
      </c>
    </row>
    <row r="15243" ht="15.75" customHeight="1">
      <c r="A15243" s="1">
        <v>16212.0</v>
      </c>
      <c r="B15243" s="3" t="s">
        <v>14489</v>
      </c>
      <c r="C15243" s="3" t="str">
        <f>IFERROR(__xludf.DUMMYFUNCTION("GOOGLETRANSLATE(B15243,""id"",""en"")"),"['Application', 'Telkomsel', 'Open', 'Yesterday', 'enter', 'buy', 'quota', 'Telkomsel', ""]")</f>
        <v>['Application', 'Telkomsel', 'Open', 'Yesterday', 'enter', 'buy', 'quota', 'Telkomsel', "]</v>
      </c>
      <c r="D15243" s="3">
        <v>5.0</v>
      </c>
    </row>
    <row r="15244" ht="15.75" customHeight="1">
      <c r="A15244" s="1">
        <v>16213.0</v>
      </c>
      <c r="B15244" s="3" t="s">
        <v>14490</v>
      </c>
      <c r="C15244" s="3" t="str">
        <f>IFERROR(__xludf.DUMMYFUNCTION("GOOGLETRANSLATE(B15244,""id"",""en"")"),"['', 'good', 'help']")</f>
        <v>['', 'good', 'help']</v>
      </c>
      <c r="D15244" s="3">
        <v>5.0</v>
      </c>
    </row>
    <row r="15245" ht="15.75" customHeight="1">
      <c r="A15245" s="1">
        <v>16214.0</v>
      </c>
      <c r="B15245" s="3" t="s">
        <v>14491</v>
      </c>
      <c r="C15245" s="3" t="str">
        <f>IFERROR(__xludf.DUMMYFUNCTION("GOOGLETRANSLATE(B15245,""id"",""en"")"),"['Credit', 'Reduced', 'Telkomsel', 'Gajelas', 'Telkomsel', 'UDH', 'KNP', 'Credit', 'Reduced', 'Disappointed', ""]")</f>
        <v>['Credit', 'Reduced', 'Telkomsel', 'Gajelas', 'Telkomsel', 'UDH', 'KNP', 'Credit', 'Reduced', 'Disappointed', "]</v>
      </c>
      <c r="D15245" s="3">
        <v>1.0</v>
      </c>
    </row>
    <row r="15246" ht="15.75" customHeight="1">
      <c r="A15246" s="1">
        <v>16215.0</v>
      </c>
      <c r="B15246" s="3" t="s">
        <v>14492</v>
      </c>
      <c r="C15246" s="3" t="str">
        <f>IFERROR(__xludf.DUMMYFUNCTION("GOOGLETRANSLATE(B15246,""id"",""en"")"),"['Quality', 'Network', 'ugly', 'network', 'maximum', 'function', 'Telkomsel', 'miss', 'Telkomsel', 'igne', ""]")</f>
        <v>['Quality', 'Network', 'ugly', 'network', 'maximum', 'function', 'Telkomsel', 'miss', 'Telkomsel', 'igne', "]</v>
      </c>
      <c r="D15246" s="3">
        <v>2.0</v>
      </c>
    </row>
    <row r="15247" ht="15.75" customHeight="1">
      <c r="A15247" s="1">
        <v>16216.0</v>
      </c>
      <c r="B15247" s="3" t="s">
        <v>14493</v>
      </c>
      <c r="C15247" s="3" t="str">
        <f>IFERROR(__xludf.DUMMYFUNCTION("GOOGLETRANSLATE(B15247,""id"",""en"")"),"['NGK', 'entered', 'the application', 'Saaat', 'cave', 'masuak', 'what']")</f>
        <v>['NGK', 'entered', 'the application', 'Saaat', 'cave', 'masuak', 'what']</v>
      </c>
      <c r="D15247" s="3">
        <v>1.0</v>
      </c>
    </row>
    <row r="15248" ht="15.75" customHeight="1">
      <c r="A15248" s="1">
        <v>16218.0</v>
      </c>
      <c r="B15248" s="3" t="s">
        <v>14494</v>
      </c>
      <c r="C15248" s="3" t="str">
        <f>IFERROR(__xludf.DUMMYFUNCTION("GOOGLETRANSLATE(B15248,""id"",""en"")"),"['woi', 'times', 'play', 'ngeleg']")</f>
        <v>['woi', 'times', 'play', 'ngeleg']</v>
      </c>
      <c r="D15248" s="3">
        <v>1.0</v>
      </c>
    </row>
    <row r="15249" ht="15.75" customHeight="1">
      <c r="A15249" s="1">
        <v>16219.0</v>
      </c>
      <c r="B15249" s="3" t="s">
        <v>14495</v>
      </c>
      <c r="C15249" s="3" t="str">
        <f>IFERROR(__xludf.DUMMYFUNCTION("GOOGLETRANSLATE(B15249,""id"",""en"")"),"['easy', 'fast', 'apps', 'expandable', 'access', 'quota', 'data', 'offline', '']")</f>
        <v>['easy', 'fast', 'apps', 'expandable', 'access', 'quota', 'data', 'offline', '']</v>
      </c>
      <c r="D15249" s="3">
        <v>5.0</v>
      </c>
    </row>
    <row r="15250" ht="15.75" customHeight="1">
      <c r="A15250" s="1">
        <v>16220.0</v>
      </c>
      <c r="B15250" s="3" t="s">
        <v>14496</v>
      </c>
      <c r="C15250" s="3" t="str">
        <f>IFERROR(__xludf.DUMMYFUNCTION("GOOGLETRANSLATE(B15250,""id"",""en"")"),"['Star', 'application', 'open', 'updaye', 'version', 'newest']")</f>
        <v>['Star', 'application', 'open', 'updaye', 'version', 'newest']</v>
      </c>
      <c r="D15250" s="3">
        <v>1.0</v>
      </c>
    </row>
    <row r="15251" ht="15.75" customHeight="1">
      <c r="A15251" s="1">
        <v>16221.0</v>
      </c>
      <c r="B15251" s="3" t="s">
        <v>14497</v>
      </c>
      <c r="C15251" s="3" t="str">
        <f>IFERROR(__xludf.DUMMYFUNCTION("GOOGLETRANSLATE(B15251,""id"",""en"")"),"['Application', 'open', 'yes', 'busting', 'please', 'help', 'kak']")</f>
        <v>['Application', 'open', 'yes', 'busting', 'please', 'help', 'kak']</v>
      </c>
      <c r="D15251" s="3">
        <v>1.0</v>
      </c>
    </row>
    <row r="15252" ht="15.75" customHeight="1">
      <c r="A15252" s="1">
        <v>16222.0</v>
      </c>
      <c r="B15252" s="3" t="s">
        <v>14498</v>
      </c>
      <c r="C15252" s="3" t="str">
        <f>IFERROR(__xludf.DUMMYFUNCTION("GOOGLETRANSLATE(B15252,""id"",""en"")"),"['Knp', 'enter', 'application']")</f>
        <v>['Knp', 'enter', 'application']</v>
      </c>
      <c r="D15252" s="3">
        <v>2.0</v>
      </c>
    </row>
    <row r="15253" ht="15.75" customHeight="1">
      <c r="A15253" s="1">
        <v>16223.0</v>
      </c>
      <c r="B15253" s="3" t="s">
        <v>14499</v>
      </c>
      <c r="C15253" s="3" t="str">
        <f>IFERROR(__xludf.DUMMYFUNCTION("GOOGLETRANSLATE(B15253,""id"",""en"")"),"['', 'Memory', 'old school', 'Telkomsel', 'application', 'opened', '']")</f>
        <v>['', 'Memory', 'old school', 'Telkomsel', 'application', 'opened', '']</v>
      </c>
      <c r="D15253" s="3">
        <v>1.0</v>
      </c>
    </row>
    <row r="15254" ht="15.75" customHeight="1">
      <c r="A15254" s="1">
        <v>16224.0</v>
      </c>
      <c r="B15254" s="3" t="s">
        <v>14500</v>
      </c>
      <c r="C15254" s="3" t="str">
        <f>IFERROR(__xludf.DUMMYFUNCTION("GOOGLETRANSLATE(B15254,""id"",""en"")"),"['Telkomsel', 'ilang', 'Network', 'right', 'War']")</f>
        <v>['Telkomsel', 'ilang', 'Network', 'right', 'War']</v>
      </c>
      <c r="D15254" s="3">
        <v>1.0</v>
      </c>
    </row>
    <row r="15255" ht="15.75" customHeight="1">
      <c r="A15255" s="1">
        <v>16225.0</v>
      </c>
      <c r="B15255" s="3" t="s">
        <v>14501</v>
      </c>
      <c r="C15255" s="3" t="str">
        <f>IFERROR(__xludf.DUMMYFUNCTION("GOOGLETRANSLATE(B15255,""id"",""en"")"),"['Application', 'Teremot', 'World', 'Please', 'Action', 'Continue', 'Login', 'Difficult', 'Very', ""]")</f>
        <v>['Application', 'Teremot', 'World', 'Please', 'Action', 'Continue', 'Login', 'Difficult', 'Very', "]</v>
      </c>
      <c r="D15255" s="3">
        <v>1.0</v>
      </c>
    </row>
    <row r="15256" ht="15.75" customHeight="1">
      <c r="A15256" s="1">
        <v>16226.0</v>
      </c>
      <c r="B15256" s="3" t="s">
        <v>14502</v>
      </c>
      <c r="C15256" s="3" t="str">
        <f>IFERROR(__xludf.DUMMYFUNCTION("GOOGLETRANSLATE(B15256,""id"",""en"")"),"['down', 'price', 'package']")</f>
        <v>['down', 'price', 'package']</v>
      </c>
      <c r="D15256" s="3">
        <v>3.0</v>
      </c>
    </row>
    <row r="15257" ht="15.75" customHeight="1">
      <c r="A15257" s="1">
        <v>16227.0</v>
      </c>
      <c r="B15257" s="3" t="s">
        <v>14503</v>
      </c>
      <c r="C15257" s="3" t="str">
        <f>IFERROR(__xludf.DUMMYFUNCTION("GOOGLETRANSLATE(B15257,""id"",""en"")"),"['Application', 'Telkomsel', 'HBS', 'Update', 'Open', '']")</f>
        <v>['Application', 'Telkomsel', 'HBS', 'Update', 'Open', '']</v>
      </c>
      <c r="D15257" s="3">
        <v>5.0</v>
      </c>
    </row>
    <row r="15258" ht="15.75" customHeight="1">
      <c r="A15258" s="1">
        <v>16228.0</v>
      </c>
      <c r="B15258" s="3" t="s">
        <v>14504</v>
      </c>
      <c r="C15258" s="3" t="str">
        <f>IFERROR(__xludf.DUMMYFUNCTION("GOOGLETRANSLATE(B15258,""id"",""en"")"),"['users',' Telkomsel ',' disappointed ',' Telkomsel ',' price ',' expensive ',' price ',' fast ',' increases', 'example', 'buy', 'package', ' Price ',' RB ',' RB ',' Mudian ',' Rb ',' Price ',' Fast ',' Constraints', 'Signal', 'Sometimes',' Error ',' Plea"&amp;"se ',' Fix ' , 'Region', 'remote', 'hope', 'price', 'package', 'Telkomsel', 'cheap', 'in the future', '']")</f>
        <v>['users',' Telkomsel ',' disappointed ',' Telkomsel ',' price ',' expensive ',' price ',' fast ',' increases', 'example', 'buy', 'package', ' Price ',' RB ',' RB ',' Mudian ',' Rb ',' Price ',' Fast ',' Constraints', 'Signal', 'Sometimes',' Error ',' Please ',' Fix ' , 'Region', 'remote', 'hope', 'price', 'package', 'Telkomsel', 'cheap', 'in the future', '']</v>
      </c>
      <c r="D15258" s="3">
        <v>3.0</v>
      </c>
    </row>
    <row r="15259" ht="15.75" customHeight="1">
      <c r="A15259" s="1">
        <v>16229.0</v>
      </c>
      <c r="B15259" s="3" t="s">
        <v>14505</v>
      </c>
      <c r="C15259" s="3" t="str">
        <f>IFERROR(__xludf.DUMMYFUNCTION("GOOGLETRANSLATE(B15259,""id"",""en"")"),"['', 'Application', 'Interstenya', 'Damaged']")</f>
        <v>['', 'Application', 'Interstenya', 'Damaged']</v>
      </c>
      <c r="D15259" s="3">
        <v>1.0</v>
      </c>
    </row>
    <row r="15260" ht="15.75" customHeight="1">
      <c r="A15260" s="1">
        <v>16230.0</v>
      </c>
      <c r="B15260" s="3" t="s">
        <v>14506</v>
      </c>
      <c r="C15260" s="3" t="str">
        <f>IFERROR(__xludf.DUMMYFUNCTION("GOOGLETRANSLATE(B15260,""id"",""en"")"),"['leftover', 'pulse', 'lost', 'JLS', 'kmn', 'times',' pulse ',' disappear ',' check ',' pulse ',' night ',' leftover ',' rb ',' check ',' the morning ',' left ',' zero ', ""]")</f>
        <v>['leftover', 'pulse', 'lost', 'JLS', 'kmn', 'times',' pulse ',' disappear ',' check ',' pulse ',' night ',' leftover ',' rb ',' check ',' the morning ',' left ',' zero ', "]</v>
      </c>
      <c r="D15260" s="3">
        <v>1.0</v>
      </c>
    </row>
    <row r="15261" ht="15.75" customHeight="1">
      <c r="A15261" s="1">
        <v>16231.0</v>
      </c>
      <c r="B15261" s="3" t="s">
        <v>14507</v>
      </c>
      <c r="C15261" s="3" t="str">
        <f>IFERROR(__xludf.DUMMYFUNCTION("GOOGLETRANSLATE(B15261,""id"",""en"")"),"['Severe', 'Network', 'Leet', 'Contact', 'Operator', 'Worn', 'Costs', 'Rupiah', 'Repair', 'Mending', 'Tri', ""]")</f>
        <v>['Severe', 'Network', 'Leet', 'Contact', 'Operator', 'Worn', 'Costs', 'Rupiah', 'Repair', 'Mending', 'Tri', "]</v>
      </c>
      <c r="D15261" s="3">
        <v>1.0</v>
      </c>
    </row>
    <row r="15262" ht="15.75" customHeight="1">
      <c r="A15262" s="1">
        <v>16232.0</v>
      </c>
      <c r="B15262" s="3" t="s">
        <v>14508</v>
      </c>
      <c r="C15262" s="3" t="str">
        <f>IFERROR(__xludf.DUMMYFUNCTION("GOOGLETRANSLATE(B15262,""id"",""en"")"),"['Telkomsel', 'Open', 'screen', 'White', 'White', 'Scren', 'Open', 'APL', 'Telkomsel', 'fix', 'Telkomsel', 'White', ' Scren ',' ']")</f>
        <v>['Telkomsel', 'Open', 'screen', 'White', 'White', 'Scren', 'Open', 'APL', 'Telkomsel', 'fix', 'Telkomsel', 'White', ' Scren ',' ']</v>
      </c>
      <c r="D15262" s="3">
        <v>1.0</v>
      </c>
    </row>
    <row r="15263" ht="15.75" customHeight="1">
      <c r="A15263" s="1">
        <v>16233.0</v>
      </c>
      <c r="B15263" s="3" t="s">
        <v>14509</v>
      </c>
      <c r="C15263" s="3" t="str">
        <f>IFERROR(__xludf.DUMMYFUNCTION("GOOGLETRANSLATE(B15263,""id"",""en"")"),"['Disappointed', 'heavy', 'Telkomsel', 'help', 'bother', 'customers', 'expensive', 'doang', 'error', 'finite', 'complain', ""]")</f>
        <v>['Disappointed', 'heavy', 'Telkomsel', 'help', 'bother', 'customers', 'expensive', 'doang', 'error', 'finite', 'complain', "]</v>
      </c>
      <c r="D15263" s="3">
        <v>1.0</v>
      </c>
    </row>
    <row r="15264" ht="15.75" customHeight="1">
      <c r="A15264" s="1">
        <v>16234.0</v>
      </c>
      <c r="B15264" s="3" t="s">
        <v>14510</v>
      </c>
      <c r="C15264" s="3" t="str">
        <f>IFERROR(__xludf.DUMMYFUNCTION("GOOGLETRANSLATE(B15264,""id"",""en"")"),"['Credit', 'truncated', 'reported', 'truncated']")</f>
        <v>['Credit', 'truncated', 'reported', 'truncated']</v>
      </c>
      <c r="D15264" s="3">
        <v>1.0</v>
      </c>
    </row>
    <row r="15265" ht="15.75" customHeight="1">
      <c r="A15265" s="1">
        <v>16235.0</v>
      </c>
      <c r="B15265" s="3" t="s">
        <v>14511</v>
      </c>
      <c r="C15265" s="3" t="str">
        <f>IFERROR(__xludf.DUMMYFUNCTION("GOOGLETRANSLATE(B15265,""id"",""en"")"),"['Promo', 'perman', '']")</f>
        <v>['Promo', 'perman', '']</v>
      </c>
      <c r="D15265" s="3">
        <v>3.0</v>
      </c>
    </row>
    <row r="15266" ht="15.75" customHeight="1">
      <c r="A15266" s="1">
        <v>16236.0</v>
      </c>
      <c r="B15266" s="3" t="s">
        <v>14512</v>
      </c>
      <c r="C15266" s="3" t="str">
        <f>IFERROR(__xludf.DUMMYFUNCTION("GOOGLETRANSLATE(B15266,""id"",""en"")"),"['Sya', 'love', 'star', 'Sya', 'like', 'Telkomsel', 'buy', 'quota', 'cell', 'ndk', 'use']")</f>
        <v>['Sya', 'love', 'star', 'Sya', 'like', 'Telkomsel', 'buy', 'quota', 'cell', 'ndk', 'use']</v>
      </c>
      <c r="D15266" s="3">
        <v>5.0</v>
      </c>
    </row>
    <row r="15267" ht="15.75" customHeight="1">
      <c r="A15267" s="1">
        <v>16237.0</v>
      </c>
      <c r="B15267" s="3" t="s">
        <v>14513</v>
      </c>
      <c r="C15267" s="3" t="str">
        <f>IFERROR(__xludf.DUMMYFUNCTION("GOOGLETRANSLATE(B15267,""id"",""en"")"),"['process',' clock ',' clock ',' enter ',' complain ',' Telkomsel ',' run out ',' credit ',' reset ',' check ',' notification ',' package ',' Endless', 'already', 'ORDER', 'Telkomsel', '']")</f>
        <v>['process',' clock ',' clock ',' enter ',' complain ',' Telkomsel ',' run out ',' credit ',' reset ',' check ',' notification ',' package ',' Endless', 'already', 'ORDER', 'Telkomsel', '']</v>
      </c>
      <c r="D15267" s="3">
        <v>5.0</v>
      </c>
    </row>
    <row r="15268" ht="15.75" customHeight="1">
      <c r="A15268" s="1">
        <v>16238.0</v>
      </c>
      <c r="B15268" s="3" t="s">
        <v>14514</v>
      </c>
      <c r="C15268" s="3" t="str">
        <f>IFERROR(__xludf.DUMMYFUNCTION("GOOGLETRANSLATE(B15268,""id"",""en"")"),"['ugly', 'network']")</f>
        <v>['ugly', 'network']</v>
      </c>
      <c r="D15268" s="3">
        <v>2.0</v>
      </c>
    </row>
    <row r="15269" ht="15.75" customHeight="1">
      <c r="A15269" s="1">
        <v>16240.0</v>
      </c>
      <c r="B15269" s="3" t="s">
        <v>14515</v>
      </c>
      <c r="C15269" s="3" t="str">
        <f>IFERROR(__xludf.DUMMYFUNCTION("GOOGLETRANSLATE(B15269,""id"",""en"")"),"['Telkomsel', 'artisan', 'suck', 'pulse', 'package', 'abis', 'pulse', 'reduced', 'entry', 'sense', ""]")</f>
        <v>['Telkomsel', 'artisan', 'suck', 'pulse', 'package', 'abis', 'pulse', 'reduced', 'entry', 'sense', "]</v>
      </c>
      <c r="D15269" s="3">
        <v>1.0</v>
      </c>
    </row>
    <row r="15270" ht="15.75" customHeight="1">
      <c r="A15270" s="1">
        <v>16241.0</v>
      </c>
      <c r="B15270" s="3" t="s">
        <v>14516</v>
      </c>
      <c r="C15270" s="3" t="str">
        <f>IFERROR(__xludf.DUMMYFUNCTION("GOOGLETRANSLATE(B15270,""id"",""en"")"),"['apk', 'complicated', 'network', 'Telkomsel', 'skrg', 'severe', '']")</f>
        <v>['apk', 'complicated', 'network', 'Telkomsel', 'skrg', 'severe', '']</v>
      </c>
      <c r="D15270" s="3">
        <v>1.0</v>
      </c>
    </row>
    <row r="15271" ht="15.75" customHeight="1">
      <c r="A15271" s="1">
        <v>16242.0</v>
      </c>
      <c r="B15271" s="3" t="s">
        <v>14517</v>
      </c>
      <c r="C15271" s="3" t="str">
        <f>IFERROR(__xludf.DUMMYFUNCTION("GOOGLETRANSLATE(B15271,""id"",""en"")"),"['steady', 'Telkomsel', 'yrs', 'replace', 'card', 'skrg', 'heart', 'laen', ""]")</f>
        <v>['steady', 'Telkomsel', 'yrs', 'replace', 'card', 'skrg', 'heart', 'laen', "]</v>
      </c>
      <c r="D15271" s="3">
        <v>5.0</v>
      </c>
    </row>
    <row r="15272" ht="15.75" customHeight="1">
      <c r="A15272" s="1">
        <v>16243.0</v>
      </c>
      <c r="B15272" s="3" t="s">
        <v>14518</v>
      </c>
      <c r="C15272" s="3" t="str">
        <f>IFERROR(__xludf.DUMMYFUNCTION("GOOGLETRANSLATE(B15272,""id"",""en"")"),"['min', 'love', 'star', 'network', 'sush', 'udh', 'tower', 'play', 'network', 'sush', 'beg', 'repair']")</f>
        <v>['min', 'love', 'star', 'network', 'sush', 'udh', 'tower', 'play', 'network', 'sush', 'beg', 'repair']</v>
      </c>
      <c r="D15272" s="3">
        <v>1.0</v>
      </c>
    </row>
    <row r="15273" ht="15.75" customHeight="1">
      <c r="A15273" s="1">
        <v>16244.0</v>
      </c>
      <c r="B15273" s="3" t="s">
        <v>14519</v>
      </c>
      <c r="C15273" s="3" t="str">
        <f>IFERROR(__xludf.DUMMYFUNCTION("GOOGLETRANSLATE(B15273,""id"",""en"")"),"['Honest', 'Disappointed', 'Very', 'Telkomsel', 'Fill', 'Credit', 'Drikemarin', 'Sampe', 'skrg', 'BLM', 'Enter', 'report', ' Call ',' canter ',' Call ',' center ',' stupid ',' work ',' vain ',' complement ', ""]")</f>
        <v>['Honest', 'Disappointed', 'Very', 'Telkomsel', 'Fill', 'Credit', 'Drikemarin', 'Sampe', 'skrg', 'BLM', 'Enter', 'report', ' Call ',' canter ',' Call ',' center ',' stupid ',' work ',' vain ',' complement ', "]</v>
      </c>
      <c r="D15273" s="3">
        <v>5.0</v>
      </c>
    </row>
    <row r="15274" ht="15.75" customHeight="1">
      <c r="A15274" s="1">
        <v>16245.0</v>
      </c>
      <c r="B15274" s="3" t="s">
        <v>14520</v>
      </c>
      <c r="C15274" s="3" t="str">
        <f>IFERROR(__xludf.DUMMYFUNCTION("GOOGLETRANSLATE(B15274,""id"",""en"")"),"['package', 'expensive', 'network', 'caught']")</f>
        <v>['package', 'expensive', 'network', 'caught']</v>
      </c>
      <c r="D15274" s="3">
        <v>1.0</v>
      </c>
    </row>
    <row r="15275" ht="15.75" customHeight="1">
      <c r="A15275" s="1">
        <v>16246.0</v>
      </c>
      <c r="B15275" s="3" t="s">
        <v>14521</v>
      </c>
      <c r="C15275" s="3" t="str">
        <f>IFERROR(__xludf.DUMMYFUNCTION("GOOGLETRANSLATE(B15275,""id"",""en"")"),"['Service', 'Good']")</f>
        <v>['Service', 'Good']</v>
      </c>
      <c r="D15275" s="3">
        <v>5.0</v>
      </c>
    </row>
    <row r="15276" ht="15.75" customHeight="1">
      <c r="A15276" s="1">
        <v>16247.0</v>
      </c>
      <c r="B15276" s="3" t="s">
        <v>14522</v>
      </c>
      <c r="C15276" s="3" t="str">
        <f>IFERROR(__xludf.DUMMYFUNCTION("GOOGLETRANSLATE(B15276,""id"",""en"")"),"['', 'December', 'Jan', 'card', 'original', 'KEK', 'dick', 'really', 'anjink', 'lag', 'doang', 'contents', 'pigs' ']")</f>
        <v>['', 'December', 'Jan', 'card', 'original', 'KEK', 'dick', 'really', 'anjink', 'lag', 'doang', 'contents', 'pigs' ']</v>
      </c>
      <c r="D15276" s="3">
        <v>1.0</v>
      </c>
    </row>
    <row r="15277" ht="15.75" customHeight="1">
      <c r="A15277" s="1">
        <v>16248.0</v>
      </c>
      <c r="B15277" s="3" t="s">
        <v>14523</v>
      </c>
      <c r="C15277" s="3" t="str">
        <f>IFERROR(__xludf.DUMMYFUNCTION("GOOGLETRANSLATE(B15277,""id"",""en"")"),"['', 'purchase', 'package', 'internet', 'telephone', 'expensive']")</f>
        <v>['', 'purchase', 'package', 'internet', 'telephone', 'expensive']</v>
      </c>
      <c r="D15277" s="3">
        <v>1.0</v>
      </c>
    </row>
    <row r="15278" ht="15.75" customHeight="1">
      <c r="A15278" s="1">
        <v>16249.0</v>
      </c>
      <c r="B15278" s="3" t="s">
        <v>14524</v>
      </c>
      <c r="C15278" s="3" t="str">
        <f>IFERROR(__xludf.DUMMYFUNCTION("GOOGLETRANSLATE(B15278,""id"",""en"")"),"['Honey', 'Install', 'Application', 'Opened', '']")</f>
        <v>['Honey', 'Install', 'Application', 'Opened', '']</v>
      </c>
      <c r="D15278" s="3">
        <v>1.0</v>
      </c>
    </row>
    <row r="15279" ht="15.75" customHeight="1">
      <c r="A15279" s="1">
        <v>16250.0</v>
      </c>
      <c r="B15279" s="3" t="s">
        <v>14525</v>
      </c>
      <c r="C15279" s="3" t="str">
        <f>IFERROR(__xludf.DUMMYFUNCTION("GOOGLETRANSLATE(B15279,""id"",""en"")"),"['application', 'easy', 'buy', 'pulse', 'data', 'response', 'fast']")</f>
        <v>['application', 'easy', 'buy', 'pulse', 'data', 'response', 'fast']</v>
      </c>
      <c r="D15279" s="3">
        <v>5.0</v>
      </c>
    </row>
    <row r="15280" ht="15.75" customHeight="1">
      <c r="A15280" s="1">
        <v>16251.0</v>
      </c>
      <c r="B15280" s="3" t="s">
        <v>14526</v>
      </c>
      <c r="C15280" s="3" t="str">
        <f>IFERROR(__xludf.DUMMYFUNCTION("GOOGLETRANSLATE(B15280,""id"",""en"")"),"['Udh', 'Application', 'Open', 'PDHL', 'Update']")</f>
        <v>['Udh', 'Application', 'Open', 'PDHL', 'Update']</v>
      </c>
      <c r="D15280" s="3">
        <v>2.0</v>
      </c>
    </row>
    <row r="15281" ht="15.75" customHeight="1">
      <c r="A15281" s="1">
        <v>16252.0</v>
      </c>
      <c r="B15281" s="3" t="s">
        <v>7999</v>
      </c>
      <c r="C15281" s="3" t="str">
        <f>IFERROR(__xludf.DUMMYFUNCTION("GOOGLETRANSLATE(B15281,""id"",""en"")"),"['beneficial', '']")</f>
        <v>['beneficial', '']</v>
      </c>
      <c r="D15281" s="3">
        <v>5.0</v>
      </c>
    </row>
    <row r="15282" ht="15.75" customHeight="1">
      <c r="A15282" s="1">
        <v>16253.0</v>
      </c>
      <c r="B15282" s="3" t="s">
        <v>708</v>
      </c>
      <c r="C15282" s="3" t="str">
        <f>IFERROR(__xludf.DUMMYFUNCTION("GOOGLETRANSLATE(B15282,""id"",""en"")"),"['easy', 'help']")</f>
        <v>['easy', 'help']</v>
      </c>
      <c r="D15282" s="3">
        <v>5.0</v>
      </c>
    </row>
    <row r="15283" ht="15.75" customHeight="1">
      <c r="A15283" s="1">
        <v>16254.0</v>
      </c>
      <c r="B15283" s="3" t="s">
        <v>14527</v>
      </c>
      <c r="C15283" s="3" t="str">
        <f>IFERROR(__xludf.DUMMYFUNCTION("GOOGLETRANSLATE(B15283,""id"",""en"")"),"['love', 'star', 'before', 'application', 'login', 'delicious',' obstacle ',' difficult ',' for ',' open ',' users', 'Telkomsel', ' already']")</f>
        <v>['love', 'star', 'before', 'application', 'login', 'delicious',' obstacle ',' difficult ',' for ',' open ',' users', 'Telkomsel', ' already']</v>
      </c>
      <c r="D15283" s="3">
        <v>2.0</v>
      </c>
    </row>
    <row r="15284" ht="15.75" customHeight="1">
      <c r="A15284" s="1">
        <v>16255.0</v>
      </c>
      <c r="B15284" s="3" t="s">
        <v>14528</v>
      </c>
      <c r="C15284" s="3" t="str">
        <f>IFERROR(__xludf.DUMMYFUNCTION("GOOGLETRANSLATE(B15284,""id"",""en"")"),"['Package', 'fast', 'abis', 'nihh', 'rich', 'suck', 'watch', 'youtube']")</f>
        <v>['Package', 'fast', 'abis', 'nihh', 'rich', 'suck', 'watch', 'youtube']</v>
      </c>
      <c r="D15284" s="3">
        <v>1.0</v>
      </c>
    </row>
    <row r="15285" ht="15.75" customHeight="1">
      <c r="A15285" s="1">
        <v>16256.0</v>
      </c>
      <c r="B15285" s="3" t="s">
        <v>14529</v>
      </c>
      <c r="C15285" s="3" t="str">
        <f>IFERROR(__xludf.DUMMYFUNCTION("GOOGLETRANSLATE(B15285,""id"",""en"")"),"['hope', 'application', 'Telkomsel', 'Udian', 'bonus', 'charging', '']")</f>
        <v>['hope', 'application', 'Telkomsel', 'Udian', 'bonus', 'charging', '']</v>
      </c>
      <c r="D15285" s="3">
        <v>5.0</v>
      </c>
    </row>
    <row r="15286" ht="15.75" customHeight="1">
      <c r="A15286" s="1">
        <v>16257.0</v>
      </c>
      <c r="B15286" s="3" t="s">
        <v>14530</v>
      </c>
      <c r="C15286" s="3" t="str">
        <f>IFERROR(__xludf.DUMMYFUNCTION("GOOGLETRANSLATE(B15286,""id"",""en"")"),"['Application', 'Telkomsel', 'strange', 'Telkomsel', 'loan', 'quota', 'GB', 'collect', 'fees',' anything ',' Try ',' Wear ',' Fines', 'collect', 'costs',' tax ',' anything ',' get ',' fine ',' Hadeh ', ""]")</f>
        <v>['Application', 'Telkomsel', 'strange', 'Telkomsel', 'loan', 'quota', 'GB', 'collect', 'fees',' anything ',' Try ',' Wear ',' Fines', 'collect', 'costs',' tax ',' anything ',' get ',' fine ',' Hadeh ', "]</v>
      </c>
      <c r="D15286" s="3">
        <v>1.0</v>
      </c>
    </row>
    <row r="15287" ht="15.75" customHeight="1">
      <c r="A15287" s="1">
        <v>16258.0</v>
      </c>
      <c r="B15287" s="3" t="s">
        <v>3428</v>
      </c>
      <c r="C15287" s="3" t="str">
        <f>IFERROR(__xludf.DUMMYFUNCTION("GOOGLETRANSLATE(B15287,""id"",""en"")"),"['bad signal']")</f>
        <v>['bad signal']</v>
      </c>
      <c r="D15287" s="3">
        <v>1.0</v>
      </c>
    </row>
    <row r="15288" ht="15.75" customHeight="1">
      <c r="A15288" s="1">
        <v>16259.0</v>
      </c>
      <c r="B15288" s="3" t="s">
        <v>14531</v>
      </c>
      <c r="C15288" s="3" t="str">
        <f>IFERROR(__xludf.DUMMYFUNCTION("GOOGLETRANSLATE(B15288,""id"",""en"")"),"['Lottery', 'extended']")</f>
        <v>['Lottery', 'extended']</v>
      </c>
      <c r="D15288" s="3">
        <v>5.0</v>
      </c>
    </row>
    <row r="15289" ht="15.75" customHeight="1">
      <c r="A15289" s="1">
        <v>16260.0</v>
      </c>
      <c r="B15289" s="3" t="s">
        <v>14532</v>
      </c>
      <c r="C15289" s="3" t="str">
        <f>IFERROR(__xludf.DUMMYFUNCTION("GOOGLETRANSLATE(B15289,""id"",""en"")"),"['move', 'smartfren', 'responsible', 'pulse', 'buy', 'package', ""]")</f>
        <v>['move', 'smartfren', 'responsible', 'pulse', 'buy', 'package', "]</v>
      </c>
      <c r="D15289" s="3">
        <v>2.0</v>
      </c>
    </row>
    <row r="15290" ht="15.75" customHeight="1">
      <c r="A15290" s="1">
        <v>16261.0</v>
      </c>
      <c r="B15290" s="3" t="s">
        <v>14533</v>
      </c>
      <c r="C15290" s="3" t="str">
        <f>IFERROR(__xludf.DUMMYFUNCTION("GOOGLETRANSLATE(B15290,""id"",""en"")"),"['Telkomsel', 'package', 'data', 'complicated', 'really', 'strange', 'use', 'package', 'mbok', 'simple', 'quota', 'use', ' Data ',' Internet ',' App ',' Video ',' Music ',' Etc. ',' Separated ',' Dizziness', 'Kayak', 'Signal', 'Good', 'Wongvya', 'Signal' "&amp;", 'ugly', 'that's', 'pretentious', 'sokan']")</f>
        <v>['Telkomsel', 'package', 'data', 'complicated', 'really', 'strange', 'use', 'package', 'mbok', 'simple', 'quota', 'use', ' Data ',' Internet ',' App ',' Video ',' Music ',' Etc. ',' Separated ',' Dizziness', 'Kayak', 'Signal', 'Good', 'Wongvya', 'Signal' , 'ugly', 'that's', 'pretentious', 'sokan']</v>
      </c>
      <c r="D15290" s="3">
        <v>2.0</v>
      </c>
    </row>
    <row r="15291" ht="15.75" customHeight="1">
      <c r="A15291" s="1">
        <v>16262.0</v>
      </c>
      <c r="B15291" s="3" t="s">
        <v>14534</v>
      </c>
      <c r="C15291" s="3" t="str">
        <f>IFERROR(__xludf.DUMMYFUNCTION("GOOGLETRANSLATE(B15291,""id"",""en"")"),"['The network', 'Ngelag', 'Mulu', 'Network', 'missing', 'missing']")</f>
        <v>['The network', 'Ngelag', 'Mulu', 'Network', 'missing', 'missing']</v>
      </c>
      <c r="D15291" s="3">
        <v>1.0</v>
      </c>
    </row>
    <row r="15292" ht="15.75" customHeight="1">
      <c r="A15292" s="1">
        <v>16263.0</v>
      </c>
      <c r="B15292" s="3" t="s">
        <v>14535</v>
      </c>
      <c r="C15292" s="3" t="str">
        <f>IFERROR(__xludf.DUMMYFUNCTION("GOOGLETRANSLATE(B15292,""id"",""en"")"),"['Telkomsel', 'Messuri', 'Standby', 'Standby', 'Numbers',' Used ',' WhatsApp ',' Active ',' Promo ',' Internet ',' Tomorrow ',' expensive ',' moved ',' operator ',' next door ',' ']")</f>
        <v>['Telkomsel', 'Messuri', 'Standby', 'Standby', 'Numbers',' Used ',' WhatsApp ',' Active ',' Promo ',' Internet ',' Tomorrow ',' expensive ',' moved ',' operator ',' next door ',' ']</v>
      </c>
      <c r="D15292" s="3">
        <v>2.0</v>
      </c>
    </row>
    <row r="15293" ht="15.75" customHeight="1">
      <c r="A15293" s="1">
        <v>16265.0</v>
      </c>
      <c r="B15293" s="3" t="s">
        <v>14536</v>
      </c>
      <c r="C15293" s="3" t="str">
        <f>IFERROR(__xludf.DUMMYFUNCTION("GOOGLETRANSLATE(B15293,""id"",""en"")"),"['Wrong', 'application', 'MyTelkomsel', 'application', 'opened', 'stuck', 'window', 'colored', 'white', 'awaited', 'minute', 'please', ' repaired ',' thank ',' love ']")</f>
        <v>['Wrong', 'application', 'MyTelkomsel', 'application', 'opened', 'stuck', 'window', 'colored', 'white', 'awaited', 'minute', 'please', ' repaired ',' thank ',' love ']</v>
      </c>
      <c r="D15293" s="3">
        <v>1.0</v>
      </c>
    </row>
    <row r="15294" ht="15.75" customHeight="1">
      <c r="A15294" s="1">
        <v>16266.0</v>
      </c>
      <c r="B15294" s="3" t="s">
        <v>14537</v>
      </c>
      <c r="C15294" s="3" t="str">
        <f>IFERROR(__xludf.DUMMYFUNCTION("GOOGLETRANSLATE(B15294,""id"",""en"")"),"['Liat', 'see', 'down', 'already', 'good', 'fast', 'tan', 'download']")</f>
        <v>['Liat', 'see', 'down', 'already', 'good', 'fast', 'tan', 'download']</v>
      </c>
      <c r="D15294" s="3">
        <v>5.0</v>
      </c>
    </row>
    <row r="15295" ht="15.75" customHeight="1">
      <c r="A15295" s="1">
        <v>16267.0</v>
      </c>
      <c r="B15295" s="3" t="s">
        <v>14538</v>
      </c>
      <c r="C15295" s="3" t="str">
        <f>IFERROR(__xludf.DUMMYFUNCTION("GOOGLETRANSLATE(B15295,""id"",""en"")"),"['Hello', 'Hello', 'My APK', 'Gabisa', 'The Should', 'Udh', 'Sya', 'HPS', 'Data', 'Times',' Download ',' reset ',' reset ',' msi ',' gabisa ',' go ',' tlong ',' rspn ']")</f>
        <v>['Hello', 'Hello', 'My APK', 'Gabisa', 'The Should', 'Udh', 'Sya', 'HPS', 'Data', 'Times',' Download ',' reset ',' reset ',' msi ',' gabisa ',' go ',' tlong ',' rspn ']</v>
      </c>
      <c r="D15295" s="3">
        <v>2.0</v>
      </c>
    </row>
    <row r="15296" ht="15.75" customHeight="1">
      <c r="A15296" s="1">
        <v>16268.0</v>
      </c>
      <c r="B15296" s="3" t="s">
        <v>14539</v>
      </c>
      <c r="C15296" s="3" t="str">
        <f>IFERROR(__xludf.DUMMYFUNCTION("GOOGLETRANSLATE(B15296,""id"",""en"")"),"['Telkomsel', 'application', 'error', 'screen', 'white']")</f>
        <v>['Telkomsel', 'application', 'error', 'screen', 'white']</v>
      </c>
      <c r="D15296" s="3">
        <v>1.0</v>
      </c>
    </row>
    <row r="15297" ht="15.75" customHeight="1">
      <c r="A15297" s="1">
        <v>16269.0</v>
      </c>
      <c r="B15297" s="3" t="s">
        <v>14540</v>
      </c>
      <c r="C15297" s="3" t="str">
        <f>IFERROR(__xludf.DUMMYFUNCTION("GOOGLETRANSLATE(B15297,""id"",""en"")"),"['interesting', 'easy']")</f>
        <v>['interesting', 'easy']</v>
      </c>
      <c r="D15297" s="3">
        <v>5.0</v>
      </c>
    </row>
    <row r="15298" ht="15.75" customHeight="1">
      <c r="A15298" s="1">
        <v>16270.0</v>
      </c>
      <c r="B15298" s="3" t="s">
        <v>14541</v>
      </c>
      <c r="C15298" s="3" t="str">
        <f>IFERROR(__xludf.DUMMYFUNCTION("GOOGLETRANSLATE(B15298,""id"",""en"")"),"['ugly', 'week', 'APK', 'open', 'signal', 'good', 'already', 'install', 'reset']")</f>
        <v>['ugly', 'week', 'APK', 'open', 'signal', 'good', 'already', 'install', 'reset']</v>
      </c>
      <c r="D15298" s="3">
        <v>1.0</v>
      </c>
    </row>
    <row r="15299" ht="15.75" customHeight="1">
      <c r="A15299" s="1">
        <v>16271.0</v>
      </c>
      <c r="B15299" s="3" t="s">
        <v>14542</v>
      </c>
      <c r="C15299" s="3" t="str">
        <f>IFERROR(__xludf.DUMMYFUNCTION("GOOGLETRANSLATE(B15299,""id"",""en"")"),"['Switch', 'Points', 'Package', 'Internet', 'Failed', 'Signal', 'Lemot', ""]")</f>
        <v>['Switch', 'Points', 'Package', 'Internet', 'Failed', 'Signal', 'Lemot', "]</v>
      </c>
      <c r="D15299" s="3">
        <v>3.0</v>
      </c>
    </row>
    <row r="15300" ht="15.75" customHeight="1">
      <c r="A15300" s="1">
        <v>16272.0</v>
      </c>
      <c r="B15300" s="3" t="s">
        <v>14543</v>
      </c>
      <c r="C15300" s="3" t="str">
        <f>IFERROR(__xludf.DUMMYFUNCTION("GOOGLETRANSLATE(B15300,""id"",""en"")"),"['Application', 'Ssah', 'Open']")</f>
        <v>['Application', 'Ssah', 'Open']</v>
      </c>
      <c r="D15300" s="3">
        <v>1.0</v>
      </c>
    </row>
    <row r="15301" ht="15.75" customHeight="1">
      <c r="A15301" s="1">
        <v>16273.0</v>
      </c>
      <c r="B15301" s="3" t="s">
        <v>14544</v>
      </c>
      <c r="C15301" s="3" t="str">
        <f>IFERROR(__xludf.DUMMYFUNCTION("GOOGLETRANSLATE(B15301,""id"",""en"")"),"['', 'Telkomsel', 'upgraded', 'STLH', 'upgrade', 'open', 'Telkomsel', 'please', 'gmn', 'min']")</f>
        <v>['', 'Telkomsel', 'upgraded', 'STLH', 'upgrade', 'open', 'Telkomsel', 'please', 'gmn', 'min']</v>
      </c>
      <c r="D15301" s="3">
        <v>2.0</v>
      </c>
    </row>
    <row r="15302" ht="15.75" customHeight="1">
      <c r="A15302" s="1">
        <v>16274.0</v>
      </c>
      <c r="B15302" s="3" t="s">
        <v>14545</v>
      </c>
      <c r="C15302" s="3" t="str">
        <f>IFERROR(__xludf.DUMMYFUNCTION("GOOGLETRANSLATE(B15302,""id"",""en"")"),"['', 'boss', 'network', 'knapa', 'application', 'slow', 'bngat', '']")</f>
        <v>['', 'boss', 'network', 'knapa', 'application', 'slow', 'bngat', '']</v>
      </c>
      <c r="D15302" s="3">
        <v>5.0</v>
      </c>
    </row>
    <row r="15303" ht="15.75" customHeight="1">
      <c r="A15303" s="1">
        <v>16275.0</v>
      </c>
      <c r="B15303" s="3" t="s">
        <v>14546</v>
      </c>
      <c r="C15303" s="3" t="str">
        <f>IFERROR(__xludf.DUMMYFUNCTION("GOOGLETRANSLATE(B15303,""id"",""en"")"),"['', 'anjg', 'pulse', 'cave', 'chick', 'DTA', 'SIM', 'galater', 'exchange', 'sndiri', 'telkomsel', 'because' number ',' UDH ',' Discard ',' era ',' kmrn ']")</f>
        <v>['', 'anjg', 'pulse', 'cave', 'chick', 'DTA', 'SIM', 'galater', 'exchange', 'sndiri', 'telkomsel', 'because' number ',' UDH ',' Discard ',' era ',' kmrn ']</v>
      </c>
      <c r="D15303" s="3">
        <v>1.0</v>
      </c>
    </row>
    <row r="15304" ht="15.75" customHeight="1">
      <c r="A15304" s="1">
        <v>16276.0</v>
      </c>
      <c r="B15304" s="3" t="s">
        <v>14547</v>
      </c>
      <c r="C15304" s="3" t="str">
        <f>IFERROR(__xludf.DUMMYFUNCTION("GOOGLETRANSLATE(B15304,""id"",""en"")"),"['Abiss', 'Update', 'APK', 'Open', 'again', 'weird']")</f>
        <v>['Abiss', 'Update', 'APK', 'Open', 'again', 'weird']</v>
      </c>
      <c r="D15304" s="3">
        <v>1.0</v>
      </c>
    </row>
    <row r="15305" ht="15.75" customHeight="1">
      <c r="A15305" s="1">
        <v>16277.0</v>
      </c>
      <c r="B15305" s="3" t="s">
        <v>14548</v>
      </c>
      <c r="C15305" s="3" t="str">
        <f>IFERROR(__xludf.DUMMYFUNCTION("GOOGLETRANSLATE(B15305,""id"",""en"")"),"['Leet', 'Difficult', 'Enter', '']")</f>
        <v>['Leet', 'Difficult', 'Enter', '']</v>
      </c>
      <c r="D15305" s="3">
        <v>1.0</v>
      </c>
    </row>
    <row r="15306" ht="15.75" customHeight="1">
      <c r="A15306" s="1">
        <v>16278.0</v>
      </c>
      <c r="B15306" s="3" t="s">
        <v>14549</v>
      </c>
      <c r="C15306" s="3" t="str">
        <f>IFERROR(__xludf.DUMMYFUNCTION("GOOGLETRANSLATE(B15306,""id"",""en"")"),"['like', 'really', 'the application', 'buy', 'package', 'easy', 'pokonya', 'like', 'really']")</f>
        <v>['like', 'really', 'the application', 'buy', 'package', 'easy', 'pokonya', 'like', 'really']</v>
      </c>
      <c r="D15306" s="3">
        <v>5.0</v>
      </c>
    </row>
    <row r="15307" ht="15.75" customHeight="1">
      <c r="A15307" s="1">
        <v>16279.0</v>
      </c>
      <c r="B15307" s="3" t="s">
        <v>14550</v>
      </c>
      <c r="C15307" s="3" t="str">
        <f>IFERROR(__xludf.DUMMYFUNCTION("GOOGLETRANSLATE(B15307,""id"",""en"")"),"['Cpt', 'process']")</f>
        <v>['Cpt', 'process']</v>
      </c>
      <c r="D15307" s="3">
        <v>3.0</v>
      </c>
    </row>
    <row r="15308" ht="15.75" customHeight="1">
      <c r="A15308" s="1">
        <v>16280.0</v>
      </c>
      <c r="B15308" s="3" t="s">
        <v>14551</v>
      </c>
      <c r="C15308" s="3" t="str">
        <f>IFERROR(__xludf.DUMMYFUNCTION("GOOGLETRANSLATE(B15308,""id"",""en"")"),"['Koc', 'Open', '']")</f>
        <v>['Koc', 'Open', '']</v>
      </c>
      <c r="D15308" s="3">
        <v>2.0</v>
      </c>
    </row>
    <row r="15309" ht="15.75" customHeight="1">
      <c r="A15309" s="1">
        <v>16281.0</v>
      </c>
      <c r="B15309" s="3" t="s">
        <v>14552</v>
      </c>
      <c r="C15309" s="3" t="str">
        <f>IFERROR(__xludf.DUMMYFUNCTION("GOOGLETRANSLATE(B15309,""id"",""en"")"),"['MyTelkomsel', 'steady', '']")</f>
        <v>['MyTelkomsel', 'steady', '']</v>
      </c>
      <c r="D15309" s="3">
        <v>5.0</v>
      </c>
    </row>
    <row r="15310" ht="15.75" customHeight="1">
      <c r="A15310" s="1">
        <v>16282.0</v>
      </c>
      <c r="B15310" s="3" t="s">
        <v>14553</v>
      </c>
      <c r="C15310" s="3" t="str">
        <f>IFERROR(__xludf.DUMMYFUNCTION("GOOGLETRANSLATE(B15310,""id"",""en"")"),"['', 'Tsel', 'UFDate', 'entered', 'ugly', 'in the future', 'forced', 'uninstall', 'annoying']")</f>
        <v>['', 'Tsel', 'UFDate', 'entered', 'ugly', 'in the future', 'forced', 'uninstall', 'annoying']</v>
      </c>
      <c r="D15310" s="3">
        <v>2.0</v>
      </c>
    </row>
    <row r="15311" ht="15.75" customHeight="1">
      <c r="A15311" s="1">
        <v>16283.0</v>
      </c>
      <c r="B15311" s="3" t="s">
        <v>14554</v>
      </c>
      <c r="C15311" s="3" t="str">
        <f>IFERROR(__xludf.DUMMYFUNCTION("GOOGLETRANSLATE(B15311,""id"",""en"")"),"['Price', 'expensive', 'GB', 'Ngahi']")</f>
        <v>['Price', 'expensive', 'GB', 'Ngahi']</v>
      </c>
      <c r="D15311" s="3">
        <v>3.0</v>
      </c>
    </row>
    <row r="15312" ht="15.75" customHeight="1">
      <c r="A15312" s="1">
        <v>16284.0</v>
      </c>
      <c r="B15312" s="3" t="s">
        <v>14555</v>
      </c>
      <c r="C15312" s="3" t="str">
        <f>IFERROR(__xludf.DUMMYFUNCTION("GOOGLETRANSLATE(B15312,""id"",""en"")"),"['improved', 'promo', 'thank you', ""]")</f>
        <v>['improved', 'promo', 'thank you', "]</v>
      </c>
      <c r="D15312" s="3">
        <v>5.0</v>
      </c>
    </row>
    <row r="15313" ht="15.75" customHeight="1">
      <c r="A15313" s="1">
        <v>16285.0</v>
      </c>
      <c r="B15313" s="3" t="s">
        <v>14556</v>
      </c>
      <c r="C15313" s="3" t="str">
        <f>IFERROR(__xludf.DUMMYFUNCTION("GOOGLETRANSLATE(B15313,""id"",""en"")"),"['Ngeluh', 'Telkomsel', 'yng', 'entered', 'comment', 'feel', 'love', 'dlu', 'ntar', 'already', 'recover', 'love', ' Full ',' fast ',' recovered ',' Telkomsel ',' need ',' ']")</f>
        <v>['Ngeluh', 'Telkomsel', 'yng', 'entered', 'comment', 'feel', 'love', 'dlu', 'ntar', 'already', 'recover', 'love', ' Full ',' fast ',' recovered ',' Telkomsel ',' need ',' ']</v>
      </c>
      <c r="D15313" s="3">
        <v>2.0</v>
      </c>
    </row>
    <row r="15314" ht="15.75" customHeight="1">
      <c r="A15314" s="1">
        <v>16286.0</v>
      </c>
      <c r="B15314" s="3" t="s">
        <v>14557</v>
      </c>
      <c r="C15314" s="3" t="str">
        <f>IFERROR(__xludf.DUMMYFUNCTION("GOOGLETRANSLATE(B15314,""id"",""en"")"),"['Purchase', 'Package', 'Data', 'Via', 'Application', 'Karna', 'Error', 'How', 'Rely on', 'Purchase', 'Package', 'Data', ' Via ',' Application ',' Fast ',' Via ',' Service ',' Best ',' Customer ',' Telkomsel ',' Disappointed ',' ']")</f>
        <v>['Purchase', 'Package', 'Data', 'Via', 'Application', 'Karna', 'Error', 'How', 'Rely on', 'Purchase', 'Package', 'Data', ' Via ',' Application ',' Fast ',' Via ',' Service ',' Best ',' Customer ',' Telkomsel ',' Disappointed ',' ']</v>
      </c>
      <c r="D15314" s="3">
        <v>2.0</v>
      </c>
    </row>
    <row r="15315" ht="15.75" customHeight="1">
      <c r="A15315" s="1">
        <v>16287.0</v>
      </c>
      <c r="B15315" s="3" t="s">
        <v>14558</v>
      </c>
      <c r="C15315" s="3" t="str">
        <f>IFERROR(__xludf.DUMMYFUNCTION("GOOGLETRANSLATE(B15315,""id"",""en"")"),"['Tumben', 'Telkomsel', 'signal', 'NYE', 'Damaged', 'Package', 'Take', 'Signal', 'Ndut', 'Sunday', 'Pay', 'Doank', ' expensive']")</f>
        <v>['Tumben', 'Telkomsel', 'signal', 'NYE', 'Damaged', 'Package', 'Take', 'Signal', 'Ndut', 'Sunday', 'Pay', 'Doank', ' expensive']</v>
      </c>
      <c r="D15315" s="3">
        <v>1.0</v>
      </c>
    </row>
    <row r="15316" ht="15.75" customHeight="1">
      <c r="A15316" s="1">
        <v>16288.0</v>
      </c>
      <c r="B15316" s="3" t="s">
        <v>14559</v>
      </c>
      <c r="C15316" s="3" t="str">
        <f>IFERROR(__xludf.DUMMYFUNCTION("GOOGLETRANSLATE(B15316,""id"",""en"")"),"['Please', 'The application', 'Benerin', 'bug', 'difficult', 'enter']")</f>
        <v>['Please', 'The application', 'Benerin', 'bug', 'difficult', 'enter']</v>
      </c>
      <c r="D15316" s="3">
        <v>1.0</v>
      </c>
    </row>
    <row r="15317" ht="15.75" customHeight="1">
      <c r="A15317" s="1">
        <v>16289.0</v>
      </c>
      <c r="B15317" s="3" t="s">
        <v>2127</v>
      </c>
      <c r="C15317" s="3" t="str">
        <f>IFERROR(__xludf.DUMMYFUNCTION("GOOGLETRANSLATE(B15317,""id"",""en"")"),"['easy']")</f>
        <v>['easy']</v>
      </c>
      <c r="D15317" s="3">
        <v>5.0</v>
      </c>
    </row>
    <row r="15318" ht="15.75" customHeight="1">
      <c r="A15318" s="1">
        <v>16290.0</v>
      </c>
      <c r="B15318" s="3" t="s">
        <v>14560</v>
      </c>
      <c r="C15318" s="3" t="str">
        <f>IFERROR(__xludf.DUMMYFUNCTION("GOOGLETRANSLATE(B15318,""id"",""en"")"),"['Update', 'Application', 'MyTelkomsel', 'Open', 'Network', 'Slow', 'Signal', 'Down', 'Decreases', 'Quality', 'Telkomsel', ""]")</f>
        <v>['Update', 'Application', 'MyTelkomsel', 'Open', 'Network', 'Slow', 'Signal', 'Down', 'Decreases', 'Quality', 'Telkomsel', "]</v>
      </c>
      <c r="D15318" s="3">
        <v>3.0</v>
      </c>
    </row>
    <row r="15319" ht="15.75" customHeight="1">
      <c r="A15319" s="1">
        <v>16291.0</v>
      </c>
      <c r="B15319" s="3" t="s">
        <v>14561</v>
      </c>
      <c r="C15319" s="3" t="str">
        <f>IFERROR(__xludf.DUMMYFUNCTION("GOOGLETRANSLATE(B15319,""id"",""en"")"),"['Maen', 'Game', 'Signal', 'Severe', 'Rich', 'Pol', 'then', 'skrang', 'Lola']")</f>
        <v>['Maen', 'Game', 'Signal', 'Severe', 'Rich', 'Pol', 'then', 'skrang', 'Lola']</v>
      </c>
      <c r="D15319" s="3">
        <v>1.0</v>
      </c>
    </row>
    <row r="15320" ht="15.75" customHeight="1">
      <c r="A15320" s="1">
        <v>16292.0</v>
      </c>
      <c r="B15320" s="3" t="s">
        <v>14562</v>
      </c>
      <c r="C15320" s="3" t="str">
        <f>IFERROR(__xludf.DUMMYFUNCTION("GOOGLETRANSLATE(B15320,""id"",""en"")"),"['Min', 'buy', 'pulse', 'love', 'bonus', 'package', 'data', 'that's']")</f>
        <v>['Min', 'buy', 'pulse', 'love', 'bonus', 'package', 'data', 'that's']</v>
      </c>
      <c r="D15320" s="3">
        <v>5.0</v>
      </c>
    </row>
    <row r="15321" ht="15.75" customHeight="1">
      <c r="A15321" s="1">
        <v>16293.0</v>
      </c>
      <c r="B15321" s="3" t="s">
        <v>14563</v>
      </c>
      <c r="C15321" s="3" t="str">
        <f>IFERROR(__xludf.DUMMYFUNCTION("GOOGLETRANSLATE(B15321,""id"",""en"")"),"['signal', 'emotion', 'open', 'apk', 'slow']")</f>
        <v>['signal', 'emotion', 'open', 'apk', 'slow']</v>
      </c>
      <c r="D15321" s="3">
        <v>1.0</v>
      </c>
    </row>
    <row r="15322" ht="15.75" customHeight="1">
      <c r="A15322" s="1">
        <v>16294.0</v>
      </c>
      <c r="B15322" s="3" t="s">
        <v>14564</v>
      </c>
      <c r="C15322" s="3" t="str">
        <f>IFERROR(__xludf.DUMMYFUNCTION("GOOGLETRANSLATE(B15322,""id"",""en"")"),"['update', 'enter', 'App', 'blank', 'white', 'doang', ""]")</f>
        <v>['update', 'enter', 'App', 'blank', 'white', 'doang', "]</v>
      </c>
      <c r="D15322" s="3">
        <v>2.0</v>
      </c>
    </row>
    <row r="15323" ht="15.75" customHeight="1">
      <c r="A15323" s="1">
        <v>16295.0</v>
      </c>
      <c r="B15323" s="3" t="s">
        <v>14565</v>
      </c>
      <c r="C15323" s="3" t="str">
        <f>IFERROR(__xludf.DUMMYFUNCTION("GOOGLETRANSLATE(B15323,""id"",""en"")"),"['Network', 'Telkomsel', 'Region', 'Mandailing', 'Christmas',' bad ',' ugly ',' network ',' stable ',' intention ',' improvement ',' service ',' network ',' how ',' package ',' expensive ',' network ',' ugly ',' disappointing ',' please ',' service ',' Te"&amp;"lkomsel ']")</f>
        <v>['Network', 'Telkomsel', 'Region', 'Mandailing', 'Christmas',' bad ',' ugly ',' network ',' stable ',' intention ',' improvement ',' service ',' network ',' how ',' package ',' expensive ',' network ',' ugly ',' disappointing ',' please ',' service ',' Telkomsel ']</v>
      </c>
      <c r="D15323" s="3">
        <v>1.0</v>
      </c>
    </row>
    <row r="15324" ht="15.75" customHeight="1">
      <c r="A15324" s="1">
        <v>16296.0</v>
      </c>
      <c r="B15324" s="3" t="s">
        <v>14566</v>
      </c>
      <c r="C15324" s="3" t="str">
        <f>IFERROR(__xludf.DUMMYFUNCTION("GOOGLETRANSLATE(B15324,""id"",""en"")"),"['White', 'Screen', 'Update', 'Samsung', 'Please', 'Repaired', 'Gan', ""]")</f>
        <v>['White', 'Screen', 'Update', 'Samsung', 'Please', 'Repaired', 'Gan', "]</v>
      </c>
      <c r="D15324" s="3">
        <v>1.0</v>
      </c>
    </row>
    <row r="15325" ht="15.75" customHeight="1">
      <c r="A15325" s="1">
        <v>16297.0</v>
      </c>
      <c r="B15325" s="3" t="s">
        <v>14567</v>
      </c>
      <c r="C15325" s="3" t="str">
        <f>IFERROR(__xludf.DUMMYFUNCTION("GOOGLETRANSLATE(B15325,""id"",""en"")"),"['difficult', 'enter', 'APK']")</f>
        <v>['difficult', 'enter', 'APK']</v>
      </c>
      <c r="D15325" s="3">
        <v>1.0</v>
      </c>
    </row>
    <row r="15326" ht="15.75" customHeight="1">
      <c r="A15326" s="1">
        <v>16298.0</v>
      </c>
      <c r="B15326" s="3" t="s">
        <v>14568</v>
      </c>
      <c r="C15326" s="3" t="str">
        <f>IFERROR(__xludf.DUMMYFUNCTION("GOOGLETRANSLATE(B15326,""id"",""en"")"),"['Knpa', 'Exchange', 'Points', 'Ribet', 'Bnyak', ""]")</f>
        <v>['Knpa', 'Exchange', 'Points', 'Ribet', 'Bnyak', "]</v>
      </c>
      <c r="D15326" s="3">
        <v>1.0</v>
      </c>
    </row>
    <row r="15327" ht="15.75" customHeight="1">
      <c r="A15327" s="1">
        <v>16299.0</v>
      </c>
      <c r="B15327" s="3" t="s">
        <v>14569</v>
      </c>
      <c r="C15327" s="3" t="str">
        <f>IFERROR(__xludf.DUMMYFUNCTION("GOOGLETRANSLATE(B15327,""id"",""en"")"),"['Star', 'Deh', 'Update', 'Application', 'White', 'Screen', 'Opened', 'UDH', 'Try', 'Take', 'Install', 'Compatible', ' road', '']")</f>
        <v>['Star', 'Deh', 'Update', 'Application', 'White', 'Screen', 'Opened', 'UDH', 'Try', 'Take', 'Install', 'Compatible', ' road', '']</v>
      </c>
      <c r="D15327" s="3">
        <v>1.0</v>
      </c>
    </row>
    <row r="15328" ht="15.75" customHeight="1">
      <c r="A15328" s="1">
        <v>16300.0</v>
      </c>
      <c r="B15328" s="3" t="s">
        <v>14570</v>
      </c>
      <c r="C15328" s="3" t="str">
        <f>IFERROR(__xludf.DUMMYFUNCTION("GOOGLETRANSLATE(B15328,""id"",""en"")"),"['times',' buy ',' package ',' internet ',' balance ',' truncated ',' quota ',' no ',' confused ',' Telkomsel ',' rich ',' gini ',' safe ',' complement ',' bales']")</f>
        <v>['times',' buy ',' package ',' internet ',' balance ',' truncated ',' quota ',' no ',' confused ',' Telkomsel ',' rich ',' gini ',' safe ',' complement ',' bales']</v>
      </c>
      <c r="D15328" s="3">
        <v>3.0</v>
      </c>
    </row>
    <row r="15329" ht="15.75" customHeight="1">
      <c r="A15329" s="1">
        <v>16301.0</v>
      </c>
      <c r="B15329" s="3" t="s">
        <v>14571</v>
      </c>
      <c r="C15329" s="3" t="str">
        <f>IFERROR(__xludf.DUMMYFUNCTION("GOOGLETRANSLATE(B15329,""id"",""en"")"),"['Bad', 'The network']")</f>
        <v>['Bad', 'The network']</v>
      </c>
      <c r="D15329" s="3">
        <v>1.0</v>
      </c>
    </row>
    <row r="15330" ht="15.75" customHeight="1">
      <c r="A15330" s="1">
        <v>16302.0</v>
      </c>
      <c r="B15330" s="3" t="s">
        <v>14572</v>
      </c>
      <c r="C15330" s="3" t="str">
        <f>IFERROR(__xludf.DUMMYFUNCTION("GOOGLETRANSLATE(B15330,""id"",""en"")"),"['Sorry', 'Login', 'Telkomsel', 'enter', 'number', 'Telkomsel']")</f>
        <v>['Sorry', 'Login', 'Telkomsel', 'enter', 'number', 'Telkomsel']</v>
      </c>
      <c r="D15330" s="3">
        <v>1.0</v>
      </c>
    </row>
    <row r="15331" ht="15.75" customHeight="1">
      <c r="A15331" s="1">
        <v>16303.0</v>
      </c>
      <c r="B15331" s="3" t="s">
        <v>14573</v>
      </c>
      <c r="C15331" s="3" t="str">
        <f>IFERROR(__xludf.DUMMYFUNCTION("GOOGLETRANSLATE(B15331,""id"",""en"")"),"['application', 'open', 'buy', 'quota', 'times', 'star', 'except', 'Application', 'Benerin', 'love', 'star']")</f>
        <v>['application', 'open', 'buy', 'quota', 'times', 'star', 'except', 'Application', 'Benerin', 'love', 'star']</v>
      </c>
      <c r="D15331" s="3">
        <v>1.0</v>
      </c>
    </row>
    <row r="15332" ht="15.75" customHeight="1">
      <c r="A15332" s="1">
        <v>16304.0</v>
      </c>
      <c r="B15332" s="3" t="s">
        <v>14574</v>
      </c>
      <c r="C15332" s="3" t="str">
        <f>IFERROR(__xludf.DUMMYFUNCTION("GOOGLETRANSLATE(B15332,""id"",""en"")"),"['LEGEN', 'NDAK', '']")</f>
        <v>['LEGEN', 'NDAK', '']</v>
      </c>
      <c r="D15332" s="3">
        <v>2.0</v>
      </c>
    </row>
    <row r="15333" ht="15.75" customHeight="1">
      <c r="A15333" s="1">
        <v>16305.0</v>
      </c>
      <c r="B15333" s="3" t="s">
        <v>14575</v>
      </c>
      <c r="C15333" s="3" t="str">
        <f>IFERROR(__xludf.DUMMYFUNCTION("GOOGLETRANSLATE(B15333,""id"",""en"")"),"['network', 'Telkomsel', 'slow', 'dizzer', 'orders',' boss', 'please', 'fix', 'network', 'Telkomsel', 'Thank you', ' ']")</f>
        <v>['network', 'Telkomsel', 'slow', 'dizzer', 'orders',' boss', 'please', 'fix', 'network', 'Telkomsel', 'Thank you', ' ']</v>
      </c>
      <c r="D15333" s="3">
        <v>1.0</v>
      </c>
    </row>
    <row r="15334" ht="15.75" customHeight="1">
      <c r="A15334" s="1">
        <v>16306.0</v>
      </c>
      <c r="B15334" s="3" t="s">
        <v>14576</v>
      </c>
      <c r="C15334" s="3" t="str">
        <f>IFERROR(__xludf.DUMMYFUNCTION("GOOGLETRANSLATE(B15334,""id"",""en"")"),"['Delicious', 'cheap', 'practical']")</f>
        <v>['Delicious', 'cheap', 'practical']</v>
      </c>
      <c r="D15334" s="3">
        <v>5.0</v>
      </c>
    </row>
    <row r="15335" ht="15.75" customHeight="1">
      <c r="A15335" s="1">
        <v>16307.0</v>
      </c>
      <c r="B15335" s="3" t="s">
        <v>14577</v>
      </c>
      <c r="C15335" s="3" t="str">
        <f>IFERROR(__xludf.DUMMYFUNCTION("GOOGLETRANSLATE(B15335,""id"",""en"")"),"['Telkomsel', 'open', 'screen', 'white']")</f>
        <v>['Telkomsel', 'open', 'screen', 'white']</v>
      </c>
      <c r="D15335" s="3">
        <v>2.0</v>
      </c>
    </row>
    <row r="15336" ht="15.75" customHeight="1">
      <c r="A15336" s="1">
        <v>16308.0</v>
      </c>
      <c r="B15336" s="3" t="s">
        <v>14578</v>
      </c>
      <c r="C15336" s="3" t="str">
        <f>IFERROR(__xludf.DUMMYFUNCTION("GOOGLETRANSLATE(B15336,""id"",""en"")"),"['Network', 'ngelag', 'package', 'expensive']")</f>
        <v>['Network', 'ngelag', 'package', 'expensive']</v>
      </c>
      <c r="D15336" s="3">
        <v>2.0</v>
      </c>
    </row>
    <row r="15337" ht="15.75" customHeight="1">
      <c r="A15337" s="1">
        <v>16309.0</v>
      </c>
      <c r="B15337" s="3" t="s">
        <v>14579</v>
      </c>
      <c r="C15337" s="3" t="str">
        <f>IFERROR(__xludf.DUMMYFUNCTION("GOOGLETRANSLATE(B15337,""id"",""en"")"),"['Lally', 'promo', '']")</f>
        <v>['Lally', 'promo', '']</v>
      </c>
      <c r="D15337" s="3">
        <v>5.0</v>
      </c>
    </row>
    <row r="15338" ht="15.75" customHeight="1">
      <c r="A15338" s="1">
        <v>16310.0</v>
      </c>
      <c r="B15338" s="3" t="s">
        <v>14580</v>
      </c>
      <c r="C15338" s="3" t="str">
        <f>IFERROR(__xludf.DUMMYFUNCTION("GOOGLETRANSLATE(B15338,""id"",""en"")"),"['Enter', 'Application', '']")</f>
        <v>['Enter', 'Application', '']</v>
      </c>
      <c r="D15338" s="3">
        <v>1.0</v>
      </c>
    </row>
    <row r="15339" ht="15.75" customHeight="1">
      <c r="A15339" s="1">
        <v>16311.0</v>
      </c>
      <c r="B15339" s="3" t="s">
        <v>14581</v>
      </c>
      <c r="C15339" s="3" t="str">
        <f>IFERROR(__xludf.DUMMYFUNCTION("GOOGLETRANSLATE(B15339,""id"",""en"")"),"['Application', 'Telkomsel', 'opened', 'already', 'Delete', 'cache', 'Delete', 'Data', 'Tetep', 'logo', 'Nongol']")</f>
        <v>['Application', 'Telkomsel', 'opened', 'already', 'Delete', 'cache', 'Delete', 'Data', 'Tetep', 'logo', 'Nongol']</v>
      </c>
      <c r="D15339" s="3">
        <v>1.0</v>
      </c>
    </row>
    <row r="15340" ht="15.75" customHeight="1">
      <c r="A15340" s="1">
        <v>16312.0</v>
      </c>
      <c r="B15340" s="3" t="s">
        <v>14582</v>
      </c>
      <c r="C15340" s="3" t="str">
        <f>IFERROR(__xludf.DUMMYFUNCTION("GOOGLETRANSLATE(B15340,""id"",""en"")"),"['', 'Telkomsel', 'signal', 'disorder', 'app', 'open', 'Samsung', 'tasty', 'lho', 'open', 'skrang', 'mah', 'you know ',' Delete ',' Chace ',' Download ',' Edge ',' Zonk ',' Come ',' Lined ',' Customer ',' Telkomsel ',' Satisfied ', ""]")</f>
        <v>['', 'Telkomsel', 'signal', 'disorder', 'app', 'open', 'Samsung', 'tasty', 'lho', 'open', 'skrang', 'mah', 'you know ',' Delete ',' Chace ',' Download ',' Edge ',' Zonk ',' Come ',' Lined ',' Customer ',' Telkomsel ',' Satisfied ', "]</v>
      </c>
      <c r="D15340" s="3">
        <v>2.0</v>
      </c>
    </row>
    <row r="15341" ht="15.75" customHeight="1">
      <c r="A15341" s="1">
        <v>16313.0</v>
      </c>
      <c r="B15341" s="3" t="s">
        <v>14583</v>
      </c>
      <c r="C15341" s="3" t="str">
        <f>IFERROR(__xludf.DUMMYFUNCTION("GOOGLETRANSLATE(B15341,""id"",""en"")"),"['Telkomsel', 'Open', 'Open', 'appears', 'screen', 'white']")</f>
        <v>['Telkomsel', 'Open', 'Open', 'appears', 'screen', 'white']</v>
      </c>
      <c r="D15341" s="3">
        <v>3.0</v>
      </c>
    </row>
    <row r="15342" ht="15.75" customHeight="1">
      <c r="A15342" s="1">
        <v>16314.0</v>
      </c>
      <c r="B15342" s="3" t="s">
        <v>14584</v>
      </c>
      <c r="C15342" s="3" t="str">
        <f>IFERROR(__xludf.DUMMYFUNCTION("GOOGLETRANSLATE(B15342,""id"",""en"")"),"['buy', 'quota', 'cheap', '']")</f>
        <v>['buy', 'quota', 'cheap', '']</v>
      </c>
      <c r="D15342" s="3">
        <v>5.0</v>
      </c>
    </row>
    <row r="15343" ht="15.75" customHeight="1">
      <c r="A15343" s="1">
        <v>16315.0</v>
      </c>
      <c r="B15343" s="3" t="s">
        <v>14585</v>
      </c>
      <c r="C15343" s="3" t="str">
        <f>IFERROR(__xludf.DUMMYFUNCTION("GOOGLETRANSLATE(B15343,""id"",""en"")"),"['Application', 'Allow', 'device', 'Google', 'obstacles', 'Please', 'Help', '']")</f>
        <v>['Application', 'Allow', 'device', 'Google', 'obstacles', 'Please', 'Help', '']</v>
      </c>
      <c r="D15343" s="3">
        <v>2.0</v>
      </c>
    </row>
    <row r="15344" ht="15.75" customHeight="1">
      <c r="A15344" s="1">
        <v>16316.0</v>
      </c>
      <c r="B15344" s="3" t="s">
        <v>14586</v>
      </c>
      <c r="C15344" s="3" t="str">
        <f>IFERROR(__xludf.DUMMYFUNCTION("GOOGLETRANSLATE(B15344,""id"",""en"")"),"['opened', 'error', '']")</f>
        <v>['opened', 'error', '']</v>
      </c>
      <c r="D15344" s="3">
        <v>1.0</v>
      </c>
    </row>
    <row r="15345" ht="15.75" customHeight="1">
      <c r="A15345" s="1">
        <v>16318.0</v>
      </c>
      <c r="B15345" s="3" t="s">
        <v>14587</v>
      </c>
      <c r="C15345" s="3" t="str">
        <f>IFERROR(__xludf.DUMMYFUNCTION("GOOGLETRANSLATE(B15345,""id"",""en"")"),"['', 'Open', 'responds', 'update', 'APL', 'bad', 'please', 'fix']")</f>
        <v>['', 'Open', 'responds', 'update', 'APL', 'bad', 'please', 'fix']</v>
      </c>
      <c r="D15345" s="3">
        <v>1.0</v>
      </c>
    </row>
    <row r="15346" ht="15.75" customHeight="1">
      <c r="A15346" s="1">
        <v>16319.0</v>
      </c>
      <c r="B15346" s="3" t="s">
        <v>9114</v>
      </c>
      <c r="C15346" s="3" t="str">
        <f>IFERROR(__xludf.DUMMYFUNCTION("GOOGLETRANSLATE(B15346,""id"",""en"")"),"['Package', 'Internet', 'expensive']")</f>
        <v>['Package', 'Internet', 'expensive']</v>
      </c>
      <c r="D15346" s="3">
        <v>1.0</v>
      </c>
    </row>
    <row r="15347" ht="15.75" customHeight="1">
      <c r="A15347" s="1">
        <v>16320.0</v>
      </c>
      <c r="B15347" s="3" t="s">
        <v>14588</v>
      </c>
      <c r="C15347" s="3" t="str">
        <f>IFERROR(__xludf.DUMMYFUNCTION("GOOGLETRANSLATE(B15347,""id"",""en"")"),"['It's easy', 'communication', 'family', 'friend']")</f>
        <v>['It's easy', 'communication', 'family', 'friend']</v>
      </c>
      <c r="D15347" s="3">
        <v>5.0</v>
      </c>
    </row>
    <row r="15348" ht="15.75" customHeight="1">
      <c r="A15348" s="1">
        <v>16321.0</v>
      </c>
      <c r="B15348" s="3" t="s">
        <v>14589</v>
      </c>
      <c r="C15348" s="3" t="str">
        <f>IFERROR(__xludf.DUMMYFUNCTION("GOOGLETRANSLATE(B15348,""id"",""en"")"),"['business', 'apk', 'Telkomsel', 'package', 'internet', 'phone', 'cheap']")</f>
        <v>['business', 'apk', 'Telkomsel', 'package', 'internet', 'phone', 'cheap']</v>
      </c>
      <c r="D15348" s="3">
        <v>3.0</v>
      </c>
    </row>
    <row r="15349" ht="15.75" customHeight="1">
      <c r="A15349" s="1">
        <v>16322.0</v>
      </c>
      <c r="B15349" s="3" t="s">
        <v>3507</v>
      </c>
      <c r="C15349" s="3" t="str">
        <f>IFERROR(__xludf.DUMMYFUNCTION("GOOGLETRANSLATE(B15349,""id"",""en"")"),"['like', 'application']")</f>
        <v>['like', 'application']</v>
      </c>
      <c r="D15349" s="3">
        <v>5.0</v>
      </c>
    </row>
    <row r="15350" ht="15.75" customHeight="1">
      <c r="A15350" s="1">
        <v>16323.0</v>
      </c>
      <c r="B15350" s="3" t="s">
        <v>14590</v>
      </c>
      <c r="C15350" s="3" t="str">
        <f>IFERROR(__xludf.DUMMYFUNCTION("GOOGLETRANSLATE(B15350,""id"",""en"")"),"['Delicious', 'wear it']")</f>
        <v>['Delicious', 'wear it']</v>
      </c>
      <c r="D15350" s="3">
        <v>5.0</v>
      </c>
    </row>
    <row r="15351" ht="15.75" customHeight="1">
      <c r="A15351" s="1">
        <v>16324.0</v>
      </c>
      <c r="B15351" s="3" t="s">
        <v>14591</v>
      </c>
      <c r="C15351" s="3" t="str">
        <f>IFERROR(__xludf.DUMMYFUNCTION("GOOGLETRANSLATE(B15351,""id"",""en"")"),"['Easy', 'he fear']")</f>
        <v>['Easy', 'he fear']</v>
      </c>
      <c r="D15351" s="3">
        <v>5.0</v>
      </c>
    </row>
    <row r="15352" ht="15.75" customHeight="1">
      <c r="A15352" s="1">
        <v>16325.0</v>
      </c>
      <c r="B15352" s="3" t="s">
        <v>14592</v>
      </c>
      <c r="C15352" s="3" t="str">
        <f>IFERROR(__xludf.DUMMYFUNCTION("GOOGLETRANSLATE(B15352,""id"",""en"")"),"['fast', 'service', 'practical', '']")</f>
        <v>['fast', 'service', 'practical', '']</v>
      </c>
      <c r="D15352" s="3">
        <v>5.0</v>
      </c>
    </row>
    <row r="15353" ht="15.75" customHeight="1">
      <c r="A15353" s="1">
        <v>16326.0</v>
      </c>
      <c r="B15353" s="3" t="s">
        <v>14593</v>
      </c>
      <c r="C15353" s="3" t="str">
        <f>IFERROR(__xludf.DUMMYFUNCTION("GOOGLETRANSLATE(B15353,""id"",""en"")"),"['look', 'made easier']")</f>
        <v>['look', 'made easier']</v>
      </c>
      <c r="D15353" s="3">
        <v>5.0</v>
      </c>
    </row>
    <row r="15354" ht="15.75" customHeight="1">
      <c r="A15354" s="1">
        <v>16327.0</v>
      </c>
      <c r="B15354" s="3" t="s">
        <v>14594</v>
      </c>
      <c r="C15354" s="3" t="str">
        <f>IFERROR(__xludf.DUMMYFUNCTION("GOOGLETRANSLATE(B15354,""id"",""en"")"),"['list', 'ngak', 'entry', 'application', 'ngak', 'kayak', 'application', 'exis',' indosat ',' easy ',' entry ',' shy ',' Telkomsel ',' already ',' dozens', 'where', 'people', 'Makai', 'Telkomsel', 'Jaringa', 'Telkomsel', 'teach', 'ngak', 'use', 'package' "&amp;", 'Tsel', 'beg "",' repaired ',' Telkomsel ',' kirangajar ']")</f>
        <v>['list', 'ngak', 'entry', 'application', 'ngak', 'kayak', 'application', 'exis',' indosat ',' easy ',' entry ',' shy ',' Telkomsel ',' already ',' dozens', 'where', 'people', 'Makai', 'Telkomsel', 'Jaringa', 'Telkomsel', 'teach', 'ngak', 'use', 'package' , 'Tsel', 'beg ",' repaired ',' Telkomsel ',' kirangajar ']</v>
      </c>
      <c r="D15354" s="3">
        <v>1.0</v>
      </c>
    </row>
    <row r="15355" ht="15.75" customHeight="1">
      <c r="A15355" s="1">
        <v>16328.0</v>
      </c>
      <c r="B15355" s="3" t="s">
        <v>14595</v>
      </c>
      <c r="C15355" s="3" t="str">
        <f>IFERROR(__xludf.DUMMYFUNCTION("GOOGLETRANSLATE(B15355,""id"",""en"")"),"['The application', 'opened', 'ngeblank', 'screen', 'white', 'sometimes', 'open it', 'try', 'the application', 'noticed', 'dimaintenance', ""]")</f>
        <v>['The application', 'opened', 'ngeblank', 'screen', 'white', 'sometimes', 'open it', 'try', 'the application', 'noticed', 'dimaintenance', "]</v>
      </c>
      <c r="D15355" s="3">
        <v>3.0</v>
      </c>
    </row>
    <row r="15356" ht="15.75" customHeight="1">
      <c r="A15356" s="1">
        <v>16329.0</v>
      </c>
      <c r="B15356" s="3" t="s">
        <v>14596</v>
      </c>
      <c r="C15356" s="3" t="str">
        <f>IFERROR(__xludf.DUMMYFUNCTION("GOOGLETRANSLATE(B15356,""id"",""en"")"),"['OK', 'area', 'signal', 'Sometimes', 'slow', '']")</f>
        <v>['OK', 'area', 'signal', 'Sometimes', 'slow', '']</v>
      </c>
      <c r="D15356" s="3">
        <v>3.0</v>
      </c>
    </row>
    <row r="15357" ht="15.75" customHeight="1">
      <c r="A15357" s="1">
        <v>16330.0</v>
      </c>
      <c r="B15357" s="3" t="s">
        <v>14597</v>
      </c>
      <c r="C15357" s="3" t="str">
        <f>IFERROR(__xludf.DUMMYFUNCTION("GOOGLETRANSLATE(B15357,""id"",""en"")"),"['convenience', 'explanation', 'help']")</f>
        <v>['convenience', 'explanation', 'help']</v>
      </c>
      <c r="D15357" s="3">
        <v>5.0</v>
      </c>
    </row>
    <row r="15358" ht="15.75" customHeight="1">
      <c r="A15358" s="1">
        <v>16331.0</v>
      </c>
      <c r="B15358" s="3" t="s">
        <v>14598</v>
      </c>
      <c r="C15358" s="3" t="str">
        <f>IFERROR(__xludf.DUMMYFUNCTION("GOOGLETRANSLATE(B15358,""id"",""en"")"),"['application', 'White', 'Screen', 'Terips', 'Tired', 'Install', 'The Application', '']")</f>
        <v>['application', 'White', 'Screen', 'Terips', 'Tired', 'Install', 'The Application', '']</v>
      </c>
      <c r="D15358" s="3">
        <v>1.0</v>
      </c>
    </row>
    <row r="15359" ht="15.75" customHeight="1">
      <c r="A15359" s="1">
        <v>16332.0</v>
      </c>
      <c r="B15359" s="3" t="s">
        <v>14599</v>
      </c>
      <c r="C15359" s="3" t="str">
        <f>IFERROR(__xludf.DUMMYFUNCTION("GOOGLETRANSLATE(B15359,""id"",""en"")"),"['price', 'expensive', 'quality', 'network', 'bad', 'signal', 'setabilia', 'according to', 'disappointing', '']")</f>
        <v>['price', 'expensive', 'quality', 'network', 'bad', 'signal', 'setabilia', 'according to', 'disappointing', '']</v>
      </c>
      <c r="D15359" s="3">
        <v>1.0</v>
      </c>
    </row>
    <row r="15360" ht="15.75" customHeight="1">
      <c r="A15360" s="1">
        <v>16333.0</v>
      </c>
      <c r="B15360" s="3" t="s">
        <v>14600</v>
      </c>
      <c r="C15360" s="3" t="str">
        <f>IFERROR(__xludf.DUMMYFUNCTION("GOOGLETRANSLATE(B15360,""id"",""en"")"),"['Out', 'update', 'the application', 'open', 'my cellphone']")</f>
        <v>['Out', 'update', 'the application', 'open', 'my cellphone']</v>
      </c>
      <c r="D15360" s="3">
        <v>1.0</v>
      </c>
    </row>
    <row r="15361" ht="15.75" customHeight="1">
      <c r="A15361" s="1">
        <v>16334.0</v>
      </c>
      <c r="B15361" s="3" t="s">
        <v>14601</v>
      </c>
      <c r="C15361" s="3" t="str">
        <f>IFERROR(__xludf.DUMMYFUNCTION("GOOGLETRANSLATE(B15361,""id"",""en"")"),"['application', 'ugly', 'opened']")</f>
        <v>['application', 'ugly', 'opened']</v>
      </c>
      <c r="D15361" s="3">
        <v>1.0</v>
      </c>
    </row>
    <row r="15362" ht="15.75" customHeight="1">
      <c r="A15362" s="1">
        <v>16335.0</v>
      </c>
      <c r="B15362" s="3" t="s">
        <v>14602</v>
      </c>
      <c r="C15362" s="3" t="str">
        <f>IFERROR(__xludf.DUMMYFUNCTION("GOOGLETRANSLATE(B15362,""id"",""en"")"),"['Bitang', 'Dlu', 'Nyusul', 'Bitang']")</f>
        <v>['Bitang', 'Dlu', 'Nyusul', 'Bitang']</v>
      </c>
      <c r="D15362" s="3">
        <v>3.0</v>
      </c>
    </row>
    <row r="15363" ht="15.75" customHeight="1">
      <c r="A15363" s="1">
        <v>16336.0</v>
      </c>
      <c r="B15363" s="3" t="s">
        <v>14603</v>
      </c>
      <c r="C15363" s="3" t="str">
        <f>IFERROR(__xludf.DUMMYFUNCTION("GOOGLETRANSLATE(B15363,""id"",""en"")"),"['Help', 'Step', '']")</f>
        <v>['Help', 'Step', '']</v>
      </c>
      <c r="D15363" s="3">
        <v>5.0</v>
      </c>
    </row>
    <row r="15364" ht="15.75" customHeight="1">
      <c r="A15364" s="1">
        <v>16337.0</v>
      </c>
      <c r="B15364" s="3" t="s">
        <v>14604</v>
      </c>
      <c r="C15364" s="3" t="str">
        <f>IFERROR(__xludf.DUMMYFUNCTION("GOOGLETRANSLATE(B15364,""id"",""en"")"),"['open', 'application', 'MyTelkomsel', 'disappointed', 'really']")</f>
        <v>['open', 'application', 'MyTelkomsel', 'disappointed', 'really']</v>
      </c>
      <c r="D15364" s="3">
        <v>2.0</v>
      </c>
    </row>
    <row r="15365" ht="15.75" customHeight="1">
      <c r="A15365" s="1">
        <v>16338.0</v>
      </c>
      <c r="B15365" s="3" t="s">
        <v>14605</v>
      </c>
      <c r="C15365" s="3" t="str">
        <f>IFERROR(__xludf.DUMMYFUNCTION("GOOGLETRANSLATE(B15365,""id"",""en"")"),"['signal', 'good', 'throughout', 'remote', 'region', 'price', 'decent', 'expensive', 'package', 'compared to', 'competitor', 'value', ' Stars', 'signal', 'good', 'categories',' expensive ',' thank ',' love ', ""]")</f>
        <v>['signal', 'good', 'throughout', 'remote', 'region', 'price', 'decent', 'expensive', 'package', 'compared to', 'competitor', 'value', ' Stars', 'signal', 'good', 'categories',' expensive ',' thank ',' love ', "]</v>
      </c>
      <c r="D15365" s="3">
        <v>2.0</v>
      </c>
    </row>
    <row r="15366" ht="15.75" customHeight="1">
      <c r="A15366" s="1">
        <v>16339.0</v>
      </c>
      <c r="B15366" s="3" t="s">
        <v>14606</v>
      </c>
      <c r="C15366" s="3" t="str">
        <f>IFERROR(__xludf.DUMMYFUNCTION("GOOGLETRANSLATE(B15366,""id"",""en"")"),"['Telkomsel', 'Kanapa', 'Disorders', 'NDA', 'Enter', 'Application', 'Telkomsel']")</f>
        <v>['Telkomsel', 'Kanapa', 'Disorders', 'NDA', 'Enter', 'Application', 'Telkomsel']</v>
      </c>
      <c r="D15366" s="3">
        <v>2.0</v>
      </c>
    </row>
    <row r="15367" ht="15.75" customHeight="1">
      <c r="A15367" s="1">
        <v>16340.0</v>
      </c>
      <c r="B15367" s="3" t="s">
        <v>14607</v>
      </c>
      <c r="C15367" s="3" t="str">
        <f>IFERROR(__xludf.DUMMYFUNCTION("GOOGLETRANSLATE(B15367,""id"",""en"")"),"['Telkomsel', 'broken', 'right', 'enter', 'Telkomsel', 'broken', 'white', 'white', 'please', 'Telkomsel', 'fix']")</f>
        <v>['Telkomsel', 'broken', 'right', 'enter', 'Telkomsel', 'broken', 'white', 'white', 'please', 'Telkomsel', 'fix']</v>
      </c>
      <c r="D15367" s="3">
        <v>5.0</v>
      </c>
    </row>
    <row r="15368" ht="15.75" customHeight="1">
      <c r="A15368" s="1">
        <v>16341.0</v>
      </c>
      <c r="B15368" s="3" t="s">
        <v>14608</v>
      </c>
      <c r="C15368" s="3" t="str">
        <f>IFERROR(__xludf.DUMMYFUNCTION("GOOGLETRANSLATE(B15368,""id"",""en"")"),"['Utilizing', 'investors',' scooping ',' capital ',' trillion ',' no ',' care ',' price ',' stock ',' joke ',' heart ',' customer ',' migration ',' operator ',' no ',' intention ',' raises', 'price', 'shares', ""]")</f>
        <v>['Utilizing', 'investors',' scooping ',' capital ',' trillion ',' no ',' care ',' price ',' stock ',' joke ',' heart ',' customer ',' migration ',' operator ',' no ',' intention ',' raises', 'price', 'shares', "]</v>
      </c>
      <c r="D15368" s="3">
        <v>1.0</v>
      </c>
    </row>
    <row r="15369" ht="15.75" customHeight="1">
      <c r="A15369" s="1">
        <v>16342.0</v>
      </c>
      <c r="B15369" s="3" t="s">
        <v>14609</v>
      </c>
      <c r="C15369" s="3" t="str">
        <f>IFERROR(__xludf.DUMMYFUNCTION("GOOGLETRANSLATE(B15369,""id"",""en"")"),"['It's easy', 'check', 'baldness', 'buy', 'package', '']")</f>
        <v>['It's easy', 'check', 'baldness', 'buy', 'package', '']</v>
      </c>
      <c r="D15369" s="3">
        <v>5.0</v>
      </c>
    </row>
    <row r="15370" ht="15.75" customHeight="1">
      <c r="A15370" s="1">
        <v>16343.0</v>
      </c>
      <c r="B15370" s="3" t="s">
        <v>14610</v>
      </c>
      <c r="C15370" s="3" t="str">
        <f>IFERROR(__xludf.DUMMYFUNCTION("GOOGLETRANSLATE(B15370,""id"",""en"")"),"['Help', 'easy', 'package', 'data']")</f>
        <v>['Help', 'easy', 'package', 'data']</v>
      </c>
      <c r="D15370" s="3">
        <v>5.0</v>
      </c>
    </row>
    <row r="15371" ht="15.75" customHeight="1">
      <c r="A15371" s="1">
        <v>16344.0</v>
      </c>
      <c r="B15371" s="3" t="s">
        <v>14611</v>
      </c>
      <c r="C15371" s="3" t="str">
        <f>IFERROR(__xludf.DUMMYFUNCTION("GOOGLETRANSLATE(B15371,""id"",""en"")"),"['enter', 'drtdi', 'white', 'enter', 'enter', 'buy', 'package', 'data', 'gmn']")</f>
        <v>['enter', 'drtdi', 'white', 'enter', 'enter', 'buy', 'package', 'data', 'gmn']</v>
      </c>
      <c r="D15371" s="3">
        <v>1.0</v>
      </c>
    </row>
    <row r="15372" ht="15.75" customHeight="1">
      <c r="A15372" s="1">
        <v>16345.0</v>
      </c>
      <c r="B15372" s="3" t="s">
        <v>14612</v>
      </c>
      <c r="C15372" s="3" t="str">
        <f>IFERROR(__xludf.DUMMYFUNCTION("GOOGLETRANSLATE(B15372,""id"",""en"")"),"['entry', 'really', 'check', 'win', 'point', 'how', 'continued', 'Gini', 'Please', 'repaired', 'awaited', 'winner', ' The point ',' ']")</f>
        <v>['entry', 'really', 'check', 'win', 'point', 'how', 'continued', 'Gini', 'Please', 'repaired', 'awaited', 'winner', ' The point ',' ']</v>
      </c>
      <c r="D15372" s="3">
        <v>1.0</v>
      </c>
    </row>
    <row r="15373" ht="15.75" customHeight="1">
      <c r="A15373" s="1">
        <v>16347.0</v>
      </c>
      <c r="B15373" s="3" t="s">
        <v>14613</v>
      </c>
      <c r="C15373" s="3" t="str">
        <f>IFERROR(__xludf.DUMMYFUNCTION("GOOGLETRANSLATE(B15373,""id"",""en"")"),"['Good', 'Application', 'busting', 'smooth', 'network', 'Telkomsel', 'strong', 'plus', 'trimakasih', 'Telkomsel', ""]")</f>
        <v>['Good', 'Application', 'busting', 'smooth', 'network', 'Telkomsel', 'strong', 'plus', 'trimakasih', 'Telkomsel', "]</v>
      </c>
      <c r="D15373" s="3">
        <v>5.0</v>
      </c>
    </row>
    <row r="15374" ht="15.75" customHeight="1">
      <c r="A15374" s="1">
        <v>16348.0</v>
      </c>
      <c r="B15374" s="3" t="s">
        <v>14614</v>
      </c>
      <c r="C15374" s="3" t="str">
        <f>IFERROR(__xludf.DUMMYFUNCTION("GOOGLETRANSLATE(B15374,""id"",""en"")"),"['Please', 'The application', 'MyTelkomsel', 'repaired', 'entered', 'the application', 'The network', 'repaired', 'confused', 'see', 'quota', 'internet', ' application']")</f>
        <v>['Please', 'The application', 'MyTelkomsel', 'repaired', 'entered', 'the application', 'The network', 'repaired', 'confused', 'see', 'quota', 'internet', ' application']</v>
      </c>
      <c r="D15374" s="3">
        <v>1.0</v>
      </c>
    </row>
    <row r="15375" ht="15.75" customHeight="1">
      <c r="A15375" s="1">
        <v>16349.0</v>
      </c>
      <c r="B15375" s="3" t="s">
        <v>14615</v>
      </c>
      <c r="C15375" s="3" t="str">
        <f>IFERROR(__xludf.DUMMYFUNCTION("GOOGLETRANSLATE(B15375,""id"",""en"")"),"['Nice', 'Increase', '']")</f>
        <v>['Nice', 'Increase', '']</v>
      </c>
      <c r="D15375" s="3">
        <v>5.0</v>
      </c>
    </row>
    <row r="15376" ht="15.75" customHeight="1">
      <c r="A15376" s="1">
        <v>16350.0</v>
      </c>
      <c r="B15376" s="3" t="s">
        <v>14616</v>
      </c>
      <c r="C15376" s="3" t="str">
        <f>IFERROR(__xludf.DUMMYFUNCTION("GOOGLETRANSLATE(B15376,""id"",""en"")"),"['', 'Telkomsel', 'Membantu', 'Mikebeli', 'PULASA', 'Data', 'Choice']")</f>
        <v>['', 'Telkomsel', 'Membantu', 'Mikebeli', 'PULASA', 'Data', 'Choice']</v>
      </c>
      <c r="D15376" s="3">
        <v>4.0</v>
      </c>
    </row>
    <row r="15377" ht="15.75" customHeight="1">
      <c r="A15377" s="1">
        <v>16351.0</v>
      </c>
      <c r="B15377" s="3" t="s">
        <v>14617</v>
      </c>
      <c r="C15377" s="3" t="str">
        <f>IFERROR(__xludf.DUMMYFUNCTION("GOOGLETRANSLATE(B15377,""id"",""en"")"),"['Severe', 'updated', 'opened', 'blank', 'page']")</f>
        <v>['Severe', 'updated', 'opened', 'blank', 'page']</v>
      </c>
      <c r="D15377" s="3">
        <v>1.0</v>
      </c>
    </row>
    <row r="15378" ht="15.75" customHeight="1">
      <c r="A15378" s="1">
        <v>16352.0</v>
      </c>
      <c r="B15378" s="3" t="s">
        <v>14618</v>
      </c>
      <c r="C15378" s="3" t="str">
        <f>IFERROR(__xludf.DUMMYFUNCTION("GOOGLETRANSLATE(B15378,""id"",""en"")"),"['Sorry', 'DEF', 'complaining', 'About', 'Login', 'Login', 'Application', 'Constraints', 'Regarding', 'Login']")</f>
        <v>['Sorry', 'DEF', 'complaining', 'About', 'Login', 'Login', 'Application', 'Constraints', 'Regarding', 'Login']</v>
      </c>
      <c r="D15378" s="3">
        <v>4.0</v>
      </c>
    </row>
    <row r="15379" ht="15.75" customHeight="1">
      <c r="A15379" s="1">
        <v>16353.0</v>
      </c>
      <c r="B15379" s="3" t="s">
        <v>14619</v>
      </c>
      <c r="C15379" s="3" t="str">
        <f>IFERROR(__xludf.DUMMYFUNCTION("GOOGLETRANSLATE(B15379,""id"",""en"")"),"['Please', 'Benerin', 'Donk', 'Application', 'Telkomsel', 'Enter', 'Season', 'Look', 'Quota', 'Live', 'Why', 'Buy', ' Package ',' etc. ']")</f>
        <v>['Please', 'Benerin', 'Donk', 'Application', 'Telkomsel', 'Enter', 'Season', 'Look', 'Quota', 'Live', 'Why', 'Buy', ' Package ',' etc. ']</v>
      </c>
      <c r="D15379" s="3">
        <v>2.0</v>
      </c>
    </row>
    <row r="15380" ht="15.75" customHeight="1">
      <c r="A15380" s="1">
        <v>16354.0</v>
      </c>
      <c r="B15380" s="3" t="s">
        <v>14620</v>
      </c>
      <c r="C15380" s="3" t="str">
        <f>IFERROR(__xludf.DUMMYFUNCTION("GOOGLETRANSLATE(B15380,""id"",""en"")"),"['Bgs']")</f>
        <v>['Bgs']</v>
      </c>
      <c r="D15380" s="3">
        <v>5.0</v>
      </c>
    </row>
    <row r="15381" ht="15.75" customHeight="1">
      <c r="A15381" s="1">
        <v>16355.0</v>
      </c>
      <c r="B15381" s="3" t="s">
        <v>14621</v>
      </c>
      <c r="C15381" s="3" t="str">
        <f>IFERROR(__xludf.DUMMYFUNCTION("GOOGLETRANSLATE(B15381,""id"",""en"")"),"['Application', 'smooth', 'Good', 'Nambahin', '']")</f>
        <v>['Application', 'smooth', 'Good', 'Nambahin', '']</v>
      </c>
      <c r="D15381" s="3">
        <v>2.0</v>
      </c>
    </row>
    <row r="15382" ht="15.75" customHeight="1">
      <c r="A15382" s="1">
        <v>16356.0</v>
      </c>
      <c r="B15382" s="3" t="s">
        <v>14622</v>
      </c>
      <c r="C15382" s="3" t="str">
        <f>IFERROR(__xludf.DUMMYFUNCTION("GOOGLETRANSLATE(B15382,""id"",""en"")"),"['Dibuja', '']")</f>
        <v>['Dibuja', '']</v>
      </c>
      <c r="D15382" s="3">
        <v>5.0</v>
      </c>
    </row>
    <row r="15383" ht="15.75" customHeight="1">
      <c r="A15383" s="1">
        <v>16357.0</v>
      </c>
      <c r="B15383" s="3" t="s">
        <v>14623</v>
      </c>
      <c r="C15383" s="3" t="str">
        <f>IFERROR(__xludf.DUMMYFUNCTION("GOOGLETRANSLATE(B15383,""id"",""en"")"),"['Enter', 'APK', 'ISI', 'Package', '']")</f>
        <v>['Enter', 'APK', 'ISI', 'Package', '']</v>
      </c>
      <c r="D15383" s="3">
        <v>1.0</v>
      </c>
    </row>
    <row r="15384" ht="15.75" customHeight="1">
      <c r="A15384" s="1">
        <v>16358.0</v>
      </c>
      <c r="B15384" s="3" t="s">
        <v>14624</v>
      </c>
      <c r="C15384" s="3" t="str">
        <f>IFERROR(__xludf.DUMMYFUNCTION("GOOGLETRANSLATE(B15384,""id"",""en"")"),"['Signal', 'Telkomsel', 'Weak']")</f>
        <v>['Signal', 'Telkomsel', 'Weak']</v>
      </c>
      <c r="D15384" s="3">
        <v>1.0</v>
      </c>
    </row>
    <row r="15385" ht="15.75" customHeight="1">
      <c r="A15385" s="1">
        <v>16359.0</v>
      </c>
      <c r="B15385" s="3" t="s">
        <v>8758</v>
      </c>
      <c r="C15385" s="3" t="str">
        <f>IFERROR(__xludf.DUMMYFUNCTION("GOOGLETRANSLATE(B15385,""id"",""en"")"),"['promo', 'good']")</f>
        <v>['promo', 'good']</v>
      </c>
      <c r="D15385" s="3">
        <v>5.0</v>
      </c>
    </row>
    <row r="15386" ht="15.75" customHeight="1">
      <c r="A15386" s="1">
        <v>16360.0</v>
      </c>
      <c r="B15386" s="3" t="s">
        <v>14625</v>
      </c>
      <c r="C15386" s="3" t="str">
        <f>IFERROR(__xludf.DUMMYFUNCTION("GOOGLETRANSLATE(B15386,""id"",""en"")"),"['Please', 'Benerin', 'Network', 'Telkomsel', 'Region', 'Riau', 'Balam', 'Network', 'Leet', 'Mulu', 'Please', 'Read', ' ']")</f>
        <v>['Please', 'Benerin', 'Network', 'Telkomsel', 'Region', 'Riau', 'Balam', 'Network', 'Leet', 'Mulu', 'Please', 'Read', ' ']</v>
      </c>
      <c r="D15386" s="3">
        <v>1.0</v>
      </c>
    </row>
    <row r="15387" ht="15.75" customHeight="1">
      <c r="A15387" s="1">
        <v>16362.0</v>
      </c>
      <c r="B15387" s="3" t="s">
        <v>14626</v>
      </c>
      <c r="C15387" s="3" t="str">
        <f>IFERROR(__xludf.DUMMYFUNCTION("GOOGLETRANSLATE(B15387,""id"",""en"")"),"['Threat', 'enter', 'The application', 'Disappointed']")</f>
        <v>['Threat', 'enter', 'The application', 'Disappointed']</v>
      </c>
      <c r="D15387" s="3">
        <v>1.0</v>
      </c>
    </row>
    <row r="15388" ht="15.75" customHeight="1">
      <c r="A15388" s="1">
        <v>16363.0</v>
      </c>
      <c r="B15388" s="3" t="s">
        <v>14627</v>
      </c>
      <c r="C15388" s="3" t="str">
        <f>IFERROR(__xludf.DUMMYFUNCTION("GOOGLETRANSLATE(B15388,""id"",""en"")"),"['Open', 'application', 'classmate', 'Telkomsel', 'slow', 'good', 'easy', 'fast']")</f>
        <v>['Open', 'application', 'classmate', 'Telkomsel', 'slow', 'good', 'easy', 'fast']</v>
      </c>
      <c r="D15388" s="3">
        <v>1.0</v>
      </c>
    </row>
    <row r="15389" ht="15.75" customHeight="1">
      <c r="A15389" s="1">
        <v>16364.0</v>
      </c>
      <c r="B15389" s="3" t="s">
        <v>14628</v>
      </c>
      <c r="C15389" s="3" t="str">
        <f>IFERROR(__xludf.DUMMYFUNCTION("GOOGLETRANSLATE(B15389,""id"",""en"")"),"['Ribet', 'buy', 'data', 'error', '']")</f>
        <v>['Ribet', 'buy', 'data', 'error', '']</v>
      </c>
      <c r="D15389" s="3">
        <v>1.0</v>
      </c>
    </row>
    <row r="15390" ht="15.75" customHeight="1">
      <c r="A15390" s="1">
        <v>16365.0</v>
      </c>
      <c r="B15390" s="3" t="s">
        <v>14629</v>
      </c>
      <c r="C15390" s="3" t="str">
        <f>IFERROR(__xludf.DUMMYFUNCTION("GOOGLETRANSLATE(B15390,""id"",""en"")"),"['GMN', 'Telkomsel', 'opened', '']")</f>
        <v>['GMN', 'Telkomsel', 'opened', '']</v>
      </c>
      <c r="D15390" s="3">
        <v>1.0</v>
      </c>
    </row>
    <row r="15391" ht="15.75" customHeight="1">
      <c r="A15391" s="1">
        <v>16366.0</v>
      </c>
      <c r="B15391" s="3" t="s">
        <v>14630</v>
      </c>
      <c r="C15391" s="3" t="str">
        <f>IFERROR(__xludf.DUMMYFUNCTION("GOOGLETRANSLATE(B15391,""id"",""en"")"),"['Paketan', 'expensive', 'network', 'stable', 'hilarious', 'wkwkwk', '']")</f>
        <v>['Paketan', 'expensive', 'network', 'stable', 'hilarious', 'wkwkwk', '']</v>
      </c>
      <c r="D15391" s="3">
        <v>1.0</v>
      </c>
    </row>
    <row r="15392" ht="15.75" customHeight="1">
      <c r="A15392" s="1">
        <v>16367.0</v>
      </c>
      <c r="B15392" s="3" t="s">
        <v>14631</v>
      </c>
      <c r="C15392" s="3" t="str">
        <f>IFERROR(__xludf.DUMMYFUNCTION("GOOGLETRANSLATE(B15392,""id"",""en"")"),"['How', 'The application', 'update', 'TPI', 'NGGK', 'Download', 'Automatic', 'Buy', 'Package', 'Data', 'Nggk', ""]")</f>
        <v>['How', 'The application', 'update', 'TPI', 'NGGK', 'Download', 'Automatic', 'Buy', 'Package', 'Data', 'Nggk', "]</v>
      </c>
      <c r="D15392" s="3">
        <v>1.0</v>
      </c>
    </row>
    <row r="15393" ht="15.75" customHeight="1">
      <c r="A15393" s="1">
        <v>16368.0</v>
      </c>
      <c r="B15393" s="3" t="s">
        <v>14632</v>
      </c>
      <c r="C15393" s="3" t="str">
        <f>IFERROR(__xludf.DUMMYFUNCTION("GOOGLETRANSLATE(B15393,""id"",""en"")"),"['Telkomsel', 'open', 'send', 'email']")</f>
        <v>['Telkomsel', 'open', 'send', 'email']</v>
      </c>
      <c r="D15393" s="3">
        <v>1.0</v>
      </c>
    </row>
    <row r="15394" ht="15.75" customHeight="1">
      <c r="A15394" s="1">
        <v>16369.0</v>
      </c>
      <c r="B15394" s="3" t="s">
        <v>14633</v>
      </c>
      <c r="C15394" s="3" t="str">
        <f>IFERROR(__xludf.DUMMYFUNCTION("GOOGLETRANSLATE(B15394,""id"",""en"")"),"['promo', 'app']")</f>
        <v>['promo', 'app']</v>
      </c>
      <c r="D15394" s="3">
        <v>5.0</v>
      </c>
    </row>
    <row r="15395" ht="15.75" customHeight="1">
      <c r="A15395" s="1">
        <v>16370.0</v>
      </c>
      <c r="B15395" s="3" t="s">
        <v>14634</v>
      </c>
      <c r="C15395" s="3" t="str">
        <f>IFERROR(__xludf.DUMMYFUNCTION("GOOGLETRANSLATE(B15395,""id"",""en"")"),"['Just now', 'download', 'entry', 'really', 'please', 'repaired', ""]")</f>
        <v>['Just now', 'download', 'entry', 'really', 'please', 'repaired', "]</v>
      </c>
      <c r="D15395" s="3">
        <v>1.0</v>
      </c>
    </row>
    <row r="15396" ht="15.75" customHeight="1">
      <c r="A15396" s="1">
        <v>16371.0</v>
      </c>
      <c r="B15396" s="3" t="s">
        <v>14635</v>
      </c>
      <c r="C15396" s="3" t="str">
        <f>IFERROR(__xludf.DUMMYFUNCTION("GOOGLETRANSLATE(B15396,""id"",""en"")"),"['Give', 'Star', 'updated', 'Bad', 'Application', 'Open', 'Home', 'Loading', 'White', 'Nampil', 'Heranda', 'Update', ' Good ',' bad ',' regret ',' update ',' application ',' ']")</f>
        <v>['Give', 'Star', 'updated', 'Bad', 'Application', 'Open', 'Home', 'Loading', 'White', 'Nampil', 'Heranda', 'Update', ' Good ',' bad ',' regret ',' update ',' application ',' ']</v>
      </c>
      <c r="D15396" s="3">
        <v>1.0</v>
      </c>
    </row>
    <row r="15397" ht="15.75" customHeight="1">
      <c r="A15397" s="1">
        <v>16372.0</v>
      </c>
      <c r="B15397" s="3" t="s">
        <v>14636</v>
      </c>
      <c r="C15397" s="3" t="str">
        <f>IFERROR(__xludf.DUMMYFUNCTION("GOOGLETRANSLATE(B15397,""id"",""en"")"),"['update', 'opened', 'screen', 'white', '']")</f>
        <v>['update', 'opened', 'screen', 'white', '']</v>
      </c>
      <c r="D15397" s="3">
        <v>2.0</v>
      </c>
    </row>
    <row r="15398" ht="15.75" customHeight="1">
      <c r="A15398" s="1">
        <v>16373.0</v>
      </c>
      <c r="B15398" s="3" t="s">
        <v>14637</v>
      </c>
      <c r="C15398" s="3" t="str">
        <f>IFERROR(__xludf.DUMMYFUNCTION("GOOGLETRANSLATE(B15398,""id"",""en"")"),"['Application', 'updated', 'laaaahhhh', 'entered', 'please', 'note', 'customers', 'Telkomsel']")</f>
        <v>['Application', 'updated', 'laaaahhhh', 'entered', 'please', 'note', 'customers', 'Telkomsel']</v>
      </c>
      <c r="D15398" s="3">
        <v>5.0</v>
      </c>
    </row>
    <row r="15399" ht="15.75" customHeight="1">
      <c r="A15399" s="1">
        <v>16374.0</v>
      </c>
      <c r="B15399" s="3" t="s">
        <v>14638</v>
      </c>
      <c r="C15399" s="3" t="str">
        <f>IFERROR(__xludf.DUMMYFUNCTION("GOOGLETRANSLATE(B15399,""id"",""en"")"),"['Telkomsel', 'buy', 'package', 'internet', '']")</f>
        <v>['Telkomsel', 'buy', 'package', 'internet', '']</v>
      </c>
      <c r="D15399" s="3">
        <v>1.0</v>
      </c>
    </row>
    <row r="15400" ht="15.75" customHeight="1">
      <c r="A15400" s="1">
        <v>16375.0</v>
      </c>
      <c r="B15400" s="3" t="s">
        <v>14639</v>
      </c>
      <c r="C15400" s="3" t="str">
        <f>IFERROR(__xludf.DUMMYFUNCTION("GOOGLETRANSLATE(B15400,""id"",""en"")"),"['Update', 'enter', 'application']")</f>
        <v>['Update', 'enter', 'application']</v>
      </c>
      <c r="D15400" s="3">
        <v>1.0</v>
      </c>
    </row>
    <row r="15401" ht="15.75" customHeight="1">
      <c r="A15401" s="1">
        <v>16376.0</v>
      </c>
      <c r="B15401" s="3" t="s">
        <v>14640</v>
      </c>
      <c r="C15401" s="3" t="str">
        <f>IFERROR(__xludf.DUMMYFUNCTION("GOOGLETRANSLATE(B15401,""id"",""en"")"),"['siip', 'advertisement', 'disturb', 'times',' open ',' application ',' ngeblang ',' white ',' loading ',' longaa ',' really ',' unistal ',' ']")</f>
        <v>['siip', 'advertisement', 'disturb', 'times',' open ',' application ',' ngeblang ',' white ',' loading ',' longaa ',' really ',' unistal ',' ']</v>
      </c>
      <c r="D15401" s="3">
        <v>2.0</v>
      </c>
    </row>
    <row r="15402" ht="15.75" customHeight="1">
      <c r="A15402" s="1">
        <v>16377.0</v>
      </c>
      <c r="B15402" s="3" t="s">
        <v>14641</v>
      </c>
      <c r="C15402" s="3" t="str">
        <f>IFERROR(__xludf.DUMMYFUNCTION("GOOGLETRANSLATE(B15402,""id"",""en"")"),"['Disruption', 'Please', 'Dipprimin', 'Fluency', 'internet', 'Thank', 'Love']")</f>
        <v>['Disruption', 'Please', 'Dipprimin', 'Fluency', 'internet', 'Thank', 'Love']</v>
      </c>
      <c r="D15402" s="3">
        <v>5.0</v>
      </c>
    </row>
    <row r="15403" ht="15.75" customHeight="1">
      <c r="A15403" s="1">
        <v>16378.0</v>
      </c>
      <c r="B15403" s="3" t="s">
        <v>14642</v>
      </c>
      <c r="C15403" s="3" t="str">
        <f>IFERROR(__xludf.DUMMYFUNCTION("GOOGLETRANSLATE(B15403,""id"",""en"")"),"['Since', 'Update', 'Application', 'responds', 'trusss', ""]")</f>
        <v>['Since', 'Update', 'Application', 'responds', 'trusss', "]</v>
      </c>
      <c r="D15403" s="3">
        <v>1.0</v>
      </c>
    </row>
    <row r="15404" ht="15.75" customHeight="1">
      <c r="A15404" s="1">
        <v>16379.0</v>
      </c>
      <c r="B15404" s="3" t="s">
        <v>14643</v>
      </c>
      <c r="C15404" s="3" t="str">
        <f>IFERROR(__xludf.DUMMYFUNCTION("GOOGLETRANSLATE(B15404,""id"",""en"")"),"['Details',' Service ',' Scratch ',' Simcard ',' is displayed ',' sports', 'deliberate', 'left', 'sucked', 'pulse', 'service', 'NSP', ' ads', 'deliberate', 'hidden', 'detail', 'subscribe', 'eroded', 'contents',' pulse ',' dismiss', 'trouble', 'search', 'm"&amp;"enu', 'his choice' , 'Where', 'application', 'use', 'lose', 'application', 'sikuning', 'detail', 'bnget', 'service', 'histori', 'use']")</f>
        <v>['Details',' Service ',' Scratch ',' Simcard ',' is displayed ',' sports', 'deliberate', 'left', 'sucked', 'pulse', 'service', 'NSP', ' ads', 'deliberate', 'hidden', 'detail', 'subscribe', 'eroded', 'contents',' pulse ',' dismiss', 'trouble', 'search', 'menu', 'his choice' , 'Where', 'application', 'use', 'lose', 'application', 'sikuning', 'detail', 'bnget', 'service', 'histori', 'use']</v>
      </c>
      <c r="D15404" s="3">
        <v>1.0</v>
      </c>
    </row>
    <row r="15405" ht="15.75" customHeight="1">
      <c r="A15405" s="1">
        <v>16380.0</v>
      </c>
      <c r="B15405" s="3" t="s">
        <v>14644</v>
      </c>
      <c r="C15405" s="3" t="str">
        <f>IFERROR(__xludf.DUMMYFUNCTION("GOOGLETRANSLATE(B15405,""id"",""en"")"),"['Steady', 'rare', 'package', 'cheap', 'card']")</f>
        <v>['Steady', 'rare', 'package', 'cheap', 'card']</v>
      </c>
      <c r="D15405" s="3">
        <v>5.0</v>
      </c>
    </row>
    <row r="15406" ht="15.75" customHeight="1">
      <c r="A15406" s="1">
        <v>16381.0</v>
      </c>
      <c r="B15406" s="3" t="s">
        <v>14645</v>
      </c>
      <c r="C15406" s="3" t="str">
        <f>IFERROR(__xludf.DUMMYFUNCTION("GOOGLETRANSLATE(B15406,""id"",""en"")"),"['', 'Telkomsel', ""]")</f>
        <v>['', 'Telkomsel', "]</v>
      </c>
      <c r="D15406" s="3">
        <v>5.0</v>
      </c>
    </row>
    <row r="15407" ht="15.75" customHeight="1">
      <c r="A15407" s="1">
        <v>16382.0</v>
      </c>
      <c r="B15407" s="3" t="s">
        <v>14646</v>
      </c>
      <c r="C15407" s="3" t="str">
        <f>IFERROR(__xludf.DUMMYFUNCTION("GOOGLETRANSLATE(B15407,""id"",""en"")"),"['application', 'Telkomsel', 'dbuka', 'unisntal', 'then', 'install', 'knp', 'ama', 'dbuka', 'dbuka', 'cma', 'screen', ' White ',' Please ',' Explanation ',' Min ',' Jga ',' Contact ',' Call ',' Center ',' Results', 'nihil']")</f>
        <v>['application', 'Telkomsel', 'dbuka', 'unisntal', 'then', 'install', 'knp', 'ama', 'dbuka', 'dbuka', 'cma', 'screen', ' White ',' Please ',' Explanation ',' Min ',' Jga ',' Contact ',' Call ',' Center ',' Results', 'nihil']</v>
      </c>
      <c r="D15407" s="3">
        <v>2.0</v>
      </c>
    </row>
    <row r="15408" ht="15.75" customHeight="1">
      <c r="A15408" s="1">
        <v>16383.0</v>
      </c>
      <c r="B15408" s="3" t="s">
        <v>14647</v>
      </c>
      <c r="C15408" s="3" t="str">
        <f>IFERROR(__xludf.DUMMYFUNCTION("GOOGLETRANSLATE(B15408,""id"",""en"")"),"['Suggestion', 'Please', 'Attach', 'Diteil', 'Winner', 'Lottery', 'Thank you']")</f>
        <v>['Suggestion', 'Please', 'Attach', 'Diteil', 'Winner', 'Lottery', 'Thank you']</v>
      </c>
      <c r="D15408" s="3">
        <v>5.0</v>
      </c>
    </row>
    <row r="15409" ht="15.75" customHeight="1">
      <c r="A15409" s="1">
        <v>16384.0</v>
      </c>
      <c r="B15409" s="3" t="s">
        <v>14648</v>
      </c>
      <c r="C15409" s="3" t="str">
        <f>IFERROR(__xludf.DUMMYFUNCTION("GOOGLETRANSLATE(B15409,""id"",""en"")"),"['Sorry', 'APK', 'MyTelkomsel', 'BSA', 'Open', 'restart', 'Install', 'reset', 'ttep', 'open', 'display', 'screen', ' White ',' GTU ',' ']")</f>
        <v>['Sorry', 'APK', 'MyTelkomsel', 'BSA', 'Open', 'restart', 'Install', 'reset', 'ttep', 'open', 'display', 'screen', ' White ',' GTU ',' ']</v>
      </c>
      <c r="D15409" s="3">
        <v>4.0</v>
      </c>
    </row>
    <row r="15410" ht="15.75" customHeight="1">
      <c r="A15410" s="1">
        <v>16385.0</v>
      </c>
      <c r="B15410" s="3" t="s">
        <v>14649</v>
      </c>
      <c r="C15410" s="3" t="str">
        <f>IFERROR(__xludf.DUMMYFUNCTION("GOOGLETRANSLATE(B15410,""id"",""en"")"),"['Open', 'Open']")</f>
        <v>['Open', 'Open']</v>
      </c>
      <c r="D15410" s="3">
        <v>2.0</v>
      </c>
    </row>
    <row r="15411" ht="15.75" customHeight="1">
      <c r="A15411" s="1">
        <v>16386.0</v>
      </c>
      <c r="B15411" s="3" t="s">
        <v>14650</v>
      </c>
      <c r="C15411" s="3" t="str">
        <f>IFERROR(__xludf.DUMMYFUNCTION("GOOGLETRANSLATE(B15411,""id"",""en"")"),"['Star', 'because', 'skrng', 'open', 'apps', 'Telkomoselny', 'buy', 'quota']")</f>
        <v>['Star', 'because', 'skrng', 'open', 'apps', 'Telkomoselny', 'buy', 'quota']</v>
      </c>
      <c r="D15411" s="3">
        <v>1.0</v>
      </c>
    </row>
    <row r="15412" ht="15.75" customHeight="1">
      <c r="A15412" s="1">
        <v>16387.0</v>
      </c>
      <c r="B15412" s="3" t="s">
        <v>14651</v>
      </c>
      <c r="C15412" s="3" t="str">
        <f>IFERROR(__xludf.DUMMYFUNCTION("GOOGLETRANSLATE(B15412,""id"",""en"")"),"['difficult', 'opened', 'emg', 'good', '']")</f>
        <v>['difficult', 'opened', 'emg', 'good', '']</v>
      </c>
      <c r="D15412" s="3">
        <v>1.0</v>
      </c>
    </row>
    <row r="15413" ht="15.75" customHeight="1">
      <c r="A15413" s="1">
        <v>16388.0</v>
      </c>
      <c r="B15413" s="3" t="s">
        <v>14652</v>
      </c>
      <c r="C15413" s="3" t="str">
        <f>IFERROR(__xludf.DUMMYFUNCTION("GOOGLETRANSLATE(B15413,""id"",""en"")"),"['bnyak', 'promo', 'interesting', 'thank you', 'Telkomsel']")</f>
        <v>['bnyak', 'promo', 'interesting', 'thank you', 'Telkomsel']</v>
      </c>
      <c r="D15413" s="3">
        <v>5.0</v>
      </c>
    </row>
    <row r="15414" ht="15.75" customHeight="1">
      <c r="A15414" s="1">
        <v>16389.0</v>
      </c>
      <c r="B15414" s="3" t="s">
        <v>14653</v>
      </c>
      <c r="C15414" s="3" t="str">
        <f>IFERROR(__xludf.DUMMYFUNCTION("GOOGLETRANSLATE(B15414,""id"",""en"")"),"['Signal', 'Weak', 'bangetttttttt']")</f>
        <v>['Signal', 'Weak', 'bangetttttttt']</v>
      </c>
      <c r="D15414" s="3">
        <v>1.0</v>
      </c>
    </row>
    <row r="15415" ht="15.75" customHeight="1">
      <c r="A15415" s="1">
        <v>16390.0</v>
      </c>
      <c r="B15415" s="3" t="s">
        <v>14654</v>
      </c>
      <c r="C15415" s="3" t="str">
        <f>IFERROR(__xludf.DUMMYFUNCTION("GOOGLETRANSLATE(B15415,""id"",""en"")"),"['easy', 'transaction']")</f>
        <v>['easy', 'transaction']</v>
      </c>
      <c r="D15415" s="3">
        <v>5.0</v>
      </c>
    </row>
    <row r="15416" ht="15.75" customHeight="1">
      <c r="A15416" s="1">
        <v>16391.0</v>
      </c>
      <c r="B15416" s="3" t="s">
        <v>14655</v>
      </c>
      <c r="C15416" s="3" t="str">
        <f>IFERROR(__xludf.DUMMYFUNCTION("GOOGLETRANSLATE(B15416,""id"",""en"")"),"['Weight', 'Open', 'Application']")</f>
        <v>['Weight', 'Open', 'Application']</v>
      </c>
      <c r="D15416" s="3">
        <v>3.0</v>
      </c>
    </row>
    <row r="15417" ht="15.75" customHeight="1">
      <c r="A15417" s="1">
        <v>16392.0</v>
      </c>
      <c r="B15417" s="3" t="s">
        <v>14656</v>
      </c>
      <c r="C15417" s="3" t="str">
        <f>IFERROR(__xludf.DUMMYFUNCTION("GOOGLETRANSLATE(B15417,""id"",""en"")"),"['Help', 'Unfortunately', 'menu', 'cancellation', 'subscribe', ""]")</f>
        <v>['Help', 'Unfortunately', 'menu', 'cancellation', 'subscribe', "]</v>
      </c>
      <c r="D15417" s="3">
        <v>5.0</v>
      </c>
    </row>
    <row r="15418" ht="15.75" customHeight="1">
      <c r="A15418" s="1">
        <v>16393.0</v>
      </c>
      <c r="B15418" s="3" t="s">
        <v>14657</v>
      </c>
      <c r="C15418" s="3" t="str">
        <f>IFERROR(__xludf.DUMMYFUNCTION("GOOGLETRANSLATE(B15418,""id"",""en"")"),"['Knp', 'Out', 'Update', 'Open', 'Hmm']")</f>
        <v>['Knp', 'Out', 'Update', 'Open', 'Hmm']</v>
      </c>
      <c r="D15418" s="3">
        <v>1.0</v>
      </c>
    </row>
    <row r="15419" ht="15.75" customHeight="1">
      <c r="A15419" s="1">
        <v>16394.0</v>
      </c>
      <c r="B15419" s="3" t="s">
        <v>12937</v>
      </c>
      <c r="C15419" s="3" t="str">
        <f>IFERROR(__xludf.DUMMYFUNCTION("GOOGLETRANSLATE(B15419,""id"",""en"")"),"['signal', 'Telkomsel', 'bad']")</f>
        <v>['signal', 'Telkomsel', 'bad']</v>
      </c>
      <c r="D15419" s="3">
        <v>1.0</v>
      </c>
    </row>
    <row r="15420" ht="15.75" customHeight="1">
      <c r="A15420" s="1">
        <v>16395.0</v>
      </c>
      <c r="B15420" s="3" t="s">
        <v>14658</v>
      </c>
      <c r="C15420" s="3" t="str">
        <f>IFERROR(__xludf.DUMMYFUNCTION("GOOGLETRANSLATE(B15420,""id"",""en"")"),"['updated', 'access', 'APK', 'MyTelkomsel', 'Screen', 'White', 'Force', 'Close', 'Service', 'Bad']")</f>
        <v>['updated', 'access', 'APK', 'MyTelkomsel', 'Screen', 'White', 'Force', 'Close', 'Service', 'Bad']</v>
      </c>
      <c r="D15420" s="3">
        <v>1.0</v>
      </c>
    </row>
    <row r="15421" ht="15.75" customHeight="1">
      <c r="A15421" s="1">
        <v>16396.0</v>
      </c>
      <c r="B15421" s="3" t="s">
        <v>14659</v>
      </c>
      <c r="C15421" s="3" t="str">
        <f>IFERROR(__xludf.DUMMYFUNCTION("GOOGLETRANSLATE(B15421,""id"",""en"")"),"['Telkomsel', 'signal', 'slow', 'Ancuuurrr', '']")</f>
        <v>['Telkomsel', 'signal', 'slow', 'Ancuuurrr', '']</v>
      </c>
      <c r="D15421" s="3">
        <v>2.0</v>
      </c>
    </row>
    <row r="15422" ht="15.75" customHeight="1">
      <c r="A15422" s="1">
        <v>16397.0</v>
      </c>
      <c r="B15422" s="3" t="s">
        <v>12900</v>
      </c>
      <c r="C15422" s="3" t="str">
        <f>IFERROR(__xludf.DUMMYFUNCTION("GOOGLETRANSLATE(B15422,""id"",""en"")"),"['opened', 'screen', 'white']")</f>
        <v>['opened', 'screen', 'white']</v>
      </c>
      <c r="D15422" s="3">
        <v>1.0</v>
      </c>
    </row>
    <row r="15423" ht="15.75" customHeight="1">
      <c r="A15423" s="1">
        <v>16398.0</v>
      </c>
      <c r="B15423" s="3" t="s">
        <v>14660</v>
      </c>
      <c r="C15423" s="3" t="str">
        <f>IFERROR(__xludf.DUMMYFUNCTION("GOOGLETRANSLATE(B15423,""id"",""en"")"),"['Update', 'Telkomsel', 'Open', 'appears', 'screen', 'color', 'white', 'solution', 'min']")</f>
        <v>['Update', 'Telkomsel', 'Open', 'appears', 'screen', 'color', 'white', 'solution', 'min']</v>
      </c>
      <c r="D15423" s="3">
        <v>1.0</v>
      </c>
    </row>
    <row r="15424" ht="15.75" customHeight="1">
      <c r="A15424" s="1">
        <v>16399.0</v>
      </c>
      <c r="B15424" s="3" t="s">
        <v>14661</v>
      </c>
      <c r="C15424" s="3" t="str">
        <f>IFERROR(__xludf.DUMMYFUNCTION("GOOGLETRANSLATE(B15424,""id"",""en"")"),"['', 'Telkomsel', 'buy', 'quota', 'tsel', 'already', 'bbrpa', 'koq', 'yaa', 'already', 'reboot', 'uninstall', 'app ',' DLL ',' TTP ',' opened ',' ']")</f>
        <v>['', 'Telkomsel', 'buy', 'quota', 'tsel', 'already', 'bbrpa', 'koq', 'yaa', 'already', 'reboot', 'uninstall', 'app ',' DLL ',' TTP ',' opened ',' ']</v>
      </c>
      <c r="D15424" s="3">
        <v>1.0</v>
      </c>
    </row>
    <row r="15425" ht="15.75" customHeight="1">
      <c r="A15425" s="1">
        <v>16400.0</v>
      </c>
      <c r="B15425" s="3" t="s">
        <v>14662</v>
      </c>
      <c r="C15425" s="3" t="str">
        <f>IFERROR(__xludf.DUMMYFUNCTION("GOOGLETRANSLATE(B15425,""id"",""en"")"),"['hope you win', '']")</f>
        <v>['hope you win', '']</v>
      </c>
      <c r="D15425" s="3">
        <v>5.0</v>
      </c>
    </row>
    <row r="15426" ht="15.75" customHeight="1">
      <c r="A15426" s="1">
        <v>16401.0</v>
      </c>
      <c r="B15426" s="3" t="s">
        <v>14663</v>
      </c>
      <c r="C15426" s="3" t="str">
        <f>IFERROR(__xludf.DUMMYFUNCTION("GOOGLETRANSLATE(B15426,""id"",""en"")"),"['times',' date ',' the application ',' open ',' display ',' screen ',' white ',' how ',' check ',' sldo ',' buy ',' package ',' Promotions', '']")</f>
        <v>['times',' date ',' the application ',' open ',' display ',' screen ',' white ',' how ',' check ',' sldo ',' buy ',' package ',' Promotions', '']</v>
      </c>
      <c r="D15426" s="3">
        <v>1.0</v>
      </c>
    </row>
    <row r="15427" ht="15.75" customHeight="1">
      <c r="A15427" s="1">
        <v>16402.0</v>
      </c>
      <c r="B15427" s="3" t="s">
        <v>14664</v>
      </c>
      <c r="C15427" s="3" t="str">
        <f>IFERROR(__xludf.DUMMYFUNCTION("GOOGLETRANSLATE(B15427,""id"",""en"")"),"['Good', 'makes it easy', 'use']")</f>
        <v>['Good', 'makes it easy', 'use']</v>
      </c>
      <c r="D15427" s="3">
        <v>5.0</v>
      </c>
    </row>
    <row r="15428" ht="15.75" customHeight="1">
      <c r="A15428" s="1">
        <v>16403.0</v>
      </c>
      <c r="B15428" s="3" t="s">
        <v>14665</v>
      </c>
      <c r="C15428" s="3" t="str">
        <f>IFERROR(__xludf.DUMMYFUNCTION("GOOGLETRANSLATE(B15428,""id"",""en"")"),"['expensive', 'opening', 'application', 'slow']")</f>
        <v>['expensive', 'opening', 'application', 'slow']</v>
      </c>
      <c r="D15428" s="3">
        <v>1.0</v>
      </c>
    </row>
    <row r="15429" ht="15.75" customHeight="1">
      <c r="A15429" s="1">
        <v>16404.0</v>
      </c>
      <c r="B15429" s="3" t="s">
        <v>4176</v>
      </c>
      <c r="C15429" s="3" t="str">
        <f>IFERROR(__xludf.DUMMYFUNCTION("GOOGLETRANSLATE(B15429,""id"",""en"")"),"['Application', 'help', ""]")</f>
        <v>['Application', 'help', "]</v>
      </c>
      <c r="D15429" s="3">
        <v>5.0</v>
      </c>
    </row>
    <row r="15430" ht="15.75" customHeight="1">
      <c r="A15430" s="1">
        <v>16405.0</v>
      </c>
      <c r="B15430" s="3" t="s">
        <v>14666</v>
      </c>
      <c r="C15430" s="3" t="str">
        <f>IFERROR(__xludf.DUMMYFUNCTION("GOOGLETRANSLATE(B15430,""id"",""en"")"),"['Sampe', 'pulses', 'internet', 'pulse', 'drained', '']")</f>
        <v>['Sampe', 'pulses', 'internet', 'pulse', 'drained', '']</v>
      </c>
      <c r="D15430" s="3">
        <v>1.0</v>
      </c>
    </row>
    <row r="15431" ht="15.75" customHeight="1">
      <c r="A15431" s="1">
        <v>16406.0</v>
      </c>
      <c r="B15431" s="3" t="s">
        <v>14667</v>
      </c>
      <c r="C15431" s="3" t="str">
        <f>IFERROR(__xludf.DUMMYFUNCTION("GOOGLETRANSLATE(B15431,""id"",""en"")"),"['Application', 'opened', 'stuck', 'screen', 'white', 'heavy', 'open']")</f>
        <v>['Application', 'opened', 'stuck', 'screen', 'white', 'heavy', 'open']</v>
      </c>
      <c r="D15431" s="3">
        <v>1.0</v>
      </c>
    </row>
    <row r="15432" ht="15.75" customHeight="1">
      <c r="A15432" s="1">
        <v>16407.0</v>
      </c>
      <c r="B15432" s="3" t="s">
        <v>14668</v>
      </c>
      <c r="C15432" s="3" t="str">
        <f>IFERROR(__xludf.DUMMYFUNCTION("GOOGLETRANSLATE(B15432,""id"",""en"")"),"['Help', 'service', 'convenience']")</f>
        <v>['Help', 'service', 'convenience']</v>
      </c>
      <c r="D15432" s="3">
        <v>5.0</v>
      </c>
    </row>
    <row r="15433" ht="15.75" customHeight="1">
      <c r="A15433" s="1">
        <v>16408.0</v>
      </c>
      <c r="B15433" s="3" t="s">
        <v>2333</v>
      </c>
      <c r="C15433" s="3" t="str">
        <f>IFERROR(__xludf.DUMMYFUNCTION("GOOGLETRANSLATE(B15433,""id"",""en"")"),"['opened', 'application', '']")</f>
        <v>['opened', 'application', '']</v>
      </c>
      <c r="D15433" s="3">
        <v>1.0</v>
      </c>
    </row>
    <row r="15434" ht="15.75" customHeight="1">
      <c r="A15434" s="1">
        <v>16409.0</v>
      </c>
      <c r="B15434" s="3" t="s">
        <v>14669</v>
      </c>
      <c r="C15434" s="3" t="str">
        <f>IFERROR(__xludf.DUMMYFUNCTION("GOOGLETRANSLATE(B15434,""id"",""en"")"),"['Knp', 'application', 'tlkomsel', 'jdi', 'difficult', 'open', '']")</f>
        <v>['Knp', 'application', 'tlkomsel', 'jdi', 'difficult', 'open', '']</v>
      </c>
      <c r="D15434" s="3">
        <v>4.0</v>
      </c>
    </row>
    <row r="15435" ht="15.75" customHeight="1">
      <c r="A15435" s="1">
        <v>16410.0</v>
      </c>
      <c r="B15435" s="3" t="s">
        <v>1125</v>
      </c>
      <c r="C15435" s="3" t="str">
        <f>IFERROR(__xludf.DUMMYFUNCTION("GOOGLETRANSLATE(B15435,""id"",""en"")"),"['enter']")</f>
        <v>['enter']</v>
      </c>
      <c r="D15435" s="3">
        <v>1.0</v>
      </c>
    </row>
    <row r="15436" ht="15.75" customHeight="1">
      <c r="A15436" s="1">
        <v>16411.0</v>
      </c>
      <c r="B15436" s="3" t="s">
        <v>14670</v>
      </c>
      <c r="C15436" s="3" t="str">
        <f>IFERROR(__xludf.DUMMYFUNCTION("GOOGLETRANSLATE(B15436,""id"",""en"")"),"['', 'Open', 'Telkomsel', 'ngak', '']")</f>
        <v>['', 'Open', 'Telkomsel', 'ngak', '']</v>
      </c>
      <c r="D15436" s="3">
        <v>1.0</v>
      </c>
    </row>
    <row r="15437" ht="15.75" customHeight="1">
      <c r="A15437" s="1">
        <v>16412.0</v>
      </c>
      <c r="B15437" s="3" t="s">
        <v>14671</v>
      </c>
      <c r="C15437" s="3" t="str">
        <f>IFERROR(__xludf.DUMMYFUNCTION("GOOGLETRANSLATE(B15437,""id"",""en"")"),"['Hay', 'Telkomsel', 'buy', 'quota', 'APK', 'use', 'pulse', 'after', 'quota', 'pulse', 'leftover', 'pulses',' Scorched ',' buy ',' pulse ',' telponan ',' tomorrow ',' scorched ',' signal ',' bad ',' no ',' promo ',' quota ',' please ',' repaired ' , 'Dike"&amp;"manain', 'Credit', 'Wait', 'Admin', '']")</f>
        <v>['Hay', 'Telkomsel', 'buy', 'quota', 'APK', 'use', 'pulse', 'after', 'quota', 'pulse', 'leftover', 'pulses',' Scorched ',' buy ',' pulse ',' telponan ',' tomorrow ',' scorched ',' signal ',' bad ',' no ',' promo ',' quota ',' please ',' repaired ' , 'Dikemanain', 'Credit', 'Wait', 'Admin', '']</v>
      </c>
      <c r="D15437" s="3">
        <v>1.0</v>
      </c>
    </row>
    <row r="15438" ht="15.75" customHeight="1">
      <c r="A15438" s="1">
        <v>16413.0</v>
      </c>
      <c r="B15438" s="3" t="s">
        <v>7586</v>
      </c>
      <c r="C15438" s="3" t="str">
        <f>IFERROR(__xludf.DUMMYFUNCTION("GOOGLETRANSLATE(B15438,""id"",""en"")"),"['Telkomsel', 'Success']")</f>
        <v>['Telkomsel', 'Success']</v>
      </c>
      <c r="D15438" s="3">
        <v>5.0</v>
      </c>
    </row>
    <row r="15439" ht="15.75" customHeight="1">
      <c r="A15439" s="1">
        <v>16414.0</v>
      </c>
      <c r="B15439" s="3" t="s">
        <v>14672</v>
      </c>
      <c r="C15439" s="3" t="str">
        <f>IFERROR(__xludf.DUMMYFUNCTION("GOOGLETRANSLATE(B15439,""id"",""en"")"),"['Bentar', 'Bentar', 'Say', 'Update', 'That's']")</f>
        <v>['Bentar', 'Bentar', 'Say', 'Update', 'That's']</v>
      </c>
      <c r="D15439" s="3">
        <v>4.0</v>
      </c>
    </row>
    <row r="15440" ht="15.75" customHeight="1">
      <c r="A15440" s="1">
        <v>16415.0</v>
      </c>
      <c r="B15440" s="3" t="s">
        <v>14673</v>
      </c>
      <c r="C15440" s="3" t="str">
        <f>IFERROR(__xludf.DUMMYFUNCTION("GOOGLETRANSLATE(B15440,""id"",""en"")"),"['good', 'help', 'price', 'package', 'categorical', 'expensive', 'times',' update ',' apk ',' increase ',' price ',' package ',' discounts', '']")</f>
        <v>['good', 'help', 'price', 'package', 'categorical', 'expensive', 'times',' update ',' apk ',' increase ',' price ',' package ',' discounts', '']</v>
      </c>
      <c r="D15440" s="3">
        <v>2.0</v>
      </c>
    </row>
    <row r="15441" ht="15.75" customHeight="1">
      <c r="A15441" s="1">
        <v>16416.0</v>
      </c>
      <c r="B15441" s="3" t="s">
        <v>14674</v>
      </c>
      <c r="C15441" s="3" t="str">
        <f>IFERROR(__xludf.DUMMYFUNCTION("GOOGLETRANSLATE(B15441,""id"",""en"")"),"['increase', 'ugly', 'network', 'quota', 'expensive']")</f>
        <v>['increase', 'ugly', 'network', 'quota', 'expensive']</v>
      </c>
      <c r="D15441" s="3">
        <v>1.0</v>
      </c>
    </row>
    <row r="15442" ht="15.75" customHeight="1">
      <c r="A15442" s="1">
        <v>16417.0</v>
      </c>
      <c r="B15442" s="3" t="s">
        <v>14675</v>
      </c>
      <c r="C15442" s="3" t="str">
        <f>IFERROR(__xludf.DUMMYFUNCTION("GOOGLETRANSLATE(B15442,""id"",""en"")"),"['Open', 'Application', 'Disappointed', 'Telkomsel', 'Disappointed', 'Customer', 'Love', 'Star', 'LGI']")</f>
        <v>['Open', 'Application', 'Disappointed', 'Telkomsel', 'Disappointed', 'Customer', 'Love', 'Star', 'LGI']</v>
      </c>
      <c r="D15442" s="3">
        <v>1.0</v>
      </c>
    </row>
    <row r="15443" ht="15.75" customHeight="1">
      <c r="A15443" s="1">
        <v>16418.0</v>
      </c>
      <c r="B15443" s="3" t="s">
        <v>14676</v>
      </c>
      <c r="C15443" s="3" t="str">
        <f>IFERROR(__xludf.DUMMYFUNCTION("GOOGLETRANSLATE(B15443,""id"",""en"")"),"['Semrnjak', 'Update', 'Ngg', 'Open', 'Already', 'Try', 'Install', 'Repeated', 'Tetep', 'Ngg', 'Open']")</f>
        <v>['Semrnjak', 'Update', 'Ngg', 'Open', 'Already', 'Try', 'Install', 'Repeated', 'Tetep', 'Ngg', 'Open']</v>
      </c>
      <c r="D15443" s="3">
        <v>1.0</v>
      </c>
    </row>
    <row r="15444" ht="15.75" customHeight="1">
      <c r="A15444" s="1">
        <v>16419.0</v>
      </c>
      <c r="B15444" s="3" t="s">
        <v>14677</v>
      </c>
      <c r="C15444" s="3" t="str">
        <f>IFERROR(__xludf.DUMMYFUNCTION("GOOGLETRANSLATE(B15444,""id"",""en"")"),"['Ngga', 'accessed', 'severe', 'class', 'Telkomsel', 'Kek', 'gini']")</f>
        <v>['Ngga', 'accessed', 'severe', 'class', 'Telkomsel', 'Kek', 'gini']</v>
      </c>
      <c r="D15444" s="3">
        <v>1.0</v>
      </c>
    </row>
    <row r="15445" ht="15.75" customHeight="1">
      <c r="A15445" s="1">
        <v>16420.0</v>
      </c>
      <c r="B15445" s="3" t="s">
        <v>2004</v>
      </c>
      <c r="C15445" s="3" t="str">
        <f>IFERROR(__xludf.DUMMYFUNCTION("GOOGLETRANSLATE(B15445,""id"",""en"")"),"['login']")</f>
        <v>['login']</v>
      </c>
      <c r="D15445" s="3">
        <v>1.0</v>
      </c>
    </row>
    <row r="15446" ht="15.75" customHeight="1">
      <c r="A15446" s="1">
        <v>16421.0</v>
      </c>
      <c r="B15446" s="3" t="s">
        <v>14678</v>
      </c>
      <c r="C15446" s="3" t="str">
        <f>IFERROR(__xludf.DUMMYFUNCTION("GOOGLETRANSLATE(B15446,""id"",""en"")"),"['Please', 'Assisted', 'Update', 'Application', 'Latest', 'Applikas',' Opens', 'Samsung', 'Screen', 'Blank', 'White', 'Open', ' application']")</f>
        <v>['Please', 'Assisted', 'Update', 'Application', 'Latest', 'Applikas',' Opens', 'Samsung', 'Screen', 'Blank', 'White', 'Open', ' application']</v>
      </c>
      <c r="D15446" s="3">
        <v>4.0</v>
      </c>
    </row>
    <row r="15447" ht="15.75" customHeight="1">
      <c r="A15447" s="1">
        <v>16422.0</v>
      </c>
      <c r="B15447" s="3" t="s">
        <v>11491</v>
      </c>
      <c r="C15447" s="3" t="str">
        <f>IFERROR(__xludf.DUMMYFUNCTION("GOOGLETRANSLATE(B15447,""id"",""en"")"),"['Open', 'application', '']")</f>
        <v>['Open', 'application', '']</v>
      </c>
      <c r="D15447" s="3">
        <v>1.0</v>
      </c>
    </row>
    <row r="15448" ht="15.75" customHeight="1">
      <c r="A15448" s="1">
        <v>16423.0</v>
      </c>
      <c r="B15448" s="3" t="s">
        <v>14679</v>
      </c>
      <c r="C15448" s="3" t="str">
        <f>IFERROR(__xludf.DUMMYFUNCTION("GOOGLETRANSLATE(B15448,""id"",""en"")"),"['happy', 'shopping', 'hope', 'bnyak', 'discount']")</f>
        <v>['happy', 'shopping', 'hope', 'bnyak', 'discount']</v>
      </c>
      <c r="D15448" s="3">
        <v>5.0</v>
      </c>
    </row>
    <row r="15449" ht="15.75" customHeight="1">
      <c r="A15449" s="1">
        <v>16424.0</v>
      </c>
      <c r="B15449" s="3" t="s">
        <v>14680</v>
      </c>
      <c r="C15449" s="3" t="str">
        <f>IFERROR(__xludf.DUMMYFUNCTION("GOOGLETRANSLATE(B15449,""id"",""en"")"),"['knp', 'already', 'no', 'log', 'quota', 'network', 'good']")</f>
        <v>['knp', 'already', 'no', 'log', 'quota', 'network', 'good']</v>
      </c>
      <c r="D15449" s="3">
        <v>2.0</v>
      </c>
    </row>
    <row r="15450" ht="15.75" customHeight="1">
      <c r="A15450" s="1">
        <v>16425.0</v>
      </c>
      <c r="B15450" s="3" t="s">
        <v>14681</v>
      </c>
      <c r="C15450" s="3" t="str">
        <f>IFERROR(__xludf.DUMMYFUNCTION("GOOGLETRANSLATE(B15450,""id"",""en"")"),"['contents',' pulse ',' TPI ',' enter ',' skrg ',' open ',' apk ',' open ',' check ',' pulse ',' balance ',' increase ',' TPI ',' Account ',' Sya ',' already ',' Corn ',' Nich ', ""]")</f>
        <v>['contents',' pulse ',' TPI ',' enter ',' skrg ',' open ',' apk ',' open ',' check ',' pulse ',' balance ',' increase ',' TPI ',' Account ',' Sya ',' already ',' Corn ',' Nich ', "]</v>
      </c>
      <c r="D15450" s="3">
        <v>1.0</v>
      </c>
    </row>
    <row r="15451" ht="15.75" customHeight="1">
      <c r="A15451" s="1">
        <v>16426.0</v>
      </c>
      <c r="B15451" s="3" t="s">
        <v>14682</v>
      </c>
      <c r="C15451" s="3" t="str">
        <f>IFERROR(__xludf.DUMMYFUNCTION("GOOGLETRANSLATE(B15451,""id"",""en"")"),"['Severe', 'Bet', 'Uyy', 'Enter', 'Application', 'Telkomsel', 'Bener', 'already', 'Upgrade', 'right', 'Enter', 'Hadeeuuhh', ' ']")</f>
        <v>['Severe', 'Bet', 'Uyy', 'Enter', 'Application', 'Telkomsel', 'Bener', 'already', 'Upgrade', 'right', 'Enter', 'Hadeeuuhh', ' ']</v>
      </c>
      <c r="D15451" s="3">
        <v>3.0</v>
      </c>
    </row>
    <row r="15452" ht="15.75" customHeight="1">
      <c r="A15452" s="1">
        <v>16427.0</v>
      </c>
      <c r="B15452" s="3" t="s">
        <v>14683</v>
      </c>
      <c r="C15452" s="3" t="str">
        <f>IFERROR(__xludf.DUMMYFUNCTION("GOOGLETRANSLATE(B15452,""id"",""en"")"),"['application', 'simple', 'easy', 'promo', 'combo', 'magic', 'like']")</f>
        <v>['application', 'simple', 'easy', 'promo', 'combo', 'magic', 'like']</v>
      </c>
      <c r="D15452" s="3">
        <v>5.0</v>
      </c>
    </row>
    <row r="15453" ht="15.75" customHeight="1">
      <c r="A15453" s="1">
        <v>16428.0</v>
      </c>
      <c r="B15453" s="3" t="s">
        <v>14684</v>
      </c>
      <c r="C15453" s="3" t="str">
        <f>IFERROR(__xludf.DUMMYFUNCTION("GOOGLETRANSLATE(B15453,""id"",""en"")"),"['Telkomsel', 'signal', 'bad', 'sul', 'bar', 'user', 'tsel', 'run', 'krna', 'good', 'signed', 'stop', ' Tidk ',' like ',' Tsel ', ""]")</f>
        <v>['Telkomsel', 'signal', 'bad', 'sul', 'bar', 'user', 'tsel', 'run', 'krna', 'good', 'signed', 'stop', ' Tidk ',' like ',' Tsel ', "]</v>
      </c>
      <c r="D15453" s="3">
        <v>1.0</v>
      </c>
    </row>
    <row r="15454" ht="15.75" customHeight="1">
      <c r="A15454" s="1">
        <v>16429.0</v>
      </c>
      <c r="B15454" s="3" t="s">
        <v>14685</v>
      </c>
      <c r="C15454" s="3" t="str">
        <f>IFERROR(__xludf.DUMMYFUNCTION("GOOGLETRANSLATE(B15454,""id"",""en"")"),"['profitable', 'pampering', 'customer']")</f>
        <v>['profitable', 'pampering', 'customer']</v>
      </c>
      <c r="D15454" s="3">
        <v>5.0</v>
      </c>
    </row>
    <row r="15455" ht="15.75" customHeight="1">
      <c r="A15455" s="1">
        <v>16430.0</v>
      </c>
      <c r="B15455" s="3" t="s">
        <v>14686</v>
      </c>
      <c r="C15455" s="3" t="str">
        <f>IFERROR(__xludf.DUMMYFUNCTION("GOOGLETRANSLATE(B15455,""id"",""en"")"),"['Telkomsel', 'how', 'Network', 'die', 'lights',' rain ',' slow ',' bngt ',' salespeople ',' price ',' already ',' expensive ',' LEGE ',' Sometimes', 'no', 'signal', 'Place', 'Kek', 'Village', 'Tree']")</f>
        <v>['Telkomsel', 'how', 'Network', 'die', 'lights',' rain ',' slow ',' bngt ',' salespeople ',' price ',' already ',' expensive ',' LEGE ',' Sometimes', 'no', 'signal', 'Place', 'Kek', 'Village', 'Tree']</v>
      </c>
      <c r="D15455" s="3">
        <v>3.0</v>
      </c>
    </row>
    <row r="15456" ht="15.75" customHeight="1">
      <c r="A15456" s="1">
        <v>16432.0</v>
      </c>
      <c r="B15456" s="3" t="s">
        <v>14687</v>
      </c>
      <c r="C15456" s="3" t="str">
        <f>IFERROR(__xludf.DUMMYFUNCTION("GOOGLETRANSLATE(B15456,""id"",""en"")"),"['Thank "",' Telkomsel ']")</f>
        <v>['Thank ",' Telkomsel ']</v>
      </c>
      <c r="D15456" s="3">
        <v>5.0</v>
      </c>
    </row>
    <row r="15457" ht="15.75" customHeight="1">
      <c r="A15457" s="1">
        <v>16433.0</v>
      </c>
      <c r="B15457" s="3" t="s">
        <v>14688</v>
      </c>
      <c r="C15457" s="3" t="str">
        <f>IFERROR(__xludf.DUMMYFUNCTION("GOOGLETRANSLATE(B15457,""id"",""en"")"),"['Buy', 'Package', 'APK', 'Telkomsel', 'Cheap', '']")</f>
        <v>['Buy', 'Package', 'APK', 'Telkomsel', 'Cheap', '']</v>
      </c>
      <c r="D15457" s="3">
        <v>5.0</v>
      </c>
    </row>
    <row r="15458" ht="15.75" customHeight="1">
      <c r="A15458" s="1">
        <v>16434.0</v>
      </c>
      <c r="B15458" s="3" t="s">
        <v>14689</v>
      </c>
      <c r="C15458" s="3" t="str">
        <f>IFERROR(__xludf.DUMMYFUNCTION("GOOGLETRANSLATE(B15458,""id"",""en"")"),"['Price', 'Quota', 'Telkomsel', 'Combo', 'Sakti', 'Expensive', 'Quality', 'Network', 'Decreases',' Region ',' Please ',' Dimaintenance ',' Speed ​​',' stability ',' network ',' decreases', 'annoying', 'sometimes',' thank ',' love ', ""]")</f>
        <v>['Price', 'Quota', 'Telkomsel', 'Combo', 'Sakti', 'Expensive', 'Quality', 'Network', 'Decreases',' Region ',' Please ',' Dimaintenance ',' Speed ​​',' stability ',' network ',' decreases', 'annoying', 'sometimes',' thank ',' love ', "]</v>
      </c>
      <c r="D15458" s="3">
        <v>3.0</v>
      </c>
    </row>
    <row r="15459" ht="15.75" customHeight="1">
      <c r="A15459" s="1">
        <v>16435.0</v>
      </c>
      <c r="B15459" s="3" t="s">
        <v>14690</v>
      </c>
      <c r="C15459" s="3" t="str">
        <f>IFERROR(__xludf.DUMMYFUNCTION("GOOGLETRANSLATE(B15459,""id"",""en"")"),"['application', 'taiik', 'no', 'open']")</f>
        <v>['application', 'taiik', 'no', 'open']</v>
      </c>
      <c r="D15459" s="3">
        <v>1.0</v>
      </c>
    </row>
    <row r="15460" ht="15.75" customHeight="1">
      <c r="A15460" s="1">
        <v>16436.0</v>
      </c>
      <c r="B15460" s="3" t="s">
        <v>14691</v>
      </c>
      <c r="C15460" s="3" t="str">
        <f>IFERROR(__xludf.DUMMYFUNCTION("GOOGLETRANSLATE(B15460,""id"",""en"")"),"['experience', 'network', 'bad', 'expensive', 'expensive', 'buy', 'package', 'network', 'good', 'disappointed', 'Telkomsel', 'Kek', ' So ',' network ',' already ',' subscribe ',' Telkomsel ',' Network ',' disappointed ',' heavy ',' Telkomsel ']")</f>
        <v>['experience', 'network', 'bad', 'expensive', 'expensive', 'buy', 'package', 'network', 'good', 'disappointed', 'Telkomsel', 'Kek', ' So ',' network ',' already ',' subscribe ',' Telkomsel ',' Network ',' disappointed ',' heavy ',' Telkomsel ']</v>
      </c>
      <c r="D15460" s="3">
        <v>1.0</v>
      </c>
    </row>
    <row r="15461" ht="15.75" customHeight="1">
      <c r="A15461" s="1">
        <v>16437.0</v>
      </c>
      <c r="B15461" s="3" t="s">
        <v>14692</v>
      </c>
      <c r="C15461" s="3" t="str">
        <f>IFERROR(__xludf.DUMMYFUNCTION("GOOGLETRANSLATE(B15461,""id"",""en"")"),"['Package', 'Cheap', 'Combo', 'Sakti', 'Telkomsel', 'Network', 'Mantap', '']")</f>
        <v>['Package', 'Cheap', 'Combo', 'Sakti', 'Telkomsel', 'Network', 'Mantap', '']</v>
      </c>
      <c r="D15461" s="3">
        <v>5.0</v>
      </c>
    </row>
    <row r="15462" ht="15.75" customHeight="1">
      <c r="A15462" s="1">
        <v>16438.0</v>
      </c>
      <c r="B15462" s="3" t="s">
        <v>3780</v>
      </c>
      <c r="C15462" s="3" t="str">
        <f>IFERROR(__xludf.DUMMYFUNCTION("GOOGLETRANSLATE(B15462,""id"",""en"")"),"['APK', 'opened', '']")</f>
        <v>['APK', 'opened', '']</v>
      </c>
      <c r="D15462" s="3">
        <v>1.0</v>
      </c>
    </row>
    <row r="15463" ht="15.75" customHeight="1">
      <c r="A15463" s="1">
        <v>16439.0</v>
      </c>
      <c r="B15463" s="3" t="s">
        <v>14693</v>
      </c>
      <c r="C15463" s="3" t="str">
        <f>IFERROR(__xludf.DUMMYFUNCTION("GOOGLETRANSLATE(B15463,""id"",""en"")"),"['APK', 'Nga', 'buy', 'package', 'must', 'obstacle', 'error', 'please', 'developer', 'fix', 'regret', ""]")</f>
        <v>['APK', 'Nga', 'buy', 'package', 'must', 'obstacle', 'error', 'please', 'developer', 'fix', 'regret', "]</v>
      </c>
      <c r="D15463" s="3">
        <v>1.0</v>
      </c>
    </row>
    <row r="15464" ht="15.75" customHeight="1">
      <c r="A15464" s="1">
        <v>16440.0</v>
      </c>
      <c r="B15464" s="3" t="s">
        <v>14694</v>
      </c>
      <c r="C15464" s="3" t="str">
        <f>IFERROR(__xludf.DUMMYFUNCTION("GOOGLETRANSLATE(B15464,""id"",""en"")"),"['', 'Dipake', 'Application', 'Screen', 'White', 'Tok', ""]")</f>
        <v>['', 'Dipake', 'Application', 'Screen', 'White', 'Tok', "]</v>
      </c>
      <c r="D15464" s="3">
        <v>1.0</v>
      </c>
    </row>
    <row r="15465" ht="15.75" customHeight="1">
      <c r="A15465" s="1">
        <v>16441.0</v>
      </c>
      <c r="B15465" s="3" t="s">
        <v>14695</v>
      </c>
      <c r="C15465" s="3" t="str">
        <f>IFERROR(__xludf.DUMMYFUNCTION("GOOGLETRANSLATE(B15465,""id"",""en"")"),"['lbh', 'bnyak', 'lgi', 'bunus', 'lbh', 'bgus']")</f>
        <v>['lbh', 'bnyak', 'lgi', 'bunus', 'lbh', 'bgus']</v>
      </c>
      <c r="D15465" s="3">
        <v>5.0</v>
      </c>
    </row>
    <row r="15466" ht="15.75" customHeight="1">
      <c r="A15466" s="1">
        <v>16443.0</v>
      </c>
      <c r="B15466" s="3" t="s">
        <v>14696</v>
      </c>
      <c r="C15466" s="3" t="str">
        <f>IFERROR(__xludf.DUMMYFUNCTION("GOOGLETRANSLATE(B15466,""id"",""en"")"),"['application', 'difficult', 'opened', 'blank', 'screen', 'white', 'diuninstall', 'installed', 'reset', '']")</f>
        <v>['application', 'difficult', 'opened', 'blank', 'screen', 'white', 'diuninstall', 'installed', 'reset', '']</v>
      </c>
      <c r="D15466" s="3">
        <v>1.0</v>
      </c>
    </row>
    <row r="15467" ht="15.75" customHeight="1">
      <c r="A15467" s="1">
        <v>16444.0</v>
      </c>
      <c r="B15467" s="3" t="s">
        <v>14697</v>
      </c>
      <c r="C15467" s="3" t="str">
        <f>IFERROR(__xludf.DUMMYFUNCTION("GOOGLETRANSLATE(B15467,""id"",""en"")"),"['updated', 'the latest', 'error']")</f>
        <v>['updated', 'the latest', 'error']</v>
      </c>
      <c r="D15467" s="3">
        <v>5.0</v>
      </c>
    </row>
    <row r="15468" ht="15.75" customHeight="1">
      <c r="A15468" s="1">
        <v>16445.0</v>
      </c>
      <c r="B15468" s="3" t="s">
        <v>14698</v>
      </c>
      <c r="C15468" s="3" t="str">
        <f>IFERROR(__xludf.DUMMYFUNCTION("GOOGLETRANSLATE(B15468,""id"",""en"")"),"['Yesterday', 'App', 'Knp', 'Opened', 'Kndala', '']")</f>
        <v>['Yesterday', 'App', 'Knp', 'Opened', 'Kndala', '']</v>
      </c>
      <c r="D15468" s="3">
        <v>1.0</v>
      </c>
    </row>
    <row r="15469" ht="15.75" customHeight="1">
      <c r="A15469" s="1">
        <v>16446.0</v>
      </c>
      <c r="B15469" s="3" t="s">
        <v>14699</v>
      </c>
      <c r="C15469" s="3" t="str">
        <f>IFERROR(__xludf.DUMMYFUNCTION("GOOGLETRANSLATE(B15469,""id"",""en"")"),"['difficult', 'enter', 'app', 'tlong', 'telkom', 'fix', 'sorry', 'thanks']")</f>
        <v>['difficult', 'enter', 'app', 'tlong', 'telkom', 'fix', 'sorry', 'thanks']</v>
      </c>
      <c r="D15469" s="3">
        <v>1.0</v>
      </c>
    </row>
    <row r="15470" ht="15.75" customHeight="1">
      <c r="A15470" s="1">
        <v>16447.0</v>
      </c>
      <c r="B15470" s="3" t="s">
        <v>977</v>
      </c>
      <c r="C15470" s="3" t="str">
        <f>IFERROR(__xludf.DUMMYFUNCTION("GOOGLETRANSLATE(B15470,""id"",""en"")"),"['Love', 'promo', 'min']")</f>
        <v>['Love', 'promo', 'min']</v>
      </c>
      <c r="D15470" s="3">
        <v>5.0</v>
      </c>
    </row>
    <row r="15471" ht="15.75" customHeight="1">
      <c r="A15471" s="1">
        <v>16448.0</v>
      </c>
      <c r="B15471" s="3" t="s">
        <v>14700</v>
      </c>
      <c r="C15471" s="3" t="str">
        <f>IFERROR(__xludf.DUMMYFUNCTION("GOOGLETRANSLATE(B15471,""id"",""en"")"),"['Network', 'good', 'strong', 'Telkomsel', 'mnjadi', 'subscription', 'kluarga']")</f>
        <v>['Network', 'good', 'strong', 'Telkomsel', 'mnjadi', 'subscription', 'kluarga']</v>
      </c>
      <c r="D15471" s="3">
        <v>5.0</v>
      </c>
    </row>
    <row r="15472" ht="15.75" customHeight="1">
      <c r="A15472" s="1">
        <v>16449.0</v>
      </c>
      <c r="B15472" s="3" t="s">
        <v>14701</v>
      </c>
      <c r="C15472" s="3" t="str">
        <f>IFERROR(__xludf.DUMMYFUNCTION("GOOGLETRANSLATE(B15472,""id"",""en"")"),"['already', 'a week', 'enter', 'Telkomsel', 'appears', 'screen', 'white', '']")</f>
        <v>['already', 'a week', 'enter', 'Telkomsel', 'appears', 'screen', 'white', '']</v>
      </c>
      <c r="D15472" s="3">
        <v>1.0</v>
      </c>
    </row>
    <row r="15473" ht="15.75" customHeight="1">
      <c r="A15473" s="1">
        <v>16450.0</v>
      </c>
      <c r="B15473" s="3" t="s">
        <v>14702</v>
      </c>
      <c r="C15473" s="3" t="str">
        <f>IFERROR(__xludf.DUMMYFUNCTION("GOOGLETRANSLATE(B15473,""id"",""en"")"),"['No', 'opened', ""]")</f>
        <v>['No', 'opened', "]</v>
      </c>
      <c r="D15473" s="3">
        <v>1.0</v>
      </c>
    </row>
    <row r="15474" ht="15.75" customHeight="1">
      <c r="A15474" s="1">
        <v>16451.0</v>
      </c>
      <c r="B15474" s="3" t="s">
        <v>14703</v>
      </c>
      <c r="C15474" s="3" t="str">
        <f>IFERROR(__xludf.DUMMYFUNCTION("GOOGLETRANSLATE(B15474,""id"",""en"")"),"['hard', 'out', 'update', 'gabisa', 'open', 'ngblank', 'kirain', 'doang', ""]")</f>
        <v>['hard', 'out', 'update', 'gabisa', 'open', 'ngblank', 'kirain', 'doang', "]</v>
      </c>
      <c r="D15474" s="3">
        <v>1.0</v>
      </c>
    </row>
    <row r="15475" ht="15.75" customHeight="1">
      <c r="A15475" s="1">
        <v>16452.0</v>
      </c>
      <c r="B15475" s="3" t="s">
        <v>14704</v>
      </c>
      <c r="C15475" s="3" t="str">
        <f>IFERROR(__xludf.DUMMYFUNCTION("GOOGLETRANSLATE(B15475,""id"",""en"")"),"['knapa', 'yaa', 'apk', 'telkomsel', 'nga', 'open', 'yesterday', 'leftover', 'kouta', 'GB', 'knapa', 'sms',' The rest of ',' GB ',' APK ',' BLM ',' open ',' please ',' complaints', 'responded', 'Pay', 'prepaid', 'application', 'Nga', 'go' , 'Koutaa', 'tie"&amp;"s', 'GB', 'That's', 'Nga', 'Forced', 'Move', 'Network']")</f>
        <v>['knapa', 'yaa', 'apk', 'telkomsel', 'nga', 'open', 'yesterday', 'leftover', 'kouta', 'GB', 'knapa', 'sms',' The rest of ',' GB ',' APK ',' BLM ',' open ',' please ',' complaints', 'responded', 'Pay', 'prepaid', 'application', 'Nga', 'go' , 'Koutaa', 'ties', 'GB', 'That's', 'Nga', 'Forced', 'Move', 'Network']</v>
      </c>
      <c r="D15475" s="3">
        <v>1.0</v>
      </c>
    </row>
    <row r="15476" ht="15.75" customHeight="1">
      <c r="A15476" s="1">
        <v>16453.0</v>
      </c>
      <c r="B15476" s="3" t="s">
        <v>14705</v>
      </c>
      <c r="C15476" s="3" t="str">
        <f>IFERROR(__xludf.DUMMYFUNCTION("GOOGLETRANSLATE(B15476,""id"",""en"")"),"['', 'complaining', 'entry', 'samsekali', 'gabisa', 'entry', 'for days', 'already', 'expensive', 'ugly']")</f>
        <v>['', 'complaining', 'entry', 'samsekali', 'gabisa', 'entry', 'for days', 'already', 'expensive', 'ugly']</v>
      </c>
      <c r="D15476" s="3">
        <v>1.0</v>
      </c>
    </row>
    <row r="15477" ht="15.75" customHeight="1">
      <c r="A15477" s="1">
        <v>16454.0</v>
      </c>
      <c r="B15477" s="3" t="s">
        <v>14706</v>
      </c>
      <c r="C15477" s="3" t="str">
        <f>IFERROR(__xludf.DUMMYFUNCTION("GOOGLETRANSLATE(B15477,""id"",""en"")"),"['Understand', 'Kasi', 'Star']")</f>
        <v>['Understand', 'Kasi', 'Star']</v>
      </c>
      <c r="D15477" s="3">
        <v>3.0</v>
      </c>
    </row>
    <row r="15478" ht="15.75" customHeight="1">
      <c r="A15478" s="1">
        <v>16455.0</v>
      </c>
      <c r="B15478" s="3" t="s">
        <v>14707</v>
      </c>
      <c r="C15478" s="3" t="str">
        <f>IFERROR(__xludf.DUMMYFUNCTION("GOOGLETRANSLATE(B15478,""id"",""en"")"),"['Update', 'Mulu', 'Ribet']")</f>
        <v>['Update', 'Mulu', 'Ribet']</v>
      </c>
      <c r="D15478" s="3">
        <v>1.0</v>
      </c>
    </row>
    <row r="15479" ht="15.75" customHeight="1">
      <c r="A15479" s="1">
        <v>16456.0</v>
      </c>
      <c r="B15479" s="3" t="s">
        <v>14708</v>
      </c>
      <c r="C15479" s="3" t="str">
        <f>IFERROR(__xludf.DUMMYFUNCTION("GOOGLETRANSLATE(B15479,""id"",""en"")"),"['Sorry', 'Love', 'Star', 'Application', 'Login', 'Via', 'Link', 'Efficient', 'Delicious',' Use ',' OTP ',' Alternative ',' ']")</f>
        <v>['Sorry', 'Love', 'Star', 'Application', 'Login', 'Via', 'Link', 'Efficient', 'Delicious',' Use ',' OTP ',' Alternative ',' ']</v>
      </c>
      <c r="D15479" s="3">
        <v>1.0</v>
      </c>
    </row>
    <row r="15480" ht="15.75" customHeight="1">
      <c r="A15480" s="1">
        <v>16458.0</v>
      </c>
      <c r="B15480" s="3" t="s">
        <v>14709</v>
      </c>
      <c r="C15480" s="3" t="str">
        <f>IFERROR(__xludf.DUMMYFUNCTION("GOOGLETRANSLATE(B15480,""id"",""en"")"),"['Okeoke', 'KNPA', 'opened', 'screen', 'white', 'kersips', '']")</f>
        <v>['Okeoke', 'KNPA', 'opened', 'screen', 'white', 'kersips', '']</v>
      </c>
      <c r="D15480" s="3">
        <v>3.0</v>
      </c>
    </row>
    <row r="15481" ht="15.75" customHeight="1">
      <c r="A15481" s="1">
        <v>16459.0</v>
      </c>
      <c r="B15481" s="3" t="s">
        <v>659</v>
      </c>
      <c r="C15481" s="3" t="str">
        <f>IFERROR(__xludf.DUMMYFUNCTION("GOOGLETRANSLATE(B15481,""id"",""en"")"),"['Application', 'Help']")</f>
        <v>['Application', 'Help']</v>
      </c>
      <c r="D15481" s="3">
        <v>5.0</v>
      </c>
    </row>
    <row r="15482" ht="15.75" customHeight="1">
      <c r="A15482" s="1">
        <v>16460.0</v>
      </c>
      <c r="B15482" s="3" t="s">
        <v>14710</v>
      </c>
      <c r="C15482" s="3" t="str">
        <f>IFERROR(__xludf.DUMMYFUNCTION("GOOGLETRANSLATE(B15482,""id"",""en"")"),"['Application', 'BSA', 'opened', 'alternating', 'Install', 'Delete', 'Install', 'TTP', 'BSA', 'opened']")</f>
        <v>['Application', 'BSA', 'opened', 'alternating', 'Install', 'Delete', 'Install', 'TTP', 'BSA', 'opened']</v>
      </c>
      <c r="D15482" s="3">
        <v>1.0</v>
      </c>
    </row>
    <row r="15483" ht="15.75" customHeight="1">
      <c r="A15483" s="1">
        <v>16461.0</v>
      </c>
      <c r="B15483" s="3" t="s">
        <v>14711</v>
      </c>
      <c r="C15483" s="3" t="str">
        <f>IFERROR(__xludf.DUMMYFUNCTION("GOOGLETRANSLATE(B15483,""id"",""en"")"),"['Severe', 'Telkomsel', 'Difficult', 'Enter', 'Application', '']")</f>
        <v>['Severe', 'Telkomsel', 'Difficult', 'Enter', 'Application', '']</v>
      </c>
      <c r="D15483" s="3">
        <v>1.0</v>
      </c>
    </row>
    <row r="15484" ht="15.75" customHeight="1">
      <c r="A15484" s="1">
        <v>16462.0</v>
      </c>
      <c r="B15484" s="3" t="s">
        <v>14712</v>
      </c>
      <c r="C15484" s="3" t="str">
        <f>IFERROR(__xludf.DUMMYFUNCTION("GOOGLETRANSLATE(B15484,""id"",""en"")"),"['Nonor', 'pulse', 'send', '']")</f>
        <v>['Nonor', 'pulse', 'send', '']</v>
      </c>
      <c r="D15484" s="3">
        <v>5.0</v>
      </c>
    </row>
    <row r="15485" ht="15.75" customHeight="1">
      <c r="A15485" s="1">
        <v>16463.0</v>
      </c>
      <c r="B15485" s="3" t="s">
        <v>2704</v>
      </c>
      <c r="C15485" s="3" t="str">
        <f>IFERROR(__xludf.DUMMYFUNCTION("GOOGLETRANSLATE(B15485,""id"",""en"")"),"['Package', 'expensive']")</f>
        <v>['Package', 'expensive']</v>
      </c>
      <c r="D15485" s="3">
        <v>3.0</v>
      </c>
    </row>
    <row r="15486" ht="15.75" customHeight="1">
      <c r="A15486" s="1">
        <v>16465.0</v>
      </c>
      <c r="B15486" s="3" t="s">
        <v>14713</v>
      </c>
      <c r="C15486" s="3" t="str">
        <f>IFERROR(__xludf.DUMMYFUNCTION("GOOGLETRANSLATE(B15486,""id"",""en"")"),"['Service', 'satisfying', 'loading', 'Kayak', 'Aplikasi']")</f>
        <v>['Service', 'satisfying', 'loading', 'Kayak', 'Aplikasi']</v>
      </c>
      <c r="D15486" s="3">
        <v>5.0</v>
      </c>
    </row>
    <row r="15487" ht="15.75" customHeight="1">
      <c r="A15487" s="1">
        <v>16466.0</v>
      </c>
      <c r="B15487" s="3" t="s">
        <v>14714</v>
      </c>
      <c r="C15487" s="3" t="str">
        <f>IFERROR(__xludf.DUMMYFUNCTION("GOOGLETRANSLATE(B15487,""id"",""en"")"),"['Please', 'Explanation', 'Credit', 'Reduced', 'Automatic', 'SMS', 'Call', 'Data', 'Telkomsel', 'Poor', 'Search', 'Benefit', ' Stealing ',' pulses', 'customers',' ']")</f>
        <v>['Please', 'Explanation', 'Credit', 'Reduced', 'Automatic', 'SMS', 'Call', 'Data', 'Telkomsel', 'Poor', 'Search', 'Benefit', ' Stealing ',' pulses', 'customers',' ']</v>
      </c>
      <c r="D15487" s="3">
        <v>1.0</v>
      </c>
    </row>
    <row r="15488" ht="15.75" customHeight="1">
      <c r="A15488" s="1">
        <v>16467.0</v>
      </c>
      <c r="B15488" s="3" t="s">
        <v>14715</v>
      </c>
      <c r="C15488" s="3" t="str">
        <f>IFERROR(__xludf.DUMMYFUNCTION("GOOGLETRANSLATE(B15488,""id"",""en"")"),"['NDK', 'Enter', 'Application', 'Bet', '']")</f>
        <v>['NDK', 'Enter', 'Application', 'Bet', '']</v>
      </c>
      <c r="D15488" s="3">
        <v>1.0</v>
      </c>
    </row>
    <row r="15489" ht="15.75" customHeight="1">
      <c r="A15489" s="1">
        <v>16468.0</v>
      </c>
      <c r="B15489" s="3" t="s">
        <v>14716</v>
      </c>
      <c r="C15489" s="3" t="str">
        <f>IFERROR(__xludf.DUMMYFUNCTION("GOOGLETRANSLATE(B15489,""id"",""en"")"),"['Application', 'heavy', 'opened', 'opened', 'price', 'Kouta', 'expensive', 'people', 'medium', 'down', 'already', 'nyolong', ' pulses', 'data', 'cellular', 'derived', 'admit', 'signal', 'good', 'stable', 'area', 'countryside', 'caline', 'smart', 'cunning"&amp;"' , 'Utilizing', 'advantages', 'signal', 'strong', 'Indonesia', 'experience', 'profider', 'decent', 'disappointing', '']")</f>
        <v>['Application', 'heavy', 'opened', 'opened', 'price', 'Kouta', 'expensive', 'people', 'medium', 'down', 'already', 'nyolong', ' pulses', 'data', 'cellular', 'derived', 'admit', 'signal', 'good', 'stable', 'area', 'countryside', 'caline', 'smart', 'cunning' , 'Utilizing', 'advantages', 'signal', 'strong', 'Indonesia', 'experience', 'profider', 'decent', 'disappointing', '']</v>
      </c>
      <c r="D15489" s="3">
        <v>1.0</v>
      </c>
    </row>
    <row r="15490" ht="15.75" customHeight="1">
      <c r="A15490" s="1">
        <v>16469.0</v>
      </c>
      <c r="B15490" s="3" t="s">
        <v>14717</v>
      </c>
      <c r="C15490" s="3" t="str">
        <f>IFERROR(__xludf.DUMMYFUNCTION("GOOGLETRANSLATE(B15490,""id"",""en"")"),"['', 'like', 'MyTelkomsel', 'it's easy', 'bnyak', 'prize', 'easy', 'get it', 'Success', 'Telkomsel']")</f>
        <v>['', 'like', 'MyTelkomsel', 'it's easy', 'bnyak', 'prize', 'easy', 'get it', 'Success', 'Telkomsel']</v>
      </c>
      <c r="D15490" s="3">
        <v>5.0</v>
      </c>
    </row>
    <row r="15491" ht="15.75" customHeight="1">
      <c r="A15491" s="1">
        <v>16470.0</v>
      </c>
      <c r="B15491" s="3" t="s">
        <v>14718</v>
      </c>
      <c r="C15491" s="3" t="str">
        <f>IFERROR(__xludf.DUMMYFUNCTION("GOOGLETRANSLATE(B15491,""id"",""en"")"),"['', 'slow', 'open', 'gag', 'gnimna', 'already', 'telkomsel', 'love', 'star', 'gag', 'change', 'gini', 'chaother ']")</f>
        <v>['', 'slow', 'open', 'gag', 'gnimna', 'already', 'telkomsel', 'love', 'star', 'gag', 'change', 'gini', 'chaother ']</v>
      </c>
      <c r="D15491" s="3">
        <v>2.0</v>
      </c>
    </row>
    <row r="15492" ht="15.75" customHeight="1">
      <c r="A15492" s="1">
        <v>16471.0</v>
      </c>
      <c r="B15492" s="3" t="s">
        <v>14719</v>
      </c>
      <c r="C15492" s="3" t="str">
        <f>IFERROR(__xludf.DUMMYFUNCTION("GOOGLETRANSLATE(B15492,""id"",""en"")"),"['ewallet', 'no', 'application', 'use', 'BLM', 'uses', 'fill', 'data', 'check', 'data']")</f>
        <v>['ewallet', 'no', 'application', 'use', 'BLM', 'uses', 'fill', 'data', 'check', 'data']</v>
      </c>
      <c r="D15492" s="3">
        <v>3.0</v>
      </c>
    </row>
    <row r="15493" ht="15.75" customHeight="1">
      <c r="A15493" s="1">
        <v>16472.0</v>
      </c>
      <c r="B15493" s="3" t="s">
        <v>14720</v>
      </c>
      <c r="C15493" s="3" t="str">
        <f>IFERROR(__xludf.DUMMYFUNCTION("GOOGLETRANSLATE(B15493,""id"",""en"")"),"['Application', 'MyTelkomsel', 'opened', 'Min', 'Uninstall', 'Downloaded', 'reset']")</f>
        <v>['Application', 'MyTelkomsel', 'opened', 'Min', 'Uninstall', 'Downloaded', 'reset']</v>
      </c>
      <c r="D15493" s="3">
        <v>5.0</v>
      </c>
    </row>
    <row r="15494" ht="15.75" customHeight="1">
      <c r="A15494" s="1">
        <v>16473.0</v>
      </c>
      <c r="B15494" s="3" t="s">
        <v>14721</v>
      </c>
      <c r="C15494" s="3" t="str">
        <f>IFERROR(__xludf.DUMMYFUNCTION("GOOGLETRANSLATE(B15494,""id"",""en"")"),"['Suck', 'pulse', 'suck', 'enter', 'hell']")</f>
        <v>['Suck', 'pulse', 'suck', 'enter', 'hell']</v>
      </c>
      <c r="D15494" s="3">
        <v>1.0</v>
      </c>
    </row>
    <row r="15495" ht="15.75" customHeight="1">
      <c r="A15495" s="1">
        <v>16474.0</v>
      </c>
      <c r="B15495" s="3" t="s">
        <v>14722</v>
      </c>
      <c r="C15495" s="3" t="str">
        <f>IFERROR(__xludf.DUMMYFUNCTION("GOOGLETRANSLATE(B15495,""id"",""en"")"),"['', 'Telkomsel', 'Error', 'opened', 'White', 'appears',' GMBAR ',' UDH ',' Try ',' Unnistall ',' Install ',' LGI ',' TQPI ',' Tetep ',' ']")</f>
        <v>['', 'Telkomsel', 'Error', 'opened', 'White', 'appears',' GMBAR ',' UDH ',' Try ',' Unnistall ',' Install ',' LGI ',' TQPI ',' Tetep ',' ']</v>
      </c>
      <c r="D15495" s="3">
        <v>3.0</v>
      </c>
    </row>
    <row r="15496" ht="15.75" customHeight="1">
      <c r="A15496" s="1">
        <v>16475.0</v>
      </c>
      <c r="B15496" s="3" t="s">
        <v>14723</v>
      </c>
      <c r="C15496" s="3" t="str">
        <f>IFERROR(__xludf.DUMMYFUNCTION("GOOGLETRANSLATE(B15496,""id"",""en"")"),"['OMG', 'leftover', 'pulse', 'lost', 'use', 'complicated', 'Terras',' style ',' apk ',' slow ',' just ',' please ',' Fixed ',' Rin ',' pulse ',' replaced ',' repaired ',' ']")</f>
        <v>['OMG', 'leftover', 'pulse', 'lost', 'use', 'complicated', 'Terras',' style ',' apk ',' slow ',' just ',' please ',' Fixed ',' Rin ',' pulse ',' replaced ',' repaired ',' ']</v>
      </c>
      <c r="D15496" s="3">
        <v>1.0</v>
      </c>
    </row>
    <row r="15497" ht="15.75" customHeight="1">
      <c r="A15497" s="1">
        <v>16476.0</v>
      </c>
      <c r="B15497" s="3" t="s">
        <v>14724</v>
      </c>
      <c r="C15497" s="3" t="str">
        <f>IFERROR(__xludf.DUMMYFUNCTION("GOOGLETRANSLATE(B15497,""id"",""en"")"),"['The application', 'opened', 'updated', '']")</f>
        <v>['The application', 'opened', 'updated', '']</v>
      </c>
      <c r="D15497" s="3">
        <v>1.0</v>
      </c>
    </row>
    <row r="15498" ht="15.75" customHeight="1">
      <c r="A15498" s="1">
        <v>16477.0</v>
      </c>
      <c r="B15498" s="3" t="s">
        <v>14725</v>
      </c>
      <c r="C15498" s="3" t="str">
        <f>IFERROR(__xludf.DUMMYFUNCTION("GOOGLETRANSLATE(B15498,""id"",""en"")"),"['promo']")</f>
        <v>['promo']</v>
      </c>
      <c r="D15498" s="3">
        <v>5.0</v>
      </c>
    </row>
    <row r="15499" ht="15.75" customHeight="1">
      <c r="A15499" s="1">
        <v>16478.0</v>
      </c>
      <c r="B15499" s="3" t="s">
        <v>14726</v>
      </c>
      <c r="C15499" s="3" t="str">
        <f>IFERROR(__xludf.DUMMYFUNCTION("GOOGLETRANSLATE(B15499,""id"",""en"")"),"['Quality', 'internet', 'slow', 'expensive', 'in the city', 'smell', 'smell', 'sulawesi', 'southeast', 'please', 'action', 'continue']")</f>
        <v>['Quality', 'internet', 'slow', 'expensive', 'in the city', 'smell', 'smell', 'sulawesi', 'southeast', 'please', 'action', 'continue']</v>
      </c>
      <c r="D15499" s="3">
        <v>1.0</v>
      </c>
    </row>
    <row r="15500" ht="15.75" customHeight="1">
      <c r="A15500" s="1">
        <v>16479.0</v>
      </c>
      <c r="B15500" s="3" t="s">
        <v>14727</v>
      </c>
      <c r="C15500" s="3" t="str">
        <f>IFERROR(__xludf.DUMMYFUNCTION("GOOGLETRANSLATE(B15500,""id"",""en"")"),"['Download', 'Application', 'quota', 'strange', ""]")</f>
        <v>['Download', 'Application', 'quota', 'strange', "]</v>
      </c>
      <c r="D15500" s="3">
        <v>1.0</v>
      </c>
    </row>
    <row r="15501" ht="15.75" customHeight="1">
      <c r="A15501" s="1">
        <v>16480.0</v>
      </c>
      <c r="B15501" s="3" t="s">
        <v>14728</v>
      </c>
      <c r="C15501" s="3" t="str">
        <f>IFERROR(__xludf.DUMMYFUNCTION("GOOGLETRANSLATE(B15501,""id"",""en"")"),"['Application', 'opened', 'opened', 'screen', 'white', 'Dihp', 'Lemes']")</f>
        <v>['Application', 'opened', 'opened', 'screen', 'white', 'Dihp', 'Lemes']</v>
      </c>
      <c r="D15501" s="3">
        <v>1.0</v>
      </c>
    </row>
    <row r="15502" ht="15.75" customHeight="1">
      <c r="A15502" s="1">
        <v>16481.0</v>
      </c>
      <c r="B15502" s="3" t="s">
        <v>14729</v>
      </c>
      <c r="C15502" s="3" t="str">
        <f>IFERROR(__xludf.DUMMYFUNCTION("GOOGLETRANSLATE(B15502,""id"",""en"")"),"['fast', 'respond', '']")</f>
        <v>['fast', 'respond', '']</v>
      </c>
      <c r="D15502" s="3">
        <v>5.0</v>
      </c>
    </row>
    <row r="15503" ht="15.75" customHeight="1">
      <c r="A15503" s="1">
        <v>16482.0</v>
      </c>
      <c r="B15503" s="3" t="s">
        <v>1869</v>
      </c>
      <c r="C15503" s="3" t="str">
        <f>IFERROR(__xludf.DUMMYFUNCTION("GOOGLETRANSLATE(B15503,""id"",""en"")"),"['', 'Telkomsel', 'Open', '']")</f>
        <v>['', 'Telkomsel', 'Open', '']</v>
      </c>
      <c r="D15503" s="3">
        <v>5.0</v>
      </c>
    </row>
    <row r="15504" ht="15.75" customHeight="1">
      <c r="A15504" s="1">
        <v>16483.0</v>
      </c>
      <c r="B15504" s="3" t="s">
        <v>14730</v>
      </c>
      <c r="C15504" s="3" t="str">
        <f>IFERROR(__xludf.DUMMYFUNCTION("GOOGLETRANSLATE(B15504,""id"",""en"")"),"['application', 'Maytelkom', 'open', 'heavy', 'number', 'postpaid', 'hadeuuuuh', '']")</f>
        <v>['application', 'Maytelkom', 'open', 'heavy', 'number', 'postpaid', 'hadeuuuuh', '']</v>
      </c>
      <c r="D15504" s="3">
        <v>1.0</v>
      </c>
    </row>
    <row r="15505" ht="15.75" customHeight="1">
      <c r="A15505" s="1">
        <v>16484.0</v>
      </c>
      <c r="B15505" s="3" t="s">
        <v>14731</v>
      </c>
      <c r="C15505" s="3" t="str">
        <f>IFERROR(__xludf.DUMMYFUNCTION("GOOGLETRANSLATE(B15505,""id"",""en"")"),"['complain', 'entry', 'application', 'trs',' yesterday ',' base ',' telkom ',' really ',' emotion ',' gara ',' gara ',' application ',' Beretulin ',' the application ',' closed ',' his business', '']")</f>
        <v>['complain', 'entry', 'application', 'trs',' yesterday ',' base ',' telkom ',' really ',' emotion ',' gara ',' gara ',' application ',' Beretulin ',' the application ',' closed ',' his business', '']</v>
      </c>
      <c r="D15505" s="3">
        <v>1.0</v>
      </c>
    </row>
    <row r="15506" ht="15.75" customHeight="1">
      <c r="A15506" s="1">
        <v>16485.0</v>
      </c>
      <c r="B15506" s="3" t="s">
        <v>14732</v>
      </c>
      <c r="C15506" s="3" t="str">
        <f>IFERROR(__xludf.DUMMYFUNCTION("GOOGLETRANSLATE(B15506,""id"",""en"")"),"['Najis',' good ',' network ',' Bagusan ',' tri ',' signal ',' network ',' ilang ',' gajelas', 'email', 'tanggepan', 'recommendation', ' deh ',' card ']")</f>
        <v>['Najis',' good ',' network ',' Bagusan ',' tri ',' signal ',' network ',' ilang ',' gajelas', 'email', 'tanggepan', 'recommendation', ' deh ',' card ']</v>
      </c>
      <c r="D15506" s="3">
        <v>1.0</v>
      </c>
    </row>
    <row r="15507" ht="15.75" customHeight="1">
      <c r="A15507" s="1">
        <v>16486.0</v>
      </c>
      <c r="B15507" s="3" t="s">
        <v>14733</v>
      </c>
      <c r="C15507" s="3" t="str">
        <f>IFERROR(__xludf.DUMMYFUNCTION("GOOGLETRANSLATE(B15507,""id"",""en"")"),"['Application', 'slow', 'heavy', 'appearance', '']")</f>
        <v>['Application', 'slow', 'heavy', 'appearance', '']</v>
      </c>
      <c r="D15507" s="3">
        <v>1.0</v>
      </c>
    </row>
    <row r="15508" ht="15.75" customHeight="1">
      <c r="A15508" s="1">
        <v>16487.0</v>
      </c>
      <c r="B15508" s="3" t="s">
        <v>14734</v>
      </c>
      <c r="C15508" s="3" t="str">
        <f>IFERROR(__xludf.DUMMYFUNCTION("GOOGLETRANSLATE(B15508,""id"",""en"")"),"['opened', 'screen', 'white', 'doang', 'weekly', '']")</f>
        <v>['opened', 'screen', 'white', 'doang', 'weekly', '']</v>
      </c>
      <c r="D15508" s="3">
        <v>2.0</v>
      </c>
    </row>
    <row r="15509" ht="15.75" customHeight="1">
      <c r="A15509" s="1">
        <v>16488.0</v>
      </c>
      <c r="B15509" s="3" t="s">
        <v>14735</v>
      </c>
      <c r="C15509" s="3" t="str">
        <f>IFERROR(__xludf.DUMMYFUNCTION("GOOGLETRANSLATE(B15509,""id"",""en"")"),"['Times', 'Download', 'Delete', 'Download', 'Delete', 'Download', 'Application', 'Opened']")</f>
        <v>['Times', 'Download', 'Delete', 'Download', 'Delete', 'Download', 'Application', 'Opened']</v>
      </c>
      <c r="D15509" s="3">
        <v>1.0</v>
      </c>
    </row>
    <row r="15510" ht="15.75" customHeight="1">
      <c r="A15510" s="1">
        <v>16489.0</v>
      </c>
      <c r="B15510" s="3" t="s">
        <v>14736</v>
      </c>
      <c r="C15510" s="3" t="str">
        <f>IFERROR(__xludf.DUMMYFUNCTION("GOOGLETRANSLATE(B15510,""id"",""en"")"),"['signal', 'good', 'match']")</f>
        <v>['signal', 'good', 'match']</v>
      </c>
      <c r="D15510" s="3">
        <v>5.0</v>
      </c>
    </row>
    <row r="15511" ht="15.75" customHeight="1">
      <c r="A15511" s="1">
        <v>16490.0</v>
      </c>
      <c r="B15511" s="3" t="s">
        <v>14737</v>
      </c>
      <c r="C15511" s="3" t="str">
        <f>IFERROR(__xludf.DUMMYFUNCTION("GOOGLETRANSLATE(B15511,""id"",""en"")"),"['Telkomsel', 'Considered', 'Okay', 'Operator', 'APK', 'SERES', 'Unistal', 'reset', 'Download', 'Times',' Try ',' opened ',' please ',' repaired ',' service ',' rating ',' downhill ']")</f>
        <v>['Telkomsel', 'Considered', 'Okay', 'Operator', 'APK', 'SERES', 'Unistal', 'reset', 'Download', 'Times',' Try ',' opened ',' please ',' repaired ',' service ',' rating ',' downhill ']</v>
      </c>
      <c r="D15511" s="3">
        <v>1.0</v>
      </c>
    </row>
    <row r="15512" ht="15.75" customHeight="1">
      <c r="A15512" s="1">
        <v>16491.0</v>
      </c>
      <c r="B15512" s="3" t="s">
        <v>14738</v>
      </c>
      <c r="C15512" s="3" t="str">
        <f>IFERROR(__xludf.DUMMYFUNCTION("GOOGLETRANSLATE(B15512,""id"",""en"")"),"['application', 'Telkomsel', 'opened', 'open', 'application']")</f>
        <v>['application', 'Telkomsel', 'opened', 'open', 'application']</v>
      </c>
      <c r="D15512" s="3">
        <v>1.0</v>
      </c>
    </row>
    <row r="15513" ht="15.75" customHeight="1">
      <c r="A15513" s="1">
        <v>16492.0</v>
      </c>
      <c r="B15513" s="3" t="s">
        <v>14739</v>
      </c>
      <c r="C15513" s="3" t="str">
        <f>IFERROR(__xludf.DUMMYFUNCTION("GOOGLETRANSLATE(B15513,""id"",""en"")"),"['Season', 'deh', 'opened', 'apps', 'needed', 'fix', 'donk', 'performance', 'system', 'work', 'real', 'donk']")</f>
        <v>['Season', 'deh', 'opened', 'apps', 'needed', 'fix', 'donk', 'performance', 'system', 'work', 'real', 'donk']</v>
      </c>
      <c r="D15513" s="3">
        <v>1.0</v>
      </c>
    </row>
    <row r="15514" ht="15.75" customHeight="1">
      <c r="A15514" s="1">
        <v>16494.0</v>
      </c>
      <c r="B15514" s="3" t="s">
        <v>14740</v>
      </c>
      <c r="C15514" s="3" t="str">
        <f>IFERROR(__xludf.DUMMYFUNCTION("GOOGLETRANSLATE(B15514,""id"",""en"")"),"['Good', 'help', 'service']")</f>
        <v>['Good', 'help', 'service']</v>
      </c>
      <c r="D15514" s="3">
        <v>5.0</v>
      </c>
    </row>
    <row r="15515" ht="15.75" customHeight="1">
      <c r="A15515" s="1">
        <v>16495.0</v>
      </c>
      <c r="B15515" s="3" t="s">
        <v>92</v>
      </c>
      <c r="C15515" s="3" t="str">
        <f>IFERROR(__xludf.DUMMYFUNCTION("GOOGLETRANSLATE(B15515,""id"",""en"")"),"['Application', 'Open']")</f>
        <v>['Application', 'Open']</v>
      </c>
      <c r="D15515" s="3">
        <v>1.0</v>
      </c>
    </row>
    <row r="15516" ht="15.75" customHeight="1">
      <c r="A15516" s="1">
        <v>16497.0</v>
      </c>
      <c r="B15516" s="3" t="s">
        <v>14741</v>
      </c>
      <c r="C15516" s="3" t="str">
        <f>IFERROR(__xludf.DUMMYFUNCTION("GOOGLETRANSLATE(B15516,""id"",""en"")"),"['Satisfied', 'waiter', 'package', 'internet', 'disorder', 'system']")</f>
        <v>['Satisfied', 'waiter', 'package', 'internet', 'disorder', 'system']</v>
      </c>
      <c r="D15516" s="3">
        <v>1.0</v>
      </c>
    </row>
    <row r="15517" ht="15.75" customHeight="1">
      <c r="A15517" s="1">
        <v>16498.0</v>
      </c>
      <c r="B15517" s="3" t="s">
        <v>14742</v>
      </c>
      <c r="C15517" s="3" t="str">
        <f>IFERROR(__xludf.DUMMYFUNCTION("GOOGLETRANSLATE(B15517,""id"",""en"")"),"['upgrade', 'difficult', 'enter', 'weird']")</f>
        <v>['upgrade', 'difficult', 'enter', 'weird']</v>
      </c>
      <c r="D15517" s="3">
        <v>3.0</v>
      </c>
    </row>
    <row r="15518" ht="15.75" customHeight="1">
      <c r="A15518" s="1">
        <v>16499.0</v>
      </c>
      <c r="B15518" s="3" t="s">
        <v>14743</v>
      </c>
      <c r="C15518" s="3" t="str">
        <f>IFERROR(__xludf.DUMMYFUNCTION("GOOGLETRANSLATE(B15518,""id"",""en"")"),"['Min', 'MSK', 'buy', 'combo', 'Sakti', 'date', 'apply', 'until', 'date', 'kt', ""]")</f>
        <v>['Min', 'MSK', 'buy', 'combo', 'Sakti', 'date', 'apply', 'until', 'date', 'kt', "]</v>
      </c>
      <c r="D15518" s="3">
        <v>2.0</v>
      </c>
    </row>
    <row r="15519" ht="15.75" customHeight="1">
      <c r="A15519" s="1">
        <v>16500.0</v>
      </c>
      <c r="B15519" s="3" t="s">
        <v>14744</v>
      </c>
      <c r="C15519" s="3" t="str">
        <f>IFERROR(__xludf.DUMMYFUNCTION("GOOGLETRANSLATE(B15519,""id"",""en"")"),"['quota', 'internet', 'expensive']")</f>
        <v>['quota', 'internet', 'expensive']</v>
      </c>
      <c r="D15519" s="3">
        <v>2.0</v>
      </c>
    </row>
    <row r="15520" ht="15.75" customHeight="1">
      <c r="A15520" s="1">
        <v>16501.0</v>
      </c>
      <c r="B15520" s="3" t="s">
        <v>14745</v>
      </c>
      <c r="C15520" s="3" t="str">
        <f>IFERROR(__xludf.DUMMYFUNCTION("GOOGLETRANSLATE(B15520,""id"",""en"")"),"['Not bad', 'easy', 'check', 'quota', 'typing', 'gift', 'check out', 'daily', 'enhanced', 'use', 'pulse', 'rupiah', ' free ',' trmksh ']")</f>
        <v>['Not bad', 'easy', 'check', 'quota', 'typing', 'gift', 'check out', 'daily', 'enhanced', 'use', 'pulse', 'rupiah', ' free ',' trmksh ']</v>
      </c>
      <c r="D15520" s="3">
        <v>3.0</v>
      </c>
    </row>
    <row r="15521" ht="15.75" customHeight="1">
      <c r="A15521" s="1">
        <v>16502.0</v>
      </c>
      <c r="B15521" s="3" t="s">
        <v>14746</v>
      </c>
      <c r="C15521" s="3" t="str">
        <f>IFERROR(__xludf.DUMMYFUNCTION("GOOGLETRANSLATE(B15521,""id"",""en"")"),"['open', 'blank', 'white', 'doang', 'screen', 'awaited', 'enter', 'enter', 'try', 'delete', 'uninstall', ' Install ',' reset ',' Speed ​​',' Internet ',' Mbps', 'Open']")</f>
        <v>['open', 'blank', 'white', 'doang', 'screen', 'awaited', 'enter', 'enter', 'try', 'delete', 'uninstall', ' Install ',' reset ',' Speed ​​',' Internet ',' Mbps', 'Open']</v>
      </c>
      <c r="D15521" s="3">
        <v>1.0</v>
      </c>
    </row>
    <row r="15522" ht="15.75" customHeight="1">
      <c r="A15522" s="1">
        <v>16503.0</v>
      </c>
      <c r="B15522" s="3" t="s">
        <v>14747</v>
      </c>
      <c r="C15522" s="3" t="str">
        <f>IFERROR(__xludf.DUMMYFUNCTION("GOOGLETRANSLATE(B15522,""id"",""en"")"),"['Network', 'Telkomsel', 'Kampar', 'Riau', 'Good']")</f>
        <v>['Network', 'Telkomsel', 'Kampar', 'Riau', 'Good']</v>
      </c>
      <c r="D15522" s="3">
        <v>3.0</v>
      </c>
    </row>
    <row r="15523" ht="15.75" customHeight="1">
      <c r="A15523" s="1">
        <v>16504.0</v>
      </c>
      <c r="B15523" s="3" t="s">
        <v>14748</v>
      </c>
      <c r="C15523" s="3" t="str">
        <f>IFERROR(__xludf.DUMMYFUNCTION("GOOGLETRANSLATE(B15523,""id"",""en"")"),"['Nyobain', 'hope', 'smooth']")</f>
        <v>['Nyobain', 'hope', 'smooth']</v>
      </c>
      <c r="D15523" s="3">
        <v>4.0</v>
      </c>
    </row>
    <row r="15524" ht="15.75" customHeight="1">
      <c r="A15524" s="1">
        <v>16505.0</v>
      </c>
      <c r="B15524" s="3" t="s">
        <v>14749</v>
      </c>
      <c r="C15524" s="3" t="str">
        <f>IFERROR(__xludf.DUMMYFUNCTION("GOOGLETRANSLATE(B15524,""id"",""en"")"),"['Kenawhy', 'APK', 'number', 'entered', 'Muter', 'again', '']")</f>
        <v>['Kenawhy', 'APK', 'number', 'entered', 'Muter', 'again', '']</v>
      </c>
      <c r="D15524" s="3">
        <v>2.0</v>
      </c>
    </row>
    <row r="15525" ht="15.75" customHeight="1">
      <c r="A15525" s="1">
        <v>16506.0</v>
      </c>
      <c r="B15525" s="3" t="s">
        <v>14750</v>
      </c>
      <c r="C15525" s="3" t="str">
        <f>IFERROR(__xludf.DUMMYFUNCTION("GOOGLETRANSLATE(B15525,""id"",""en"")"),"['hope', 'system', 'bug', 'udh', 'buy', 'package', 'truncated', 'pulses',' package ',' enter ',' buy ',' app ',' Direct ',' dial ',' code ',' hope ',' then ',' improper ',' haha ​​']")</f>
        <v>['hope', 'system', 'bug', 'udh', 'buy', 'package', 'truncated', 'pulses',' package ',' enter ',' buy ',' app ',' Direct ',' dial ',' code ',' hope ',' then ',' improper ',' haha ​​']</v>
      </c>
      <c r="D15525" s="3">
        <v>5.0</v>
      </c>
    </row>
    <row r="15526" ht="15.75" customHeight="1">
      <c r="A15526" s="1">
        <v>16507.0</v>
      </c>
      <c r="B15526" s="3" t="s">
        <v>14751</v>
      </c>
      <c r="C15526" s="3" t="str">
        <f>IFERROR(__xludf.DUMMYFUNCTION("GOOGLETRANSLATE(B15526,""id"",""en"")"),"['Open', 'Telkomsel', 'Please', 'Assisted']")</f>
        <v>['Open', 'Telkomsel', 'Please', 'Assisted']</v>
      </c>
      <c r="D15526" s="3">
        <v>4.0</v>
      </c>
    </row>
    <row r="15527" ht="15.75" customHeight="1">
      <c r="A15527" s="1">
        <v>16508.0</v>
      </c>
      <c r="B15527" s="3" t="s">
        <v>14752</v>
      </c>
      <c r="C15527" s="3" t="str">
        <f>IFERROR(__xludf.DUMMYFUNCTION("GOOGLETRANSLATE(B15527,""id"",""en"")"),"['Network', 'Internet', 'please', 'Dide', 'Thank you']")</f>
        <v>['Network', 'Internet', 'please', 'Dide', 'Thank you']</v>
      </c>
      <c r="D15527" s="3">
        <v>2.0</v>
      </c>
    </row>
    <row r="15528" ht="15.75" customHeight="1">
      <c r="A15528" s="1">
        <v>16509.0</v>
      </c>
      <c r="B15528" s="3" t="s">
        <v>14753</v>
      </c>
      <c r="C15528" s="3" t="str">
        <f>IFERROR(__xludf.DUMMYFUNCTION("GOOGLETRANSLATE(B15528,""id"",""en"")"),"['It's easy', 'service']")</f>
        <v>['It's easy', 'service']</v>
      </c>
      <c r="D15528" s="3">
        <v>5.0</v>
      </c>
    </row>
    <row r="15529" ht="15.75" customHeight="1">
      <c r="A15529" s="1">
        <v>16510.0</v>
      </c>
      <c r="B15529" s="3" t="s">
        <v>4619</v>
      </c>
      <c r="C15529" s="3" t="str">
        <f>IFERROR(__xludf.DUMMYFUNCTION("GOOGLETRANSLATE(B15529,""id"",""en"")"),"['package', 'expensive']")</f>
        <v>['package', 'expensive']</v>
      </c>
      <c r="D15529" s="3">
        <v>1.0</v>
      </c>
    </row>
    <row r="15530" ht="15.75" customHeight="1">
      <c r="A15530" s="1">
        <v>16511.0</v>
      </c>
      <c r="B15530" s="3" t="s">
        <v>14754</v>
      </c>
      <c r="C15530" s="3" t="str">
        <f>IFERROR(__xludf.DUMMYFUNCTION("GOOGLETRANSLATE(B15530,""id"",""en"")"),"['Telkomsel', 'poor', 'application', 'Telkomsel', 'no "",' open ',' update ',' result ',' rich ',' gini ',' annoyed ',' network ',' LEG ',' Application ',' Telkomsel ',' No ',' Open ',' Ngga ',' Give ',' Service ',' Stop ',' Sorry ',' No ',' Give ',' Star"&amp;" ' , 'according to', 'normal', 'love', 'star', '']")</f>
        <v>['Telkomsel', 'poor', 'application', 'Telkomsel', 'no ",' open ',' update ',' result ',' rich ',' gini ',' annoyed ',' network ',' LEG ',' Application ',' Telkomsel ',' No ',' Open ',' Ngga ',' Give ',' Service ',' Stop ',' Sorry ',' No ',' Give ',' Star ' , 'according to', 'normal', 'love', 'star', '']</v>
      </c>
      <c r="D15530" s="3">
        <v>1.0</v>
      </c>
    </row>
    <row r="15531" ht="15.75" customHeight="1">
      <c r="A15531" s="1">
        <v>16512.0</v>
      </c>
      <c r="B15531" s="3" t="s">
        <v>14755</v>
      </c>
      <c r="C15531" s="3" t="str">
        <f>IFERROR(__xludf.DUMMYFUNCTION("GOOGLETRANSLATE(B15531,""id"",""en"")"),"['a week', 'App', 'Telkomsel', 'opened', 'clicked', 'looks',' white ',' app ',' love ',' kyaknya ',' computer ',' connection ',' package ',' data ',' open ',' network ',' wifi ',' please ',' help ',' app ',' telkomsel ']")</f>
        <v>['a week', 'App', 'Telkomsel', 'opened', 'clicked', 'looks',' white ',' app ',' love ',' kyaknya ',' computer ',' connection ',' package ',' data ',' open ',' network ',' wifi ',' please ',' help ',' app ',' telkomsel ']</v>
      </c>
      <c r="D15531" s="3">
        <v>3.0</v>
      </c>
    </row>
    <row r="15532" ht="15.75" customHeight="1">
      <c r="A15532" s="1">
        <v>16513.0</v>
      </c>
      <c r="B15532" s="3" t="s">
        <v>1463</v>
      </c>
      <c r="C15532" s="3" t="str">
        <f>IFERROR(__xludf.DUMMYFUNCTION("GOOGLETRANSLATE(B15532,""id"",""en"")"),"['It's easier for']")</f>
        <v>['It's easier for']</v>
      </c>
      <c r="D15532" s="3">
        <v>5.0</v>
      </c>
    </row>
    <row r="15533" ht="15.75" customHeight="1">
      <c r="A15533" s="1">
        <v>16514.0</v>
      </c>
      <c r="B15533" s="3" t="s">
        <v>14756</v>
      </c>
      <c r="C15533" s="3" t="str">
        <f>IFERROR(__xludf.DUMMYFUNCTION("GOOGLETRANSLATE(B15533,""id"",""en"")"),"['Network', 'Gnya', 'MNTB', 'ABIZ', 'TOP', '']")</f>
        <v>['Network', 'Gnya', 'MNTB', 'ABIZ', 'TOP', '']</v>
      </c>
      <c r="D15533" s="3">
        <v>5.0</v>
      </c>
    </row>
    <row r="15534" ht="15.75" customHeight="1">
      <c r="A15534" s="1">
        <v>16515.0</v>
      </c>
      <c r="B15534" s="3" t="s">
        <v>14757</v>
      </c>
      <c r="C15534" s="3" t="str">
        <f>IFERROR(__xludf.DUMMYFUNCTION("GOOGLETRANSLATE(B15534,""id"",""en"")"),"['Paketan', 'expensive', 'COK', 'Compared', 'Reversed', 'colleague', 'choice', 'Paketan', 'cheap', 'Dekas',' Telekomsel ',' Patching ',' Differentiate ',' according to ',' need ',' telek ', ""]")</f>
        <v>['Paketan', 'expensive', 'COK', 'Compared', 'Reversed', 'colleague', 'choice', 'Paketan', 'cheap', 'Dekas',' Telekomsel ',' Patching ',' Differentiate ',' according to ',' need ',' telek ', "]</v>
      </c>
      <c r="D15534" s="3">
        <v>1.0</v>
      </c>
    </row>
    <row r="15535" ht="15.75" customHeight="1">
      <c r="A15535" s="1">
        <v>16516.0</v>
      </c>
      <c r="B15535" s="3" t="s">
        <v>14758</v>
      </c>
      <c r="C15535" s="3" t="str">
        <f>IFERROR(__xludf.DUMMYFUNCTION("GOOGLETRANSLATE(B15535,""id"",""en"")"),"['Network', 'No "",' Strongest ',' Error ',' Loading ',' Application ',' Telkomsel ',' No"", 'Opened', 'Ngeluh', 'No "",' Try ',' complaints', 'Twitter', 'no', 'people', 'Twitter', 'use', 'write', 'please', 'repaired', ""]")</f>
        <v>['Network', 'No ",' Strongest ',' Error ',' Loading ',' Application ',' Telkomsel ',' No", 'Opened', 'Ngeluh', 'No ",' Try ',' complaints', 'Twitter', 'no', 'people', 'Twitter', 'use', 'write', 'please', 'repaired', "]</v>
      </c>
      <c r="D15535" s="3">
        <v>2.0</v>
      </c>
    </row>
    <row r="15536" ht="15.75" customHeight="1">
      <c r="A15536" s="1">
        <v>16517.0</v>
      </c>
      <c r="B15536" s="3" t="s">
        <v>14759</v>
      </c>
      <c r="C15536" s="3" t="str">
        <f>IFERROR(__xludf.DUMMYFUNCTION("GOOGLETRANSLATE(B15536,""id"",""en"")"),"['Steady', 'Connect', 'Wallet']")</f>
        <v>['Steady', 'Connect', 'Wallet']</v>
      </c>
      <c r="D15536" s="3">
        <v>5.0</v>
      </c>
    </row>
    <row r="15537" ht="15.75" customHeight="1">
      <c r="A15537" s="1">
        <v>16518.0</v>
      </c>
      <c r="B15537" s="3" t="s">
        <v>8033</v>
      </c>
      <c r="C15537" s="3" t="str">
        <f>IFERROR(__xludf.DUMMYFUNCTION("GOOGLETRANSLATE(B15537,""id"",""en"")"),"['Alhamdulillah', 'help']")</f>
        <v>['Alhamdulillah', 'help']</v>
      </c>
      <c r="D15537" s="3">
        <v>5.0</v>
      </c>
    </row>
    <row r="15538" ht="15.75" customHeight="1">
      <c r="A15538" s="1">
        <v>16519.0</v>
      </c>
      <c r="B15538" s="3" t="s">
        <v>9722</v>
      </c>
      <c r="C15538" s="3" t="str">
        <f>IFERROR(__xludf.DUMMYFUNCTION("GOOGLETRANSLATE(B15538,""id"",""en"")"),"['Good', 'boss', '']")</f>
        <v>['Good', 'boss', '']</v>
      </c>
      <c r="D15538" s="3">
        <v>5.0</v>
      </c>
    </row>
    <row r="15539" ht="15.75" customHeight="1">
      <c r="A15539" s="1">
        <v>16520.0</v>
      </c>
      <c r="B15539" s="3" t="s">
        <v>14760</v>
      </c>
      <c r="C15539" s="3" t="str">
        <f>IFERROR(__xludf.DUMMYFUNCTION("GOOGLETRANSLATE(B15539,""id"",""en"")"),"['It's easy', 'purchase', 'pulse', 'package']")</f>
        <v>['It's easy', 'purchase', 'pulse', 'package']</v>
      </c>
      <c r="D15539" s="3">
        <v>5.0</v>
      </c>
    </row>
    <row r="15540" ht="15.75" customHeight="1">
      <c r="A15540" s="1">
        <v>16523.0</v>
      </c>
      <c r="B15540" s="3" t="s">
        <v>14761</v>
      </c>
      <c r="C15540" s="3" t="str">
        <f>IFERROR(__xludf.DUMMYFUNCTION("GOOGLETRANSLATE(B15540,""id"",""en"")"),"['No', 'error', 'Bund']")</f>
        <v>['No', 'error', 'Bund']</v>
      </c>
      <c r="D15540" s="3">
        <v>4.0</v>
      </c>
    </row>
    <row r="15541" ht="15.75" customHeight="1">
      <c r="A15541" s="1">
        <v>16524.0</v>
      </c>
      <c r="B15541" s="3" t="s">
        <v>14762</v>
      </c>
      <c r="C15541" s="3" t="str">
        <f>IFERROR(__xludf.DUMMYFUNCTION("GOOGLETRANSLATE(B15541,""id"",""en"")"),"['according to', 'functions', 'ability']")</f>
        <v>['according to', 'functions', 'ability']</v>
      </c>
      <c r="D15541" s="3">
        <v>5.0</v>
      </c>
    </row>
    <row r="15542" ht="15.75" customHeight="1">
      <c r="A15542" s="1">
        <v>16525.0</v>
      </c>
      <c r="B15542" s="3" t="s">
        <v>14763</v>
      </c>
      <c r="C15542" s="3" t="str">
        <f>IFERROR(__xludf.DUMMYFUNCTION("GOOGLETRANSLATE(B15542,""id"",""en"")"),"['application', 'okay', 'makes it easy', 'really', 'top', 'deh']")</f>
        <v>['application', 'okay', 'makes it easy', 'really', 'top', 'deh']</v>
      </c>
      <c r="D15542" s="3">
        <v>5.0</v>
      </c>
    </row>
    <row r="15543" ht="15.75" customHeight="1">
      <c r="A15543" s="1">
        <v>16526.0</v>
      </c>
      <c r="B15543" s="3" t="s">
        <v>14764</v>
      </c>
      <c r="C15543" s="3" t="str">
        <f>IFERROR(__xludf.DUMMYFUNCTION("GOOGLETRANSLATE(B15543,""id"",""en"")"),"['Telkomsel', 'tdak', 'open', 'sdah', 'yesterday', 'hrs', 'buy', 'kouta']")</f>
        <v>['Telkomsel', 'tdak', 'open', 'sdah', 'yesterday', 'hrs', 'buy', 'kouta']</v>
      </c>
      <c r="D15543" s="3">
        <v>3.0</v>
      </c>
    </row>
    <row r="15544" ht="15.75" customHeight="1">
      <c r="A15544" s="1">
        <v>16527.0</v>
      </c>
      <c r="B15544" s="3" t="s">
        <v>14765</v>
      </c>
      <c r="C15544" s="3" t="str">
        <f>IFERROR(__xludf.DUMMYFUNCTION("GOOGLETRANSLATE(B15544,""id"",""en"")"),"['Network', 'bad', 'stay', 'leftover', 'quota', 'youtube', 'sosmed', 'kahah', 'kek', 'so', 'mending', 'no', ' Buy ',' Package ',' Jancuuk ',' ']")</f>
        <v>['Network', 'bad', 'stay', 'leftover', 'quota', 'youtube', 'sosmed', 'kahah', 'kek', 'so', 'mending', 'no', ' Buy ',' Package ',' Jancuuk ',' ']</v>
      </c>
      <c r="D15544" s="3">
        <v>1.0</v>
      </c>
    </row>
    <row r="15545" ht="15.75" customHeight="1">
      <c r="A15545" s="1">
        <v>16528.0</v>
      </c>
      <c r="B15545" s="3" t="s">
        <v>14766</v>
      </c>
      <c r="C15545" s="3" t="str">
        <f>IFERROR(__xludf.DUMMYFUNCTION("GOOGLETRANSLATE(B15545,""id"",""en"")"),"['Add', 'Package', 'Cheap', 'Telkomsel']")</f>
        <v>['Add', 'Package', 'Cheap', 'Telkomsel']</v>
      </c>
      <c r="D15545" s="3">
        <v>5.0</v>
      </c>
    </row>
    <row r="15546" ht="15.75" customHeight="1">
      <c r="A15546" s="1">
        <v>16529.0</v>
      </c>
      <c r="B15546" s="3" t="s">
        <v>14767</v>
      </c>
      <c r="C15546" s="3" t="str">
        <f>IFERROR(__xludf.DUMMYFUNCTION("GOOGLETRANSLATE(B15546,""id"",""en"")"),"['opened', 'heavy', 'really', 'rich', 'application', 'opened', 'disappointed']")</f>
        <v>['opened', 'heavy', 'really', 'rich', 'application', 'opened', 'disappointed']</v>
      </c>
      <c r="D15546" s="3">
        <v>1.0</v>
      </c>
    </row>
    <row r="15547" ht="15.75" customHeight="1">
      <c r="A15547" s="1">
        <v>16530.0</v>
      </c>
      <c r="B15547" s="3" t="s">
        <v>14768</v>
      </c>
      <c r="C15547" s="3" t="str">
        <f>IFERROR(__xludf.DUMMYFUNCTION("GOOGLETRANSLATE(B15547,""id"",""en"")"),"['promo', 'interesting', 'good', '']")</f>
        <v>['promo', 'interesting', 'good', '']</v>
      </c>
      <c r="D15547" s="3">
        <v>5.0</v>
      </c>
    </row>
    <row r="15548" ht="15.75" customHeight="1">
      <c r="A15548" s="1">
        <v>16531.0</v>
      </c>
      <c r="B15548" s="3" t="s">
        <v>1178</v>
      </c>
      <c r="C15548" s="3" t="str">
        <f>IFERROR(__xludf.DUMMYFUNCTION("GOOGLETRANSLATE(B15548,""id"",""en"")"),"['Good', 'Useful']")</f>
        <v>['Good', 'Useful']</v>
      </c>
      <c r="D15548" s="3">
        <v>5.0</v>
      </c>
    </row>
    <row r="15549" ht="15.75" customHeight="1">
      <c r="A15549" s="1">
        <v>16532.0</v>
      </c>
      <c r="B15549" s="3" t="s">
        <v>14769</v>
      </c>
      <c r="C15549" s="3" t="str">
        <f>IFERROR(__xludf.DUMMYFUNCTION("GOOGLETRANSLATE(B15549,""id"",""en"")"),"['Error', 'opened', 'Application', 'Melaz', 'Disappointed']")</f>
        <v>['Error', 'opened', 'Application', 'Melaz', 'Disappointed']</v>
      </c>
      <c r="D15549" s="3">
        <v>1.0</v>
      </c>
    </row>
    <row r="15550" ht="15.75" customHeight="1">
      <c r="A15550" s="1">
        <v>16533.0</v>
      </c>
      <c r="B15550" s="3" t="s">
        <v>14770</v>
      </c>
      <c r="C15550" s="3" t="str">
        <f>IFERROR(__xludf.DUMMYFUNCTION("GOOGLETRANSLATE(B15550,""id"",""en"")"),"['Application', 'Cool', 'Hopefully', 'Win', 'Lottery', 'Car', ""]")</f>
        <v>['Application', 'Cool', 'Hopefully', 'Win', 'Lottery', 'Car', "]</v>
      </c>
      <c r="D15550" s="3">
        <v>5.0</v>
      </c>
    </row>
    <row r="15551" ht="15.75" customHeight="1">
      <c r="A15551" s="1">
        <v>16534.0</v>
      </c>
      <c r="B15551" s="3" t="s">
        <v>14771</v>
      </c>
      <c r="C15551" s="3" t="str">
        <f>IFERROR(__xludf.DUMMYFUNCTION("GOOGLETRANSLATE(B15551,""id"",""en"")"),"['Enter', 'Telkomsel', 'screen', 'white', 'update', 'normal', 'update', 'error', 'access',' Telkomsel ',' tlg ',' fix ',' Donk ',' bug ',' ']")</f>
        <v>['Enter', 'Telkomsel', 'screen', 'white', 'update', 'normal', 'update', 'error', 'access',' Telkomsel ',' tlg ',' fix ',' Donk ',' bug ',' ']</v>
      </c>
      <c r="D15551" s="3">
        <v>1.0</v>
      </c>
    </row>
    <row r="15552" ht="15.75" customHeight="1">
      <c r="A15552" s="1">
        <v>16535.0</v>
      </c>
      <c r="B15552" s="3" t="s">
        <v>14772</v>
      </c>
      <c r="C15552" s="3" t="str">
        <f>IFERROR(__xludf.DUMMYFUNCTION("GOOGLETRANSLATE(B15552,""id"",""en"")"),"['Sekarng', 'package', 'internet', 'expensive', '']")</f>
        <v>['Sekarng', 'package', 'internet', 'expensive', '']</v>
      </c>
      <c r="D15552" s="3">
        <v>2.0</v>
      </c>
    </row>
    <row r="15553" ht="15.75" customHeight="1">
      <c r="A15553" s="1">
        <v>16536.0</v>
      </c>
      <c r="B15553" s="3" t="s">
        <v>14773</v>
      </c>
      <c r="C15553" s="3" t="str">
        <f>IFERROR(__xludf.DUMMYFUNCTION("GOOGLETRANSLATE(B15553,""id"",""en"")"),"['Not bad', 'help', 'Activity', 'job']")</f>
        <v>['Not bad', 'help', 'Activity', 'job']</v>
      </c>
      <c r="D15553" s="3">
        <v>3.0</v>
      </c>
    </row>
    <row r="15554" ht="15.75" customHeight="1">
      <c r="A15554" s="1">
        <v>16537.0</v>
      </c>
      <c r="B15554" s="3" t="s">
        <v>14774</v>
      </c>
      <c r="C15554" s="3" t="str">
        <f>IFERROR(__xludf.DUMMYFUNCTION("GOOGLETRANSLATE(B15554,""id"",""en"")"),"['Satisfied', 'Darling', 'Snyital "",' Like ',' Ngilan ']")</f>
        <v>['Satisfied', 'Darling', 'Snyital ",' Like ',' Ngilan ']</v>
      </c>
      <c r="D15554" s="3">
        <v>4.0</v>
      </c>
    </row>
    <row r="15555" ht="15.75" customHeight="1">
      <c r="A15555" s="1">
        <v>16538.0</v>
      </c>
      <c r="B15555" s="3" t="s">
        <v>14775</v>
      </c>
      <c r="C15555" s="3" t="str">
        <f>IFERROR(__xludf.DUMMYFUNCTION("GOOGLETRANSLATE(B15555,""id"",""en"")"),"['cheap', 'price', 'quota', 'wear', 'Telkomsel']")</f>
        <v>['cheap', 'price', 'quota', 'wear', 'Telkomsel']</v>
      </c>
      <c r="D15555" s="3">
        <v>5.0</v>
      </c>
    </row>
    <row r="15556" ht="15.75" customHeight="1">
      <c r="A15556" s="1">
        <v>16539.0</v>
      </c>
      <c r="B15556" s="3" t="s">
        <v>14776</v>
      </c>
      <c r="C15556" s="3" t="str">
        <f>IFERROR(__xludf.DUMMYFUNCTION("GOOGLETRANSLATE(B15556,""id"",""en"")"),"['Network', 'ngeleg', 'ngeleg', 'already', 'that's', 'package', 'expensive']")</f>
        <v>['Network', 'ngeleg', 'ngeleg', 'already', 'that's', 'package', 'expensive']</v>
      </c>
      <c r="D15556" s="3">
        <v>1.0</v>
      </c>
    </row>
    <row r="15557" ht="15.75" customHeight="1">
      <c r="A15557" s="1">
        <v>16540.0</v>
      </c>
      <c r="B15557" s="3" t="s">
        <v>9309</v>
      </c>
      <c r="C15557" s="3" t="str">
        <f>IFERROR(__xludf.DUMMYFUNCTION("GOOGLETRANSLATE(B15557,""id"",""en"")"),"['Application', 'Telkomsel', 'open', ""]")</f>
        <v>['Application', 'Telkomsel', 'open', "]</v>
      </c>
      <c r="D15557" s="3">
        <v>5.0</v>
      </c>
    </row>
    <row r="15558" ht="15.75" customHeight="1">
      <c r="A15558" s="1">
        <v>16541.0</v>
      </c>
      <c r="B15558" s="3" t="s">
        <v>14777</v>
      </c>
      <c r="C15558" s="3" t="str">
        <f>IFERROR(__xludf.DUMMYFUNCTION("GOOGLETRANSLATE(B15558,""id"",""en"")"),"['discount', 'contents', 'reset', 'package', 'internet', '']")</f>
        <v>['discount', 'contents', 'reset', 'package', 'internet', '']</v>
      </c>
      <c r="D15558" s="3">
        <v>5.0</v>
      </c>
    </row>
    <row r="15559" ht="15.75" customHeight="1">
      <c r="A15559" s="1">
        <v>16542.0</v>
      </c>
      <c r="B15559" s="3" t="s">
        <v>14778</v>
      </c>
      <c r="C15559" s="3" t="str">
        <f>IFERROR(__xludf.DUMMYFUNCTION("GOOGLETRANSLATE(B15559,""id"",""en"")"),"['BLM', 'DPT', 'Gift', 'Points', 'Gus']")</f>
        <v>['BLM', 'DPT', 'Gift', 'Points', 'Gus']</v>
      </c>
      <c r="D15559" s="3">
        <v>5.0</v>
      </c>
    </row>
    <row r="15560" ht="15.75" customHeight="1">
      <c r="A15560" s="1">
        <v>16543.0</v>
      </c>
      <c r="B15560" s="3" t="s">
        <v>14779</v>
      </c>
      <c r="C15560" s="3" t="str">
        <f>IFERROR(__xludf.DUMMYFUNCTION("GOOGLETRANSLATE(B15560,""id"",""en"")"),"['info', 'feature', 'good', 'distinguish', 'customer', 'post', 'prepaid', 'entry', 'offer', 'data', 'promo', 'prepaid', ' Post ',' Pay ',' Thank ',' Love ',' Telkomsel ', ""]")</f>
        <v>['info', 'feature', 'good', 'distinguish', 'customer', 'post', 'prepaid', 'entry', 'offer', 'data', 'promo', 'prepaid', ' Post ',' Pay ',' Thank ',' Love ',' Telkomsel ', "]</v>
      </c>
      <c r="D15560" s="3">
        <v>5.0</v>
      </c>
    </row>
    <row r="15561" ht="15.75" customHeight="1">
      <c r="A15561" s="1">
        <v>16544.0</v>
      </c>
      <c r="B15561" s="3" t="s">
        <v>14780</v>
      </c>
      <c r="C15561" s="3" t="str">
        <f>IFERROR(__xludf.DUMMYFUNCTION("GOOGLETRANSLATE(B15561,""id"",""en"")"),"['idiot', 'cave', 'make', 'telkom', 'signal', 'slow', 'price', 'package', 'expensive', 'package', 'run out', 'sicken', ' pulses', 'love', 'notif', 'late', 'run out', 'pulse', 'ngepain', 'mke', 'telkomtot', '']")</f>
        <v>['idiot', 'cave', 'make', 'telkom', 'signal', 'slow', 'price', 'package', 'expensive', 'package', 'run out', 'sicken', ' pulses', 'love', 'notif', 'late', 'run out', 'pulse', 'ngepain', 'mke', 'telkomtot', '']</v>
      </c>
      <c r="D15561" s="3">
        <v>1.0</v>
      </c>
    </row>
    <row r="15562" ht="15.75" customHeight="1">
      <c r="A15562" s="1">
        <v>16545.0</v>
      </c>
      <c r="B15562" s="3" t="s">
        <v>14781</v>
      </c>
      <c r="C15562" s="3" t="str">
        <f>IFERROR(__xludf.DUMMYFUNCTION("GOOGLETRANSLATE(B15562,""id"",""en"")"),"['Love', 'Bintang', 'Application', 'Good', 'Features',' Features', 'Discard', 'Inside', 'Preferred', 'User', 'Area', 'Javanese', ' Sumatra ',' Island ',' Indonesia ',' West ',' Examples', 'Check', 'Daily', 'Voucher', 'Zalora', 'DSB', 'Suggested', 'Indones"&amp;"ia', 'East' , '']")</f>
        <v>['Love', 'Bintang', 'Application', 'Good', 'Features',' Features', 'Discard', 'Inside', 'Preferred', 'User', 'Area', 'Javanese', ' Sumatra ',' Island ',' Indonesia ',' West ',' Examples', 'Check', 'Daily', 'Voucher', 'Zalora', 'DSB', 'Suggested', 'Indonesia', 'East' , '']</v>
      </c>
      <c r="D15562" s="3">
        <v>3.0</v>
      </c>
    </row>
    <row r="15563" ht="15.75" customHeight="1">
      <c r="A15563" s="1">
        <v>16547.0</v>
      </c>
      <c r="B15563" s="3" t="s">
        <v>14782</v>
      </c>
      <c r="C15563" s="3" t="str">
        <f>IFERROR(__xludf.DUMMYFUNCTION("GOOGLETRANSLATE(B15563,""id"",""en"")"),"['Application', 'Sorry', 'forgive', ""]")</f>
        <v>['Application', 'Sorry', 'forgive', "]</v>
      </c>
      <c r="D15563" s="3">
        <v>5.0</v>
      </c>
    </row>
    <row r="15564" ht="15.75" customHeight="1">
      <c r="A15564" s="1">
        <v>16548.0</v>
      </c>
      <c r="B15564" s="3" t="s">
        <v>14783</v>
      </c>
      <c r="C15564" s="3" t="str">
        <f>IFERROR(__xludf.DUMMYFUNCTION("GOOGLETRANSLATE(B15564,""id"",""en"")"),"['updated', 'Telkomsel', 'open', 'screen', 'white', 'doang', 'squirk', 'checkin', 'too far', 'a day', 'deh', 'ttp', ' Please, 'repaired', 'my APK', '']")</f>
        <v>['updated', 'Telkomsel', 'open', 'screen', 'white', 'doang', 'squirk', 'checkin', 'too far', 'a day', 'deh', 'ttp', ' Please, 'repaired', 'my APK', '']</v>
      </c>
      <c r="D15564" s="3">
        <v>2.0</v>
      </c>
    </row>
    <row r="15565" ht="15.75" customHeight="1">
      <c r="A15565" s="1">
        <v>16549.0</v>
      </c>
      <c r="B15565" s="3" t="s">
        <v>14784</v>
      </c>
      <c r="C15565" s="3" t="str">
        <f>IFERROR(__xludf.DUMMYFUNCTION("GOOGLETRANSLATE(B15565,""id"",""en"")"),"['', 'enter', 'APK', 'UDH', 'Uninstall', 'Install', 'enter', 'Telkomsel', ""]")</f>
        <v>['', 'enter', 'APK', 'UDH', 'Uninstall', 'Install', 'enter', 'Telkomsel', "]</v>
      </c>
      <c r="D15565" s="3">
        <v>1.0</v>
      </c>
    </row>
    <row r="15566" ht="15.75" customHeight="1">
      <c r="A15566" s="1">
        <v>16550.0</v>
      </c>
      <c r="B15566" s="3" t="s">
        <v>14785</v>
      </c>
      <c r="C15566" s="3" t="str">
        <f>IFERROR(__xludf.DUMMYFUNCTION("GOOGLETRANSLATE(B15566,""id"",""en"")"),"['Telkomsel', 'Open', 'Severe', 'Please', 'Fix', '']")</f>
        <v>['Telkomsel', 'Open', 'Severe', 'Please', 'Fix', '']</v>
      </c>
      <c r="D15566" s="3">
        <v>1.0</v>
      </c>
    </row>
    <row r="15567" ht="15.75" customHeight="1">
      <c r="A15567" s="1">
        <v>16551.0</v>
      </c>
      <c r="B15567" s="3" t="s">
        <v>14786</v>
      </c>
      <c r="C15567" s="3" t="str">
        <f>IFERROR(__xludf.DUMMYFUNCTION("GOOGLETRANSLATE(B15567,""id"",""en"")"),"['Install', 'uninstall', 'many', 'application', 'blank', 'white']")</f>
        <v>['Install', 'uninstall', 'many', 'application', 'blank', 'white']</v>
      </c>
      <c r="D15567" s="3">
        <v>1.0</v>
      </c>
    </row>
    <row r="15568" ht="15.75" customHeight="1">
      <c r="A15568" s="1">
        <v>16552.0</v>
      </c>
      <c r="B15568" s="3" t="s">
        <v>14787</v>
      </c>
      <c r="C15568" s="3" t="str">
        <f>IFERROR(__xludf.DUMMYFUNCTION("GOOGLETRANSLATE(B15568,""id"",""en"")"),"['Understand', 'Learning', 'Beginner']")</f>
        <v>['Understand', 'Learning', 'Beginner']</v>
      </c>
      <c r="D15568" s="3">
        <v>1.0</v>
      </c>
    </row>
    <row r="15569" ht="15.75" customHeight="1">
      <c r="A15569" s="1">
        <v>16553.0</v>
      </c>
      <c r="B15569" s="3" t="s">
        <v>14788</v>
      </c>
      <c r="C15569" s="3" t="str">
        <f>IFERROR(__xludf.DUMMYFUNCTION("GOOGLETRANSLATE(B15569,""id"",""en"")"),"['Tuk', 'Open', 'Application', 'Telkomsel', 'Telkomsel', 'SMP', 'Check', 'Data', 'Difficult', 'BLI', 'Package', 'Difficult', ' Sngat ',' Disappointed ',' ']")</f>
        <v>['Tuk', 'Open', 'Application', 'Telkomsel', 'Telkomsel', 'SMP', 'Check', 'Data', 'Difficult', 'BLI', 'Package', 'Difficult', ' Sngat ',' Disappointed ',' ']</v>
      </c>
      <c r="D15569" s="3">
        <v>2.0</v>
      </c>
    </row>
    <row r="15570" ht="15.75" customHeight="1">
      <c r="A15570" s="1">
        <v>16554.0</v>
      </c>
      <c r="B15570" s="3" t="s">
        <v>14789</v>
      </c>
      <c r="C15570" s="3" t="str">
        <f>IFERROR(__xludf.DUMMYFUNCTION("GOOGLETRANSLATE(B15570,""id"",""en"")"),"['out', 'update', 'open', 'application', 'already', 'restart', 'already', 'delete', 'garbage', 'already', 'delete', 'download', ' reset ',' open ',' application ',' husband ',' sya ',' open ',' knp ',' ngeselin ',' really ',' you ', ""]")</f>
        <v>['out', 'update', 'open', 'application', 'already', 'restart', 'already', 'delete', 'garbage', 'already', 'delete', 'download', ' reset ',' open ',' application ',' husband ',' sya ',' open ',' knp ',' ngeselin ',' really ',' you ', "]</v>
      </c>
      <c r="D15570" s="3">
        <v>1.0</v>
      </c>
    </row>
    <row r="15571" ht="15.75" customHeight="1">
      <c r="A15571" s="1">
        <v>16555.0</v>
      </c>
      <c r="B15571" s="3" t="s">
        <v>14790</v>
      </c>
      <c r="C15571" s="3" t="str">
        <f>IFERROR(__xludf.DUMMYFUNCTION("GOOGLETRANSLATE(B15571,""id"",""en"")"),"['It's easy', 'promo', 'yaa']")</f>
        <v>['It's easy', 'promo', 'yaa']</v>
      </c>
      <c r="D15571" s="3">
        <v>5.0</v>
      </c>
    </row>
    <row r="15572" ht="15.75" customHeight="1">
      <c r="A15572" s="1">
        <v>16556.0</v>
      </c>
      <c r="B15572" s="3" t="s">
        <v>777</v>
      </c>
      <c r="C15572" s="3" t="str">
        <f>IFERROR(__xludf.DUMMYFUNCTION("GOOGLETRANSLATE(B15572,""id"",""en"")"),"['Application', 'Good', '']")</f>
        <v>['Application', 'Good', '']</v>
      </c>
      <c r="D15572" s="3">
        <v>5.0</v>
      </c>
    </row>
    <row r="15573" ht="15.75" customHeight="1">
      <c r="A15573" s="1">
        <v>16557.0</v>
      </c>
      <c r="B15573" s="3" t="s">
        <v>14791</v>
      </c>
      <c r="C15573" s="3" t="str">
        <f>IFERROR(__xludf.DUMMYFUNCTION("GOOGLETRANSLATE(B15573,""id"",""en"")"),"['Satisfied', 'SMA', 'Telkomsel', 'Hello', 'Called', 'Offers',' Transition ',' Sympathy ',' Hello ',' Honest ',' Imperience ',' Ribet ',' boyar ',' month ',' number ',' blocked ',' usage ',' Buln ',' Satisfied ',' really ',' phone ',' texting ',' unlimite"&amp;"d ',' quota ',' internet ' , 'right', 'BWT', 'usage', 'a month', 'signal', 'good', 'even though', 'Ujan', 'gluduk', 'lightning', 'wind', 'kayak', ' Quota ',' Multimedian ',' Unlimited ',' Thanks', 'Telkomsel', 'Hello', 'front', 'Hope', 'Satisfied', ""]")</f>
        <v>['Satisfied', 'SMA', 'Telkomsel', 'Hello', 'Called', 'Offers',' Transition ',' Sympathy ',' Hello ',' Honest ',' Imperience ',' Ribet ',' boyar ',' month ',' number ',' blocked ',' usage ',' Buln ',' Satisfied ',' really ',' phone ',' texting ',' unlimited ',' quota ',' internet ' , 'right', 'BWT', 'usage', 'a month', 'signal', 'good', 'even though', 'Ujan', 'gluduk', 'lightning', 'wind', 'kayak', ' Quota ',' Multimedian ',' Unlimited ',' Thanks', 'Telkomsel', 'Hello', 'front', 'Hope', 'Satisfied', "]</v>
      </c>
      <c r="D15573" s="3">
        <v>5.0</v>
      </c>
    </row>
    <row r="15574" ht="15.75" customHeight="1">
      <c r="A15574" s="1">
        <v>16558.0</v>
      </c>
      <c r="B15574" s="3" t="s">
        <v>14792</v>
      </c>
      <c r="C15574" s="3" t="str">
        <f>IFERROR(__xludf.DUMMYFUNCTION("GOOGLETRANSLATE(B15574,""id"",""en"")"),"['Bad', 'really', 'dipake', 'application', 'screen', 'white', 'doang', 'loading', 'yes',' install ',' uninstall ',' tetep ',' functioning ',' choose ',' buy ',' pulse ',' package ',' eCommerce ',' better ',' ']")</f>
        <v>['Bad', 'really', 'dipake', 'application', 'screen', 'white', 'doang', 'loading', 'yes',' install ',' uninstall ',' tetep ',' functioning ',' choose ',' buy ',' pulse ',' package ',' eCommerce ',' better ',' ']</v>
      </c>
      <c r="D15574" s="3">
        <v>1.0</v>
      </c>
    </row>
    <row r="15575" ht="15.75" customHeight="1">
      <c r="A15575" s="1">
        <v>16559.0</v>
      </c>
      <c r="B15575" s="3" t="s">
        <v>14793</v>
      </c>
      <c r="C15575" s="3" t="str">
        <f>IFERROR(__xludf.DUMMYFUNCTION("GOOGLETRANSLATE(B15575,""id"",""en"")"),"['Quality', 'Good', 'TPI', 'Tlong', 'Fix', 'Speed', 'Login', 'Success']")</f>
        <v>['Quality', 'Good', 'TPI', 'Tlong', 'Fix', 'Speed', 'Login', 'Success']</v>
      </c>
      <c r="D15575" s="3">
        <v>3.0</v>
      </c>
    </row>
    <row r="15576" ht="15.75" customHeight="1">
      <c r="A15576" s="1">
        <v>16560.0</v>
      </c>
      <c r="B15576" s="3" t="s">
        <v>14794</v>
      </c>
      <c r="C15576" s="3" t="str">
        <f>IFERROR(__xludf.DUMMYFUNCTION("GOOGLETRANSLATE(B15576,""id"",""en"")"),"['APLKSI', 'LOVED', 'Support', 'PAS', 'Change']")</f>
        <v>['APLKSI', 'LOVED', 'Support', 'PAS', 'Change']</v>
      </c>
      <c r="D15576" s="3">
        <v>1.0</v>
      </c>
    </row>
    <row r="15577" ht="15.75" customHeight="1">
      <c r="A15577" s="1">
        <v>16562.0</v>
      </c>
      <c r="B15577" s="3" t="s">
        <v>14795</v>
      </c>
      <c r="C15577" s="3" t="str">
        <f>IFERROR(__xludf.DUMMYFUNCTION("GOOGLETRANSLATE(B15577,""id"",""en"")"),"['Barokallah', 'hope', 'mandate', 'kakk', ""]")</f>
        <v>['Barokallah', 'hope', 'mandate', 'kakk', "]</v>
      </c>
      <c r="D15577" s="3">
        <v>4.0</v>
      </c>
    </row>
    <row r="15578" ht="15.75" customHeight="1">
      <c r="A15578" s="1">
        <v>16563.0</v>
      </c>
      <c r="B15578" s="3" t="s">
        <v>14796</v>
      </c>
      <c r="C15578" s="3" t="str">
        <f>IFERROR(__xludf.DUMMYFUNCTION("GOOGLETRANSLATE(B15578,""id"",""en"")"),"['Forward', 'Success']")</f>
        <v>['Forward', 'Success']</v>
      </c>
      <c r="D15578" s="3">
        <v>5.0</v>
      </c>
    </row>
    <row r="15579" ht="15.75" customHeight="1">
      <c r="A15579" s="1">
        <v>16564.0</v>
      </c>
      <c r="B15579" s="3" t="s">
        <v>14797</v>
      </c>
      <c r="C15579" s="3" t="str">
        <f>IFERROR(__xludf.DUMMYFUNCTION("GOOGLETRANSLATE(B15579,""id"",""en"")"),"['APL']")</f>
        <v>['APL']</v>
      </c>
      <c r="D15579" s="3">
        <v>2.0</v>
      </c>
    </row>
    <row r="15580" ht="15.75" customHeight="1">
      <c r="A15580" s="1">
        <v>16565.0</v>
      </c>
      <c r="B15580" s="3" t="s">
        <v>14798</v>
      </c>
      <c r="C15580" s="3" t="str">
        <f>IFERROR(__xludf.DUMMYFUNCTION("GOOGLETRANSLATE(B15580,""id"",""en"")"),"['Login', 'Severe', 'Telkomsel']")</f>
        <v>['Login', 'Severe', 'Telkomsel']</v>
      </c>
      <c r="D15580" s="3">
        <v>3.0</v>
      </c>
    </row>
    <row r="15581" ht="15.75" customHeight="1">
      <c r="A15581" s="1">
        <v>16566.0</v>
      </c>
      <c r="B15581" s="3" t="s">
        <v>14799</v>
      </c>
      <c r="C15581" s="3" t="str">
        <f>IFERROR(__xludf.DUMMYFUNCTION("GOOGLETRANSLATE(B15581,""id"",""en"")"),"['opened', 'run out', 'update']")</f>
        <v>['opened', 'run out', 'update']</v>
      </c>
      <c r="D15581" s="3">
        <v>1.0</v>
      </c>
    </row>
    <row r="15582" ht="15.75" customHeight="1">
      <c r="A15582" s="1">
        <v>16567.0</v>
      </c>
      <c r="B15582" s="3" t="s">
        <v>14800</v>
      </c>
      <c r="C15582" s="3" t="str">
        <f>IFERROR(__xludf.DUMMYFUNCTION("GOOGLETRANSLATE(B15582,""id"",""en"")"),"['Opened', 'Application', 'Please', 'Explanation']")</f>
        <v>['Opened', 'Application', 'Please', 'Explanation']</v>
      </c>
      <c r="D15582" s="3">
        <v>1.0</v>
      </c>
    </row>
    <row r="15583" ht="15.75" customHeight="1">
      <c r="A15583" s="1">
        <v>16568.0</v>
      </c>
      <c r="B15583" s="3" t="s">
        <v>14801</v>
      </c>
      <c r="C15583" s="3" t="str">
        <f>IFERROR(__xludf.DUMMYFUNCTION("GOOGLETRANSLATE(B15583,""id"",""en"")"),"['expensive', 'ATIIII', 'Network', 'slow', 'network', 'error', 'card', 'new', 'Kluman', ""]")</f>
        <v>['expensive', 'ATIIII', 'Network', 'slow', 'network', 'error', 'card', 'new', 'Kluman', "]</v>
      </c>
      <c r="D15583" s="3">
        <v>5.0</v>
      </c>
    </row>
    <row r="15584" ht="15.75" customHeight="1">
      <c r="A15584" s="1">
        <v>16569.0</v>
      </c>
      <c r="B15584" s="3" t="s">
        <v>14802</v>
      </c>
      <c r="C15584" s="3" t="str">
        <f>IFERROR(__xludf.DUMMYFUNCTION("GOOGLETRANSLATE(B15584,""id"",""en"")"),"['application', 'Telkomsel', 'poor', 'opened', 'screen', 'white', 'sya', 'try', 'uninstall', 'llu', 'install', 'results',' classmate ',' Telkomsel ',' company ',' like ',' gini ',' please ',' repaired ',' the application ',' ']")</f>
        <v>['application', 'Telkomsel', 'poor', 'opened', 'screen', 'white', 'sya', 'try', 'uninstall', 'llu', 'install', 'results',' classmate ',' Telkomsel ',' company ',' like ',' gini ',' please ',' repaired ',' the application ',' ']</v>
      </c>
      <c r="D15584" s="3">
        <v>1.0</v>
      </c>
    </row>
    <row r="15585" ht="15.75" customHeight="1">
      <c r="A15585" s="1">
        <v>16570.0</v>
      </c>
      <c r="B15585" s="3" t="s">
        <v>14803</v>
      </c>
      <c r="C15585" s="3" t="str">
        <f>IFERROR(__xludf.DUMMYFUNCTION("GOOGLETRANSLATE(B15585,""id"",""en"")"),"['thorough', 'buy', 'quota', 'application', 'read', 'requirements', 'provisions', 'tempted', 'ads']")</f>
        <v>['thorough', 'buy', 'quota', 'application', 'read', 'requirements', 'provisions', 'tempted', 'ads']</v>
      </c>
      <c r="D15585" s="3">
        <v>4.0</v>
      </c>
    </row>
    <row r="15586" ht="15.75" customHeight="1">
      <c r="A15586" s="1">
        <v>16571.0</v>
      </c>
      <c r="B15586" s="3" t="s">
        <v>14804</v>
      </c>
      <c r="C15586" s="3" t="str">
        <f>IFERROR(__xludf.DUMMYFUNCTION("GOOGLETRANSLATE(B15586,""id"",""en"")"),"['multiply', 'bonus', 'bod']")</f>
        <v>['multiply', 'bonus', 'bod']</v>
      </c>
      <c r="D15586" s="3">
        <v>5.0</v>
      </c>
    </row>
    <row r="15587" ht="15.75" customHeight="1">
      <c r="A15587" s="1">
        <v>16572.0</v>
      </c>
      <c r="B15587" s="3" t="s">
        <v>14805</v>
      </c>
      <c r="C15587" s="3" t="str">
        <f>IFERROR(__xludf.DUMMYFUNCTION("GOOGLETRANSLATE(B15587,""id"",""en"")"),"['', 'Mimin', 'brother', 'mimin', 'gymna', 'turn off', 'loan', 'Telkomsel', 'times',' wrong ',' pressing ',' right ',' open ',' Gunain ',' WiFi ',' Sia ',' loan ',' waste ',' Matiin ',' because 'expensive', 'how', 'min', 'waste', 'card', 'card', 'Change',"&amp;" 'exis']")</f>
        <v>['', 'Mimin', 'brother', 'mimin', 'gymna', 'turn off', 'loan', 'Telkomsel', 'times',' wrong ',' pressing ',' right ',' open ',' Gunain ',' WiFi ',' Sia ',' loan ',' waste ',' Matiin ',' because 'expensive', 'how', 'min', 'waste', 'card', 'card', 'Change', 'exis']</v>
      </c>
      <c r="D15587" s="3">
        <v>3.0</v>
      </c>
    </row>
    <row r="15588" ht="15.75" customHeight="1">
      <c r="A15588" s="1">
        <v>16573.0</v>
      </c>
      <c r="B15588" s="3" t="s">
        <v>14806</v>
      </c>
      <c r="C15588" s="3" t="str">
        <f>IFERROR(__xludf.DUMMYFUNCTION("GOOGLETRANSLATE(B15588,""id"",""en"")"),"['signal', 'difficult', 'pulled', 'rich', 'antenna', 'signal', 'Please', 'help', ""]")</f>
        <v>['signal', 'difficult', 'pulled', 'rich', 'antenna', 'signal', 'Please', 'help', "]</v>
      </c>
      <c r="D15588" s="3">
        <v>2.0</v>
      </c>
    </row>
    <row r="15589" ht="15.75" customHeight="1">
      <c r="A15589" s="1">
        <v>16574.0</v>
      </c>
      <c r="B15589" s="3" t="s">
        <v>14807</v>
      </c>
      <c r="C15589" s="3" t="str">
        <f>IFERROR(__xludf.DUMMYFUNCTION("GOOGLETRANSLATE(B15589,""id"",""en"")"),"['signal', 'stable', 'area', 'difficult', 'enter', 'application', 'Telkomsel']")</f>
        <v>['signal', 'stable', 'area', 'difficult', 'enter', 'application', 'Telkomsel']</v>
      </c>
      <c r="D15589" s="3">
        <v>2.0</v>
      </c>
    </row>
    <row r="15590" ht="15.75" customHeight="1">
      <c r="A15590" s="1">
        <v>16575.0</v>
      </c>
      <c r="B15590" s="3" t="s">
        <v>14808</v>
      </c>
      <c r="C15590" s="3" t="str">
        <f>IFERROR(__xludf.DUMMYFUNCTION("GOOGLETRANSLATE(B15590,""id"",""en"")"),"['Price', 'Package', 'quota']")</f>
        <v>['Price', 'Package', 'quota']</v>
      </c>
      <c r="D15590" s="3">
        <v>2.0</v>
      </c>
    </row>
    <row r="15591" ht="15.75" customHeight="1">
      <c r="A15591" s="1">
        <v>16576.0</v>
      </c>
      <c r="B15591" s="3" t="s">
        <v>12900</v>
      </c>
      <c r="C15591" s="3" t="str">
        <f>IFERROR(__xludf.DUMMYFUNCTION("GOOGLETRANSLATE(B15591,""id"",""en"")"),"['opened', 'screen', 'white']")</f>
        <v>['opened', 'screen', 'white']</v>
      </c>
      <c r="D15591" s="3">
        <v>5.0</v>
      </c>
    </row>
    <row r="15592" ht="15.75" customHeight="1">
      <c r="A15592" s="1">
        <v>16577.0</v>
      </c>
      <c r="B15592" s="3" t="s">
        <v>14809</v>
      </c>
      <c r="C15592" s="3" t="str">
        <f>IFERROR(__xludf.DUMMYFUNCTION("GOOGLETRANSLATE(B15592,""id"",""en"")"),"['Yesterday', 'buy', 'pulse', 'rb', 'then', 'kugunain', 'buy', 'quota', 'whatsapp', 'for', 'rb', 'tomorrow', ' check ',' leftover ',' pulses', 'yaaa', 'bad', 'really', 'how good', 'time', 'pulse', 'run out', 'drain', 'money', 'kit' , 'ATI', 'ADHHH', 'Telk"&amp;"omsel', 'Kapok']")</f>
        <v>['Yesterday', 'buy', 'pulse', 'rb', 'then', 'kugunain', 'buy', 'quota', 'whatsapp', 'for', 'rb', 'tomorrow', ' check ',' leftover ',' pulses', 'yaaa', 'bad', 'really', 'how good', 'time', 'pulse', 'run out', 'drain', 'money', 'kit' , 'ATI', 'ADHHH', 'Telkomsel', 'Kapok']</v>
      </c>
      <c r="D15592" s="3">
        <v>1.0</v>
      </c>
    </row>
    <row r="15593" ht="15.75" customHeight="1">
      <c r="A15593" s="1">
        <v>16578.0</v>
      </c>
      <c r="B15593" s="3" t="s">
        <v>14810</v>
      </c>
      <c r="C15593" s="3" t="str">
        <f>IFERROR(__xludf.DUMMYFUNCTION("GOOGLETRANSLATE(B15593,""id"",""en"")"),"['apk', 'Telkomsel', 'open', 'Please', 'explanation', '']")</f>
        <v>['apk', 'Telkomsel', 'open', 'Please', 'explanation', '']</v>
      </c>
      <c r="D15593" s="3">
        <v>1.0</v>
      </c>
    </row>
    <row r="15594" ht="15.75" customHeight="1">
      <c r="A15594" s="1">
        <v>16579.0</v>
      </c>
      <c r="B15594" s="3" t="s">
        <v>14811</v>
      </c>
      <c r="C15594" s="3" t="str">
        <f>IFERROR(__xludf.DUMMYFUNCTION("GOOGLETRANSLATE(B15594,""id"",""en"")"),"['application', 'Telkomsel', 'difficult', 'open', 'hopefully', 'fast', 'completed', ""]")</f>
        <v>['application', 'Telkomsel', 'difficult', 'open', 'hopefully', 'fast', 'completed', "]</v>
      </c>
      <c r="D15594" s="3">
        <v>5.0</v>
      </c>
    </row>
    <row r="15595" ht="15.75" customHeight="1">
      <c r="A15595" s="1">
        <v>16580.0</v>
      </c>
      <c r="B15595" s="3" t="s">
        <v>14812</v>
      </c>
      <c r="C15595" s="3" t="str">
        <f>IFERROR(__xludf.DUMMYFUNCTION("GOOGLETRANSLATE(B15595,""id"",""en"")"),"['strange', 'knpa', 'Telkomsel', 'open', 'tlng', 'explanation', '']")</f>
        <v>['strange', 'knpa', 'Telkomsel', 'open', 'tlng', 'explanation', '']</v>
      </c>
      <c r="D15595" s="3">
        <v>1.0</v>
      </c>
    </row>
    <row r="15596" ht="15.75" customHeight="1">
      <c r="A15596" s="1">
        <v>16581.0</v>
      </c>
      <c r="B15596" s="3" t="s">
        <v>14813</v>
      </c>
      <c r="C15596" s="3" t="str">
        <f>IFERROR(__xludf.DUMMYFUNCTION("GOOGLETRANSLATE(B15596,""id"",""en"")"),"['steady', 'service', '']")</f>
        <v>['steady', 'service', '']</v>
      </c>
      <c r="D15596" s="3">
        <v>5.0</v>
      </c>
    </row>
    <row r="15597" ht="15.75" customHeight="1">
      <c r="A15597" s="1">
        <v>16582.0</v>
      </c>
      <c r="B15597" s="3" t="s">
        <v>14814</v>
      </c>
      <c r="C15597" s="3" t="str">
        <f>IFERROR(__xludf.DUMMYFUNCTION("GOOGLETRANSLATE(B15597,""id"",""en"")"),"['enter', 'MyTelkomsel', 'times', 'enter', 'screen', 'blank', 'colored', 'white']")</f>
        <v>['enter', 'MyTelkomsel', 'times', 'enter', 'screen', 'blank', 'colored', 'white']</v>
      </c>
      <c r="D15597" s="3">
        <v>1.0</v>
      </c>
    </row>
    <row r="15598" ht="15.75" customHeight="1">
      <c r="A15598" s="1">
        <v>16583.0</v>
      </c>
      <c r="B15598" s="3" t="s">
        <v>619</v>
      </c>
      <c r="C15598" s="3" t="str">
        <f>IFERROR(__xludf.DUMMYFUNCTION("GOOGLETRANSLATE(B15598,""id"",""en"")"),"['Good', 'help']")</f>
        <v>['Good', 'help']</v>
      </c>
      <c r="D15598" s="3">
        <v>5.0</v>
      </c>
    </row>
    <row r="15599" ht="15.75" customHeight="1">
      <c r="A15599" s="1">
        <v>16584.0</v>
      </c>
      <c r="B15599" s="3" t="s">
        <v>14815</v>
      </c>
      <c r="C15599" s="3" t="str">
        <f>IFERROR(__xludf.DUMMYFUNCTION("GOOGLETRANSLATE(B15599,""id"",""en"")"),"['Download', 'Telkomsel', 'right', 'Read', 'review', 'complement', 'yaa', 'Aghh', 'Download', ""]")</f>
        <v>['Download', 'Telkomsel', 'right', 'Read', 'review', 'complement', 'yaa', 'Aghh', 'Download', "]</v>
      </c>
      <c r="D15599" s="3">
        <v>1.0</v>
      </c>
    </row>
    <row r="15600" ht="15.75" customHeight="1">
      <c r="A15600" s="1">
        <v>16585.0</v>
      </c>
      <c r="B15600" s="3" t="s">
        <v>14816</v>
      </c>
      <c r="C15600" s="3" t="str">
        <f>IFERROR(__xludf.DUMMYFUNCTION("GOOGLETRANSLATE(B15600,""id"",""en"")"),"['Buy', 'Package', 'Cheap']")</f>
        <v>['Buy', 'Package', 'Cheap']</v>
      </c>
      <c r="D15600" s="3">
        <v>5.0</v>
      </c>
    </row>
    <row r="15601" ht="15.75" customHeight="1">
      <c r="A15601" s="1">
        <v>16586.0</v>
      </c>
      <c r="B15601" s="3" t="s">
        <v>14817</v>
      </c>
      <c r="C15601" s="3" t="str">
        <f>IFERROR(__xludf.DUMMYFUNCTION("GOOGLETRANSLATE(B15601,""id"",""en"")"),"['Ngeled', 'Lola', 'Open', 'The application', 'Telkomsel', 'ITE', 'sulk', 'Gara', 'UMK', 'a little']")</f>
        <v>['Ngeled', 'Lola', 'Open', 'The application', 'Telkomsel', 'ITE', 'sulk', 'Gara', 'UMK', 'a little']</v>
      </c>
      <c r="D15601" s="3">
        <v>1.0</v>
      </c>
    </row>
    <row r="15602" ht="15.75" customHeight="1">
      <c r="A15602" s="1">
        <v>16587.0</v>
      </c>
      <c r="B15602" s="3" t="s">
        <v>14818</v>
      </c>
      <c r="C15602" s="3" t="str">
        <f>IFERROR(__xludf.DUMMYFUNCTION("GOOGLETRANSLATE(B15602,""id"",""en"")"),"['Hobbies',' Nyolong ',' Credit ',' Switch ',' Sibiru ',' Goodbye ',' Telkomsel ',' Name ',' Doang ',' Service ',' Public ',' Minus', ' ']")</f>
        <v>['Hobbies',' Nyolong ',' Credit ',' Switch ',' Sibiru ',' Goodbye ',' Telkomsel ',' Name ',' Doang ',' Service ',' Public ',' Minus', ' ']</v>
      </c>
      <c r="D15602" s="3">
        <v>1.0</v>
      </c>
    </row>
    <row r="15603" ht="15.75" customHeight="1">
      <c r="A15603" s="1">
        <v>16588.0</v>
      </c>
      <c r="B15603" s="3" t="s">
        <v>14819</v>
      </c>
      <c r="C15603" s="3" t="str">
        <f>IFERROR(__xludf.DUMMYFUNCTION("GOOGLETRANSLATE(B15603,""id"",""en"")"),"['pls', 'Reply', 'Review', 'Package', 'Unlimited', 'pls', 'Talikin']")</f>
        <v>['pls', 'Reply', 'Review', 'Package', 'Unlimited', 'pls', 'Talikin']</v>
      </c>
      <c r="D15603" s="3">
        <v>1.0</v>
      </c>
    </row>
    <row r="15604" ht="15.75" customHeight="1">
      <c r="A15604" s="1">
        <v>16589.0</v>
      </c>
      <c r="B15604" s="3" t="s">
        <v>14820</v>
      </c>
      <c r="C15604" s="3" t="str">
        <f>IFERROR(__xludf.DUMMYFUNCTION("GOOGLETRANSLATE(B15604,""id"",""en"")"),"['Mimin', 'PKET', 'Cheap', 'little', '']")</f>
        <v>['Mimin', 'PKET', 'Cheap', 'little', '']</v>
      </c>
      <c r="D15604" s="3">
        <v>5.0</v>
      </c>
    </row>
    <row r="15605" ht="15.75" customHeight="1">
      <c r="A15605" s="1">
        <v>16590.0</v>
      </c>
      <c r="B15605" s="3" t="s">
        <v>14821</v>
      </c>
      <c r="C15605" s="3" t="str">
        <f>IFERROR(__xludf.DUMMYFUNCTION("GOOGLETRANSLATE(B15605,""id"",""en"")"),"['application', 'rubbish', 'oath', 'application', 'ugly', 'really', 'briefly', 'update', 'loading', 'mulu', 'pdhl', 'signal', ' Full ',' ']")</f>
        <v>['application', 'rubbish', 'oath', 'application', 'ugly', 'really', 'briefly', 'update', 'loading', 'mulu', 'pdhl', 'signal', ' Full ',' ']</v>
      </c>
      <c r="D15605" s="3">
        <v>1.0</v>
      </c>
    </row>
    <row r="15606" ht="15.75" customHeight="1">
      <c r="A15606" s="1">
        <v>16591.0</v>
      </c>
      <c r="B15606" s="3" t="s">
        <v>14822</v>
      </c>
      <c r="C15606" s="3" t="str">
        <f>IFERROR(__xludf.DUMMYFUNCTION("GOOGLETRANSLATE(B15606,""id"",""en"")"),"['recommend', 'embarrassing', 'recommend', 'provider', 'capitalist', 'price', 'human', 'speed', 'classified', 'standard', '']")</f>
        <v>['recommend', 'embarrassing', 'recommend', 'provider', 'capitalist', 'price', 'human', 'speed', 'classified', 'standard', '']</v>
      </c>
      <c r="D15606" s="3">
        <v>1.0</v>
      </c>
    </row>
    <row r="15607" ht="15.75" customHeight="1">
      <c r="A15607" s="1">
        <v>16592.0</v>
      </c>
      <c r="B15607" s="3" t="s">
        <v>14823</v>
      </c>
      <c r="C15607" s="3" t="str">
        <f>IFERROR(__xludf.DUMMYFUNCTION("GOOGLETRANSLATE(B15607,""id"",""en"")"),"['How', 'Sihhh', 'signal', 'Ngapa', 'What's For', 'Quota', 'Help', 'Definition', 'Ngastain', 'Telkomsel', 'Baduk', 'Buy', ' package ',' data ',' expensive ',' again ',' drained ',' money ',' gunaaa ']")</f>
        <v>['How', 'Sihhh', 'signal', 'Ngapa', 'What's For', 'Quota', 'Help', 'Definition', 'Ngastain', 'Telkomsel', 'Baduk', 'Buy', ' package ',' data ',' expensive ',' again ',' drained ',' money ',' gunaaa ']</v>
      </c>
      <c r="D15607" s="3">
        <v>1.0</v>
      </c>
    </row>
    <row r="15608" ht="15.75" customHeight="1">
      <c r="A15608" s="1">
        <v>16593.0</v>
      </c>
      <c r="B15608" s="3" t="s">
        <v>12483</v>
      </c>
      <c r="C15608" s="3" t="str">
        <f>IFERROR(__xludf.DUMMYFUNCTION("GOOGLETRANSLATE(B15608,""id"",""en"")"),"['Update', 'opened']")</f>
        <v>['Update', 'opened']</v>
      </c>
      <c r="D15608" s="3">
        <v>2.0</v>
      </c>
    </row>
    <row r="15609" ht="15.75" customHeight="1">
      <c r="A15609" s="1">
        <v>16594.0</v>
      </c>
      <c r="B15609" s="3" t="s">
        <v>14824</v>
      </c>
      <c r="C15609" s="3" t="str">
        <f>IFERROR(__xludf.DUMMYFUNCTION("GOOGLETRANSLATE(B15609,""id"",""en"")"),"['Updated', 'Telkomsel', 'Display', 'Color', 'White', 'Doang', 'Pekah']")</f>
        <v>['Updated', 'Telkomsel', 'Display', 'Color', 'White', 'Doang', 'Pekah']</v>
      </c>
      <c r="D15609" s="3">
        <v>1.0</v>
      </c>
    </row>
    <row r="15610" ht="15.75" customHeight="1">
      <c r="A15610" s="1">
        <v>16595.0</v>
      </c>
      <c r="B15610" s="3" t="s">
        <v>14825</v>
      </c>
      <c r="C15610" s="3" t="str">
        <f>IFERROR(__xludf.DUMMYFUNCTION("GOOGLETRANSLATE(B15610,""id"",""en"")"),"['', 'open', 'appknya', 'supports', 'Samsung', '']")</f>
        <v>['', 'open', 'appknya', 'supports', 'Samsung', '']</v>
      </c>
      <c r="D15610" s="3">
        <v>1.0</v>
      </c>
    </row>
    <row r="15611" ht="15.75" customHeight="1">
      <c r="A15611" s="1">
        <v>16596.0</v>
      </c>
      <c r="B15611" s="3" t="s">
        <v>14826</v>
      </c>
      <c r="C15611" s="3" t="str">
        <f>IFERROR(__xludf.DUMMYFUNCTION("GOOGLETRANSLATE(B15611,""id"",""en"")"),"['application', 'open', 'checked', 'quota', 'poor', ""]")</f>
        <v>['application', 'open', 'checked', 'quota', 'poor', "]</v>
      </c>
      <c r="D15611" s="3">
        <v>1.0</v>
      </c>
    </row>
    <row r="15612" ht="15.75" customHeight="1">
      <c r="A15612" s="1">
        <v>16597.0</v>
      </c>
      <c r="B15612" s="3" t="s">
        <v>14827</v>
      </c>
      <c r="C15612" s="3" t="str">
        <f>IFERROR(__xludf.DUMMYFUNCTION("GOOGLETRANSLATE(B15612,""id"",""en"")"),"['application', 'Samsung']")</f>
        <v>['application', 'Samsung']</v>
      </c>
      <c r="D15612" s="3">
        <v>2.0</v>
      </c>
    </row>
    <row r="15613" ht="15.75" customHeight="1">
      <c r="A15613" s="1">
        <v>16598.0</v>
      </c>
      <c r="B15613" s="3" t="s">
        <v>14828</v>
      </c>
      <c r="C15613" s="3" t="str">
        <f>IFERROR(__xludf.DUMMYFUNCTION("GOOGLETRANSLATE(B15613,""id"",""en"")"),"['fun', 'signal', 'strong', 'where', 'data', 'smooth', 'point', 'steady', 'cool', '']")</f>
        <v>['fun', 'signal', 'strong', 'where', 'data', 'smooth', 'point', 'steady', 'cool', '']</v>
      </c>
      <c r="D15613" s="3">
        <v>5.0</v>
      </c>
    </row>
    <row r="15614" ht="15.75" customHeight="1">
      <c r="A15614" s="1">
        <v>16599.0</v>
      </c>
      <c r="B15614" s="3" t="s">
        <v>14829</v>
      </c>
      <c r="C15614" s="3" t="str">
        <f>IFERROR(__xludf.DUMMYFUNCTION("GOOGLETRANSLATE(B15614,""id"",""en"")"),"['Helping', 'makes it easier', 'checks',' Package ',' Register ',' Package ',' Data ',' Option ',' Gift ',' Get ',' Lay ',' Cool ',' Deh ']")</f>
        <v>['Helping', 'makes it easier', 'checks',' Package ',' Register ',' Package ',' Data ',' Option ',' Gift ',' Get ',' Lay ',' Cool ',' Deh ']</v>
      </c>
      <c r="D15614" s="3">
        <v>5.0</v>
      </c>
    </row>
    <row r="15615" ht="15.75" customHeight="1">
      <c r="A15615" s="1">
        <v>16600.0</v>
      </c>
      <c r="B15615" s="3" t="s">
        <v>14830</v>
      </c>
      <c r="C15615" s="3" t="str">
        <f>IFERROR(__xludf.DUMMYFUNCTION("GOOGLETRANSLATE(B15615,""id"",""en"")"),"['Buy', 'Vocer', 'GB', 'Used', 'Posts', 'Region', 'That's']")</f>
        <v>['Buy', 'Vocer', 'GB', 'Used', 'Posts', 'Region', 'That's']</v>
      </c>
      <c r="D15615" s="3">
        <v>2.0</v>
      </c>
    </row>
    <row r="15616" ht="15.75" customHeight="1">
      <c r="A15616" s="1">
        <v>16601.0</v>
      </c>
      <c r="B15616" s="3" t="s">
        <v>14831</v>
      </c>
      <c r="C15616" s="3" t="str">
        <f>IFERROR(__xludf.DUMMYFUNCTION("GOOGLETRANSLATE(B15616,""id"",""en"")"),"['Signal', 'Good', 'ugly']")</f>
        <v>['Signal', 'Good', 'ugly']</v>
      </c>
      <c r="D15616" s="3">
        <v>1.0</v>
      </c>
    </row>
    <row r="15617" ht="15.75" customHeight="1">
      <c r="A15617" s="1">
        <v>16602.0</v>
      </c>
      <c r="B15617" s="3" t="s">
        <v>14832</v>
      </c>
      <c r="C15617" s="3" t="str">
        <f>IFERROR(__xludf.DUMMYFUNCTION("GOOGLETRANSLATE(B15617,""id"",""en"")"),"['get', 'no', 'open', 'please', 'answer']")</f>
        <v>['get', 'no', 'open', 'please', 'answer']</v>
      </c>
      <c r="D15617" s="3">
        <v>1.0</v>
      </c>
    </row>
    <row r="15618" ht="15.75" customHeight="1">
      <c r="A15618" s="1">
        <v>16603.0</v>
      </c>
      <c r="B15618" s="3" t="s">
        <v>14833</v>
      </c>
      <c r="C15618" s="3" t="str">
        <f>IFERROR(__xludf.DUMMYFUNCTION("GOOGLETRANSLATE(B15618,""id"",""en"")"),"['APDET', 'Open', 'Membleh', 'Mending', 'Application', '']")</f>
        <v>['APDET', 'Open', 'Membleh', 'Mending', 'Application', '']</v>
      </c>
      <c r="D15618" s="3">
        <v>1.0</v>
      </c>
    </row>
    <row r="15619" ht="15.75" customHeight="1">
      <c r="A15619" s="1">
        <v>16604.0</v>
      </c>
      <c r="B15619" s="3" t="s">
        <v>14834</v>
      </c>
      <c r="C15619" s="3" t="str">
        <f>IFERROR(__xludf.DUMMYFUNCTION("GOOGLETRANSLATE(B15619,""id"",""en"")"),"['Network', 'like', 'credit', 'missing', 'package', 'pulse', 'reduced', 'then', 'disappointed', 'service']")</f>
        <v>['Network', 'like', 'credit', 'missing', 'package', 'pulse', 'reduced', 'then', 'disappointed', 'service']</v>
      </c>
      <c r="D15619" s="3">
        <v>1.0</v>
      </c>
    </row>
    <row r="15620" ht="15.75" customHeight="1">
      <c r="A15620" s="1">
        <v>16605.0</v>
      </c>
      <c r="B15620" s="3" t="s">
        <v>14835</v>
      </c>
      <c r="C15620" s="3" t="str">
        <f>IFERROR(__xludf.DUMMYFUNCTION("GOOGLETRANSLATE(B15620,""id"",""en"")"),"['application', 'abal', 'right', 'check', 'lottery', 'point', 'brh aja', 'told', 'update', 'set', 'until', 'skrng', ' No ',' Open ',' Application ',' ']")</f>
        <v>['application', 'abal', 'right', 'check', 'lottery', 'point', 'brh aja', 'told', 'update', 'set', 'until', 'skrng', ' No ',' Open ',' Application ',' ']</v>
      </c>
      <c r="D15620" s="3">
        <v>1.0</v>
      </c>
    </row>
    <row r="15621" ht="15.75" customHeight="1">
      <c r="A15621" s="1">
        <v>16606.0</v>
      </c>
      <c r="B15621" s="3" t="s">
        <v>14836</v>
      </c>
      <c r="C15621" s="3" t="str">
        <f>IFERROR(__xludf.DUMMYFUNCTION("GOOGLETRANSLATE(B15621,""id"",""en"")"),"['Love', 'package', 'save', 'quota', 'number', 'th']")</f>
        <v>['Love', 'package', 'save', 'quota', 'number', 'th']</v>
      </c>
      <c r="D15621" s="3">
        <v>5.0</v>
      </c>
    </row>
    <row r="15622" ht="15.75" customHeight="1">
      <c r="A15622" s="1">
        <v>16607.0</v>
      </c>
      <c r="B15622" s="3" t="s">
        <v>14837</v>
      </c>
      <c r="C15622" s="3" t="str">
        <f>IFERROR(__xludf.DUMMYFUNCTION("GOOGLETRANSLATE(B15622,""id"",""en"")"),"['Ngasi', 'star', 'APK', 'Alhamdulillah', 'Masi', 'Normal', 'additional', 'promo', 'wrong', 'promo', 'exchange', 'point', ' The prize ',' interesting ',' hopefully ',' chosen ',' chosen ',' Wrong ',' Winner ',' Undi ',' Undi ',' Points', 'Festival', 'PDAH"&amp;"', 'already' , 'Annual', 'customers',' loyal ',' Telkomsel ',' get ',' gift ',' dri ',' Telkomsel ',' gapapa ',' patient ',' loyal ',' to you ',' Telkomsel ',' Heart ',' ']")</f>
        <v>['Ngasi', 'star', 'APK', 'Alhamdulillah', 'Masi', 'Normal', 'additional', 'promo', 'wrong', 'promo', 'exchange', 'point', ' The prize ',' interesting ',' hopefully ',' chosen ',' chosen ',' Wrong ',' Winner ',' Undi ',' Undi ',' Points', 'Festival', 'PDAH', 'already' , 'Annual', 'customers',' loyal ',' Telkomsel ',' get ',' gift ',' dri ',' Telkomsel ',' gapapa ',' patient ',' loyal ',' to you ',' Telkomsel ',' Heart ',' ']</v>
      </c>
      <c r="D15622" s="3">
        <v>4.0</v>
      </c>
    </row>
    <row r="15623" ht="15.75" customHeight="1">
      <c r="A15623" s="1">
        <v>16608.0</v>
      </c>
      <c r="B15623" s="3" t="s">
        <v>4940</v>
      </c>
      <c r="C15623" s="3" t="str">
        <f>IFERROR(__xludf.DUMMYFUNCTION("GOOGLETRANSLATE(B15623,""id"",""en"")"),"['I hope this helps']")</f>
        <v>['I hope this helps']</v>
      </c>
      <c r="D15623" s="3">
        <v>3.0</v>
      </c>
    </row>
    <row r="15624" ht="15.75" customHeight="1">
      <c r="A15624" s="1">
        <v>16609.0</v>
      </c>
      <c r="B15624" s="3" t="s">
        <v>14838</v>
      </c>
      <c r="C15624" s="3" t="str">
        <f>IFERROR(__xludf.DUMMYFUNCTION("GOOGLETRANSLATE(B15624,""id"",""en"")"),"['', 'Telkomsel', 'confused', 'this is', 'replace', 'card', '']")</f>
        <v>['', 'Telkomsel', 'confused', 'this is', 'replace', 'card', '']</v>
      </c>
      <c r="D15624" s="3">
        <v>5.0</v>
      </c>
    </row>
    <row r="15625" ht="15.75" customHeight="1">
      <c r="A15625" s="1">
        <v>16610.0</v>
      </c>
      <c r="B15625" s="3" t="s">
        <v>14839</v>
      </c>
      <c r="C15625" s="3" t="str">
        <f>IFERROR(__xludf.DUMMYFUNCTION("GOOGLETRANSLATE(B15625,""id"",""en"")"),"['Steady', 'forward', 'Telkomsel']")</f>
        <v>['Steady', 'forward', 'Telkomsel']</v>
      </c>
      <c r="D15625" s="3">
        <v>5.0</v>
      </c>
    </row>
    <row r="15626" ht="15.75" customHeight="1">
      <c r="A15626" s="1">
        <v>16612.0</v>
      </c>
      <c r="B15626" s="3" t="s">
        <v>14840</v>
      </c>
      <c r="C15626" s="3" t="str">
        <f>IFERROR(__xludf.DUMMYFUNCTION("GOOGLETRANSLATE(B15626,""id"",""en"")"),"['Severe', 'Telkomsel', 'Borosss', ""]")</f>
        <v>['Severe', 'Telkomsel', 'Borosss', "]</v>
      </c>
      <c r="D15626" s="3">
        <v>1.0</v>
      </c>
    </row>
    <row r="15627" ht="15.75" customHeight="1">
      <c r="A15627" s="1">
        <v>16613.0</v>
      </c>
      <c r="B15627" s="3" t="s">
        <v>14841</v>
      </c>
      <c r="C15627" s="3" t="str">
        <f>IFERROR(__xludf.DUMMYFUNCTION("GOOGLETRANSLATE(B15627,""id"",""en"")"),"['MyTelkomsel', 'open', 'already', 'alternating', 'uninstall', 'download', 'background', 'white', 'doank', 'emang', 'error', 'what', ' Telkomsel ',' Jdi ',' poor ',' call ',' voice ',' quota ',' jdi ',' expensive ',' disappointing ',' ']")</f>
        <v>['MyTelkomsel', 'open', 'already', 'alternating', 'uninstall', 'download', 'background', 'white', 'doank', 'emang', 'error', 'what', ' Telkomsel ',' Jdi ',' poor ',' call ',' voice ',' quota ',' jdi ',' expensive ',' disappointing ',' ']</v>
      </c>
      <c r="D15627" s="3">
        <v>1.0</v>
      </c>
    </row>
    <row r="15628" ht="15.75" customHeight="1">
      <c r="A15628" s="1">
        <v>16614.0</v>
      </c>
      <c r="B15628" s="3" t="s">
        <v>14842</v>
      </c>
      <c r="C15628" s="3" t="str">
        <f>IFERROR(__xludf.DUMMYFUNCTION("GOOGLETRANSLATE(B15628,""id"",""en"")"),"['', 'update', 'appears', 'screen', 'white', 'doang', 'hard', 'really']")</f>
        <v>['', 'update', 'appears', 'screen', 'white', 'doang', 'hard', 'really']</v>
      </c>
      <c r="D15628" s="3">
        <v>1.0</v>
      </c>
    </row>
    <row r="15629" ht="15.75" customHeight="1">
      <c r="A15629" s="1">
        <v>16615.0</v>
      </c>
      <c r="B15629" s="3" t="s">
        <v>14843</v>
      </c>
      <c r="C15629" s="3" t="str">
        <f>IFERROR(__xludf.DUMMYFUNCTION("GOOGLETRANSLATE(B15629,""id"",""en"")"),"['difficult', 'opened', 'application']")</f>
        <v>['difficult', 'opened', 'application']</v>
      </c>
      <c r="D15629" s="3">
        <v>3.0</v>
      </c>
    </row>
    <row r="15630" ht="15.75" customHeight="1">
      <c r="A15630" s="1">
        <v>16616.0</v>
      </c>
      <c r="B15630" s="3" t="s">
        <v>14844</v>
      </c>
      <c r="C15630" s="3" t="str">
        <f>IFERROR(__xludf.DUMMYFUNCTION("GOOGLETRANSLATE(B15630,""id"",""en"")"),"['Severe', 'My APK', 'Ngak', 'Open']")</f>
        <v>['Severe', 'My APK', 'Ngak', 'Open']</v>
      </c>
      <c r="D15630" s="3">
        <v>1.0</v>
      </c>
    </row>
    <row r="15631" ht="15.75" customHeight="1">
      <c r="A15631" s="1">
        <v>16617.0</v>
      </c>
      <c r="B15631" s="3" t="s">
        <v>14845</v>
      </c>
      <c r="C15631" s="3" t="str">
        <f>IFERROR(__xludf.DUMMYFUNCTION("GOOGLETRANSLATE(B15631,""id"",""en"")"),"['Gabisa', 'opened', 'right', 'upgrade', '']")</f>
        <v>['Gabisa', 'opened', 'right', 'upgrade', '']</v>
      </c>
      <c r="D15631" s="3">
        <v>5.0</v>
      </c>
    </row>
    <row r="15632" ht="15.75" customHeight="1">
      <c r="A15632" s="1">
        <v>16618.0</v>
      </c>
      <c r="B15632" s="3" t="s">
        <v>14846</v>
      </c>
      <c r="C15632" s="3" t="str">
        <f>IFERROR(__xludf.DUMMYFUNCTION("GOOGLETRANSLATE(B15632,""id"",""en"")"),"['expensive', 'Semain', 'price', 'please', 'operator', 'Telkomsell', 'fix']")</f>
        <v>['expensive', 'Semain', 'price', 'please', 'operator', 'Telkomsell', 'fix']</v>
      </c>
      <c r="D15632" s="3">
        <v>1.0</v>
      </c>
    </row>
    <row r="15633" ht="15.75" customHeight="1">
      <c r="A15633" s="1">
        <v>16619.0</v>
      </c>
      <c r="B15633" s="3" t="s">
        <v>14847</v>
      </c>
      <c r="C15633" s="3" t="str">
        <f>IFERROR(__xludf.DUMMYFUNCTION("GOOGLETRANSLATE(B15633,""id"",""en"")"),"['date', 'app', 'Telkomsel', 'can', 'open', 'pdhl', 'before', 'kndla', '']")</f>
        <v>['date', 'app', 'Telkomsel', 'can', 'open', 'pdhl', 'before', 'kndla', '']</v>
      </c>
      <c r="D15633" s="3">
        <v>4.0</v>
      </c>
    </row>
    <row r="15634" ht="15.75" customHeight="1">
      <c r="A15634" s="1">
        <v>16620.0</v>
      </c>
      <c r="B15634" s="3" t="s">
        <v>14848</v>
      </c>
      <c r="C15634" s="3" t="str">
        <f>IFERROR(__xludf.DUMMYFUNCTION("GOOGLETRANSLATE(B15634,""id"",""en"")"),"['Good', 'Place', 'Network', 'Good', 'Smooth']")</f>
        <v>['Good', 'Place', 'Network', 'Good', 'Smooth']</v>
      </c>
      <c r="D15634" s="3">
        <v>4.0</v>
      </c>
    </row>
    <row r="15635" ht="15.75" customHeight="1">
      <c r="A15635" s="1">
        <v>16621.0</v>
      </c>
      <c r="B15635" s="3" t="s">
        <v>14849</v>
      </c>
      <c r="C15635" s="3" t="str">
        <f>IFERROR(__xludf.DUMMYFUNCTION("GOOGLETRANSLATE(B15635,""id"",""en"")"),"['update', 'opened', 'application', 'broken', 'ngepain', 'display', 'playstore']")</f>
        <v>['update', 'opened', 'application', 'broken', 'ngepain', 'display', 'playstore']</v>
      </c>
      <c r="D15635" s="3">
        <v>1.0</v>
      </c>
    </row>
    <row r="15636" ht="15.75" customHeight="1">
      <c r="A15636" s="1">
        <v>16623.0</v>
      </c>
      <c r="B15636" s="3" t="s">
        <v>1148</v>
      </c>
      <c r="C15636" s="3" t="str">
        <f>IFERROR(__xludf.DUMMYFUNCTION("GOOGLETRANSLATE(B15636,""id"",""en"")"),"['Application', 'opened']")</f>
        <v>['Application', 'opened']</v>
      </c>
      <c r="D15636" s="3">
        <v>1.0</v>
      </c>
    </row>
    <row r="15637" ht="15.75" customHeight="1">
      <c r="A15637" s="1">
        <v>16624.0</v>
      </c>
      <c r="B15637" s="3" t="s">
        <v>14850</v>
      </c>
      <c r="C15637" s="3" t="str">
        <f>IFERROR(__xludf.DUMMYFUNCTION("GOOGLETRANSLATE(B15637,""id"",""en"")"),"['Burik', 'Bug', 'Telkomsel', 'Lite', 'Telkomsel', 'BURIK', 'BUG']")</f>
        <v>['Burik', 'Bug', 'Telkomsel', 'Lite', 'Telkomsel', 'BURIK', 'BUG']</v>
      </c>
      <c r="D15637" s="3">
        <v>1.0</v>
      </c>
    </row>
    <row r="15638" ht="15.75" customHeight="1">
      <c r="A15638" s="1">
        <v>16625.0</v>
      </c>
      <c r="B15638" s="3" t="s">
        <v>14851</v>
      </c>
      <c r="C15638" s="3" t="str">
        <f>IFERROR(__xludf.DUMMYFUNCTION("GOOGLETRANSLATE(B15638,""id"",""en"")"),"['I', 'Kasi', 'star', 'dlu', ""]")</f>
        <v>['I', 'Kasi', 'star', 'dlu', "]</v>
      </c>
      <c r="D15638" s="3">
        <v>3.0</v>
      </c>
    </row>
    <row r="15639" ht="15.75" customHeight="1">
      <c r="A15639" s="1">
        <v>16626.0</v>
      </c>
      <c r="B15639" s="3" t="s">
        <v>14852</v>
      </c>
      <c r="C15639" s="3" t="str">
        <f>IFERROR(__xludf.DUMMYFUNCTION("GOOGLETRANSLATE(B15639,""id"",""en"")"),"['appears', 'application']")</f>
        <v>['appears', 'application']</v>
      </c>
      <c r="D15639" s="3">
        <v>1.0</v>
      </c>
    </row>
    <row r="15640" ht="15.75" customHeight="1">
      <c r="A15640" s="1">
        <v>16627.0</v>
      </c>
      <c r="B15640" s="3" t="s">
        <v>14853</v>
      </c>
      <c r="C15640" s="3" t="str">
        <f>IFERROR(__xludf.DUMMYFUNCTION("GOOGLETRANSLATE(B15640,""id"",""en"")"),"['App', 'really']")</f>
        <v>['App', 'really']</v>
      </c>
      <c r="D15640" s="3">
        <v>5.0</v>
      </c>
    </row>
    <row r="15641" ht="15.75" customHeight="1">
      <c r="A15641" s="1">
        <v>16628.0</v>
      </c>
      <c r="B15641" s="3" t="s">
        <v>14854</v>
      </c>
      <c r="C15641" s="3" t="str">
        <f>IFERROR(__xludf.DUMMYFUNCTION("GOOGLETRANSLATE(B15641,""id"",""en"")"),"['', 'really', 'the application']")</f>
        <v>['', 'really', 'the application']</v>
      </c>
      <c r="D15641" s="3">
        <v>5.0</v>
      </c>
    </row>
    <row r="15642" ht="15.75" customHeight="1">
      <c r="A15642" s="1">
        <v>16629.0</v>
      </c>
      <c r="B15642" s="3" t="s">
        <v>14855</v>
      </c>
      <c r="C15642" s="3" t="str">
        <f>IFERROR(__xludf.DUMMYFUNCTION("GOOGLETRANSLATE(B15642,""id"",""en"")"),"['application', 'good', 'just', 'card', 'buy', 'package', 'cheap']")</f>
        <v>['application', 'good', 'just', 'card', 'buy', 'package', 'cheap']</v>
      </c>
      <c r="D15642" s="3">
        <v>5.0</v>
      </c>
    </row>
    <row r="15643" ht="15.75" customHeight="1">
      <c r="A15643" s="1">
        <v>16630.0</v>
      </c>
      <c r="B15643" s="3" t="s">
        <v>14856</v>
      </c>
      <c r="C15643" s="3" t="str">
        <f>IFERROR(__xludf.DUMMYFUNCTION("GOOGLETRANSLATE(B15643,""id"",""en"")"),"['Paketan', 'expensive', 'signal', 'BERIK', 'Kayak', 'expensive', 'quality', 'signal', 'good', 'signal', 'Telkomsel', 'Taik', ' replace ',' Proferi ',' wae ',' signal ',' taik ',' taik ']")</f>
        <v>['Paketan', 'expensive', 'signal', 'BERIK', 'Kayak', 'expensive', 'quality', 'signal', 'good', 'signal', 'Telkomsel', 'Taik', ' replace ',' Proferi ',' wae ',' signal ',' taik ',' taik ']</v>
      </c>
      <c r="D15643" s="3">
        <v>1.0</v>
      </c>
    </row>
    <row r="15644" ht="15.75" customHeight="1">
      <c r="A15644" s="1">
        <v>16631.0</v>
      </c>
      <c r="B15644" s="3" t="s">
        <v>14857</v>
      </c>
      <c r="C15644" s="3" t="str">
        <f>IFERROR(__xludf.DUMMYFUNCTION("GOOGLETRANSLATE(B15644,""id"",""en"")"),"['easy', 'service']")</f>
        <v>['easy', 'service']</v>
      </c>
      <c r="D15644" s="3">
        <v>5.0</v>
      </c>
    </row>
    <row r="15645" ht="15.75" customHeight="1">
      <c r="A15645" s="1">
        <v>16632.0</v>
      </c>
      <c r="B15645" s="3" t="s">
        <v>14858</v>
      </c>
      <c r="C15645" s="3" t="str">
        <f>IFERROR(__xludf.DUMMYFUNCTION("GOOGLETRANSLATE(B15645,""id"",""en"")"),"['difficult', 'enter', 'Elor', 'Mulu']")</f>
        <v>['difficult', 'enter', 'Elor', 'Mulu']</v>
      </c>
      <c r="D15645" s="3">
        <v>3.0</v>
      </c>
    </row>
    <row r="15646" ht="15.75" customHeight="1">
      <c r="A15646" s="1">
        <v>16633.0</v>
      </c>
      <c r="B15646" s="3" t="s">
        <v>14859</v>
      </c>
      <c r="C15646" s="3" t="str">
        <f>IFERROR(__xludf.DUMMYFUNCTION("GOOGLETRANSLATE(B15646,""id"",""en"")"),"['cook', 'aplilkasi', 'provider', 'biggest', 'Indonesia', 'opened', '']")</f>
        <v>['cook', 'aplilkasi', 'provider', 'biggest', 'Indonesia', 'opened', '']</v>
      </c>
      <c r="D15646" s="3">
        <v>1.0</v>
      </c>
    </row>
    <row r="15647" ht="15.75" customHeight="1">
      <c r="A15647" s="1">
        <v>16634.0</v>
      </c>
      <c r="B15647" s="3" t="s">
        <v>14860</v>
      </c>
      <c r="C15647" s="3" t="str">
        <f>IFERROR(__xludf.DUMMYFUNCTION("GOOGLETRANSLATE(B15647,""id"",""en"")"),"['Speed', 'Not bad', 'good', 'just', 'darling', 'price', 'package', 'internet', 'Mahall']")</f>
        <v>['Speed', 'Not bad', 'good', 'just', 'darling', 'price', 'package', 'internet', 'Mahall']</v>
      </c>
      <c r="D15647" s="3">
        <v>4.0</v>
      </c>
    </row>
    <row r="15648" ht="15.75" customHeight="1">
      <c r="A15648" s="1">
        <v>16635.0</v>
      </c>
      <c r="B15648" s="3" t="s">
        <v>14861</v>
      </c>
      <c r="C15648" s="3" t="str">
        <f>IFERROR(__xludf.DUMMYFUNCTION("GOOGLETRANSLATE(B15648,""id"",""en"")"),"['Telkomsel', 'thank you']")</f>
        <v>['Telkomsel', 'thank you']</v>
      </c>
      <c r="D15648" s="3">
        <v>3.0</v>
      </c>
    </row>
    <row r="15649" ht="15.75" customHeight="1">
      <c r="A15649" s="1">
        <v>16636.0</v>
      </c>
      <c r="B15649" s="3" t="s">
        <v>14862</v>
      </c>
      <c r="C15649" s="3" t="str">
        <f>IFERROR(__xludf.DUMMYFUNCTION("GOOGLETRANSLATE(B15649,""id"",""en"")"),"['Network', 'like', 'ilang', 'dipake', 'already', 'ilang', 'signal', 'restart', 'whatever', 'Teteo', 'harm "",' really ']")</f>
        <v>['Network', 'like', 'ilang', 'dipake', 'already', 'ilang', 'signal', 'restart', 'whatever', 'Teteo', 'harm ",' really ']</v>
      </c>
      <c r="D15649" s="3">
        <v>1.0</v>
      </c>
    </row>
    <row r="15650" ht="15.75" customHeight="1">
      <c r="A15650" s="1">
        <v>16637.0</v>
      </c>
      <c r="B15650" s="3" t="s">
        <v>14863</v>
      </c>
      <c r="C15650" s="3" t="str">
        <f>IFERROR(__xludf.DUMMYFUNCTION("GOOGLETRANSLATE(B15650,""id"",""en"")"),"['Abis', 'update']")</f>
        <v>['Abis', 'update']</v>
      </c>
      <c r="D15650" s="3">
        <v>1.0</v>
      </c>
    </row>
    <row r="15651" ht="15.75" customHeight="1">
      <c r="A15651" s="1">
        <v>16638.0</v>
      </c>
      <c r="B15651" s="3" t="s">
        <v>14864</v>
      </c>
      <c r="C15651" s="3" t="str">
        <f>IFERROR(__xludf.DUMMYFUNCTION("GOOGLETRANSLATE(B15651,""id"",""en"")"),"['Good', 'check', 'quota', 'practical', 'bnget']")</f>
        <v>['Good', 'check', 'quota', 'practical', 'bnget']</v>
      </c>
      <c r="D15651" s="3">
        <v>5.0</v>
      </c>
    </row>
    <row r="15652" ht="15.75" customHeight="1">
      <c r="A15652" s="1">
        <v>16639.0</v>
      </c>
      <c r="B15652" s="3" t="s">
        <v>14865</v>
      </c>
      <c r="C15652" s="3" t="str">
        <f>IFERROR(__xludf.DUMMYFUNCTION("GOOGLETRANSLATE(B15652,""id"",""en"")"),"['steady', 'like', 'application']")</f>
        <v>['steady', 'like', 'application']</v>
      </c>
      <c r="D15652" s="3">
        <v>5.0</v>
      </c>
    </row>
    <row r="15653" ht="15.75" customHeight="1">
      <c r="A15653" s="1">
        <v>16640.0</v>
      </c>
      <c r="B15653" s="3" t="s">
        <v>14866</v>
      </c>
      <c r="C15653" s="3" t="str">
        <f>IFERROR(__xludf.DUMMYFUNCTION("GOOGLETRANSLATE(B15653,""id"",""en"")"),"['Network', 'slow', 'price', 'quota', 'combo', 'Sakti', 'sekarash', 'hmm']")</f>
        <v>['Network', 'slow', 'price', 'quota', 'combo', 'Sakti', 'sekarash', 'hmm']</v>
      </c>
      <c r="D15653" s="3">
        <v>1.0</v>
      </c>
    </row>
    <row r="15654" ht="15.75" customHeight="1">
      <c r="A15654" s="1">
        <v>16641.0</v>
      </c>
      <c r="B15654" s="3" t="s">
        <v>14867</v>
      </c>
      <c r="C15654" s="3" t="str">
        <f>IFERROR(__xludf.DUMMYFUNCTION("GOOGLETRANSLATE(B15654,""id"",""en"")"),"['Package', 'expensive', 'delicious', 'delicious', 'network', 'telkom', 'declined', 'quality', '']")</f>
        <v>['Package', 'expensive', 'delicious', 'delicious', 'network', 'telkom', 'declined', 'quality', '']</v>
      </c>
      <c r="D15654" s="3">
        <v>1.0</v>
      </c>
    </row>
    <row r="15655" ht="15.75" customHeight="1">
      <c r="A15655" s="1">
        <v>16642.0</v>
      </c>
      <c r="B15655" s="3" t="s">
        <v>14868</v>
      </c>
      <c r="C15655" s="3" t="str">
        <f>IFERROR(__xludf.DUMMYFUNCTION("GOOGLETRANSLATE(B15655,""id"",""en"")"),"['function', 'signal', 'network', 'stable', 'like', 'disorder', ""]")</f>
        <v>['function', 'signal', 'network', 'stable', 'like', 'disorder', "]</v>
      </c>
      <c r="D15655" s="3">
        <v>3.0</v>
      </c>
    </row>
    <row r="15656" ht="15.75" customHeight="1">
      <c r="A15656" s="1">
        <v>16643.0</v>
      </c>
      <c r="B15656" s="3" t="s">
        <v>14869</v>
      </c>
      <c r="C15656" s="3" t="str">
        <f>IFERROR(__xludf.DUMMYFUNCTION("GOOGLETRANSLATE(B15656,""id"",""en"")"),"['network', 'Telkomsel', 'clear', 'affordable', 'anywhere', 'strong', 'signal', 'thank', 'lbh', 'gacor', 'gacor']")</f>
        <v>['network', 'Telkomsel', 'clear', 'affordable', 'anywhere', 'strong', 'signal', 'thank', 'lbh', 'gacor', 'gacor']</v>
      </c>
      <c r="D15656" s="3">
        <v>5.0</v>
      </c>
    </row>
    <row r="15657" ht="15.75" customHeight="1">
      <c r="A15657" s="1">
        <v>16644.0</v>
      </c>
      <c r="B15657" s="3" t="s">
        <v>14870</v>
      </c>
      <c r="C15657" s="3" t="str">
        <f>IFERROR(__xludf.DUMMYFUNCTION("GOOGLETRANSLATE(B15657,""id"",""en"")"),"['Severe', 'buy', 'package', 'payment', 'via', 'Shopeepay', 'writing', 'failed', 'buy', 'package', 'balance', 'Shopeepay', ' Cutting ']")</f>
        <v>['Severe', 'buy', 'package', 'payment', 'via', 'Shopeepay', 'writing', 'failed', 'buy', 'package', 'balance', 'Shopeepay', ' Cutting ']</v>
      </c>
      <c r="D15657" s="3">
        <v>1.0</v>
      </c>
    </row>
    <row r="15658" ht="15.75" customHeight="1">
      <c r="A15658" s="1">
        <v>16645.0</v>
      </c>
      <c r="B15658" s="3" t="s">
        <v>14871</v>
      </c>
      <c r="C15658" s="3" t="str">
        <f>IFERROR(__xludf.DUMMYFUNCTION("GOOGLETRANSLATE(B15658,""id"",""en"")"),"['Hopefully', 'cheap', 'price', 'package', 'internet', '']")</f>
        <v>['Hopefully', 'cheap', 'price', 'package', 'internet', '']</v>
      </c>
      <c r="D15658" s="3">
        <v>5.0</v>
      </c>
    </row>
    <row r="15659" ht="15.75" customHeight="1">
      <c r="A15659" s="1">
        <v>16646.0</v>
      </c>
      <c r="B15659" s="3" t="s">
        <v>14872</v>
      </c>
      <c r="C15659" s="3" t="str">
        <f>IFERROR(__xludf.DUMMYFUNCTION("GOOGLETRANSLATE(B15659,""id"",""en"")"),"['The application', 'Trouble', 'How', 'Yesterday', 'Open', 'Delete', 'Download', 'UDH', 'Many', 'Subscriptions', 'Telkomsel', ""]")</f>
        <v>['The application', 'Trouble', 'How', 'Yesterday', 'Open', 'Delete', 'Download', 'UDH', 'Many', 'Subscriptions', 'Telkomsel', "]</v>
      </c>
      <c r="D15659" s="3">
        <v>1.0</v>
      </c>
    </row>
    <row r="15660" ht="15.75" customHeight="1">
      <c r="A15660" s="1">
        <v>16647.0</v>
      </c>
      <c r="B15660" s="3" t="s">
        <v>14873</v>
      </c>
      <c r="C15660" s="3" t="str">
        <f>IFERROR(__xludf.DUMMYFUNCTION("GOOGLETRANSLATE(B15660,""id"",""en"")"),"['update', 'appk', 'opened', 'screen', 'white', 'worse', 'price', 'purchase', 'package', 'combo', 'saktinya', 'already', ' cheap ',' check ',' price ',' package ',' data ',' Telkomsel ',' parahhhhhhhhhhhhhh ']")</f>
        <v>['update', 'appk', 'opened', 'screen', 'white', 'worse', 'price', 'purchase', 'package', 'combo', 'saktinya', 'already', ' cheap ',' check ',' price ',' package ',' data ',' Telkomsel ',' parahhhhhhhhhhhhhh ']</v>
      </c>
      <c r="D15660" s="3">
        <v>1.0</v>
      </c>
    </row>
    <row r="15661" ht="15.75" customHeight="1">
      <c r="A15661" s="1">
        <v>16648.0</v>
      </c>
      <c r="B15661" s="3" t="s">
        <v>14874</v>
      </c>
      <c r="C15661" s="3" t="str">
        <f>IFERROR(__xludf.DUMMYFUNCTION("GOOGLETRANSLATE(B15661,""id"",""en"")"),"['Network', 'The widest', 'Region', 'Susukan', 'Bojong', 'Gede', 'BGS', 'Signal', 'ilang']")</f>
        <v>['Network', 'The widest', 'Region', 'Susukan', 'Bojong', 'Gede', 'BGS', 'Signal', 'ilang']</v>
      </c>
      <c r="D15661" s="3">
        <v>5.0</v>
      </c>
    </row>
    <row r="15662" ht="15.75" customHeight="1">
      <c r="A15662" s="1">
        <v>16649.0</v>
      </c>
      <c r="B15662" s="3" t="s">
        <v>14875</v>
      </c>
      <c r="C15662" s="3" t="str">
        <f>IFERROR(__xludf.DUMMYFUNCTION("GOOGLETRANSLATE(B15662,""id"",""en"")"),"['Organaa']")</f>
        <v>['Organaa']</v>
      </c>
      <c r="D15662" s="3">
        <v>5.0</v>
      </c>
    </row>
    <row r="15663" ht="15.75" customHeight="1">
      <c r="A15663" s="1">
        <v>16650.0</v>
      </c>
      <c r="B15663" s="3" t="s">
        <v>14</v>
      </c>
      <c r="C15663" s="3" t="str">
        <f>IFERROR(__xludf.DUMMYFUNCTION("GOOGLETRANSLATE(B15663,""id"",""en"")"),"['disturbance']")</f>
        <v>['disturbance']</v>
      </c>
      <c r="D15663" s="3">
        <v>1.0</v>
      </c>
    </row>
    <row r="15664" ht="15.75" customHeight="1">
      <c r="A15664" s="1">
        <v>16651.0</v>
      </c>
      <c r="B15664" s="3" t="s">
        <v>14876</v>
      </c>
      <c r="C15664" s="3" t="str">
        <f>IFERROR(__xludf.DUMMYFUNCTION("GOOGLETRANSLATE(B15664,""id"",""en"")"),"['dapet', 'quota', 'freesss']")</f>
        <v>['dapet', 'quota', 'freesss']</v>
      </c>
      <c r="D15664" s="3">
        <v>5.0</v>
      </c>
    </row>
    <row r="15665" ht="15.75" customHeight="1">
      <c r="A15665" s="1">
        <v>16652.0</v>
      </c>
      <c r="B15665" s="3" t="s">
        <v>1167</v>
      </c>
      <c r="C15665" s="3" t="str">
        <f>IFERROR(__xludf.DUMMYFUNCTION("GOOGLETRANSLATE(B15665,""id"",""en"")"),"['help']")</f>
        <v>['help']</v>
      </c>
      <c r="D15665" s="3">
        <v>5.0</v>
      </c>
    </row>
    <row r="15666" ht="15.75" customHeight="1">
      <c r="A15666" s="1">
        <v>16653.0</v>
      </c>
      <c r="B15666" s="3" t="s">
        <v>14877</v>
      </c>
      <c r="C15666" s="3" t="str">
        <f>IFERROR(__xludf.DUMMYFUNCTION("GOOGLETRANSLATE(B15666,""id"",""en"")"),"['Get', 'Package', '']")</f>
        <v>['Get', 'Package', '']</v>
      </c>
      <c r="D15666" s="3">
        <v>5.0</v>
      </c>
    </row>
    <row r="15667" ht="15.75" customHeight="1">
      <c r="A15667" s="1">
        <v>16654.0</v>
      </c>
      <c r="B15667" s="3" t="s">
        <v>14878</v>
      </c>
      <c r="C15667" s="3" t="str">
        <f>IFERROR(__xludf.DUMMYFUNCTION("GOOGLETRANSLATE(B15667,""id"",""en"")"),"['application', 'easy', 'help']")</f>
        <v>['application', 'easy', 'help']</v>
      </c>
      <c r="D15667" s="3">
        <v>5.0</v>
      </c>
    </row>
    <row r="15668" ht="15.75" customHeight="1">
      <c r="A15668" s="1">
        <v>16655.0</v>
      </c>
      <c r="B15668" s="3" t="s">
        <v>14879</v>
      </c>
      <c r="C15668" s="3" t="str">
        <f>IFERROR(__xludf.DUMMYFUNCTION("GOOGLETRANSLATE(B15668,""id"",""en"")"),"['Network', 'bad', 'like', 'ngilance', 'change', 'Thanks', 'Telkomsel']")</f>
        <v>['Network', 'bad', 'like', 'ngilance', 'change', 'Thanks', 'Telkomsel']</v>
      </c>
      <c r="D15668" s="3">
        <v>1.0</v>
      </c>
    </row>
    <row r="15669" ht="15.75" customHeight="1">
      <c r="A15669" s="1">
        <v>16656.0</v>
      </c>
      <c r="B15669" s="3" t="s">
        <v>14880</v>
      </c>
      <c r="C15669" s="3" t="str">
        <f>IFERROR(__xludf.DUMMYFUNCTION("GOOGLETRANSLATE(B15669,""id"",""en"")"),"['great', 'Telkomsel', 'package', 'expensive', 'use', 'package', 'Telkomsel', 'promo', 'price', 'package', 'expensive', 'pandemic', ' Gini ',' difficult ',' difficult ',' Search ',' card ',' times', ""]")</f>
        <v>['great', 'Telkomsel', 'package', 'expensive', 'use', 'package', 'Telkomsel', 'promo', 'price', 'package', 'expensive', 'pandemic', ' Gini ',' difficult ',' difficult ',' Search ',' card ',' times', "]</v>
      </c>
      <c r="D15669" s="3">
        <v>2.0</v>
      </c>
    </row>
    <row r="15670" ht="15.75" customHeight="1">
      <c r="A15670" s="1">
        <v>16657.0</v>
      </c>
      <c r="B15670" s="3" t="s">
        <v>14881</v>
      </c>
      <c r="C15670" s="3" t="str">
        <f>IFERROR(__xludf.DUMMYFUNCTION("GOOGLETRANSLATE(B15670,""id"",""en"")"),"['payment', 'balance', 'Shopeepay', 'Application', 'Telkomsel', 'Balance', 'Shopeepay', 'Cutting', 'Package', 'Enter', 'How', 'explanation', ' ']")</f>
        <v>['payment', 'balance', 'Shopeepay', 'Application', 'Telkomsel', 'Balance', 'Shopeepay', 'Cutting', 'Package', 'Enter', 'How', 'explanation', ' ']</v>
      </c>
      <c r="D15670" s="3">
        <v>1.0</v>
      </c>
    </row>
    <row r="15671" ht="15.75" customHeight="1">
      <c r="A15671" s="1">
        <v>16658.0</v>
      </c>
      <c r="B15671" s="3" t="s">
        <v>14882</v>
      </c>
      <c r="C15671" s="3" t="str">
        <f>IFERROR(__xludf.DUMMYFUNCTION("GOOGLETRANSLATE(B15671,""id"",""en"")"),"['hope', 'winner', 'lottery', 'gift', 'blessing']")</f>
        <v>['hope', 'winner', 'lottery', 'gift', 'blessing']</v>
      </c>
      <c r="D15671" s="3">
        <v>5.0</v>
      </c>
    </row>
    <row r="15672" ht="15.75" customHeight="1">
      <c r="A15672" s="1">
        <v>16659.0</v>
      </c>
      <c r="B15672" s="3" t="s">
        <v>14883</v>
      </c>
      <c r="C15672" s="3" t="str">
        <f>IFERROR(__xludf.DUMMYFUNCTION("GOOGLETRANSLATE(B15672,""id"",""en"")"),"['fit', 'already', 'install', 'application', 'login', 'look', 'blank', 'apk', 'uninstall']")</f>
        <v>['fit', 'already', 'install', 'application', 'login', 'look', 'blank', 'apk', 'uninstall']</v>
      </c>
      <c r="D15672" s="3">
        <v>1.0</v>
      </c>
    </row>
    <row r="15673" ht="15.75" customHeight="1">
      <c r="A15673" s="1">
        <v>16660.0</v>
      </c>
      <c r="B15673" s="3" t="s">
        <v>14884</v>
      </c>
      <c r="C15673" s="3" t="str">
        <f>IFERROR(__xludf.DUMMYFUNCTION("GOOGLETRANSLATE(B15673,""id"",""en"")"),"['Apasih', 'quota', 'available', 'area', 'Centraleng', 'buy', 'quota', 'malem', 'Centraleng', 'btw', 'indo']")</f>
        <v>['Apasih', 'quota', 'available', 'area', 'Centraleng', 'buy', 'quota', 'malem', 'Centraleng', 'btw', 'indo']</v>
      </c>
      <c r="D15673" s="3">
        <v>1.0</v>
      </c>
    </row>
    <row r="15674" ht="15.75" customHeight="1">
      <c r="A15674" s="1">
        <v>16661.0</v>
      </c>
      <c r="B15674" s="3" t="s">
        <v>14885</v>
      </c>
      <c r="C15674" s="3" t="str">
        <f>IFERROR(__xludf.DUMMYFUNCTION("GOOGLETRANSLATE(B15674,""id"",""en"")"),"['list', 'cheap', 'prepaid']")</f>
        <v>['list', 'cheap', 'prepaid']</v>
      </c>
      <c r="D15674" s="3">
        <v>1.0</v>
      </c>
    </row>
    <row r="15675" ht="15.75" customHeight="1">
      <c r="A15675" s="1">
        <v>16662.0</v>
      </c>
      <c r="B15675" s="3" t="s">
        <v>14886</v>
      </c>
      <c r="C15675" s="3" t="str">
        <f>IFERROR(__xludf.DUMMYFUNCTION("GOOGLETRANSLATE(B15675,""id"",""en"")"),"['likes', 'ilang', 'pulse', 'check', 'history', 'purchase', 'reduced', 'pulse', ""]")</f>
        <v>['likes', 'ilang', 'pulse', 'check', 'history', 'purchase', 'reduced', 'pulse', "]</v>
      </c>
      <c r="D15675" s="3">
        <v>1.0</v>
      </c>
    </row>
    <row r="15676" ht="15.75" customHeight="1">
      <c r="A15676" s="1">
        <v>16663.0</v>
      </c>
      <c r="B15676" s="3" t="s">
        <v>14887</v>
      </c>
      <c r="C15676" s="3" t="str">
        <f>IFERROR(__xludf.DUMMYFUNCTION("GOOGLETRANSLATE(B15676,""id"",""en"")"),"['Telkomsel', 'Error', 'KHHH', 'Top', 'Credit', 'already', 'Trasfers', 'Credit', 'enter']")</f>
        <v>['Telkomsel', 'Error', 'KHHH', 'Top', 'Credit', 'already', 'Trasfers', 'Credit', 'enter']</v>
      </c>
      <c r="D15676" s="3">
        <v>1.0</v>
      </c>
    </row>
    <row r="15677" ht="15.75" customHeight="1">
      <c r="A15677" s="1">
        <v>16664.0</v>
      </c>
      <c r="B15677" s="3" t="s">
        <v>14888</v>
      </c>
      <c r="C15677" s="3" t="str">
        <f>IFERROR(__xludf.DUMMYFUNCTION("GOOGLETRANSLATE(B15677,""id"",""en"")"),"['Quality', 'Jaringgan', 'Really', 'Bad', 'Region']")</f>
        <v>['Quality', 'Jaringgan', 'Really', 'Bad', 'Region']</v>
      </c>
      <c r="D15677" s="3">
        <v>1.0</v>
      </c>
    </row>
    <row r="15678" ht="15.75" customHeight="1">
      <c r="A15678" s="1">
        <v>16665.0</v>
      </c>
      <c r="B15678" s="3" t="s">
        <v>14889</v>
      </c>
      <c r="C15678" s="3" t="str">
        <f>IFERROR(__xludf.DUMMYFUNCTION("GOOGLETRANSLATE(B15678,""id"",""en"")"),"['ugly', 'nyimpen', 'pulse', 'notification']")</f>
        <v>['ugly', 'nyimpen', 'pulse', 'notification']</v>
      </c>
      <c r="D15678" s="3">
        <v>1.0</v>
      </c>
    </row>
    <row r="15679" ht="15.75" customHeight="1">
      <c r="A15679" s="1">
        <v>16666.0</v>
      </c>
      <c r="B15679" s="3" t="s">
        <v>14890</v>
      </c>
      <c r="C15679" s="3" t="str">
        <f>IFERROR(__xludf.DUMMYFUNCTION("GOOGLETRANSLATE(B15679,""id"",""en"")"),"['easy', 'pulse', 'strong', 'internet']")</f>
        <v>['easy', 'pulse', 'strong', 'internet']</v>
      </c>
      <c r="D15679" s="3">
        <v>5.0</v>
      </c>
    </row>
    <row r="15680" ht="15.75" customHeight="1">
      <c r="A15680" s="1">
        <v>16667.0</v>
      </c>
      <c r="B15680" s="3" t="s">
        <v>14891</v>
      </c>
      <c r="C15680" s="3" t="str">
        <f>IFERROR(__xludf.DUMMYFUNCTION("GOOGLETRANSLATE(B15680,""id"",""en"")"),"['Severe', 'upgrade', 'opened', 'times',' uninstall ',' then 'dowload']")</f>
        <v>['Severe', 'upgrade', 'opened', 'times',' uninstall ',' then 'dowload']</v>
      </c>
      <c r="D15680" s="3">
        <v>1.0</v>
      </c>
    </row>
    <row r="15681" ht="15.75" customHeight="1">
      <c r="A15681" s="1">
        <v>16668.0</v>
      </c>
      <c r="B15681" s="3" t="s">
        <v>14892</v>
      </c>
      <c r="C15681" s="3" t="str">
        <f>IFERROR(__xludf.DUMMYFUNCTION("GOOGLETRANSLATE(B15681,""id"",""en"")"),"['Think', 'buy', 'money', 'leaves',' already ',' package ',' expensive ',' signal ',' ugly ',' disorder ',' mlu ',' ngentd ',' ']")</f>
        <v>['Think', 'buy', 'money', 'leaves',' already ',' package ',' expensive ',' signal ',' ugly ',' disorder ',' mlu ',' ngentd ',' ']</v>
      </c>
      <c r="D15681" s="3">
        <v>1.0</v>
      </c>
    </row>
    <row r="15682" ht="15.75" customHeight="1">
      <c r="A15682" s="1">
        <v>16669.0</v>
      </c>
      <c r="B15682" s="3" t="s">
        <v>14893</v>
      </c>
      <c r="C15682" s="3" t="str">
        <f>IFERROR(__xludf.DUMMYFUNCTION("GOOGLETRANSLATE(B15682,""id"",""en"")"),"['Severe', 'application', 'opened', 'alias',' blank ',' white ',' gtu ',' legitimate ',' that's', 'price', 'package', 'data', ' expensive ',' quality ',' decreases', 'reality', 'class',' Telkomsel ',' network ',' slow ', ""]")</f>
        <v>['Severe', 'application', 'opened', 'alias',' blank ',' white ',' gtu ',' legitimate ',' that's', 'price', 'package', 'data', ' expensive ',' quality ',' decreases', 'reality', 'class',' Telkomsel ',' network ',' slow ', "]</v>
      </c>
      <c r="D15682" s="3">
        <v>1.0</v>
      </c>
    </row>
    <row r="15683" ht="15.75" customHeight="1">
      <c r="A15683" s="1">
        <v>16670.0</v>
      </c>
      <c r="B15683" s="3" t="s">
        <v>14894</v>
      </c>
      <c r="C15683" s="3" t="str">
        <f>IFERROR(__xludf.DUMMYFUNCTION("GOOGLETRANSLATE(B15683,""id"",""en"")"),"['Please', 'my computer', 'run out', 'pulses',' jagan ',' suck ',' pulses', 'sorry', 'ngak', 'smell', 'check', 'pulses',' Follow ',' Out ',' Sumpot ']")</f>
        <v>['Please', 'my computer', 'run out', 'pulses',' jagan ',' suck ',' pulses', 'sorry', 'ngak', 'smell', 'check', 'pulses',' Follow ',' Out ',' Sumpot ']</v>
      </c>
      <c r="D15683" s="3">
        <v>5.0</v>
      </c>
    </row>
    <row r="15684" ht="15.75" customHeight="1">
      <c r="A15684" s="1">
        <v>16671.0</v>
      </c>
      <c r="B15684" s="3" t="s">
        <v>14895</v>
      </c>
      <c r="C15684" s="3" t="str">
        <f>IFERROR(__xludf.DUMMYFUNCTION("GOOGLETRANSLATE(B15684,""id"",""en"")"),"['Signal', 'Telkomsel', 'Cak', 'child', 'kung', 'broke', 'price', 'expensive', 'signal', 'kayak', 'dog']")</f>
        <v>['Signal', 'Telkomsel', 'Cak', 'child', 'kung', 'broke', 'price', 'expensive', 'signal', 'kayak', 'dog']</v>
      </c>
      <c r="D15684" s="3">
        <v>1.0</v>
      </c>
    </row>
    <row r="15685" ht="15.75" customHeight="1">
      <c r="A15685" s="1">
        <v>16672.0</v>
      </c>
      <c r="B15685" s="3" t="s">
        <v>14896</v>
      </c>
      <c r="C15685" s="3" t="str">
        <f>IFERROR(__xludf.DUMMYFUNCTION("GOOGLETRANSLATE(B15685,""id"",""en"")"),"['Ribet', 'expensive']")</f>
        <v>['Ribet', 'expensive']</v>
      </c>
      <c r="D15685" s="3">
        <v>2.0</v>
      </c>
    </row>
    <row r="15686" ht="15.75" customHeight="1">
      <c r="A15686" s="1">
        <v>16673.0</v>
      </c>
      <c r="B15686" s="3" t="s">
        <v>14897</v>
      </c>
      <c r="C15686" s="3" t="str">
        <f>IFERROR(__xludf.DUMMYFUNCTION("GOOGLETRANSLATE(B15686,""id"",""en"")"),"['knapa', 'Telkomsel', 'already', 'card', 'clock', 'malem', 'signal', 'nuru', 'sometimes', 'really']")</f>
        <v>['knapa', 'Telkomsel', 'already', 'card', 'clock', 'malem', 'signal', 'nuru', 'sometimes', 'really']</v>
      </c>
      <c r="D15686" s="3">
        <v>3.0</v>
      </c>
    </row>
    <row r="15687" ht="15.75" customHeight="1">
      <c r="A15687" s="1">
        <v>16674.0</v>
      </c>
      <c r="B15687" s="3" t="s">
        <v>14898</v>
      </c>
      <c r="C15687" s="3" t="str">
        <f>IFERROR(__xludf.DUMMYFUNCTION("GOOGLETRANSLATE(B15687,""id"",""en"")"),"['open', 'app', 'screen', 'white', 'then', 'change']")</f>
        <v>['open', 'app', 'screen', 'white', 'then', 'change']</v>
      </c>
      <c r="D15687" s="3">
        <v>2.0</v>
      </c>
    </row>
    <row r="15688" ht="15.75" customHeight="1">
      <c r="A15688" s="1">
        <v>16675.0</v>
      </c>
      <c r="B15688" s="3" t="s">
        <v>14899</v>
      </c>
      <c r="C15688" s="3" t="str">
        <f>IFERROR(__xludf.DUMMYFUNCTION("GOOGLETRANSLATE(B15688,""id"",""en"")"),"['connection']")</f>
        <v>['connection']</v>
      </c>
      <c r="D15688" s="3">
        <v>2.0</v>
      </c>
    </row>
    <row r="15689" ht="15.75" customHeight="1">
      <c r="A15689" s="1">
        <v>16676.0</v>
      </c>
      <c r="B15689" s="3" t="s">
        <v>14900</v>
      </c>
      <c r="C15689" s="3" t="str">
        <f>IFERROR(__xludf.DUMMYFUNCTION("GOOGLETRANSLATE(B15689,""id"",""en"")"),"['difficult', 'enter', 'APK', 'access', 'data', 'file', 'info', 'update', 'ehhh', 'parahhhh', '']")</f>
        <v>['difficult', 'enter', 'APK', 'access', 'data', 'file', 'info', 'update', 'ehhh', 'parahhhh', '']</v>
      </c>
      <c r="D15689" s="3">
        <v>1.0</v>
      </c>
    </row>
    <row r="15690" ht="15.75" customHeight="1">
      <c r="A15690" s="1">
        <v>16677.0</v>
      </c>
      <c r="B15690" s="3" t="s">
        <v>14901</v>
      </c>
      <c r="C15690" s="3" t="str">
        <f>IFERROR(__xludf.DUMMYFUNCTION("GOOGLETRANSLATE(B15690,""id"",""en"")"),"['Suck', 'Teroooos', 'pulse', 'ampe', 'buy', 'package', 'internet']")</f>
        <v>['Suck', 'Teroooos', 'pulse', 'ampe', 'buy', 'package', 'internet']</v>
      </c>
      <c r="D15690" s="3">
        <v>1.0</v>
      </c>
    </row>
    <row r="15691" ht="15.75" customHeight="1">
      <c r="A15691" s="1">
        <v>16679.0</v>
      </c>
      <c r="B15691" s="3" t="s">
        <v>14902</v>
      </c>
      <c r="C15691" s="3" t="str">
        <f>IFERROR(__xludf.DUMMYFUNCTION("GOOGLETRANSLATE(B15691,""id"",""en"")"),"['Telkomsel', 'good', 'use', 'a week', 'service']")</f>
        <v>['Telkomsel', 'good', 'use', 'a week', 'service']</v>
      </c>
      <c r="D15691" s="3">
        <v>2.0</v>
      </c>
    </row>
    <row r="15692" ht="15.75" customHeight="1">
      <c r="A15692" s="1">
        <v>16680.0</v>
      </c>
      <c r="B15692" s="3" t="s">
        <v>14903</v>
      </c>
      <c r="C15692" s="3" t="str">
        <f>IFERROR(__xludf.DUMMYFUNCTION("GOOGLETRANSLATE(B15692,""id"",""en"")"),"['quota', 'buy', 'expensive', 'signal', 'pulp', 'Malulah', 'Customer', 'thinking', 'lucky', 'thinking']")</f>
        <v>['quota', 'buy', 'expensive', 'signal', 'pulp', 'Malulah', 'Customer', 'thinking', 'lucky', 'thinking']</v>
      </c>
      <c r="D15692" s="3">
        <v>1.0</v>
      </c>
    </row>
    <row r="15693" ht="15.75" customHeight="1">
      <c r="A15693" s="1">
        <v>16681.0</v>
      </c>
      <c r="B15693" s="3" t="s">
        <v>14904</v>
      </c>
      <c r="C15693" s="3" t="str">
        <f>IFERROR(__xludf.DUMMYFUNCTION("GOOGLETRANSLATE(B15693,""id"",""en"")"),"['Card', 'Telkomsel', 'Prepaid', 'Update', 'Telkomsel', 'Hello', 'Network', 'Subhanallah', 'Good', 'Bangareetttt', 'Just', 'Play', ' Game ',' Kirain ',' Update ',' Telkomsel ',' Hello ',' Expensive ',' Signal ',' Nambah ',' Good ',' Please ',' Repaired ',"&amp;"' Expensive ',' Buy ' , 'Package', 'Telkomsel', 'Network', 'Good', 'made', 'Network', 'Nambah', 'ugly', 'card', 'Hello', 'Network', 'ugly', ' ']")</f>
        <v>['Card', 'Telkomsel', 'Prepaid', 'Update', 'Telkomsel', 'Hello', 'Network', 'Subhanallah', 'Good', 'Bangareetttt', 'Just', 'Play', ' Game ',' Kirain ',' Update ',' Telkomsel ',' Hello ',' Expensive ',' Signal ',' Nambah ',' Good ',' Please ',' Repaired ',' Expensive ',' Buy ' , 'Package', 'Telkomsel', 'Network', 'Good', 'made', 'Network', 'Nambah', 'ugly', 'card', 'Hello', 'Network', 'ugly', ' ']</v>
      </c>
      <c r="D15693" s="3">
        <v>1.0</v>
      </c>
    </row>
    <row r="15694" ht="15.75" customHeight="1">
      <c r="A15694" s="1">
        <v>16682.0</v>
      </c>
      <c r="B15694" s="3" t="s">
        <v>14905</v>
      </c>
      <c r="C15694" s="3" t="str">
        <f>IFERROR(__xludf.DUMMYFUNCTION("GOOGLETRANSLATE(B15694,""id"",""en"")"),"['It's',' already ',' pulp ',' woii ',' buy ',' delay ',' bnget ',' pulse ',' cheek ',' ngak ',' make ',' veronika ',' Kagak ',' Veronika ',' Features', 'Ngak', 'Woii', 'Manding', 'Bagusin', 'Network', 'Ama', 'Ngak', 'Delay', 'Buy', 'Package' , 'Delete', "&amp;"'Feature', 'ngak']")</f>
        <v>['It's',' already ',' pulp ',' woii ',' buy ',' delay ',' bnget ',' pulse ',' cheek ',' ngak ',' make ',' veronika ',' Kagak ',' Veronika ',' Features', 'Ngak', 'Woii', 'Manding', 'Bagusin', 'Network', 'Ama', 'Ngak', 'Delay', 'Buy', 'Package' , 'Delete', 'Feature', 'ngak']</v>
      </c>
      <c r="D15694" s="3">
        <v>1.0</v>
      </c>
    </row>
    <row r="15695" ht="15.75" customHeight="1">
      <c r="A15695" s="1">
        <v>16683.0</v>
      </c>
      <c r="B15695" s="3" t="s">
        <v>14906</v>
      </c>
      <c r="C15695" s="3" t="str">
        <f>IFERROR(__xludf.DUMMYFUNCTION("GOOGLETRANSLATE(B15695,""id"",""en"")"),"['Pketan', 'banned', 'Troble', 'then', 'Kyo', 'Jembot']")</f>
        <v>['Pketan', 'banned', 'Troble', 'then', 'Kyo', 'Jembot']</v>
      </c>
      <c r="D15695" s="3">
        <v>1.0</v>
      </c>
    </row>
    <row r="15696" ht="15.75" customHeight="1">
      <c r="A15696" s="1">
        <v>16684.0</v>
      </c>
      <c r="B15696" s="3" t="s">
        <v>14907</v>
      </c>
      <c r="C15696" s="3" t="str">
        <f>IFERROR(__xludf.DUMMYFUNCTION("GOOGLETRANSLATE(B15696,""id"",""en"")"),"['complaints',' response ',' network ',' stable ',' expensive ',' doang ',' Telkomsel ',' drpd ',' Loe ',' disappointed ',' complaint ',' cmn ',' yes', 'until', 'skrg', 'no', 'improvement', 'like', 'game', 'fix', 'prime', 'udh', 'bad', 'jumping', 'jumping"&amp;"' , 'tasty', 'play', '']")</f>
        <v>['complaints',' response ',' network ',' stable ',' expensive ',' doang ',' Telkomsel ',' drpd ',' Loe ',' disappointed ',' complaint ',' cmn ',' yes', 'until', 'skrg', 'no', 'improvement', 'like', 'game', 'fix', 'prime', 'udh', 'bad', 'jumping', 'jumping' , 'tasty', 'play', '']</v>
      </c>
      <c r="D15696" s="3">
        <v>1.0</v>
      </c>
    </row>
    <row r="15697" ht="15.75" customHeight="1">
      <c r="A15697" s="1">
        <v>16685.0</v>
      </c>
      <c r="B15697" s="3" t="s">
        <v>14908</v>
      </c>
      <c r="C15697" s="3" t="str">
        <f>IFERROR(__xludf.DUMMYFUNCTION("GOOGLETRANSLATE(B15697,""id"",""en"")"),"['', 'like', 'apk', 'Telkomsel', 'help']")</f>
        <v>['', 'like', 'apk', 'Telkomsel', 'help']</v>
      </c>
      <c r="D15697" s="3">
        <v>5.0</v>
      </c>
    </row>
    <row r="15698" ht="15.75" customHeight="1">
      <c r="A15698" s="1">
        <v>16686.0</v>
      </c>
      <c r="B15698" s="3" t="s">
        <v>592</v>
      </c>
      <c r="C15698" s="3" t="str">
        <f>IFERROR(__xludf.DUMMYFUNCTION("GOOGLETRANSLATE(B15698,""id"",""en"")"),"['Telkomsel']")</f>
        <v>['Telkomsel']</v>
      </c>
      <c r="D15698" s="3">
        <v>5.0</v>
      </c>
    </row>
    <row r="15699" ht="15.75" customHeight="1">
      <c r="A15699" s="1">
        <v>16687.0</v>
      </c>
      <c r="B15699" s="3" t="s">
        <v>14909</v>
      </c>
      <c r="C15699" s="3" t="str">
        <f>IFERROR(__xludf.DUMMYFUNCTION("GOOGLETRANSLATE(B15699,""id"",""en"")"),"['borrow', 'buy', 'pulse', 'pay']")</f>
        <v>['borrow', 'buy', 'pulse', 'pay']</v>
      </c>
      <c r="D15699" s="3">
        <v>5.0</v>
      </c>
    </row>
    <row r="15700" ht="15.75" customHeight="1">
      <c r="A15700" s="1">
        <v>16688.0</v>
      </c>
      <c r="B15700" s="3" t="s">
        <v>14910</v>
      </c>
      <c r="C15700" s="3" t="str">
        <f>IFERROR(__xludf.DUMMYFUNCTION("GOOGLETRANSLATE(B15700,""id"",""en"")"),"['Package', 'Sometimes', 'according to', 'Regulation', 'Provisions', 'Network', 'like', 'jammed', 'no']")</f>
        <v>['Package', 'Sometimes', 'according to', 'Regulation', 'Provisions', 'Network', 'like', 'jammed', 'no']</v>
      </c>
      <c r="D15700" s="3">
        <v>1.0</v>
      </c>
    </row>
    <row r="15701" ht="15.75" customHeight="1">
      <c r="A15701" s="1">
        <v>16689.0</v>
      </c>
      <c r="B15701" s="3" t="s">
        <v>14911</v>
      </c>
      <c r="C15701" s="3" t="str">
        <f>IFERROR(__xludf.DUMMYFUNCTION("GOOGLETRANSLATE(B15701,""id"",""en"")"),"['network', 'severe', 'missing', 'play', 'game', 'auto', 'AFK', 'Nge', 'Leg', 'missing', 'network', 'signal', ' critical']")</f>
        <v>['network', 'severe', 'missing', 'play', 'game', 'auto', 'AFK', 'Nge', 'Leg', 'missing', 'network', 'signal', ' critical']</v>
      </c>
      <c r="D15701" s="3">
        <v>1.0</v>
      </c>
    </row>
    <row r="15702" ht="15.75" customHeight="1">
      <c r="A15702" s="1">
        <v>16690.0</v>
      </c>
      <c r="B15702" s="3" t="s">
        <v>14912</v>
      </c>
      <c r="C15702" s="3" t="str">
        <f>IFERROR(__xludf.DUMMYFUNCTION("GOOGLETRANSLATE(B15702,""id"",""en"")"),"['wahh', 'got', 'quota', 'free', 'Telkomsel']")</f>
        <v>['wahh', 'got', 'quota', 'free', 'Telkomsel']</v>
      </c>
      <c r="D15702" s="3">
        <v>5.0</v>
      </c>
    </row>
    <row r="15703" ht="15.75" customHeight="1">
      <c r="A15703" s="1">
        <v>16691.0</v>
      </c>
      <c r="B15703" s="3" t="s">
        <v>14913</v>
      </c>
      <c r="C15703" s="3" t="str">
        <f>IFERROR(__xludf.DUMMYFUNCTION("GOOGLETRANSLATE(B15703,""id"",""en"")"),"['already', 'package', 'expensive', 'network', 'briefly', 'lost', 'ngelag', 'kek', 'taikk', 'pakek', 'telkomsel', 'provider', ' Best ',' obstacles', 'network', 'repaired']")</f>
        <v>['already', 'package', 'expensive', 'network', 'briefly', 'lost', 'ngelag', 'kek', 'taikk', 'pakek', 'telkomsel', 'provider', ' Best ',' obstacles', 'network', 'repaired']</v>
      </c>
      <c r="D15703" s="3">
        <v>1.0</v>
      </c>
    </row>
    <row r="15704" ht="15.75" customHeight="1">
      <c r="A15704" s="1">
        <v>16692.0</v>
      </c>
      <c r="B15704" s="3" t="s">
        <v>14914</v>
      </c>
      <c r="C15704" s="3" t="str">
        <f>IFERROR(__xludf.DUMMYFUNCTION("GOOGLETRANSLATE(B15704,""id"",""en"")"),"['Internet', 'Mantappp', 'Leq', 'TPI', 'Severe', 'Rich', 'Joss',' Joss', 'Gandoss',' Points', 'Easy', 'Get', ' Luky ',' Allah ']")</f>
        <v>['Internet', 'Mantappp', 'Leq', 'TPI', 'Severe', 'Rich', 'Joss',' Joss', 'Gandoss',' Points', 'Easy', 'Get', ' Luky ',' Allah ']</v>
      </c>
      <c r="D15704" s="3">
        <v>5.0</v>
      </c>
    </row>
    <row r="15705" ht="15.75" customHeight="1">
      <c r="A15705" s="1">
        <v>16693.0</v>
      </c>
      <c r="B15705" s="3" t="s">
        <v>14915</v>
      </c>
      <c r="C15705" s="3" t="str">
        <f>IFERROR(__xludf.DUMMYFUNCTION("GOOGLETRANSLATE(B15705,""id"",""en"")"),"['hope', 'benefits', 'user', '']")</f>
        <v>['hope', 'benefits', 'user', '']</v>
      </c>
      <c r="D15705" s="3">
        <v>5.0</v>
      </c>
    </row>
    <row r="15706" ht="15.75" customHeight="1">
      <c r="A15706" s="1">
        <v>16694.0</v>
      </c>
      <c r="B15706" s="3" t="s">
        <v>14916</v>
      </c>
      <c r="C15706" s="3" t="str">
        <f>IFERROR(__xludf.DUMMYFUNCTION("GOOGLETRANSLATE(B15706,""id"",""en"")"),"['Application', 'Telkomsel', 'opened', 'Please', 'solution']")</f>
        <v>['Application', 'Telkomsel', 'opened', 'Please', 'solution']</v>
      </c>
      <c r="D15706" s="3">
        <v>1.0</v>
      </c>
    </row>
    <row r="15707" ht="15.75" customHeight="1">
      <c r="A15707" s="1">
        <v>16695.0</v>
      </c>
      <c r="B15707" s="3" t="s">
        <v>14917</v>
      </c>
      <c r="C15707" s="3" t="str">
        <f>IFERROR(__xludf.DUMMYFUNCTION("GOOGLETRANSLATE(B15707,""id"",""en"")"),"['right', 'exciting', 'Nge', 'game', 'internet', 'slow', 'service', 'try', 'check', 'network', 'right', 'clock', ' Hours', 'internet', 'slow', 'repeat', 'pepayhhh', 'Telkomsel', 'forced', '']")</f>
        <v>['right', 'exciting', 'Nge', 'game', 'internet', 'slow', 'service', 'try', 'check', 'network', 'right', 'clock', ' Hours', 'internet', 'slow', 'repeat', 'pepayhhh', 'Telkomsel', 'forced', '']</v>
      </c>
      <c r="D15707" s="3">
        <v>1.0</v>
      </c>
    </row>
    <row r="15708" ht="15.75" customHeight="1">
      <c r="A15708" s="1">
        <v>16696.0</v>
      </c>
      <c r="B15708" s="3" t="s">
        <v>14918</v>
      </c>
      <c r="C15708" s="3" t="str">
        <f>IFERROR(__xludf.DUMMYFUNCTION("GOOGLETRANSLATE(B15708,""id"",""en"")"),"['A Week', 'APK', 'Opened', 'Screen', 'White', 'Network', 'Stable', 'Service', 'Optimal', 'Consumer']")</f>
        <v>['A Week', 'APK', 'Opened', 'Screen', 'White', 'Network', 'Stable', 'Service', 'Optimal', 'Consumer']</v>
      </c>
      <c r="D15708" s="3">
        <v>1.0</v>
      </c>
    </row>
    <row r="15709" ht="15.75" customHeight="1">
      <c r="A15709" s="1">
        <v>16698.0</v>
      </c>
      <c r="B15709" s="3" t="s">
        <v>7999</v>
      </c>
      <c r="C15709" s="3" t="str">
        <f>IFERROR(__xludf.DUMMYFUNCTION("GOOGLETRANSLATE(B15709,""id"",""en"")"),"['beneficial', '']")</f>
        <v>['beneficial', '']</v>
      </c>
      <c r="D15709" s="3">
        <v>5.0</v>
      </c>
    </row>
    <row r="15710" ht="15.75" customHeight="1">
      <c r="A15710" s="1">
        <v>16699.0</v>
      </c>
      <c r="B15710" s="3" t="s">
        <v>14919</v>
      </c>
      <c r="C15710" s="3" t="str">
        <f>IFERROR(__xludf.DUMMYFUNCTION("GOOGLETRANSLATE(B15710,""id"",""en"")"),"['Telkomsel', 'quota', 'data', 'expensive', 'signal', 'severe', 'slow', 'compared', 'exis',' better ',' exis', 'understand', ' slow ',' 'weve', 'quota', 'datany', 'cheap', 'red', '']")</f>
        <v>['Telkomsel', 'quota', 'data', 'expensive', 'signal', 'severe', 'slow', 'compared', 'exis',' better ',' exis', 'understand', ' slow ',' 'weve', 'quota', 'datany', 'cheap', 'red', '']</v>
      </c>
      <c r="D15710" s="3">
        <v>1.0</v>
      </c>
    </row>
    <row r="15711" ht="15.75" customHeight="1">
      <c r="A15711" s="1">
        <v>16701.0</v>
      </c>
      <c r="B15711" s="3" t="s">
        <v>14920</v>
      </c>
      <c r="C15711" s="3" t="str">
        <f>IFERROR(__xludf.DUMMYFUNCTION("GOOGLETRANSLATE(B15711,""id"",""en"")"),"['destroyed', 'inj', 'card', 'bgsat', 'emotion', 'card', 'expensive', 'expensive', 'network', 'BBI', 'cuih', 'mending', ' Berali ',' card ',' gini ', ""]")</f>
        <v>['destroyed', 'inj', 'card', 'bgsat', 'emotion', 'card', 'expensive', 'expensive', 'network', 'BBI', 'cuih', 'mending', ' Berali ',' card ',' gini ', "]</v>
      </c>
      <c r="D15711" s="3">
        <v>1.0</v>
      </c>
    </row>
    <row r="15712" ht="15.75" customHeight="1">
      <c r="A15712" s="1">
        <v>16702.0</v>
      </c>
      <c r="B15712" s="3" t="s">
        <v>14921</v>
      </c>
      <c r="C15712" s="3" t="str">
        <f>IFERROR(__xludf.DUMMYFUNCTION("GOOGLETRANSLATE(B15712,""id"",""en"")"),"['Bagusan', 'little']")</f>
        <v>['Bagusan', 'little']</v>
      </c>
      <c r="D15712" s="3">
        <v>4.0</v>
      </c>
    </row>
    <row r="15713" ht="15.75" customHeight="1">
      <c r="A15713" s="1">
        <v>16703.0</v>
      </c>
      <c r="B15713" s="3" t="s">
        <v>14922</v>
      </c>
      <c r="C15713" s="3" t="str">
        <f>IFERROR(__xludf.DUMMYFUNCTION("GOOGLETRANSLATE(B15713,""id"",""en"")"),"['', 'Deh', 'Sis', 'Please', 'Enhanced', 'Application', 'Error', 'Please', 'Increase', 'Signal', 'Telkomsel', 'Evenly' ',' Village ',' minced ',' ']")</f>
        <v>['', 'Deh', 'Sis', 'Please', 'Enhanced', 'Application', 'Error', 'Please', 'Increase', 'Signal', 'Telkomsel', 'Evenly' ',' Village ',' minced ',' ']</v>
      </c>
      <c r="D15713" s="3">
        <v>5.0</v>
      </c>
    </row>
    <row r="15714" ht="15.75" customHeight="1">
      <c r="A15714" s="1">
        <v>16704.0</v>
      </c>
      <c r="B15714" s="3" t="s">
        <v>14923</v>
      </c>
      <c r="C15714" s="3" t="str">
        <f>IFERROR(__xludf.DUMMYFUNCTION("GOOGLETRANSLATE(B15714,""id"",""en"")"),"['update', 'ngak', 'ngak', 'open', 'guard']")</f>
        <v>['update', 'ngak', 'ngak', 'open', 'guard']</v>
      </c>
      <c r="D15714" s="3">
        <v>1.0</v>
      </c>
    </row>
    <row r="15715" ht="15.75" customHeight="1">
      <c r="A15715" s="1">
        <v>16705.0</v>
      </c>
      <c r="B15715" s="3" t="s">
        <v>14924</v>
      </c>
      <c r="C15715" s="3" t="str">
        <f>IFERROR(__xludf.DUMMYFUNCTION("GOOGLETRANSLATE(B15715,""id"",""en"")"),"['woi', 'Telkomsel', 'kentod', 'napa', 'kouta', 'wasteful', 'really', 'asw', 'kouta', 'unlimited', 'youtube', 'dipake', ' package ',' main ',' run out ',' better ',' change ',' card ',' download ',' mytelkomsel ',' kek ',' anjg ',' telkomsel ', ""]")</f>
        <v>['woi', 'Telkomsel', 'kentod', 'napa', 'kouta', 'wasteful', 'really', 'asw', 'kouta', 'unlimited', 'youtube', 'dipake', ' package ',' main ',' run out ',' better ',' change ',' card ',' download ',' mytelkomsel ',' kek ',' anjg ',' telkomsel ', "]</v>
      </c>
      <c r="D15715" s="3">
        <v>1.0</v>
      </c>
    </row>
    <row r="15716" ht="15.75" customHeight="1">
      <c r="A15716" s="1">
        <v>16706.0</v>
      </c>
      <c r="B15716" s="3" t="s">
        <v>14925</v>
      </c>
      <c r="C15716" s="3" t="str">
        <f>IFERROR(__xludf.DUMMYFUNCTION("GOOGLETRANSLATE(B15716,""id"",""en"")"),"['', 'Sotot', 'Negntod', 'Child', 'Panti', 'care', 'You', 'Ajig', 'lag', 'Org', 'Play', 'Sotot', 'child ',' Haram ',' child ',' YTM ']")</f>
        <v>['', 'Sotot', 'Negntod', 'Child', 'Panti', 'care', 'You', 'Ajig', 'lag', 'Org', 'Play', 'Sotot', 'child ',' Haram ',' child ',' YTM ']</v>
      </c>
      <c r="D15716" s="3">
        <v>1.0</v>
      </c>
    </row>
    <row r="15717" ht="15.75" customHeight="1">
      <c r="A15717" s="1">
        <v>16707.0</v>
      </c>
      <c r="B15717" s="3" t="s">
        <v>14926</v>
      </c>
      <c r="C15717" s="3" t="str">
        <f>IFERROR(__xludf.DUMMYFUNCTION("GOOGLETRANSLATE(B15717,""id"",""en"")"),"['Paya', 'Network', 'Telkomsel', 'Trludu', 'Bruk', 'Bangt', 'Telkomsel', 'Please', 'Jingan', 'Telkomsel', 'Fix', 'like', ' Then ',' ']")</f>
        <v>['Paya', 'Network', 'Telkomsel', 'Trludu', 'Bruk', 'Bangt', 'Telkomsel', 'Please', 'Jingan', 'Telkomsel', 'Fix', 'like', ' Then ',' ']</v>
      </c>
      <c r="D15717" s="3">
        <v>1.0</v>
      </c>
    </row>
    <row r="15718" ht="15.75" customHeight="1">
      <c r="A15718" s="1">
        <v>16708.0</v>
      </c>
      <c r="B15718" s="3" t="s">
        <v>14927</v>
      </c>
      <c r="C15718" s="3" t="str">
        <f>IFERROR(__xludf.DUMMYFUNCTION("GOOGLETRANSLATE(B15718,""id"",""en"")"),"['update', 'the latest', 'November', 'the application', 'open', 'blank', 'white', 'bug', ""]")</f>
        <v>['update', 'the latest', 'November', 'the application', 'open', 'blank', 'white', 'bug', "]</v>
      </c>
      <c r="D15718" s="3">
        <v>1.0</v>
      </c>
    </row>
    <row r="15719" ht="15.75" customHeight="1">
      <c r="A15719" s="1">
        <v>16709.0</v>
      </c>
      <c r="B15719" s="3" t="s">
        <v>14928</v>
      </c>
      <c r="C15719" s="3" t="str">
        <f>IFERROR(__xludf.DUMMYFUNCTION("GOOGLETRANSLATE(B15719,""id"",""en"")"),"['Severe', 'signal', 'missing', 'impromptu']")</f>
        <v>['Severe', 'signal', 'missing', 'impromptu']</v>
      </c>
      <c r="D15719" s="3">
        <v>1.0</v>
      </c>
    </row>
    <row r="15720" ht="15.75" customHeight="1">
      <c r="A15720" s="1">
        <v>16710.0</v>
      </c>
      <c r="B15720" s="3" t="s">
        <v>14929</v>
      </c>
      <c r="C15720" s="3" t="str">
        <f>IFERROR(__xludf.DUMMYFUNCTION("GOOGLETRANSLATE(B15720,""id"",""en"")"),"['Network', 'Severe', 'Main', 'Game', 'Lag', 'Severe', 'Telkomsel']")</f>
        <v>['Network', 'Severe', 'Main', 'Game', 'Lag', 'Severe', 'Telkomsel']</v>
      </c>
      <c r="D15720" s="3">
        <v>1.0</v>
      </c>
    </row>
    <row r="15721" ht="15.75" customHeight="1">
      <c r="A15721" s="1">
        <v>16711.0</v>
      </c>
      <c r="B15721" s="3" t="s">
        <v>14930</v>
      </c>
      <c r="C15721" s="3" t="str">
        <f>IFERROR(__xludf.DUMMYFUNCTION("GOOGLETRANSLATE(B15721,""id"",""en"")"),"['Quality', 'Network', 'Weak']")</f>
        <v>['Quality', 'Network', 'Weak']</v>
      </c>
      <c r="D15721" s="3">
        <v>1.0</v>
      </c>
    </row>
    <row r="15722" ht="15.75" customHeight="1">
      <c r="A15722" s="1">
        <v>16712.0</v>
      </c>
      <c r="B15722" s="3" t="s">
        <v>14931</v>
      </c>
      <c r="C15722" s="3" t="str">
        <f>IFERROR(__xludf.DUMMYFUNCTION("GOOGLETRANSLATE(B15722,""id"",""en"")"),"['APK', 'right', 'already', 'update', 'open', 'update', 'open', 'error', 'apk', 'aatu', 'network']")</f>
        <v>['APK', 'right', 'already', 'update', 'open', 'update', 'open', 'error', 'apk', 'aatu', 'network']</v>
      </c>
      <c r="D15722" s="3">
        <v>1.0</v>
      </c>
    </row>
    <row r="15723" ht="15.75" customHeight="1">
      <c r="A15723" s="1">
        <v>16713.0</v>
      </c>
      <c r="B15723" s="3" t="s">
        <v>14932</v>
      </c>
      <c r="C15723" s="3" t="str">
        <f>IFERROR(__xludf.DUMMYFUNCTION("GOOGLETRANSLATE(B15723,""id"",""en"")"),"['Locking', 'Features', 'SafeSearch', 'Comfortable']")</f>
        <v>['Locking', 'Features', 'SafeSearch', 'Comfortable']</v>
      </c>
      <c r="D15723" s="3">
        <v>1.0</v>
      </c>
    </row>
    <row r="15724" ht="15.75" customHeight="1">
      <c r="A15724" s="1">
        <v>16714.0</v>
      </c>
      <c r="B15724" s="3" t="s">
        <v>14933</v>
      </c>
      <c r="C15724" s="3" t="str">
        <f>IFERROR(__xludf.DUMMYFUNCTION("GOOGLETRANSLATE(B15724,""id"",""en"")"),"['open', 'application', 'slow', 'company', 'telecommunications', 'application', 'slow', 'really', 'see', 'quota', 'apply', ""]")</f>
        <v>['open', 'application', 'slow', 'company', 'telecommunications', 'application', 'slow', 'really', 'see', 'quota', 'apply', "]</v>
      </c>
      <c r="D15724" s="3">
        <v>1.0</v>
      </c>
    </row>
    <row r="15725" ht="15.75" customHeight="1">
      <c r="A15725" s="1">
        <v>16715.0</v>
      </c>
      <c r="B15725" s="3" t="s">
        <v>14934</v>
      </c>
      <c r="C15725" s="3" t="str">
        <f>IFERROR(__xludf.DUMMYFUNCTION("GOOGLETRANSLATE(B15725,""id"",""en"")"),"['wait']")</f>
        <v>['wait']</v>
      </c>
      <c r="D15725" s="3">
        <v>2.0</v>
      </c>
    </row>
    <row r="15726" ht="15.75" customHeight="1">
      <c r="A15726" s="1">
        <v>16716.0</v>
      </c>
      <c r="B15726" s="3" t="s">
        <v>14935</v>
      </c>
      <c r="C15726" s="3" t="str">
        <f>IFERROR(__xludf.DUMMYFUNCTION("GOOGLETRANSLATE(B15726,""id"",""en"")"),"['Knp', 'the application', 'opened', 'yaa', 'pdhal', 'kmren']")</f>
        <v>['Knp', 'the application', 'opened', 'yaa', 'pdhal', 'kmren']</v>
      </c>
      <c r="D15726" s="3">
        <v>5.0</v>
      </c>
    </row>
    <row r="15727" ht="15.75" customHeight="1">
      <c r="A15727" s="1">
        <v>16717.0</v>
      </c>
      <c r="B15727" s="3" t="s">
        <v>14936</v>
      </c>
      <c r="C15727" s="3" t="str">
        <f>IFERROR(__xludf.DUMMYFUNCTION("GOOGLETRANSLATE(B15727,""id"",""en"")"),"['Nikin', 'Price', 'Sampe', 'Maunan', ""]")</f>
        <v>['Nikin', 'Price', 'Sampe', 'Maunan', "]</v>
      </c>
      <c r="D15727" s="3">
        <v>3.0</v>
      </c>
    </row>
    <row r="15728" ht="15.75" customHeight="1">
      <c r="A15728" s="1">
        <v>16718.0</v>
      </c>
      <c r="B15728" s="3" t="s">
        <v>14937</v>
      </c>
      <c r="C15728" s="3" t="str">
        <f>IFERROR(__xludf.DUMMYFUNCTION("GOOGLETRANSLATE(B15728,""id"",""en"")"),"['', 'Yaaa']")</f>
        <v>['', 'Yaaa']</v>
      </c>
      <c r="D15728" s="3">
        <v>4.0</v>
      </c>
    </row>
    <row r="15729" ht="15.75" customHeight="1">
      <c r="A15729" s="1">
        <v>16719.0</v>
      </c>
      <c r="B15729" s="3" t="s">
        <v>31</v>
      </c>
      <c r="C15729" s="3" t="str">
        <f>IFERROR(__xludf.DUMMYFUNCTION("GOOGLETRANSLATE(B15729,""id"",""en"")"),"['Application', 'Open', '']")</f>
        <v>['Application', 'Open', '']</v>
      </c>
      <c r="D15729" s="3">
        <v>1.0</v>
      </c>
    </row>
    <row r="15730" ht="15.75" customHeight="1">
      <c r="A15730" s="1">
        <v>16720.0</v>
      </c>
      <c r="B15730" s="3" t="s">
        <v>14938</v>
      </c>
      <c r="C15730" s="3" t="str">
        <f>IFERROR(__xludf.DUMMYFUNCTION("GOOGLETRANSLATE(B15730,""id"",""en"")"),"['Out', 'update', 'no', 'opened', 'thisi']")</f>
        <v>['Out', 'update', 'no', 'opened', 'thisi']</v>
      </c>
      <c r="D15730" s="3">
        <v>4.0</v>
      </c>
    </row>
    <row r="15731" ht="15.75" customHeight="1">
      <c r="A15731" s="1">
        <v>16721.0</v>
      </c>
      <c r="B15731" s="3" t="s">
        <v>14939</v>
      </c>
      <c r="C15731" s="3" t="str">
        <f>IFERROR(__xludf.DUMMYFUNCTION("GOOGLETRANSLATE(B15731,""id"",""en"")"),"['week', 'kmrn', 'application', 'Telkomsel', 'skrg', 'blank', 'times', 'install', 'ttp', 'gmna', 'telkomsel']")</f>
        <v>['week', 'kmrn', 'application', 'Telkomsel', 'skrg', 'blank', 'times', 'install', 'ttp', 'gmna', 'telkomsel']</v>
      </c>
      <c r="D15731" s="3">
        <v>2.0</v>
      </c>
    </row>
    <row r="15732" ht="15.75" customHeight="1">
      <c r="A15732" s="1">
        <v>16722.0</v>
      </c>
      <c r="B15732" s="3" t="s">
        <v>14940</v>
      </c>
      <c r="C15732" s="3" t="str">
        <f>IFERROR(__xludf.DUMMYFUNCTION("GOOGLETRANSLATE(B15732,""id"",""en"")"),"['application', 'Telkomsel', 'emang', 'access', 'uda', 'open', 'pnjlsan', 'dri', 'telkomsel', '']")</f>
        <v>['application', 'Telkomsel', 'emang', 'access', 'uda', 'open', 'pnjlsan', 'dri', 'telkomsel', '']</v>
      </c>
      <c r="D15732" s="3">
        <v>2.0</v>
      </c>
    </row>
    <row r="15733" ht="15.75" customHeight="1">
      <c r="A15733" s="1">
        <v>16723.0</v>
      </c>
      <c r="B15733" s="3" t="s">
        <v>14941</v>
      </c>
      <c r="C15733" s="3" t="str">
        <f>IFERROR(__xludf.DUMMYFUNCTION("GOOGLETRANSLATE(B15733,""id"",""en"")"),"['Ribet', 'Exchange', 'Points', 'HRS', 'OTP', 'Lom', 'Exchange', 'Quota', 'Abis', 'Atu']")</f>
        <v>['Ribet', 'Exchange', 'Points', 'HRS', 'OTP', 'Lom', 'Exchange', 'Quota', 'Abis', 'Atu']</v>
      </c>
      <c r="D15733" s="3">
        <v>1.0</v>
      </c>
    </row>
    <row r="15734" ht="15.75" customHeight="1">
      <c r="A15734" s="1">
        <v>16724.0</v>
      </c>
      <c r="B15734" s="3" t="s">
        <v>14942</v>
      </c>
      <c r="C15734" s="3" t="str">
        <f>IFERROR(__xludf.DUMMYFUNCTION("GOOGLETRANSLATE(B15734,""id"",""en"")"),"['cool', 'cave', 'make', 'wifi', 'then', 'data', 'die', 'sms',' cave ',' make ',' internet ',' non ',' package ',' then ',' pulse ',' sumps', 'best', 'provider', 'great', 'really', 'sucked', 'pulses',' elegant ',' provider ',' cool ' , 'World', 'original'"&amp;", 'great', 'Telkomsel', 'best', 'waste', 'Thank you', 'made', 'live', 'wasteful', 'keep', 'enrich', ' Congratulations', 'yaa', 'pulse', 'cave', 'suck', 'cave', 'angkep', 'alms',' deh ']")</f>
        <v>['cool', 'cave', 'make', 'wifi', 'then', 'data', 'die', 'sms',' cave ',' make ',' internet ',' non ',' package ',' then ',' pulse ',' sumps', 'best', 'provider', 'great', 'really', 'sucked', 'pulses',' elegant ',' provider ',' cool ' , 'World', 'original', 'great', 'Telkomsel', 'best', 'waste', 'Thank you', 'made', 'live', 'wasteful', 'keep', 'enrich', ' Congratulations', 'yaa', 'pulse', 'cave', 'suck', 'cave', 'angkep', 'alms',' deh ']</v>
      </c>
      <c r="D15734" s="3">
        <v>1.0</v>
      </c>
    </row>
    <row r="15735" ht="15.75" customHeight="1">
      <c r="A15735" s="1">
        <v>16725.0</v>
      </c>
      <c r="B15735" s="3" t="s">
        <v>14943</v>
      </c>
      <c r="C15735" s="3" t="str">
        <f>IFERROR(__xludf.DUMMYFUNCTION("GOOGLETRANSLATE(B15735,""id"",""en"")"),"['opened', 'times', 'download', 'result', 'blank', ""]")</f>
        <v>['opened', 'times', 'download', 'result', 'blank', "]</v>
      </c>
      <c r="D15735" s="3">
        <v>1.0</v>
      </c>
    </row>
    <row r="15736" ht="15.75" customHeight="1">
      <c r="A15736" s="1">
        <v>16726.0</v>
      </c>
      <c r="B15736" s="3" t="s">
        <v>14944</v>
      </c>
      <c r="C15736" s="3" t="str">
        <f>IFERROR(__xludf.DUMMYFUNCTION("GOOGLETRANSLATE(B15736,""id"",""en"")"),"['Telkomsel', 'Jembuttttt', 'Ngelag', 'Normal', 'bangs']")</f>
        <v>['Telkomsel', 'Jembuttttt', 'Ngelag', 'Normal', 'bangs']</v>
      </c>
      <c r="D15736" s="3">
        <v>1.0</v>
      </c>
    </row>
    <row r="15737" ht="15.75" customHeight="1">
      <c r="A15737" s="1">
        <v>16727.0</v>
      </c>
      <c r="B15737" s="3" t="s">
        <v>14945</v>
      </c>
      <c r="C15737" s="3" t="str">
        <f>IFERROR(__xludf.DUMMYFUNCTION("GOOGLETRANSLATE(B15737,""id"",""en"")"),"['Koutaa', 'MB', 'DRI', 'GB', 'PDHL', 'Cuman', 'Open', 'Google', 'Classroom', 'Learning', 'Help', 'Data', ' ']")</f>
        <v>['Koutaa', 'MB', 'DRI', 'GB', 'PDHL', 'Cuman', 'Open', 'Google', 'Classroom', 'Learning', 'Help', 'Data', ' ']</v>
      </c>
      <c r="D15737" s="3">
        <v>1.0</v>
      </c>
    </row>
    <row r="15738" ht="15.75" customHeight="1">
      <c r="A15738" s="1">
        <v>16728.0</v>
      </c>
      <c r="B15738" s="3" t="s">
        <v>14946</v>
      </c>
      <c r="C15738" s="3" t="str">
        <f>IFERROR(__xludf.DUMMYFUNCTION("GOOGLETRANSLATE(B15738,""id"",""en"")"),"['Update', 'Nob', '']")</f>
        <v>['Update', 'Nob', '']</v>
      </c>
      <c r="D15738" s="3">
        <v>1.0</v>
      </c>
    </row>
    <row r="15739" ht="15.75" customHeight="1">
      <c r="A15739" s="1">
        <v>16729.0</v>
      </c>
      <c r="B15739" s="3" t="s">
        <v>14947</v>
      </c>
      <c r="C15739" s="3" t="str">
        <f>IFERROR(__xludf.DUMMYFUNCTION("GOOGLETRANSLATE(B15739,""id"",""en"")"),"['week', 'application', 'open', 'after', 'update']")</f>
        <v>['week', 'application', 'open', 'after', 'update']</v>
      </c>
      <c r="D15739" s="3">
        <v>1.0</v>
      </c>
    </row>
    <row r="15740" ht="15.75" customHeight="1">
      <c r="A15740" s="1">
        <v>16730.0</v>
      </c>
      <c r="B15740" s="3" t="s">
        <v>14948</v>
      </c>
      <c r="C15740" s="3" t="str">
        <f>IFERROR(__xludf.DUMMYFUNCTION("GOOGLETRANSLATE(B15740,""id"",""en"")"),"['Customer', 'use', 'Telkomsel', 'promo', 'lose', 'dng', 'card', '']")</f>
        <v>['Customer', 'use', 'Telkomsel', 'promo', 'lose', 'dng', 'card', '']</v>
      </c>
      <c r="D15740" s="3">
        <v>2.0</v>
      </c>
    </row>
    <row r="15741" ht="15.75" customHeight="1">
      <c r="A15741" s="1">
        <v>16731.0</v>
      </c>
      <c r="B15741" s="3" t="s">
        <v>14949</v>
      </c>
      <c r="C15741" s="3" t="str">
        <f>IFERROR(__xludf.DUMMYFUNCTION("GOOGLETRANSLATE(B15741,""id"",""en"")"),"['Igin', 'buy', 'package', 'writing', 'Please', 'sorry', 'error', 'please', 'repaired', 'afraid', 'pulses', 'hagus']")</f>
        <v>['Igin', 'buy', 'package', 'writing', 'Please', 'sorry', 'error', 'please', 'repaired', 'afraid', 'pulses', 'hagus']</v>
      </c>
      <c r="D15741" s="3">
        <v>1.0</v>
      </c>
    </row>
    <row r="15742" ht="15.75" customHeight="1">
      <c r="A15742" s="1">
        <v>16732.0</v>
      </c>
      <c r="B15742" s="3" t="s">
        <v>14950</v>
      </c>
      <c r="C15742" s="3" t="str">
        <f>IFERROR(__xludf.DUMMYFUNCTION("GOOGLETRANSLATE(B15742,""id"",""en"")"),"['Minute', 'Application', 'Screen', 'Blank']")</f>
        <v>['Minute', 'Application', 'Screen', 'Blank']</v>
      </c>
      <c r="D15742" s="3">
        <v>1.0</v>
      </c>
    </row>
    <row r="15743" ht="15.75" customHeight="1">
      <c r="A15743" s="1">
        <v>16733.0</v>
      </c>
      <c r="B15743" s="3" t="s">
        <v>14951</v>
      </c>
      <c r="C15743" s="3" t="str">
        <f>IFERROR(__xludf.DUMMYFUNCTION("GOOGLETRANSLATE(B15743,""id"",""en"")"),"['expensive', 'that's']")</f>
        <v>['expensive', 'that's']</v>
      </c>
      <c r="D15743" s="3">
        <v>2.0</v>
      </c>
    </row>
    <row r="15744" ht="15.75" customHeight="1">
      <c r="A15744" s="1">
        <v>16734.0</v>
      </c>
      <c r="B15744" s="3" t="s">
        <v>14952</v>
      </c>
      <c r="C15744" s="3" t="str">
        <f>IFERROR(__xludf.DUMMYFUNCTION("GOOGLETRANSLATE(B15744,""id"",""en"")"),"['Please', 'customers', 'loyal', 'Telkomsel', 'msh', 'getting', 'junior high school', 'since' Udate ',' postpaid ',' knp ',' network ',' Always', 'slow', 'Pay', 'Fall', 'Tempo', 'date', 'payment', 'please', 'right', 'right', 'disappointed', 'heavy', 'weig"&amp;"hing' , 'Weighs', 'Loss']")</f>
        <v>['Please', 'customers', 'loyal', 'Telkomsel', 'msh', 'getting', 'junior high school', 'since' Udate ',' postpaid ',' knp ',' network ',' Always', 'slow', 'Pay', 'Fall', 'Tempo', 'date', 'payment', 'please', 'right', 'right', 'disappointed', 'heavy', 'weighing' , 'Weighs', 'Loss']</v>
      </c>
      <c r="D15744" s="3">
        <v>1.0</v>
      </c>
    </row>
    <row r="15745" ht="15.75" customHeight="1">
      <c r="A15745" s="1">
        <v>16735.0</v>
      </c>
      <c r="B15745" s="3" t="s">
        <v>14953</v>
      </c>
      <c r="C15745" s="3" t="str">
        <f>IFERROR(__xludf.DUMMYFUNCTION("GOOGLETRANSLATE(B15745,""id"",""en"")"),"['', 'contents', 'pulse', 'via', 'Link', 'enter', 'browser', 'crome']")</f>
        <v>['', 'contents', 'pulse', 'via', 'Link', 'enter', 'browser', 'crome']</v>
      </c>
      <c r="D15745" s="3">
        <v>1.0</v>
      </c>
    </row>
    <row r="15746" ht="15.75" customHeight="1">
      <c r="A15746" s="1">
        <v>16736.0</v>
      </c>
      <c r="B15746" s="3" t="s">
        <v>14954</v>
      </c>
      <c r="C15746" s="3" t="str">
        <f>IFERROR(__xludf.DUMMYFUNCTION("GOOGLETRANSLATE(B15746,""id"",""en"")"),"['Suitable', 'friend', 'have', 'Telkomsel']")</f>
        <v>['Suitable', 'friend', 'have', 'Telkomsel']</v>
      </c>
      <c r="D15746" s="3">
        <v>5.0</v>
      </c>
    </row>
    <row r="15747" ht="15.75" customHeight="1">
      <c r="A15747" s="1">
        <v>16737.0</v>
      </c>
      <c r="B15747" s="3" t="s">
        <v>14955</v>
      </c>
      <c r="C15747" s="3" t="str">
        <f>IFERROR(__xludf.DUMMYFUNCTION("GOOGLETRANSLATE(B15747,""id"",""en"")"),"['used', 'wherever', 'steady']")</f>
        <v>['used', 'wherever', 'steady']</v>
      </c>
      <c r="D15747" s="3">
        <v>5.0</v>
      </c>
    </row>
    <row r="15748" ht="15.75" customHeight="1">
      <c r="A15748" s="1">
        <v>16738.0</v>
      </c>
      <c r="B15748" s="3" t="s">
        <v>14956</v>
      </c>
      <c r="C15748" s="3" t="str">
        <f>IFERROR(__xludf.DUMMYFUNCTION("GOOGLETRANSLATE(B15748,""id"",""en"")"),"['purchase', 'package', 'smkin', 'expensive']")</f>
        <v>['purchase', 'package', 'smkin', 'expensive']</v>
      </c>
      <c r="D15748" s="3">
        <v>4.0</v>
      </c>
    </row>
    <row r="15749" ht="15.75" customHeight="1">
      <c r="A15749" s="1">
        <v>16739.0</v>
      </c>
      <c r="B15749" s="3" t="s">
        <v>14957</v>
      </c>
      <c r="C15749" s="3" t="str">
        <f>IFERROR(__xludf.DUMMYFUNCTION("GOOGLETRANSLATE(B15749,""id"",""en"")"),"['Hopefully', 'Lottery', '']")</f>
        <v>['Hopefully', 'Lottery', '']</v>
      </c>
      <c r="D15749" s="3">
        <v>5.0</v>
      </c>
    </row>
    <row r="15750" ht="15.75" customHeight="1">
      <c r="A15750" s="1">
        <v>16740.0</v>
      </c>
      <c r="B15750" s="3" t="s">
        <v>14958</v>
      </c>
      <c r="C15750" s="3" t="str">
        <f>IFERROR(__xludf.DUMMYFUNCTION("GOOGLETRANSLATE(B15750,""id"",""en"")"),"['update', 'apk', 'Telkomsel', 'problematic', 'update', 'newest', 'apk', 'telkomsel', 'opened', 'contact', 'email', 'Telkomsel', ' Facebook ',' Messenger ',' Telkomsel ',' Action ',' Really ',' Disappointing ',' ']")</f>
        <v>['update', 'apk', 'Telkomsel', 'problematic', 'update', 'newest', 'apk', 'telkomsel', 'opened', 'contact', 'email', 'Telkomsel', ' Facebook ',' Messenger ',' Telkomsel ',' Action ',' Really ',' Disappointing ',' ']</v>
      </c>
      <c r="D15750" s="3">
        <v>1.0</v>
      </c>
    </row>
    <row r="15751" ht="15.75" customHeight="1">
      <c r="A15751" s="1">
        <v>16741.0</v>
      </c>
      <c r="B15751" s="3" t="s">
        <v>14959</v>
      </c>
      <c r="C15751" s="3" t="str">
        <f>IFERROR(__xludf.DUMMYFUNCTION("GOOGLETRANSLATE(B15751,""id"",""en"")"),"['Network', 'evenly', 'home', 'signal', 'slow', 'really', 'udh', 'many years',' kek ',' so ',' try ',' road ',' One hundred ',' meters', 'home', 'shop', 'hallway', 'home', 'signal', 'kenceng', 'buy', 'expensive', 'signal', 'slow', 'pulses' , 'Cams', 'Hade"&amp;"hhhh']")</f>
        <v>['Network', 'evenly', 'home', 'signal', 'slow', 'really', 'udh', 'many years',' kek ',' so ',' try ',' road ',' One hundred ',' meters', 'home', 'shop', 'hallway', 'home', 'signal', 'kenceng', 'buy', 'expensive', 'signal', 'slow', 'pulses' , 'Cams', 'Hadehhhh']</v>
      </c>
      <c r="D15751" s="3">
        <v>1.0</v>
      </c>
    </row>
    <row r="15752" ht="15.75" customHeight="1">
      <c r="A15752" s="1">
        <v>16742.0</v>
      </c>
      <c r="B15752" s="3" t="s">
        <v>14960</v>
      </c>
      <c r="C15752" s="3" t="str">
        <f>IFERROR(__xludf.DUMMYFUNCTION("GOOGLETRANSLATE(B15752,""id"",""en"")"),"['How', 'contents', 'pulse', 'free']")</f>
        <v>['How', 'contents', 'pulse', 'free']</v>
      </c>
      <c r="D15752" s="3">
        <v>5.0</v>
      </c>
    </row>
    <row r="15753" ht="15.75" customHeight="1">
      <c r="A15753" s="1">
        <v>16744.0</v>
      </c>
      <c r="B15753" s="3" t="s">
        <v>14961</v>
      </c>
      <c r="C15753" s="3" t="str">
        <f>IFERROR(__xludf.DUMMYFUNCTION("GOOGLETRANSLATE(B15753,""id"",""en"")"),"['already', 'cpp', 'setting', 'application', 'msih', 'ttp', 'bdhl', 'plngng', 'package', 'hello']")</f>
        <v>['already', 'cpp', 'setting', 'application', 'msih', 'ttp', 'bdhl', 'plngng', 'package', 'hello']</v>
      </c>
      <c r="D15753" s="3">
        <v>1.0</v>
      </c>
    </row>
    <row r="15754" ht="15.75" customHeight="1">
      <c r="A15754" s="1">
        <v>16745.0</v>
      </c>
      <c r="B15754" s="3" t="s">
        <v>14962</v>
      </c>
      <c r="C15754" s="3" t="str">
        <f>IFERROR(__xludf.DUMMYFUNCTION("GOOGLETRANSLATE(B15754,""id"",""en"")"),"['Open', 'screen', 'white']")</f>
        <v>['Open', 'screen', 'white']</v>
      </c>
      <c r="D15754" s="3">
        <v>5.0</v>
      </c>
    </row>
    <row r="15755" ht="15.75" customHeight="1">
      <c r="A15755" s="1">
        <v>16746.0</v>
      </c>
      <c r="B15755" s="3" t="s">
        <v>14963</v>
      </c>
      <c r="C15755" s="3" t="str">
        <f>IFERROR(__xludf.DUMMYFUNCTION("GOOGLETRANSLATE(B15755,""id"",""en"")"),"['Telkomsel', 'happy', 'trapping', 'customers',' deliberate ',' activate ',' Answering ',' Machine ',' Paid ',' Customer ',' quota ',' Out ',' Play ',' Colong ',' Credit ',' Customer ',' Loss']")</f>
        <v>['Telkomsel', 'happy', 'trapping', 'customers',' deliberate ',' activate ',' Answering ',' Machine ',' Paid ',' Customer ',' quota ',' Out ',' Play ',' Colong ',' Credit ',' Customer ',' Loss']</v>
      </c>
      <c r="D15755" s="3">
        <v>1.0</v>
      </c>
    </row>
    <row r="15756" ht="15.75" customHeight="1">
      <c r="A15756" s="1">
        <v>16747.0</v>
      </c>
      <c r="B15756" s="3" t="s">
        <v>14964</v>
      </c>
      <c r="C15756" s="3" t="str">
        <f>IFERROR(__xludf.DUMMYFUNCTION("GOOGLETRANSLATE(B15756,""id"",""en"")"),"['Severe', 'Network', 'Telkomsel', 'Sometimes',' Sometimes', 'Down', 'Open', 'The Application', 'Leet', 'Very', 'Pakek', 'Internet', ' Tetep ',' Open ',' Destroyed ',' Telkomsel ',' Network ',' Trash ']")</f>
        <v>['Severe', 'Network', 'Telkomsel', 'Sometimes',' Sometimes', 'Down', 'Open', 'The Application', 'Leet', 'Very', 'Pakek', 'Internet', ' Tetep ',' Open ',' Destroyed ',' Telkomsel ',' Network ',' Trash ']</v>
      </c>
      <c r="D15756" s="3">
        <v>1.0</v>
      </c>
    </row>
    <row r="15757" ht="15.75" customHeight="1">
      <c r="A15757" s="1">
        <v>16748.0</v>
      </c>
      <c r="B15757" s="3" t="s">
        <v>14965</v>
      </c>
      <c r="C15757" s="3" t="str">
        <f>IFERROR(__xludf.DUMMYFUNCTION("GOOGLETRANSLATE(B15757,""id"",""en"")"),"['Application', 'Help', 'Baget', '']")</f>
        <v>['Application', 'Help', 'Baget', '']</v>
      </c>
      <c r="D15757" s="3">
        <v>5.0</v>
      </c>
    </row>
    <row r="15758" ht="15.75" customHeight="1">
      <c r="A15758" s="1">
        <v>16749.0</v>
      </c>
      <c r="B15758" s="3" t="s">
        <v>14966</v>
      </c>
      <c r="C15758" s="3" t="str">
        <f>IFERROR(__xludf.DUMMYFUNCTION("GOOGLETRANSLATE(B15758,""id"",""en"")"),"['Network', 'slow', 'really']")</f>
        <v>['Network', 'slow', 'really']</v>
      </c>
      <c r="D15758" s="3">
        <v>1.0</v>
      </c>
    </row>
    <row r="15759" ht="15.75" customHeight="1">
      <c r="A15759" s="1">
        <v>16750.0</v>
      </c>
      <c r="B15759" s="3" t="s">
        <v>14967</v>
      </c>
      <c r="C15759" s="3" t="str">
        <f>IFERROR(__xludf.DUMMYFUNCTION("GOOGLETRANSLATE(B15759,""id"",""en"")"),"['Signal', 'Bener', 'Ancur', 'Destroyed']")</f>
        <v>['Signal', 'Bener', 'Ancur', 'Destroyed']</v>
      </c>
      <c r="D15759" s="3">
        <v>1.0</v>
      </c>
    </row>
    <row r="15760" ht="15.75" customHeight="1">
      <c r="A15760" s="1">
        <v>16751.0</v>
      </c>
      <c r="B15760" s="3" t="s">
        <v>14968</v>
      </c>
      <c r="C15760" s="3" t="str">
        <f>IFERROR(__xludf.DUMMYFUNCTION("GOOGLETRANSLATE(B15760,""id"",""en"")"),"['Package', 'Saktiny', 'JNG', 'Change', 'Change', 'Prthnin', 'Pnguna', 'LMA', 'Play', 'Faat', 'Bngt', 'PKE', ' Package ',' Saktiny ']")</f>
        <v>['Package', 'Saktiny', 'JNG', 'Change', 'Change', 'Prthnin', 'Pnguna', 'LMA', 'Play', 'Faat', 'Bngt', 'PKE', ' Package ',' Saktiny ']</v>
      </c>
      <c r="D15760" s="3">
        <v>5.0</v>
      </c>
    </row>
    <row r="15761" ht="15.75" customHeight="1">
      <c r="A15761" s="1">
        <v>16752.0</v>
      </c>
      <c r="B15761" s="3" t="s">
        <v>14969</v>
      </c>
      <c r="C15761" s="3" t="str">
        <f>IFERROR(__xludf.DUMMYFUNCTION("GOOGLETRANSLATE(B15761,""id"",""en"")"),"['Application', 'garbage', 'skrg', 'ngak', 'opened', 'the application', '']")</f>
        <v>['Application', 'garbage', 'skrg', 'ngak', 'opened', 'the application', '']</v>
      </c>
      <c r="D15761" s="3">
        <v>1.0</v>
      </c>
    </row>
    <row r="15762" ht="15.75" customHeight="1">
      <c r="A15762" s="1">
        <v>16753.0</v>
      </c>
      <c r="B15762" s="3" t="s">
        <v>14970</v>
      </c>
      <c r="C15762" s="3" t="str">
        <f>IFERROR(__xludf.DUMMYFUNCTION("GOOGLETRANSLATE(B15762,""id"",""en"")"),"['Halooooo', 'Sampe', 'White', 'Blank', 'Screen', 'Sist', 'Bro', 'Discard', 'Quota', 'Apus',' then ',' Install ',' Tetep ',' Kek ',' Gini ',' repay ',' user ',' org ',' Telkom ',' Unfortunately ',' Samoe ',' complaint ',' gini ',' disorder ',' until ' , '"&amp;"']")</f>
        <v>['Halooooo', 'Sampe', 'White', 'Blank', 'Screen', 'Sist', 'Bro', 'Discard', 'Quota', 'Apus',' then ',' Install ',' Tetep ',' Kek ',' Gini ',' repay ',' user ',' org ',' Telkom ',' Unfortunately ',' Samoe ',' complaint ',' gini ',' disorder ',' until ' , '']</v>
      </c>
      <c r="D15762" s="3">
        <v>1.0</v>
      </c>
    </row>
    <row r="15763" ht="15.75" customHeight="1">
      <c r="A15763" s="1">
        <v>16754.0</v>
      </c>
      <c r="B15763" s="3" t="s">
        <v>14971</v>
      </c>
      <c r="C15763" s="3" t="str">
        <f>IFERROR(__xludf.DUMMYFUNCTION("GOOGLETRANSLATE(B15763,""id"",""en"")"),"['pig', 'signal', 'jdi', 'ugly', 'bngt', 'kapok']")</f>
        <v>['pig', 'signal', 'jdi', 'ugly', 'bngt', 'kapok']</v>
      </c>
      <c r="D15763" s="3">
        <v>1.0</v>
      </c>
    </row>
    <row r="15764" ht="15.75" customHeight="1">
      <c r="A15764" s="1">
        <v>16755.0</v>
      </c>
      <c r="B15764" s="3" t="s">
        <v>14972</v>
      </c>
      <c r="C15764" s="3" t="str">
        <f>IFERROR(__xludf.DUMMYFUNCTION("GOOGLETRANSLATE(B15764,""id"",""en"")"),"['Please', 'Sorry', 'Telkomsel', 'news',' signal ',' Telkomsel ',' signal ',' ugly ',' really ',' Please ',' Telkomsel ',' comfort ',' signal ',' super ',' best ',' customer ',' citizen ',' customer ',' moved ',' heart ',' ayok ',' telkomsel ',' please ',"&amp;"' deh ',' best ' , 'Please', 'Sorry', 'Great', 'Thanks']")</f>
        <v>['Please', 'Sorry', 'Telkomsel', 'news',' signal ',' Telkomsel ',' signal ',' ugly ',' really ',' Please ',' Telkomsel ',' comfort ',' signal ',' super ',' best ',' customer ',' citizen ',' customer ',' moved ',' heart ',' ayok ',' telkomsel ',' please ',' deh ',' best ' , 'Please', 'Sorry', 'Great', 'Thanks']</v>
      </c>
      <c r="D15764" s="3">
        <v>1.0</v>
      </c>
    </row>
    <row r="15765" ht="15.75" customHeight="1">
      <c r="A15765" s="1">
        <v>16756.0</v>
      </c>
      <c r="B15765" s="3" t="s">
        <v>14973</v>
      </c>
      <c r="C15765" s="3" t="str">
        <f>IFERROR(__xludf.DUMMYFUNCTION("GOOGLETRANSLATE(B15765,""id"",""en"")"),"['Not bad', 'pulses', 'reduced', 'buy', 'quota']")</f>
        <v>['Not bad', 'pulses', 'reduced', 'buy', 'quota']</v>
      </c>
      <c r="D15765" s="3">
        <v>3.0</v>
      </c>
    </row>
    <row r="15766" ht="15.75" customHeight="1">
      <c r="A15766" s="1">
        <v>16757.0</v>
      </c>
      <c r="B15766" s="3" t="s">
        <v>14974</v>
      </c>
      <c r="C15766" s="3" t="str">
        <f>IFERROR(__xludf.DUMMYFUNCTION("GOOGLETRANSLATE(B15766,""id"",""en"")"),"['Helpful', 'People']")</f>
        <v>['Helpful', 'People']</v>
      </c>
      <c r="D15766" s="3">
        <v>5.0</v>
      </c>
    </row>
    <row r="15767" ht="15.75" customHeight="1">
      <c r="A15767" s="1">
        <v>16758.0</v>
      </c>
      <c r="B15767" s="3" t="s">
        <v>14975</v>
      </c>
      <c r="C15767" s="3" t="str">
        <f>IFERROR(__xludf.DUMMYFUNCTION("GOOGLETRANSLATE(B15767,""id"",""en"")"),"['min', 'love', 'device', 'device', 'support', 'update', 'update', 'application', 'version', 'newest', 'display', 'MyTelkomsel', ' White ',' Screen ',' screen ',' white ',' some ',' device ',' cellular ',' admin ',' fix ',' update ',' version ',' managed "&amp;"',' open ' , 'Please', 'Segara', 'Fix', 'Fix', 'Thank', 'Love']")</f>
        <v>['min', 'love', 'device', 'device', 'support', 'update', 'update', 'application', 'version', 'newest', 'display', 'MyTelkomsel', ' White ',' Screen ',' screen ',' white ',' some ',' device ',' cellular ',' admin ',' fix ',' update ',' version ',' managed ',' open ' , 'Please', 'Segara', 'Fix', 'Fix', 'Thank', 'Love']</v>
      </c>
      <c r="D15767" s="3">
        <v>2.0</v>
      </c>
    </row>
    <row r="15768" ht="15.75" customHeight="1">
      <c r="A15768" s="1">
        <v>16759.0</v>
      </c>
      <c r="B15768" s="3" t="s">
        <v>729</v>
      </c>
      <c r="C15768" s="3" t="str">
        <f>IFERROR(__xludf.DUMMYFUNCTION("GOOGLETRANSLATE(B15768,""id"",""en"")"),"['open', '']")</f>
        <v>['open', '']</v>
      </c>
      <c r="D15768" s="3">
        <v>5.0</v>
      </c>
    </row>
    <row r="15769" ht="15.75" customHeight="1">
      <c r="A15769" s="1">
        <v>16760.0</v>
      </c>
      <c r="B15769" s="3" t="s">
        <v>14976</v>
      </c>
      <c r="C15769" s="3" t="str">
        <f>IFERROR(__xludf.DUMMYFUNCTION("GOOGLETRANSLATE(B15769,""id"",""en"")"),"['Satisfied', 'Application', 'Telkomsel', 'Mejangmuda', 'Purchase', 'Credit', 'Data', 'Cellular', 'Anyway', 'Telkomsel', 'Mantap']")</f>
        <v>['Satisfied', 'Application', 'Telkomsel', 'Mejangmuda', 'Purchase', 'Credit', 'Data', 'Cellular', 'Anyway', 'Telkomsel', 'Mantap']</v>
      </c>
      <c r="D15769" s="3">
        <v>5.0</v>
      </c>
    </row>
    <row r="15770" ht="15.75" customHeight="1">
      <c r="A15770" s="1">
        <v>16761.0</v>
      </c>
      <c r="B15770" s="3" t="s">
        <v>14977</v>
      </c>
      <c r="C15770" s="3" t="str">
        <f>IFERROR(__xludf.DUMMYFUNCTION("GOOGLETRANSLATE(B15770,""id"",""en"")"),"['experience', 'usage', 'bad', 'package', 'expensive', 'network', 'according to', 'price', 'package', 'Indosat', 'network', 'Udh', ' broad ',' moved ',' provider ',' ']")</f>
        <v>['experience', 'usage', 'bad', 'package', 'expensive', 'network', 'according to', 'price', 'package', 'Indosat', 'network', 'Udh', ' broad ',' moved ',' provider ',' ']</v>
      </c>
      <c r="D15770" s="3">
        <v>1.0</v>
      </c>
    </row>
    <row r="15771" ht="15.75" customHeight="1">
      <c r="A15771" s="1">
        <v>16762.0</v>
      </c>
      <c r="B15771" s="3" t="s">
        <v>14978</v>
      </c>
      <c r="C15771" s="3" t="str">
        <f>IFERROR(__xludf.DUMMYFUNCTION("GOOGLETRANSLATE(B15771,""id"",""en"")"),"['The application', 'broken']")</f>
        <v>['The application', 'broken']</v>
      </c>
      <c r="D15771" s="3">
        <v>1.0</v>
      </c>
    </row>
    <row r="15772" ht="15.75" customHeight="1">
      <c r="A15772" s="1">
        <v>16763.0</v>
      </c>
      <c r="B15772" s="3" t="s">
        <v>14979</v>
      </c>
      <c r="C15772" s="3" t="str">
        <f>IFERROR(__xludf.DUMMYFUNCTION("GOOGLETRANSLATE(B15772,""id"",""en"")"),"['Gabisa', 'Open', 'The application', 'Open', 'Application', 'Telkomsel', 'already', 'Benerin', 'cave', 'love', 'star', ""]")</f>
        <v>['Gabisa', 'Open', 'The application', 'Open', 'Application', 'Telkomsel', 'already', 'Benerin', 'cave', 'love', 'star', "]</v>
      </c>
      <c r="D15772" s="3">
        <v>1.0</v>
      </c>
    </row>
    <row r="15773" ht="15.75" customHeight="1">
      <c r="A15773" s="1">
        <v>16764.0</v>
      </c>
      <c r="B15773" s="3" t="s">
        <v>3533</v>
      </c>
      <c r="C15773" s="3" t="str">
        <f>IFERROR(__xludf.DUMMYFUNCTION("GOOGLETRANSLATE(B15773,""id"",""en"")"),"['change point']")</f>
        <v>['change point']</v>
      </c>
      <c r="D15773" s="3">
        <v>5.0</v>
      </c>
    </row>
    <row r="15774" ht="15.75" customHeight="1">
      <c r="A15774" s="1">
        <v>16765.0</v>
      </c>
      <c r="B15774" s="3" t="s">
        <v>14980</v>
      </c>
      <c r="C15774" s="3" t="str">
        <f>IFERROR(__xludf.DUMMYFUNCTION("GOOGLETRANSLATE(B15774,""id"",""en"")"),"['Network', 'Please', 'Increase']")</f>
        <v>['Network', 'Please', 'Increase']</v>
      </c>
      <c r="D15774" s="3">
        <v>3.0</v>
      </c>
    </row>
    <row r="15775" ht="15.75" customHeight="1">
      <c r="A15775" s="1">
        <v>16766.0</v>
      </c>
      <c r="B15775" s="3" t="s">
        <v>14981</v>
      </c>
      <c r="C15775" s="3" t="str">
        <f>IFERROR(__xludf.DUMMYFUNCTION("GOOGLETRANSLATE(B15775,""id"",""en"")"),"['Severe', 'sekrang', 'bda', 'high school', 'dlu', 'jringan']")</f>
        <v>['Severe', 'sekrang', 'bda', 'high school', 'dlu', 'jringan']</v>
      </c>
      <c r="D15775" s="3">
        <v>1.0</v>
      </c>
    </row>
    <row r="15776" ht="15.75" customHeight="1">
      <c r="A15776" s="1">
        <v>16767.0</v>
      </c>
      <c r="B15776" s="3" t="s">
        <v>14982</v>
      </c>
      <c r="C15776" s="3" t="str">
        <f>IFERROR(__xludf.DUMMYFUNCTION("GOOGLETRANSLATE(B15776,""id"",""en"")"),"['Broken', 'TELKOM', 'BERES', 'management', 'late', 'Customer', 'blur', 'fix', 'System', ""]")</f>
        <v>['Broken', 'TELKOM', 'BERES', 'management', 'late', 'Customer', 'blur', 'fix', 'System', "]</v>
      </c>
      <c r="D15776" s="3">
        <v>2.0</v>
      </c>
    </row>
    <row r="15777" ht="15.75" customHeight="1">
      <c r="A15777" s="1">
        <v>16768.0</v>
      </c>
      <c r="B15777" s="3" t="s">
        <v>14983</v>
      </c>
      <c r="C15777" s="3" t="str">
        <f>IFERROR(__xludf.DUMMYFUNCTION("GOOGLETRANSLATE(B15777,""id"",""en"")"),"['Application', 'Telkomsel', 'Bugus', '']")</f>
        <v>['Application', 'Telkomsel', 'Bugus', '']</v>
      </c>
      <c r="D15777" s="3">
        <v>5.0</v>
      </c>
    </row>
    <row r="15778" ht="15.75" customHeight="1">
      <c r="A15778" s="1">
        <v>16769.0</v>
      </c>
      <c r="B15778" s="3" t="s">
        <v>14984</v>
      </c>
      <c r="C15778" s="3" t="str">
        <f>IFERROR(__xludf.DUMMYFUNCTION("GOOGLETRANSLATE(B15778,""id"",""en"")"),"['slow', 'slow', 'quality', 'internet', 'g', '']")</f>
        <v>['slow', 'slow', 'quality', 'internet', 'g', '']</v>
      </c>
      <c r="D15778" s="3">
        <v>1.0</v>
      </c>
    </row>
    <row r="15779" ht="15.75" customHeight="1">
      <c r="A15779" s="1">
        <v>16770.0</v>
      </c>
      <c r="B15779" s="3" t="s">
        <v>14985</v>
      </c>
      <c r="C15779" s="3" t="str">
        <f>IFERROR(__xludf.DUMMYFUNCTION("GOOGLETRANSLATE(B15779,""id"",""en"")"),"['Sis', 'Out', 'Update', 'Telkom', 'right', 'Login', 'Ngeblank', '']")</f>
        <v>['Sis', 'Out', 'Update', 'Telkom', 'right', 'Login', 'Ngeblank', '']</v>
      </c>
      <c r="D15779" s="3">
        <v>2.0</v>
      </c>
    </row>
    <row r="15780" ht="15.75" customHeight="1">
      <c r="A15780" s="1">
        <v>16771.0</v>
      </c>
      <c r="B15780" s="3" t="s">
        <v>14986</v>
      </c>
      <c r="C15780" s="3" t="str">
        <f>IFERROR(__xludf.DUMMYFUNCTION("GOOGLETRANSLATE(B15780,""id"",""en"")"),"['oath', 'telkom', 'leg', 'severe', 'replace', 'card', 'bro', 'tri', 'smooth', 'please', 'telkom']")</f>
        <v>['oath', 'telkom', 'leg', 'severe', 'replace', 'card', 'bro', 'tri', 'smooth', 'please', 'telkom']</v>
      </c>
      <c r="D15780" s="3">
        <v>1.0</v>
      </c>
    </row>
    <row r="15781" ht="15.75" customHeight="1">
      <c r="A15781" s="1">
        <v>16772.0</v>
      </c>
      <c r="B15781" s="3" t="s">
        <v>14987</v>
      </c>
      <c r="C15781" s="3" t="str">
        <f>IFERROR(__xludf.DUMMYFUNCTION("GOOGLETRANSLATE(B15781,""id"",""en"")"),"['balance', 'pulse', 'truncated', 'Tanla', 'notification', 'quota', 'internet', 'use', 'tekomsel', 'all', 'operator']")</f>
        <v>['balance', 'pulse', 'truncated', 'Tanla', 'notification', 'quota', 'internet', 'use', 'tekomsel', 'all', 'operator']</v>
      </c>
      <c r="D15781" s="3">
        <v>1.0</v>
      </c>
    </row>
    <row r="15782" ht="15.75" customHeight="1">
      <c r="A15782" s="1">
        <v>16773.0</v>
      </c>
      <c r="B15782" s="3" t="s">
        <v>14988</v>
      </c>
      <c r="C15782" s="3" t="str">
        <f>IFERROR(__xludf.DUMMYFUNCTION("GOOGLETRANSLATE(B15782,""id"",""en"")"),"['KPD', 'Dear', 'Telkomsel', 'Customer', 'Telkomsel', 'a month', 'Telkomsel', 'Disruption', 'Signal', 'Buy', 'Package', 'Monthly', ' expensive ',' difficult ',' action ',' stop ',' Telkomsel ',' ']")</f>
        <v>['KPD', 'Dear', 'Telkomsel', 'Customer', 'Telkomsel', 'a month', 'Telkomsel', 'Disruption', 'Signal', 'Buy', 'Package', 'Monthly', ' expensive ',' difficult ',' action ',' stop ',' Telkomsel ',' ']</v>
      </c>
      <c r="D15782" s="3">
        <v>1.0</v>
      </c>
    </row>
    <row r="15783" ht="15.75" customHeight="1">
      <c r="A15783" s="1">
        <v>16774.0</v>
      </c>
      <c r="B15783" s="3" t="s">
        <v>14989</v>
      </c>
      <c r="C15783" s="3" t="str">
        <f>IFERROR(__xludf.DUMMYFUNCTION("GOOGLETRANSLATE(B15783,""id"",""en"")"),"['sympathy', 'rich', 'already', 'expensive', 'signal', 'meek', 'ujan', 'pasahal', 'city', 'bogor', 'severe', 'good', ' Bye ',' Telkomsel ',' Kluarga ',' fix ',' moved ',' laen ',' provider ']")</f>
        <v>['sympathy', 'rich', 'already', 'expensive', 'signal', 'meek', 'ujan', 'pasahal', 'city', 'bogor', 'severe', 'good', ' Bye ',' Telkomsel ',' Kluarga ',' fix ',' moved ',' laen ',' provider ']</v>
      </c>
      <c r="D15783" s="3">
        <v>1.0</v>
      </c>
    </row>
    <row r="15784" ht="15.75" customHeight="1">
      <c r="A15784" s="1">
        <v>16775.0</v>
      </c>
      <c r="B15784" s="3" t="s">
        <v>14990</v>
      </c>
      <c r="C15784" s="3" t="str">
        <f>IFERROR(__xludf.DUMMYFUNCTION("GOOGLETRANSLATE(B15784,""id"",""en"")"),"['', 'Telkomsel', 'impression', 'waaaahhhh', 'buy', 'package', 'data', 'pay', 'ovo', 'data', 'no', 'add', 'balance ',' Ovo ',' collapse ',' kapok ',' ask ',' Telkomsel ',' requirements', 'ask', 'ovo', 'told', 'ask', 'Telkomsel', 'cave', 'Ask', 'Dukun', ''"&amp;"]")</f>
        <v>['', 'Telkomsel', 'impression', 'waaaahhhh', 'buy', 'package', 'data', 'pay', 'ovo', 'data', 'no', 'add', 'balance ',' Ovo ',' collapse ',' kapok ',' ask ',' Telkomsel ',' requirements', 'ask', 'ovo', 'told', 'ask', 'Telkomsel', 'cave', 'Ask', 'Dukun', '']</v>
      </c>
      <c r="D15784" s="3">
        <v>5.0</v>
      </c>
    </row>
    <row r="15785" ht="15.75" customHeight="1">
      <c r="A15785" s="1">
        <v>16777.0</v>
      </c>
      <c r="B15785" s="3" t="s">
        <v>14991</v>
      </c>
      <c r="C15785" s="3" t="str">
        <f>IFERROR(__xludf.DUMMYFUNCTION("GOOGLETRANSLATE(B15785,""id"",""en"")"),"['Severe', 'Telkomselku', 'Gabsa', 'Open']")</f>
        <v>['Severe', 'Telkomselku', 'Gabsa', 'Open']</v>
      </c>
      <c r="D15785" s="3">
        <v>1.0</v>
      </c>
    </row>
    <row r="15786" ht="15.75" customHeight="1">
      <c r="A15786" s="1">
        <v>16778.0</v>
      </c>
      <c r="B15786" s="3" t="s">
        <v>14992</v>
      </c>
      <c r="C15786" s="3" t="str">
        <f>IFERROR(__xludf.DUMMYFUNCTION("GOOGLETRANSLATE(B15786,""id"",""en"")"),"['The network', 'please', 'stable']")</f>
        <v>['The network', 'please', 'stable']</v>
      </c>
      <c r="D15786" s="3">
        <v>5.0</v>
      </c>
    </row>
    <row r="15787" ht="15.75" customHeight="1">
      <c r="A15787" s="1">
        <v>16779.0</v>
      </c>
      <c r="B15787" s="3" t="s">
        <v>100</v>
      </c>
      <c r="C15787" s="3" t="str">
        <f>IFERROR(__xludf.DUMMYFUNCTION("GOOGLETRANSLATE(B15787,""id"",""en"")"),"['star']")</f>
        <v>['star']</v>
      </c>
      <c r="D15787" s="3">
        <v>1.0</v>
      </c>
    </row>
    <row r="15788" ht="15.75" customHeight="1">
      <c r="A15788" s="1">
        <v>16780.0</v>
      </c>
      <c r="B15788" s="3" t="s">
        <v>14993</v>
      </c>
      <c r="C15788" s="3" t="str">
        <f>IFERROR(__xludf.DUMMYFUNCTION("GOOGLETRANSLATE(B15788,""id"",""en"")"),"['Internet', 'Not bad', 'Gercep', 'Out', 'Update', 'Application', 'Telkomsel', 'Dipake', 'Alias', 'blank']")</f>
        <v>['Internet', 'Not bad', 'Gercep', 'Out', 'Update', 'Application', 'Telkomsel', 'Dipake', 'Alias', 'blank']</v>
      </c>
      <c r="D15788" s="3">
        <v>3.0</v>
      </c>
    </row>
    <row r="15789" ht="15.75" customHeight="1">
      <c r="A15789" s="1">
        <v>16781.0</v>
      </c>
      <c r="B15789" s="3" t="s">
        <v>14994</v>
      </c>
      <c r="C15789" s="3" t="str">
        <f>IFERROR(__xludf.DUMMYFUNCTION("GOOGLETRANSLATE(B15789,""id"",""en"")"),"['Really', 'Sales', 'Say "",' Change ',' Card ',' Hello ',' Gacokok ',' The card ',' Network ',' ugly ',' Dahlah ',' Nipu ',' People ',' blessings', ""]")</f>
        <v>['Really', 'Sales', 'Say ",' Change ',' Card ',' Hello ',' Gacokok ',' The card ',' Network ',' ugly ',' Dahlah ',' Nipu ',' People ',' blessings', "]</v>
      </c>
      <c r="D15789" s="3">
        <v>1.0</v>
      </c>
    </row>
    <row r="15790" ht="15.75" customHeight="1">
      <c r="A15790" s="1">
        <v>16782.0</v>
      </c>
      <c r="B15790" s="3" t="s">
        <v>14995</v>
      </c>
      <c r="C15790" s="3" t="str">
        <f>IFERROR(__xludf.DUMMYFUNCTION("GOOGLETRANSLATE(B15790,""id"",""en"")"),"['Telkomsel', 'big one', 'super', 'mntp']")</f>
        <v>['Telkomsel', 'big one', 'super', 'mntp']</v>
      </c>
      <c r="D15790" s="3">
        <v>5.0</v>
      </c>
    </row>
    <row r="15791" ht="15.75" customHeight="1">
      <c r="A15791" s="1">
        <v>16783.0</v>
      </c>
      <c r="B15791" s="3" t="s">
        <v>14996</v>
      </c>
      <c r="C15791" s="3" t="str">
        <f>IFERROR(__xludf.DUMMYFUNCTION("GOOGLETRANSLATE(B15791,""id"",""en"")"),"['Telkomsel', 'Taik', 'The net', 'Dipelek', 'Package', 'Expensive', 'Disconnected', 'Removed', 'Ngakak', 'DPKIR', 'CART', 'Doang', ' Bgus', 'moved', 'card', 'AXIS', 'MAH', 'GB', 'Snyital', 'Ama', 'Tlkom', 'Dri', 'Tlkom', 'Taik', 'expensive' , 'TPI', 'QUAL"&amp;"ITY']")</f>
        <v>['Telkomsel', 'Taik', 'The net', 'Dipelek', 'Package', 'Expensive', 'Disconnected', 'Removed', 'Ngakak', 'DPKIR', 'CART', 'Doang', ' Bgus', 'moved', 'card', 'AXIS', 'MAH', 'GB', 'Snyital', 'Ama', 'Tlkom', 'Dri', 'Tlkom', 'Taik', 'expensive' , 'TPI', 'QUALITY']</v>
      </c>
      <c r="D15791" s="3">
        <v>1.0</v>
      </c>
    </row>
    <row r="15792" ht="15.75" customHeight="1">
      <c r="A15792" s="1">
        <v>16784.0</v>
      </c>
      <c r="B15792" s="3" t="s">
        <v>14997</v>
      </c>
      <c r="C15792" s="3" t="str">
        <f>IFERROR(__xludf.DUMMYFUNCTION("GOOGLETRANSLATE(B15792,""id"",""en"")"),"['Min', 'Please', 'Fix', 'Complaints', 'Queue', 'Okay', 'Wait', 'Wait', 'Wait', 'Chat', 'Bales', ""]")</f>
        <v>['Min', 'Please', 'Fix', 'Complaints', 'Queue', 'Okay', 'Wait', 'Wait', 'Wait', 'Chat', 'Bales', "]</v>
      </c>
      <c r="D15792" s="3">
        <v>3.0</v>
      </c>
    </row>
    <row r="15793" ht="15.75" customHeight="1">
      <c r="A15793" s="1">
        <v>16785.0</v>
      </c>
      <c r="B15793" s="3" t="s">
        <v>14998</v>
      </c>
      <c r="C15793" s="3" t="str">
        <f>IFERROR(__xludf.DUMMYFUNCTION("GOOGLETRANSLATE(B15793,""id"",""en"")"),"['like', 'really', 'application', 'buy', 'pulse', 'buy', 'package', 'easy', 'choice', 'promo', ""]")</f>
        <v>['like', 'really', 'application', 'buy', 'pulse', 'buy', 'package', 'easy', 'choice', 'promo', "]</v>
      </c>
      <c r="D15793" s="3">
        <v>5.0</v>
      </c>
    </row>
    <row r="15794" ht="15.75" customHeight="1">
      <c r="A15794" s="1">
        <v>16786.0</v>
      </c>
      <c r="B15794" s="3" t="s">
        <v>14999</v>
      </c>
      <c r="C15794" s="3" t="str">
        <f>IFERROR(__xludf.DUMMYFUNCTION("GOOGLETRANSLATE(B15794,""id"",""en"")"),"['Quality', 'according to', 'star', 'love', 'awokawok', ""]")</f>
        <v>['Quality', 'according to', 'star', 'love', 'awokawok', "]</v>
      </c>
      <c r="D15794" s="3">
        <v>1.0</v>
      </c>
    </row>
    <row r="15795" ht="15.75" customHeight="1">
      <c r="A15795" s="1">
        <v>16787.0</v>
      </c>
      <c r="B15795" s="3" t="s">
        <v>2171</v>
      </c>
      <c r="C15795" s="3" t="str">
        <f>IFERROR(__xludf.DUMMYFUNCTION("GOOGLETRANSLATE(B15795,""id"",""en"")"),"['Prizes']")</f>
        <v>['Prizes']</v>
      </c>
      <c r="D15795" s="3">
        <v>5.0</v>
      </c>
    </row>
    <row r="15796" ht="15.75" customHeight="1">
      <c r="A15796" s="1">
        <v>16788.0</v>
      </c>
      <c r="B15796" s="3" t="s">
        <v>15000</v>
      </c>
      <c r="C15796" s="3" t="str">
        <f>IFERROR(__xludf.DUMMYFUNCTION("GOOGLETRANSLATE(B15796,""id"",""en"")"),"['updet', 'open', 'updet', 'open', 'what', '']")</f>
        <v>['updet', 'open', 'updet', 'open', 'what', '']</v>
      </c>
      <c r="D15796" s="3">
        <v>1.0</v>
      </c>
    </row>
    <row r="15797" ht="15.75" customHeight="1">
      <c r="A15797" s="1">
        <v>16789.0</v>
      </c>
      <c r="B15797" s="3" t="s">
        <v>15001</v>
      </c>
      <c r="C15797" s="3" t="str">
        <f>IFERROR(__xludf.DUMMYFUNCTION("GOOGLETRANSLATE(B15797,""id"",""en"")"),"['Please', 'Sorry', 'Taste', 'Maen', 'Dalem', 'Goa', 'Yeee', 'City', 'big', 'Lohh', 'Signal', 'Get', ' Emang ',' Telkomsel ',' ugly ',' ']")</f>
        <v>['Please', 'Sorry', 'Taste', 'Maen', 'Dalem', 'Goa', 'Yeee', 'City', 'big', 'Lohh', 'Signal', 'Get', ' Emang ',' Telkomsel ',' ugly ',' ']</v>
      </c>
      <c r="D15797" s="3">
        <v>1.0</v>
      </c>
    </row>
    <row r="15798" ht="15.75" customHeight="1">
      <c r="A15798" s="1">
        <v>16790.0</v>
      </c>
      <c r="B15798" s="3" t="s">
        <v>15002</v>
      </c>
      <c r="C15798" s="3" t="str">
        <f>IFERROR(__xludf.DUMMYFUNCTION("GOOGLETRANSLATE(B15798,""id"",""en"")"),"['signal', 'good', 'slow', 'really']")</f>
        <v>['signal', 'good', 'slow', 'really']</v>
      </c>
      <c r="D15798" s="3">
        <v>1.0</v>
      </c>
    </row>
    <row r="15799" ht="15.75" customHeight="1">
      <c r="A15799" s="1">
        <v>16791.0</v>
      </c>
      <c r="B15799" s="3" t="s">
        <v>15003</v>
      </c>
      <c r="C15799" s="3" t="str">
        <f>IFERROR(__xludf.DUMMYFUNCTION("GOOGLETRANSLATE(B15799,""id"",""en"")"),"['Destroyed', 'family', 'turned', 'card', 'prime', 'next door', 'congratulations', 'stay', 'network', 'clearssss']")</f>
        <v>['Destroyed', 'family', 'turned', 'card', 'prime', 'next door', 'congratulations', 'stay', 'network', 'clearssss']</v>
      </c>
      <c r="D15799" s="3">
        <v>1.0</v>
      </c>
    </row>
    <row r="15800" ht="15.75" customHeight="1">
      <c r="A15800" s="1">
        <v>16792.0</v>
      </c>
      <c r="B15800" s="3" t="s">
        <v>15004</v>
      </c>
      <c r="C15800" s="3" t="str">
        <f>IFERROR(__xludf.DUMMYFUNCTION("GOOGLETRANSLATE(B15800,""id"",""en"")"),"['Glad', 'really', 'application', 'Telkomsel', 'buy', 'package', 'check', 'pulse', 'package', 'please', 'changed', 'change', ' The package ',' cheap ',' person ',' person ',' Please ',' Sorry ',' Developers', 'Since', 'MyTelkomsel', 'Updated', 'No', 'Ngin"&amp;"stall', 'Update' , 'No', 'appears', 'menu', 'please', 'Linerin', 'Developers']")</f>
        <v>['Glad', 'really', 'application', 'Telkomsel', 'buy', 'package', 'check', 'pulse', 'package', 'please', 'changed', 'change', ' The package ',' cheap ',' person ',' person ',' Please ',' Sorry ',' Developers', 'Since', 'MyTelkomsel', 'Updated', 'No', 'Nginstall', 'Update' , 'No', 'appears', 'menu', 'please', 'Linerin', 'Developers']</v>
      </c>
      <c r="D15800" s="3">
        <v>5.0</v>
      </c>
    </row>
    <row r="15801" ht="15.75" customHeight="1">
      <c r="A15801" s="1">
        <v>16793.0</v>
      </c>
      <c r="B15801" s="3" t="s">
        <v>15005</v>
      </c>
      <c r="C15801" s="3" t="str">
        <f>IFERROR(__xludf.DUMMYFUNCTION("GOOGLETRANSLATE(B15801,""id"",""en"")"),"['knpa', 'right', 'open', 'color', 'white', 'ajh', 'pdhl', 'package', 'internet', 'msh', 'byk', 'jga', ' BSA ',' TPI ',' Update ',' Nggk ',' Enter ',' Please ',' Fix ',' ']")</f>
        <v>['knpa', 'right', 'open', 'color', 'white', 'ajh', 'pdhl', 'package', 'internet', 'msh', 'byk', 'jga', ' BSA ',' TPI ',' Update ',' Nggk ',' Enter ',' Please ',' Fix ',' ']</v>
      </c>
      <c r="D15801" s="3">
        <v>1.0</v>
      </c>
    </row>
    <row r="15802" ht="15.75" customHeight="1">
      <c r="A15802" s="1">
        <v>16794.0</v>
      </c>
      <c r="B15802" s="3" t="s">
        <v>15006</v>
      </c>
      <c r="C15802" s="3" t="str">
        <f>IFERROR(__xludf.DUMMYFUNCTION("GOOGLETRANSLATE(B15802,""id"",""en"")"),"['Telkomsel', 'Severe', 'Network', 'Internet', 'Ngadat', 'Mulu', 'Gedek', 'Mahh', 'Bagusan', 'Package', ""]")</f>
        <v>['Telkomsel', 'Severe', 'Network', 'Internet', 'Ngadat', 'Mulu', 'Gedek', 'Mahh', 'Bagusan', 'Package', "]</v>
      </c>
      <c r="D15802" s="3">
        <v>1.0</v>
      </c>
    </row>
    <row r="15803" ht="15.75" customHeight="1">
      <c r="A15803" s="1">
        <v>16795.0</v>
      </c>
      <c r="B15803" s="3" t="s">
        <v>15007</v>
      </c>
      <c r="C15803" s="3" t="str">
        <f>IFERROR(__xludf.DUMMYFUNCTION("GOOGLETRANSLATE(B15803,""id"",""en"")"),"['sipp', 'star', 'talk', 'star', 'judge', ""]")</f>
        <v>['sipp', 'star', 'talk', 'star', 'judge', "]</v>
      </c>
      <c r="D15803" s="3">
        <v>5.0</v>
      </c>
    </row>
    <row r="15804" ht="15.75" customHeight="1">
      <c r="A15804" s="1">
        <v>16796.0</v>
      </c>
      <c r="B15804" s="3" t="s">
        <v>15008</v>
      </c>
      <c r="C15804" s="3" t="str">
        <f>IFERROR(__xludf.DUMMYFUNCTION("GOOGLETRANSLATE(B15804,""id"",""en"")"),"['screen', 'apk', 'white', 'udh', 'gini', 'please', 'response']")</f>
        <v>['screen', 'apk', 'white', 'udh', 'gini', 'please', 'response']</v>
      </c>
      <c r="D15804" s="3">
        <v>1.0</v>
      </c>
    </row>
    <row r="15805" ht="15.75" customHeight="1">
      <c r="A15805" s="1">
        <v>16797.0</v>
      </c>
      <c r="B15805" s="3" t="s">
        <v>15009</v>
      </c>
      <c r="C15805" s="3" t="str">
        <f>IFERROR(__xludf.DUMMYFUNCTION("GOOGLETRANSLATE(B15805,""id"",""en"")"),"['loyal', 'use', 'card', 'Hello']")</f>
        <v>['loyal', 'use', 'card', 'Hello']</v>
      </c>
      <c r="D15805" s="3">
        <v>5.0</v>
      </c>
    </row>
    <row r="15806" ht="15.75" customHeight="1">
      <c r="A15806" s="1">
        <v>16798.0</v>
      </c>
      <c r="B15806" s="3" t="s">
        <v>15010</v>
      </c>
      <c r="C15806" s="3" t="str">
        <f>IFERROR(__xludf.DUMMYFUNCTION("GOOGLETRANSLATE(B15806,""id"",""en"")"),"['Sorry', 'signal', 'Telkomsel', 'missing', 'losing', 'buy', 'package', 'expensive', 'expensive', 'FUP', 'useful', 'thank', ' Love ',' Telkomsel ',' Change ',' SIM ']")</f>
        <v>['Sorry', 'signal', 'Telkomsel', 'missing', 'losing', 'buy', 'package', 'expensive', 'expensive', 'FUP', 'useful', 'thank', ' Love ',' Telkomsel ',' Change ',' SIM ']</v>
      </c>
      <c r="D15806" s="3">
        <v>1.0</v>
      </c>
    </row>
    <row r="15807" ht="15.75" customHeight="1">
      <c r="A15807" s="1">
        <v>16799.0</v>
      </c>
      <c r="B15807" s="3" t="s">
        <v>15011</v>
      </c>
      <c r="C15807" s="3" t="str">
        <f>IFERROR(__xludf.DUMMYFUNCTION("GOOGLETRANSLATE(B15807,""id"",""en"")"),"['Please', 'Paketan', 'Quota', 'Credit', 'Ludesin', 'Open', 'Apps',' Telkomsel ',' Sampe ',' Out ',' Remnant ',' Credit ',' devoured ',' severe ',' really ',' packagein ',' quota ',' failed ',' pulses', 'cut', 'please', 'activated', 'package', 'do', 'free"&amp;"' , '']")</f>
        <v>['Please', 'Paketan', 'Quota', 'Credit', 'Ludesin', 'Open', 'Apps',' Telkomsel ',' Sampe ',' Out ',' Remnant ',' Credit ',' devoured ',' severe ',' really ',' packagein ',' quota ',' failed ',' pulses', 'cut', 'please', 'activated', 'package', 'do', 'free' , '']</v>
      </c>
      <c r="D15807" s="3">
        <v>1.0</v>
      </c>
    </row>
    <row r="15808" ht="15.75" customHeight="1">
      <c r="A15808" s="1">
        <v>16800.0</v>
      </c>
      <c r="B15808" s="3" t="s">
        <v>15012</v>
      </c>
      <c r="C15808" s="3" t="str">
        <f>IFERROR(__xludf.DUMMYFUNCTION("GOOGLETRANSLATE(B15808,""id"",""en"")"),"['APL', 'Telkomsel', 'Open', '']")</f>
        <v>['APL', 'Telkomsel', 'Open', '']</v>
      </c>
      <c r="D15808" s="3">
        <v>1.0</v>
      </c>
    </row>
    <row r="15809" ht="15.75" customHeight="1">
      <c r="A15809" s="1">
        <v>16801.0</v>
      </c>
      <c r="B15809" s="3" t="s">
        <v>15013</v>
      </c>
      <c r="C15809" s="3" t="str">
        <f>IFERROR(__xludf.DUMMYFUNCTION("GOOGLETRANSLATE(B15809,""id"",""en"")"),"['Level', 'Quality', 'Network']")</f>
        <v>['Level', 'Quality', 'Network']</v>
      </c>
      <c r="D15809" s="3">
        <v>5.0</v>
      </c>
    </row>
    <row r="15810" ht="15.75" customHeight="1">
      <c r="A15810" s="1">
        <v>16802.0</v>
      </c>
      <c r="B15810" s="3" t="s">
        <v>15014</v>
      </c>
      <c r="C15810" s="3" t="str">
        <f>IFERROR(__xludf.DUMMYFUNCTION("GOOGLETRANSLATE(B15810,""id"",""en"")"),"['Telkomsel', 'Maling', 'pulse', 'yaa', 'good', 'job']")</f>
        <v>['Telkomsel', 'Maling', 'pulse', 'yaa', 'good', 'job']</v>
      </c>
      <c r="D15810" s="3">
        <v>1.0</v>
      </c>
    </row>
    <row r="15811" ht="15.75" customHeight="1">
      <c r="A15811" s="1">
        <v>16803.0</v>
      </c>
      <c r="B15811" s="3" t="s">
        <v>15015</v>
      </c>
      <c r="C15811" s="3" t="str">
        <f>IFERROR(__xludf.DUMMYFUNCTION("GOOGLETRANSLATE(B15811,""id"",""en"")"),"['sorry', 'blank', 'white', 'week', 'Please', 'repaired', 'difficult', 'packagein', 'data', ""]")</f>
        <v>['sorry', 'blank', 'white', 'week', 'Please', 'repaired', 'difficult', 'packagein', 'data', "]</v>
      </c>
      <c r="D15811" s="3">
        <v>1.0</v>
      </c>
    </row>
    <row r="15812" ht="15.75" customHeight="1">
      <c r="A15812" s="1">
        <v>16804.0</v>
      </c>
      <c r="B15812" s="3" t="s">
        <v>15016</v>
      </c>
      <c r="C15812" s="3" t="str">
        <f>IFERROR(__xludf.DUMMYFUNCTION("GOOGLETRANSLATE(B15812,""id"",""en"")"),"['Network', 'Ngilak', 'battered', 'forgiveness',' signal ',' fake ',' full ',' TPI ',' network ',' Kek ',' already ',' paid ',' Expensive ',' package ',' Bela ',' Belain ',' Krna ',' Good ',' Disaster ']")</f>
        <v>['Network', 'Ngilak', 'battered', 'forgiveness',' signal ',' fake ',' full ',' TPI ',' network ',' Kek ',' already ',' paid ',' Expensive ',' package ',' Bela ',' Belain ',' Krna ',' Good ',' Disaster ']</v>
      </c>
      <c r="D15812" s="3">
        <v>1.0</v>
      </c>
    </row>
    <row r="15813" ht="15.75" customHeight="1">
      <c r="A15813" s="1">
        <v>16805.0</v>
      </c>
      <c r="B15813" s="3" t="s">
        <v>15017</v>
      </c>
      <c r="C15813" s="3" t="str">
        <f>IFERROR(__xludf.DUMMYFUNCTION("GOOGLETRANSLATE(B15813,""id"",""en"")"),"['', 'contents', 'pulse', 'enter', 'enter', 'cok']")</f>
        <v>['', 'contents', 'pulse', 'enter', 'enter', 'cok']</v>
      </c>
      <c r="D15813" s="3">
        <v>5.0</v>
      </c>
    </row>
    <row r="15814" ht="15.75" customHeight="1">
      <c r="A15814" s="1">
        <v>16806.0</v>
      </c>
      <c r="B15814" s="3" t="s">
        <v>15018</v>
      </c>
      <c r="C15814" s="3" t="str">
        <f>IFERROR(__xludf.DUMMYFUNCTION("GOOGLETRANSLATE(B15814,""id"",""en"")"),"['Admin', 'Goblokkkkk', 'prayer', 'fast', 'bankrupt', 'telkomsel', 'donlod', 'application', 'mlh', 'blly', 'sms', ""]")</f>
        <v>['Admin', 'Goblokkkkk', 'prayer', 'fast', 'bankrupt', 'telkomsel', 'donlod', 'application', 'mlh', 'blly', 'sms', "]</v>
      </c>
      <c r="D15814" s="3">
        <v>1.0</v>
      </c>
    </row>
    <row r="15815" ht="15.75" customHeight="1">
      <c r="A15815" s="1">
        <v>16807.0</v>
      </c>
      <c r="B15815" s="3" t="s">
        <v>15019</v>
      </c>
      <c r="C15815" s="3" t="str">
        <f>IFERROR(__xludf.DUMMYFUNCTION("GOOGLETRANSLATE(B15815,""id"",""en"")"),"['', 'mqntap']")</f>
        <v>['', 'mqntap']</v>
      </c>
      <c r="D15815" s="3">
        <v>5.0</v>
      </c>
    </row>
    <row r="15816" ht="15.75" customHeight="1">
      <c r="A15816" s="1">
        <v>16808.0</v>
      </c>
      <c r="B15816" s="3" t="s">
        <v>15020</v>
      </c>
      <c r="C15816" s="3" t="str">
        <f>IFERROR(__xludf.DUMMYFUNCTION("GOOGLETRANSLATE(B15816,""id"",""en"")"),"['', 'enter', 'Telkom', 'please']")</f>
        <v>['', 'enter', 'Telkom', 'please']</v>
      </c>
      <c r="D15816" s="3">
        <v>1.0</v>
      </c>
    </row>
    <row r="15817" ht="15.75" customHeight="1">
      <c r="A15817" s="1">
        <v>16809.0</v>
      </c>
      <c r="B15817" s="3" t="s">
        <v>15021</v>
      </c>
      <c r="C15817" s="3" t="str">
        <f>IFERROR(__xludf.DUMMYFUNCTION("GOOGLETRANSLATE(B15817,""id"",""en"")"),"['network', 'slow', 'price', 'quota', 'expensive', '']")</f>
        <v>['network', 'slow', 'price', 'quota', 'expensive', '']</v>
      </c>
      <c r="D15817" s="3">
        <v>1.0</v>
      </c>
    </row>
    <row r="15818" ht="15.75" customHeight="1">
      <c r="A15818" s="1">
        <v>16810.0</v>
      </c>
      <c r="B15818" s="3" t="s">
        <v>15022</v>
      </c>
      <c r="C15818" s="3" t="str">
        <f>IFERROR(__xludf.DUMMYFUNCTION("GOOGLETRANSLATE(B15818,""id"",""en"")"),"['', 'Mytelkomsel', 'cave', 'kaga', 'login', 'sihhhhhhhhhhhhhhh']")</f>
        <v>['', 'Mytelkomsel', 'cave', 'kaga', 'login', 'sihhhhhhhhhhhhhhh']</v>
      </c>
      <c r="D15818" s="3">
        <v>5.0</v>
      </c>
    </row>
    <row r="15819" ht="15.75" customHeight="1">
      <c r="A15819" s="1">
        <v>16811.0</v>
      </c>
      <c r="B15819" s="3" t="s">
        <v>15023</v>
      </c>
      <c r="C15819" s="3" t="str">
        <f>IFERROR(__xludf.DUMMYFUNCTION("GOOGLETRANSLATE(B15819,""id"",""en"")"),"['beautiful']")</f>
        <v>['beautiful']</v>
      </c>
      <c r="D15819" s="3">
        <v>5.0</v>
      </c>
    </row>
    <row r="15820" ht="15.75" customHeight="1">
      <c r="A15820" s="1">
        <v>16812.0</v>
      </c>
      <c r="B15820" s="3" t="s">
        <v>15024</v>
      </c>
      <c r="C15820" s="3" t="str">
        <f>IFERROR(__xludf.DUMMYFUNCTION("GOOGLETRANSLATE(B15820,""id"",""en"")"),"['expensive', 'price', 'package']")</f>
        <v>['expensive', 'price', 'package']</v>
      </c>
      <c r="D15820" s="3">
        <v>1.0</v>
      </c>
    </row>
    <row r="15821" ht="15.75" customHeight="1">
      <c r="A15821" s="1">
        <v>16813.0</v>
      </c>
      <c r="B15821" s="3" t="s">
        <v>15025</v>
      </c>
      <c r="C15821" s="3" t="str">
        <f>IFERROR(__xludf.DUMMYFUNCTION("GOOGLETRANSLATE(B15821,""id"",""en"")"),"['Opened', 'weird']")</f>
        <v>['Opened', 'weird']</v>
      </c>
      <c r="D15821" s="3">
        <v>1.0</v>
      </c>
    </row>
    <row r="15822" ht="15.75" customHeight="1">
      <c r="A15822" s="1">
        <v>16814.0</v>
      </c>
      <c r="B15822" s="3" t="s">
        <v>15026</v>
      </c>
      <c r="C15822" s="3" t="str">
        <f>IFERROR(__xludf.DUMMYFUNCTION("GOOGLETRANSLATE(B15822,""id"",""en"")"),"['Min', 'Application', 'MyTelkomsel', 'Opened', 'Please', 'Help']")</f>
        <v>['Min', 'Application', 'MyTelkomsel', 'Opened', 'Please', 'Help']</v>
      </c>
      <c r="D15822" s="3">
        <v>4.0</v>
      </c>
    </row>
    <row r="15823" ht="15.75" customHeight="1">
      <c r="A15823" s="1">
        <v>16815.0</v>
      </c>
      <c r="B15823" s="3" t="s">
        <v>15027</v>
      </c>
      <c r="C15823" s="3" t="str">
        <f>IFERROR(__xludf.DUMMYFUNCTION("GOOGLETRANSLATE(B15823,""id"",""en"")"),"['The application', 'right', 'open', 'just', 'screen', 'white', 'doang']")</f>
        <v>['The application', 'right', 'open', 'just', 'screen', 'white', 'doang']</v>
      </c>
      <c r="D15823" s="3">
        <v>1.0</v>
      </c>
    </row>
    <row r="15824" ht="15.75" customHeight="1">
      <c r="A15824" s="1">
        <v>16816.0</v>
      </c>
      <c r="B15824" s="3" t="s">
        <v>15028</v>
      </c>
      <c r="C15824" s="3" t="str">
        <f>IFERROR(__xludf.DUMMYFUNCTION("GOOGLETRANSLATE(B15824,""id"",""en"")"),"['slow', 'signal', '']")</f>
        <v>['slow', 'signal', '']</v>
      </c>
      <c r="D15824" s="3">
        <v>1.0</v>
      </c>
    </row>
    <row r="15825" ht="15.75" customHeight="1">
      <c r="A15825" s="1">
        <v>16817.0</v>
      </c>
      <c r="B15825" s="3" t="s">
        <v>15029</v>
      </c>
      <c r="C15825" s="3" t="str">
        <f>IFERROR(__xludf.DUMMYFUNCTION("GOOGLETRANSLATE(B15825,""id"",""en"")"),"['Disappointed', 'Siyala', 'Telkomsel', 'Telkomsel', 'Please', 'Siyala', 'Jangn', 'DTK', 'NGPAIN', 'KLAU', 'Strength', 'Siyala', ' SPRTI ',' If ',' Siyala ',' Daeraku ',' Berni ',' Wear ',' Siyala ',' Telkomsel ',' Disappointed ']")</f>
        <v>['Disappointed', 'Siyala', 'Telkomsel', 'Telkomsel', 'Please', 'Siyala', 'Jangn', 'DTK', 'NGPAIN', 'KLAU', 'Strength', 'Siyala', ' SPRTI ',' If ',' Siyala ',' Daeraku ',' Berni ',' Wear ',' Siyala ',' Telkomsel ',' Disappointed ']</v>
      </c>
      <c r="D15825" s="3">
        <v>1.0</v>
      </c>
    </row>
    <row r="15826" ht="15.75" customHeight="1">
      <c r="A15826" s="1">
        <v>16818.0</v>
      </c>
      <c r="B15826" s="3" t="s">
        <v>15030</v>
      </c>
      <c r="C15826" s="3" t="str">
        <f>IFERROR(__xludf.DUMMYFUNCTION("GOOGLETRANSLATE(B15826,""id"",""en"")"),"['Telkomsel', 'signal', 'slow']")</f>
        <v>['Telkomsel', 'signal', 'slow']</v>
      </c>
      <c r="D15826" s="3">
        <v>1.0</v>
      </c>
    </row>
    <row r="15827" ht="15.75" customHeight="1">
      <c r="A15827" s="1">
        <v>16819.0</v>
      </c>
      <c r="B15827" s="3" t="s">
        <v>15031</v>
      </c>
      <c r="C15827" s="3" t="str">
        <f>IFERROR(__xludf.DUMMYFUNCTION("GOOGLETRANSLATE(B15827,""id"",""en"")"),"['Increases',' Quality ',' multiptenizes', 'share', 'sustenance', 'package', 'quota', 'pulse', 'gift', 'etc.', 'customer', 'status',' MBR ',' Telkomsel ',' Mandatory ',' Ingredients', 'Application', 'Karna', 'Leet', 'Open', 'Leet', 'Move', 'Menu', 'Leet',"&amp;" 'Provider' , 'Leet', 'The application', 'Salam', '']")</f>
        <v>['Increases',' Quality ',' multiptenizes', 'share', 'sustenance', 'package', 'quota', 'pulse', 'gift', 'etc.', 'customer', 'status',' MBR ',' Telkomsel ',' Mandatory ',' Ingredients', 'Application', 'Karna', 'Leet', 'Open', 'Leet', 'Move', 'Menu', 'Leet', 'Provider' , 'Leet', 'The application', 'Salam', '']</v>
      </c>
      <c r="D15827" s="3">
        <v>4.0</v>
      </c>
    </row>
    <row r="15828" ht="15.75" customHeight="1">
      <c r="A15828" s="1">
        <v>16820.0</v>
      </c>
      <c r="B15828" s="3" t="s">
        <v>15032</v>
      </c>
      <c r="C15828" s="3" t="str">
        <f>IFERROR(__xludf.DUMMYFUNCTION("GOOGLETRANSLATE(B15828,""id"",""en"")"),"['application', 'useful', 'open', 'a day', 'opened', 'a day', 'open', 'update', 'quality', 'quota', 'finished', 'pulses',' run out ',' inedible ',' package ',' detrimental ',' customer ',' please ',' review ',' policy ',' detrimental ',' customer ']")</f>
        <v>['application', 'useful', 'open', 'a day', 'opened', 'a day', 'open', 'update', 'quality', 'quota', 'finished', 'pulses',' run out ',' inedible ',' package ',' detrimental ',' customer ',' please ',' review ',' policy ',' detrimental ',' customer ']</v>
      </c>
      <c r="D15828" s="3">
        <v>1.0</v>
      </c>
    </row>
    <row r="15829" ht="15.75" customHeight="1">
      <c r="A15829" s="1">
        <v>16822.0</v>
      </c>
      <c r="B15829" s="3" t="s">
        <v>15033</v>
      </c>
      <c r="C15829" s="3" t="str">
        <f>IFERROR(__xludf.DUMMYFUNCTION("GOOGLETRANSLATE(B15829,""id"",""en"")"),"['APK', 'opened', 'Uninstall', 'Install', 'open', ""]")</f>
        <v>['APK', 'opened', 'Uninstall', 'Install', 'open', "]</v>
      </c>
      <c r="D15829" s="3">
        <v>1.0</v>
      </c>
    </row>
    <row r="15830" ht="15.75" customHeight="1">
      <c r="A15830" s="1">
        <v>16823.0</v>
      </c>
      <c r="B15830" s="3" t="s">
        <v>15034</v>
      </c>
      <c r="C15830" s="3" t="str">
        <f>IFERROR(__xludf.DUMMYFUNCTION("GOOGLETRANSLATE(B15830,""id"",""en"")"),"['Telkomsel', 'SERBA', 'HASTEMER', 'Castemer', 'Srong', 'Kouta', 'Internet', 'Credit', 'Efficient', 'SERBA', 'Systems',' Telkomsel ',' Credit ',' Take ',' replace ',' loss', 'claim', 'user', 'Telkomsel', ""]")</f>
        <v>['Telkomsel', 'SERBA', 'HASTEMER', 'Castemer', 'Srong', 'Kouta', 'Internet', 'Credit', 'Efficient', 'SERBA', 'Systems',' Telkomsel ',' Credit ',' Take ',' replace ',' loss', 'claim', 'user', 'Telkomsel', "]</v>
      </c>
      <c r="D15830" s="3">
        <v>1.0</v>
      </c>
    </row>
    <row r="15831" ht="15.75" customHeight="1">
      <c r="A15831" s="1">
        <v>16824.0</v>
      </c>
      <c r="B15831" s="3" t="s">
        <v>15035</v>
      </c>
      <c r="C15831" s="3" t="str">
        <f>IFERROR(__xludf.DUMMYFUNCTION("GOOGLETRANSLATE(B15831,""id"",""en"")"),"['Alhamdulillah', 'already', 'love', 'point', 'tdak', 'entered', 'tdik', 'sya', 'already', 'tkar', 'hope', 'sya', ' Lucky ',' prizes', 'Amin', 'Thank', 'Love', ""]")</f>
        <v>['Alhamdulillah', 'already', 'love', 'point', 'tdak', 'entered', 'tdik', 'sya', 'already', 'tkar', 'hope', 'sya', ' Lucky ',' prizes', 'Amin', 'Thank', 'Love', "]</v>
      </c>
      <c r="D15831" s="3">
        <v>5.0</v>
      </c>
    </row>
    <row r="15832" ht="15.75" customHeight="1">
      <c r="A15832" s="1">
        <v>16825.0</v>
      </c>
      <c r="B15832" s="3" t="s">
        <v>15036</v>
      </c>
      <c r="C15832" s="3" t="str">
        <f>IFERROR(__xludf.DUMMYFUNCTION("GOOGLETRANSLATE(B15832,""id"",""en"")"),"['Severe', 'really', 'Telkomsel', 'lose', 'smartfren', 'already', 'rich', 'smooth']")</f>
        <v>['Severe', 'really', 'Telkomsel', 'lose', 'smartfren', 'already', 'rich', 'smooth']</v>
      </c>
      <c r="D15832" s="3">
        <v>1.0</v>
      </c>
    </row>
    <row r="15833" ht="15.75" customHeight="1">
      <c r="A15833" s="1">
        <v>16826.0</v>
      </c>
      <c r="B15833" s="3" t="s">
        <v>15037</v>
      </c>
      <c r="C15833" s="3" t="str">
        <f>IFERROR(__xludf.DUMMYFUNCTION("GOOGLETRANSLATE(B15833,""id"",""en"")"),"['Please', 'Fix', 'Signal', 'Region', 'Bengkulu', 'City', 'Stable']")</f>
        <v>['Please', 'Fix', 'Signal', 'Region', 'Bengkulu', 'City', 'Stable']</v>
      </c>
      <c r="D15833" s="3">
        <v>1.0</v>
      </c>
    </row>
    <row r="15834" ht="15.75" customHeight="1">
      <c r="A15834" s="1">
        <v>16827.0</v>
      </c>
      <c r="B15834" s="3" t="s">
        <v>15038</v>
      </c>
      <c r="C15834" s="3" t="str">
        <f>IFERROR(__xludf.DUMMYFUNCTION("GOOGLETRANSLATE(B15834,""id"",""en"")"),"['Kayak', 'then', 'price', 'package', 'internety']")</f>
        <v>['Kayak', 'then', 'price', 'package', 'internety']</v>
      </c>
      <c r="D15834" s="3">
        <v>1.0</v>
      </c>
    </row>
    <row r="15835" ht="15.75" customHeight="1">
      <c r="A15835" s="1">
        <v>16828.0</v>
      </c>
      <c r="B15835" s="3" t="s">
        <v>15039</v>
      </c>
      <c r="C15835" s="3" t="str">
        <f>IFERROR(__xludf.DUMMYFUNCTION("GOOGLETRANSLATE(B15835,""id"",""en"")"),"['satisfying', 'because' Oaka ',' card ',' Telkomsel ',' ']")</f>
        <v>['satisfying', 'because' Oaka ',' card ',' Telkomsel ',' ']</v>
      </c>
      <c r="D15835" s="3">
        <v>5.0</v>
      </c>
    </row>
    <row r="15836" ht="15.75" customHeight="1">
      <c r="A15836" s="1">
        <v>16829.0</v>
      </c>
      <c r="B15836" s="3" t="s">
        <v>1167</v>
      </c>
      <c r="C15836" s="3" t="str">
        <f>IFERROR(__xludf.DUMMYFUNCTION("GOOGLETRANSLATE(B15836,""id"",""en"")"),"['help']")</f>
        <v>['help']</v>
      </c>
      <c r="D15836" s="3">
        <v>5.0</v>
      </c>
    </row>
    <row r="15837" ht="15.75" customHeight="1">
      <c r="A15837" s="1">
        <v>16830.0</v>
      </c>
      <c r="B15837" s="3" t="s">
        <v>15040</v>
      </c>
      <c r="C15837" s="3" t="str">
        <f>IFERROR(__xludf.DUMMYFUNCTION("GOOGLETRANSLATE(B15837,""id"",""en"")"),"['Severe', 'Telkomsel', 'Price', 'Mahalin', 'Sousal', 'here', 'Ngilk', 'ugly']")</f>
        <v>['Severe', 'Telkomsel', 'Price', 'Mahalin', 'Sousal', 'here', 'Ngilk', 'ugly']</v>
      </c>
      <c r="D15837" s="3">
        <v>1.0</v>
      </c>
    </row>
    <row r="15838" ht="15.75" customHeight="1">
      <c r="A15838" s="1">
        <v>16831.0</v>
      </c>
      <c r="B15838" s="3" t="s">
        <v>15041</v>
      </c>
      <c r="C15838" s="3" t="str">
        <f>IFERROR(__xludf.DUMMYFUNCTION("GOOGLETRANSLATE(B15838,""id"",""en"")"),"['Package', 'expensive', 'Network', 'Good', 'Useful', 'Pantesan', 'BUMN', 'Bankrupt', 'HR', 'Low', 'Maginya', 'Country', ' KLW ',' BUMN ',' Letoy ']")</f>
        <v>['Package', 'expensive', 'Network', 'Good', 'Useful', 'Pantesan', 'BUMN', 'Bankrupt', 'HR', 'Low', 'Maginya', 'Country', ' KLW ',' BUMN ',' Letoy ']</v>
      </c>
      <c r="D15838" s="3">
        <v>1.0</v>
      </c>
    </row>
    <row r="15839" ht="15.75" customHeight="1">
      <c r="A15839" s="1">
        <v>16832.0</v>
      </c>
      <c r="B15839" s="3" t="s">
        <v>15042</v>
      </c>
      <c r="C15839" s="3" t="str">
        <f>IFERROR(__xludf.DUMMYFUNCTION("GOOGLETRANSLATE(B15839,""id"",""en"")"),"['Deceived', 'Seduction', 'Speed', 'Tight', 'Prove', 'City', 'Sampe', 'Village', 'Choose', 'Speed', 'Keong', 'Speed', ' Telkomsel ']")</f>
        <v>['Deceived', 'Seduction', 'Speed', 'Tight', 'Prove', 'City', 'Sampe', 'Village', 'Choose', 'Speed', 'Keong', 'Speed', ' Telkomsel ']</v>
      </c>
      <c r="D15839" s="3">
        <v>1.0</v>
      </c>
    </row>
    <row r="15840" ht="15.75" customHeight="1">
      <c r="A15840" s="1">
        <v>16833.0</v>
      </c>
      <c r="B15840" s="3" t="s">
        <v>15043</v>
      </c>
      <c r="C15840" s="3" t="str">
        <f>IFERROR(__xludf.DUMMYFUNCTION("GOOGLETRANSLATE(B15840,""id"",""en"")"),"['Improved', 'org', 'easy', 'enter', 'easy', 'buy', 'data']")</f>
        <v>['Improved', 'org', 'easy', 'enter', 'easy', 'buy', 'data']</v>
      </c>
      <c r="D15840" s="3">
        <v>5.0</v>
      </c>
    </row>
    <row r="15841" ht="15.75" customHeight="1">
      <c r="A15841" s="1">
        <v>16834.0</v>
      </c>
      <c r="B15841" s="3" t="s">
        <v>15044</v>
      </c>
      <c r="C15841" s="3" t="str">
        <f>IFERROR(__xludf.DUMMYFUNCTION("GOOGLETRANSLATE(B15841,""id"",""en"")"),"['Severe', 'really', 'update', 'open']")</f>
        <v>['Severe', 'really', 'update', 'open']</v>
      </c>
      <c r="D15841" s="3">
        <v>1.0</v>
      </c>
    </row>
    <row r="15842" ht="15.75" customHeight="1">
      <c r="A15842" s="1">
        <v>16835.0</v>
      </c>
      <c r="B15842" s="3" t="s">
        <v>15045</v>
      </c>
      <c r="C15842" s="3" t="str">
        <f>IFERROR(__xludf.DUMMYFUNCTION("GOOGLETRANSLATE(B15842,""id"",""en"")"),"['Update', 'Application', 'Jadiscren', 'White', 'Open', 'Out', 'Update', 'Update', 'Application', 'Kadus',' Liat ',' Response ',' Clarity ',' ']")</f>
        <v>['Update', 'Application', 'Jadiscren', 'White', 'Open', 'Out', 'Update', 'Update', 'Application', 'Kadus',' Liat ',' Response ',' Clarity ',' ']</v>
      </c>
      <c r="D15842" s="3">
        <v>1.0</v>
      </c>
    </row>
    <row r="15843" ht="15.75" customHeight="1">
      <c r="A15843" s="1">
        <v>16836.0</v>
      </c>
      <c r="B15843" s="3" t="s">
        <v>15046</v>
      </c>
      <c r="C15843" s="3" t="str">
        <f>IFERROR(__xludf.DUMMYFUNCTION("GOOGLETRANSLATE(B15843,""id"",""en"")"),"['use', 'card', 'sympathy', 'Lma', 'digunakn', 'yesterday', 'phone', 'on behalf of', 'card', 'hello', 'moved', 'card', ' card ',' sympathy ',' action ',' Telkomsel ',' facility ',' pull out ',' move ',' card ',' hello ',' please ',' love ',' info ',' his "&amp;"subordinate ' , 'Bener', 'Sympathy', 'Disable', 'Use', 'PKAI', 'Trunctions', 'Activities', 'Dri', 'Banking', 'Etc.']")</f>
        <v>['use', 'card', 'sympathy', 'Lma', 'digunakn', 'yesterday', 'phone', 'on behalf of', 'card', 'hello', 'moved', 'card', ' card ',' sympathy ',' action ',' Telkomsel ',' facility ',' pull out ',' move ',' card ',' hello ',' please ',' love ',' info ',' his subordinate ' , 'Bener', 'Sympathy', 'Disable', 'Use', 'PKAI', 'Trunctions', 'Activities', 'Dri', 'Banking', 'Etc.']</v>
      </c>
      <c r="D15843" s="3">
        <v>1.0</v>
      </c>
    </row>
    <row r="15844" ht="15.75" customHeight="1">
      <c r="A15844" s="1">
        <v>16837.0</v>
      </c>
      <c r="B15844" s="3" t="s">
        <v>15047</v>
      </c>
      <c r="C15844" s="3" t="str">
        <f>IFERROR(__xludf.DUMMYFUNCTION("GOOGLETRANSLATE(B15844,""id"",""en"")"),"['Application', 'opened', 'Samsung', 'Mohan', 'Developer', 'Terbang', 'Overcome', 'APK', 'Open', 'Color', 'White', 'Appear', ' screen', '']")</f>
        <v>['Application', 'opened', 'Samsung', 'Mohan', 'Developer', 'Terbang', 'Overcome', 'APK', 'Open', 'Color', 'White', 'Appear', ' screen', '']</v>
      </c>
      <c r="D15844" s="3">
        <v>1.0</v>
      </c>
    </row>
    <row r="15845" ht="15.75" customHeight="1">
      <c r="A15845" s="1">
        <v>16838.0</v>
      </c>
      <c r="B15845" s="3" t="s">
        <v>15048</v>
      </c>
      <c r="C15845" s="3" t="str">
        <f>IFERROR(__xludf.DUMMYFUNCTION("GOOGLETRANSLATE(B15845,""id"",""en"")"),"['Satisfied', 'App', 'Telkomsel']")</f>
        <v>['Satisfied', 'App', 'Telkomsel']</v>
      </c>
      <c r="D15845" s="3">
        <v>5.0</v>
      </c>
    </row>
    <row r="15846" ht="15.75" customHeight="1">
      <c r="A15846" s="1">
        <v>16839.0</v>
      </c>
      <c r="B15846" s="3" t="s">
        <v>15049</v>
      </c>
      <c r="C15846" s="3" t="str">
        <f>IFERROR(__xludf.DUMMYFUNCTION("GOOGLETRANSLATE(B15846,""id"",""en"")"),"['interesting', 'gift', 'check', 'daily']")</f>
        <v>['interesting', 'gift', 'check', 'daily']</v>
      </c>
      <c r="D15846" s="3">
        <v>5.0</v>
      </c>
    </row>
    <row r="15847" ht="15.75" customHeight="1">
      <c r="A15847" s="1">
        <v>16840.0</v>
      </c>
      <c r="B15847" s="3" t="s">
        <v>15050</v>
      </c>
      <c r="C15847" s="3" t="str">
        <f>IFERROR(__xludf.DUMMYFUNCTION("GOOGLETRANSLATE(B15847,""id"",""en"")"),"['Magic', 'Link', 'What', 'Try', 'Login', 'Difficult', 'Fitting', 'Opened', 'Link', 'Choice', 'Application', 'Open', ' Please, 'Features', 'Multi', 'Account', 'Double', 'Login', 'Number', 'Telkomsel', 'Yes', 'Application', 'Number', 'Telkomsel', 'Feature'"&amp;" , 'Rich', 'Gini', 'kagak', 'contacted', 'via', 'bot', 'doang', 'person', 'gatau', 'where', ""]")</f>
        <v>['Magic', 'Link', 'What', 'Try', 'Login', 'Difficult', 'Fitting', 'Opened', 'Link', 'Choice', 'Application', 'Open', ' Please, 'Features', 'Multi', 'Account', 'Double', 'Login', 'Number', 'Telkomsel', 'Yes', 'Application', 'Number', 'Telkomsel', 'Feature' , 'Rich', 'Gini', 'kagak', 'contacted', 'via', 'bot', 'doang', 'person', 'gatau', 'where', "]</v>
      </c>
      <c r="D15847" s="3">
        <v>1.0</v>
      </c>
    </row>
    <row r="15848" ht="15.75" customHeight="1">
      <c r="A15848" s="1">
        <v>16841.0</v>
      </c>
      <c r="B15848" s="3" t="s">
        <v>15051</v>
      </c>
      <c r="C15848" s="3" t="str">
        <f>IFERROR(__xludf.DUMMYFUNCTION("GOOGLETRANSLATE(B15848,""id"",""en"")"),"['', 'opened', 'updet']")</f>
        <v>['', 'opened', 'updet']</v>
      </c>
      <c r="D15848" s="3">
        <v>5.0</v>
      </c>
    </row>
    <row r="15849" ht="15.75" customHeight="1">
      <c r="A15849" s="1">
        <v>16842.0</v>
      </c>
      <c r="B15849" s="3" t="s">
        <v>15052</v>
      </c>
      <c r="C15849" s="3" t="str">
        <f>IFERROR(__xludf.DUMMYFUNCTION("GOOGLETRANSLATE(B15849,""id"",""en"")"),"['signal', 'gajelas', 'pig', 'entered', 'smooth', 'ngeggame', 'ngellag', 'run out', 'green', 'red', 'red', 'green']")</f>
        <v>['signal', 'gajelas', 'pig', 'entered', 'smooth', 'ngeggame', 'ngellag', 'run out', 'green', 'red', 'red', 'green']</v>
      </c>
      <c r="D15849" s="3">
        <v>1.0</v>
      </c>
    </row>
    <row r="15850" ht="15.75" customHeight="1">
      <c r="A15850" s="1">
        <v>16843.0</v>
      </c>
      <c r="B15850" s="3" t="s">
        <v>15053</v>
      </c>
      <c r="C15850" s="3" t="str">
        <f>IFERROR(__xludf.DUMMYFUNCTION("GOOGLETRANSLATE(B15850,""id"",""en"")"),"['morning', 'noon', 'afternoon', 'night', 'buy', 'package', 'told him', 'repeat', 'minutes',' buy ',' describe ',' veranda ',' ']")</f>
        <v>['morning', 'noon', 'afternoon', 'night', 'buy', 'package', 'told him', 'repeat', 'minutes',' buy ',' describe ',' veranda ',' ']</v>
      </c>
      <c r="D15850" s="3">
        <v>5.0</v>
      </c>
    </row>
    <row r="15851" ht="15.75" customHeight="1">
      <c r="A15851" s="1">
        <v>16844.0</v>
      </c>
      <c r="B15851" s="3" t="s">
        <v>15054</v>
      </c>
      <c r="C15851" s="3" t="str">
        <f>IFERROR(__xludf.DUMMYFUNCTION("GOOGLETRANSLATE(B15851,""id"",""en"")"),"['Network', 'Telkomsel', 'getting', 'Virus',' Corona ',' Network ',' Telkomsel ',' City ',' Kampung ',' Leet ',' Closed ',' Telkomsel ',' ']")</f>
        <v>['Network', 'Telkomsel', 'getting', 'Virus',' Corona ',' Network ',' Telkomsel ',' City ',' Kampung ',' Leet ',' Closed ',' Telkomsel ',' ']</v>
      </c>
      <c r="D15851" s="3">
        <v>1.0</v>
      </c>
    </row>
    <row r="15852" ht="15.75" customHeight="1">
      <c r="A15852" s="1">
        <v>16845.0</v>
      </c>
      <c r="B15852" s="3" t="s">
        <v>15055</v>
      </c>
      <c r="C15852" s="3" t="str">
        <f>IFERROR(__xludf.DUMMYFUNCTION("GOOGLETRANSLATE(B15852,""id"",""en"")"),"['What', 'the application', 'already', 'open', 'already', 'delete', 'download', 'open', 'app']")</f>
        <v>['What', 'the application', 'already', 'open', 'already', 'delete', 'download', 'open', 'app']</v>
      </c>
      <c r="D15852" s="3">
        <v>1.0</v>
      </c>
    </row>
    <row r="15853" ht="15.75" customHeight="1">
      <c r="A15853" s="1">
        <v>16846.0</v>
      </c>
      <c r="B15853" s="3" t="s">
        <v>15056</v>
      </c>
      <c r="C15853" s="3" t="str">
        <f>IFERROR(__xludf.DUMMYFUNCTION("GOOGLETRANSLATE(B15853,""id"",""en"")"),"['Good', 'Uncomfortable', 'Open', 'Rich', 'Voice', 'Radio', 'Signal', 'Litu', 'Nth', 'emng', 'bug', 'features',' Because ',' UDH ',' Search ',' Tetep ',' Nemu ',' Her Missing ']")</f>
        <v>['Good', 'Uncomfortable', 'Open', 'Rich', 'Voice', 'Radio', 'Signal', 'Litu', 'Nth', 'emng', 'bug', 'features',' Because ',' UDH ',' Search ',' Tetep ',' Nemu ',' Her Missing ']</v>
      </c>
      <c r="D15853" s="3">
        <v>3.0</v>
      </c>
    </row>
    <row r="15854" ht="15.75" customHeight="1">
      <c r="A15854" s="1">
        <v>16847.0</v>
      </c>
      <c r="B15854" s="3" t="s">
        <v>15057</v>
      </c>
      <c r="C15854" s="3" t="str">
        <f>IFERROR(__xludf.DUMMYFUNCTION("GOOGLETRANSLATE(B15854,""id"",""en"")"),"['recommended', 'family']")</f>
        <v>['recommended', 'family']</v>
      </c>
      <c r="D15854" s="3">
        <v>5.0</v>
      </c>
    </row>
    <row r="15855" ht="15.75" customHeight="1">
      <c r="A15855" s="1">
        <v>16848.0</v>
      </c>
      <c r="B15855" s="3" t="s">
        <v>15058</v>
      </c>
      <c r="C15855" s="3" t="str">
        <f>IFERROR(__xludf.DUMMYFUNCTION("GOOGLETRANSLATE(B15855,""id"",""en"")"),"['Increase', 'equalization', 'promo']")</f>
        <v>['Increase', 'equalization', 'promo']</v>
      </c>
      <c r="D15855" s="3">
        <v>4.0</v>
      </c>
    </row>
    <row r="15856" ht="15.75" customHeight="1">
      <c r="A15856" s="1">
        <v>16849.0</v>
      </c>
      <c r="B15856" s="3" t="s">
        <v>15059</v>
      </c>
      <c r="C15856" s="3" t="str">
        <f>IFERROR(__xludf.DUMMYFUNCTION("GOOGLETRANSLATE(B15856,""id"",""en"")"),"['application', 'opened', 'connection', 'internet', 'disturbed', 'hope', 'overcome', 'annoying', ""]")</f>
        <v>['application', 'opened', 'connection', 'internet', 'disturbed', 'hope', 'overcome', 'annoying', "]</v>
      </c>
      <c r="D15856" s="3">
        <v>1.0</v>
      </c>
    </row>
    <row r="15857" ht="15.75" customHeight="1">
      <c r="A15857" s="1">
        <v>16850.0</v>
      </c>
      <c r="B15857" s="3" t="s">
        <v>15060</v>
      </c>
      <c r="C15857" s="3" t="str">
        <f>IFERROR(__xludf.DUMMYFUNCTION("GOOGLETRANSLATE(B15857,""id"",""en"")"),"['list', 'package', 'combo', 'saktinya', 'list', 'time', 'combo', 'saktinya', 'price', 'package', 'expensive', 'expensive', ' difficult ',' open ',' YouTube ',' send ',' WhatsApp ',' difficult ',' sent ']")</f>
        <v>['list', 'package', 'combo', 'saktinya', 'list', 'time', 'combo', 'saktinya', 'price', 'package', 'expensive', 'expensive', ' difficult ',' open ',' YouTube ',' send ',' WhatsApp ',' difficult ',' sent ']</v>
      </c>
      <c r="D15857" s="3">
        <v>1.0</v>
      </c>
    </row>
    <row r="15858" ht="15.75" customHeight="1">
      <c r="A15858" s="1">
        <v>16851.0</v>
      </c>
      <c r="B15858" s="3" t="s">
        <v>15061</v>
      </c>
      <c r="C15858" s="3" t="str">
        <f>IFERROR(__xludf.DUMMYFUNCTION("GOOGLETRANSLATE(B15858,""id"",""en"")"),"['Application', 'Open', 'Out', 'Update', 'Knp', '']")</f>
        <v>['Application', 'Open', 'Out', 'Update', 'Knp', '']</v>
      </c>
      <c r="D15858" s="3">
        <v>3.0</v>
      </c>
    </row>
    <row r="15859" ht="15.75" customHeight="1">
      <c r="A15859" s="1">
        <v>16852.0</v>
      </c>
      <c r="B15859" s="3" t="s">
        <v>15062</v>
      </c>
      <c r="C15859" s="3" t="str">
        <f>IFERROR(__xludf.DUMMYFUNCTION("GOOGLETRANSLATE(B15859,""id"",""en"")"),"['Application', 'help', 'customers', 'Telkomsel', 'package', 'affordable']")</f>
        <v>['Application', 'help', 'customers', 'Telkomsel', 'package', 'affordable']</v>
      </c>
      <c r="D15859" s="3">
        <v>5.0</v>
      </c>
    </row>
    <row r="15860" ht="15.75" customHeight="1">
      <c r="A15860" s="1">
        <v>16853.0</v>
      </c>
      <c r="B15860" s="3" t="s">
        <v>15063</v>
      </c>
      <c r="C15860" s="3" t="str">
        <f>IFERROR(__xludf.DUMMYFUNCTION("GOOGLETRANSLATE(B15860,""id"",""en"")"),"['Help', 'really']")</f>
        <v>['Help', 'really']</v>
      </c>
      <c r="D15860" s="3">
        <v>5.0</v>
      </c>
    </row>
    <row r="15861" ht="15.75" customHeight="1">
      <c r="A15861" s="1">
        <v>16855.0</v>
      </c>
      <c r="B15861" s="3" t="s">
        <v>15064</v>
      </c>
      <c r="C15861" s="3" t="str">
        <f>IFERROR(__xludf.DUMMYFUNCTION("GOOGLETRANSLATE(B15861,""id"",""en"")"),"['Update', 'The application', 'Open', '']")</f>
        <v>['Update', 'The application', 'Open', '']</v>
      </c>
      <c r="D15861" s="3">
        <v>2.0</v>
      </c>
    </row>
    <row r="15862" ht="15.75" customHeight="1">
      <c r="A15862" s="1">
        <v>16856.0</v>
      </c>
      <c r="B15862" s="3" t="s">
        <v>15065</v>
      </c>
      <c r="C15862" s="3" t="str">
        <f>IFERROR(__xludf.DUMMYFUNCTION("GOOGLETRANSLATE(B15862,""id"",""en"")"),"['Package', 'Help', 'Driver', 'Ojol']")</f>
        <v>['Package', 'Help', 'Driver', 'Ojol']</v>
      </c>
      <c r="D15862" s="3">
        <v>5.0</v>
      </c>
    </row>
    <row r="15863" ht="15.75" customHeight="1">
      <c r="A15863" s="1">
        <v>16857.0</v>
      </c>
      <c r="B15863" s="3" t="s">
        <v>15066</v>
      </c>
      <c r="C15863" s="3" t="str">
        <f>IFERROR(__xludf.DUMMYFUNCTION("GOOGLETRANSLATE(B15863,""id"",""en"")"),"['Knp', 'Kamasatan', 'as soon as',' Kab ',' Pangkep ',' South Sulawesi ',' The network ',' Tekomsel ',' ugly ',' really ',' Njing ',' GOBLOK ',' already ',' contents', 'data', 'expensive', 'njing', 'network', 'no', 'good', 'star', 'regret', 'ksh', 'his ne"&amp;"twork', 'asssuuuuu' ]")</f>
        <v>['Knp', 'Kamasatan', 'as soon as',' Kab ',' Pangkep ',' South Sulawesi ',' The network ',' Tekomsel ',' ugly ',' really ',' Njing ',' GOBLOK ',' already ',' contents', 'data', 'expensive', 'njing', 'network', 'no', 'good', 'star', 'regret', 'ksh', 'his network', 'asssuuuuu' ]</v>
      </c>
      <c r="D15863" s="3">
        <v>1.0</v>
      </c>
    </row>
    <row r="15864" ht="15.75" customHeight="1">
      <c r="A15864" s="1">
        <v>16858.0</v>
      </c>
      <c r="B15864" s="3" t="s">
        <v>15067</v>
      </c>
      <c r="C15864" s="3" t="str">
        <f>IFERROR(__xludf.DUMMYFUNCTION("GOOGLETRANSLATE(B15864,""id"",""en"")"),"['loyal', 'use', 'Telkomsel', '']")</f>
        <v>['loyal', 'use', 'Telkomsel', '']</v>
      </c>
      <c r="D15864" s="3">
        <v>5.0</v>
      </c>
    </row>
    <row r="15865" ht="15.75" customHeight="1">
      <c r="A15865" s="1">
        <v>16859.0</v>
      </c>
      <c r="B15865" s="3" t="s">
        <v>15068</v>
      </c>
      <c r="C15865" s="3" t="str">
        <f>IFERROR(__xludf.DUMMYFUNCTION("GOOGLETRANSLATE(B15865,""id"",""en"")"),"['send', 'email', 'enter', 'open', 'Telkomsel']")</f>
        <v>['send', 'email', 'enter', 'open', 'Telkomsel']</v>
      </c>
      <c r="D15865" s="3">
        <v>1.0</v>
      </c>
    </row>
    <row r="15866" ht="15.75" customHeight="1">
      <c r="A15866" s="1">
        <v>16861.0</v>
      </c>
      <c r="B15866" s="3" t="s">
        <v>15069</v>
      </c>
      <c r="C15866" s="3" t="str">
        <f>IFERROR(__xludf.DUMMYFUNCTION("GOOGLETRANSLATE(B15866,""id"",""en"")"),"['Telkomsel', 'BANGKRUTTTT', '']")</f>
        <v>['Telkomsel', 'BANGKRUTTTT', '']</v>
      </c>
      <c r="D15866" s="3">
        <v>1.0</v>
      </c>
    </row>
    <row r="15867" ht="15.75" customHeight="1">
      <c r="A15867" s="1">
        <v>16862.0</v>
      </c>
      <c r="B15867" s="3" t="s">
        <v>15070</v>
      </c>
      <c r="C15867" s="3" t="str">
        <f>IFERROR(__xludf.DUMMYFUNCTION("GOOGLETRANSLATE(B15867,""id"",""en"")"),"['hope', 'smooth', 'remote']")</f>
        <v>['hope', 'smooth', 'remote']</v>
      </c>
      <c r="D15867" s="3">
        <v>5.0</v>
      </c>
    </row>
    <row r="15868" ht="15.75" customHeight="1">
      <c r="A15868" s="1">
        <v>16863.0</v>
      </c>
      <c r="B15868" s="3" t="s">
        <v>15071</v>
      </c>
      <c r="C15868" s="3" t="str">
        <f>IFERROR(__xludf.DUMMYFUNCTION("GOOGLETRANSLATE(B15868,""id"",""en"")"),"['thank', 'love', 'Telkomsel', 'love', 'promo', 'quota']")</f>
        <v>['thank', 'love', 'Telkomsel', 'love', 'promo', 'quota']</v>
      </c>
      <c r="D15868" s="3">
        <v>5.0</v>
      </c>
    </row>
    <row r="15869" ht="15.75" customHeight="1">
      <c r="A15869" s="1">
        <v>16864.0</v>
      </c>
      <c r="B15869" s="3" t="s">
        <v>15072</v>
      </c>
      <c r="C15869" s="3" t="str">
        <f>IFERROR(__xludf.DUMMYFUNCTION("GOOGLETRANSLATE(B15869,""id"",""en"")"),"['Application', 'Telkomsel', 'Loading', 'Nge', 'blank', 'help', 'TEL']")</f>
        <v>['Application', 'Telkomsel', 'Loading', 'Nge', 'blank', 'help', 'TEL']</v>
      </c>
      <c r="D15869" s="3">
        <v>5.0</v>
      </c>
    </row>
    <row r="15870" ht="15.75" customHeight="1">
      <c r="A15870" s="1">
        <v>16865.0</v>
      </c>
      <c r="B15870" s="3" t="s">
        <v>15073</v>
      </c>
      <c r="C15870" s="3" t="str">
        <f>IFERROR(__xludf.DUMMYFUNCTION("GOOGLETRANSLATE(B15870,""id"",""en"")"),"['Update', 'Application', 'Opened', '']")</f>
        <v>['Update', 'Application', 'Opened', '']</v>
      </c>
      <c r="D15870" s="3">
        <v>1.0</v>
      </c>
    </row>
    <row r="15871" ht="15.75" customHeight="1">
      <c r="A15871" s="1">
        <v>16866.0</v>
      </c>
      <c r="B15871" s="3" t="s">
        <v>15074</v>
      </c>
      <c r="C15871" s="3" t="str">
        <f>IFERROR(__xludf.DUMMYFUNCTION("GOOGLETRANSLATE(B15871,""id"",""en"")"),"['paraaaaaah', 'open', 'already', 'download', 'delete', 'APK']")</f>
        <v>['paraaaaaah', 'open', 'already', 'download', 'delete', 'APK']</v>
      </c>
      <c r="D15871" s="3">
        <v>1.0</v>
      </c>
    </row>
    <row r="15872" ht="15.75" customHeight="1">
      <c r="A15872" s="1">
        <v>16868.0</v>
      </c>
      <c r="B15872" s="3" t="s">
        <v>15075</v>
      </c>
      <c r="C15872" s="3" t="str">
        <f>IFERROR(__xludf.DUMMYFUNCTION("GOOGLETRANSLATE(B15872,""id"",""en"")"),"['pleasant']")</f>
        <v>['pleasant']</v>
      </c>
      <c r="D15872" s="3">
        <v>5.0</v>
      </c>
    </row>
    <row r="15873" ht="15.75" customHeight="1">
      <c r="A15873" s="1">
        <v>16869.0</v>
      </c>
      <c r="B15873" s="3" t="s">
        <v>15076</v>
      </c>
      <c r="C15873" s="3" t="str">
        <f>IFERROR(__xludf.DUMMYFUNCTION("GOOGLETRANSLATE(B15873,""id"",""en"")"),"['knapa', 'Min', 'buy', 'voucher', 'TPI', 'on the only thing', 'pke', 'regional', 'TPI', 'seblum', 'min', 'Please', ' Info ',' min ']")</f>
        <v>['knapa', 'Min', 'buy', 'voucher', 'TPI', 'on the only thing', 'pke', 'regional', 'TPI', 'seblum', 'min', 'Please', ' Info ',' min ']</v>
      </c>
      <c r="D15873" s="3">
        <v>2.0</v>
      </c>
    </row>
    <row r="15874" ht="15.75" customHeight="1">
      <c r="A15874" s="1">
        <v>16870.0</v>
      </c>
      <c r="B15874" s="3" t="s">
        <v>15077</v>
      </c>
      <c r="C15874" s="3" t="str">
        <f>IFERROR(__xludf.DUMMYFUNCTION("GOOGLETRANSLATE(B15874,""id"",""en"")"),"['apk', 'bgus', 'signal', 'speed', 'bget', 'joos', 'dech', 'telkomsel']")</f>
        <v>['apk', 'bgus', 'signal', 'speed', 'bget', 'joos', 'dech', 'telkomsel']</v>
      </c>
      <c r="D15874" s="3">
        <v>5.0</v>
      </c>
    </row>
    <row r="15875" ht="15.75" customHeight="1">
      <c r="A15875" s="1">
        <v>16871.0</v>
      </c>
      <c r="B15875" s="3" t="s">
        <v>15078</v>
      </c>
      <c r="C15875" s="3" t="str">
        <f>IFERROR(__xludf.DUMMYFUNCTION("GOOGLETRANSLATE(B15875,""id"",""en"")"),"['opened', 'jeleeek', 'really']")</f>
        <v>['opened', 'jeleeek', 'really']</v>
      </c>
      <c r="D15875" s="3">
        <v>1.0</v>
      </c>
    </row>
    <row r="15876" ht="15.75" customHeight="1">
      <c r="A15876" s="1">
        <v>16872.0</v>
      </c>
      <c r="B15876" s="3" t="s">
        <v>15079</v>
      </c>
      <c r="C15876" s="3" t="str">
        <f>IFERROR(__xludf.DUMMYFUNCTION("GOOGLETRANSLATE(B15876,""id"",""en"")"),"['Kirain', 'Doank', 'Permible', 'Update', 'Please', 'Repaired', 'Customer', 'Setia', 'Telkomsel']")</f>
        <v>['Kirain', 'Doank', 'Permible', 'Update', 'Please', 'Repaired', 'Customer', 'Setia', 'Telkomsel']</v>
      </c>
      <c r="D15876" s="3">
        <v>1.0</v>
      </c>
    </row>
    <row r="15877" ht="15.75" customHeight="1">
      <c r="A15877" s="1">
        <v>16873.0</v>
      </c>
      <c r="B15877" s="3" t="s">
        <v>15080</v>
      </c>
      <c r="C15877" s="3" t="str">
        <f>IFERROR(__xludf.DUMMYFUNCTION("GOOGLETRANSLATE(B15877,""id"",""en"")"),"['Vampire', 'pulse', 'quota']")</f>
        <v>['Vampire', 'pulse', 'quota']</v>
      </c>
      <c r="D15877" s="3">
        <v>1.0</v>
      </c>
    </row>
    <row r="15878" ht="15.75" customHeight="1">
      <c r="A15878" s="1">
        <v>16874.0</v>
      </c>
      <c r="B15878" s="3" t="s">
        <v>15081</v>
      </c>
      <c r="C15878" s="3" t="str">
        <f>IFERROR(__xludf.DUMMYFUNCTION("GOOGLETRANSLATE(B15878,""id"",""en"")"),"['bad', 'application', 'no', 'open', 'already', 'many', 'unistal', 'install', 'reset', 'ttp', 'open', '']")</f>
        <v>['bad', 'application', 'no', 'open', 'already', 'many', 'unistal', 'install', 'reset', 'ttp', 'open', '']</v>
      </c>
      <c r="D15878" s="3">
        <v>1.0</v>
      </c>
    </row>
    <row r="15879" ht="15.75" customHeight="1">
      <c r="A15879" s="1">
        <v>16875.0</v>
      </c>
      <c r="B15879" s="3" t="s">
        <v>15082</v>
      </c>
      <c r="C15879" s="3" t="str">
        <f>IFERROR(__xludf.DUMMYFUNCTION("GOOGLETRANSLATE(B15879,""id"",""en"")"),"['quota', 'multimedia', 'slalu', 'slow', 'cok', 'please', 'repaired', 'anjenkkkk', 'user', 'me', 'disappointed', 'telkomnyet', ' ']")</f>
        <v>['quota', 'multimedia', 'slalu', 'slow', 'cok', 'please', 'repaired', 'anjenkkkk', 'user', 'me', 'disappointed', 'telkomnyet', ' ']</v>
      </c>
      <c r="D15879" s="3">
        <v>2.0</v>
      </c>
    </row>
    <row r="15880" ht="15.75" customHeight="1">
      <c r="A15880" s="1">
        <v>16876.0</v>
      </c>
      <c r="B15880" s="3" t="s">
        <v>15083</v>
      </c>
      <c r="C15880" s="3" t="str">
        <f>IFERROR(__xludf.DUMMYFUNCTION("GOOGLETRANSLATE(B15880,""id"",""en"")"),"['Abis', 'update', 'the application', '']")</f>
        <v>['Abis', 'update', 'the application', '']</v>
      </c>
      <c r="D15880" s="3">
        <v>1.0</v>
      </c>
    </row>
    <row r="15881" ht="15.75" customHeight="1">
      <c r="A15881" s="1">
        <v>16877.0</v>
      </c>
      <c r="B15881" s="3" t="s">
        <v>15084</v>
      </c>
      <c r="C15881" s="3" t="str">
        <f>IFERROR(__xludf.DUMMYFUNCTION("GOOGLETRANSLATE(B15881,""id"",""en"")"),"['Lemot', 'expensive']")</f>
        <v>['Lemot', 'expensive']</v>
      </c>
      <c r="D15881" s="3">
        <v>1.0</v>
      </c>
    </row>
    <row r="15882" ht="15.75" customHeight="1">
      <c r="A15882" s="1">
        <v>16878.0</v>
      </c>
      <c r="B15882" s="3" t="s">
        <v>15085</v>
      </c>
      <c r="C15882" s="3" t="str">
        <f>IFERROR(__xludf.DUMMYFUNCTION("GOOGLETRANSLATE(B15882,""id"",""en"")"),"['Daily', 'Chek', 'Gabisa', 'Claim', 'Please', 'Help', 'Telkomsel']")</f>
        <v>['Daily', 'Chek', 'Gabisa', 'Claim', 'Please', 'Help', 'Telkomsel']</v>
      </c>
      <c r="D15882" s="3">
        <v>5.0</v>
      </c>
    </row>
    <row r="15883" ht="15.75" customHeight="1">
      <c r="A15883" s="1">
        <v>16879.0</v>
      </c>
      <c r="B15883" s="3" t="s">
        <v>15086</v>
      </c>
      <c r="C15883" s="3" t="str">
        <f>IFERROR(__xludf.DUMMYFUNCTION("GOOGLETRANSLATE(B15883,""id"",""en"")"),"['price', 'package', 'data', 'expensive', 'network', 'leemotttt', 'please', 'donk', 'network', 'area', 'urban', 'slow', ' ']")</f>
        <v>['price', 'package', 'data', 'expensive', 'network', 'leemotttt', 'please', 'donk', 'network', 'area', 'urban', 'slow', ' ']</v>
      </c>
      <c r="D15883" s="3">
        <v>1.0</v>
      </c>
    </row>
    <row r="15884" ht="15.75" customHeight="1">
      <c r="A15884" s="1">
        <v>16880.0</v>
      </c>
      <c r="B15884" s="3" t="s">
        <v>15087</v>
      </c>
      <c r="C15884" s="3" t="str">
        <f>IFERROR(__xludf.DUMMYFUNCTION("GOOGLETRANSLATE(B15884,""id"",""en"")"),"['DAK', 'Open', 'How', '']")</f>
        <v>['DAK', 'Open', 'How', '']</v>
      </c>
      <c r="D15884" s="3">
        <v>2.0</v>
      </c>
    </row>
    <row r="15885" ht="15.75" customHeight="1">
      <c r="A15885" s="1">
        <v>16881.0</v>
      </c>
      <c r="B15885" s="3" t="s">
        <v>15088</v>
      </c>
      <c r="C15885" s="3" t="str">
        <f>IFERROR(__xludf.DUMMYFUNCTION("GOOGLETRANSLATE(B15885,""id"",""en"")"),"['week', 'error', 'screen', 'white', 'try', 'uninstall', 'download', 'reset', 'sad']")</f>
        <v>['week', 'error', 'screen', 'white', 'try', 'uninstall', 'download', 'reset', 'sad']</v>
      </c>
      <c r="D15885" s="3">
        <v>1.0</v>
      </c>
    </row>
    <row r="15886" ht="15.75" customHeight="1">
      <c r="A15886" s="1">
        <v>16882.0</v>
      </c>
      <c r="B15886" s="3" t="s">
        <v>15089</v>
      </c>
      <c r="C15886" s="3" t="str">
        <f>IFERROR(__xludf.DUMMYFUNCTION("GOOGLETRANSLATE(B15886,""id"",""en"")"),"['Loading', 'blank', 'white', 'right', 'open', 'until', 'minutes', 'tetep', 'aaja']")</f>
        <v>['Loading', 'blank', 'white', 'right', 'open', 'until', 'minutes', 'tetep', 'aaja']</v>
      </c>
      <c r="D15886" s="3">
        <v>1.0</v>
      </c>
    </row>
    <row r="15887" ht="15.75" customHeight="1">
      <c r="A15887" s="1">
        <v>16883.0</v>
      </c>
      <c r="B15887" s="3" t="s">
        <v>15090</v>
      </c>
      <c r="C15887" s="3" t="str">
        <f>IFERROR(__xludf.DUMMYFUNCTION("GOOGLETRANSLATE(B15887,""id"",""en"")"),"['Network', 'kayak', 'package', 'expensive', 'city', 'already', 'kayak', 'forest']")</f>
        <v>['Network', 'kayak', 'package', 'expensive', 'city', 'already', 'kayak', 'forest']</v>
      </c>
      <c r="D15887" s="3">
        <v>1.0</v>
      </c>
    </row>
    <row r="15888" ht="15.75" customHeight="1">
      <c r="A15888" s="1">
        <v>16885.0</v>
      </c>
      <c r="B15888" s="3" t="s">
        <v>15091</v>
      </c>
      <c r="C15888" s="3" t="str">
        <f>IFERROR(__xludf.DUMMYFUNCTION("GOOGLETRANSLATE(B15888,""id"",""en"")"),"['Kenap', 'price', 'kuotax', 'then', 'then', 'network', 'limitedx', 'destroyed', 'really', 'forced', 'pinda', 'smartfren', ' BGNI ',' love ',' star ',' because 'satisfying', 'destroyed', 'really', 'network', 'destroyed']")</f>
        <v>['Kenap', 'price', 'kuotax', 'then', 'then', 'network', 'limitedx', 'destroyed', 'really', 'forced', 'pinda', 'smartfren', ' BGNI ',' love ',' star ',' because 'satisfying', 'destroyed', 'really', 'network', 'destroyed']</v>
      </c>
      <c r="D15888" s="3">
        <v>1.0</v>
      </c>
    </row>
    <row r="15889" ht="15.75" customHeight="1">
      <c r="A15889" s="1">
        <v>16887.0</v>
      </c>
      <c r="B15889" s="3" t="s">
        <v>15092</v>
      </c>
      <c r="C15889" s="3" t="str">
        <f>IFERROR(__xludf.DUMMYFUNCTION("GOOGLETRANSLATE(B15889,""id"",""en"")"),"['card', 'anjg', 'Telkomsel', 'pig', 'turn', 'push', 'leg', 'anjg', 'orphan', 'tll']")</f>
        <v>['card', 'anjg', 'Telkomsel', 'pig', 'turn', 'push', 'leg', 'anjg', 'orphan', 'tll']</v>
      </c>
      <c r="D15889" s="3">
        <v>1.0</v>
      </c>
    </row>
    <row r="15890" ht="15.75" customHeight="1">
      <c r="A15890" s="1">
        <v>16888.0</v>
      </c>
      <c r="B15890" s="3" t="s">
        <v>15093</v>
      </c>
      <c r="C15890" s="3" t="str">
        <f>IFERROR(__xludf.DUMMYFUNCTION("GOOGLETRANSLATE(B15890,""id"",""en"")"),"['buy', 'package', 'internet', 'expensive', 'yaa', 'buy', 'cheap']")</f>
        <v>['buy', 'package', 'internet', 'expensive', 'yaa', 'buy', 'cheap']</v>
      </c>
      <c r="D15890" s="3">
        <v>3.0</v>
      </c>
    </row>
    <row r="15891" ht="15.75" customHeight="1">
      <c r="A15891" s="1">
        <v>16889.0</v>
      </c>
      <c r="B15891" s="3" t="s">
        <v>1601</v>
      </c>
      <c r="C15891" s="3" t="str">
        <f>IFERROR(__xludf.DUMMYFUNCTION("GOOGLETRANSLATE(B15891,""id"",""en"")"),"['open']")</f>
        <v>['open']</v>
      </c>
      <c r="D15891" s="3">
        <v>1.0</v>
      </c>
    </row>
    <row r="15892" ht="15.75" customHeight="1">
      <c r="A15892" s="1">
        <v>16890.0</v>
      </c>
      <c r="B15892" s="3" t="s">
        <v>15094</v>
      </c>
      <c r="C15892" s="3" t="str">
        <f>IFERROR(__xludf.DUMMYFUNCTION("GOOGLETRANSLATE(B15892,""id"",""en"")"),"['Severe', 'Out', 'Update', 'Morning', 'Opened', '']")</f>
        <v>['Severe', 'Out', 'Update', 'Morning', 'Opened', '']</v>
      </c>
      <c r="D15892" s="3">
        <v>1.0</v>
      </c>
    </row>
    <row r="15893" ht="15.75" customHeight="1">
      <c r="A15893" s="1">
        <v>16891.0</v>
      </c>
      <c r="B15893" s="3" t="s">
        <v>15095</v>
      </c>
      <c r="C15893" s="3" t="str">
        <f>IFERROR(__xludf.DUMMYFUNCTION("GOOGLETRANSLATE(B15893,""id"",""en"")"),"['disappointing', 'package', 'expensive', 'network', 'slow', 'severe', 'wind', 'rain', ""]")</f>
        <v>['disappointing', 'package', 'expensive', 'network', 'slow', 'severe', 'wind', 'rain', "]</v>
      </c>
      <c r="D15893" s="3">
        <v>1.0</v>
      </c>
    </row>
    <row r="15894" ht="15.75" customHeight="1">
      <c r="A15894" s="1">
        <v>16892.0</v>
      </c>
      <c r="B15894" s="3" t="s">
        <v>15096</v>
      </c>
      <c r="C15894" s="3" t="str">
        <f>IFERROR(__xludf.DUMMYFUNCTION("GOOGLETRANSLATE(B15894,""id"",""en"")"),"['Min', 'Telkomselku', 'open', 'already', 'wifi']")</f>
        <v>['Min', 'Telkomselku', 'open', 'already', 'wifi']</v>
      </c>
      <c r="D15894" s="3">
        <v>3.0</v>
      </c>
    </row>
    <row r="15895" ht="15.75" customHeight="1">
      <c r="A15895" s="1">
        <v>16893.0</v>
      </c>
      <c r="B15895" s="3" t="s">
        <v>15097</v>
      </c>
      <c r="C15895" s="3" t="str">
        <f>IFERROR(__xludf.DUMMYFUNCTION("GOOGLETRANSLATE(B15895,""id"",""en"")"),"['Telkomsel', 'Hopefully', 'smooth', 'Jaya', 'raises', 'promo', 'special']")</f>
        <v>['Telkomsel', 'Hopefully', 'smooth', 'Jaya', 'raises', 'promo', 'special']</v>
      </c>
      <c r="D15895" s="3">
        <v>5.0</v>
      </c>
    </row>
    <row r="15896" ht="15.75" customHeight="1">
      <c r="A15896" s="1">
        <v>16895.0</v>
      </c>
      <c r="B15896" s="3" t="s">
        <v>15098</v>
      </c>
      <c r="C15896" s="3" t="str">
        <f>IFERROR(__xludf.DUMMYFUNCTION("GOOGLETRANSLATE(B15896,""id"",""en"")"),"['Application', 'idiot']")</f>
        <v>['Application', 'idiot']</v>
      </c>
      <c r="D15896" s="3">
        <v>1.0</v>
      </c>
    </row>
    <row r="15897" ht="15.75" customHeight="1">
      <c r="A15897" s="1">
        <v>16896.0</v>
      </c>
      <c r="B15897" s="3" t="s">
        <v>15099</v>
      </c>
      <c r="C15897" s="3" t="str">
        <f>IFERROR(__xludf.DUMMYFUNCTION("GOOGLETRANSLATE(B15897,""id"",""en"")"),"['Good', 'APK']")</f>
        <v>['Good', 'APK']</v>
      </c>
      <c r="D15897" s="3">
        <v>5.0</v>
      </c>
    </row>
    <row r="15898" ht="15.75" customHeight="1">
      <c r="A15898" s="1">
        <v>16897.0</v>
      </c>
      <c r="B15898" s="3" t="s">
        <v>15100</v>
      </c>
      <c r="C15898" s="3" t="str">
        <f>IFERROR(__xludf.DUMMYFUNCTION("GOOGLETRANSLATE(B15898,""id"",""en"")"),"['Since', 'moved', 'Hallo', 'right', 'disalanged', 'talking', 'so', 'regular', 'TRS', 'Sinya', 'Local', 'Kyk', ' PDAH ',' Flexi ',' use ',' product ',' TLKM ',' want ',' use ',' regular ',' number ',' kagak ',' system ',' good ',' stiff ' , 'beud', 'trial"&amp;"', 'profit', 'oriented', 'number', 'regular', 'scorched', 'love', 'star', 'plus',' invite ',' family ',' Hrs', 'Win', 'Win', 'Delicious',' Customer ']")</f>
        <v>['Since', 'moved', 'Hallo', 'right', 'disalanged', 'talking', 'so', 'regular', 'TRS', 'Sinya', 'Local', 'Kyk', ' PDAH ',' Flexi ',' use ',' product ',' TLKM ',' want ',' use ',' regular ',' number ',' kagak ',' system ',' good ',' stiff ' , 'beud', 'trial', 'profit', 'oriented', 'number', 'regular', 'scorched', 'love', 'star', 'plus',' invite ',' family ',' Hrs', 'Win', 'Win', 'Delicious',' Customer ']</v>
      </c>
      <c r="D15898" s="3">
        <v>1.0</v>
      </c>
    </row>
    <row r="15899" ht="15.75" customHeight="1">
      <c r="A15899" s="1">
        <v>16898.0</v>
      </c>
      <c r="B15899" s="3" t="s">
        <v>15101</v>
      </c>
      <c r="C15899" s="3" t="str">
        <f>IFERROR(__xludf.DUMMYFUNCTION("GOOGLETRANSLATE(B15899,""id"",""en"")"),"['Please', 'network', 'repaired', 'network', 'ugly', 'already', 'Makai', 'Telkomsel', 'ugly', 'price', 'quota', 'expensive', ' Application ',' Sometimes', 'Open', 'blank']")</f>
        <v>['Please', 'network', 'repaired', 'network', 'ugly', 'already', 'Makai', 'Telkomsel', 'ugly', 'price', 'quota', 'expensive', ' Application ',' Sometimes', 'Open', 'blank']</v>
      </c>
      <c r="D15899" s="3">
        <v>1.0</v>
      </c>
    </row>
    <row r="15900" ht="15.75" customHeight="1">
      <c r="A15900" s="1">
        <v>16899.0</v>
      </c>
      <c r="B15900" s="3" t="s">
        <v>15102</v>
      </c>
      <c r="C15900" s="3" t="str">
        <f>IFERROR(__xludf.DUMMYFUNCTION("GOOGLETRANSLATE(B15900,""id"",""en"")"),"['already', 'application', 'open', '']")</f>
        <v>['already', 'application', 'open', '']</v>
      </c>
      <c r="D15900" s="3">
        <v>2.0</v>
      </c>
    </row>
    <row r="15901" ht="15.75" customHeight="1">
      <c r="A15901" s="1">
        <v>16901.0</v>
      </c>
      <c r="B15901" s="3" t="s">
        <v>15103</v>
      </c>
      <c r="C15901" s="3" t="str">
        <f>IFERROR(__xludf.DUMMYFUNCTION("GOOGLETRANSLATE(B15901,""id"",""en"")"),"['ngakak', 'kouta', 'no', 'play', 'facebook', '']")</f>
        <v>['ngakak', 'kouta', 'no', 'play', 'facebook', '']</v>
      </c>
      <c r="D15901" s="3">
        <v>5.0</v>
      </c>
    </row>
    <row r="15902" ht="15.75" customHeight="1">
      <c r="A15902" s="1">
        <v>16903.0</v>
      </c>
      <c r="B15902" s="3" t="s">
        <v>15104</v>
      </c>
      <c r="C15902" s="3" t="str">
        <f>IFERROR(__xludf.DUMMYFUNCTION("GOOGLETRANSLATE(B15902,""id"",""en"")"),"['update', 'opened', 'please', 'repaired', 'signal', 'good']")</f>
        <v>['update', 'opened', 'please', 'repaired', 'signal', 'good']</v>
      </c>
      <c r="D15902" s="3">
        <v>1.0</v>
      </c>
    </row>
    <row r="15903" ht="15.75" customHeight="1">
      <c r="A15903" s="1">
        <v>16904.0</v>
      </c>
      <c r="B15903" s="3" t="s">
        <v>15105</v>
      </c>
      <c r="C15903" s="3" t="str">
        <f>IFERROR(__xludf.DUMMYFUNCTION("GOOGLETRANSLATE(B15903,""id"",""en"")"),"['Star', 'Ajah', 'Dlu', ""]")</f>
        <v>['Star', 'Ajah', 'Dlu', "]</v>
      </c>
      <c r="D15903" s="3">
        <v>4.0</v>
      </c>
    </row>
    <row r="15904" ht="15.75" customHeight="1">
      <c r="A15904" s="1">
        <v>16905.0</v>
      </c>
      <c r="B15904" s="3" t="s">
        <v>9341</v>
      </c>
      <c r="C15904" s="3" t="str">
        <f>IFERROR(__xludf.DUMMYFUNCTION("GOOGLETRANSLATE(B15904,""id"",""en"")"),"['fast', 'process']")</f>
        <v>['fast', 'process']</v>
      </c>
      <c r="D15904" s="3">
        <v>5.0</v>
      </c>
    </row>
    <row r="15905" ht="15.75" customHeight="1">
      <c r="A15905" s="1">
        <v>16906.0</v>
      </c>
      <c r="B15905" s="3" t="s">
        <v>15106</v>
      </c>
      <c r="C15905" s="3" t="str">
        <f>IFERROR(__xludf.DUMMYFUNCTION("GOOGLETRANSLATE(B15905,""id"",""en"")"),"['price', 'package', 'expensive', 'severe', 'like', '']")</f>
        <v>['price', 'package', 'expensive', 'severe', 'like', '']</v>
      </c>
      <c r="D15905" s="3">
        <v>1.0</v>
      </c>
    </row>
    <row r="15906" ht="15.75" customHeight="1">
      <c r="A15906" s="1">
        <v>16907.0</v>
      </c>
      <c r="B15906" s="3" t="s">
        <v>15107</v>
      </c>
      <c r="C15906" s="3" t="str">
        <f>IFERROR(__xludf.DUMMYFUNCTION("GOOGLETRANSLATE(B15906,""id"",""en"")"),"['Telkomsel', 'card', 'sultan', 'price', 'package', 'expensive', 'expensive', 'quality', 'network', 'bad', 'ngelag', 'stable', ' ']")</f>
        <v>['Telkomsel', 'card', 'sultan', 'price', 'package', 'expensive', 'expensive', 'quality', 'network', 'bad', 'ngelag', 'stable', ' ']</v>
      </c>
      <c r="D15906" s="3">
        <v>1.0</v>
      </c>
    </row>
    <row r="15907" ht="15.75" customHeight="1">
      <c r="A15907" s="1">
        <v>16908.0</v>
      </c>
      <c r="B15907" s="3" t="s">
        <v>15108</v>
      </c>
      <c r="C15907" s="3" t="str">
        <f>IFERROR(__xludf.DUMMYFUNCTION("GOOGLETRANSLATE(B15907,""id"",""en"")"),"['', 'good']")</f>
        <v>['', 'good']</v>
      </c>
      <c r="D15907" s="3">
        <v>5.0</v>
      </c>
    </row>
    <row r="15908" ht="15.75" customHeight="1">
      <c r="A15908" s="1">
        <v>16909.0</v>
      </c>
      <c r="B15908" s="3" t="s">
        <v>15109</v>
      </c>
      <c r="C15908" s="3" t="str">
        <f>IFERROR(__xludf.DUMMYFUNCTION("GOOGLETRANSLATE(B15908,""id"",""en"")"),"['APK', 'used', 'please', 'operatorny', 'conditioned', 'the application']")</f>
        <v>['APK', 'used', 'please', 'operatorny', 'conditioned', 'the application']</v>
      </c>
      <c r="D15908" s="3">
        <v>1.0</v>
      </c>
    </row>
    <row r="15909" ht="15.75" customHeight="1">
      <c r="A15909" s="1">
        <v>16910.0</v>
      </c>
      <c r="B15909" s="3" t="s">
        <v>15110</v>
      </c>
      <c r="C15909" s="3" t="str">
        <f>IFERROR(__xludf.DUMMYFUNCTION("GOOGLETRANSLATE(B15909,""id"",""en"")"),"['Min', 'udh', 'times',' contents', 'pulse', 'pulses',' msuk ',' contents', 'pulses',' deeds', 'pdhal', 'report', ' sellers', 'succeed', 'pulses',' that's', '']")</f>
        <v>['Min', 'udh', 'times',' contents', 'pulse', 'pulses',' msuk ',' contents', 'pulses',' deeds', 'pdhal', 'report', ' sellers', 'succeed', 'pulses',' that's', '']</v>
      </c>
      <c r="D15909" s="3">
        <v>4.0</v>
      </c>
    </row>
    <row r="15910" ht="15.75" customHeight="1">
      <c r="A15910" s="1">
        <v>16911.0</v>
      </c>
      <c r="B15910" s="3" t="s">
        <v>15111</v>
      </c>
      <c r="C15910" s="3" t="str">
        <f>IFERROR(__xludf.DUMMYFUNCTION("GOOGLETRANSLATE(B15910,""id"",""en"")"),"['connection', 'lag', 'bet']")</f>
        <v>['connection', 'lag', 'bet']</v>
      </c>
      <c r="D15910" s="3">
        <v>1.0</v>
      </c>
    </row>
    <row r="15911" ht="15.75" customHeight="1">
      <c r="A15911" s="1">
        <v>16912.0</v>
      </c>
      <c r="B15911" s="3" t="s">
        <v>15112</v>
      </c>
      <c r="C15911" s="3" t="str">
        <f>IFERROR(__xludf.DUMMYFUNCTION("GOOGLETRANSLATE(B15911,""id"",""en"")"),"['bad', 'abdet', 'tidsk', 'use', 'broken', 'emang', '']")</f>
        <v>['bad', 'abdet', 'tidsk', 'use', 'broken', 'emang', '']</v>
      </c>
      <c r="D15911" s="3">
        <v>1.0</v>
      </c>
    </row>
    <row r="15912" ht="15.75" customHeight="1">
      <c r="A15912" s="1">
        <v>16913.0</v>
      </c>
      <c r="B15912" s="3" t="s">
        <v>15113</v>
      </c>
      <c r="C15912" s="3" t="str">
        <f>IFERROR(__xludf.DUMMYFUNCTION("GOOGLETRANSLATE(B15912,""id"",""en"")"),"['What', 'min', 'network', 'internet', 'lag', 'bangett', 'buy', 'package', 'tapii', 'udh', 'ngelag', 'really', ' open', '']")</f>
        <v>['What', 'min', 'network', 'internet', 'lag', 'bangett', 'buy', 'package', 'tapii', 'udh', 'ngelag', 'really', ' open', '']</v>
      </c>
      <c r="D15912" s="3">
        <v>1.0</v>
      </c>
    </row>
    <row r="15913" ht="15.75" customHeight="1">
      <c r="A15913" s="1">
        <v>16915.0</v>
      </c>
      <c r="B15913" s="3" t="s">
        <v>15114</v>
      </c>
      <c r="C15913" s="3" t="str">
        <f>IFERROR(__xludf.DUMMYFUNCTION("GOOGLETRANSLATE(B15913,""id"",""en"")"),"['yeah', 'friendly', 'writing', 'unlimited', 'package', 'multimedia', 'slow']")</f>
        <v>['yeah', 'friendly', 'writing', 'unlimited', 'package', 'multimedia', 'slow']</v>
      </c>
      <c r="D15913" s="3">
        <v>1.0</v>
      </c>
    </row>
    <row r="15914" ht="15.75" customHeight="1">
      <c r="A15914" s="1">
        <v>16916.0</v>
      </c>
      <c r="B15914" s="3" t="s">
        <v>15115</v>
      </c>
      <c r="C15914" s="3" t="str">
        <f>IFERROR(__xludf.DUMMYFUNCTION("GOOGLETRANSLATE(B15914,""id"",""en"")"),"['Function', '']")</f>
        <v>['Function', '']</v>
      </c>
      <c r="D15914" s="3">
        <v>5.0</v>
      </c>
    </row>
    <row r="15915" ht="15.75" customHeight="1">
      <c r="A15915" s="1">
        <v>16917.0</v>
      </c>
      <c r="B15915" s="3" t="s">
        <v>15116</v>
      </c>
      <c r="C15915" s="3" t="str">
        <f>IFERROR(__xludf.DUMMYFUNCTION("GOOGLETRANSLATE(B15915,""id"",""en"")"),"['Easy', 'App', 'seeppp', 'Increase', '']")</f>
        <v>['Easy', 'App', 'seeppp', 'Increase', '']</v>
      </c>
      <c r="D15915" s="3">
        <v>5.0</v>
      </c>
    </row>
    <row r="15916" ht="15.75" customHeight="1">
      <c r="A15916" s="1">
        <v>16918.0</v>
      </c>
      <c r="B15916" s="3" t="s">
        <v>15117</v>
      </c>
      <c r="C15916" s="3" t="str">
        <f>IFERROR(__xludf.DUMMYFUNCTION("GOOGLETRANSLATE(B15916,""id"",""en"")"),"['Out', 'update', 'not', 'opened', 'open', 'alternating', 'ttp', 'no', 'color', 'white', 'trs',' buy ',' quota ',' no ']")</f>
        <v>['Out', 'update', 'not', 'opened', 'open', 'alternating', 'ttp', 'no', 'color', 'white', 'trs',' buy ',' quota ',' no ']</v>
      </c>
      <c r="D15916" s="3">
        <v>2.0</v>
      </c>
    </row>
    <row r="15917" ht="15.75" customHeight="1">
      <c r="A15917" s="1">
        <v>16919.0</v>
      </c>
      <c r="B15917" s="3" t="s">
        <v>15118</v>
      </c>
      <c r="C15917" s="3" t="str">
        <f>IFERROR(__xludf.DUMMYFUNCTION("GOOGLETRANSLATE(B15917,""id"",""en"")"),"['Benyabad', 'I', 'PKE', 'Telkomsel', 'TPI', 'Network', 'Change', 'SLLU', 'Slow', 'lag', 'Sebelih', 'at home', ' Cave ',' Deket ',' Tower ',' Telkomsel ',' Tetep ',' Slow ',' Actually ',' Intention ',' Seh ',' Telkomsel ',' Give ',' Network ',' CBA ' , 'R"&amp;"ide in', 'Quality', 'Telkomsel', 'smakin', 'NOT', 'LEMOT']")</f>
        <v>['Benyabad', 'I', 'PKE', 'Telkomsel', 'TPI', 'Network', 'Change', 'SLLU', 'Slow', 'lag', 'Sebelih', 'at home', ' Cave ',' Deket ',' Tower ',' Telkomsel ',' Tetep ',' Slow ',' Actually ',' Intention ',' Seh ',' Telkomsel ',' Give ',' Network ',' CBA ' , 'Ride in', 'Quality', 'Telkomsel', 'smakin', 'NOT', 'LEMOT']</v>
      </c>
      <c r="D15917" s="3">
        <v>1.0</v>
      </c>
    </row>
    <row r="15918" ht="15.75" customHeight="1">
      <c r="A15918" s="1">
        <v>16920.0</v>
      </c>
      <c r="B15918" s="3" t="s">
        <v>15119</v>
      </c>
      <c r="C15918" s="3" t="str">
        <f>IFERROR(__xludf.DUMMYFUNCTION("GOOGLETRANSLATE(B15918,""id"",""en"")"),"['update', 'open', 'stuck', 'screen', 'white', 'hope', 'Telkomsel', 'fast', 'fix it', 'thank', 'love', ""]")</f>
        <v>['update', 'open', 'stuck', 'screen', 'white', 'hope', 'Telkomsel', 'fast', 'fix it', 'thank', 'love', "]</v>
      </c>
      <c r="D15918" s="3">
        <v>3.0</v>
      </c>
    </row>
    <row r="15919" ht="15.75" customHeight="1">
      <c r="A15919" s="1">
        <v>16921.0</v>
      </c>
      <c r="B15919" s="3" t="s">
        <v>15120</v>
      </c>
      <c r="C15919" s="3" t="str">
        <f>IFERROR(__xludf.DUMMYFUNCTION("GOOGLETRANSLATE(B15919,""id"",""en"")"),"['satisfying', 'level']")</f>
        <v>['satisfying', 'level']</v>
      </c>
      <c r="D15919" s="3">
        <v>5.0</v>
      </c>
    </row>
    <row r="15920" ht="15.75" customHeight="1">
      <c r="A15920" s="1">
        <v>16922.0</v>
      </c>
      <c r="B15920" s="3" t="s">
        <v>15121</v>
      </c>
      <c r="C15920" s="3" t="str">
        <f>IFERROR(__xludf.DUMMYFUNCTION("GOOGLETRANSLATE(B15920,""id"",""en"")"),"['Error', 'Check', 'Quota', 'Unibsal', 'Install']")</f>
        <v>['Error', 'Check', 'Quota', 'Unibsal', 'Install']</v>
      </c>
      <c r="D15920" s="3">
        <v>5.0</v>
      </c>
    </row>
    <row r="15921" ht="15.75" customHeight="1">
      <c r="A15921" s="1">
        <v>16923.0</v>
      </c>
      <c r="B15921" s="3" t="s">
        <v>15122</v>
      </c>
      <c r="C15921" s="3" t="str">
        <f>IFERROR(__xludf.DUMMYFUNCTION("GOOGLETRANSLATE(B15921,""id"",""en"")"),"['like', 'slow', 'bullak', 'log', '']")</f>
        <v>['like', 'slow', 'bullak', 'log', '']</v>
      </c>
      <c r="D15921" s="3">
        <v>1.0</v>
      </c>
    </row>
    <row r="15922" ht="15.75" customHeight="1">
      <c r="A15922" s="1">
        <v>16924.0</v>
      </c>
      <c r="B15922" s="3" t="s">
        <v>15123</v>
      </c>
      <c r="C15922" s="3" t="str">
        <f>IFERROR(__xludf.DUMMYFUNCTION("GOOGLETRANSLATE(B15922,""id"",""en"")"),"['Disappointed', 'Network', 'Telkomsel', 'Leet', 'Severe', 'Lost', 'Network', ""]")</f>
        <v>['Disappointed', 'Network', 'Telkomsel', 'Leet', 'Severe', 'Lost', 'Network', "]</v>
      </c>
      <c r="D15922" s="3">
        <v>1.0</v>
      </c>
    </row>
    <row r="15923" ht="15.75" customHeight="1">
      <c r="A15923" s="1">
        <v>16925.0</v>
      </c>
      <c r="B15923" s="3" t="s">
        <v>15124</v>
      </c>
      <c r="C15923" s="3" t="str">
        <f>IFERROR(__xludf.DUMMYFUNCTION("GOOGLETRANSLATE(B15923,""id"",""en"")"),"['', 'Network', 'Telkomsel', 'NOWVNOVE', 'Stable', 'Sinyl', 'Lost', 'AXIS']")</f>
        <v>['', 'Network', 'Telkomsel', 'NOWVNOVE', 'Stable', 'Sinyl', 'Lost', 'AXIS']</v>
      </c>
      <c r="D15923" s="3">
        <v>2.0</v>
      </c>
    </row>
    <row r="15924" ht="15.75" customHeight="1">
      <c r="A15924" s="1">
        <v>16926.0</v>
      </c>
      <c r="B15924" s="3" t="s">
        <v>15125</v>
      </c>
      <c r="C15924" s="3" t="str">
        <f>IFERROR(__xludf.DUMMYFUNCTION("GOOGLETRANSLATE(B15924,""id"",""en"")"),"['Promo', 'Points', 'Eliminate', 'Ngak', 'Gift', 'Telkomsel']")</f>
        <v>['Promo', 'Points', 'Eliminate', 'Ngak', 'Gift', 'Telkomsel']</v>
      </c>
      <c r="D15924" s="3">
        <v>3.0</v>
      </c>
    </row>
    <row r="15925" ht="15.75" customHeight="1">
      <c r="A15925" s="1">
        <v>16927.0</v>
      </c>
      <c r="B15925" s="3" t="s">
        <v>15126</v>
      </c>
      <c r="C15925" s="3" t="str">
        <f>IFERROR(__xludf.DUMMYFUNCTION("GOOGLETRANSLATE(B15925,""id"",""en"")"),"['Lunas', 'debt', 'pulse', 'bill', 'continuous', 'please', 'action', '']")</f>
        <v>['Lunas', 'debt', 'pulse', 'bill', 'continuous', 'please', 'action', '']</v>
      </c>
      <c r="D15925" s="3">
        <v>1.0</v>
      </c>
    </row>
    <row r="15926" ht="15.75" customHeight="1">
      <c r="A15926" s="1">
        <v>16928.0</v>
      </c>
      <c r="B15926" s="3" t="s">
        <v>15127</v>
      </c>
      <c r="C15926" s="3" t="str">
        <f>IFERROR(__xludf.DUMMYFUNCTION("GOOGLETRANSLATE(B15926,""id"",""en"")"),"['convenience', 'information', 'useful']")</f>
        <v>['convenience', 'information', 'useful']</v>
      </c>
      <c r="D15926" s="3">
        <v>5.0</v>
      </c>
    </row>
    <row r="15927" ht="15.75" customHeight="1">
      <c r="A15927" s="1">
        <v>16929.0</v>
      </c>
      <c r="B15927" s="3" t="s">
        <v>15128</v>
      </c>
      <c r="C15927" s="3" t="str">
        <f>IFERROR(__xludf.DUMMYFUNCTION("GOOGLETRANSLATE(B15927,""id"",""en"")"),"['The application', 'right', 'opened', 'appears', 'please', 'App', 'updated', 'error', 'mulu']")</f>
        <v>['The application', 'right', 'opened', 'appears', 'please', 'App', 'updated', 'error', 'mulu']</v>
      </c>
      <c r="D15927" s="3">
        <v>2.0</v>
      </c>
    </row>
    <row r="15928" ht="15.75" customHeight="1">
      <c r="A15928" s="1">
        <v>16930.0</v>
      </c>
      <c r="B15928" s="3" t="s">
        <v>15129</v>
      </c>
      <c r="C15928" s="3" t="str">
        <f>IFERROR(__xludf.DUMMYFUNCTION("GOOGLETRANSLATE(B15928,""id"",""en"")"),"['Koq', 'open', 'blenk', 'white']")</f>
        <v>['Koq', 'open', 'blenk', 'white']</v>
      </c>
      <c r="D15928" s="3">
        <v>3.0</v>
      </c>
    </row>
    <row r="15929" ht="15.75" customHeight="1">
      <c r="A15929" s="1">
        <v>16931.0</v>
      </c>
      <c r="B15929" s="3" t="s">
        <v>15130</v>
      </c>
      <c r="C15929" s="3" t="str">
        <f>IFERROR(__xludf.DUMMYFUNCTION("GOOGLETRANSLATE(B15929,""id"",""en"")"),"['updated', 'Loading', 'Page', '']")</f>
        <v>['updated', 'Loading', 'Page', '']</v>
      </c>
      <c r="D15929" s="3">
        <v>1.0</v>
      </c>
    </row>
    <row r="15930" ht="15.75" customHeight="1">
      <c r="A15930" s="1">
        <v>16932.0</v>
      </c>
      <c r="B15930" s="3" t="s">
        <v>15131</v>
      </c>
      <c r="C15930" s="3" t="str">
        <f>IFERROR(__xludf.DUMMYFUNCTION("GOOGLETRANSLATE(B15930,""id"",""en"")"),"['The network', 'like', 'dead', 'bar', 'signal', 'full', 'writing', 'missing', 'location', 'city', 'sinynya', 'good', ' Not bad ',' annoying ',' play ']")</f>
        <v>['The network', 'like', 'dead', 'bar', 'signal', 'full', 'writing', 'missing', 'location', 'city', 'sinynya', 'good', ' Not bad ',' annoying ',' play ']</v>
      </c>
      <c r="D15930" s="3">
        <v>1.0</v>
      </c>
    </row>
    <row r="15931" ht="15.75" customHeight="1">
      <c r="A15931" s="1">
        <v>16933.0</v>
      </c>
      <c r="B15931" s="3" t="s">
        <v>15132</v>
      </c>
      <c r="C15931" s="3" t="str">
        <f>IFERROR(__xludf.DUMMYFUNCTION("GOOGLETRANSLATE(B15931,""id"",""en"")"),"['', 'MSH', 'opened', 'Abis', 'updened', 'kaga', 'go', 'yaa', 'please', '']")</f>
        <v>['', 'MSH', 'opened', 'Abis', 'updened', 'kaga', 'go', 'yaa', 'please', '']</v>
      </c>
      <c r="D15931" s="3">
        <v>1.0</v>
      </c>
    </row>
    <row r="15932" ht="15.75" customHeight="1">
      <c r="A15932" s="1">
        <v>16934.0</v>
      </c>
      <c r="B15932" s="3" t="s">
        <v>15133</v>
      </c>
      <c r="C15932" s="3" t="str">
        <f>IFERROR(__xludf.DUMMYFUNCTION("GOOGLETRANSLATE(B15932,""id"",""en"")"),"['Application', 'used', 'Screen', 'White', 'Doang']")</f>
        <v>['Application', 'used', 'Screen', 'White', 'Doang']</v>
      </c>
      <c r="D15932" s="3">
        <v>1.0</v>
      </c>
    </row>
    <row r="15933" ht="15.75" customHeight="1">
      <c r="A15933" s="1">
        <v>16935.0</v>
      </c>
      <c r="B15933" s="3" t="s">
        <v>15134</v>
      </c>
      <c r="C15933" s="3" t="str">
        <f>IFERROR(__xludf.DUMMYFUNCTION("GOOGLETRANSLATE(B15933,""id"",""en"")"),"['knpa', 'sush', 'enter', 'login', 'TKMSEL', '']")</f>
        <v>['knpa', 'sush', 'enter', 'login', 'TKMSEL', '']</v>
      </c>
      <c r="D15933" s="3">
        <v>5.0</v>
      </c>
    </row>
    <row r="15934" ht="15.75" customHeight="1">
      <c r="A15934" s="1">
        <v>16936.0</v>
      </c>
      <c r="B15934" s="3" t="s">
        <v>15135</v>
      </c>
      <c r="C15934" s="3" t="str">
        <f>IFERROR(__xludf.DUMMYFUNCTION("GOOGLETRANSLATE(B15934,""id"",""en"")"),"['Tlong', 'Telkomsel', 'Open']")</f>
        <v>['Tlong', 'Telkomsel', 'Open']</v>
      </c>
      <c r="D15934" s="3">
        <v>5.0</v>
      </c>
    </row>
    <row r="15935" ht="15.75" customHeight="1">
      <c r="A15935" s="1">
        <v>16937.0</v>
      </c>
      <c r="B15935" s="3" t="s">
        <v>15136</v>
      </c>
      <c r="C15935" s="3" t="str">
        <f>IFERROR(__xludf.DUMMYFUNCTION("GOOGLETRANSLATE(B15935,""id"",""en"")"),"['uda', 'mlav', 'card', 'Telkomsel', 'price', 'package', 'expensive', 'all', 'promo', 'package', 'data', 'price', ' expensive ',' tmbah ',' signal ',' please ',' pertmbgkan ',' price ',' slm ',' ntt ']")</f>
        <v>['uda', 'mlav', 'card', 'Telkomsel', 'price', 'package', 'expensive', 'all', 'promo', 'package', 'data', 'price', ' expensive ',' tmbah ',' signal ',' please ',' pertmbgkan ',' price ',' slm ',' ntt ']</v>
      </c>
      <c r="D15935" s="3">
        <v>1.0</v>
      </c>
    </row>
    <row r="15936" ht="15.75" customHeight="1">
      <c r="A15936" s="1">
        <v>16938.0</v>
      </c>
      <c r="B15936" s="3" t="s">
        <v>15137</v>
      </c>
      <c r="C15936" s="3" t="str">
        <f>IFERROR(__xludf.DUMMYFUNCTION("GOOGLETRANSLATE(B15936,""id"",""en"")"),"['Please', 'Help', 'Fix', 'Signal', 'Internet', 'Place', 'Rely on', 'Telkomsel', 'Thank you', ""]")</f>
        <v>['Please', 'Help', 'Fix', 'Signal', 'Internet', 'Place', 'Rely on', 'Telkomsel', 'Thank you', "]</v>
      </c>
      <c r="D15936" s="3">
        <v>2.0</v>
      </c>
    </row>
    <row r="15937" ht="15.75" customHeight="1">
      <c r="A15937" s="1">
        <v>16939.0</v>
      </c>
      <c r="B15937" s="3" t="s">
        <v>15138</v>
      </c>
      <c r="C15937" s="3" t="str">
        <f>IFERROR(__xludf.DUMMYFUNCTION("GOOGLETRANSLATE(B15937,""id"",""en"")"),"['MyTelkomsel', 'best', 'dlm', 'service']")</f>
        <v>['MyTelkomsel', 'best', 'dlm', 'service']</v>
      </c>
      <c r="D15937" s="3">
        <v>5.0</v>
      </c>
    </row>
    <row r="15938" ht="15.75" customHeight="1">
      <c r="A15938" s="1">
        <v>16940.0</v>
      </c>
      <c r="B15938" s="3" t="s">
        <v>15139</v>
      </c>
      <c r="C15938" s="3" t="str">
        <f>IFERROR(__xludf.DUMMYFUNCTION("GOOGLETRANSLATE(B15938,""id"",""en"")"),"['Update', 'Mulu', 'Sometimes',' week ',' bln ',' already ',' update ',' sometimes', 'telponan', 'like', 'ilang', 'the network', ' Home ',' already ',' amid "", 'City', '']")</f>
        <v>['Update', 'Mulu', 'Sometimes',' week ',' bln ',' already ',' update ',' sometimes', 'telponan', 'like', 'ilang', 'the network', ' Home ',' already ',' amid ", 'City', '']</v>
      </c>
      <c r="D15938" s="3">
        <v>4.0</v>
      </c>
    </row>
    <row r="15939" ht="15.75" customHeight="1">
      <c r="A15939" s="1">
        <v>16941.0</v>
      </c>
      <c r="B15939" s="3" t="s">
        <v>15140</v>
      </c>
      <c r="C15939" s="3" t="str">
        <f>IFERROR(__xludf.DUMMYFUNCTION("GOOGLETRANSLATE(B15939,""id"",""en"")"),"['Please', 'upgrade', 'again', 'Akuu', 'user', 'loyal', 'Telkomsel', 'run out', 'upgrade', 'jade', 'white', 'Ajaaa', ' Sadhh ',' tolonh ',' fix ']")</f>
        <v>['Please', 'upgrade', 'again', 'Akuu', 'user', 'loyal', 'Telkomsel', 'run out', 'upgrade', 'jade', 'white', 'Ajaaa', ' Sadhh ',' tolonh ',' fix ']</v>
      </c>
      <c r="D15939" s="3">
        <v>1.0</v>
      </c>
    </row>
    <row r="15940" ht="15.75" customHeight="1">
      <c r="A15940" s="1">
        <v>16942.0</v>
      </c>
      <c r="B15940" s="3" t="s">
        <v>15141</v>
      </c>
      <c r="C15940" s="3" t="str">
        <f>IFERROR(__xludf.DUMMYFUNCTION("GOOGLETRANSLATE(B15940,""id"",""en"")"),"['Signal', 'Telkomsel', 'Severe', 'Please', 'Fix', 'Interested', 'Signal', 'Bad', 'Signal', 'Good', 'Tower', 'Termon', ' difficult']")</f>
        <v>['Signal', 'Telkomsel', 'Severe', 'Please', 'Fix', 'Interested', 'Signal', 'Bad', 'Signal', 'Good', 'Tower', 'Termon', ' difficult']</v>
      </c>
      <c r="D15940" s="3">
        <v>1.0</v>
      </c>
    </row>
    <row r="15941" ht="15.75" customHeight="1">
      <c r="A15941" s="1">
        <v>16943.0</v>
      </c>
      <c r="B15941" s="3" t="s">
        <v>15142</v>
      </c>
      <c r="C15941" s="3" t="str">
        <f>IFERROR(__xludf.DUMMYFUNCTION("GOOGLETRANSLATE(B15941,""id"",""en"")"),"['Please', 'Application', 'Aptude', 'TRS', 'yeah', 'a week', 'times',' please ',' aptude ',' week ',' aptude ',' trs', ' Poor ',' use ',' Telkomsel ',' Ngabdet ',' trs', 'Hadeh', 'love', 'star', ""]")</f>
        <v>['Please', 'Application', 'Aptude', 'TRS', 'yeah', 'a week', 'times',' please ',' aptude ',' week ',' aptude ',' trs', ' Poor ',' use ',' Telkomsel ',' Ngabdet ',' trs', 'Hadeh', 'love', 'star', "]</v>
      </c>
      <c r="D15941" s="3">
        <v>1.0</v>
      </c>
    </row>
    <row r="15942" ht="15.75" customHeight="1">
      <c r="A15942" s="1">
        <v>16944.0</v>
      </c>
      <c r="B15942" s="3" t="s">
        <v>15143</v>
      </c>
      <c r="C15942" s="3" t="str">
        <f>IFERROR(__xludf.DUMMYFUNCTION("GOOGLETRANSLATE(B15942,""id"",""en"")"),"['Please', 'mode', 'dark']")</f>
        <v>['Please', 'mode', 'dark']</v>
      </c>
      <c r="D15942" s="3">
        <v>5.0</v>
      </c>
    </row>
    <row r="15943" ht="15.75" customHeight="1">
      <c r="A15943" s="1">
        <v>16945.0</v>
      </c>
      <c r="B15943" s="3" t="s">
        <v>15144</v>
      </c>
      <c r="C15943" s="3" t="str">
        <f>IFERROR(__xludf.DUMMYFUNCTION("GOOGLETRANSLATE(B15943,""id"",""en"")"),"['ManiH', 'package', 'get']")</f>
        <v>['ManiH', 'package', 'get']</v>
      </c>
      <c r="D15943" s="3">
        <v>5.0</v>
      </c>
    </row>
    <row r="15944" ht="15.75" customHeight="1">
      <c r="A15944" s="1">
        <v>16946.0</v>
      </c>
      <c r="B15944" s="3" t="s">
        <v>15145</v>
      </c>
      <c r="C15944" s="3" t="str">
        <f>IFERROR(__xludf.DUMMYFUNCTION("GOOGLETRANSLATE(B15944,""id"",""en"")"),"['Love', 'Star', 'Bru', 'Downloaded']")</f>
        <v>['Love', 'Star', 'Bru', 'Downloaded']</v>
      </c>
      <c r="D15944" s="3">
        <v>3.0</v>
      </c>
    </row>
    <row r="15945" ht="15.75" customHeight="1">
      <c r="A15945" s="1">
        <v>16947.0</v>
      </c>
      <c r="B15945" s="3" t="s">
        <v>15146</v>
      </c>
      <c r="C15945" s="3" t="str">
        <f>IFERROR(__xludf.DUMMYFUNCTION("GOOGLETRANSLATE(B15945,""id"",""en"")"),"['Severe', 'Telkomsel', 'disorder', 'package', 'expensive', 'fit', 'tasty', 'maen', 'game', 'signal', 'ilang', 'ngeselin', ' price ',' suits', 'quality']")</f>
        <v>['Severe', 'Telkomsel', 'disorder', 'package', 'expensive', 'fit', 'tasty', 'maen', 'game', 'signal', 'ilang', 'ngeselin', ' price ',' suits', 'quality']</v>
      </c>
      <c r="D15945" s="3">
        <v>1.0</v>
      </c>
    </row>
    <row r="15946" ht="15.75" customHeight="1">
      <c r="A15946" s="1">
        <v>16948.0</v>
      </c>
      <c r="B15946" s="3" t="s">
        <v>15147</v>
      </c>
      <c r="C15946" s="3" t="str">
        <f>IFERROR(__xludf.DUMMYFUNCTION("GOOGLETRANSLATE(B15946,""id"",""en"")"),"['Telkomsel', 'Good', 'Union', 'Versated']")</f>
        <v>['Telkomsel', 'Good', 'Union', 'Versated']</v>
      </c>
      <c r="D15946" s="3">
        <v>5.0</v>
      </c>
    </row>
    <row r="15947" ht="15.75" customHeight="1">
      <c r="A15947" s="1">
        <v>16949.0</v>
      </c>
      <c r="B15947" s="3" t="s">
        <v>15148</v>
      </c>
      <c r="C15947" s="3" t="str">
        <f>IFERROR(__xludf.DUMMYFUNCTION("GOOGLETRANSLATE(B15947,""id"",""en"")"),"['Telkomsel', 'slow', 'network', 'ilang']")</f>
        <v>['Telkomsel', 'slow', 'network', 'ilang']</v>
      </c>
      <c r="D15947" s="3">
        <v>1.0</v>
      </c>
    </row>
    <row r="15948" ht="15.75" customHeight="1">
      <c r="A15948" s="1">
        <v>16950.0</v>
      </c>
      <c r="B15948" s="3" t="s">
        <v>15149</v>
      </c>
      <c r="C15948" s="3" t="str">
        <f>IFERROR(__xludf.DUMMYFUNCTION("GOOGLETRANSLATE(B15948,""id"",""en"")"),"['Application', 'Initak', 'Open', 'Disappointed', 'Please', 'Fix', 'Knp', 'Masinh', 'Ngeblang']")</f>
        <v>['Application', 'Initak', 'Open', 'Disappointed', 'Please', 'Fix', 'Knp', 'Masinh', 'Ngeblang']</v>
      </c>
      <c r="D15948" s="3">
        <v>1.0</v>
      </c>
    </row>
    <row r="15949" ht="15.75" customHeight="1">
      <c r="A15949" s="1">
        <v>16951.0</v>
      </c>
      <c r="B15949" s="3" t="s">
        <v>15150</v>
      </c>
      <c r="C15949" s="3" t="str">
        <f>IFERROR(__xludf.DUMMYFUNCTION("GOOGLETRANSLATE(B15949,""id"",""en"")"),"['Help', 'Thank you', ""]")</f>
        <v>['Help', 'Thank you', "]</v>
      </c>
      <c r="D15949" s="3">
        <v>5.0</v>
      </c>
    </row>
    <row r="15950" ht="15.75" customHeight="1">
      <c r="A15950" s="1">
        <v>16952.0</v>
      </c>
      <c r="B15950" s="3" t="s">
        <v>15151</v>
      </c>
      <c r="C15950" s="3" t="str">
        <f>IFERROR(__xludf.DUMMYFUNCTION("GOOGLETRANSLATE(B15950,""id"",""en"")"),"['Actis', 'Bangets', 'Package', 'Cheap']")</f>
        <v>['Actis', 'Bangets', 'Package', 'Cheap']</v>
      </c>
      <c r="D15950" s="3">
        <v>5.0</v>
      </c>
    </row>
    <row r="15951" ht="15.75" customHeight="1">
      <c r="A15951" s="1">
        <v>16953.0</v>
      </c>
      <c r="B15951" s="3" t="s">
        <v>859</v>
      </c>
      <c r="C15951" s="3" t="str">
        <f>IFERROR(__xludf.DUMMYFUNCTION("GOOGLETRANSLATE(B15951,""id"",""en"")"),"['help', '']")</f>
        <v>['help', '']</v>
      </c>
      <c r="D15951" s="3">
        <v>5.0</v>
      </c>
    </row>
    <row r="15952" ht="15.75" customHeight="1">
      <c r="A15952" s="1">
        <v>16954.0</v>
      </c>
      <c r="B15952" s="3" t="s">
        <v>15152</v>
      </c>
      <c r="C15952" s="3" t="str">
        <f>IFERROR(__xludf.DUMMYFUNCTION("GOOGLETRANSLATE(B15952,""id"",""en"")"),"['wagela', 'telkom', 'good', 'network']")</f>
        <v>['wagela', 'telkom', 'good', 'network']</v>
      </c>
      <c r="D15952" s="3">
        <v>1.0</v>
      </c>
    </row>
    <row r="15953" ht="15.75" customHeight="1">
      <c r="A15953" s="1">
        <v>16955.0</v>
      </c>
      <c r="B15953" s="3" t="s">
        <v>15153</v>
      </c>
      <c r="C15953" s="3" t="str">
        <f>IFERROR(__xludf.DUMMYFUNCTION("GOOGLETRANSLATE(B15953,""id"",""en"")"),"['Good', 'like']")</f>
        <v>['Good', 'like']</v>
      </c>
      <c r="D15953" s="3">
        <v>3.0</v>
      </c>
    </row>
    <row r="15954" ht="15.75" customHeight="1">
      <c r="A15954" s="1">
        <v>16956.0</v>
      </c>
      <c r="B15954" s="3" t="s">
        <v>15154</v>
      </c>
      <c r="C15954" s="3" t="str">
        <f>IFERROR(__xludf.DUMMYFUNCTION("GOOGLETRANSLATE(B15954,""id"",""en"")"),"['wihh', 'tasty', 'stay', 'pulse', 'stay', 'buy', 'pulse', 'buy', 'package', 'trims',' telkomsell ',' spirit ',' Country ',' beloved ',' state ',' advanced ',' technology ']")</f>
        <v>['wihh', 'tasty', 'stay', 'pulse', 'stay', 'buy', 'pulse', 'buy', 'package', 'trims',' telkomsell ',' spirit ',' Country ',' beloved ',' state ',' advanced ',' technology ']</v>
      </c>
      <c r="D15954" s="3">
        <v>5.0</v>
      </c>
    </row>
    <row r="15955" ht="15.75" customHeight="1">
      <c r="A15955" s="1">
        <v>16957.0</v>
      </c>
      <c r="B15955" s="3" t="s">
        <v>15155</v>
      </c>
      <c r="C15955" s="3" t="str">
        <f>IFERROR(__xludf.DUMMYFUNCTION("GOOGLETRANSLATE(B15955,""id"",""en"")"),"['', 'Update', 'Erroorrr']")</f>
        <v>['', 'Update', 'Erroorrr']</v>
      </c>
      <c r="D15955" s="3">
        <v>1.0</v>
      </c>
    </row>
    <row r="15956" ht="15.75" customHeight="1">
      <c r="A15956" s="1">
        <v>16958.0</v>
      </c>
      <c r="B15956" s="3" t="s">
        <v>15156</v>
      </c>
      <c r="C15956" s="3" t="str">
        <f>IFERROR(__xludf.DUMMYFUNCTION("GOOGLETRANSLATE(B15956,""id"",""en"")"),"['Test', 'dlu', 'times', 'hopefully', 'satisfying', '']")</f>
        <v>['Test', 'dlu', 'times', 'hopefully', 'satisfying', '']</v>
      </c>
      <c r="D15956" s="3">
        <v>5.0</v>
      </c>
    </row>
    <row r="15957" ht="15.75" customHeight="1">
      <c r="A15957" s="1">
        <v>16959.0</v>
      </c>
      <c r="B15957" s="3" t="s">
        <v>15157</v>
      </c>
      <c r="C15957" s="3" t="str">
        <f>IFERROR(__xludf.DUMMYFUNCTION("GOOGLETRANSLATE(B15957,""id"",""en"")"),"['signal', 'sympathy', 'disappointing', 'klp', 'ivory', 'pulogadung', 'priok', 'bandung', 'original', 'ugly', 'lost', 'dipake', ' children ',' abg ',' quota ',' expensive ',' signal ',' guarantee ',' ']")</f>
        <v>['signal', 'sympathy', 'disappointing', 'klp', 'ivory', 'pulogadung', 'priok', 'bandung', 'original', 'ugly', 'lost', 'dipake', ' children ',' abg ',' quota ',' expensive ',' signal ',' guarantee ',' ']</v>
      </c>
      <c r="D15957" s="3">
        <v>1.0</v>
      </c>
    </row>
    <row r="15958" ht="15.75" customHeight="1">
      <c r="A15958" s="1">
        <v>16960.0</v>
      </c>
      <c r="B15958" s="3" t="s">
        <v>15158</v>
      </c>
      <c r="C15958" s="3" t="str">
        <f>IFERROR(__xludf.DUMMYFUNCTION("GOOGLETRANSLATE(B15958,""id"",""en"")"),"['Severe', 'Telkomsel', 'already', 'expensive', 'signal', 'slow', 'surprise', 'Points',' Telko ',' Nukar ',' Tetep ',' use ',' prepaid ',' that's', 'active', 'weekly', 'expensive', 'cheap', 'karna', 'corona', 'expensive', 'please', 'correction', 'signal',"&amp;" 'point' , 'Cheap', 'little', '']")</f>
        <v>['Severe', 'Telkomsel', 'already', 'expensive', 'signal', 'slow', 'surprise', 'Points',' Telko ',' Nukar ',' Tetep ',' use ',' prepaid ',' that's', 'active', 'weekly', 'expensive', 'cheap', 'karna', 'corona', 'expensive', 'please', 'correction', 'signal', 'point' , 'Cheap', 'little', '']</v>
      </c>
      <c r="D15958" s="3">
        <v>1.0</v>
      </c>
    </row>
    <row r="15959" ht="15.75" customHeight="1">
      <c r="A15959" s="1">
        <v>16961.0</v>
      </c>
      <c r="B15959" s="3" t="s">
        <v>15159</v>
      </c>
      <c r="C15959" s="3" t="str">
        <f>IFERROR(__xludf.DUMMYFUNCTION("GOOGLETRANSLATE(B15959,""id"",""en"")"),"['Connection', 'Internet', 'Bad']")</f>
        <v>['Connection', 'Internet', 'Bad']</v>
      </c>
      <c r="D15959" s="3">
        <v>1.0</v>
      </c>
    </row>
    <row r="15960" ht="15.75" customHeight="1">
      <c r="A15960" s="1">
        <v>16962.0</v>
      </c>
      <c r="B15960" s="3" t="s">
        <v>2727</v>
      </c>
      <c r="C15960" s="3" t="str">
        <f>IFERROR(__xludf.DUMMYFUNCTION("GOOGLETRANSLATE(B15960,""id"",""en"")"),"['Opened', '']")</f>
        <v>['Opened', '']</v>
      </c>
      <c r="D15960" s="3">
        <v>1.0</v>
      </c>
    </row>
    <row r="15961" ht="15.75" customHeight="1">
      <c r="A15961" s="1">
        <v>16963.0</v>
      </c>
      <c r="B15961" s="3" t="s">
        <v>15160</v>
      </c>
      <c r="C15961" s="3" t="str">
        <f>IFERROR(__xludf.DUMMYFUNCTION("GOOGLETRANSLATE(B15961,""id"",""en"")"),"['weeks',' package ',' free ',' Sis', 'Switch', 'Points',' already ',' subscribe ',' Telkomsel ',' ngak ',' bonus', 'exsis',' Weekly ',' Package ',' HRI ',' Free ']")</f>
        <v>['weeks',' package ',' free ',' Sis', 'Switch', 'Points',' already ',' subscribe ',' Telkomsel ',' ngak ',' bonus', 'exsis',' Weekly ',' Package ',' HRI ',' Free ']</v>
      </c>
      <c r="D15961" s="3">
        <v>3.0</v>
      </c>
    </row>
    <row r="15962" ht="15.75" customHeight="1">
      <c r="A15962" s="1">
        <v>16964.0</v>
      </c>
      <c r="B15962" s="3" t="s">
        <v>15161</v>
      </c>
      <c r="C15962" s="3" t="str">
        <f>IFERROR(__xludf.DUMMYFUNCTION("GOOGLETRANSLATE(B15962,""id"",""en"")"),"['sgt', 'help']")</f>
        <v>['sgt', 'help']</v>
      </c>
      <c r="D15962" s="3">
        <v>3.0</v>
      </c>
    </row>
    <row r="15963" ht="15.75" customHeight="1">
      <c r="A15963" s="1">
        <v>16965.0</v>
      </c>
      <c r="B15963" s="3" t="s">
        <v>15162</v>
      </c>
      <c r="C15963" s="3" t="str">
        <f>IFERROR(__xludf.DUMMYFUNCTION("GOOGLETRANSLATE(B15963,""id"",""en"")"),"['service']")</f>
        <v>['service']</v>
      </c>
      <c r="D15963" s="3">
        <v>5.0</v>
      </c>
    </row>
    <row r="15964" ht="15.75" customHeight="1">
      <c r="A15964" s="1">
        <v>16966.0</v>
      </c>
      <c r="B15964" s="3" t="s">
        <v>15163</v>
      </c>
      <c r="C15964" s="3" t="str">
        <f>IFERROR(__xludf.DUMMYFUNCTION("GOOGLETRANSLATE(B15964,""id"",""en"")"),"['no', 'open', 'a week', 'smooth', 'update', 'no', 'change', 'check', 'pulse', 'manual', 'no', 'pulses',' run out ',' sucked ',' Please ',' Acquired ',' Use ',' Telkomsel ',' Times', 'Complaint']")</f>
        <v>['no', 'open', 'a week', 'smooth', 'update', 'no', 'change', 'check', 'pulse', 'manual', 'no', 'pulses',' run out ',' sucked ',' Please ',' Acquired ',' Use ',' Telkomsel ',' Times', 'Complaint']</v>
      </c>
      <c r="D15964" s="3">
        <v>1.0</v>
      </c>
    </row>
    <row r="15965" ht="15.75" customHeight="1">
      <c r="A15965" s="1">
        <v>16967.0</v>
      </c>
      <c r="B15965" s="3" t="s">
        <v>15164</v>
      </c>
      <c r="C15965" s="3" t="str">
        <f>IFERROR(__xludf.DUMMYFUNCTION("GOOGLETRANSLATE(B15965,""id"",""en"")"),"['Maintenance', 'The application', 'Ngeblank', 'White', 'BBR', ""]")</f>
        <v>['Maintenance', 'The application', 'Ngeblank', 'White', 'BBR', "]</v>
      </c>
      <c r="D15965" s="3">
        <v>3.0</v>
      </c>
    </row>
    <row r="15966" ht="15.75" customHeight="1">
      <c r="A15966" s="1">
        <v>16968.0</v>
      </c>
      <c r="B15966" s="3" t="s">
        <v>15165</v>
      </c>
      <c r="C15966" s="3" t="str">
        <f>IFERROR(__xludf.DUMMYFUNCTION("GOOGLETRANSLATE(B15966,""id"",""en"")"),"['Enter', 'APK', 'MyTelkomsel', '']")</f>
        <v>['Enter', 'APK', 'MyTelkomsel', '']</v>
      </c>
      <c r="D15966" s="3">
        <v>1.0</v>
      </c>
    </row>
    <row r="15967" ht="15.75" customHeight="1">
      <c r="A15967" s="1">
        <v>16969.0</v>
      </c>
      <c r="B15967" s="3" t="s">
        <v>15166</v>
      </c>
      <c r="C15967" s="3" t="str">
        <f>IFERROR(__xludf.DUMMYFUNCTION("GOOGLETRANSLATE(B15967,""id"",""en"")"),"['brokenkkk', 'package', 'expensive', 'signal', 'caughhhhh']")</f>
        <v>['brokenkkk', 'package', 'expensive', 'signal', 'caughhhhh']</v>
      </c>
      <c r="D15967" s="3">
        <v>1.0</v>
      </c>
    </row>
    <row r="15968" ht="15.75" customHeight="1">
      <c r="A15968" s="1">
        <v>16970.0</v>
      </c>
      <c r="B15968" s="3" t="s">
        <v>15167</v>
      </c>
      <c r="C15968" s="3" t="str">
        <f>IFERROR(__xludf.DUMMYFUNCTION("GOOGLETRANSLATE(B15968,""id"",""en"")"),"['Telkomsel', 'already', 'weekly', 'opened', 'opened', 'just', 'white', 'screen', 'already', 'tobak', 'uninstall', 'install', ' Reset ',' Tetep ',' Opened ',' ']")</f>
        <v>['Telkomsel', 'already', 'weekly', 'opened', 'opened', 'just', 'white', 'screen', 'already', 'tobak', 'uninstall', 'install', ' Reset ',' Tetep ',' Opened ',' ']</v>
      </c>
      <c r="D15968" s="3">
        <v>1.0</v>
      </c>
    </row>
    <row r="15969" ht="15.75" customHeight="1">
      <c r="A15969" s="1">
        <v>16971.0</v>
      </c>
      <c r="B15969" s="3" t="s">
        <v>15168</v>
      </c>
      <c r="C15969" s="3" t="str">
        <f>IFERROR(__xludf.DUMMYFUNCTION("GOOGLETRANSLATE(B15969,""id"",""en"")"),"['Please', 'Network', 'Fix', 'again', ""]")</f>
        <v>['Please', 'Network', 'Fix', 'again', "]</v>
      </c>
      <c r="D15969" s="3">
        <v>5.0</v>
      </c>
    </row>
    <row r="15970" ht="15.75" customHeight="1">
      <c r="A15970" s="1">
        <v>16972.0</v>
      </c>
      <c r="B15970" s="3" t="s">
        <v>15169</v>
      </c>
      <c r="C15970" s="3" t="str">
        <f>IFERROR(__xludf.DUMMYFUNCTION("GOOGLETRANSLATE(B15970,""id"",""en"")"),"['happy', 'Telkomsel', 'easy', 'bonus', 'Points', '']")</f>
        <v>['happy', 'Telkomsel', 'easy', 'bonus', 'Points', '']</v>
      </c>
      <c r="D15970" s="3">
        <v>5.0</v>
      </c>
    </row>
    <row r="15971" ht="15.75" customHeight="1">
      <c r="A15971" s="1">
        <v>16973.0</v>
      </c>
      <c r="B15971" s="3" t="s">
        <v>15170</v>
      </c>
      <c r="C15971" s="3" t="str">
        <f>IFERROR(__xludf.DUMMYFUNCTION("GOOGLETRANSLATE(B15971,""id"",""en"")"),"['please', 'love', 'cheap', 'dunk', 'promo', 'promo', 'tens', 'subscription']")</f>
        <v>['please', 'love', 'cheap', 'dunk', 'promo', 'promo', 'tens', 'subscription']</v>
      </c>
      <c r="D15971" s="3">
        <v>5.0</v>
      </c>
    </row>
    <row r="15972" ht="15.75" customHeight="1">
      <c r="A15972" s="1">
        <v>16974.0</v>
      </c>
      <c r="B15972" s="3" t="s">
        <v>15171</v>
      </c>
      <c r="C15972" s="3" t="str">
        <f>IFERROR(__xludf.DUMMYFUNCTION("GOOGLETRANSLATE(B15972,""id"",""en"")"),"['update', 'open', 'apk', 'then', 'sya', 'delete', 'downlod', 'tetep', 'work']")</f>
        <v>['update', 'open', 'apk', 'then', 'sya', 'delete', 'downlod', 'tetep', 'work']</v>
      </c>
      <c r="D15972" s="3">
        <v>2.0</v>
      </c>
    </row>
    <row r="15973" ht="15.75" customHeight="1">
      <c r="A15973" s="1">
        <v>16975.0</v>
      </c>
      <c r="B15973" s="3" t="s">
        <v>15172</v>
      </c>
      <c r="C15973" s="3" t="str">
        <f>IFERROR(__xludf.DUMMYFUNCTION("GOOGLETRANSLATE(B15973,""id"",""en"")"),"['Severe', 'expensive', 'skrg', 'Telkomsel', 'network', 'ilang', 'satisfying', 'Telkomsel', 'skrg', 'buy', 'package', 'expensive', ' Satisfying ',' customers', 'enakin', 'officials',' Telkomsel ',' BKN ',' Muasin ',' People ',' Cekik ',' Gini ', ""]")</f>
        <v>['Severe', 'expensive', 'skrg', 'Telkomsel', 'network', 'ilang', 'satisfying', 'Telkomsel', 'skrg', 'buy', 'package', 'expensive', ' Satisfying ',' customers', 'enakin', 'officials',' Telkomsel ',' BKN ',' Muasin ',' People ',' Cekik ',' Gini ', "]</v>
      </c>
      <c r="D15973" s="3">
        <v>1.0</v>
      </c>
    </row>
    <row r="15974" ht="15.75" customHeight="1">
      <c r="A15974" s="1">
        <v>16976.0</v>
      </c>
      <c r="B15974" s="3" t="s">
        <v>15173</v>
      </c>
      <c r="C15974" s="3" t="str">
        <f>IFERROR(__xludf.DUMMYFUNCTION("GOOGLETRANSLATE(B15974,""id"",""en"")"),"['pulse', 'missing', 'where', 'tidk', 'notification', 'transaction']")</f>
        <v>['pulse', 'missing', 'where', 'tidk', 'notification', 'transaction']</v>
      </c>
      <c r="D15974" s="3">
        <v>1.0</v>
      </c>
    </row>
    <row r="15975" ht="15.75" customHeight="1">
      <c r="A15975" s="1">
        <v>16978.0</v>
      </c>
      <c r="B15975" s="3" t="s">
        <v>15174</v>
      </c>
      <c r="C15975" s="3" t="str">
        <f>IFERROR(__xludf.DUMMYFUNCTION("GOOGLETRANSLATE(B15975,""id"",""en"")"),"['Update', 'Application', 'Accessible', 'Displays',' White ',' Screen ',' Ministry ',' Application ',' Closed ',' User ',' Complaints', 'Update', ' December, 'please', 'repaired', 'thank', 'love', ""]")</f>
        <v>['Update', 'Application', 'Accessible', 'Displays',' White ',' Screen ',' Ministry ',' Application ',' Closed ',' User ',' Complaints', 'Update', ' December, 'please', 'repaired', 'thank', 'love', "]</v>
      </c>
      <c r="D15975" s="3">
        <v>1.0</v>
      </c>
    </row>
    <row r="15976" ht="15.75" customHeight="1">
      <c r="A15976" s="1">
        <v>16979.0</v>
      </c>
      <c r="B15976" s="3" t="s">
        <v>15175</v>
      </c>
      <c r="C15976" s="3" t="str">
        <f>IFERROR(__xludf.DUMMYFUNCTION("GOOGLETRANSLATE(B15976,""id"",""en"")"),"['', 'week', 'application', 'Telkomsel', 'open', 'how', 'company', 'telkom', 'blm', 'progress',' related ',' disorder ',' the application ', 'strange']")</f>
        <v>['', 'week', 'application', 'Telkomsel', 'open', 'how', 'company', 'telkom', 'blm', 'progress',' related ',' disorder ',' the application ', 'strange']</v>
      </c>
      <c r="D15976" s="3">
        <v>3.0</v>
      </c>
    </row>
    <row r="15977" ht="15.75" customHeight="1">
      <c r="A15977" s="1">
        <v>16980.0</v>
      </c>
      <c r="B15977" s="3" t="s">
        <v>15176</v>
      </c>
      <c r="C15977" s="3" t="str">
        <f>IFERROR(__xludf.DUMMYFUNCTION("GOOGLETRANSLATE(B15977,""id"",""en"")"),"['quota', 'expensive', 'network', 'slow', 'Telkomsel', 'promo', 'network', 'slow', 'kayak', 'snail', 'comment', 'kayak', ' Gini ',' Tangfin ']")</f>
        <v>['quota', 'expensive', 'network', 'slow', 'Telkomsel', 'promo', 'network', 'slow', 'kayak', 'snail', 'comment', 'kayak', ' Gini ',' Tangfin ']</v>
      </c>
      <c r="D15977" s="3">
        <v>1.0</v>
      </c>
    </row>
    <row r="15978" ht="15.75" customHeight="1">
      <c r="A15978" s="1">
        <v>16981.0</v>
      </c>
      <c r="B15978" s="3" t="s">
        <v>15177</v>
      </c>
      <c r="C15978" s="3" t="str">
        <f>IFERROR(__xludf.DUMMYFUNCTION("GOOGLETRANSLATE(B15978,""id"",""en"")"),"['quota', 'cheap']")</f>
        <v>['quota', 'cheap']</v>
      </c>
      <c r="D15978" s="3">
        <v>5.0</v>
      </c>
    </row>
    <row r="15979" ht="15.75" customHeight="1">
      <c r="A15979" s="1">
        <v>16982.0</v>
      </c>
      <c r="B15979" s="3" t="s">
        <v>15178</v>
      </c>
      <c r="C15979" s="3" t="str">
        <f>IFERROR(__xludf.DUMMYFUNCTION("GOOGLETRANSLATE(B15979,""id"",""en"")"),"['Hbs', 'update', 'application', 'go']")</f>
        <v>['Hbs', 'update', 'application', 'go']</v>
      </c>
      <c r="D15979" s="3">
        <v>1.0</v>
      </c>
    </row>
    <row r="15980" ht="15.75" customHeight="1">
      <c r="A15980" s="1">
        <v>16984.0</v>
      </c>
      <c r="B15980" s="3" t="s">
        <v>4442</v>
      </c>
      <c r="C15980" s="3" t="str">
        <f>IFERROR(__xludf.DUMMYFUNCTION("GOOGLETRANSLATE(B15980,""id"",""en"")"),"['', 'Telkomsel', 'Good']")</f>
        <v>['', 'Telkomsel', 'Good']</v>
      </c>
      <c r="D15980" s="3">
        <v>5.0</v>
      </c>
    </row>
    <row r="15981" ht="15.75" customHeight="1">
      <c r="A15981" s="1">
        <v>16985.0</v>
      </c>
      <c r="B15981" s="3" t="s">
        <v>15179</v>
      </c>
      <c r="C15981" s="3" t="str">
        <f>IFERROR(__xludf.DUMMYFUNCTION("GOOGLETRANSLATE(B15981,""id"",""en"")"),"['Since', 'Network', 'Indihome', 'in', 'network', 'threat', 'price', 'expensive', 'quality', 'improvement', 'a little', 'disorder', ' Move ',' card ',' Ajalah ',' ']")</f>
        <v>['Since', 'Network', 'Indihome', 'in', 'network', 'threat', 'price', 'expensive', 'quality', 'improvement', 'a little', 'disorder', ' Move ',' card ',' Ajalah ',' ']</v>
      </c>
      <c r="D15981" s="3">
        <v>1.0</v>
      </c>
    </row>
    <row r="15982" ht="15.75" customHeight="1">
      <c r="A15982" s="1">
        <v>16986.0</v>
      </c>
      <c r="B15982" s="3" t="s">
        <v>15180</v>
      </c>
      <c r="C15982" s="3" t="str">
        <f>IFERROR(__xludf.DUMMYFUNCTION("GOOGLETRANSLATE(B15982,""id"",""en"")"),"['Cok', 'repeated', 'Mulu', 'Download', 'difficult', 'really']")</f>
        <v>['Cok', 'repeated', 'Mulu', 'Download', 'difficult', 'really']</v>
      </c>
      <c r="D15982" s="3">
        <v>1.0</v>
      </c>
    </row>
    <row r="15983" ht="15.75" customHeight="1">
      <c r="A15983" s="1">
        <v>16987.0</v>
      </c>
      <c r="B15983" s="3" t="s">
        <v>15181</v>
      </c>
      <c r="C15983" s="3" t="str">
        <f>IFERROR(__xludf.DUMMYFUNCTION("GOOGLETRANSLATE(B15983,""id"",""en"")"),"['Application', 'Telkomsel', 'Open', 'Application', 'Gaada', 'Screen', 'White', 'Already', 'Try', 'Unistal', 'Install', 'Many', ' times', 'Tetep', 'gabisa', 'please', 'Telkomsel', 'repaired', 'Need', 'really', 'application', '']")</f>
        <v>['Application', 'Telkomsel', 'Open', 'Application', 'Gaada', 'Screen', 'White', 'Already', 'Try', 'Unistal', 'Install', 'Many', ' times', 'Tetep', 'gabisa', 'please', 'Telkomsel', 'repaired', 'Need', 'really', 'application', '']</v>
      </c>
      <c r="D15983" s="3">
        <v>1.0</v>
      </c>
    </row>
    <row r="15984" ht="15.75" customHeight="1">
      <c r="A15984" s="1">
        <v>16988.0</v>
      </c>
      <c r="B15984" s="3" t="s">
        <v>15182</v>
      </c>
      <c r="C15984" s="3" t="str">
        <f>IFERROR(__xludf.DUMMYFUNCTION("GOOGLETRANSLATE(B15984,""id"",""en"")"),"['success']")</f>
        <v>['success']</v>
      </c>
      <c r="D15984" s="3">
        <v>5.0</v>
      </c>
    </row>
    <row r="15985" ht="15.75" customHeight="1">
      <c r="A15985" s="1">
        <v>16989.0</v>
      </c>
      <c r="B15985" s="3" t="s">
        <v>15183</v>
      </c>
      <c r="C15985" s="3" t="str">
        <f>IFERROR(__xludf.DUMMYFUNCTION("GOOGLETRANSLATE(B15985,""id"",""en"")"),"['KNPA', 'opened', 'repeated', 'times', 'Install', 'Tetep']")</f>
        <v>['KNPA', 'opened', 'repeated', 'times', 'Install', 'Tetep']</v>
      </c>
      <c r="D15985" s="3">
        <v>1.0</v>
      </c>
    </row>
    <row r="15986" ht="15.75" customHeight="1">
      <c r="A15986" s="1">
        <v>16990.0</v>
      </c>
      <c r="B15986" s="3" t="s">
        <v>15184</v>
      </c>
      <c r="C15986" s="3" t="str">
        <f>IFERROR(__xludf.DUMMYFUNCTION("GOOGLETRANSLATE(B15986,""id"",""en"")"),"['Woii', 'Taken', 'credit', 'cave', 'cave', 'fill in', 'credit', 'deliberate', 'contents',' reset ',' quota ',' suck ',' pulses', 'cave', 'bangse', 'rich', 'that's',' cave ',' cave ',' waste ',' card ',' telkomsel ',' cave ',' replace ',' card ' , 'Perdan"&amp;"a', ""]")</f>
        <v>['Woii', 'Taken', 'credit', 'cave', 'cave', 'fill in', 'credit', 'deliberate', 'contents',' reset ',' quota ',' suck ',' pulses', 'cave', 'bangse', 'rich', 'that's',' cave ',' cave ',' waste ',' card ',' telkomsel ',' cave ',' replace ',' card ' , 'Perdana', "]</v>
      </c>
      <c r="D15986" s="3">
        <v>1.0</v>
      </c>
    </row>
    <row r="15987" ht="15.75" customHeight="1">
      <c r="A15987" s="1">
        <v>16991.0</v>
      </c>
      <c r="B15987" s="3" t="s">
        <v>15185</v>
      </c>
      <c r="C15987" s="3" t="str">
        <f>IFERROR(__xludf.DUMMYFUNCTION("GOOGLETRANSLATE(B15987,""id"",""en"")"),"['', 'Telkomsel', 'Thank you', 'Kouta', 'cheap']")</f>
        <v>['', 'Telkomsel', 'Thank you', 'Kouta', 'cheap']</v>
      </c>
      <c r="D15987" s="3">
        <v>5.0</v>
      </c>
    </row>
    <row r="15988" ht="15.75" customHeight="1">
      <c r="A15988" s="1">
        <v>16992.0</v>
      </c>
      <c r="B15988" s="3" t="s">
        <v>15186</v>
      </c>
      <c r="C15988" s="3" t="str">
        <f>IFERROR(__xludf.DUMMYFUNCTION("GOOGLETRANSLATE(B15988,""id"",""en"")"),"['', 'update', 'destroyed']")</f>
        <v>['', 'update', 'destroyed']</v>
      </c>
      <c r="D15988" s="3">
        <v>1.0</v>
      </c>
    </row>
    <row r="15989" ht="15.75" customHeight="1">
      <c r="A15989" s="1">
        <v>16994.0</v>
      </c>
      <c r="B15989" s="3" t="s">
        <v>15187</v>
      </c>
      <c r="C15989" s="3" t="str">
        <f>IFERROR(__xludf.DUMMYFUNCTION("GOOGLETRANSLATE(B15989,""id"",""en"")"),"['The APK', 'BSA', 'Open', 'Error', 'Blank', 'White', ""]")</f>
        <v>['The APK', 'BSA', 'Open', 'Error', 'Blank', 'White', "]</v>
      </c>
      <c r="D15989" s="3">
        <v>2.0</v>
      </c>
    </row>
    <row r="15990" ht="15.75" customHeight="1">
      <c r="A15990" s="1">
        <v>16995.0</v>
      </c>
      <c r="B15990" s="3" t="s">
        <v>6323</v>
      </c>
      <c r="C15990" s="3" t="str">
        <f>IFERROR(__xludf.DUMMYFUNCTION("GOOGLETRANSLATE(B15990,""id"",""en"")"),"['Like', 'Telkomsel']")</f>
        <v>['Like', 'Telkomsel']</v>
      </c>
      <c r="D15990" s="3">
        <v>5.0</v>
      </c>
    </row>
    <row r="15991" ht="15.75" customHeight="1">
      <c r="A15991" s="1">
        <v>16996.0</v>
      </c>
      <c r="B15991" s="3" t="s">
        <v>15188</v>
      </c>
      <c r="C15991" s="3" t="str">
        <f>IFERROR(__xludf.DUMMYFUNCTION("GOOGLETRANSLATE(B15991,""id"",""en"")"),"['APK', 'opened', 'screen', 'white', 'download', 'delete', 'change']")</f>
        <v>['APK', 'opened', 'screen', 'white', 'download', 'delete', 'change']</v>
      </c>
      <c r="D15991" s="3">
        <v>1.0</v>
      </c>
    </row>
    <row r="15992" ht="15.75" customHeight="1">
      <c r="A15992" s="1">
        <v>16997.0</v>
      </c>
      <c r="B15992" s="3" t="s">
        <v>15189</v>
      </c>
      <c r="C15992" s="3" t="str">
        <f>IFERROR(__xludf.DUMMYFUNCTION("GOOGLETRANSLATE(B15992,""id"",""en"")"),"['', 'dlu', 'hehehe']")</f>
        <v>['', 'dlu', 'hehehe']</v>
      </c>
      <c r="D15992" s="3">
        <v>5.0</v>
      </c>
    </row>
    <row r="15993" ht="15.75" customHeight="1">
      <c r="A15993" s="1">
        <v>16998.0</v>
      </c>
      <c r="B15993" s="3" t="s">
        <v>15190</v>
      </c>
      <c r="C15993" s="3" t="str">
        <f>IFERROR(__xludf.DUMMYFUNCTION("GOOGLETRANSLATE(B15993,""id"",""en"")"),"['Severe', 'Error', 'Opened', '']")</f>
        <v>['Severe', 'Error', 'Opened', '']</v>
      </c>
      <c r="D15993" s="3">
        <v>4.0</v>
      </c>
    </row>
    <row r="15994" ht="15.75" customHeight="1">
      <c r="A15994" s="1">
        <v>16999.0</v>
      </c>
      <c r="B15994" s="3" t="s">
        <v>15191</v>
      </c>
      <c r="C15994" s="3" t="str">
        <f>IFERROR(__xludf.DUMMYFUNCTION("GOOGLETRANSLATE(B15994,""id"",""en"")"),"['poor', 'stop', 'package', 'internet', 'outlet', '']")</f>
        <v>['poor', 'stop', 'package', 'internet', 'outlet', '']</v>
      </c>
      <c r="D15994" s="3">
        <v>2.0</v>
      </c>
    </row>
    <row r="15995" ht="15.75" customHeight="1">
      <c r="A15995" s="1">
        <v>17000.0</v>
      </c>
      <c r="B15995" s="3" t="s">
        <v>15192</v>
      </c>
      <c r="C15995" s="3" t="str">
        <f>IFERROR(__xludf.DUMMYFUNCTION("GOOGLETRANSLATE(B15995,""id"",""en"")"),"['', 'pulse', 'cave', 'sumps', 'bajing', 'kaga', 'setting', 'pulse', 'quota', 'cave', 'abis', ""]")</f>
        <v>['', 'pulse', 'cave', 'sumps', 'bajing', 'kaga', 'setting', 'pulse', 'quota', 'cave', 'abis', "]</v>
      </c>
      <c r="D15995" s="3">
        <v>1.0</v>
      </c>
    </row>
    <row r="15996" ht="15.75" customHeight="1">
      <c r="A15996" s="1">
        <v>17001.0</v>
      </c>
      <c r="B15996" s="3" t="s">
        <v>15193</v>
      </c>
      <c r="C15996" s="3" t="str">
        <f>IFERROR(__xludf.DUMMYFUNCTION("GOOGLETRANSLATE(B15996,""id"",""en"")"),"['pulses', 'Sumpot', 'buy', 'quota', 'debt', 'credit', 'emergency', 'disappointed', ""]")</f>
        <v>['pulses', 'Sumpot', 'buy', 'quota', 'debt', 'credit', 'emergency', 'disappointed', "]</v>
      </c>
      <c r="D15996" s="3">
        <v>1.0</v>
      </c>
    </row>
    <row r="15997" ht="15.75" customHeight="1">
      <c r="A15997" s="1">
        <v>17002.0</v>
      </c>
      <c r="B15997" s="3" t="s">
        <v>15194</v>
      </c>
      <c r="C15997" s="3" t="str">
        <f>IFERROR(__xludf.DUMMYFUNCTION("GOOGLETRANSLATE(B15997,""id"",""en"")"),"['Abis', 'download', 'no', 'open', 'strange']")</f>
        <v>['Abis', 'download', 'no', 'open', 'strange']</v>
      </c>
      <c r="D15997" s="3">
        <v>1.0</v>
      </c>
    </row>
    <row r="15998" ht="15.75" customHeight="1">
      <c r="A15998" s="1">
        <v>17003.0</v>
      </c>
      <c r="B15998" s="3" t="s">
        <v>15195</v>
      </c>
      <c r="C15998" s="3" t="str">
        <f>IFERROR(__xludf.DUMMYFUNCTION("GOOGLETRANSLATE(B15998,""id"",""en"")"),"['TELKOM', 'big one']")</f>
        <v>['TELKOM', 'big one']</v>
      </c>
      <c r="D15998" s="3">
        <v>1.0</v>
      </c>
    </row>
    <row r="15999" ht="15.75" customHeight="1">
      <c r="A15999" s="1">
        <v>17004.0</v>
      </c>
      <c r="B15999" s="3" t="s">
        <v>15196</v>
      </c>
      <c r="C15999" s="3" t="str">
        <f>IFERROR(__xludf.DUMMYFUNCTION("GOOGLETRANSLATE(B15999,""id"",""en"")"),"['Severe', 'really', 'Telkomsel', 'Tekomsel', 'open', 'check', 'quota', 'already', 'report', 'ajah', 'moved', 'provider']")</f>
        <v>['Severe', 'really', 'Telkomsel', 'Tekomsel', 'open', 'check', 'quota', 'already', 'report', 'ajah', 'moved', 'provider']</v>
      </c>
      <c r="D15999" s="3">
        <v>1.0</v>
      </c>
    </row>
    <row r="16000" ht="15.75" customHeight="1">
      <c r="A16000" s="1">
        <v>17005.0</v>
      </c>
      <c r="B16000" s="3" t="s">
        <v>15197</v>
      </c>
      <c r="C16000" s="3" t="str">
        <f>IFERROR(__xludf.DUMMYFUNCTION("GOOGLETRANSLATE(B16000,""id"",""en"")"),"['Telkomsel', 'package', 'automatic', 'paid', 'Tampa', 'clicked', 'purchase', 'renewal', 'automatic', 'check', 'history', 'purchase', ' check ',' description ',' purchase ',' peket ',' according to ',' price ',' GB ',' crazy ',' Telkomsel ',' mentang ',' "&amp;"mentang ',' network ',' Telkomsel ' , 'available', '']")</f>
        <v>['Telkomsel', 'package', 'automatic', 'paid', 'Tampa', 'clicked', 'purchase', 'renewal', 'automatic', 'check', 'history', 'purchase', ' check ',' description ',' purchase ',' peket ',' according to ',' price ',' GB ',' crazy ',' Telkomsel ',' mentang ',' mentang ',' network ',' Telkomsel ' , 'available', '']</v>
      </c>
      <c r="D16000" s="3">
        <v>4.0</v>
      </c>
    </row>
    <row r="16001" ht="15.75" customHeight="1">
      <c r="A16001" s="1">
        <v>17006.0</v>
      </c>
      <c r="B16001" s="3" t="s">
        <v>15198</v>
      </c>
      <c r="C16001" s="3" t="str">
        <f>IFERROR(__xludf.DUMMYFUNCTION("GOOGLETRANSLATE(B16001,""id"",""en"")"),"['transparent', 'satisfied']")</f>
        <v>['transparent', 'satisfied']</v>
      </c>
      <c r="D16001" s="3">
        <v>5.0</v>
      </c>
    </row>
    <row r="16002" ht="15.75" customHeight="1">
      <c r="A16002" s="1">
        <v>17007.0</v>
      </c>
      <c r="B16002" s="3" t="s">
        <v>15199</v>
      </c>
      <c r="C16002" s="3" t="str">
        <f>IFERROR(__xludf.DUMMYFUNCTION("GOOGLETRANSLATE(B16002,""id"",""en"")"),"['minus', 'value', 'love', 'minus', 'complain', 'signal', 'improvement', 'advantage', 'Telkomsel', 'price', 'package', 'expensive']")</f>
        <v>['minus', 'value', 'love', 'minus', 'complain', 'signal', 'improvement', 'advantage', 'Telkomsel', 'price', 'package', 'expensive']</v>
      </c>
      <c r="D16002" s="3">
        <v>1.0</v>
      </c>
    </row>
    <row r="16003" ht="15.75" customHeight="1">
      <c r="A16003" s="1">
        <v>17008.0</v>
      </c>
      <c r="B16003" s="3" t="s">
        <v>15200</v>
      </c>
      <c r="C16003" s="3" t="str">
        <f>IFERROR(__xludf.DUMMYFUNCTION("GOOGLETRANSLATE(B16003,""id"",""en"")"),"['price', 'package', 'stabilin', 'mentang', 'taun', 'package', 'mahalin', '']")</f>
        <v>['price', 'package', 'stabilin', 'mentang', 'taun', 'package', 'mahalin', '']</v>
      </c>
      <c r="D16003" s="3">
        <v>3.0</v>
      </c>
    </row>
    <row r="16004" ht="15.75" customHeight="1">
      <c r="A16004" s="1">
        <v>17009.0</v>
      </c>
      <c r="B16004" s="3" t="s">
        <v>15201</v>
      </c>
      <c r="C16004" s="3" t="str">
        <f>IFERROR(__xludf.DUMMYFUNCTION("GOOGLETRANSLATE(B16004,""id"",""en"")"),"['signal', 'ugly', 'package', 'expensive', 'hadooh']")</f>
        <v>['signal', 'ugly', 'package', 'expensive', 'hadooh']</v>
      </c>
      <c r="D16004" s="3">
        <v>1.0</v>
      </c>
    </row>
    <row r="16005" ht="15.75" customHeight="1">
      <c r="A16005" s="1">
        <v>17010.0</v>
      </c>
      <c r="B16005" s="3" t="s">
        <v>15202</v>
      </c>
      <c r="C16005" s="3" t="str">
        <f>IFERROR(__xludf.DUMMYFUNCTION("GOOGLETRANSLATE(B16005,""id"",""en"")"),"['expensive', 'price', 'Gara', 'Gara', 'stay', 'remote', 'Telkomsel', 'already', 'replace', 'card']")</f>
        <v>['expensive', 'price', 'Gara', 'Gara', 'stay', 'remote', 'Telkomsel', 'already', 'replace', 'card']</v>
      </c>
      <c r="D16005" s="3">
        <v>1.0</v>
      </c>
    </row>
    <row r="16006" ht="15.75" customHeight="1">
      <c r="A16006" s="1">
        <v>17011.0</v>
      </c>
      <c r="B16006" s="3" t="s">
        <v>15203</v>
      </c>
      <c r="C16006" s="3" t="str">
        <f>IFERROR(__xludf.DUMMYFUNCTION("GOOGLETRANSLATE(B16006,""id"",""en"")"),"['Hallo', 'admin', 'Telkomsel', 'accessed', 'White', 'screen']")</f>
        <v>['Hallo', 'admin', 'Telkomsel', 'accessed', 'White', 'screen']</v>
      </c>
      <c r="D16006" s="3">
        <v>1.0</v>
      </c>
    </row>
    <row r="16007" ht="15.75" customHeight="1">
      <c r="A16007" s="1">
        <v>17012.0</v>
      </c>
      <c r="B16007" s="3" t="s">
        <v>15204</v>
      </c>
      <c r="C16007" s="3" t="str">
        <f>IFERROR(__xludf.DUMMYFUNCTION("GOOGLETRANSLATE(B16007,""id"",""en"")"),"['Lakok', 'country', 'no', 'difficult', 'Telkomsel', ""]")</f>
        <v>['Lakok', 'country', 'no', 'difficult', 'Telkomsel', "]</v>
      </c>
      <c r="D16007" s="3">
        <v>5.0</v>
      </c>
    </row>
    <row r="16008" ht="15.75" customHeight="1">
      <c r="A16008" s="1">
        <v>17013.0</v>
      </c>
      <c r="B16008" s="3" t="s">
        <v>15205</v>
      </c>
      <c r="C16008" s="3" t="str">
        <f>IFERROR(__xludf.DUMMYFUNCTION("GOOGLETRANSLATE(B16008,""id"",""en"")"),"['', 'Telkomsel', 'knpa', 'white', 'screen', 'open', 'menu', 'skrg']")</f>
        <v>['', 'Telkomsel', 'knpa', 'white', 'screen', 'open', 'menu', 'skrg']</v>
      </c>
      <c r="D16008" s="3">
        <v>1.0</v>
      </c>
    </row>
    <row r="16009" ht="15.75" customHeight="1">
      <c r="A16009" s="1">
        <v>17014.0</v>
      </c>
      <c r="B16009" s="3" t="s">
        <v>15206</v>
      </c>
      <c r="C16009" s="3" t="str">
        <f>IFERROR(__xludf.DUMMYFUNCTION("GOOGLETRANSLATE(B16009,""id"",""en"")"),"['Simple', 'easy', 'sellu', 'package', 'promo', 'pokonya', 'jos', 'telcomsel']")</f>
        <v>['Simple', 'easy', 'sellu', 'package', 'promo', 'pokonya', 'jos', 'telcomsel']</v>
      </c>
      <c r="D16009" s="3">
        <v>5.0</v>
      </c>
    </row>
    <row r="16010" ht="15.75" customHeight="1">
      <c r="A16010" s="1">
        <v>17015.0</v>
      </c>
      <c r="B16010" s="3" t="s">
        <v>15207</v>
      </c>
      <c r="C16010" s="3" t="str">
        <f>IFERROR(__xludf.DUMMYFUNCTION("GOOGLETRANSLATE(B16010,""id"",""en"")"),"['admin', 'Telkomsel', 'tariff', 'pulse', 'non', 'package', 'cave', 'buy', 'pulse', 'thousand', 'hit', 'rates',' pulses', 'non', 'package', 'thousand', 'thousand', 'pulse', 'cave', 'thousand', 'cave', 'buy', 'quota', 'sek', 'price' , 'thousand', 'activate"&amp;"d', 'tariff', 'pulse', 'non', 'package', 'please', 'admin', 'Telkomsel', 'lined', 'contents',' pulses', ' That's', 'Gini', 'Hadeh']")</f>
        <v>['admin', 'Telkomsel', 'tariff', 'pulse', 'non', 'package', 'cave', 'buy', 'pulse', 'thousand', 'hit', 'rates',' pulses', 'non', 'package', 'thousand', 'thousand', 'pulse', 'cave', 'thousand', 'cave', 'buy', 'quota', 'sek', 'price' , 'thousand', 'activated', 'tariff', 'pulse', 'non', 'package', 'please', 'admin', 'Telkomsel', 'lined', 'contents',' pulses', ' That's', 'Gini', 'Hadeh']</v>
      </c>
      <c r="D16010" s="3">
        <v>1.0</v>
      </c>
    </row>
    <row r="16011" ht="15.75" customHeight="1">
      <c r="A16011" s="1">
        <v>17016.0</v>
      </c>
      <c r="B16011" s="3" t="s">
        <v>15208</v>
      </c>
      <c r="C16011" s="3" t="str">
        <f>IFERROR(__xludf.DUMMYFUNCTION("GOOGLETRANSLATE(B16011,""id"",""en"")"),"['Signal', 'Telkom', 'ugly']")</f>
        <v>['Signal', 'Telkom', 'ugly']</v>
      </c>
      <c r="D16011" s="3">
        <v>2.0</v>
      </c>
    </row>
    <row r="16012" ht="15.75" customHeight="1">
      <c r="A16012" s="1">
        <v>17017.0</v>
      </c>
      <c r="B16012" s="3" t="s">
        <v>15209</v>
      </c>
      <c r="C16012" s="3" t="str">
        <f>IFERROR(__xludf.DUMMYFUNCTION("GOOGLETRANSLATE(B16012,""id"",""en"")"),"['Gosh', 'network', 'Telkomsel', 'buy', 'package', 'expensive', 'network', 'good', 'Telkomsel', 'network', 'Low', 'Please', ' help ',' play ',' games', 'watch', 'etc.', 'loading', 'loading', 'hours',' play ',' game ',' until ',' person ',' people ' , 'Fir"&amp;"e', 'like', 'Telkomsel', 'moved', 'Action', 'continued']")</f>
        <v>['Gosh', 'network', 'Telkomsel', 'buy', 'package', 'expensive', 'network', 'good', 'Telkomsel', 'network', 'Low', 'Please', ' help ',' play ',' games', 'watch', 'etc.', 'loading', 'loading', 'hours',' play ',' game ',' until ',' person ',' people ' , 'Fire', 'like', 'Telkomsel', 'moved', 'Action', 'continued']</v>
      </c>
      <c r="D16012" s="3">
        <v>1.0</v>
      </c>
    </row>
    <row r="16013" ht="15.75" customHeight="1">
      <c r="A16013" s="1">
        <v>17018.0</v>
      </c>
      <c r="B16013" s="3" t="s">
        <v>15210</v>
      </c>
      <c r="C16013" s="3" t="str">
        <f>IFERROR(__xludf.DUMMYFUNCTION("GOOGLETRANSLATE(B16013,""id"",""en"")"),"['only', 'provider', 'Telkomsel', 'buy', 'quota', 'signal', 'full', 'most', 'eat', 'quota', 'haram', 'Telkomsel']")</f>
        <v>['only', 'provider', 'Telkomsel', 'buy', 'quota', 'signal', 'full', 'most', 'eat', 'quota', 'haram', 'Telkomsel']</v>
      </c>
      <c r="D16013" s="3">
        <v>1.0</v>
      </c>
    </row>
    <row r="16014" ht="15.75" customHeight="1">
      <c r="A16014" s="1">
        <v>17019.0</v>
      </c>
      <c r="B16014" s="3" t="s">
        <v>15211</v>
      </c>
      <c r="C16014" s="3" t="str">
        <f>IFERROR(__xludf.DUMMYFUNCTION("GOOGLETRANSLATE(B16014,""id"",""en"")"),"['hope', 'Sinyall', 'Nge', 'Game']")</f>
        <v>['hope', 'Sinyall', 'Nge', 'Game']</v>
      </c>
      <c r="D16014" s="3">
        <v>5.0</v>
      </c>
    </row>
    <row r="16015" ht="15.75" customHeight="1">
      <c r="A16015" s="1">
        <v>17020.0</v>
      </c>
      <c r="B16015" s="3" t="s">
        <v>15212</v>
      </c>
      <c r="C16015" s="3" t="str">
        <f>IFERROR(__xludf.DUMMYFUNCTION("GOOGLETRANSLATE(B16015,""id"",""en"")"),"['Package', 'expensive', 'Speed', 'slow']")</f>
        <v>['Package', 'expensive', 'Speed', 'slow']</v>
      </c>
      <c r="D16015" s="3">
        <v>1.0</v>
      </c>
    </row>
    <row r="16016" ht="15.75" customHeight="1">
      <c r="A16016" s="1">
        <v>17021.0</v>
      </c>
      <c r="B16016" s="3" t="s">
        <v>15213</v>
      </c>
      <c r="C16016" s="3" t="str">
        <f>IFERROR(__xludf.DUMMYFUNCTION("GOOGLETRANSLATE(B16016,""id"",""en"")"),"['convenience', 'transaction']")</f>
        <v>['convenience', 'transaction']</v>
      </c>
      <c r="D16016" s="3">
        <v>5.0</v>
      </c>
    </row>
    <row r="16017" ht="15.75" customHeight="1">
      <c r="A16017" s="1">
        <v>17022.0</v>
      </c>
      <c r="B16017" s="3" t="s">
        <v>15214</v>
      </c>
      <c r="C16017" s="3" t="str">
        <f>IFERROR(__xludf.DUMMYFUNCTION("GOOGLETRANSLATE(B16017,""id"",""en"")"),"['pulse', 'stay', 'leftover', 'exchange', 'point', 'point', 'package', 'GB', 'mah', 'point', 'missing', 'pulse', ' is lost', '']")</f>
        <v>['pulse', 'stay', 'leftover', 'exchange', 'point', 'point', 'package', 'GB', 'mah', 'point', 'missing', 'pulse', ' is lost', '']</v>
      </c>
      <c r="D16017" s="3">
        <v>1.0</v>
      </c>
    </row>
    <row r="16018" ht="15.75" customHeight="1">
      <c r="A16018" s="1">
        <v>17023.0</v>
      </c>
      <c r="B16018" s="3" t="s">
        <v>4546</v>
      </c>
      <c r="C16018" s="3" t="str">
        <f>IFERROR(__xludf.DUMMYFUNCTION("GOOGLETRANSLATE(B16018,""id"",""en"")"),"['satisfied']")</f>
        <v>['satisfied']</v>
      </c>
      <c r="D16018" s="3">
        <v>5.0</v>
      </c>
    </row>
    <row r="16019" ht="15.75" customHeight="1">
      <c r="A16019" s="1">
        <v>17024.0</v>
      </c>
      <c r="B16019" s="3" t="s">
        <v>15215</v>
      </c>
      <c r="C16019" s="3" t="str">
        <f>IFERROR(__xludf.DUMMYFUNCTION("GOOGLETRANSLATE(B16019,""id"",""en"")"),"['MyTelkomsel', 'transaction', 'easy', 'fast', 'trusted', '']")</f>
        <v>['MyTelkomsel', 'transaction', 'easy', 'fast', 'trusted', '']</v>
      </c>
      <c r="D16019" s="3">
        <v>5.0</v>
      </c>
    </row>
    <row r="16020" ht="15.75" customHeight="1">
      <c r="A16020" s="1">
        <v>17025.0</v>
      </c>
      <c r="B16020" s="3" t="s">
        <v>15216</v>
      </c>
      <c r="C16020" s="3" t="str">
        <f>IFERROR(__xludf.DUMMYFUNCTION("GOOGLETRANSLATE(B16020,""id"",""en"")"),"['Collapin', 'Karna', 'Change', 'Skali', 'Region', 'Papua', 'Wamena', 'Telkomsel', 'Expensive', 'Exchange', 'Package', 'Network', ' "", 'Klau', 'officer', 'Telkomsel', 'Reason', 'smell', 'Politics', 'Ina', 'Telkomsel', 'Change', 'Skali', 'in America', 'no"&amp;"ise' , 'Telkomsel', 'Report', 'authorized', 'Unplug', 'his business', ""]")</f>
        <v>['Collapin', 'Karna', 'Change', 'Skali', 'Region', 'Papua', 'Wamena', 'Telkomsel', 'Expensive', 'Exchange', 'Package', 'Network', ' ", 'Klau', 'officer', 'Telkomsel', 'Reason', 'smell', 'Politics', 'Ina', 'Telkomsel', 'Change', 'Skali', 'in America', 'noise' , 'Telkomsel', 'Report', 'authorized', 'Unplug', 'his business', "]</v>
      </c>
      <c r="D16020" s="3">
        <v>1.0</v>
      </c>
    </row>
    <row r="16021" ht="15.75" customHeight="1">
      <c r="A16021" s="1">
        <v>17026.0</v>
      </c>
      <c r="B16021" s="3" t="s">
        <v>15217</v>
      </c>
      <c r="C16021" s="3" t="str">
        <f>IFERROR(__xludf.DUMMYFUNCTION("GOOGLETRANSLATE(B16021,""id"",""en"")"),"['', 'Telkomsel', 'update', 'opened', '']")</f>
        <v>['', 'Telkomsel', 'update', 'opened', '']</v>
      </c>
      <c r="D16021" s="3">
        <v>5.0</v>
      </c>
    </row>
    <row r="16022" ht="15.75" customHeight="1">
      <c r="A16022" s="1">
        <v>17027.0</v>
      </c>
      <c r="B16022" s="3" t="s">
        <v>15218</v>
      </c>
      <c r="C16022" s="3" t="str">
        <f>IFERROR(__xludf.DUMMYFUNCTION("GOOGLETRANSLATE(B16022,""id"",""en"")"),"['Telkomsel', 'network', 'difficult', 'baget', 'kirain', 'puya', 'doang', 'laen', 'yes', 'please', 'fix']")</f>
        <v>['Telkomsel', 'network', 'difficult', 'baget', 'kirain', 'puya', 'doang', 'laen', 'yes', 'please', 'fix']</v>
      </c>
      <c r="D16022" s="3">
        <v>1.0</v>
      </c>
    </row>
    <row r="16023" ht="15.75" customHeight="1">
      <c r="A16023" s="1">
        <v>17028.0</v>
      </c>
      <c r="B16023" s="3" t="s">
        <v>15219</v>
      </c>
      <c r="C16023" s="3" t="str">
        <f>IFERROR(__xludf.DUMMYFUNCTION("GOOGLETRANSLATE(B16023,""id"",""en"")"),"['Enter', 'Application', 'Telkomsel', 'Ngeblank', 'Update', ""]")</f>
        <v>['Enter', 'Application', 'Telkomsel', 'Ngeblank', 'Update', "]</v>
      </c>
      <c r="D16023" s="3">
        <v>3.0</v>
      </c>
    </row>
    <row r="16024" ht="15.75" customHeight="1">
      <c r="A16024" s="1">
        <v>17029.0</v>
      </c>
      <c r="B16024" s="3" t="s">
        <v>15220</v>
      </c>
      <c r="C16024" s="3" t="str">
        <f>IFERROR(__xludf.DUMMYFUNCTION("GOOGLETRANSLATE(B16024,""id"",""en"")"),"['bsa', 'screen', 'white', 'white', 'buy', 'package', 'like', 'slow', 'Telkomsel', 'play', 'game', 'user', ' ']")</f>
        <v>['bsa', 'screen', 'white', 'white', 'buy', 'package', 'like', 'slow', 'Telkomsel', 'play', 'game', 'user', ' ']</v>
      </c>
      <c r="D16024" s="3">
        <v>5.0</v>
      </c>
    </row>
    <row r="16025" ht="15.75" customHeight="1">
      <c r="A16025" s="1">
        <v>17030.0</v>
      </c>
      <c r="B16025" s="3" t="s">
        <v>15221</v>
      </c>
      <c r="C16025" s="3" t="str">
        <f>IFERROR(__xludf.DUMMYFUNCTION("GOOGLETRANSLATE(B16025,""id"",""en"")"),"['apk', 'Telkomsel', 'good', 'help']")</f>
        <v>['apk', 'Telkomsel', 'good', 'help']</v>
      </c>
      <c r="D16025" s="3">
        <v>5.0</v>
      </c>
    </row>
    <row r="16026" ht="15.75" customHeight="1">
      <c r="A16026" s="1">
        <v>17031.0</v>
      </c>
      <c r="B16026" s="3" t="s">
        <v>15222</v>
      </c>
      <c r="C16026" s="3" t="str">
        <f>IFERROR(__xludf.DUMMYFUNCTION("GOOGLETRANSLATE(B16026,""id"",""en"")"),"['update', 'Telkomsel', 'used', 'update', 'please', 'min', 'repair', 'love', 'solution', 'Telkomsel']")</f>
        <v>['update', 'Telkomsel', 'used', 'update', 'please', 'min', 'repair', 'love', 'solution', 'Telkomsel']</v>
      </c>
      <c r="D16026" s="3">
        <v>4.0</v>
      </c>
    </row>
    <row r="16027" ht="15.75" customHeight="1">
      <c r="A16027" s="1">
        <v>17032.0</v>
      </c>
      <c r="B16027" s="3" t="s">
        <v>15223</v>
      </c>
      <c r="C16027" s="3" t="str">
        <f>IFERROR(__xludf.DUMMYFUNCTION("GOOGLETRANSLATE(B16027,""id"",""en"")"),"['Sngat', 'help']")</f>
        <v>['Sngat', 'help']</v>
      </c>
      <c r="D16027" s="3">
        <v>5.0</v>
      </c>
    </row>
    <row r="16028" ht="15.75" customHeight="1">
      <c r="A16028" s="1">
        <v>17033.0</v>
      </c>
      <c r="B16028" s="3" t="s">
        <v>15224</v>
      </c>
      <c r="C16028" s="3" t="str">
        <f>IFERROR(__xludf.DUMMYFUNCTION("GOOGLETRANSLATE(B16028,""id"",""en"")"),"['apk', 'open', 'gmn', 'nie', 'telkomsel', 'update', 'open']")</f>
        <v>['apk', 'open', 'gmn', 'nie', 'telkomsel', 'update', 'open']</v>
      </c>
      <c r="D16028" s="3">
        <v>3.0</v>
      </c>
    </row>
    <row r="16029" ht="15.75" customHeight="1">
      <c r="A16029" s="1">
        <v>17034.0</v>
      </c>
      <c r="B16029" s="3" t="s">
        <v>15225</v>
      </c>
      <c r="C16029" s="3" t="str">
        <f>IFERROR(__xludf.DUMMYFUNCTION("GOOGLETRANSLATE(B16029,""id"",""en"")"),"['funny', 'nait', 'contents',' pulse ',' buy ',' package ',' package ',' ilang ',' after ',' contents', 'pulse', 'please', ' Fix ',' dev ']")</f>
        <v>['funny', 'nait', 'contents',' pulse ',' buy ',' package ',' package ',' ilang ',' after ',' contents', 'pulse', 'please', ' Fix ',' dev ']</v>
      </c>
      <c r="D16029" s="3">
        <v>2.0</v>
      </c>
    </row>
    <row r="16030" ht="15.75" customHeight="1">
      <c r="A16030" s="1">
        <v>17035.0</v>
      </c>
      <c r="B16030" s="3" t="s">
        <v>15226</v>
      </c>
      <c r="C16030" s="3" t="str">
        <f>IFERROR(__xludf.DUMMYFUNCTION("GOOGLETRANSLATE(B16030,""id"",""en"")"),"['Please', 'perman', 'price', 'quota', 'data']")</f>
        <v>['Please', 'perman', 'price', 'quota', 'data']</v>
      </c>
      <c r="D16030" s="3">
        <v>5.0</v>
      </c>
    </row>
    <row r="16031" ht="15.75" customHeight="1">
      <c r="A16031" s="1">
        <v>17036.0</v>
      </c>
      <c r="B16031" s="3" t="s">
        <v>15227</v>
      </c>
      <c r="C16031" s="3" t="str">
        <f>IFERROR(__xludf.DUMMYFUNCTION("GOOGLETRANSLATE(B16031,""id"",""en"")"),"['Yak', 'Telkomsel', 'Samsung', 'Open', 'Already', 'Delete', 'Install', 'Sampe', 'Network', 'Normal', 'Packagein', 'Difficult', ' Please, 'Fix', 'Complaints', 'Customer', 'Please', 'Read', 'Salary', 'Customer', 'Over', 'Demanda', 'Response']")</f>
        <v>['Yak', 'Telkomsel', 'Samsung', 'Open', 'Already', 'Delete', 'Install', 'Sampe', 'Network', 'Normal', 'Packagein', 'Difficult', ' Please, 'Fix', 'Complaints', 'Customer', 'Please', 'Read', 'Salary', 'Customer', 'Over', 'Demanda', 'Response']</v>
      </c>
      <c r="D16031" s="3">
        <v>2.0</v>
      </c>
    </row>
    <row r="16032" ht="15.75" customHeight="1">
      <c r="A16032" s="1">
        <v>17039.0</v>
      </c>
      <c r="B16032" s="3" t="s">
        <v>15228</v>
      </c>
      <c r="C16032" s="3" t="str">
        <f>IFERROR(__xludf.DUMMYFUNCTION("GOOGLETRANSLATE(B16032,""id"",""en"")"),"['Abdet', 'already', 'Open', 'Telkomsel', 'Severe']")</f>
        <v>['Abdet', 'already', 'Open', 'Telkomsel', 'Severe']</v>
      </c>
      <c r="D16032" s="3">
        <v>1.0</v>
      </c>
    </row>
    <row r="16033" ht="15.75" customHeight="1">
      <c r="A16033" s="1">
        <v>17040.0</v>
      </c>
      <c r="B16033" s="3" t="s">
        <v>15229</v>
      </c>
      <c r="C16033" s="3" t="str">
        <f>IFERROR(__xludf.DUMMYFUNCTION("GOOGLETRANSLATE(B16033,""id"",""en"")"),"['Telkomsel', 'hopefully', 'advanced', 'need', 'quota', 'brother', 'outside', 'makasi', 'Telkomsel', 'reply', 'mimin']")</f>
        <v>['Telkomsel', 'hopefully', 'advanced', 'need', 'quota', 'brother', 'outside', 'makasi', 'Telkomsel', 'reply', 'mimin']</v>
      </c>
      <c r="D16033" s="3">
        <v>5.0</v>
      </c>
    </row>
    <row r="16034" ht="15.75" customHeight="1">
      <c r="A16034" s="1">
        <v>17042.0</v>
      </c>
      <c r="B16034" s="3" t="s">
        <v>15230</v>
      </c>
      <c r="C16034" s="3" t="str">
        <f>IFERROR(__xludf.DUMMYFUNCTION("GOOGLETRANSLATE(B16034,""id"",""en"")"),"['already', 'signal', ""]")</f>
        <v>['already', 'signal', "]</v>
      </c>
      <c r="D16034" s="3">
        <v>2.0</v>
      </c>
    </row>
    <row r="16035" ht="15.75" customHeight="1">
      <c r="A16035" s="1">
        <v>17043.0</v>
      </c>
      <c r="B16035" s="3" t="s">
        <v>15231</v>
      </c>
      <c r="C16035" s="3" t="str">
        <f>IFERROR(__xludf.DUMMYFUNCTION("GOOGLETRANSLATE(B16035,""id"",""en"")"),"['APK', 'KGK', 'opened', '']")</f>
        <v>['APK', 'KGK', 'opened', '']</v>
      </c>
      <c r="D16035" s="3">
        <v>1.0</v>
      </c>
    </row>
    <row r="16036" ht="15.75" customHeight="1">
      <c r="A16036" s="1">
        <v>17045.0</v>
      </c>
      <c r="B16036" s="3" t="s">
        <v>15232</v>
      </c>
      <c r="C16036" s="3" t="str">
        <f>IFERROR(__xludf.DUMMYFUNCTION("GOOGLETRANSLATE(B16036,""id"",""en"")"),"['Update', 'Open', 'APK', 'Sya', 'use', 'Samsung', '']")</f>
        <v>['Update', 'Open', 'APK', 'Sya', 'use', 'Samsung', '']</v>
      </c>
      <c r="D16036" s="3">
        <v>1.0</v>
      </c>
    </row>
    <row r="16037" ht="15.75" customHeight="1">
      <c r="A16037" s="1">
        <v>17046.0</v>
      </c>
      <c r="B16037" s="3" t="s">
        <v>15233</v>
      </c>
      <c r="C16037" s="3" t="str">
        <f>IFERROR(__xludf.DUMMYFUNCTION("GOOGLETRANSLATE(B16037,""id"",""en"")"),"['easy', 'purchase', 'package', 'data']")</f>
        <v>['easy', 'purchase', 'package', 'data']</v>
      </c>
      <c r="D16037" s="3">
        <v>5.0</v>
      </c>
    </row>
    <row r="16038" ht="15.75" customHeight="1">
      <c r="A16038" s="1">
        <v>17047.0</v>
      </c>
      <c r="B16038" s="3" t="s">
        <v>15234</v>
      </c>
      <c r="C16038" s="3" t="str">
        <f>IFERROR(__xludf.DUMMYFUNCTION("GOOGLETRANSLATE(B16038,""id"",""en"")"),"['Strongo', 'cheap']")</f>
        <v>['Strongo', 'cheap']</v>
      </c>
      <c r="D16038" s="3">
        <v>5.0</v>
      </c>
    </row>
    <row r="16039" ht="15.75" customHeight="1">
      <c r="A16039" s="1">
        <v>17048.0</v>
      </c>
      <c r="B16039" s="3" t="s">
        <v>15235</v>
      </c>
      <c r="C16039" s="3" t="str">
        <f>IFERROR(__xludf.DUMMYFUNCTION("GOOGLETRANSLATE(B16039,""id"",""en"")"),"['', 'TELKOM', 'TIAK', 'PACKAGE', 'COMBO', 'KNP', 'Network', 'Ngelak', 'Change', 'Points',' Cave ',' Lost ',' already ',' Platinum ',' cave ',' excellence ',' patinum ',' gold ',' silver ',' taik ',' essence ',' nakya ',' prioritasin ',' mahalin ',' packa"&amp;"ge ']")</f>
        <v>['', 'TELKOM', 'TIAK', 'PACKAGE', 'COMBO', 'KNP', 'Network', 'Ngelak', 'Change', 'Points',' Cave ',' Lost ',' already ',' Platinum ',' cave ',' excellence ',' patinum ',' gold ',' silver ',' taik ',' essence ',' nakya ',' prioritasin ',' mahalin ',' package ']</v>
      </c>
      <c r="D16039" s="3">
        <v>1.0</v>
      </c>
    </row>
    <row r="16040" ht="15.75" customHeight="1">
      <c r="A16040" s="1">
        <v>17049.0</v>
      </c>
      <c r="B16040" s="3" t="s">
        <v>15236</v>
      </c>
      <c r="C16040" s="3" t="str">
        <f>IFERROR(__xludf.DUMMYFUNCTION("GOOGLETRANSLATE(B16040,""id"",""en"")"),"['The network', 'please', 'aspay', 'Please', 'Fix', 'Sometimes',' Play ',' Game ',' Ngelag ',' Please ',' Telkomsel ',' Network ',' good']")</f>
        <v>['The network', 'please', 'aspay', 'Please', 'Fix', 'Sometimes',' Play ',' Game ',' Ngelag ',' Please ',' Telkomsel ',' Network ',' good']</v>
      </c>
      <c r="D16040" s="3">
        <v>1.0</v>
      </c>
    </row>
    <row r="16041" ht="15.75" customHeight="1">
      <c r="A16041" s="1">
        <v>17050.0</v>
      </c>
      <c r="B16041" s="3" t="s">
        <v>15237</v>
      </c>
      <c r="C16041" s="3" t="str">
        <f>IFERROR(__xludf.DUMMYFUNCTION("GOOGLETRANSLATE(B16041,""id"",""en"")"),"['Error', 'Difficult', 'Enter', 'Ngeblank', 'Reinstall', 'Capekk', 'TLG', 'Maintenance', 'Software', ""]")</f>
        <v>['Error', 'Difficult', 'Enter', 'Ngeblank', 'Reinstall', 'Capekk', 'TLG', 'Maintenance', 'Software', "]</v>
      </c>
      <c r="D16041" s="3">
        <v>1.0</v>
      </c>
    </row>
    <row r="16042" ht="15.75" customHeight="1">
      <c r="A16042" s="1">
        <v>17051.0</v>
      </c>
      <c r="B16042" s="3" t="s">
        <v>15238</v>
      </c>
      <c r="C16042" s="3" t="str">
        <f>IFERROR(__xludf.DUMMYFUNCTION("GOOGLETRANSLATE(B16042,""id"",""en"")"),"['Pas', 'update', 'open', 'cave', 'delete', 'cave', 'download', 'kekak', 'jga', 'ntah']")</f>
        <v>['Pas', 'update', 'open', 'cave', 'delete', 'cave', 'download', 'kekak', 'jga', 'ntah']</v>
      </c>
      <c r="D16042" s="3">
        <v>1.0</v>
      </c>
    </row>
    <row r="16043" ht="15.75" customHeight="1">
      <c r="A16043" s="1">
        <v>17052.0</v>
      </c>
      <c r="B16043" s="3" t="s">
        <v>15239</v>
      </c>
      <c r="C16043" s="3" t="str">
        <f>IFERROR(__xludf.DUMMYFUNCTION("GOOGLETRANSLATE(B16043,""id"",""en"")"),"['please', 'love', 'explanation', 'buy', 'quota', 'spend', 'quota', 'open', 'sms',' use ',' access', 'tariff', ' Non ',' Package ',' ']")</f>
        <v>['please', 'love', 'explanation', 'buy', 'quota', 'spend', 'quota', 'open', 'sms',' use ',' access', 'tariff', ' Non ',' Package ',' ']</v>
      </c>
      <c r="D16043" s="3">
        <v>1.0</v>
      </c>
    </row>
    <row r="16044" ht="15.75" customHeight="1">
      <c r="A16044" s="1">
        <v>17053.0</v>
      </c>
      <c r="B16044" s="3" t="s">
        <v>15240</v>
      </c>
      <c r="C16044" s="3" t="str">
        <f>IFERROR(__xludf.DUMMYFUNCTION("GOOGLETRANSLATE(B16044,""id"",""en"")"),"['fair', 'expensive', 'package']")</f>
        <v>['fair', 'expensive', 'package']</v>
      </c>
      <c r="D16044" s="3">
        <v>5.0</v>
      </c>
    </row>
    <row r="16045" ht="15.75" customHeight="1">
      <c r="A16045" s="1">
        <v>17054.0</v>
      </c>
      <c r="B16045" s="3" t="s">
        <v>15241</v>
      </c>
      <c r="C16045" s="3" t="str">
        <f>IFERROR(__xludf.DUMMYFUNCTION("GOOGLETRANSLATE(B16045,""id"",""en"")"),"['Telkomsel', 'Sangangkin', 'expensive', 'package', 'internet', 'all-round', 'expensive', 'quality', 'TTP', 'bad', 'customers', 'boss']")</f>
        <v>['Telkomsel', 'Sangangkin', 'expensive', 'package', 'internet', 'all-round', 'expensive', 'quality', 'TTP', 'bad', 'customers', 'boss']</v>
      </c>
      <c r="D16045" s="3">
        <v>1.0</v>
      </c>
    </row>
    <row r="16046" ht="15.75" customHeight="1">
      <c r="A16046" s="1">
        <v>17055.0</v>
      </c>
      <c r="B16046" s="3" t="s">
        <v>15242</v>
      </c>
      <c r="C16046" s="3" t="str">
        <f>IFERROR(__xludf.DUMMYFUNCTION("GOOGLETRANSLATE(B16046,""id"",""en"")"),"['Sya', 'shoots', 'star', 'his draw', 'fake', 'lie']")</f>
        <v>['Sya', 'shoots', 'star', 'his draw', 'fake', 'lie']</v>
      </c>
      <c r="D16046" s="3">
        <v>3.0</v>
      </c>
    </row>
    <row r="16047" ht="15.75" customHeight="1">
      <c r="A16047" s="1">
        <v>17056.0</v>
      </c>
      <c r="B16047" s="3" t="s">
        <v>15243</v>
      </c>
      <c r="C16047" s="3" t="str">
        <f>IFERROR(__xludf.DUMMYFUNCTION("GOOGLETRANSLATE(B16047,""id"",""en"")"),"['manteblah', 'staple', '']")</f>
        <v>['manteblah', 'staple', '']</v>
      </c>
      <c r="D16047" s="3">
        <v>5.0</v>
      </c>
    </row>
    <row r="16048" ht="15.75" customHeight="1">
      <c r="A16048" s="1">
        <v>17057.0</v>
      </c>
      <c r="B16048" s="3" t="s">
        <v>15244</v>
      </c>
      <c r="C16048" s="3" t="str">
        <f>IFERROR(__xludf.DUMMYFUNCTION("GOOGLETRANSLATE(B16048,""id"",""en"")"),"['buy', 'quota', 'internet', 'active', 'sometimes', 'rates', 'pulses', 'internet']")</f>
        <v>['buy', 'quota', 'internet', 'active', 'sometimes', 'rates', 'pulses', 'internet']</v>
      </c>
      <c r="D16048" s="3">
        <v>1.0</v>
      </c>
    </row>
    <row r="16049" ht="15.75" customHeight="1">
      <c r="A16049" s="1">
        <v>17058.0</v>
      </c>
      <c r="B16049" s="3" t="s">
        <v>15245</v>
      </c>
      <c r="C16049" s="3" t="str">
        <f>IFERROR(__xludf.DUMMYFUNCTION("GOOGLETRANSLATE(B16049,""id"",""en"")"),"['quota', 'expensive', 'speed', 'minimal', 'signal', 'bad']")</f>
        <v>['quota', 'expensive', 'speed', 'minimal', 'signal', 'bad']</v>
      </c>
      <c r="D16049" s="3">
        <v>1.0</v>
      </c>
    </row>
    <row r="16050" ht="15.75" customHeight="1">
      <c r="A16050" s="1">
        <v>17059.0</v>
      </c>
      <c r="B16050" s="3" t="s">
        <v>15246</v>
      </c>
      <c r="C16050" s="3" t="str">
        <f>IFERROR(__xludf.DUMMYFUNCTION("GOOGLETRANSLATE(B16050,""id"",""en"")"),"['Severe', 'Network']")</f>
        <v>['Severe', 'Network']</v>
      </c>
      <c r="D16050" s="3">
        <v>1.0</v>
      </c>
    </row>
    <row r="16051" ht="15.75" customHeight="1">
      <c r="A16051" s="1">
        <v>17060.0</v>
      </c>
      <c r="B16051" s="3" t="s">
        <v>15247</v>
      </c>
      <c r="C16051" s="3" t="str">
        <f>IFERROR(__xludf.DUMMYFUNCTION("GOOGLETRANSLATE(B16051,""id"",""en"")"),"['network', 'slow', 'kouta', 'Telkomsel', 'expensive', 'price', 'gax', 'rich', 'dlu', 'price', 'cheap', 'network', ' speeding ',' please ',' conducted ']")</f>
        <v>['network', 'slow', 'kouta', 'Telkomsel', 'expensive', 'price', 'gax', 'rich', 'dlu', 'price', 'cheap', 'network', ' speeding ',' please ',' conducted ']</v>
      </c>
      <c r="D16051" s="3">
        <v>1.0</v>
      </c>
    </row>
    <row r="16052" ht="15.75" customHeight="1">
      <c r="A16052" s="1">
        <v>17062.0</v>
      </c>
      <c r="B16052" s="3" t="s">
        <v>15248</v>
      </c>
      <c r="C16052" s="3" t="str">
        <f>IFERROR(__xludf.DUMMYFUNCTION("GOOGLETRANSLATE(B16052,""id"",""en"")"),"['Service', 'bad', 'report', 'center', 'Telkomsel', 'response', 'speed', 'kb', 'already', 'that's', 'package', 'expensive']")</f>
        <v>['Service', 'bad', 'report', 'center', 'Telkomsel', 'response', 'speed', 'kb', 'already', 'that's', 'package', 'expensive']</v>
      </c>
      <c r="D16052" s="3">
        <v>1.0</v>
      </c>
    </row>
    <row r="16053" ht="15.75" customHeight="1">
      <c r="A16053" s="1">
        <v>17063.0</v>
      </c>
      <c r="B16053" s="3" t="s">
        <v>15249</v>
      </c>
      <c r="C16053" s="3" t="str">
        <f>IFERROR(__xludf.DUMMYFUNCTION("GOOGLETRANSLATE(B16053,""id"",""en"")"),"['style', 'network', 'play', 'game', 'slow', 'sihh', 'ad', 'knapa', 'network', 'gituuu', 'come on', 'fix', ' The network ',' wants', 'business',' smooth ',' quality ',' Ginii ',' poor ', ""]")</f>
        <v>['style', 'network', 'play', 'game', 'slow', 'sihh', 'ad', 'knapa', 'network', 'gituuu', 'come on', 'fix', ' The network ',' wants', 'business',' smooth ',' quality ',' Ginii ',' poor ', "]</v>
      </c>
      <c r="D16053" s="3">
        <v>1.0</v>
      </c>
    </row>
    <row r="16054" ht="15.75" customHeight="1">
      <c r="A16054" s="1">
        <v>17064.0</v>
      </c>
      <c r="B16054" s="3" t="s">
        <v>15250</v>
      </c>
      <c r="C16054" s="3" t="str">
        <f>IFERROR(__xludf.DUMMYFUNCTION("GOOGLETRANSLATE(B16054,""id"",""en"")"),"['Give', 'Birang', 'Gift', 'Car', 'MyTelkomsel']")</f>
        <v>['Give', 'Birang', 'Gift', 'Car', 'MyTelkomsel']</v>
      </c>
      <c r="D16054" s="3">
        <v>2.0</v>
      </c>
    </row>
    <row r="16055" ht="15.75" customHeight="1">
      <c r="A16055" s="1">
        <v>17065.0</v>
      </c>
      <c r="B16055" s="3" t="s">
        <v>15251</v>
      </c>
      <c r="C16055" s="3" t="str">
        <f>IFERROR(__xludf.DUMMYFUNCTION("GOOGLETRANSLATE(B16055,""id"",""en"")"),"['Telkomsel', 'Error', 'Yesterday', 'Application', 'Blank', 'White', 'Disappointing', '']")</f>
        <v>['Telkomsel', 'Error', 'Yesterday', 'Application', 'Blank', 'White', 'Disappointing', '']</v>
      </c>
      <c r="D16055" s="3">
        <v>1.0</v>
      </c>
    </row>
    <row r="16056" ht="15.75" customHeight="1">
      <c r="A16056" s="1">
        <v>17067.0</v>
      </c>
      <c r="B16056" s="3" t="s">
        <v>15252</v>
      </c>
      <c r="C16056" s="3" t="str">
        <f>IFERROR(__xludf.DUMMYFUNCTION("GOOGLETRANSLATE(B16056,""id"",""en"")"),"['pulseku', 'lost', 'top', 'coin', 'leftover', 'knpa', 'please', 'enlightenment']")</f>
        <v>['pulseku', 'lost', 'top', 'coin', 'leftover', 'knpa', 'please', 'enlightenment']</v>
      </c>
      <c r="D16056" s="3">
        <v>1.0</v>
      </c>
    </row>
    <row r="16057" ht="15.75" customHeight="1">
      <c r="A16057" s="1">
        <v>17068.0</v>
      </c>
      <c r="B16057" s="3" t="s">
        <v>12158</v>
      </c>
      <c r="C16057" s="3" t="str">
        <f>IFERROR(__xludf.DUMMYFUNCTION("GOOGLETRANSLATE(B16057,""id"",""en"")"),"['Mantul', 'The application', '']")</f>
        <v>['Mantul', 'The application', '']</v>
      </c>
      <c r="D16057" s="3">
        <v>5.0</v>
      </c>
    </row>
    <row r="16058" ht="15.75" customHeight="1">
      <c r="A16058" s="1">
        <v>17069.0</v>
      </c>
      <c r="B16058" s="3" t="s">
        <v>15253</v>
      </c>
      <c r="C16058" s="3" t="str">
        <f>IFERROR(__xludf.DUMMYFUNCTION("GOOGLETRANSLATE(B16058,""id"",""en"")"),"['user', 'loyal', 'Telkomsel', 'Telkomsel', 'apps', 'open', 'ngebleng', 'white', 'screen', 'pause', ""]")</f>
        <v>['user', 'loyal', 'Telkomsel', 'Telkomsel', 'apps', 'open', 'ngebleng', 'white', 'screen', 'pause', "]</v>
      </c>
      <c r="D16058" s="3">
        <v>1.0</v>
      </c>
    </row>
    <row r="16059" ht="15.75" customHeight="1">
      <c r="A16059" s="1">
        <v>17070.0</v>
      </c>
      <c r="B16059" s="3" t="s">
        <v>15254</v>
      </c>
      <c r="C16059" s="3" t="str">
        <f>IFERROR(__xludf.DUMMYFUNCTION("GOOGLETRANSLATE(B16059,""id"",""en"")"),"['steady', 'buy', 'package', 'call', 'as much as', 'price', 'affordable', 'maxh', 'Telkomsel']")</f>
        <v>['steady', 'buy', 'package', 'call', 'as much as', 'price', 'affordable', 'maxh', 'Telkomsel']</v>
      </c>
      <c r="D16059" s="3">
        <v>3.0</v>
      </c>
    </row>
    <row r="16060" ht="15.75" customHeight="1">
      <c r="A16060" s="1">
        <v>17071.0</v>
      </c>
      <c r="B16060" s="3" t="s">
        <v>15255</v>
      </c>
      <c r="C16060" s="3" t="str">
        <f>IFERROR(__xludf.DUMMYFUNCTION("GOOGLETRANSLATE(B16060,""id"",""en"")"),"['apps', 'bgs', 'debate', '']")</f>
        <v>['apps', 'bgs', 'debate', '']</v>
      </c>
      <c r="D16060" s="3">
        <v>4.0</v>
      </c>
    </row>
    <row r="16061" ht="15.75" customHeight="1">
      <c r="A16061" s="1">
        <v>17072.0</v>
      </c>
      <c r="B16061" s="3" t="s">
        <v>15256</v>
      </c>
      <c r="C16061" s="3" t="str">
        <f>IFERROR(__xludf.DUMMYFUNCTION("GOOGLETRANSLATE(B16061,""id"",""en"")"),"['Daily', 'check', 'error', 'check', 'December', 'January']")</f>
        <v>['Daily', 'check', 'error', 'check', 'December', 'January']</v>
      </c>
      <c r="D16061" s="3">
        <v>5.0</v>
      </c>
    </row>
    <row r="16062" ht="15.75" customHeight="1">
      <c r="A16062" s="1">
        <v>17073.0</v>
      </c>
      <c r="B16062" s="3" t="s">
        <v>8976</v>
      </c>
      <c r="C16062" s="3" t="str">
        <f>IFERROR(__xludf.DUMMYFUNCTION("GOOGLETRANSLATE(B16062,""id"",""en"")"),"['Gabisa', 'Open', 'APK']")</f>
        <v>['Gabisa', 'Open', 'APK']</v>
      </c>
      <c r="D16062" s="3">
        <v>1.0</v>
      </c>
    </row>
    <row r="16063" ht="15.75" customHeight="1">
      <c r="A16063" s="1">
        <v>17074.0</v>
      </c>
      <c r="B16063" s="3" t="s">
        <v>15257</v>
      </c>
      <c r="C16063" s="3" t="str">
        <f>IFERROR(__xludf.DUMMYFUNCTION("GOOGLETRANSLATE(B16063,""id"",""en"")"),"['Add', 'promo', 'promo', 'special', 'mimin', 'thankful', 'love', 'star', 'satisfied', '']")</f>
        <v>['Add', 'promo', 'promo', 'special', 'mimin', 'thankful', 'love', 'star', 'satisfied', '']</v>
      </c>
      <c r="D16063" s="3">
        <v>5.0</v>
      </c>
    </row>
    <row r="16064" ht="15.75" customHeight="1">
      <c r="A16064" s="1">
        <v>17075.0</v>
      </c>
      <c r="B16064" s="3" t="s">
        <v>15258</v>
      </c>
      <c r="C16064" s="3" t="str">
        <f>IFERROR(__xludf.DUMMYFUNCTION("GOOGLETRANSLATE(B16064,""id"",""en"")"),"['steady', 'package', 'internet', 'collapse', 'price', 'rb', 'number', 'next door', 'yaaa', 'jooss']")</f>
        <v>['steady', 'package', 'internet', 'collapse', 'price', 'rb', 'number', 'next door', 'yaaa', 'jooss']</v>
      </c>
      <c r="D16064" s="3">
        <v>4.0</v>
      </c>
    </row>
    <row r="16065" ht="15.75" customHeight="1">
      <c r="A16065" s="1">
        <v>17076.0</v>
      </c>
      <c r="B16065" s="3" t="s">
        <v>15259</v>
      </c>
      <c r="C16065" s="3" t="str">
        <f>IFERROR(__xludf.DUMMYFUNCTION("GOOGLETRANSLATE(B16065,""id"",""en"")"),"['Hello', 'congratulations', 'night', 'admin', 'please', 'application', 'Telkomsel', 'open', '']")</f>
        <v>['Hello', 'congratulations', 'night', 'admin', 'please', 'application', 'Telkomsel', 'open', '']</v>
      </c>
      <c r="D16065" s="3">
        <v>5.0</v>
      </c>
    </row>
    <row r="16066" ht="15.75" customHeight="1">
      <c r="A16066" s="1">
        <v>17077.0</v>
      </c>
      <c r="B16066" s="3" t="s">
        <v>15260</v>
      </c>
      <c r="C16066" s="3" t="str">
        <f>IFERROR(__xludf.DUMMYFUNCTION("GOOGLETRANSLATE(B16066,""id"",""en"")"),"['Woy', 'right', 'network', 'enter', 'sense', 'network', 'tetep', 'ngeleg', 'quota', 'kek', 'told', 'What's',' Direct ',' ngeleg ',' Season ',' times', 'already', 'times',' comment ',' the network ',' ngeleg ',' Tetep ',' Bales', 'Ahh', 'need' , 'Pakek', "&amp;"'Telkomsel', 'The network']")</f>
        <v>['Woy', 'right', 'network', 'enter', 'sense', 'network', 'tetep', 'ngeleg', 'quota', 'kek', 'told', 'What's',' Direct ',' ngeleg ',' Season ',' times', 'already', 'times',' comment ',' the network ',' ngeleg ',' Tetep ',' Bales', 'Ahh', 'need' , 'Pakek', 'Telkomsel', 'The network']</v>
      </c>
      <c r="D16066" s="3">
        <v>1.0</v>
      </c>
    </row>
    <row r="16067" ht="15.75" customHeight="1">
      <c r="A16067" s="1">
        <v>17078.0</v>
      </c>
      <c r="B16067" s="3" t="s">
        <v>15261</v>
      </c>
      <c r="C16067" s="3" t="str">
        <f>IFERROR(__xludf.DUMMYFUNCTION("GOOGLETRANSLATE(B16067,""id"",""en"")"),"['SDAH', 'QUALITY', 'Network', 'Bad', 'Price', 'Recommended', '']")</f>
        <v>['SDAH', 'QUALITY', 'Network', 'Bad', 'Price', 'Recommended', '']</v>
      </c>
      <c r="D16067" s="3">
        <v>1.0</v>
      </c>
    </row>
    <row r="16068" ht="15.75" customHeight="1">
      <c r="A16068" s="1">
        <v>17079.0</v>
      </c>
      <c r="B16068" s="3" t="s">
        <v>15262</v>
      </c>
      <c r="C16068" s="3" t="str">
        <f>IFERROR(__xludf.DUMMYFUNCTION("GOOGLETRANSLATE(B16068,""id"",""en"")"),"['JDI', 'Points', 'Exchange', 'just', 'Exchange']")</f>
        <v>['JDI', 'Points', 'Exchange', 'just', 'Exchange']</v>
      </c>
      <c r="D16068" s="3">
        <v>1.0</v>
      </c>
    </row>
    <row r="16069" ht="15.75" customHeight="1">
      <c r="A16069" s="1">
        <v>17080.0</v>
      </c>
      <c r="B16069" s="3" t="s">
        <v>15263</v>
      </c>
      <c r="C16069" s="3" t="str">
        <f>IFERROR(__xludf.DUMMYFUNCTION("GOOGLETRANSLATE(B16069,""id"",""en"")"),"['Steady', 'response']")</f>
        <v>['Steady', 'response']</v>
      </c>
      <c r="D16069" s="3">
        <v>5.0</v>
      </c>
    </row>
    <row r="16070" ht="15.75" customHeight="1">
      <c r="A16070" s="1">
        <v>17081.0</v>
      </c>
      <c r="B16070" s="3" t="s">
        <v>15264</v>
      </c>
      <c r="C16070" s="3" t="str">
        <f>IFERROR(__xludf.DUMMYFUNCTION("GOOGLETRANSLATE(B16070,""id"",""en"")"),"['times', 'buy', 'pulse', 'cashback', 'contents', 'how', 'sihh', '']")</f>
        <v>['times', 'buy', 'pulse', 'cashback', 'contents', 'how', 'sihh', '']</v>
      </c>
      <c r="D16070" s="3">
        <v>1.0</v>
      </c>
    </row>
    <row r="16071" ht="15.75" customHeight="1">
      <c r="A16071" s="1">
        <v>17082.0</v>
      </c>
      <c r="B16071" s="3" t="s">
        <v>15265</v>
      </c>
      <c r="C16071" s="3" t="str">
        <f>IFERROR(__xludf.DUMMYFUNCTION("GOOGLETRANSLATE(B16071,""id"",""en"")"),"['Telkomsel', 'ngellag', 'open', 'lag', 'open', 'game', 'lag', 'open', 'sosmed', 'lag', 'kasi', 'star', ' ']")</f>
        <v>['Telkomsel', 'ngellag', 'open', 'lag', 'open', 'game', 'lag', 'open', 'sosmed', 'lag', 'kasi', 'star', ' ']</v>
      </c>
      <c r="D16071" s="3">
        <v>1.0</v>
      </c>
    </row>
    <row r="16072" ht="15.75" customHeight="1">
      <c r="A16072" s="1">
        <v>17083.0</v>
      </c>
      <c r="B16072" s="3" t="s">
        <v>15266</v>
      </c>
      <c r="C16072" s="3" t="str">
        <f>IFERROR(__xludf.DUMMYFUNCTION("GOOGLETRANSLATE(B16072,""id"",""en"")"),"['Minto', 'please', 'Telkomsel', 'The network', 'repaired', 'users',' Telkomsel ',' network ',' difficult ',' really ',' telephone ',' vidio ',' Call ',' sound ',' tut ',' tut ',' network ',' good ',' card ',' Telkomsel ',' service ',' from '']")</f>
        <v>['Minto', 'please', 'Telkomsel', 'The network', 'repaired', 'users',' Telkomsel ',' network ',' difficult ',' really ',' telephone ',' vidio ',' Call ',' sound ',' tut ',' tut ',' network ',' good ',' card ',' Telkomsel ',' service ',' from '']</v>
      </c>
      <c r="D16072" s="3">
        <v>1.0</v>
      </c>
    </row>
    <row r="16073" ht="15.75" customHeight="1">
      <c r="A16073" s="1">
        <v>17084.0</v>
      </c>
      <c r="B16073" s="3" t="s">
        <v>15267</v>
      </c>
      <c r="C16073" s="3" t="str">
        <f>IFERROR(__xludf.DUMMYFUNCTION("GOOGLETRANSLATE(B16073,""id"",""en"")"),"['application', 'good', 'makes it easy', 'users', 'Telkomsel', 'Loading', 'data', 'quata', 'wifi', ""]")</f>
        <v>['application', 'good', 'makes it easy', 'users', 'Telkomsel', 'Loading', 'data', 'quata', 'wifi', "]</v>
      </c>
      <c r="D16073" s="3">
        <v>4.0</v>
      </c>
    </row>
    <row r="16074" ht="15.75" customHeight="1">
      <c r="A16074" s="1">
        <v>17085.0</v>
      </c>
      <c r="B16074" s="3" t="s">
        <v>15268</v>
      </c>
      <c r="C16074" s="3" t="str">
        <f>IFERROR(__xludf.DUMMYFUNCTION("GOOGLETRANSLATE(B16074,""id"",""en"")"),"['already', 'installed', 'opened', '']")</f>
        <v>['already', 'installed', 'opened', '']</v>
      </c>
      <c r="D16074" s="3">
        <v>5.0</v>
      </c>
    </row>
    <row r="16075" ht="15.75" customHeight="1">
      <c r="A16075" s="1">
        <v>17086.0</v>
      </c>
      <c r="B16075" s="3" t="s">
        <v>15269</v>
      </c>
      <c r="C16075" s="3" t="str">
        <f>IFERROR(__xludf.DUMMYFUNCTION("GOOGLETRANSLATE(B16075,""id"",""en"")"),"['Package', 'Mahaal', 'kntle']")</f>
        <v>['Package', 'Mahaal', 'kntle']</v>
      </c>
      <c r="D16075" s="3">
        <v>1.0</v>
      </c>
    </row>
    <row r="16076" ht="15.75" customHeight="1">
      <c r="A16076" s="1">
        <v>17087.0</v>
      </c>
      <c r="B16076" s="3" t="s">
        <v>15270</v>
      </c>
      <c r="C16076" s="3" t="str">
        <f>IFERROR(__xludf.DUMMYFUNCTION("GOOGLETRANSLATE(B16076,""id"",""en"")"),"['Severe', 'Telkomsel', 'price', 'package', 'here', 'card', 'already', 'cheap', 'expensive', 'fixs',' replace ',' operator ',' Package ',' Data ',' ']")</f>
        <v>['Severe', 'Telkomsel', 'price', 'package', 'here', 'card', 'already', 'cheap', 'expensive', 'fixs',' replace ',' operator ',' Package ',' Data ',' ']</v>
      </c>
      <c r="D16076" s="3">
        <v>1.0</v>
      </c>
    </row>
    <row r="16077" ht="15.75" customHeight="1">
      <c r="A16077" s="1">
        <v>17088.0</v>
      </c>
      <c r="B16077" s="3" t="s">
        <v>9290</v>
      </c>
      <c r="C16077" s="3" t="str">
        <f>IFERROR(__xludf.DUMMYFUNCTION("GOOGLETRANSLATE(B16077,""id"",""en"")"),"['good luck']")</f>
        <v>['good luck']</v>
      </c>
      <c r="D16077" s="3">
        <v>5.0</v>
      </c>
    </row>
    <row r="16078" ht="15.75" customHeight="1">
      <c r="A16078" s="1">
        <v>17089.0</v>
      </c>
      <c r="B16078" s="3" t="s">
        <v>15271</v>
      </c>
      <c r="C16078" s="3" t="str">
        <f>IFERROR(__xludf.DUMMYFUNCTION("GOOGLETRANSLATE(B16078,""id"",""en"")"),"['Telkomsel', 'Open', 'Screen', 'White', 'Please', 'Lined', 'My APK']")</f>
        <v>['Telkomsel', 'Open', 'Screen', 'White', 'Please', 'Lined', 'My APK']</v>
      </c>
      <c r="D16078" s="3">
        <v>1.0</v>
      </c>
    </row>
    <row r="16079" ht="15.75" customHeight="1">
      <c r="A16079" s="1">
        <v>17090.0</v>
      </c>
      <c r="B16079" s="3" t="s">
        <v>592</v>
      </c>
      <c r="C16079" s="3" t="str">
        <f>IFERROR(__xludf.DUMMYFUNCTION("GOOGLETRANSLATE(B16079,""id"",""en"")"),"['Telkomsel']")</f>
        <v>['Telkomsel']</v>
      </c>
      <c r="D16079" s="3">
        <v>2.0</v>
      </c>
    </row>
    <row r="16080" ht="15.75" customHeight="1">
      <c r="A16080" s="1">
        <v>17091.0</v>
      </c>
      <c r="B16080" s="3" t="s">
        <v>15272</v>
      </c>
      <c r="C16080" s="3" t="str">
        <f>IFERROR(__xludf.DUMMYFUNCTION("GOOGLETRANSLATE(B16080,""id"",""en"")"),"['Helpful', 'help', ""]")</f>
        <v>['Helpful', 'help', "]</v>
      </c>
      <c r="D16080" s="3">
        <v>5.0</v>
      </c>
    </row>
    <row r="16081" ht="15.75" customHeight="1">
      <c r="A16081" s="1">
        <v>17092.0</v>
      </c>
      <c r="B16081" s="3" t="s">
        <v>15273</v>
      </c>
      <c r="C16081" s="3" t="str">
        <f>IFERROR(__xludf.DUMMYFUNCTION("GOOGLETRANSLATE(B16081,""id"",""en"")"),"['', 'Mantap', 'Increase', 'Cheap']")</f>
        <v>['', 'Mantap', 'Increase', 'Cheap']</v>
      </c>
      <c r="D16081" s="3">
        <v>5.0</v>
      </c>
    </row>
    <row r="16082" ht="15.75" customHeight="1">
      <c r="A16082" s="1">
        <v>17093.0</v>
      </c>
      <c r="B16082" s="3" t="s">
        <v>846</v>
      </c>
      <c r="C16082" s="3" t="str">
        <f>IFERROR(__xludf.DUMMYFUNCTION("GOOGLETRANSLATE(B16082,""id"",""en"")"),"['application', 'good']")</f>
        <v>['application', 'good']</v>
      </c>
      <c r="D16082" s="3">
        <v>5.0</v>
      </c>
    </row>
    <row r="16083" ht="15.75" customHeight="1">
      <c r="A16083" s="1">
        <v>17094.0</v>
      </c>
      <c r="B16083" s="3" t="s">
        <v>15274</v>
      </c>
      <c r="C16083" s="3" t="str">
        <f>IFERROR(__xludf.DUMMYFUNCTION("GOOGLETRANSLATE(B16083,""id"",""en"")"),"['Uninstall', 'Install', 'reset', 'opened', 'please', 'repaired', 'application', 'Tellomsel', 'Thanks', '']")</f>
        <v>['Uninstall', 'Install', 'reset', 'opened', 'please', 'repaired', 'application', 'Tellomsel', 'Thanks', '']</v>
      </c>
      <c r="D16083" s="3">
        <v>3.0</v>
      </c>
    </row>
    <row r="16084" ht="15.75" customHeight="1">
      <c r="A16084" s="1">
        <v>17095.0</v>
      </c>
      <c r="B16084" s="3" t="s">
        <v>15275</v>
      </c>
      <c r="C16084" s="3" t="str">
        <f>IFERROR(__xludf.DUMMYFUNCTION("GOOGLETRANSLATE(B16084,""id"",""en"")"),"['Update', 'use', 'update']")</f>
        <v>['Update', 'use', 'update']</v>
      </c>
      <c r="D16084" s="3">
        <v>2.0</v>
      </c>
    </row>
    <row r="16085" ht="15.75" customHeight="1">
      <c r="A16085" s="1">
        <v>17096.0</v>
      </c>
      <c r="B16085" s="3" t="s">
        <v>15276</v>
      </c>
      <c r="C16085" s="3" t="str">
        <f>IFERROR(__xludf.DUMMYFUNCTION("GOOGLETRANSLATE(B16085,""id"",""en"")"),"['tautaa', 'pngguna', 'Samsung', 'update', 'yesterday', 'application', 'Telkomsel', 'error', 'blank', 'trs',' beg ',' action ',' thank you']")</f>
        <v>['tautaa', 'pngguna', 'Samsung', 'update', 'yesterday', 'application', 'Telkomsel', 'error', 'blank', 'trs',' beg ',' action ',' thank you']</v>
      </c>
      <c r="D16085" s="3">
        <v>1.0</v>
      </c>
    </row>
    <row r="16086" ht="15.75" customHeight="1">
      <c r="A16086" s="1">
        <v>17097.0</v>
      </c>
      <c r="B16086" s="3" t="s">
        <v>15277</v>
      </c>
      <c r="C16086" s="3" t="str">
        <f>IFERROR(__xludf.DUMMYFUNCTION("GOOGLETRANSLATE(B16086,""id"",""en"")"),"['Network', 'like', 'missing', 'stable']")</f>
        <v>['Network', 'like', 'missing', 'stable']</v>
      </c>
      <c r="D16086" s="3">
        <v>1.0</v>
      </c>
    </row>
    <row r="16087" ht="15.75" customHeight="1">
      <c r="A16087" s="1">
        <v>17098.0</v>
      </c>
      <c r="B16087" s="3" t="s">
        <v>11495</v>
      </c>
      <c r="C16087" s="3" t="str">
        <f>IFERROR(__xludf.DUMMYFUNCTION("GOOGLETRANSLATE(B16087,""id"",""en"")"),"['application', 'open', '']")</f>
        <v>['application', 'open', '']</v>
      </c>
      <c r="D16087" s="3">
        <v>1.0</v>
      </c>
    </row>
    <row r="16088" ht="15.75" customHeight="1">
      <c r="A16088" s="1">
        <v>17099.0</v>
      </c>
      <c r="B16088" s="3" t="s">
        <v>15278</v>
      </c>
      <c r="C16088" s="3" t="str">
        <f>IFERROR(__xludf.DUMMYFUNCTION("GOOGLETRANSLATE(B16088,""id"",""en"")"),"['Signal', 'BERIK', 'SIMPLE', 'Price', 'Expensive', 'Quality', 'Low', '']")</f>
        <v>['Signal', 'BERIK', 'SIMPLE', 'Price', 'Expensive', 'Quality', 'Low', '']</v>
      </c>
      <c r="D16088" s="3">
        <v>1.0</v>
      </c>
    </row>
    <row r="16089" ht="15.75" customHeight="1">
      <c r="A16089" s="1">
        <v>17100.0</v>
      </c>
      <c r="B16089" s="3" t="s">
        <v>15279</v>
      </c>
      <c r="C16089" s="3" t="str">
        <f>IFERROR(__xludf.DUMMYFUNCTION("GOOGLETRANSLATE(B16089,""id"",""en"")"),"['Opened', 'Mending', 'Delete', 'Play', 'Store']")</f>
        <v>['Opened', 'Mending', 'Delete', 'Play', 'Store']</v>
      </c>
      <c r="D16089" s="3">
        <v>1.0</v>
      </c>
    </row>
    <row r="16090" ht="15.75" customHeight="1">
      <c r="A16090" s="1">
        <v>17101.0</v>
      </c>
      <c r="B16090" s="3" t="s">
        <v>15280</v>
      </c>
      <c r="C16090" s="3" t="str">
        <f>IFERROR(__xludf.DUMMYFUNCTION("GOOGLETRANSLATE(B16090,""id"",""en"")"),"['Help', 'dngn', 'Telkomsel', 'fill', 'data', 'internet', '']")</f>
        <v>['Help', 'dngn', 'Telkomsel', 'fill', 'data', 'internet', '']</v>
      </c>
      <c r="D16090" s="3">
        <v>5.0</v>
      </c>
    </row>
    <row r="16091" ht="15.75" customHeight="1">
      <c r="A16091" s="1">
        <v>17102.0</v>
      </c>
      <c r="B16091" s="3" t="s">
        <v>15281</v>
      </c>
      <c r="C16091" s="3" t="str">
        <f>IFERROR(__xludf.DUMMYFUNCTION("GOOGLETRANSLATE(B16091,""id"",""en"")"),"['Alhamdulillah', 'Mantul', 'Telkomsel', 'Feel', 'Gift', 'Telkomsel']")</f>
        <v>['Alhamdulillah', 'Mantul', 'Telkomsel', 'Feel', 'Gift', 'Telkomsel']</v>
      </c>
      <c r="D16091" s="3">
        <v>5.0</v>
      </c>
    </row>
    <row r="16092" ht="15.75" customHeight="1">
      <c r="A16092" s="1">
        <v>17103.0</v>
      </c>
      <c r="B16092" s="3" t="s">
        <v>15282</v>
      </c>
      <c r="C16092" s="3" t="str">
        <f>IFERROR(__xludf.DUMMYFUNCTION("GOOGLETRANSLATE(B16092,""id"",""en"")"),"['KNPA', 'CONNATURE', 'Update', 'Nii', 'APK', 'Opened', 'Check', 'Koutaa', 'Fix', 'Delete', 'APK', 'Dri', ' Playstore ',' The network ',' Tmbh ',' ugly ']")</f>
        <v>['KNPA', 'CONNATURE', 'Update', 'Nii', 'APK', 'Opened', 'Check', 'Koutaa', 'Fix', 'Delete', 'APK', 'Dri', ' Playstore ',' The network ',' Tmbh ',' ugly ']</v>
      </c>
      <c r="D16092" s="3">
        <v>1.0</v>
      </c>
    </row>
    <row r="16093" ht="15.75" customHeight="1">
      <c r="A16093" s="1">
        <v>17104.0</v>
      </c>
      <c r="B16093" s="3" t="s">
        <v>15283</v>
      </c>
      <c r="C16093" s="3" t="str">
        <f>IFERROR(__xludf.DUMMYFUNCTION("GOOGLETRANSLATE(B16093,""id"",""en"")"),"['Help', 'steady', 'Hope', 'Redem', 'Points', 'DPAT', 'Gifts']")</f>
        <v>['Help', 'steady', 'Hope', 'Redem', 'Points', 'DPAT', 'Gifts']</v>
      </c>
      <c r="D16093" s="3">
        <v>5.0</v>
      </c>
    </row>
    <row r="16094" ht="15.75" customHeight="1">
      <c r="A16094" s="1">
        <v>17105.0</v>
      </c>
      <c r="B16094" s="3" t="s">
        <v>15284</v>
      </c>
      <c r="C16094" s="3" t="str">
        <f>IFERROR(__xludf.DUMMYFUNCTION("GOOGLETRANSLATE(B16094,""id"",""en"")"),"['original', 'idiot', 'network', 'slow', 'karuan', 'gerinin', 'hand', 'little', 'ilang', 'network', 'gabisa', 'entry', ' SIM ',' Alesan ',' session ',' session ',' woy ',' check ',' quota ',' doang ',' emotion ',' emotion ',' gblk ',' emang ',' telkomnyet"&amp;" ' ]")</f>
        <v>['original', 'idiot', 'network', 'slow', 'karuan', 'gerinin', 'hand', 'little', 'ilang', 'network', 'gabisa', 'entry', ' SIM ',' Alesan ',' session ',' session ',' woy ',' check ',' quota ',' doang ',' emotion ',' emotion ',' gblk ',' emang ',' telkomnyet ' ]</v>
      </c>
      <c r="D16094" s="3">
        <v>1.0</v>
      </c>
    </row>
    <row r="16095" ht="15.75" customHeight="1">
      <c r="A16095" s="1">
        <v>17106.0</v>
      </c>
      <c r="B16095" s="3" t="s">
        <v>15285</v>
      </c>
      <c r="C16095" s="3" t="str">
        <f>IFERROR(__xludf.DUMMYFUNCTION("GOOGLETRANSLATE(B16095,""id"",""en"")"),"['easy', 'transaction', '']")</f>
        <v>['easy', 'transaction', '']</v>
      </c>
      <c r="D16095" s="3">
        <v>5.0</v>
      </c>
    </row>
    <row r="16096" ht="15.75" customHeight="1">
      <c r="A16096" s="1">
        <v>17107.0</v>
      </c>
      <c r="B16096" s="3" t="s">
        <v>15286</v>
      </c>
      <c r="C16096" s="3" t="str">
        <f>IFERROR(__xludf.DUMMYFUNCTION("GOOGLETRANSLATE(B16096,""id"",""en"")"),"['Pakok', 'steady', 'really']")</f>
        <v>['Pakok', 'steady', 'really']</v>
      </c>
      <c r="D16096" s="3">
        <v>5.0</v>
      </c>
    </row>
    <row r="16097" ht="15.75" customHeight="1">
      <c r="A16097" s="1">
        <v>17108.0</v>
      </c>
      <c r="B16097" s="3" t="s">
        <v>15287</v>
      </c>
      <c r="C16097" s="3" t="str">
        <f>IFERROR(__xludf.DUMMYFUNCTION("GOOGLETRANSLATE(B16097,""id"",""en"")"),"['Application', 'slow', 'enter', '']")</f>
        <v>['Application', 'slow', 'enter', '']</v>
      </c>
      <c r="D16097" s="3">
        <v>2.0</v>
      </c>
    </row>
    <row r="16098" ht="15.75" customHeight="1">
      <c r="A16098" s="1">
        <v>17109.0</v>
      </c>
      <c r="B16098" s="3" t="s">
        <v>15288</v>
      </c>
      <c r="C16098" s="3" t="str">
        <f>IFERROR(__xludf.DUMMYFUNCTION("GOOGLETRANSLATE(B16098,""id"",""en"")"),"['Update', 'version', 'application', 'blank', 'forced', 'Install', 'version', 'Hadeuhhh', 'Please', 'Riced']")</f>
        <v>['Update', 'version', 'application', 'blank', 'forced', 'Install', 'version', 'Hadeuhhh', 'Please', 'Riced']</v>
      </c>
      <c r="D16098" s="3">
        <v>1.0</v>
      </c>
    </row>
    <row r="16099" ht="15.75" customHeight="1">
      <c r="A16099" s="1">
        <v>17110.0</v>
      </c>
      <c r="B16099" s="3" t="s">
        <v>15289</v>
      </c>
      <c r="C16099" s="3" t="str">
        <f>IFERROR(__xludf.DUMMYFUNCTION("GOOGLETRANSLATE(B16099,""id"",""en"")"),"['network', 'Telkomsel', 'quality', 'bad', 'package', 'expensive', 'quality', 'network', 'garbage', '']")</f>
        <v>['network', 'Telkomsel', 'quality', 'bad', 'package', 'expensive', 'quality', 'network', 'garbage', '']</v>
      </c>
      <c r="D16099" s="3">
        <v>1.0</v>
      </c>
    </row>
    <row r="16100" ht="15.75" customHeight="1">
      <c r="A16100" s="1">
        <v>17111.0</v>
      </c>
      <c r="B16100" s="3" t="s">
        <v>15290</v>
      </c>
      <c r="C16100" s="3" t="str">
        <f>IFERROR(__xludf.DUMMYFUNCTION("GOOGLETRANSLATE(B16100,""id"",""en"")"),"['Access', 'Telkomsel', 'Area', 'Pasaman', 'West']")</f>
        <v>['Access', 'Telkomsel', 'Area', 'Pasaman', 'West']</v>
      </c>
      <c r="D16100" s="3">
        <v>1.0</v>
      </c>
    </row>
    <row r="16101" ht="15.75" customHeight="1">
      <c r="A16101" s="1">
        <v>17113.0</v>
      </c>
      <c r="B16101" s="3" t="s">
        <v>15291</v>
      </c>
      <c r="C16101" s="3" t="str">
        <f>IFERROR(__xludf.DUMMYFUNCTION("GOOGLETRANSLATE(B16101,""id"",""en"")"),"['difficult', 'buy', 'pulse', 'buy', 'package', 'description', 'disorder', 'connection', 'many', 'times', 'slalu', ""]")</f>
        <v>['difficult', 'buy', 'pulse', 'buy', 'package', 'description', 'disorder', 'connection', 'many', 'times', 'slalu', "]</v>
      </c>
      <c r="D16101" s="3">
        <v>2.0</v>
      </c>
    </row>
    <row r="16102" ht="15.75" customHeight="1">
      <c r="A16102" s="1">
        <v>17114.0</v>
      </c>
      <c r="B16102" s="3" t="s">
        <v>15292</v>
      </c>
      <c r="C16102" s="3" t="str">
        <f>IFERROR(__xludf.DUMMYFUNCTION("GOOGLETRANSLATE(B16102,""id"",""en"")"),"['Rates', 'expensive', 'pro', 'people', 'signal', 'ugly', '']")</f>
        <v>['Rates', 'expensive', 'pro', 'people', 'signal', 'ugly', '']</v>
      </c>
      <c r="D16102" s="3">
        <v>1.0</v>
      </c>
    </row>
    <row r="16103" ht="15.75" customHeight="1">
      <c r="A16103" s="1">
        <v>17115.0</v>
      </c>
      <c r="B16103" s="3" t="s">
        <v>15293</v>
      </c>
      <c r="C16103" s="3" t="str">
        <f>IFERROR(__xludf.DUMMYFUNCTION("GOOGLETRANSLATE(B16103,""id"",""en"")"),"['Increase', 'Network']")</f>
        <v>['Increase', 'Network']</v>
      </c>
      <c r="D16103" s="3">
        <v>3.0</v>
      </c>
    </row>
    <row r="16104" ht="15.75" customHeight="1">
      <c r="A16104" s="1">
        <v>17116.0</v>
      </c>
      <c r="B16104" s="3" t="s">
        <v>15294</v>
      </c>
      <c r="C16104" s="3" t="str">
        <f>IFERROR(__xludf.DUMMYFUNCTION("GOOGLETRANSLATE(B16104,""id"",""en"")"),"['Good', 'response']")</f>
        <v>['Good', 'response']</v>
      </c>
      <c r="D16104" s="3">
        <v>4.0</v>
      </c>
    </row>
    <row r="16105" ht="15.75" customHeight="1">
      <c r="A16105" s="1">
        <v>17117.0</v>
      </c>
      <c r="B16105" s="3" t="s">
        <v>15295</v>
      </c>
      <c r="C16105" s="3" t="str">
        <f>IFERROR(__xludf.DUMMYFUNCTION("GOOGLETRANSLATE(B16105,""id"",""en"")"),"['quota', 'expensive', 'network', 'Lemod']")</f>
        <v>['quota', 'expensive', 'network', 'Lemod']</v>
      </c>
      <c r="D16105" s="3">
        <v>1.0</v>
      </c>
    </row>
    <row r="16106" ht="15.75" customHeight="1">
      <c r="A16106" s="1">
        <v>17118.0</v>
      </c>
      <c r="B16106" s="3" t="s">
        <v>15296</v>
      </c>
      <c r="C16106" s="3" t="str">
        <f>IFERROR(__xludf.DUMMYFUNCTION("GOOGLETRANSLATE(B16106,""id"",""en"")"),"['', 'Open', 'Sia', 'Sia', 'Download', 'Kerabaaaa']")</f>
        <v>['', 'Open', 'Sia', 'Sia', 'Download', 'Kerabaaaa']</v>
      </c>
      <c r="D16106" s="3">
        <v>1.0</v>
      </c>
    </row>
    <row r="16107" ht="15.75" customHeight="1">
      <c r="A16107" s="1">
        <v>17119.0</v>
      </c>
      <c r="B16107" s="3" t="s">
        <v>15297</v>
      </c>
      <c r="C16107" s="3" t="str">
        <f>IFERROR(__xludf.DUMMYFUNCTION("GOOGLETRANSLATE(B16107,""id"",""en"")"),"['buy', 'pulse', 'Gopay', 'failed', 'Mulu', '']")</f>
        <v>['buy', 'pulse', 'Gopay', 'failed', 'Mulu', '']</v>
      </c>
      <c r="D16107" s="3">
        <v>1.0</v>
      </c>
    </row>
    <row r="16108" ht="15.75" customHeight="1">
      <c r="A16108" s="1">
        <v>17120.0</v>
      </c>
      <c r="B16108" s="3" t="s">
        <v>15298</v>
      </c>
      <c r="C16108" s="3" t="str">
        <f>IFERROR(__xludf.DUMMYFUNCTION("GOOGLETRANSLATE(B16108,""id"",""en"")"),"['Severe', 'No', 'Open', 'The application', 'Please', 'Appreciate', 'Customer', ""]")</f>
        <v>['Severe', 'No', 'Open', 'The application', 'Please', 'Appreciate', 'Customer', "]</v>
      </c>
      <c r="D16108" s="3">
        <v>1.0</v>
      </c>
    </row>
    <row r="16109" ht="15.75" customHeight="1">
      <c r="A16109" s="1">
        <v>17121.0</v>
      </c>
      <c r="B16109" s="3" t="s">
        <v>15299</v>
      </c>
      <c r="C16109" s="3" t="str">
        <f>IFERROR(__xludf.DUMMYFUNCTION("GOOGLETRANSLATE(B16109,""id"",""en"")"),"['update', 'opened', 'Please', 'repaired', '']")</f>
        <v>['update', 'opened', 'Please', 'repaired', '']</v>
      </c>
      <c r="D16109" s="3">
        <v>2.0</v>
      </c>
    </row>
    <row r="16110" ht="15.75" customHeight="1">
      <c r="A16110" s="1">
        <v>17122.0</v>
      </c>
      <c r="B16110" s="3" t="s">
        <v>15300</v>
      </c>
      <c r="C16110" s="3" t="str">
        <f>IFERROR(__xludf.DUMMYFUNCTION("GOOGLETRANSLATE(B16110,""id"",""en"")"),"['Develop', 'transferrer', 'pulse', 'quota']")</f>
        <v>['Develop', 'transferrer', 'pulse', 'quota']</v>
      </c>
      <c r="D16110" s="3">
        <v>4.0</v>
      </c>
    </row>
    <row r="16111" ht="15.75" customHeight="1">
      <c r="A16111" s="1">
        <v>17124.0</v>
      </c>
      <c r="B16111" s="3" t="s">
        <v>15301</v>
      </c>
      <c r="C16111" s="3" t="str">
        <f>IFERROR(__xludf.DUMMYFUNCTION("GOOGLETRANSLATE(B16111,""id"",""en"")"),"['Knp', 'Telkomsel', 'opened', 'Try', 'DNG', 'open', 'Try', 'Uninstall', 'download', 'reset', 'ttp', 'opened', ' ']")</f>
        <v>['Knp', 'Telkomsel', 'opened', 'Try', 'DNG', 'open', 'Try', 'Uninstall', 'download', 'reset', 'ttp', 'opened', ' ']</v>
      </c>
      <c r="D16111" s="3">
        <v>5.0</v>
      </c>
    </row>
    <row r="16112" ht="15.75" customHeight="1">
      <c r="A16112" s="1">
        <v>17125.0</v>
      </c>
      <c r="B16112" s="3" t="s">
        <v>15302</v>
      </c>
      <c r="C16112" s="3" t="str">
        <f>IFERROR(__xludf.DUMMYFUNCTION("GOOGLETRANSLATE(B16112,""id"",""en"")"),"['sipp', 'internet', 'fast']")</f>
        <v>['sipp', 'internet', 'fast']</v>
      </c>
      <c r="D16112" s="3">
        <v>5.0</v>
      </c>
    </row>
    <row r="16113" ht="15.75" customHeight="1">
      <c r="A16113" s="1">
        <v>17126.0</v>
      </c>
      <c r="B16113" s="3" t="s">
        <v>15303</v>
      </c>
      <c r="C16113" s="3" t="str">
        <f>IFERROR(__xludf.DUMMYFUNCTION("GOOGLETRANSLATE(B16113,""id"",""en"")"),"['Disappointed', 'Telkomsel']")</f>
        <v>['Disappointed', 'Telkomsel']</v>
      </c>
      <c r="D16113" s="3">
        <v>1.0</v>
      </c>
    </row>
    <row r="16114" ht="15.75" customHeight="1">
      <c r="A16114" s="1">
        <v>17127.0</v>
      </c>
      <c r="B16114" s="3" t="s">
        <v>15304</v>
      </c>
      <c r="C16114" s="3" t="str">
        <f>IFERROR(__xludf.DUMMYFUNCTION("GOOGLETRANSLATE(B16114,""id"",""en"")"),"['Abis', 'update', 'Isa', 'Open', 'Severe', 'Bat', '']")</f>
        <v>['Abis', 'update', 'Isa', 'Open', 'Severe', 'Bat', '']</v>
      </c>
      <c r="D16114" s="3">
        <v>1.0</v>
      </c>
    </row>
    <row r="16115" ht="15.75" customHeight="1">
      <c r="A16115" s="1">
        <v>17128.0</v>
      </c>
      <c r="B16115" s="3" t="s">
        <v>15305</v>
      </c>
      <c r="C16115" s="3" t="str">
        <f>IFERROR(__xludf.DUMMYFUNCTION("GOOGLETRANSLATE(B16115,""id"",""en"")"),"['Good', 'really', 'cheap', 'code', 'dial']")</f>
        <v>['Good', 'really', 'cheap', 'code', 'dial']</v>
      </c>
      <c r="D16115" s="3">
        <v>5.0</v>
      </c>
    </row>
    <row r="16116" ht="15.75" customHeight="1">
      <c r="A16116" s="1">
        <v>17129.0</v>
      </c>
      <c r="B16116" s="3" t="s">
        <v>15306</v>
      </c>
      <c r="C16116" s="3" t="str">
        <f>IFERROR(__xludf.DUMMYFUNCTION("GOOGLETRANSLATE(B16116,""id"",""en"")"),"['Singal', 'like', 'ngilance']")</f>
        <v>['Singal', 'like', 'ngilance']</v>
      </c>
      <c r="D16116" s="3">
        <v>3.0</v>
      </c>
    </row>
    <row r="16117" ht="15.75" customHeight="1">
      <c r="A16117" s="1">
        <v>17130.0</v>
      </c>
      <c r="B16117" s="3" t="s">
        <v>15307</v>
      </c>
      <c r="C16117" s="3" t="str">
        <f>IFERROR(__xludf.DUMMYFUNCTION("GOOGLETRANSLATE(B16117,""id"",""en"")"),"['', 'GTU']")</f>
        <v>['', 'GTU']</v>
      </c>
      <c r="D16117" s="3">
        <v>4.0</v>
      </c>
    </row>
    <row r="16118" ht="15.75" customHeight="1">
      <c r="A16118" s="1">
        <v>17131.0</v>
      </c>
      <c r="B16118" s="3" t="s">
        <v>15308</v>
      </c>
      <c r="C16118" s="3" t="str">
        <f>IFERROR(__xludf.DUMMYFUNCTION("GOOGLETRANSLATE(B16118,""id"",""en"")"),"['Pecuma', 'Tlkomsel', 'Kalou', 'Gini', 'County', 'Jngan', 'PKE', 'Telkomsel', 'cave', 'tracet', 'PKE', 'Telkomsel', ' Load ',' Telkomsel ',' Jaringn ',' ugly ',' Dahan ',' Enter ',' Package ',' Closed ',' Skapan ',' Telkomsel ']")</f>
        <v>['Pecuma', 'Tlkomsel', 'Kalou', 'Gini', 'County', 'Jngan', 'PKE', 'Telkomsel', 'cave', 'tracet', 'PKE', 'Telkomsel', ' Load ',' Telkomsel ',' Jaringn ',' ugly ',' Dahan ',' Enter ',' Package ',' Closed ',' Skapan ',' Telkomsel ']</v>
      </c>
      <c r="D16118" s="3">
        <v>1.0</v>
      </c>
    </row>
    <row r="16119" ht="15.75" customHeight="1">
      <c r="A16119" s="1">
        <v>17132.0</v>
      </c>
      <c r="B16119" s="3" t="s">
        <v>15309</v>
      </c>
      <c r="C16119" s="3" t="str">
        <f>IFERROR(__xludf.DUMMYFUNCTION("GOOGLETRANSLATE(B16119,""id"",""en"")"),"['Package', 'GB', 'Cepet', 'Abis', 'Package', 'Cheap', 'Rating', 'Star', '']")</f>
        <v>['Package', 'GB', 'Cepet', 'Abis', 'Package', 'Cheap', 'Rating', 'Star', '']</v>
      </c>
      <c r="D16119" s="3">
        <v>2.0</v>
      </c>
    </row>
    <row r="16120" ht="15.75" customHeight="1">
      <c r="A16120" s="1">
        <v>17133.0</v>
      </c>
      <c r="B16120" s="3" t="s">
        <v>15310</v>
      </c>
      <c r="C16120" s="3" t="str">
        <f>IFERROR(__xludf.DUMMYFUNCTION("GOOGLETRANSLATE(B16120,""id"",""en"")"),"['Bagus', 'Kenpa', 'no', 'kbukaa']")</f>
        <v>['Bagus', 'Kenpa', 'no', 'kbukaa']</v>
      </c>
      <c r="D16120" s="3">
        <v>1.0</v>
      </c>
    </row>
    <row r="16121" ht="15.75" customHeight="1">
      <c r="A16121" s="1">
        <v>17134.0</v>
      </c>
      <c r="B16121" s="3" t="s">
        <v>15311</v>
      </c>
      <c r="C16121" s="3" t="str">
        <f>IFERROR(__xludf.DUMMYFUNCTION("GOOGLETRANSLATE(B16121,""id"",""en"")"),"['Price', 'Package', 'Please', 'Collapin']")</f>
        <v>['Price', 'Package', 'Please', 'Collapin']</v>
      </c>
      <c r="D16121" s="3">
        <v>5.0</v>
      </c>
    </row>
    <row r="16122" ht="15.75" customHeight="1">
      <c r="A16122" s="1">
        <v>17135.0</v>
      </c>
      <c r="B16122" s="3" t="s">
        <v>15312</v>
      </c>
      <c r="C16122" s="3" t="str">
        <f>IFERROR(__xludf.DUMMYFUNCTION("GOOGLETRANSLATE(B16122,""id"",""en"")"),"['Honey', 'Leet']")</f>
        <v>['Honey', 'Leet']</v>
      </c>
      <c r="D16122" s="3">
        <v>3.0</v>
      </c>
    </row>
    <row r="16123" ht="15.75" customHeight="1">
      <c r="A16123" s="1">
        <v>17136.0</v>
      </c>
      <c r="B16123" s="3" t="s">
        <v>15313</v>
      </c>
      <c r="C16123" s="3" t="str">
        <f>IFERROR(__xludf.DUMMYFUNCTION("GOOGLETRANSLATE(B16123,""id"",""en"")"),"['very', '']")</f>
        <v>['very', '']</v>
      </c>
      <c r="D16123" s="3">
        <v>1.0</v>
      </c>
    </row>
    <row r="16124" ht="15.75" customHeight="1">
      <c r="A16124" s="1">
        <v>17137.0</v>
      </c>
      <c r="B16124" s="3" t="s">
        <v>15314</v>
      </c>
      <c r="C16124" s="3" t="str">
        <f>IFERROR(__xludf.DUMMYFUNCTION("GOOGLETRANSLATE(B16124,""id"",""en"")"),"['pulse', 'run out', 'Instant', 'package', 'main', 'run out', 'Try', 'example', 'provider', 'quota', 'out', 'eat', ' pulse', '']")</f>
        <v>['pulse', 'run out', 'Instant', 'package', 'main', 'run out', 'Try', 'example', 'provider', 'quota', 'out', 'eat', ' pulse', '']</v>
      </c>
      <c r="D16124" s="3">
        <v>1.0</v>
      </c>
    </row>
    <row r="16125" ht="15.75" customHeight="1">
      <c r="A16125" s="1">
        <v>17138.0</v>
      </c>
      <c r="B16125" s="3" t="s">
        <v>15315</v>
      </c>
      <c r="C16125" s="3" t="str">
        <f>IFERROR(__xludf.DUMMYFUNCTION("GOOGLETRANSLATE(B16125,""id"",""en"")"),"['Hey', 'developer', 'application', 'gabisa', 'opened', 'update', 'latest', 'fix', 'worsen']")</f>
        <v>['Hey', 'developer', 'application', 'gabisa', 'opened', 'update', 'latest', 'fix', 'worsen']</v>
      </c>
      <c r="D16125" s="3">
        <v>1.0</v>
      </c>
    </row>
    <row r="16126" ht="15.75" customHeight="1">
      <c r="A16126" s="1">
        <v>17139.0</v>
      </c>
      <c r="B16126" s="3" t="s">
        <v>15316</v>
      </c>
      <c r="C16126" s="3" t="str">
        <f>IFERROR(__xludf.DUMMYFUNCTION("GOOGLETRANSLATE(B16126,""id"",""en"")"),"['Good', 'really', 'user', 'card', 'Telkomsel']")</f>
        <v>['Good', 'really', 'user', 'card', 'Telkomsel']</v>
      </c>
      <c r="D16126" s="3">
        <v>4.0</v>
      </c>
    </row>
    <row r="16127" ht="15.75" customHeight="1">
      <c r="A16127" s="1">
        <v>17140.0</v>
      </c>
      <c r="B16127" s="3" t="s">
        <v>15317</v>
      </c>
      <c r="C16127" s="3" t="str">
        <f>IFERROR(__xludf.DUMMYFUNCTION("GOOGLETRANSLATE(B16127,""id"",""en"")"),"['Please', 'System', 'Fix', 'UDH', 'Fill', 'Credit', 'Enter', 'Item', 'Shopee', 'Only', 'Knpa', 'right', ' entry ',' apk ',' screen ',' jdi ',' white ']")</f>
        <v>['Please', 'System', 'Fix', 'UDH', 'Fill', 'Credit', 'Enter', 'Item', 'Shopee', 'Only', 'Knpa', 'right', ' entry ',' apk ',' screen ',' jdi ',' white ']</v>
      </c>
      <c r="D16127" s="3">
        <v>1.0</v>
      </c>
    </row>
    <row r="16128" ht="15.75" customHeight="1">
      <c r="A16128" s="1">
        <v>17141.0</v>
      </c>
      <c r="B16128" s="3" t="s">
        <v>15318</v>
      </c>
      <c r="C16128" s="3" t="str">
        <f>IFERROR(__xludf.DUMMYFUNCTION("GOOGLETRANSLATE(B16128,""id"",""en"")"),"['application', 'buy', 'package', 'anything', 'try', 'try', 'ngadin', 'promo', 'tip', 'buy', 'application', 'bad', ' Download ',' Mending ',' Deh ',' Discard ',' ']")</f>
        <v>['application', 'buy', 'package', 'anything', 'try', 'try', 'ngadin', 'promo', 'tip', 'buy', 'application', 'bad', ' Download ',' Mending ',' Deh ',' Discard ',' ']</v>
      </c>
      <c r="D16128" s="3">
        <v>1.0</v>
      </c>
    </row>
    <row r="16129" ht="15.75" customHeight="1">
      <c r="A16129" s="1">
        <v>17142.0</v>
      </c>
      <c r="B16129" s="3" t="s">
        <v>15319</v>
      </c>
      <c r="C16129" s="3" t="str">
        <f>IFERROR(__xludf.DUMMYFUNCTION("GOOGLETRANSLATE(B16129,""id"",""en"")"),"['Steady', 'promo', 'cheap']")</f>
        <v>['Steady', 'promo', 'cheap']</v>
      </c>
      <c r="D16129" s="3">
        <v>5.0</v>
      </c>
    </row>
    <row r="16130" ht="15.75" customHeight="1">
      <c r="A16130" s="1">
        <v>17143.0</v>
      </c>
      <c r="B16130" s="3" t="s">
        <v>15320</v>
      </c>
      <c r="C16130" s="3" t="str">
        <f>IFERROR(__xludf.DUMMYFUNCTION("GOOGLETRANSLATE(B16130,""id"",""en"")"),"['signal', 'enhanced']")</f>
        <v>['signal', 'enhanced']</v>
      </c>
      <c r="D16130" s="3">
        <v>3.0</v>
      </c>
    </row>
    <row r="16131" ht="15.75" customHeight="1">
      <c r="A16131" s="1">
        <v>17144.0</v>
      </c>
      <c r="B16131" s="3" t="s">
        <v>15321</v>
      </c>
      <c r="C16131" s="3" t="str">
        <f>IFERROR(__xludf.DUMMYFUNCTION("GOOGLETRANSLATE(B16131,""id"",""en"")"),"['Dizziness',' APGRET ',' TAMBA ',' Good ',' Tamba ',' Dizziness', 'Enter', 'Application', 'Trabisa', 'Call', 'Call', 'Center', ' Tamba ',' Dizziness', 'Saying', 'Settings',' Try ',' Trabisa ',' Baek ',' Pinda ',' Pilian ',' Tra ',' Kasi ',' Star ',' Sele"&amp;"ct ' , 'Karna', 'Satisfied']")</f>
        <v>['Dizziness',' APGRET ',' TAMBA ',' Good ',' Tamba ',' Dizziness', 'Enter', 'Application', 'Trabisa', 'Call', 'Call', 'Center', ' Tamba ',' Dizziness', 'Saying', 'Settings',' Try ',' Trabisa ',' Baek ',' Pinda ',' Pilian ',' Tra ',' Kasi ',' Star ',' Select ' , 'Karna', 'Satisfied']</v>
      </c>
      <c r="D16131" s="3">
        <v>1.0</v>
      </c>
    </row>
    <row r="16132" ht="15.75" customHeight="1">
      <c r="A16132" s="1">
        <v>17145.0</v>
      </c>
      <c r="B16132" s="3" t="s">
        <v>15322</v>
      </c>
      <c r="C16132" s="3" t="str">
        <f>IFERROR(__xludf.DUMMYFUNCTION("GOOGLETRANSLATE(B16132,""id"",""en"")"),"['The application', 'update', 'opened', 'Delete', 'cache', 'Install', 'reset', 'tetep']")</f>
        <v>['The application', 'update', 'opened', 'Delete', 'cache', 'Install', 'reset', 'tetep']</v>
      </c>
      <c r="D16132" s="3">
        <v>1.0</v>
      </c>
    </row>
    <row r="16133" ht="15.75" customHeight="1">
      <c r="A16133" s="1">
        <v>17146.0</v>
      </c>
      <c r="B16133" s="3" t="s">
        <v>9973</v>
      </c>
      <c r="C16133" s="3" t="str">
        <f>IFERROR(__xludf.DUMMYFUNCTION("GOOGLETRANSLATE(B16133,""id"",""en"")"),"['Opened', 'The application', '']")</f>
        <v>['Opened', 'The application', '']</v>
      </c>
      <c r="D16133" s="3">
        <v>1.0</v>
      </c>
    </row>
    <row r="16134" ht="15.75" customHeight="1">
      <c r="A16134" s="1">
        <v>17147.0</v>
      </c>
      <c r="B16134" s="3" t="s">
        <v>15323</v>
      </c>
      <c r="C16134" s="3" t="str">
        <f>IFERROR(__xludf.DUMMYFUNCTION("GOOGLETRANSLATE(B16134,""id"",""en"")"),"['Please', 'Fix', 'Customer', 'Disappointed', 'Sis',' Network ',' ugly ',' Price ',' Package ',' Requires', 'Price', 'Confused', ' buy ',' Telkomsel ',' area ',' please ',' really ',' Sis', 'Complete', 'Complete', 'told', 'chat', 'TPI', 'response', 'slow'"&amp;" , 'ksh', 'bntang', 'fix', 'sprti', 'bntang', ""]")</f>
        <v>['Please', 'Fix', 'Customer', 'Disappointed', 'Sis',' Network ',' ugly ',' Price ',' Package ',' Requires', 'Price', 'Confused', ' buy ',' Telkomsel ',' area ',' please ',' really ',' Sis', 'Complete', 'Complete', 'told', 'chat', 'TPI', 'response', 'slow' , 'ksh', 'bntang', 'fix', 'sprti', 'bntang', "]</v>
      </c>
      <c r="D16134" s="3">
        <v>1.0</v>
      </c>
    </row>
    <row r="16135" ht="15.75" customHeight="1">
      <c r="A16135" s="1">
        <v>17148.0</v>
      </c>
      <c r="B16135" s="3" t="s">
        <v>15324</v>
      </c>
      <c r="C16135" s="3" t="str">
        <f>IFERROR(__xludf.DUMMYFUNCTION("GOOGLETRANSLATE(B16135,""id"",""en"")"),"['Ekayaan', 'user', 'Application', 'Okay']")</f>
        <v>['Ekayaan', 'user', 'Application', 'Okay']</v>
      </c>
      <c r="D16135" s="3">
        <v>5.0</v>
      </c>
    </row>
    <row r="16136" ht="15.75" customHeight="1">
      <c r="A16136" s="1">
        <v>17149.0</v>
      </c>
      <c r="B16136" s="3" t="s">
        <v>15325</v>
      </c>
      <c r="C16136" s="3" t="str">
        <f>IFERROR(__xludf.DUMMYFUNCTION("GOOGLETRANSLATE(B16136,""id"",""en"")"),"['', 'updete', 'open', 'white', 'then', 'screen', 'updete', 'safe', 'regret', 'I', 'updete', 'please', 'fix it ']")</f>
        <v>['', 'updete', 'open', 'white', 'then', 'screen', 'updete', 'safe', 'regret', 'I', 'updete', 'please', 'fix it ']</v>
      </c>
      <c r="D16136" s="3">
        <v>1.0</v>
      </c>
    </row>
    <row r="16137" ht="15.75" customHeight="1">
      <c r="A16137" s="1">
        <v>17150.0</v>
      </c>
      <c r="B16137" s="3" t="s">
        <v>15326</v>
      </c>
      <c r="C16137" s="3" t="str">
        <f>IFERROR(__xludf.DUMMYFUNCTION("GOOGLETRANSLATE(B16137,""id"",""en"")"),"['knp', 'skrng', 'leg', 'tlng', 'leg']")</f>
        <v>['knp', 'skrng', 'leg', 'tlng', 'leg']</v>
      </c>
      <c r="D16137" s="3">
        <v>2.0</v>
      </c>
    </row>
    <row r="16138" ht="15.75" customHeight="1">
      <c r="A16138" s="1">
        <v>17152.0</v>
      </c>
      <c r="B16138" s="3" t="s">
        <v>15327</v>
      </c>
      <c r="C16138" s="3" t="str">
        <f>IFERROR(__xludf.DUMMYFUNCTION("GOOGLETRANSLATE(B16138,""id"",""en"")"),"['', 'Update', 'opened', 'Hadeh']")</f>
        <v>['', 'Update', 'opened', 'Hadeh']</v>
      </c>
      <c r="D16138" s="3">
        <v>1.0</v>
      </c>
    </row>
    <row r="16139" ht="15.75" customHeight="1">
      <c r="A16139" s="1">
        <v>17154.0</v>
      </c>
      <c r="B16139" s="3" t="s">
        <v>15328</v>
      </c>
      <c r="C16139" s="3" t="str">
        <f>IFERROR(__xludf.DUMMYFUNCTION("GOOGLETRANSLATE(B16139,""id"",""en"")"),"['Abis', 'updated', 'no', 'opened', 'poor', 'APP', '']")</f>
        <v>['Abis', 'updated', 'no', 'opened', 'poor', 'APP', '']</v>
      </c>
      <c r="D16139" s="3">
        <v>1.0</v>
      </c>
    </row>
    <row r="16140" ht="15.75" customHeight="1">
      <c r="A16140" s="1">
        <v>17155.0</v>
      </c>
      <c r="B16140" s="3" t="s">
        <v>15329</v>
      </c>
      <c r="C16140" s="3" t="str">
        <f>IFERROR(__xludf.DUMMYFUNCTION("GOOGLETRANSLATE(B16140,""id"",""en"")"),"['Provider', 'Indonesia', 'APK', 'KNP', 'garbage', 'already', 'Delete', 'Install', 'reset', 'BBR', 'TTP', 'enter', ' package ',' expensive ',' expectations', 'price', 'quality', 'reason', 'network', 'event', 'city', 'ttp', 'slow', 'apk', 'upgrade' , 'Ngeb"&amp;"lank', 'Solution', '']")</f>
        <v>['Provider', 'Indonesia', 'APK', 'KNP', 'garbage', 'already', 'Delete', 'Install', 'reset', 'BBR', 'TTP', 'enter', ' package ',' expensive ',' expectations', 'price', 'quality', 'reason', 'network', 'event', 'city', 'ttp', 'slow', 'apk', 'upgrade' , 'Ngeblank', 'Solution', '']</v>
      </c>
      <c r="D16140" s="3">
        <v>1.0</v>
      </c>
    </row>
    <row r="16141" ht="15.75" customHeight="1">
      <c r="A16141" s="1">
        <v>17156.0</v>
      </c>
      <c r="B16141" s="3" t="s">
        <v>15330</v>
      </c>
      <c r="C16141" s="3" t="str">
        <f>IFERROR(__xludf.DUMMYFUNCTION("GOOGLETRANSLATE(B16141,""id"",""en"")"),"['Telkom', 'ngeleg']")</f>
        <v>['Telkom', 'ngeleg']</v>
      </c>
      <c r="D16141" s="3">
        <v>1.0</v>
      </c>
    </row>
    <row r="16142" ht="15.75" customHeight="1">
      <c r="A16142" s="1">
        <v>17157.0</v>
      </c>
      <c r="B16142" s="3" t="s">
        <v>15331</v>
      </c>
      <c r="C16142" s="3" t="str">
        <f>IFERROR(__xludf.DUMMYFUNCTION("GOOGLETRANSLATE(B16142,""id"",""en"")"),"['opened', 'severe', 'really', 'class', 'Telkomsel', 'rich', 'gini', ""]")</f>
        <v>['opened', 'severe', 'really', 'class', 'Telkomsel', 'rich', 'gini', "]</v>
      </c>
      <c r="D16142" s="3">
        <v>1.0</v>
      </c>
    </row>
    <row r="16143" ht="15.75" customHeight="1">
      <c r="A16143" s="1">
        <v>17158.0</v>
      </c>
      <c r="B16143" s="3" t="s">
        <v>15332</v>
      </c>
      <c r="C16143" s="3" t="str">
        <f>IFERROR(__xludf.DUMMYFUNCTION("GOOGLETRANSLATE(B16143,""id"",""en"")"),"['', 'Taikkk', 'Come', 'package', 'expensive', 'slow', 'mintak', 'mercy', 'mending', 'use', 'card', 'smooth', 'Jaya ',' Telkomsel ',' slow ',' ampuuuuu ',' really ',' emotion ',' sometimes', '']")</f>
        <v>['', 'Taikkk', 'Come', 'package', 'expensive', 'slow', 'mintak', 'mercy', 'mending', 'use', 'card', 'smooth', 'Jaya ',' Telkomsel ',' slow ',' ampuuuuu ',' really ',' emotion ',' sometimes', '']</v>
      </c>
      <c r="D16143" s="3">
        <v>1.0</v>
      </c>
    </row>
    <row r="16144" ht="15.75" customHeight="1">
      <c r="A16144" s="1">
        <v>17159.0</v>
      </c>
      <c r="B16144" s="3" t="s">
        <v>15333</v>
      </c>
      <c r="C16144" s="3" t="str">
        <f>IFERROR(__xludf.DUMMYFUNCTION("GOOGLETRANSLATE(B16144,""id"",""en"")"),"['', 'open', 'app', 'broken']")</f>
        <v>['', 'open', 'app', 'broken']</v>
      </c>
      <c r="D16144" s="3">
        <v>1.0</v>
      </c>
    </row>
    <row r="16145" ht="15.75" customHeight="1">
      <c r="A16145" s="1">
        <v>17160.0</v>
      </c>
      <c r="B16145" s="3" t="s">
        <v>15334</v>
      </c>
      <c r="C16145" s="3" t="str">
        <f>IFERROR(__xludf.DUMMYFUNCTION("GOOGLETRANSLATE(B16145,""id"",""en"")"),"['Gag', 'opened']")</f>
        <v>['Gag', 'opened']</v>
      </c>
      <c r="D16145" s="3">
        <v>5.0</v>
      </c>
    </row>
    <row r="16146" ht="15.75" customHeight="1">
      <c r="A16146" s="1">
        <v>17161.0</v>
      </c>
      <c r="B16146" s="3" t="s">
        <v>15335</v>
      </c>
      <c r="C16146" s="3" t="str">
        <f>IFERROR(__xludf.DUMMYFUNCTION("GOOGLETRANSLATE(B16146,""id"",""en"")"),"['Good', 'comfortable']")</f>
        <v>['Good', 'comfortable']</v>
      </c>
      <c r="D16146" s="3">
        <v>5.0</v>
      </c>
    </row>
    <row r="16147" ht="15.75" customHeight="1">
      <c r="A16147" s="1">
        <v>17162.0</v>
      </c>
      <c r="B16147" s="3" t="s">
        <v>15336</v>
      </c>
      <c r="C16147" s="3" t="str">
        <f>IFERROR(__xludf.DUMMYFUNCTION("GOOGLETRANSLATE(B16147,""id"",""en"")"),"['', 'star']")</f>
        <v>['', 'star']</v>
      </c>
      <c r="D16147" s="3">
        <v>3.0</v>
      </c>
    </row>
    <row r="16148" ht="15.75" customHeight="1">
      <c r="A16148" s="1">
        <v>17163.0</v>
      </c>
      <c r="B16148" s="3" t="s">
        <v>15337</v>
      </c>
      <c r="C16148" s="3" t="str">
        <f>IFERROR(__xludf.DUMMYFUNCTION("GOOGLETRANSLATE(B16148,""id"",""en"")"),"['Telkomsel', 'signal', 'good', 'buy', 'quota']")</f>
        <v>['Telkomsel', 'signal', 'good', 'buy', 'quota']</v>
      </c>
      <c r="D16148" s="3">
        <v>4.0</v>
      </c>
    </row>
    <row r="16149" ht="15.75" customHeight="1">
      <c r="A16149" s="1">
        <v>17164.0</v>
      </c>
      <c r="B16149" s="3" t="s">
        <v>15338</v>
      </c>
      <c r="C16149" s="3" t="str">
        <f>IFERROR(__xludf.DUMMYFUNCTION("GOOGLETRANSLATE(B16149,""id"",""en"")"),"['APK', 'Help', 'Thank you', 'Telkomsel']")</f>
        <v>['APK', 'Help', 'Thank you', 'Telkomsel']</v>
      </c>
      <c r="D16149" s="3">
        <v>5.0</v>
      </c>
    </row>
    <row r="16150" ht="15.75" customHeight="1">
      <c r="A16150" s="1">
        <v>17165.0</v>
      </c>
      <c r="B16150" s="3" t="s">
        <v>15339</v>
      </c>
      <c r="C16150" s="3" t="str">
        <f>IFERROR(__xludf.DUMMYFUNCTION("GOOGLETRANSLATE(B16150,""id"",""en"")"),"['APK', 'opened', 'already', 'Wait', 'clock', 'opened', 'please', 'repair']")</f>
        <v>['APK', 'opened', 'already', 'Wait', 'clock', 'opened', 'please', 'repair']</v>
      </c>
      <c r="D16150" s="3">
        <v>1.0</v>
      </c>
    </row>
    <row r="16151" ht="15.75" customHeight="1">
      <c r="A16151" s="1">
        <v>17166.0</v>
      </c>
      <c r="B16151" s="3" t="s">
        <v>15340</v>
      </c>
      <c r="C16151" s="3" t="str">
        <f>IFERROR(__xludf.DUMMYFUNCTION("GOOGLETRANSLATE(B16151,""id"",""en"")"),"['Date', 'lag', 'enter', 'MyTelkomsel']")</f>
        <v>['Date', 'lag', 'enter', 'MyTelkomsel']</v>
      </c>
      <c r="D16151" s="3">
        <v>1.0</v>
      </c>
    </row>
    <row r="16152" ht="15.75" customHeight="1">
      <c r="A16152" s="1">
        <v>17167.0</v>
      </c>
      <c r="B16152" s="3" t="s">
        <v>15341</v>
      </c>
      <c r="C16152" s="3" t="str">
        <f>IFERROR(__xludf.DUMMYFUNCTION("GOOGLETRANSLATE(B16152,""id"",""en"")"),"['come here', 'advanced', 'destroyed', 'signal', 'normal', 'quota', 'lured', 'quota', 'expensive', 'signal', 'like', 'name', ' Blowing ',' people ',' easy ',' look for ',' money ',' just ',' say ',' bkln ',' come ',' so ',' kagak ',' sapi ',' please ' , '"&amp;"repaired', 'signal', 'quota', 'cheap']")</f>
        <v>['come here', 'advanced', 'destroyed', 'signal', 'normal', 'quota', 'lured', 'quota', 'expensive', 'signal', 'like', 'name', ' Blowing ',' people ',' easy ',' look for ',' money ',' just ',' say ',' bkln ',' come ',' so ',' kagak ',' sapi ',' please ' , 'repaired', 'signal', 'quota', 'cheap']</v>
      </c>
      <c r="D16152" s="3">
        <v>1.0</v>
      </c>
    </row>
    <row r="16153" ht="15.75" customHeight="1">
      <c r="A16153" s="1">
        <v>17168.0</v>
      </c>
      <c r="B16153" s="3" t="s">
        <v>15342</v>
      </c>
      <c r="C16153" s="3" t="str">
        <f>IFERROR(__xludf.DUMMYFUNCTION("GOOGLETRANSLATE(B16153,""id"",""en"")"),"['Application', 'Telkomsel', 'Nga', 'Open', 'already', 'downlod', 'msh', 'nga', 'open', ""]")</f>
        <v>['Application', 'Telkomsel', 'Nga', 'Open', 'already', 'downlod', 'msh', 'nga', 'open', "]</v>
      </c>
      <c r="D16153" s="3">
        <v>5.0</v>
      </c>
    </row>
    <row r="16154" ht="15.75" customHeight="1">
      <c r="A16154" s="1">
        <v>17169.0</v>
      </c>
      <c r="B16154" s="3" t="s">
        <v>15343</v>
      </c>
      <c r="C16154" s="3" t="str">
        <f>IFERROR(__xludf.DUMMYFUNCTION("GOOGLETRANSLATE(B16154,""id"",""en"")"),"['What', 'Telkomsel', 'The widest', 'strongest', 'network', 'reality', 'Jakarta', 'likes', 'missing', 'network', 'Telkomsel', 'poor']")</f>
        <v>['What', 'Telkomsel', 'The widest', 'strongest', 'network', 'reality', 'Jakarta', 'likes', 'missing', 'network', 'Telkomsel', 'poor']</v>
      </c>
      <c r="D16154" s="3">
        <v>1.0</v>
      </c>
    </row>
    <row r="16155" ht="15.75" customHeight="1">
      <c r="A16155" s="1">
        <v>17170.0</v>
      </c>
      <c r="B16155" s="3" t="s">
        <v>15344</v>
      </c>
      <c r="C16155" s="3" t="str">
        <f>IFERROR(__xludf.DUMMYFUNCTION("GOOGLETRANSLATE(B16155,""id"",""en"")"),"['Open', 'apk', 'ppaakkkk', '']")</f>
        <v>['Open', 'apk', 'ppaakkkk', '']</v>
      </c>
      <c r="D16155" s="3">
        <v>1.0</v>
      </c>
    </row>
    <row r="16156" ht="15.75" customHeight="1">
      <c r="A16156" s="1">
        <v>17171.0</v>
      </c>
      <c r="B16156" s="3" t="s">
        <v>15345</v>
      </c>
      <c r="C16156" s="3" t="str">
        <f>IFERROR(__xludf.DUMMYFUNCTION("GOOGLETRANSLATE(B16156,""id"",""en"")"),"['battered', 'week', 'buy', 'GB', 'RB', 'Nambah', 'Thousand', 'base', 'cunning', 'luck', 'doang']")</f>
        <v>['battered', 'week', 'buy', 'GB', 'RB', 'Nambah', 'Thousand', 'base', 'cunning', 'luck', 'doang']</v>
      </c>
      <c r="D16156" s="3">
        <v>1.0</v>
      </c>
    </row>
    <row r="16157" ht="15.75" customHeight="1">
      <c r="A16157" s="1">
        <v>17172.0</v>
      </c>
      <c r="B16157" s="3" t="s">
        <v>15346</v>
      </c>
      <c r="C16157" s="3" t="str">
        <f>IFERROR(__xludf.DUMMYFUNCTION("GOOGLETRANSLATE(B16157,""id"",""en"")"),"['', 'Denger', 'Telkomsel', 'held', 'Government', 'Pantes',' Layannanan ',' ugly ',' Severe ',' Kayak ',' Pom ',' Gasoline ',' Pertamina ',' Carut ',' Marut ',' Kayak ',' ']")</f>
        <v>['', 'Denger', 'Telkomsel', 'held', 'Government', 'Pantes',' Layannanan ',' ugly ',' Severe ',' Kayak ',' Pom ',' Gasoline ',' Pertamina ',' Carut ',' Marut ',' Kayak ',' ']</v>
      </c>
      <c r="D16157" s="3">
        <v>1.0</v>
      </c>
    </row>
    <row r="16158" ht="15.75" customHeight="1">
      <c r="A16158" s="1">
        <v>17173.0</v>
      </c>
      <c r="B16158" s="3" t="s">
        <v>15347</v>
      </c>
      <c r="C16158" s="3" t="str">
        <f>IFERROR(__xludf.DUMMYFUNCTION("GOOGLETRANSLATE(B16158,""id"",""en"")"),"['update', 'open', 'blank', 'white', 'watch out', 'solution', 'contact', 'blah', 'bla', 'review', 'solution']")</f>
        <v>['update', 'open', 'blank', 'white', 'watch out', 'solution', 'contact', 'blah', 'bla', 'review', 'solution']</v>
      </c>
      <c r="D16158" s="3">
        <v>1.0</v>
      </c>
    </row>
    <row r="16159" ht="15.75" customHeight="1">
      <c r="A16159" s="1">
        <v>17174.0</v>
      </c>
      <c r="B16159" s="3" t="s">
        <v>15348</v>
      </c>
      <c r="C16159" s="3" t="str">
        <f>IFERROR(__xludf.DUMMYFUNCTION("GOOGLETRANSLATE(B16159,""id"",""en"")"),"['slow', 'really', 'open']")</f>
        <v>['slow', 'really', 'open']</v>
      </c>
      <c r="D16159" s="3">
        <v>1.0</v>
      </c>
    </row>
    <row r="16160" ht="15.75" customHeight="1">
      <c r="A16160" s="1">
        <v>17175.0</v>
      </c>
      <c r="B16160" s="3" t="s">
        <v>15349</v>
      </c>
      <c r="C16160" s="3" t="str">
        <f>IFERROR(__xludf.DUMMYFUNCTION("GOOGLETRANSLATE(B16160,""id"",""en"")"),"['right', 'update', 'open', 'how', 'dumped']")</f>
        <v>['right', 'update', 'open', 'how', 'dumped']</v>
      </c>
      <c r="D16160" s="3">
        <v>1.0</v>
      </c>
    </row>
    <row r="16161" ht="15.75" customHeight="1">
      <c r="A16161" s="1">
        <v>17176.0</v>
      </c>
      <c r="B16161" s="3" t="s">
        <v>15350</v>
      </c>
      <c r="C16161" s="3" t="str">
        <f>IFERROR(__xludf.DUMMYFUNCTION("GOOGLETRANSLATE(B16161,""id"",""en"")"),"['updated', 'MLH', 'opened']")</f>
        <v>['updated', 'MLH', 'opened']</v>
      </c>
      <c r="D16161" s="3">
        <v>3.0</v>
      </c>
    </row>
    <row r="16162" ht="15.75" customHeight="1">
      <c r="A16162" s="1">
        <v>17177.0</v>
      </c>
      <c r="B16162" s="3" t="s">
        <v>15351</v>
      </c>
      <c r="C16162" s="3" t="str">
        <f>IFERROR(__xludf.DUMMYFUNCTION("GOOGLETRANSLATE(B16162,""id"",""en"")"),"['star']")</f>
        <v>['star']</v>
      </c>
      <c r="D16162" s="3">
        <v>1.0</v>
      </c>
    </row>
    <row r="16163" ht="15.75" customHeight="1">
      <c r="A16163" s="1">
        <v>17178.0</v>
      </c>
      <c r="B16163" s="3" t="s">
        <v>15352</v>
      </c>
      <c r="C16163" s="3" t="str">
        <f>IFERROR(__xludf.DUMMYFUNCTION("GOOGLETRANSLATE(B16163,""id"",""en"")"),"['Update', 'Application', 'Update', 'Opened', 'Application', 'Severe', 'Very', 'Gini', 'Dowload', 'Opened']")</f>
        <v>['Update', 'Application', 'Update', 'Opened', 'Application', 'Severe', 'Very', 'Gini', 'Dowload', 'Opened']</v>
      </c>
      <c r="D16163" s="3">
        <v>1.0</v>
      </c>
    </row>
    <row r="16164" ht="15.75" customHeight="1">
      <c r="A16164" s="1">
        <v>17179.0</v>
      </c>
      <c r="B16164" s="3" t="s">
        <v>15353</v>
      </c>
      <c r="C16164" s="3" t="str">
        <f>IFERROR(__xludf.DUMMYFUNCTION("GOOGLETRANSLATE(B16164,""id"",""en"")"),"['lemmmooot', 'hadeuh', 'mending', 'neighbor', 'next door', 'ajah']")</f>
        <v>['lemmmooot', 'hadeuh', 'mending', 'neighbor', 'next door', 'ajah']</v>
      </c>
      <c r="D16164" s="3">
        <v>1.0</v>
      </c>
    </row>
    <row r="16165" ht="15.75" customHeight="1">
      <c r="A16165" s="1">
        <v>17180.0</v>
      </c>
      <c r="B16165" s="3" t="s">
        <v>15354</v>
      </c>
      <c r="C16165" s="3" t="str">
        <f>IFERROR(__xludf.DUMMYFUNCTION("GOOGLETRANSLATE(B16165,""id"",""en"")"),"['Hello', 'Telkomsel', 'contents',' quota ',' MyTelkomsel ',' enter ',' quota ',' just ',' contents', 'quota', 'cheerful', 'GB', ' Wait ',' clock ',' visits', 'enter', 'signal', 'smooth', 'Jaya', 'my place', 'Please', 'repair', 'Telkomsel', 'Customer', 'c"&amp;"omfortable' , 'Telkomsel', 'hope', 'in the future', 'quota', 'fast', 'enter', 'transaction', 'success', 'waiting', 'thank', 'love', ""]")</f>
        <v>['Hello', 'Telkomsel', 'contents',' quota ',' MyTelkomsel ',' enter ',' quota ',' just ',' contents', 'quota', 'cheerful', 'GB', ' Wait ',' clock ',' visits', 'enter', 'signal', 'smooth', 'Jaya', 'my place', 'Please', 'repair', 'Telkomsel', 'Customer', 'comfortable' , 'Telkomsel', 'hope', 'in the future', 'quota', 'fast', 'enter', 'transaction', 'success', 'waiting', 'thank', 'love', "]</v>
      </c>
      <c r="D16165" s="3">
        <v>2.0</v>
      </c>
    </row>
    <row r="16166" ht="15.75" customHeight="1">
      <c r="A16166" s="1">
        <v>17181.0</v>
      </c>
      <c r="B16166" s="3" t="s">
        <v>15355</v>
      </c>
      <c r="C16166" s="3" t="str">
        <f>IFERROR(__xludf.DUMMYFUNCTION("GOOGLETRANSLATE(B16166,""id"",""en"")"),"['Out', 'update', 'like', 'kluar', 'buy', 'package', 'blm', 'smp', 'buy', 'already', 'kluar', ""]")</f>
        <v>['Out', 'update', 'like', 'kluar', 'buy', 'package', 'blm', 'smp', 'buy', 'already', 'kluar', "]</v>
      </c>
      <c r="D16166" s="3">
        <v>1.0</v>
      </c>
    </row>
    <row r="16167" ht="15.75" customHeight="1">
      <c r="A16167" s="1">
        <v>17182.0</v>
      </c>
      <c r="B16167" s="3" t="s">
        <v>15356</v>
      </c>
      <c r="C16167" s="3" t="str">
        <f>IFERROR(__xludf.DUMMYFUNCTION("GOOGLETRANSLATE(B16167,""id"",""en"")"),"['', 'buy', 'Thinking', 'YouTube', 'GB', '']")</f>
        <v>['', 'buy', 'Thinking', 'YouTube', 'GB', '']</v>
      </c>
      <c r="D16167" s="3">
        <v>1.0</v>
      </c>
    </row>
    <row r="16168" ht="15.75" customHeight="1">
      <c r="A16168" s="1">
        <v>17183.0</v>
      </c>
      <c r="B16168" s="3" t="s">
        <v>15357</v>
      </c>
      <c r="C16168" s="3" t="str">
        <f>IFERROR(__xludf.DUMMYFUNCTION("GOOGLETRANSLATE(B16168,""id"",""en"")"),"['Severe', 'Telkomsel', 'Network', 'Stable', 'Please', 'Fix']")</f>
        <v>['Severe', 'Telkomsel', 'Network', 'Stable', 'Please', 'Fix']</v>
      </c>
      <c r="D16168" s="3">
        <v>1.0</v>
      </c>
    </row>
    <row r="16169" ht="15.75" customHeight="1">
      <c r="A16169" s="1">
        <v>17184.0</v>
      </c>
      <c r="B16169" s="3" t="s">
        <v>15358</v>
      </c>
      <c r="C16169" s="3" t="str">
        <f>IFERROR(__xludf.DUMMYFUNCTION("GOOGLETRANSLATE(B16169,""id"",""en"")"),"['buy', 'package', 'internet', 'expensive', 'network', 'ugly', 'mulu', 'kek', 'Telkomsel']")</f>
        <v>['buy', 'package', 'internet', 'expensive', 'network', 'ugly', 'mulu', 'kek', 'Telkomsel']</v>
      </c>
      <c r="D16169" s="3">
        <v>1.0</v>
      </c>
    </row>
    <row r="16170" ht="15.75" customHeight="1">
      <c r="A16170" s="1">
        <v>17186.0</v>
      </c>
      <c r="B16170" s="3" t="s">
        <v>15359</v>
      </c>
      <c r="C16170" s="3" t="str">
        <f>IFERROR(__xludf.DUMMYFUNCTION("GOOGLETRANSLATE(B16170,""id"",""en"")"),"['duh', 'forgiveness',' deh ',' obstacles', 'network', 'confirm', 'nyenyenye', 'already', 'try', 'results',' until ',' now ',' Belom ',' Response ',' Team ',' Tsel ']")</f>
        <v>['duh', 'forgiveness',' deh ',' obstacles', 'network', 'confirm', 'nyenyenye', 'already', 'try', 'results',' until ',' now ',' Belom ',' Response ',' Team ',' Tsel ']</v>
      </c>
      <c r="D16170" s="3">
        <v>1.0</v>
      </c>
    </row>
    <row r="16171" ht="15.75" customHeight="1">
      <c r="A16171" s="1">
        <v>17187.0</v>
      </c>
      <c r="B16171" s="3" t="s">
        <v>15360</v>
      </c>
      <c r="C16171" s="3" t="str">
        <f>IFERROR(__xludf.DUMMYFUNCTION("GOOGLETRANSLATE(B16171,""id"",""en"")"),"['Package', 'Combo', 'Unlimited', 'FUP', 'Lost', 'Mulu', 'Sometimes', 'Sometimes', 'Lost', 'Lazy', 'Card', 'Telkomsel']")</f>
        <v>['Package', 'Combo', 'Unlimited', 'FUP', 'Lost', 'Mulu', 'Sometimes', 'Sometimes', 'Lost', 'Lazy', 'Card', 'Telkomsel']</v>
      </c>
      <c r="D16171" s="3">
        <v>1.0</v>
      </c>
    </row>
    <row r="16172" ht="15.75" customHeight="1">
      <c r="A16172" s="1">
        <v>17188.0</v>
      </c>
      <c r="B16172" s="3" t="s">
        <v>15361</v>
      </c>
      <c r="C16172" s="3" t="str">
        <f>IFERROR(__xludf.DUMMYFUNCTION("GOOGLETRANSLATE(B16172,""id"",""en"")"),"['Telkomsel', 'Taik', 'package', 'expensive', 'quality', 'network', 'kayak', 'taik', 'use', 'Telkomsel', 'disappointment', 'biggest', ' ']")</f>
        <v>['Telkomsel', 'Taik', 'package', 'expensive', 'quality', 'network', 'kayak', 'taik', 'use', 'Telkomsel', 'disappointment', 'biggest', ' ']</v>
      </c>
      <c r="D16172" s="3">
        <v>1.0</v>
      </c>
    </row>
    <row r="16173" ht="15.75" customHeight="1">
      <c r="A16173" s="1">
        <v>17189.0</v>
      </c>
      <c r="B16173" s="3" t="s">
        <v>15362</v>
      </c>
      <c r="C16173" s="3" t="str">
        <f>IFERROR(__xludf.DUMMYFUNCTION("GOOGLETRANSLATE(B16173,""id"",""en"")"),"['Oyy', 'Telkomsel', 'Satisfied', 'Network', 'Telkomsel', 'Price', 'Expensive', 'Quality', 'Network', 'Bad', 'Network', 'Bad', ' disappointing ',' watch ',' youtube ',' play ',' game ',' lag ',' adjust ',' price ',' network ',' ']")</f>
        <v>['Oyy', 'Telkomsel', 'Satisfied', 'Network', 'Telkomsel', 'Price', 'Expensive', 'Quality', 'Network', 'Bad', 'Network', 'Bad', ' disappointing ',' watch ',' youtube ',' play ',' game ',' lag ',' adjust ',' price ',' network ',' ']</v>
      </c>
      <c r="D16173" s="3">
        <v>1.0</v>
      </c>
    </row>
    <row r="16174" ht="15.75" customHeight="1">
      <c r="A16174" s="1">
        <v>17190.0</v>
      </c>
      <c r="B16174" s="3" t="s">
        <v>15363</v>
      </c>
      <c r="C16174" s="3" t="str">
        <f>IFERROR(__xludf.DUMMYFUNCTION("GOOGLETRANSLATE(B16174,""id"",""en"")"),"['application', 'good', 'wear', 'card', 'Telkomsel']")</f>
        <v>['application', 'good', 'wear', 'card', 'Telkomsel']</v>
      </c>
      <c r="D16174" s="3">
        <v>5.0</v>
      </c>
    </row>
    <row r="16175" ht="15.75" customHeight="1">
      <c r="A16175" s="1">
        <v>17191.0</v>
      </c>
      <c r="B16175" s="3" t="s">
        <v>15364</v>
      </c>
      <c r="C16175" s="3" t="str">
        <f>IFERROR(__xludf.DUMMYFUNCTION("GOOGLETRANSLATE(B16175,""id"",""en"")"),"['', 'Telkomsel', 'opened', 'Try', 'Reinstall', 'Restard', 'Android', 'opened', 'responded', 'Application', 'Delete', ""]")</f>
        <v>['', 'Telkomsel', 'opened', 'Try', 'Reinstall', 'Restard', 'Android', 'opened', 'responded', 'Application', 'Delete', "]</v>
      </c>
      <c r="D16175" s="3">
        <v>1.0</v>
      </c>
    </row>
    <row r="16176" ht="15.75" customHeight="1">
      <c r="A16176" s="1">
        <v>17192.0</v>
      </c>
      <c r="B16176" s="3" t="s">
        <v>15365</v>
      </c>
      <c r="C16176" s="3" t="str">
        <f>IFERROR(__xludf.DUMMYFUNCTION("GOOGLETRANSLATE(B16176,""id"",""en"")"),"['Application', 'Telkomsel', 'Open', 'Already', 'Weekly', 'Open', 'TRIMS']")</f>
        <v>['Application', 'Telkomsel', 'Open', 'Already', 'Weekly', 'Open', 'TRIMS']</v>
      </c>
      <c r="D16176" s="3">
        <v>4.0</v>
      </c>
    </row>
    <row r="16177" ht="15.75" customHeight="1">
      <c r="A16177" s="1">
        <v>17193.0</v>
      </c>
      <c r="B16177" s="3" t="s">
        <v>15366</v>
      </c>
      <c r="C16177" s="3" t="str">
        <f>IFERROR(__xludf.DUMMYFUNCTION("GOOGLETRANSLATE(B16177,""id"",""en"")"),"['Quality', 'Quality', 'Maintained']")</f>
        <v>['Quality', 'Quality', 'Maintained']</v>
      </c>
      <c r="D16177" s="3">
        <v>5.0</v>
      </c>
    </row>
    <row r="16178" ht="15.75" customHeight="1">
      <c r="A16178" s="1">
        <v>17194.0</v>
      </c>
      <c r="B16178" s="3" t="s">
        <v>15367</v>
      </c>
      <c r="C16178" s="3" t="str">
        <f>IFERROR(__xludf.DUMMYFUNCTION("GOOGLETRANSLATE(B16178,""id"",""en"")"),"['Upgrade', 'Total', 'menu', 'main', '']")</f>
        <v>['Upgrade', 'Total', 'menu', 'main', '']</v>
      </c>
      <c r="D16178" s="3">
        <v>1.0</v>
      </c>
    </row>
    <row r="16179" ht="15.75" customHeight="1">
      <c r="A16179" s="1">
        <v>17195.0</v>
      </c>
      <c r="B16179" s="3" t="s">
        <v>15368</v>
      </c>
      <c r="C16179" s="3" t="str">
        <f>IFERROR(__xludf.DUMMYFUNCTION("GOOGLETRANSLATE(B16179,""id"",""en"")"),"['Notif', 'Update', 'Disturbs', 'Update', 'Nambah', 'Help']")</f>
        <v>['Notif', 'Update', 'Disturbs', 'Update', 'Nambah', 'Help']</v>
      </c>
      <c r="D16179" s="3">
        <v>1.0</v>
      </c>
    </row>
    <row r="16180" ht="15.75" customHeight="1">
      <c r="A16180" s="1">
        <v>17196.0</v>
      </c>
      <c r="B16180" s="3" t="s">
        <v>15369</v>
      </c>
      <c r="C16180" s="3" t="str">
        <f>IFERROR(__xludf.DUMMYFUNCTION("GOOGLETRANSLATE(B16180,""id"",""en"")"),"['Provider', 'provides', 'price', 'package', 'cheap', 'network', 'fast', '']")</f>
        <v>['Provider', 'provides', 'price', 'package', 'cheap', 'network', 'fast', '']</v>
      </c>
      <c r="D16180" s="3">
        <v>4.0</v>
      </c>
    </row>
    <row r="16181" ht="15.75" customHeight="1">
      <c r="A16181" s="1">
        <v>17197.0</v>
      </c>
      <c r="B16181" s="3" t="s">
        <v>15370</v>
      </c>
      <c r="C16181" s="3" t="str">
        <f>IFERROR(__xludf.DUMMYFUNCTION("GOOGLETRANSLATE(B16181,""id"",""en"")"),"['Cool', 'Skalii', '']")</f>
        <v>['Cool', 'Skalii', '']</v>
      </c>
      <c r="D16181" s="3">
        <v>5.0</v>
      </c>
    </row>
    <row r="16182" ht="15.75" customHeight="1">
      <c r="A16182" s="1">
        <v>17198.0</v>
      </c>
      <c r="B16182" s="3" t="s">
        <v>15371</v>
      </c>
      <c r="C16182" s="3" t="str">
        <f>IFERROR(__xludf.DUMMYFUNCTION("GOOGLETRANSLATE(B16182,""id"",""en"")"),"['Package', 'expensive', 'expensive', 'consistent']")</f>
        <v>['Package', 'expensive', 'expensive', 'consistent']</v>
      </c>
      <c r="D16182" s="3">
        <v>1.0</v>
      </c>
    </row>
    <row r="16183" ht="15.75" customHeight="1">
      <c r="A16183" s="1">
        <v>17199.0</v>
      </c>
      <c r="B16183" s="3" t="s">
        <v>15372</v>
      </c>
      <c r="C16183" s="3" t="str">
        <f>IFERROR(__xludf.DUMMYFUNCTION("GOOGLETRANSLATE(B16183,""id"",""en"")"),"['times', 'try', 'application', 'koq', 'open', 'easy', 'open', '']")</f>
        <v>['times', 'try', 'application', 'koq', 'open', 'easy', 'open', '']</v>
      </c>
      <c r="D16183" s="3">
        <v>5.0</v>
      </c>
    </row>
    <row r="16184" ht="15.75" customHeight="1">
      <c r="A16184" s="1">
        <v>17200.0</v>
      </c>
      <c r="B16184" s="3" t="s">
        <v>15373</v>
      </c>
      <c r="C16184" s="3" t="str">
        <f>IFERROR(__xludf.DUMMYFUNCTION("GOOGLETRANSLATE(B16184,""id"",""en"")"),"['The variant', 'confused']")</f>
        <v>['The variant', 'confused']</v>
      </c>
      <c r="D16184" s="3">
        <v>1.0</v>
      </c>
    </row>
    <row r="16185" ht="15.75" customHeight="1">
      <c r="A16185" s="1">
        <v>17201.0</v>
      </c>
      <c r="B16185" s="3" t="s">
        <v>15374</v>
      </c>
      <c r="C16185" s="3" t="str">
        <f>IFERROR(__xludf.DUMMYFUNCTION("GOOGLETRANSLATE(B16185,""id"",""en"")"),"['love', 'star', 'dlu', 'open', 'the application', 'fill', 'please', 'really', 'difficult']")</f>
        <v>['love', 'star', 'dlu', 'open', 'the application', 'fill', 'please', 'really', 'difficult']</v>
      </c>
      <c r="D16185" s="3">
        <v>3.0</v>
      </c>
    </row>
    <row r="16186" ht="15.75" customHeight="1">
      <c r="A16186" s="1">
        <v>17202.0</v>
      </c>
      <c r="B16186" s="3" t="s">
        <v>15375</v>
      </c>
      <c r="C16186" s="3" t="str">
        <f>IFERROR(__xludf.DUMMYFUNCTION("GOOGLETRANSLATE(B16186,""id"",""en"")"),"['apps', 'Telkomsel', 'cave', 'bsa', 'open']")</f>
        <v>['apps', 'Telkomsel', 'cave', 'bsa', 'open']</v>
      </c>
      <c r="D16186" s="3">
        <v>2.0</v>
      </c>
    </row>
    <row r="16187" ht="15.75" customHeight="1">
      <c r="A16187" s="1">
        <v>17203.0</v>
      </c>
      <c r="B16187" s="3" t="s">
        <v>15376</v>
      </c>
      <c r="C16187" s="3" t="str">
        <f>IFERROR(__xludf.DUMMYFUNCTION("GOOGLETRANSLATE(B16187,""id"",""en"")"),"['times',' cave ',' test ',' Telkomsel ',' deliberate ',' contents', 'pulse', 'rb', 'log', 'mbanking', 'bca', 'times',' SMS ',' BCA ',' Log ',' Mbanking ',' Niaga ',' Times', 'SMS', 'Total', 'Use', 'Internet', 'Card', 'Quota', 'Use' , 'sympathy', 'notif',"&amp;" 'sms',' use ',' package ',' internet ',' fare ',' blah ',' blah ',' blah ',' what ',' pulses', ' cave ',' run out ',' rb ',' so ',' pulse ',' crazy ',' cave ',' internet ',' that's', 'rich', 'results',' rampog ',' pulses' , 'Customer', 'elu', '']")</f>
        <v>['times',' cave ',' test ',' Telkomsel ',' deliberate ',' contents', 'pulse', 'rb', 'log', 'mbanking', 'bca', 'times',' SMS ',' BCA ',' Log ',' Mbanking ',' Niaga ',' Times', 'SMS', 'Total', 'Use', 'Internet', 'Card', 'Quota', 'Use' , 'sympathy', 'notif', 'sms',' use ',' package ',' internet ',' fare ',' blah ',' blah ',' blah ',' what ',' pulses', ' cave ',' run out ',' rb ',' so ',' pulse ',' crazy ',' cave ',' internet ',' that's', 'rich', 'results',' rampog ',' pulses' , 'Customer', 'elu', '']</v>
      </c>
      <c r="D16187" s="3">
        <v>1.0</v>
      </c>
    </row>
    <row r="16188" ht="15.75" customHeight="1">
      <c r="A16188" s="1">
        <v>17204.0</v>
      </c>
      <c r="B16188" s="3" t="s">
        <v>15377</v>
      </c>
      <c r="C16188" s="3" t="str">
        <f>IFERROR(__xludf.DUMMYFUNCTION("GOOGLETRANSLATE(B16188,""id"",""en"")"),"['Damaged', 'Damaged', 'The Network']")</f>
        <v>['Damaged', 'Damaged', 'The Network']</v>
      </c>
      <c r="D16188" s="3">
        <v>1.0</v>
      </c>
    </row>
    <row r="16189" ht="15.75" customHeight="1">
      <c r="A16189" s="1">
        <v>17205.0</v>
      </c>
      <c r="B16189" s="3" t="s">
        <v>15378</v>
      </c>
      <c r="C16189" s="3" t="str">
        <f>IFERROR(__xludf.DUMMYFUNCTION("GOOGLETRANSLATE(B16189,""id"",""en"")"),"['expensive', 'package', 'combo', 'Sakti', 'price', 'continuous', 'Dininikin', 'signal', 'sometimes', 'slow', 'lemotan', ""]")</f>
        <v>['expensive', 'package', 'combo', 'Sakti', 'price', 'continuous', 'Dininikin', 'signal', 'sometimes', 'slow', 'lemotan', "]</v>
      </c>
      <c r="D16189" s="3">
        <v>2.0</v>
      </c>
    </row>
    <row r="16190" ht="15.75" customHeight="1">
      <c r="A16190" s="1">
        <v>17206.0</v>
      </c>
      <c r="B16190" s="3" t="s">
        <v>15379</v>
      </c>
      <c r="C16190" s="3" t="str">
        <f>IFERROR(__xludf.DUMMYFUNCTION("GOOGLETRANSLATE(B16190,""id"",""en"")"),"['Addin', 'Feature', 'Sell', 'Credit', 'Price', 'Under', 'Pasar']")</f>
        <v>['Addin', 'Feature', 'Sell', 'Credit', 'Price', 'Under', 'Pasar']</v>
      </c>
      <c r="D16190" s="3">
        <v>5.0</v>
      </c>
    </row>
    <row r="16191" ht="15.75" customHeight="1">
      <c r="A16191" s="1">
        <v>17207.0</v>
      </c>
      <c r="B16191" s="3" t="s">
        <v>15380</v>
      </c>
      <c r="C16191" s="3" t="str">
        <f>IFERROR(__xludf.DUMMYFUNCTION("GOOGLETRANSLATE(B16191,""id"",""en"")"),"['application', 'Telkomsel', 'open', 'site', 'Telkomsel', 'open', 'strange', 'really', 'application', 'owned', 'BUMN', '']")</f>
        <v>['application', 'Telkomsel', 'open', 'site', 'Telkomsel', 'open', 'strange', 'really', 'application', 'owned', 'BUMN', '']</v>
      </c>
      <c r="D16191" s="3">
        <v>4.0</v>
      </c>
    </row>
    <row r="16192" ht="15.75" customHeight="1">
      <c r="A16192" s="1">
        <v>17208.0</v>
      </c>
      <c r="B16192" s="3" t="s">
        <v>15381</v>
      </c>
      <c r="C16192" s="3" t="str">
        <f>IFERROR(__xludf.DUMMYFUNCTION("GOOGLETRANSLATE(B16192,""id"",""en"")"),"['like', 'really', 'APK', 'easy', '']")</f>
        <v>['like', 'really', 'APK', 'easy', '']</v>
      </c>
      <c r="D16192" s="3">
        <v>5.0</v>
      </c>
    </row>
    <row r="16193" ht="15.75" customHeight="1">
      <c r="A16193" s="1">
        <v>17209.0</v>
      </c>
      <c r="B16193" s="3" t="s">
        <v>15382</v>
      </c>
      <c r="C16193" s="3" t="str">
        <f>IFERROR(__xludf.DUMMYFUNCTION("GOOGLETRANSLATE(B16193,""id"",""en"")"),"['sinyaal', 'bad', 'repaired', 'service', 'looked', 'lucky', 'BUMN', '']")</f>
        <v>['sinyaal', 'bad', 'repaired', 'service', 'looked', 'lucky', 'BUMN', '']</v>
      </c>
      <c r="D16193" s="3">
        <v>1.0</v>
      </c>
    </row>
    <row r="16194" ht="15.75" customHeight="1">
      <c r="A16194" s="1">
        <v>17210.0</v>
      </c>
      <c r="B16194" s="3" t="s">
        <v>15383</v>
      </c>
      <c r="C16194" s="3" t="str">
        <f>IFERROR(__xludf.DUMMYFUNCTION("GOOGLETRANSLATE(B16194,""id"",""en"")"),"['ugly', 'update', 'open', 'direct']")</f>
        <v>['ugly', 'update', 'open', 'direct']</v>
      </c>
      <c r="D16194" s="3">
        <v>1.0</v>
      </c>
    </row>
    <row r="16195" ht="15.75" customHeight="1">
      <c r="A16195" s="1">
        <v>17211.0</v>
      </c>
      <c r="B16195" s="3" t="s">
        <v>15384</v>
      </c>
      <c r="C16195" s="3" t="str">
        <f>IFERROR(__xludf.DUMMYFUNCTION("GOOGLETRANSLATE(B16195,""id"",""en"")"),"['apk', 'gabisa', 'opened', 'screen', 'white', 'awaited', 'clock', 'open', 'network', 'smooth', 'fix', 'telkomsel']")</f>
        <v>['apk', 'gabisa', 'opened', 'screen', 'white', 'awaited', 'clock', 'open', 'network', 'smooth', 'fix', 'telkomsel']</v>
      </c>
      <c r="D16195" s="3">
        <v>1.0</v>
      </c>
    </row>
    <row r="16196" ht="15.75" customHeight="1">
      <c r="A16196" s="1">
        <v>17212.0</v>
      </c>
      <c r="B16196" s="3" t="s">
        <v>15385</v>
      </c>
      <c r="C16196" s="3" t="str">
        <f>IFERROR(__xludf.DUMMYFUNCTION("GOOGLETRANSLATE(B16196,""id"",""en"")"),"['Thank "",' Love ',' Allah ',' Win ',' Gift ',' Car ']")</f>
        <v>['Thank ",' Love ',' Allah ',' Win ',' Gift ',' Car ']</v>
      </c>
      <c r="D16196" s="3">
        <v>5.0</v>
      </c>
    </row>
    <row r="16197" ht="15.75" customHeight="1">
      <c r="A16197" s="1">
        <v>17213.0</v>
      </c>
      <c r="B16197" s="3" t="s">
        <v>15386</v>
      </c>
      <c r="C16197" s="3" t="str">
        <f>IFERROR(__xludf.DUMMYFUNCTION("GOOGLETRANSLATE(B16197,""id"",""en"")"),"['complicated', 'skl', 'help', 'tuk', 'buy', 'package', 'pulse']")</f>
        <v>['complicated', 'skl', 'help', 'tuk', 'buy', 'package', 'pulse']</v>
      </c>
      <c r="D16197" s="3">
        <v>2.0</v>
      </c>
    </row>
    <row r="16198" ht="15.75" customHeight="1">
      <c r="A16198" s="1">
        <v>17214.0</v>
      </c>
      <c r="B16198" s="3" t="s">
        <v>15387</v>
      </c>
      <c r="C16198" s="3" t="str">
        <f>IFERROR(__xludf.DUMMYFUNCTION("GOOGLETRANSLATE(B16198,""id"",""en"")"),"['Network', 'mantaap', '']")</f>
        <v>['Network', 'mantaap', '']</v>
      </c>
      <c r="D16198" s="3">
        <v>5.0</v>
      </c>
    </row>
    <row r="16199" ht="15.75" customHeight="1">
      <c r="A16199" s="1">
        <v>17215.0</v>
      </c>
      <c r="B16199" s="3" t="s">
        <v>15388</v>
      </c>
      <c r="C16199" s="3" t="str">
        <f>IFERROR(__xludf.DUMMYFUNCTION("GOOGLETRANSLATE(B16199,""id"",""en"")"),"['Good', 'tower']")</f>
        <v>['Good', 'tower']</v>
      </c>
      <c r="D16199" s="3">
        <v>5.0</v>
      </c>
    </row>
    <row r="16200" ht="15.75" customHeight="1">
      <c r="A16200" s="1">
        <v>17216.0</v>
      </c>
      <c r="B16200" s="3" t="s">
        <v>15389</v>
      </c>
      <c r="C16200" s="3" t="str">
        <f>IFERROR(__xludf.DUMMYFUNCTION("GOOGLETRANSLATE(B16200,""id"",""en"")"),"['Memarah', 'Nih', 'Login', 'Ribet', '']")</f>
        <v>['Memarah', 'Nih', 'Login', 'Ribet', '']</v>
      </c>
      <c r="D16200" s="3">
        <v>1.0</v>
      </c>
    </row>
    <row r="16201" ht="15.75" customHeight="1">
      <c r="A16201" s="1">
        <v>17217.0</v>
      </c>
      <c r="B16201" s="3" t="s">
        <v>15390</v>
      </c>
      <c r="C16201" s="3" t="str">
        <f>IFERROR(__xludf.DUMMYFUNCTION("GOOGLETRANSLATE(B16201,""id"",""en"")"),"['Subhanallah', 'Alhamdulillah', 'Mantul', 'Hopefully', 'blessing', 'hope', 'Reward', 'Car', 'Telkomsel']")</f>
        <v>['Subhanallah', 'Alhamdulillah', 'Mantul', 'Hopefully', 'blessing', 'hope', 'Reward', 'Car', 'Telkomsel']</v>
      </c>
      <c r="D16201" s="3">
        <v>5.0</v>
      </c>
    </row>
    <row r="16202" ht="15.75" customHeight="1">
      <c r="A16202" s="1">
        <v>17218.0</v>
      </c>
      <c r="B16202" s="3" t="s">
        <v>15391</v>
      </c>
      <c r="C16202" s="3" t="str">
        <f>IFERROR(__xludf.DUMMYFUNCTION("GOOGLETRANSLATE(B16202,""id"",""en"")"),"['Good', 'APK', 'mantaaap', '']")</f>
        <v>['Good', 'APK', 'mantaaap', '']</v>
      </c>
      <c r="D16202" s="3">
        <v>5.0</v>
      </c>
    </row>
    <row r="16203" ht="15.75" customHeight="1">
      <c r="A16203" s="1">
        <v>17219.0</v>
      </c>
      <c r="B16203" s="3" t="s">
        <v>15392</v>
      </c>
      <c r="C16203" s="3" t="str">
        <f>IFERROR(__xludf.DUMMYFUNCTION("GOOGLETRANSLATE(B16203,""id"",""en"")"),"['HBS', 'update', 'opened', 'Screen', 'White', 'UDH', 'Change', 'Report', 'Telkomsel', 'TTP', 'Msh', ""]")</f>
        <v>['HBS', 'update', 'opened', 'Screen', 'White', 'UDH', 'Change', 'Report', 'Telkomsel', 'TTP', 'Msh', "]</v>
      </c>
      <c r="D16203" s="3">
        <v>2.0</v>
      </c>
    </row>
    <row r="16204" ht="15.75" customHeight="1">
      <c r="A16204" s="1">
        <v>17220.0</v>
      </c>
      <c r="B16204" s="3" t="s">
        <v>15393</v>
      </c>
      <c r="C16204" s="3" t="str">
        <f>IFERROR(__xludf.DUMMYFUNCTION("GOOGLETRANSLATE(B16204,""id"",""en"")"),"['Love', 'star', 'apk', 'Telkomsel', 'no', 'entered', 'APK', 'what', 'min', 'please', 'renson']")</f>
        <v>['Love', 'star', 'apk', 'Telkomsel', 'no', 'entered', 'APK', 'what', 'min', 'please', 'renson']</v>
      </c>
      <c r="D16204" s="3">
        <v>2.0</v>
      </c>
    </row>
    <row r="16205" ht="15.75" customHeight="1">
      <c r="A16205" s="1">
        <v>17221.0</v>
      </c>
      <c r="B16205" s="3" t="s">
        <v>15394</v>
      </c>
      <c r="C16205" s="3" t="str">
        <f>IFERROR(__xludf.DUMMYFUNCTION("GOOGLETRANSLATE(B16205,""id"",""en"")"),"['Harms',' Telkomsel ',' Utilizing ',' Social ',' Media ',' Advertising ',' Package ',' Emergency ',' Offer ',' Package ',' Emergency ',' Show ',' users', 'quota', 'wrong', 'click', 'package', 'emergency', 'active', 'automatic', 'detrimental', 'user', '']")</f>
        <v>['Harms',' Telkomsel ',' Utilizing ',' Social ',' Media ',' Advertising ',' Package ',' Emergency ',' Offer ',' Package ',' Emergency ',' Show ',' users', 'quota', 'wrong', 'click', 'package', 'emergency', 'active', 'automatic', 'detrimental', 'user', '']</v>
      </c>
      <c r="D16205" s="3">
        <v>1.0</v>
      </c>
    </row>
    <row r="16206" ht="15.75" customHeight="1">
      <c r="A16206" s="1">
        <v>17222.0</v>
      </c>
      <c r="B16206" s="3" t="s">
        <v>15395</v>
      </c>
      <c r="C16206" s="3" t="str">
        <f>IFERROR(__xludf.DUMMYFUNCTION("GOOGLETRANSLATE(B16206,""id"",""en"")"),"['get', 'cloudy', 'network', 'direct', 'card', 'recommendation', 'use', 'card', 'price', 'package', 'expensive', 'network', ' Cheap ',' bad ',' bad ',' bad ',' Gara ',' card ',' aing ',' lose ',' tournament ',' game ',' online ']")</f>
        <v>['get', 'cloudy', 'network', 'direct', 'card', 'recommendation', 'use', 'card', 'price', 'package', 'expensive', 'network', ' Cheap ',' bad ',' bad ',' bad ',' Gara ',' card ',' aing ',' lose ',' tournament ',' game ',' online ']</v>
      </c>
      <c r="D16206" s="3">
        <v>1.0</v>
      </c>
    </row>
    <row r="16207" ht="15.75" customHeight="1">
      <c r="A16207" s="1">
        <v>17223.0</v>
      </c>
      <c r="B16207" s="3" t="s">
        <v>15396</v>
      </c>
      <c r="C16207" s="3" t="str">
        <f>IFERROR(__xludf.DUMMYFUNCTION("GOOGLETRANSLATE(B16207,""id"",""en"")"),"['Help', 'users',' Telkomsel ',' rates', 'purchase', 'pulses',' wear ',' fees', 'admin', 'really', 'choice', 'quota', ' Internet ',' menu ',' menu ']")</f>
        <v>['Help', 'users',' Telkomsel ',' rates', 'purchase', 'pulses',' wear ',' fees', 'admin', 'really', 'choice', 'quota', ' Internet ',' menu ',' menu ']</v>
      </c>
      <c r="D16207" s="3">
        <v>5.0</v>
      </c>
    </row>
    <row r="16208" ht="15.75" customHeight="1">
      <c r="A16208" s="1">
        <v>17224.0</v>
      </c>
      <c r="B16208" s="3" t="s">
        <v>15397</v>
      </c>
      <c r="C16208" s="3" t="str">
        <f>IFERROR(__xludf.DUMMYFUNCTION("GOOGLETRANSLATE(B16208,""id"",""en"")"),"['intention', 'apk', 'entered', 'gabisa', 'gqjleas']")</f>
        <v>['intention', 'apk', 'entered', 'gabisa', 'gqjleas']</v>
      </c>
      <c r="D16208" s="3">
        <v>2.0</v>
      </c>
    </row>
    <row r="16209" ht="15.75" customHeight="1">
      <c r="A16209" s="1">
        <v>17225.0</v>
      </c>
      <c r="B16209" s="3" t="s">
        <v>15398</v>
      </c>
      <c r="C16209" s="3" t="str">
        <f>IFERROR(__xludf.DUMMYFUNCTION("GOOGLETRANSLATE(B16209,""id"",""en"")"),"['disorder', 'already', 'expensive', 'disorder', 'mulu']")</f>
        <v>['disorder', 'already', 'expensive', 'disorder', 'mulu']</v>
      </c>
      <c r="D16209" s="3">
        <v>1.0</v>
      </c>
    </row>
    <row r="16210" ht="15.75" customHeight="1">
      <c r="A16210" s="1">
        <v>17226.0</v>
      </c>
      <c r="B16210" s="3" t="s">
        <v>15399</v>
      </c>
      <c r="C16210" s="3" t="str">
        <f>IFERROR(__xludf.DUMMYFUNCTION("GOOGLETRANSLATE(B16210,""id"",""en"")"),"['satisfying', 'contents', 'package', 'data', 'tlfon', 'easy']")</f>
        <v>['satisfying', 'contents', 'package', 'data', 'tlfon', 'easy']</v>
      </c>
      <c r="D16210" s="3">
        <v>5.0</v>
      </c>
    </row>
    <row r="16211" ht="15.75" customHeight="1">
      <c r="A16211" s="1">
        <v>17227.0</v>
      </c>
      <c r="B16211" s="3" t="s">
        <v>15400</v>
      </c>
      <c r="C16211" s="3" t="str">
        <f>IFERROR(__xludf.DUMMYFUNCTION("GOOGLETRANSLATE(B16211,""id"",""en"")"),"['Application', 'Barguna']")</f>
        <v>['Application', 'Barguna']</v>
      </c>
      <c r="D16211" s="3">
        <v>5.0</v>
      </c>
    </row>
    <row r="16212" ht="15.75" customHeight="1">
      <c r="A16212" s="1">
        <v>17228.0</v>
      </c>
      <c r="B16212" s="3" t="s">
        <v>15401</v>
      </c>
      <c r="C16212" s="3" t="str">
        <f>IFERROR(__xludf.DUMMYFUNCTION("GOOGLETRANSLATE(B16212,""id"",""en"")"),"['application', 'Sangat', 'Help', 'TPI', 'Sometimes', 'Pitur', 'Changed', 'Change']")</f>
        <v>['application', 'Sangat', 'Help', 'TPI', 'Sometimes', 'Pitur', 'Changed', 'Change']</v>
      </c>
      <c r="D16212" s="3">
        <v>3.0</v>
      </c>
    </row>
    <row r="16213" ht="15.75" customHeight="1">
      <c r="A16213" s="1">
        <v>17229.0</v>
      </c>
      <c r="B16213" s="3" t="s">
        <v>15402</v>
      </c>
      <c r="C16213" s="3" t="str">
        <f>IFERROR(__xludf.DUMMYFUNCTION("GOOGLETRANSLATE(B16213,""id"",""en"")"),"['Sorry', 'Min', 'Open', 'Application', 'Telkomsel', 'Android', 'Knp', 'yaa', ""]")</f>
        <v>['Sorry', 'Min', 'Open', 'Application', 'Telkomsel', 'Android', 'Knp', 'yaa', "]</v>
      </c>
      <c r="D16213" s="3">
        <v>1.0</v>
      </c>
    </row>
    <row r="16214" ht="15.75" customHeight="1">
      <c r="A16214" s="1">
        <v>17230.0</v>
      </c>
      <c r="B16214" s="3" t="s">
        <v>15403</v>
      </c>
      <c r="C16214" s="3" t="str">
        <f>IFERROR(__xludf.DUMMYFUNCTION("GOOGLETRANSLATE(B16214,""id"",""en"")"),"['Disappointed', 'Network', 'Telkomsel', 'here', 'Network']")</f>
        <v>['Disappointed', 'Network', 'Telkomsel', 'here', 'Network']</v>
      </c>
      <c r="D16214" s="3">
        <v>1.0</v>
      </c>
    </row>
    <row r="16215" ht="15.75" customHeight="1">
      <c r="A16215" s="1">
        <v>17231.0</v>
      </c>
      <c r="B16215" s="3" t="s">
        <v>15404</v>
      </c>
      <c r="C16215" s="3" t="str">
        <f>IFERROR(__xludf.DUMMYFUNCTION("GOOGLETRANSLATE(B16215,""id"",""en"")"),"['Abis', 'Install', 'Ngeblank', 'White', 'Doang', 'Android', 'Version', 'Latest', '']")</f>
        <v>['Abis', 'Install', 'Ngeblank', 'White', 'Doang', 'Android', 'Version', 'Latest', '']</v>
      </c>
      <c r="D16215" s="3">
        <v>1.0</v>
      </c>
    </row>
    <row r="16216" ht="15.75" customHeight="1">
      <c r="A16216" s="1">
        <v>17232.0</v>
      </c>
      <c r="B16216" s="3" t="s">
        <v>15405</v>
      </c>
      <c r="C16216" s="3" t="str">
        <f>IFERROR(__xludf.DUMMYFUNCTION("GOOGLETRANSLATE(B16216,""id"",""en"")"),"['service quality', '']")</f>
        <v>['service quality', '']</v>
      </c>
      <c r="D16216" s="3">
        <v>5.0</v>
      </c>
    </row>
    <row r="16217" ht="15.75" customHeight="1">
      <c r="A16217" s="1">
        <v>17234.0</v>
      </c>
      <c r="B16217" s="3" t="s">
        <v>15406</v>
      </c>
      <c r="C16217" s="3" t="str">
        <f>IFERROR(__xludf.DUMMYFUNCTION("GOOGLETRANSLATE(B16217,""id"",""en"")"),"['Application', 'JLK', 'TPI', 'Boong', '']")</f>
        <v>['Application', 'JLK', 'TPI', 'Boong', '']</v>
      </c>
      <c r="D16217" s="3">
        <v>5.0</v>
      </c>
    </row>
    <row r="16218" ht="15.75" customHeight="1">
      <c r="A16218" s="1">
        <v>17235.0</v>
      </c>
      <c r="B16218" s="3" t="s">
        <v>15407</v>
      </c>
      <c r="C16218" s="3" t="str">
        <f>IFERROR(__xludf.DUMMYFUNCTION("GOOGLETRANSLATE(B16218,""id"",""en"")"),"['Transaction', 'Package', 'Combo', 'Sakti', 'Unlimitid', 'System', 'Experience', 'Disruption', ""]")</f>
        <v>['Transaction', 'Package', 'Combo', 'Sakti', 'Unlimitid', 'System', 'Experience', 'Disruption', "]</v>
      </c>
      <c r="D16218" s="3">
        <v>5.0</v>
      </c>
    </row>
    <row r="16219" ht="15.75" customHeight="1">
      <c r="A16219" s="1">
        <v>17236.0</v>
      </c>
      <c r="B16219" s="3" t="s">
        <v>15408</v>
      </c>
      <c r="C16219" s="3" t="str">
        <f>IFERROR(__xludf.DUMMYFUNCTION("GOOGLETRANSLATE(B16219,""id"",""en"")"),"['difficult', 'check', 'pulse', '']")</f>
        <v>['difficult', 'check', 'pulse', '']</v>
      </c>
      <c r="D16219" s="3">
        <v>4.0</v>
      </c>
    </row>
    <row r="16220" ht="15.75" customHeight="1">
      <c r="A16220" s="1">
        <v>17237.0</v>
      </c>
      <c r="B16220" s="3" t="s">
        <v>15409</v>
      </c>
      <c r="C16220" s="3" t="str">
        <f>IFERROR(__xludf.DUMMYFUNCTION("GOOGLETRANSLATE(B16220,""id"",""en"")"),"['card', 'pepek', 'signal', 'WOI', 'Benerin', 'want', 'money', 'doang', ""]")</f>
        <v>['card', 'pepek', 'signal', 'WOI', 'Benerin', 'want', 'money', 'doang', "]</v>
      </c>
      <c r="D16220" s="3">
        <v>1.0</v>
      </c>
    </row>
    <row r="16221" ht="15.75" customHeight="1">
      <c r="A16221" s="1">
        <v>17238.0</v>
      </c>
      <c r="B16221" s="3" t="s">
        <v>15410</v>
      </c>
      <c r="C16221" s="3" t="str">
        <f>IFERROR(__xludf.DUMMYFUNCTION("GOOGLETRANSLATE(B16221,""id"",""en"")"),"['KLI', 'buy', 'quota', 'price', 'Nambah', 'then', ""]")</f>
        <v>['KLI', 'buy', 'quota', 'price', 'Nambah', 'then', "]</v>
      </c>
      <c r="D16221" s="3">
        <v>1.0</v>
      </c>
    </row>
    <row r="16222" ht="15.75" customHeight="1">
      <c r="A16222" s="1">
        <v>17239.0</v>
      </c>
      <c r="B16222" s="3" t="s">
        <v>15411</v>
      </c>
      <c r="C16222" s="3" t="str">
        <f>IFERROR(__xludf.DUMMYFUNCTION("GOOGLETRANSLATE(B16222,""id"",""en"")"),"['Steady', 'Suranap']")</f>
        <v>['Steady', 'Suranap']</v>
      </c>
      <c r="D16222" s="3">
        <v>5.0</v>
      </c>
    </row>
    <row r="16223" ht="15.75" customHeight="1">
      <c r="A16223" s="1">
        <v>17240.0</v>
      </c>
      <c r="B16223" s="3" t="s">
        <v>15412</v>
      </c>
      <c r="C16223" s="3" t="str">
        <f>IFERROR(__xludf.DUMMYFUNCTION("GOOGLETRANSLATE(B16223,""id"",""en"")"),"['Gabisa', 'Open']")</f>
        <v>['Gabisa', 'Open']</v>
      </c>
      <c r="D16223" s="3">
        <v>1.0</v>
      </c>
    </row>
    <row r="16224" ht="15.75" customHeight="1">
      <c r="A16224" s="1">
        <v>17241.0</v>
      </c>
      <c r="B16224" s="3" t="s">
        <v>15413</v>
      </c>
      <c r="C16224" s="3" t="str">
        <f>IFERROR(__xludf.DUMMYFUNCTION("GOOGLETRANSLATE(B16224,""id"",""en"")"),"['Telkom', 'Telkom', 'Price', 'Signal', 'Down', 'Mulu', 'Cape', 'Aing']")</f>
        <v>['Telkom', 'Telkom', 'Price', 'Signal', 'Down', 'Mulu', 'Cape', 'Aing']</v>
      </c>
      <c r="D16224" s="3">
        <v>1.0</v>
      </c>
    </row>
    <row r="16225" ht="15.75" customHeight="1">
      <c r="A16225" s="1">
        <v>17242.0</v>
      </c>
      <c r="B16225" s="3" t="s">
        <v>10648</v>
      </c>
      <c r="C16225" s="3" t="str">
        <f>IFERROR(__xludf.DUMMYFUNCTION("GOOGLETRANSLATE(B16225,""id"",""en"")"),"['Star', 'Talk']")</f>
        <v>['Star', 'Talk']</v>
      </c>
      <c r="D16225" s="3">
        <v>4.0</v>
      </c>
    </row>
    <row r="16226" ht="15.75" customHeight="1">
      <c r="A16226" s="1">
        <v>17243.0</v>
      </c>
      <c r="B16226" s="3" t="s">
        <v>15414</v>
      </c>
      <c r="C16226" s="3" t="str">
        <f>IFERROR(__xludf.DUMMYFUNCTION("GOOGLETRANSLATE(B16226,""id"",""en"")"),"['Telkomsel', 'check', 'pulse', 'sometimes', 'contents', 'pulse', 'deh', 'please', 'fix', 'network', 'telkomsel']")</f>
        <v>['Telkomsel', 'check', 'pulse', 'sometimes', 'contents', 'pulse', 'deh', 'please', 'fix', 'network', 'telkomsel']</v>
      </c>
      <c r="D16226" s="3">
        <v>1.0</v>
      </c>
    </row>
    <row r="16227" ht="15.75" customHeight="1">
      <c r="A16227" s="1">
        <v>17244.0</v>
      </c>
      <c r="B16227" s="3" t="s">
        <v>15415</v>
      </c>
      <c r="C16227" s="3" t="str">
        <f>IFERROR(__xludf.DUMMYFUNCTION("GOOGLETRANSLATE(B16227,""id"",""en"")"),"['Help', 'Update', 'Not bad', 'Diligently', ""]")</f>
        <v>['Help', 'Update', 'Not bad', 'Diligently', "]</v>
      </c>
      <c r="D16227" s="3">
        <v>4.0</v>
      </c>
    </row>
    <row r="16228" ht="15.75" customHeight="1">
      <c r="A16228" s="1">
        <v>17245.0</v>
      </c>
      <c r="B16228" s="3" t="s">
        <v>15416</v>
      </c>
      <c r="C16228" s="3" t="str">
        <f>IFERROR(__xludf.DUMMYFUNCTION("GOOGLETRANSLATE(B16228,""id"",""en"")"),"['Improvement', 'network', 'smooth', 'tax', 'raise']")</f>
        <v>['Improvement', 'network', 'smooth', 'tax', 'raise']</v>
      </c>
      <c r="D16228" s="3">
        <v>4.0</v>
      </c>
    </row>
    <row r="16229" ht="15.75" customHeight="1">
      <c r="A16229" s="1">
        <v>17246.0</v>
      </c>
      <c r="B16229" s="3" t="s">
        <v>15417</v>
      </c>
      <c r="C16229" s="3" t="str">
        <f>IFERROR(__xludf.DUMMYFUNCTION("GOOGLETRANSLATE(B16229,""id"",""en"")"),"['Good', 'knp', 'sucked', 'pulse', 'kemendikbud', 'please', 'trs',' please ',' make it ',' notification ',' suck ',' pulses', ' Thanks']")</f>
        <v>['Good', 'knp', 'sucked', 'pulse', 'kemendikbud', 'please', 'trs',' please ',' make it ',' notification ',' suck ',' pulses', ' Thanks']</v>
      </c>
      <c r="D16229" s="3">
        <v>4.0</v>
      </c>
    </row>
    <row r="16230" ht="15.75" customHeight="1">
      <c r="A16230" s="1">
        <v>17247.0</v>
      </c>
      <c r="B16230" s="3" t="s">
        <v>15418</v>
      </c>
      <c r="C16230" s="3" t="str">
        <f>IFERROR(__xludf.DUMMYFUNCTION("GOOGLETRANSLATE(B16230,""id"",""en"")"),"['Good', 'Baget', 'Application', 'Thanks', 'Telkomsel']")</f>
        <v>['Good', 'Baget', 'Application', 'Thanks', 'Telkomsel']</v>
      </c>
      <c r="D16230" s="3">
        <v>5.0</v>
      </c>
    </row>
    <row r="16231" ht="15.75" customHeight="1">
      <c r="A16231" s="1">
        <v>17248.0</v>
      </c>
      <c r="B16231" s="3" t="s">
        <v>15419</v>
      </c>
      <c r="C16231" s="3" t="str">
        <f>IFERROR(__xludf.DUMMYFUNCTION("GOOGLETRANSLATE(B16231,""id"",""en"")"),"['Customer', 'loyal', 'given', 'package', 'expensive', 'telkomnyet', 'cweleng']")</f>
        <v>['Customer', 'loyal', 'given', 'package', 'expensive', 'telkomnyet', 'cweleng']</v>
      </c>
      <c r="D16231" s="3">
        <v>1.0</v>
      </c>
    </row>
    <row r="16232" ht="15.75" customHeight="1">
      <c r="A16232" s="1">
        <v>17249.0</v>
      </c>
      <c r="B16232" s="3" t="s">
        <v>15420</v>
      </c>
      <c r="C16232" s="3" t="str">
        <f>IFERROR(__xludf.DUMMYFUNCTION("GOOGLETRANSLATE(B16232,""id"",""en"")"),"['Sunday', 'yesterday', 'open', 'comfortable', 'Telkomsel', 'check', 'credit', 'buy', 'package', 'data', 'must', 'wait', ' Confirm ',' Stay ',' Open ',' Application ',' ']")</f>
        <v>['Sunday', 'yesterday', 'open', 'comfortable', 'Telkomsel', 'check', 'credit', 'buy', 'package', 'data', 'must', 'wait', ' Confirm ',' Stay ',' Open ',' Application ',' ']</v>
      </c>
      <c r="D16232" s="3">
        <v>3.0</v>
      </c>
    </row>
    <row r="16233" ht="15.75" customHeight="1">
      <c r="A16233" s="1">
        <v>17250.0</v>
      </c>
      <c r="B16233" s="3" t="s">
        <v>15421</v>
      </c>
      <c r="C16233" s="3" t="str">
        <f>IFERROR(__xludf.DUMMYFUNCTION("GOOGLETRANSLATE(B16233,""id"",""en"")"),"['Open', 'already', 'basic', 'slow', '']")</f>
        <v>['Open', 'already', 'basic', 'slow', '']</v>
      </c>
      <c r="D16233" s="3">
        <v>1.0</v>
      </c>
    </row>
    <row r="16234" ht="15.75" customHeight="1">
      <c r="A16234" s="1">
        <v>17251.0</v>
      </c>
      <c r="B16234" s="3" t="s">
        <v>15422</v>
      </c>
      <c r="C16234" s="3" t="str">
        <f>IFERROR(__xludf.DUMMYFUNCTION("GOOGLETRANSLATE(B16234,""id"",""en"")"),"['The application', 'opened', 'Need', 'really', 'thisiii', '']")</f>
        <v>['The application', 'opened', 'Need', 'really', 'thisiii', '']</v>
      </c>
      <c r="D16234" s="3">
        <v>1.0</v>
      </c>
    </row>
    <row r="16235" ht="15.75" customHeight="1">
      <c r="A16235" s="1">
        <v>17252.0</v>
      </c>
      <c r="B16235" s="3" t="s">
        <v>15423</v>
      </c>
      <c r="C16235" s="3" t="str">
        <f>IFERROR(__xludf.DUMMYFUNCTION("GOOGLETRANSLATE(B16235,""id"",""en"")"),"['Telkomsel', 'please', 'application', 'replacement', '']")</f>
        <v>['Telkomsel', 'please', 'application', 'replacement', '']</v>
      </c>
      <c r="D16235" s="3">
        <v>5.0</v>
      </c>
    </row>
    <row r="16236" ht="15.75" customHeight="1">
      <c r="A16236" s="1">
        <v>17253.0</v>
      </c>
      <c r="B16236" s="3" t="s">
        <v>3151</v>
      </c>
      <c r="C16236" s="3" t="str">
        <f>IFERROR(__xludf.DUMMYFUNCTION("GOOGLETRANSLATE(B16236,""id"",""en"")"),"['Telkomsel', 'The network', '']")</f>
        <v>['Telkomsel', 'The network', '']</v>
      </c>
      <c r="D16236" s="3">
        <v>3.0</v>
      </c>
    </row>
    <row r="16237" ht="15.75" customHeight="1">
      <c r="A16237" s="1">
        <v>17254.0</v>
      </c>
      <c r="B16237" s="3" t="s">
        <v>15424</v>
      </c>
      <c r="C16237" s="3" t="str">
        <f>IFERROR(__xludf.DUMMYFUNCTION("GOOGLETRANSLATE(B16237,""id"",""en"")"),"['apps', 'open', 'forced', 'uninstall']")</f>
        <v>['apps', 'open', 'forced', 'uninstall']</v>
      </c>
      <c r="D16237" s="3">
        <v>5.0</v>
      </c>
    </row>
    <row r="16238" ht="15.75" customHeight="1">
      <c r="A16238" s="1">
        <v>17255.0</v>
      </c>
      <c r="B16238" s="3" t="s">
        <v>15425</v>
      </c>
      <c r="C16238" s="3" t="str">
        <f>IFERROR(__xludf.DUMMYFUNCTION("GOOGLETRANSLATE(B16238,""id"",""en"")"),"['apk', 'Telkomsel', 'Nda', 'quality', 'check', 'quota', 'nda', '']")</f>
        <v>['apk', 'Telkomsel', 'Nda', 'quality', 'check', 'quota', 'nda', '']</v>
      </c>
      <c r="D16238" s="3">
        <v>1.0</v>
      </c>
    </row>
    <row r="16239" ht="15.75" customHeight="1">
      <c r="A16239" s="1">
        <v>17256.0</v>
      </c>
      <c r="B16239" s="3" t="s">
        <v>15426</v>
      </c>
      <c r="C16239" s="3" t="str">
        <f>IFERROR(__xludf.DUMMYFUNCTION("GOOGLETRANSLATE(B16239,""id"",""en"")"),"['Severe', 'Network', 'Telkomsel', 'in the area', 'Ciapus',' Kelapan ',' Bogor ',' Network ',' stable ',' Telkomsel ',' times', 'network', ' already ',' slow ',' disappointed ']")</f>
        <v>['Severe', 'Network', 'Telkomsel', 'in the area', 'Ciapus',' Kelapan ',' Bogor ',' Network ',' stable ',' Telkomsel ',' times', 'network', ' already ',' slow ',' disappointed ']</v>
      </c>
      <c r="D16239" s="3">
        <v>1.0</v>
      </c>
    </row>
    <row r="16240" ht="15.75" customHeight="1">
      <c r="A16240" s="1">
        <v>17257.0</v>
      </c>
      <c r="B16240" s="3" t="s">
        <v>15427</v>
      </c>
      <c r="C16240" s="3" t="str">
        <f>IFERROR(__xludf.DUMMYFUNCTION("GOOGLETRANSLATE(B16240,""id"",""en"")"),"['satisfaction', 'customer', 'main']")</f>
        <v>['satisfaction', 'customer', 'main']</v>
      </c>
      <c r="D16240" s="3">
        <v>5.0</v>
      </c>
    </row>
    <row r="16241" ht="15.75" customHeight="1">
      <c r="A16241" s="1">
        <v>17258.0</v>
      </c>
      <c r="B16241" s="3" t="s">
        <v>15428</v>
      </c>
      <c r="C16241" s="3" t="str">
        <f>IFERROR(__xludf.DUMMYFUNCTION("GOOGLETRANSLATE(B16241,""id"",""en"")"),"['', 'Update', 'Open']")</f>
        <v>['', 'Update', 'Open']</v>
      </c>
      <c r="D16241" s="3">
        <v>4.0</v>
      </c>
    </row>
    <row r="16242" ht="15.75" customHeight="1">
      <c r="A16242" s="1">
        <v>17259.0</v>
      </c>
      <c r="B16242" s="3" t="s">
        <v>15429</v>
      </c>
      <c r="C16242" s="3" t="str">
        <f>IFERROR(__xludf.DUMMYFUNCTION("GOOGLETRANSLATE(B16242,""id"",""en"")"),"['Credit', 'Cut', 'Yaaaa', 'Times', 'Adin', 'Vitur', 'Key', 'Credit', 'Cut', 'APK', 'NiIII']")</f>
        <v>['Credit', 'Cut', 'Yaaaa', 'Times', 'Adin', 'Vitur', 'Key', 'Credit', 'Cut', 'APK', 'NiIII']</v>
      </c>
      <c r="D16242" s="3">
        <v>1.0</v>
      </c>
    </row>
    <row r="16243" ht="15.75" customHeight="1">
      <c r="A16243" s="1">
        <v>17260.0</v>
      </c>
      <c r="B16243" s="3" t="s">
        <v>15430</v>
      </c>
      <c r="C16243" s="3" t="str">
        <f>IFERROR(__xludf.DUMMYFUNCTION("GOOGLETRANSLATE(B16243,""id"",""en"")"),"['', 'Telkomsel', 'opened', 'Download', 'bgmna']")</f>
        <v>['', 'Telkomsel', 'opened', 'Download', 'bgmna']</v>
      </c>
      <c r="D16243" s="3">
        <v>5.0</v>
      </c>
    </row>
    <row r="16244" ht="15.75" customHeight="1">
      <c r="A16244" s="1">
        <v>17261.0</v>
      </c>
      <c r="B16244" s="3" t="s">
        <v>15431</v>
      </c>
      <c r="C16244" s="3" t="str">
        <f>IFERROR(__xludf.DUMMYFUNCTION("GOOGLETRANSLATE(B16244,""id"",""en"")"),"['sympathy', 'contents', 'quota', 'easy', 'really', ""]")</f>
        <v>['sympathy', 'contents', 'quota', 'easy', 'really', "]</v>
      </c>
      <c r="D16244" s="3">
        <v>5.0</v>
      </c>
    </row>
    <row r="16245" ht="15.75" customHeight="1">
      <c r="A16245" s="1">
        <v>17262.0</v>
      </c>
      <c r="B16245" s="3" t="s">
        <v>15432</v>
      </c>
      <c r="C16245" s="3" t="str">
        <f>IFERROR(__xludf.DUMMYFUNCTION("GOOGLETRANSLATE(B16245,""id"",""en"")"),"['min', 'how', 'package', 'tariff', 'non', 'active', 'package', 'deadline', 'run out', 'peke', 'sumps',' pulses', ' How ',' min ']")</f>
        <v>['min', 'how', 'package', 'tariff', 'non', 'active', 'package', 'deadline', 'run out', 'peke', 'sumps',' pulses', ' How ',' min ']</v>
      </c>
      <c r="D16245" s="3">
        <v>2.0</v>
      </c>
    </row>
    <row r="16246" ht="15.75" customHeight="1">
      <c r="A16246" s="1">
        <v>17263.0</v>
      </c>
      <c r="B16246" s="3" t="s">
        <v>15433</v>
      </c>
      <c r="C16246" s="3" t="str">
        <f>IFERROR(__xludf.DUMMYFUNCTION("GOOGLETRANSLATE(B16246,""id"",""en"")"),"['Open', 'APKNY', 'White', 'APK', 'CONCLET', 'Brain', 'Hand', 'Represented', 'APKNY', 'emang', 'Hands', 'Defeat']")</f>
        <v>['Open', 'APKNY', 'White', 'APK', 'CONCLET', 'Brain', 'Hand', 'Represented', 'APKNY', 'emang', 'Hands', 'Defeat']</v>
      </c>
      <c r="D16246" s="3">
        <v>1.0</v>
      </c>
    </row>
    <row r="16247" ht="15.75" customHeight="1">
      <c r="A16247" s="1">
        <v>17265.0</v>
      </c>
      <c r="B16247" s="3" t="s">
        <v>15434</v>
      </c>
      <c r="C16247" s="3" t="str">
        <f>IFERROR(__xludf.DUMMYFUNCTION("GOOGLETRANSLATE(B16247,""id"",""en"")"),"['signal', 'Telkomsel', '']")</f>
        <v>['signal', 'Telkomsel', '']</v>
      </c>
      <c r="D16247" s="3">
        <v>5.0</v>
      </c>
    </row>
    <row r="16248" ht="15.75" customHeight="1">
      <c r="A16248" s="1">
        <v>17266.0</v>
      </c>
      <c r="B16248" s="3" t="s">
        <v>15435</v>
      </c>
      <c r="C16248" s="3" t="str">
        <f>IFERROR(__xludf.DUMMYFUNCTION("GOOGLETRANSLATE(B16248,""id"",""en"")"),"['Thanks', 'May', 'Telkomsel']")</f>
        <v>['Thanks', 'May', 'Telkomsel']</v>
      </c>
      <c r="D16248" s="3">
        <v>5.0</v>
      </c>
    </row>
    <row r="16249" ht="15.75" customHeight="1">
      <c r="A16249" s="1">
        <v>17267.0</v>
      </c>
      <c r="B16249" s="3" t="s">
        <v>15436</v>
      </c>
      <c r="C16249" s="3" t="str">
        <f>IFERROR(__xludf.DUMMYFUNCTION("GOOGLETRANSLATE(B16249,""id"",""en"")"),"['Out', 'updete', 'knp', 'opened']")</f>
        <v>['Out', 'updete', 'knp', 'opened']</v>
      </c>
      <c r="D16249" s="3">
        <v>1.0</v>
      </c>
    </row>
    <row r="16250" ht="15.75" customHeight="1">
      <c r="A16250" s="1">
        <v>17268.0</v>
      </c>
      <c r="B16250" s="3" t="s">
        <v>15437</v>
      </c>
      <c r="C16250" s="3" t="str">
        <f>IFERROR(__xludf.DUMMYFUNCTION("GOOGLETRANSLATE(B16250,""id"",""en"")"),"['Application', 'Telkomsel', 'opened', 'yesterday', 'uninstall', 'Install', 'reset', 'tetep', 'opened', 'please', 'provider', 'price', ' expensive ',' service ',' good ',' customer ']")</f>
        <v>['Application', 'Telkomsel', 'opened', 'yesterday', 'uninstall', 'Install', 'reset', 'tetep', 'opened', 'please', 'provider', 'price', ' expensive ',' service ',' good ',' customer ']</v>
      </c>
      <c r="D16250" s="3">
        <v>2.0</v>
      </c>
    </row>
    <row r="16251" ht="15.75" customHeight="1">
      <c r="A16251" s="1">
        <v>17269.0</v>
      </c>
      <c r="B16251" s="3" t="s">
        <v>15438</v>
      </c>
      <c r="C16251" s="3" t="str">
        <f>IFERROR(__xludf.DUMMYFUNCTION("GOOGLETRANSLATE(B16251,""id"",""en"")"),"['Telkomsel', 'Restore', 'Money', 'Rupiah', 'Send', 'Package', 'Data', 'Sampe', 'Pellet', 'Enter', 'Date', 'December', ' Basic ',' Telkomsel ',' junk ',' slow ',' fraud ',' consumer ',' ']")</f>
        <v>['Telkomsel', 'Restore', 'Money', 'Rupiah', 'Send', 'Package', 'Data', 'Sampe', 'Pellet', 'Enter', 'Date', 'December', ' Basic ',' Telkomsel ',' junk ',' slow ',' fraud ',' consumer ',' ']</v>
      </c>
      <c r="D16251" s="3">
        <v>1.0</v>
      </c>
    </row>
    <row r="16252" ht="15.75" customHeight="1">
      <c r="A16252" s="1">
        <v>17270.0</v>
      </c>
      <c r="B16252" s="3" t="s">
        <v>15439</v>
      </c>
      <c r="C16252" s="3" t="str">
        <f>IFERROR(__xludf.DUMMYFUNCTION("GOOGLETRANSLATE(B16252,""id"",""en"")"),"['Buy', 'Package', 'Data', 'Linkaja']")</f>
        <v>['Buy', 'Package', 'Data', 'Linkaja']</v>
      </c>
      <c r="D16252" s="3">
        <v>4.0</v>
      </c>
    </row>
    <row r="16253" ht="15.75" customHeight="1">
      <c r="A16253" s="1">
        <v>17271.0</v>
      </c>
      <c r="B16253" s="3" t="s">
        <v>15440</v>
      </c>
      <c r="C16253" s="3" t="str">
        <f>IFERROR(__xludf.DUMMYFUNCTION("GOOGLETRANSLATE(B16253,""id"",""en"")"),"['use', 'wifi', 'pulse', 'main', 'got', 'cut', 'Telkomsel', 'cut', 'pulse', 'consumer', ""]")</f>
        <v>['use', 'wifi', 'pulse', 'main', 'got', 'cut', 'Telkomsel', 'cut', 'pulse', 'consumer', "]</v>
      </c>
      <c r="D16253" s="3">
        <v>1.0</v>
      </c>
    </row>
    <row r="16254" ht="15.75" customHeight="1">
      <c r="A16254" s="1">
        <v>17272.0</v>
      </c>
      <c r="B16254" s="3" t="s">
        <v>15441</v>
      </c>
      <c r="C16254" s="3" t="str">
        <f>IFERROR(__xludf.DUMMYFUNCTION("GOOGLETRANSLATE(B16254,""id"",""en"")"),"['ksih', 'star', 'lgi']")</f>
        <v>['ksih', 'star', 'lgi']</v>
      </c>
      <c r="D16254" s="3">
        <v>3.0</v>
      </c>
    </row>
    <row r="16255" ht="15.75" customHeight="1">
      <c r="A16255" s="1">
        <v>17273.0</v>
      </c>
      <c r="B16255" s="3" t="s">
        <v>15442</v>
      </c>
      <c r="C16255" s="3" t="str">
        <f>IFERROR(__xludf.DUMMYFUNCTION("GOOGLETRANSLATE(B16255,""id"",""en"")"),"['Facilitates', 'Consumen', 'Exchange', 'Points']")</f>
        <v>['Facilitates', 'Consumen', 'Exchange', 'Points']</v>
      </c>
      <c r="D16255" s="3">
        <v>5.0</v>
      </c>
    </row>
    <row r="16256" ht="15.75" customHeight="1">
      <c r="A16256" s="1">
        <v>17274.0</v>
      </c>
      <c r="B16256" s="3" t="s">
        <v>15443</v>
      </c>
      <c r="C16256" s="3" t="str">
        <f>IFERROR(__xludf.DUMMYFUNCTION("GOOGLETRANSLATE(B16256,""id"",""en"")"),"['pulse', 'lost', 'access', 'internet', 'great', 'package', 'data', 'wifi', 'hub', 'pulse', 'suck', ""]")</f>
        <v>['pulse', 'lost', 'access', 'internet', 'great', 'package', 'data', 'wifi', 'hub', 'pulse', 'suck', "]</v>
      </c>
      <c r="D16256" s="3">
        <v>1.0</v>
      </c>
    </row>
    <row r="16257" ht="15.75" customHeight="1">
      <c r="A16257" s="1">
        <v>17275.0</v>
      </c>
      <c r="B16257" s="3" t="s">
        <v>106</v>
      </c>
      <c r="C16257" s="3" t="str">
        <f>IFERROR(__xludf.DUMMYFUNCTION("GOOGLETRANSLATE(B16257,""id"",""en"")"),"['signal']")</f>
        <v>['signal']</v>
      </c>
      <c r="D16257" s="3">
        <v>5.0</v>
      </c>
    </row>
    <row r="16258" ht="15.75" customHeight="1">
      <c r="A16258" s="1">
        <v>17276.0</v>
      </c>
      <c r="B16258" s="3" t="s">
        <v>15444</v>
      </c>
      <c r="C16258" s="3" t="str">
        <f>IFERROR(__xludf.DUMMYFUNCTION("GOOGLETRANSLATE(B16258,""id"",""en"")"),"['Good', 'good', 'fun']")</f>
        <v>['Good', 'good', 'fun']</v>
      </c>
      <c r="D16258" s="3">
        <v>5.0</v>
      </c>
    </row>
    <row r="16259" ht="15.75" customHeight="1">
      <c r="A16259" s="1">
        <v>17277.0</v>
      </c>
      <c r="B16259" s="3" t="s">
        <v>15445</v>
      </c>
      <c r="C16259" s="3" t="str">
        <f>IFERROR(__xludf.DUMMYFUNCTION("GOOGLETRANSLATE(B16259,""id"",""en"")"),"['Telkomsel', 'tolloll', 'buy', 'signal', 'already', 'lag', 'really', 'already', 'report', 'customer', 'servicenya', 'ehhh', ' Please, 'repaired', 'Sia', 'Sia', 'buy', 'lag', 'strangehhh']")</f>
        <v>['Telkomsel', 'tolloll', 'buy', 'signal', 'already', 'lag', 'really', 'already', 'report', 'customer', 'servicenya', 'ehhh', ' Please, 'repaired', 'Sia', 'Sia', 'buy', 'lag', 'strangehhh']</v>
      </c>
      <c r="D16259" s="3">
        <v>1.0</v>
      </c>
    </row>
    <row r="16260" ht="15.75" customHeight="1">
      <c r="A16260" s="1">
        <v>17278.0</v>
      </c>
      <c r="B16260" s="3" t="s">
        <v>15446</v>
      </c>
      <c r="C16260" s="3" t="str">
        <f>IFERROR(__xludf.DUMMYFUNCTION("GOOGLETRANSLATE(B16260,""id"",""en"")"),"['Service', 'slow', 'satisfying']")</f>
        <v>['Service', 'slow', 'satisfying']</v>
      </c>
      <c r="D16260" s="3">
        <v>2.0</v>
      </c>
    </row>
    <row r="16261" ht="15.75" customHeight="1">
      <c r="A16261" s="1">
        <v>17279.0</v>
      </c>
      <c r="B16261" s="3" t="s">
        <v>15447</v>
      </c>
      <c r="C16261" s="3" t="str">
        <f>IFERROR(__xludf.DUMMYFUNCTION("GOOGLETRANSLATE(B16261,""id"",""en"")"),"['network', 'like', 'slow', 'right', 'play', 'game', 'credit', 'like', 'cut', 'jdi', 'loss',' hmmm ',' replace ',' replace ']")</f>
        <v>['network', 'like', 'slow', 'right', 'play', 'game', 'credit', 'like', 'cut', 'jdi', 'loss',' hmmm ',' replace ',' replace ']</v>
      </c>
      <c r="D16261" s="3">
        <v>1.0</v>
      </c>
    </row>
    <row r="16262" ht="15.75" customHeight="1">
      <c r="A16262" s="1">
        <v>17280.0</v>
      </c>
      <c r="B16262" s="3" t="s">
        <v>15448</v>
      </c>
      <c r="C16262" s="3" t="str">
        <f>IFERROR(__xludf.DUMMYFUNCTION("GOOGLETRANSLATE(B16262,""id"",""en"")"),"['Steady', 'process', 'fast', 'Ribet']")</f>
        <v>['Steady', 'process', 'fast', 'Ribet']</v>
      </c>
      <c r="D16262" s="3">
        <v>5.0</v>
      </c>
    </row>
    <row r="16263" ht="15.75" customHeight="1">
      <c r="A16263" s="1">
        <v>17281.0</v>
      </c>
      <c r="B16263" s="3" t="s">
        <v>15449</v>
      </c>
      <c r="C16263" s="3" t="str">
        <f>IFERROR(__xludf.DUMMYFUNCTION("GOOGLETRANSLATE(B16263,""id"",""en"")"),"['told', 'update', 'maximize', 'sudqh', 'update', 'open', 'the application', 'screen', 'full', 'color', 'white', 'name', ' maximum', '']")</f>
        <v>['told', 'update', 'maximize', 'sudqh', 'update', 'open', 'the application', 'screen', 'full', 'color', 'white', 'name', ' maximum', '']</v>
      </c>
      <c r="D16263" s="3">
        <v>1.0</v>
      </c>
    </row>
    <row r="16264" ht="15.75" customHeight="1">
      <c r="A16264" s="1">
        <v>17282.0</v>
      </c>
      <c r="B16264" s="3" t="s">
        <v>15450</v>
      </c>
      <c r="C16264" s="3" t="str">
        <f>IFERROR(__xludf.DUMMYFUNCTION("GOOGLETRANSLATE(B16264,""id"",""en"")"),"['Download', 'repeat', 'opened', 'how', ""]")</f>
        <v>['Download', 'repeat', 'opened', 'how', "]</v>
      </c>
      <c r="D16264" s="3">
        <v>1.0</v>
      </c>
    </row>
    <row r="16265" ht="15.75" customHeight="1">
      <c r="A16265" s="1">
        <v>17283.0</v>
      </c>
      <c r="B16265" s="3" t="s">
        <v>15451</v>
      </c>
      <c r="C16265" s="3" t="str">
        <f>IFERROR(__xludf.DUMMYFUNCTION("GOOGLETRANSLATE(B16265,""id"",""en"")"),"['slow', 'really', 'APK', '']")</f>
        <v>['slow', 'really', 'APK', '']</v>
      </c>
      <c r="D16265" s="3">
        <v>1.0</v>
      </c>
    </row>
    <row r="16266" ht="15.75" customHeight="1">
      <c r="A16266" s="1">
        <v>17284.0</v>
      </c>
      <c r="B16266" s="3" t="s">
        <v>15452</v>
      </c>
      <c r="C16266" s="3" t="str">
        <f>IFERROR(__xludf.DUMMYFUNCTION("GOOGLETRANSLATE(B16266,""id"",""en"")"),"['card', 'doang', 'expensive', 'network', 'slow', 'aso']")</f>
        <v>['card', 'doang', 'expensive', 'network', 'slow', 'aso']</v>
      </c>
      <c r="D16266" s="3">
        <v>1.0</v>
      </c>
    </row>
    <row r="16267" ht="15.75" customHeight="1">
      <c r="A16267" s="1">
        <v>17285.0</v>
      </c>
      <c r="B16267" s="3" t="s">
        <v>15453</v>
      </c>
      <c r="C16267" s="3" t="str">
        <f>IFERROR(__xludf.DUMMYFUNCTION("GOOGLETRANSLATE(B16267,""id"",""en"")"),"['Asu', 'Ngellag', 'Mulu', 'bgstt']")</f>
        <v>['Asu', 'Ngellag', 'Mulu', 'bgstt']</v>
      </c>
      <c r="D16267" s="3">
        <v>1.0</v>
      </c>
    </row>
    <row r="16268" ht="15.75" customHeight="1">
      <c r="A16268" s="1">
        <v>17286.0</v>
      </c>
      <c r="B16268" s="3" t="s">
        <v>15454</v>
      </c>
      <c r="C16268" s="3" t="str">
        <f>IFERROR(__xludf.DUMMYFUNCTION("GOOGLETRANSLATE(B16268,""id"",""en"")"),"['no', 'open', 'screen', 'white']")</f>
        <v>['no', 'open', 'screen', 'white']</v>
      </c>
      <c r="D16268" s="3">
        <v>3.0</v>
      </c>
    </row>
    <row r="16269" ht="15.75" customHeight="1">
      <c r="A16269" s="1">
        <v>17287.0</v>
      </c>
      <c r="B16269" s="3" t="s">
        <v>15455</v>
      </c>
      <c r="C16269" s="3" t="str">
        <f>IFERROR(__xludf.DUMMYFUNCTION("GOOGLETRANSLATE(B16269,""id"",""en"")"),"['Help', 'check', 'pulse']")</f>
        <v>['Help', 'check', 'pulse']</v>
      </c>
      <c r="D16269" s="3">
        <v>5.0</v>
      </c>
    </row>
    <row r="16270" ht="15.75" customHeight="1">
      <c r="A16270" s="1">
        <v>17288.0</v>
      </c>
      <c r="B16270" s="3" t="s">
        <v>15456</v>
      </c>
      <c r="C16270" s="3" t="str">
        <f>IFERROR(__xludf.DUMMYFUNCTION("GOOGLETRANSLATE(B16270,""id"",""en"")"),"['difficult', 'log', 'price', 'package', 'internet', 'really', 'really', 'very "",' expensive ']")</f>
        <v>['difficult', 'log', 'price', 'package', 'internet', 'really', 'really', 'very ",' expensive ']</v>
      </c>
      <c r="D16270" s="3">
        <v>1.0</v>
      </c>
    </row>
    <row r="16271" ht="15.75" customHeight="1">
      <c r="A16271" s="1">
        <v>17289.0</v>
      </c>
      <c r="B16271" s="3" t="s">
        <v>15457</v>
      </c>
      <c r="C16271" s="3" t="str">
        <f>IFERROR(__xludf.DUMMYFUNCTION("GOOGLETRANSLATE(B16271,""id"",""en"")"),"['Package', 'Data', 'expensive', 'network', 'consistent', 'what']")</f>
        <v>['Package', 'Data', 'expensive', 'network', 'consistent', 'what']</v>
      </c>
      <c r="D16271" s="3">
        <v>3.0</v>
      </c>
    </row>
    <row r="16272" ht="15.75" customHeight="1">
      <c r="A16272" s="1">
        <v>17291.0</v>
      </c>
      <c r="B16272" s="3" t="s">
        <v>15458</v>
      </c>
      <c r="C16272" s="3" t="str">
        <f>IFERROR(__xludf.DUMMYFUNCTION("GOOGLETRANSLATE(B16272,""id"",""en"")"),"['', 'Telkomsel', 'blank', 'error', 'download', 'check', 'kouta', 'pulse', '']")</f>
        <v>['', 'Telkomsel', 'blank', 'error', 'download', 'check', 'kouta', 'pulse', '']</v>
      </c>
      <c r="D16272" s="3">
        <v>1.0</v>
      </c>
    </row>
    <row r="16273" ht="15.75" customHeight="1">
      <c r="A16273" s="1">
        <v>17292.0</v>
      </c>
      <c r="B16273" s="3" t="s">
        <v>15459</v>
      </c>
      <c r="C16273" s="3" t="str">
        <f>IFERROR(__xludf.DUMMYFUNCTION("GOOGLETRANSLATE(B16273,""id"",""en"")"),"['Yesterday', 'contents', 'package', 'Rbu', 'pulse', 'nyh', 'lost']")</f>
        <v>['Yesterday', 'contents', 'package', 'Rbu', 'pulse', 'nyh', 'lost']</v>
      </c>
      <c r="D16273" s="3">
        <v>2.0</v>
      </c>
    </row>
    <row r="16274" ht="15.75" customHeight="1">
      <c r="A16274" s="1">
        <v>17293.0</v>
      </c>
      <c r="B16274" s="3" t="s">
        <v>15460</v>
      </c>
      <c r="C16274" s="3" t="str">
        <f>IFERROR(__xludf.DUMMYFUNCTION("GOOGLETRANSLATE(B16274,""id"",""en"")"),"['steady', 'help', 'easy', 'fast', 'process', 'purchase', 'package', 'pulse']")</f>
        <v>['steady', 'help', 'easy', 'fast', 'process', 'purchase', 'package', 'pulse']</v>
      </c>
      <c r="D16274" s="3">
        <v>5.0</v>
      </c>
    </row>
    <row r="16275" ht="15.75" customHeight="1">
      <c r="A16275" s="1">
        <v>17294.0</v>
      </c>
      <c r="B16275" s="3" t="s">
        <v>15461</v>
      </c>
      <c r="C16275" s="3" t="str">
        <f>IFERROR(__xludf.DUMMYFUNCTION("GOOGLETRANSLATE(B16275,""id"",""en"")"),"['Cut', 'quota', 'main', 'quota', 'games', 'max', 'ampe', 'abis', 'pulse']")</f>
        <v>['Cut', 'quota', 'main', 'quota', 'games', 'max', 'ampe', 'abis', 'pulse']</v>
      </c>
      <c r="D16275" s="3">
        <v>2.0</v>
      </c>
    </row>
    <row r="16276" ht="15.75" customHeight="1">
      <c r="A16276" s="1">
        <v>17295.0</v>
      </c>
      <c r="B16276" s="3" t="s">
        <v>15462</v>
      </c>
      <c r="C16276" s="3" t="str">
        <f>IFERROR(__xludf.DUMMYFUNCTION("GOOGLETRANSLATE(B16276,""id"",""en"")"),"['Login', 'gymna', ""]")</f>
        <v>['Login', 'gymna', "]</v>
      </c>
      <c r="D16276" s="3">
        <v>2.0</v>
      </c>
    </row>
    <row r="16277" ht="15.75" customHeight="1">
      <c r="A16277" s="1">
        <v>17296.0</v>
      </c>
      <c r="B16277" s="3" t="s">
        <v>15463</v>
      </c>
      <c r="C16277" s="3" t="str">
        <f>IFERROR(__xludf.DUMMYFUNCTION("GOOGLETRANSLATE(B16277,""id"",""en"")"),"['NGP', 'account', 'Telkomsel']")</f>
        <v>['NGP', 'account', 'Telkomsel']</v>
      </c>
      <c r="D16277" s="3">
        <v>5.0</v>
      </c>
    </row>
    <row r="16278" ht="15.75" customHeight="1">
      <c r="A16278" s="1">
        <v>17297.0</v>
      </c>
      <c r="B16278" s="3" t="s">
        <v>15464</v>
      </c>
      <c r="C16278" s="3" t="str">
        <f>IFERROR(__xludf.DUMMYFUNCTION("GOOGLETRANSLATE(B16278,""id"",""en"")"),"['min', 'settlement', 'related', 'application', 'Telkomsel', 'SDAH', 'send', 'email']")</f>
        <v>['min', 'settlement', 'related', 'application', 'Telkomsel', 'SDAH', 'send', 'email']</v>
      </c>
      <c r="D16278" s="3">
        <v>2.0</v>
      </c>
    </row>
    <row r="16279" ht="15.75" customHeight="1">
      <c r="A16279" s="1">
        <v>17298.0</v>
      </c>
      <c r="B16279" s="3" t="s">
        <v>15465</v>
      </c>
      <c r="C16279" s="3" t="str">
        <f>IFERROR(__xludf.DUMMYFUNCTION("GOOGLETRANSLATE(B16279,""id"",""en"")"),"['Lemot', 'Hello', 'Priolity']")</f>
        <v>['Lemot', 'Hello', 'Priolity']</v>
      </c>
      <c r="D16279" s="3">
        <v>5.0</v>
      </c>
    </row>
    <row r="16280" ht="15.75" customHeight="1">
      <c r="A16280" s="1">
        <v>17299.0</v>
      </c>
      <c r="B16280" s="3" t="s">
        <v>3208</v>
      </c>
      <c r="C16280" s="3" t="str">
        <f>IFERROR(__xludf.DUMMYFUNCTION("GOOGLETRANSLATE(B16280,""id"",""en"")"),"['try']")</f>
        <v>['try']</v>
      </c>
      <c r="D16280" s="3">
        <v>5.0</v>
      </c>
    </row>
    <row r="16281" ht="15.75" customHeight="1">
      <c r="A16281" s="1">
        <v>17300.0</v>
      </c>
      <c r="B16281" s="3" t="s">
        <v>15466</v>
      </c>
      <c r="C16281" s="3" t="str">
        <f>IFERROR(__xludf.DUMMYFUNCTION("GOOGLETRANSLATE(B16281,""id"",""en"")"),"['Severe', 'Telkomsel', 'APK', 'Update', 'Mulu', 'Network', 'Benerin', 'Nggggtd']")</f>
        <v>['Severe', 'Telkomsel', 'APK', 'Update', 'Mulu', 'Network', 'Benerin', 'Nggggtd']</v>
      </c>
      <c r="D16281" s="3">
        <v>2.0</v>
      </c>
    </row>
    <row r="16282" ht="15.75" customHeight="1">
      <c r="A16282" s="1">
        <v>17301.0</v>
      </c>
      <c r="B16282" s="3" t="s">
        <v>15467</v>
      </c>
      <c r="C16282" s="3" t="str">
        <f>IFERROR(__xludf.DUMMYFUNCTION("GOOGLETRANSLATE(B16282,""id"",""en"")"),"['knapa', 'application', 'Telkomsel', 'login', 'appears', 'screen', 'white', 'then', 'kluar', 'network', 'severe']")</f>
        <v>['knapa', 'application', 'Telkomsel', 'login', 'appears', 'screen', 'white', 'then', 'kluar', 'network', 'severe']</v>
      </c>
      <c r="D16282" s="3">
        <v>1.0</v>
      </c>
    </row>
    <row r="16283" ht="15.75" customHeight="1">
      <c r="A16283" s="1">
        <v>17302.0</v>
      </c>
      <c r="B16283" s="3" t="s">
        <v>15468</v>
      </c>
      <c r="C16283" s="3" t="str">
        <f>IFERROR(__xludf.DUMMYFUNCTION("GOOGLETRANSLATE(B16283,""id"",""en"")"),"['ugly', 'open', 'the application']")</f>
        <v>['ugly', 'open', 'the application']</v>
      </c>
      <c r="D16283" s="3">
        <v>3.0</v>
      </c>
    </row>
    <row r="16284" ht="15.75" customHeight="1">
      <c r="A16284" s="1">
        <v>17303.0</v>
      </c>
      <c r="B16284" s="3" t="s">
        <v>15469</v>
      </c>
      <c r="C16284" s="3" t="str">
        <f>IFERROR(__xludf.DUMMYFUNCTION("GOOGLETRANSLATE(B16284,""id"",""en"")"),"['Helpful', 'profitable']")</f>
        <v>['Helpful', 'profitable']</v>
      </c>
      <c r="D16284" s="3">
        <v>5.0</v>
      </c>
    </row>
    <row r="16285" ht="15.75" customHeight="1">
      <c r="A16285" s="1">
        <v>17305.0</v>
      </c>
      <c r="B16285" s="3" t="s">
        <v>4434</v>
      </c>
      <c r="C16285" s="3" t="str">
        <f>IFERROR(__xludf.DUMMYFUNCTION("GOOGLETRANSLATE(B16285,""id"",""en"")"),"['Application', 'opened', '']")</f>
        <v>['Application', 'opened', '']</v>
      </c>
      <c r="D16285" s="3">
        <v>1.0</v>
      </c>
    </row>
    <row r="16286" ht="15.75" customHeight="1">
      <c r="A16286" s="1">
        <v>17306.0</v>
      </c>
      <c r="B16286" s="3" t="s">
        <v>15470</v>
      </c>
      <c r="C16286" s="3" t="str">
        <f>IFERROR(__xludf.DUMMYFUNCTION("GOOGLETRANSLATE(B16286,""id"",""en"")"),"['Network', 'The widest', 'Indonesia', 'Mantabbb', ""]")</f>
        <v>['Network', 'The widest', 'Indonesia', 'Mantabbb', "]</v>
      </c>
      <c r="D16286" s="3">
        <v>5.0</v>
      </c>
    </row>
    <row r="16287" ht="15.75" customHeight="1">
      <c r="A16287" s="1">
        <v>17307.0</v>
      </c>
      <c r="B16287" s="3" t="s">
        <v>15471</v>
      </c>
      <c r="C16287" s="3" t="str">
        <f>IFERROR(__xludf.DUMMYFUNCTION("GOOGLETRANSLATE(B16287,""id"",""en"")"),"['GMNA', 'application', 'open', 'tlng', 'fix', 'application', '']")</f>
        <v>['GMNA', 'application', 'open', 'tlng', 'fix', 'application', '']</v>
      </c>
      <c r="D16287" s="3">
        <v>1.0</v>
      </c>
    </row>
    <row r="16288" ht="15.75" customHeight="1">
      <c r="A16288" s="1">
        <v>17308.0</v>
      </c>
      <c r="B16288" s="3" t="s">
        <v>15472</v>
      </c>
      <c r="C16288" s="3" t="str">
        <f>IFERROR(__xludf.DUMMYFUNCTION("GOOGLETRANSLATE(B16288,""id"",""en"")"),"['Severe', 'really', 'Nihh', 'Telkomsel', 'Tel', 'Call', 'Cantre', 'Nawarin', 'card', 'Hello', 'right', 'Delasin', ' quota ',' anlimitid ',' application ',' doang ',' right ',' no 'paid', 'bill', 'tetep', 'nungkak', 'quota', 'no', 'use' , 'TIME', 'Nawarin"&amp;"', 'card', 'Hallo', 'Delasin', 'Delasin', 'No "",' according to ',' reality ',' no ',' loss ',' Nunggak ',' No ',' used ',' quota ']")</f>
        <v>['Severe', 'really', 'Nihh', 'Telkomsel', 'Tel', 'Call', 'Cantre', 'Nawarin', 'card', 'Hello', 'right', 'Delasin', ' quota ',' anlimitid ',' application ',' doang ',' right ',' no 'paid', 'bill', 'tetep', 'nungkak', 'quota', 'no', 'use' , 'TIME', 'Nawarin', 'card', 'Hallo', 'Delasin', 'Delasin', 'No ",' according to ',' reality ',' no ',' loss ',' Nunggak ',' No ',' used ',' quota ']</v>
      </c>
      <c r="D16288" s="3">
        <v>1.0</v>
      </c>
    </row>
    <row r="16289" ht="15.75" customHeight="1">
      <c r="A16289" s="1">
        <v>17309.0</v>
      </c>
      <c r="B16289" s="3" t="s">
        <v>15473</v>
      </c>
      <c r="C16289" s="3" t="str">
        <f>IFERROR(__xludf.DUMMYFUNCTION("GOOGLETRANSLATE(B16289,""id"",""en"")"),"['easy', 'hope', 'benefits', 'easy', 'service']")</f>
        <v>['easy', 'hope', 'benefits', 'easy', 'service']</v>
      </c>
      <c r="D16289" s="3">
        <v>5.0</v>
      </c>
    </row>
    <row r="16290" ht="15.75" customHeight="1">
      <c r="A16290" s="1">
        <v>17310.0</v>
      </c>
      <c r="B16290" s="3" t="s">
        <v>15474</v>
      </c>
      <c r="C16290" s="3" t="str">
        <f>IFERROR(__xludf.DUMMYFUNCTION("GOOGLETRANSLATE(B16290,""id"",""en"")"),"['Star', 'network', 'chaotic', 'rain', 'rain', 'severe', 'get', 'stem', 'internet', 'until', 'mentok', 'segini', ' City ',' Jakarta ',' how ',' inland ',' village ',' rich ',' gini ',' replace ',' operator ',' card ',' tsel ',' already ',' th ' ]")</f>
        <v>['Star', 'network', 'chaotic', 'rain', 'rain', 'severe', 'get', 'stem', 'internet', 'until', 'mentok', 'segini', ' City ',' Jakarta ',' how ',' inland ',' village ',' rich ',' gini ',' replace ',' operator ',' card ',' tsel ',' already ',' th ' ]</v>
      </c>
      <c r="D16290" s="3">
        <v>3.0</v>
      </c>
    </row>
    <row r="16291" ht="15.75" customHeight="1">
      <c r="A16291" s="1">
        <v>17311.0</v>
      </c>
      <c r="B16291" s="3" t="s">
        <v>15475</v>
      </c>
      <c r="C16291" s="3" t="str">
        <f>IFERROR(__xludf.DUMMYFUNCTION("GOOGLETRANSLATE(B16291,""id"",""en"")"),"['Good', 'Thank you', 'Telkomsel', 'pulse', 'thousand']")</f>
        <v>['Good', 'Thank you', 'Telkomsel', 'pulse', 'thousand']</v>
      </c>
      <c r="D16291" s="3">
        <v>5.0</v>
      </c>
    </row>
    <row r="16292" ht="15.75" customHeight="1">
      <c r="A16292" s="1">
        <v>17312.0</v>
      </c>
      <c r="B16292" s="3" t="s">
        <v>15476</v>
      </c>
      <c r="C16292" s="3" t="str">
        <f>IFERROR(__xludf.DUMMYFUNCTION("GOOGLETRANSLATE(B16292,""id"",""en"")"),"['application', 'good', 'Help', 'Simple', 'complicated', 'LIKE']")</f>
        <v>['application', 'good', 'Help', 'Simple', 'complicated', 'LIKE']</v>
      </c>
      <c r="D16292" s="3">
        <v>5.0</v>
      </c>
    </row>
    <row r="16293" ht="15.75" customHeight="1">
      <c r="A16293" s="1">
        <v>17313.0</v>
      </c>
      <c r="B16293" s="3" t="s">
        <v>15477</v>
      </c>
      <c r="C16293" s="3" t="str">
        <f>IFERROR(__xludf.DUMMYFUNCTION("GOOGLETRANSLATE(B16293,""id"",""en"")"),"['Please', 'sorry', 'admin', 'Telkomsel', 'Telkomsel', 'heavy', 'heart', 'regret', 'update', 'application', 'enter', 'update', ' Update ',' application ',' run ',' smooth ',' ngefreze ',' screen ',' white ',' beg ',' fix ',' bug ',' thank you ', ""]")</f>
        <v>['Please', 'sorry', 'admin', 'Telkomsel', 'Telkomsel', 'heavy', 'heart', 'regret', 'update', 'application', 'enter', 'update', ' Update ',' application ',' run ',' smooth ',' ngefreze ',' screen ',' white ',' beg ',' fix ',' bug ',' thank you ', "]</v>
      </c>
      <c r="D16293" s="3">
        <v>1.0</v>
      </c>
    </row>
    <row r="16294" ht="15.75" customHeight="1">
      <c r="A16294" s="1">
        <v>17314.0</v>
      </c>
      <c r="B16294" s="3" t="s">
        <v>15478</v>
      </c>
      <c r="C16294" s="3" t="str">
        <f>IFERROR(__xludf.DUMMYFUNCTION("GOOGLETRANSLATE(B16294,""id"",""en"")"),"['Application', 'good', 'makes it easy', 'purchase', 'pulse', 'quota', 'darling', 'beberry', 'install', 'open', '']")</f>
        <v>['Application', 'good', 'makes it easy', 'purchase', 'pulse', 'quota', 'darling', 'beberry', 'install', 'open', '']</v>
      </c>
      <c r="D16294" s="3">
        <v>5.0</v>
      </c>
    </row>
    <row r="16295" ht="15.75" customHeight="1">
      <c r="A16295" s="1">
        <v>17315.0</v>
      </c>
      <c r="B16295" s="3" t="s">
        <v>15479</v>
      </c>
      <c r="C16295" s="3" t="str">
        <f>IFERROR(__xludf.DUMMYFUNCTION("GOOGLETRANSLATE(B16295,""id"",""en"")"),"['Signal', 'The', 'Best', 'Please', 'Price', 'Collapin', '']")</f>
        <v>['Signal', 'The', 'Best', 'Please', 'Price', 'Collapin', '']</v>
      </c>
      <c r="D16295" s="3">
        <v>5.0</v>
      </c>
    </row>
    <row r="16296" ht="15.75" customHeight="1">
      <c r="A16296" s="1">
        <v>17316.0</v>
      </c>
      <c r="B16296" s="3" t="s">
        <v>11714</v>
      </c>
      <c r="C16296" s="3" t="str">
        <f>IFERROR(__xludf.DUMMYFUNCTION("GOOGLETRANSLATE(B16296,""id"",""en"")"),"['access']")</f>
        <v>['access']</v>
      </c>
      <c r="D16296" s="3">
        <v>1.0</v>
      </c>
    </row>
    <row r="16297" ht="15.75" customHeight="1">
      <c r="A16297" s="1">
        <v>17317.0</v>
      </c>
      <c r="B16297" s="3" t="s">
        <v>15480</v>
      </c>
      <c r="C16297" s="3" t="str">
        <f>IFERROR(__xludf.DUMMYFUNCTION("GOOGLETRANSLATE(B16297,""id"",""en"")"),"['Provider', 'defective', 'Indonesia', 'check', 'pulse', 'difficult', 'forgiveness',' network ',' OTP ',' Microsoft ',' code ',' enter ',' price ',' quota ',' no ',' squeezed ',' expensive ',' really ',' super ',' defective ',' you ']")</f>
        <v>['Provider', 'defective', 'Indonesia', 'check', 'pulse', 'difficult', 'forgiveness',' network ',' OTP ',' Microsoft ',' code ',' enter ',' price ',' quota ',' no ',' squeezed ',' expensive ',' really ',' super ',' defective ',' you ']</v>
      </c>
      <c r="D16297" s="3">
        <v>1.0</v>
      </c>
    </row>
    <row r="16298" ht="15.75" customHeight="1">
      <c r="A16298" s="1">
        <v>17318.0</v>
      </c>
      <c r="B16298" s="3" t="s">
        <v>15481</v>
      </c>
      <c r="C16298" s="3" t="str">
        <f>IFERROR(__xludf.DUMMYFUNCTION("GOOGLETRANSLATE(B16298,""id"",""en"")"),"['TOP', 'emang', 'best', 'Telkomsel']")</f>
        <v>['TOP', 'emang', 'best', 'Telkomsel']</v>
      </c>
      <c r="D16298" s="3">
        <v>5.0</v>
      </c>
    </row>
    <row r="16299" ht="15.75" customHeight="1">
      <c r="A16299" s="1">
        <v>17319.0</v>
      </c>
      <c r="B16299" s="3" t="s">
        <v>15482</v>
      </c>
      <c r="C16299" s="3" t="str">
        <f>IFERROR(__xludf.DUMMYFUNCTION("GOOGLETRANSLATE(B16299,""id"",""en"")"),"['Exchange', 'points', 'sufficient', 'limit', 'Points', 'determined', 'The reason', 'system', 'busy']")</f>
        <v>['Exchange', 'points', 'sufficient', 'limit', 'Points', 'determined', 'The reason', 'system', 'busy']</v>
      </c>
      <c r="D16299" s="3">
        <v>3.0</v>
      </c>
    </row>
    <row r="16300" ht="15.75" customHeight="1">
      <c r="A16300" s="1">
        <v>17320.0</v>
      </c>
      <c r="B16300" s="3" t="s">
        <v>15483</v>
      </c>
      <c r="C16300" s="3" t="str">
        <f>IFERROR(__xludf.DUMMYFUNCTION("GOOGLETRANSLATE(B16300,""id"",""en"")"),"['Package', 'expensive', 'min', 'because', 'village', 'net', 'Telkomsel', 'laen', ""]")</f>
        <v>['Package', 'expensive', 'min', 'because', 'village', 'net', 'Telkomsel', 'laen', "]</v>
      </c>
      <c r="D16300" s="3">
        <v>3.0</v>
      </c>
    </row>
    <row r="16301" ht="15.75" customHeight="1">
      <c r="A16301" s="1">
        <v>17322.0</v>
      </c>
      <c r="B16301" s="3" t="s">
        <v>15484</v>
      </c>
      <c r="C16301" s="3" t="str">
        <f>IFERROR(__xludf.DUMMYFUNCTION("GOOGLETRANSLATE(B16301,""id"",""en"")"),"['already', 'package', 'expensive', 'network', 'lalot', 'ngelag', 'doglah', ""]")</f>
        <v>['already', 'package', 'expensive', 'network', 'lalot', 'ngelag', 'doglah', "]</v>
      </c>
      <c r="D16301" s="3">
        <v>1.0</v>
      </c>
    </row>
    <row r="16302" ht="15.75" customHeight="1">
      <c r="A16302" s="1">
        <v>17323.0</v>
      </c>
      <c r="B16302" s="3" t="s">
        <v>15485</v>
      </c>
      <c r="C16302" s="3" t="str">
        <f>IFERROR(__xludf.DUMMYFUNCTION("GOOGLETRANSLATE(B16302,""id"",""en"")"),"['Good', 'CMA', 'application', 'price', 'love', 'discon', 'gtu', '']")</f>
        <v>['Good', 'CMA', 'application', 'price', 'love', 'discon', 'gtu', '']</v>
      </c>
      <c r="D16302" s="3">
        <v>5.0</v>
      </c>
    </row>
    <row r="16303" ht="15.75" customHeight="1">
      <c r="A16303" s="1">
        <v>17324.0</v>
      </c>
      <c r="B16303" s="3" t="s">
        <v>15486</v>
      </c>
      <c r="C16303" s="3" t="str">
        <f>IFERROR(__xludf.DUMMYFUNCTION("GOOGLETRANSLATE(B16303,""id"",""en"")"),"['Credit', 'Cutting', 'Data', 'Active', 'Application', 'Error', 'Like', 'Numbers',' Credit ',' Number ',' Install ',' App ',' safe ',' pulses']")</f>
        <v>['Credit', 'Cutting', 'Data', 'Active', 'Application', 'Error', 'Like', 'Numbers',' Credit ',' Number ',' Install ',' App ',' safe ',' pulses']</v>
      </c>
      <c r="D16303" s="3">
        <v>1.0</v>
      </c>
    </row>
    <row r="16304" ht="15.75" customHeight="1">
      <c r="A16304" s="1">
        <v>17325.0</v>
      </c>
      <c r="B16304" s="3" t="s">
        <v>15487</v>
      </c>
      <c r="C16304" s="3" t="str">
        <f>IFERROR(__xludf.DUMMYFUNCTION("GOOGLETRANSLATE(B16304,""id"",""en"")"),"['steady', 'bad', 'package', 'data', 'GB', 'gabisa', 'kepake', 'signal', 'bad', '']")</f>
        <v>['steady', 'bad', 'package', 'data', 'GB', 'gabisa', 'kepake', 'signal', 'bad', '']</v>
      </c>
      <c r="D16304" s="3">
        <v>1.0</v>
      </c>
    </row>
    <row r="16305" ht="15.75" customHeight="1">
      <c r="A16305" s="1">
        <v>17326.0</v>
      </c>
      <c r="B16305" s="3" t="s">
        <v>15488</v>
      </c>
      <c r="C16305" s="3" t="str">
        <f>IFERROR(__xludf.DUMMYFUNCTION("GOOGLETRANSLATE(B16305,""id"",""en"")"),"['Buy', 'Package', 'Pay', 'Credit', 'Credit', 'Kouta', 'Klu', 'Terms', 'Star']")</f>
        <v>['Buy', 'Package', 'Pay', 'Credit', 'Credit', 'Kouta', 'Klu', 'Terms', 'Star']</v>
      </c>
      <c r="D16305" s="3">
        <v>1.0</v>
      </c>
    </row>
    <row r="16306" ht="15.75" customHeight="1">
      <c r="A16306" s="1">
        <v>17327.0</v>
      </c>
      <c r="B16306" s="3" t="s">
        <v>15489</v>
      </c>
      <c r="C16306" s="3" t="str">
        <f>IFERROR(__xludf.DUMMYFUNCTION("GOOGLETRANSLATE(B16306,""id"",""en"")"),"['hope', 'signal', 'good', 'ad', 'watch', 'hotstar', 'according to', 'purchase', 'customer', 'use']")</f>
        <v>['hope', 'signal', 'good', 'ad', 'watch', 'hotstar', 'according to', 'purchase', 'customer', 'use']</v>
      </c>
      <c r="D16306" s="3">
        <v>5.0</v>
      </c>
    </row>
    <row r="16307" ht="15.75" customHeight="1">
      <c r="A16307" s="1">
        <v>17328.0</v>
      </c>
      <c r="B16307" s="3" t="s">
        <v>15490</v>
      </c>
      <c r="C16307" s="3" t="str">
        <f>IFERROR(__xludf.DUMMYFUNCTION("GOOGLETRANSLATE(B16307,""id"",""en"")"),"['Satisfied', 'service', 'get', 'quota', 'free', 'decent']")</f>
        <v>['Satisfied', 'service', 'get', 'quota', 'free', 'decent']</v>
      </c>
      <c r="D16307" s="3">
        <v>5.0</v>
      </c>
    </row>
    <row r="16308" ht="15.75" customHeight="1">
      <c r="A16308" s="1">
        <v>17329.0</v>
      </c>
      <c r="B16308" s="3" t="s">
        <v>15491</v>
      </c>
      <c r="C16308" s="3" t="str">
        <f>IFERROR(__xludf.DUMMYFUNCTION("GOOGLETRANSLATE(B16308,""id"",""en"")"),"['Gue', 'please', 'info', 'donk', 'me', 'open', 'application', 'lngsung', '']")</f>
        <v>['Gue', 'please', 'info', 'donk', 'me', 'open', 'application', 'lngsung', '']</v>
      </c>
      <c r="D16308" s="3">
        <v>1.0</v>
      </c>
    </row>
    <row r="16309" ht="15.75" customHeight="1">
      <c r="A16309" s="1">
        <v>17330.0</v>
      </c>
      <c r="B16309" s="3" t="s">
        <v>15492</v>
      </c>
      <c r="C16309" s="3" t="str">
        <f>IFERROR(__xludf.DUMMYFUNCTION("GOOGLETRANSLATE(B16309,""id"",""en"")"),"['Wear', 'Telkomsel', 'Slalu', 'Disappointed', 'Wear', 'Telkomsel', 'Repair', 'Improvement', 'Buy', 'Kuta', 'Used', 'Telkomsel', ' Slalu ',' disappointing ',' ']")</f>
        <v>['Wear', 'Telkomsel', 'Slalu', 'Disappointed', 'Wear', 'Telkomsel', 'Repair', 'Improvement', 'Buy', 'Kuta', 'Used', 'Telkomsel', ' Slalu ',' disappointing ',' ']</v>
      </c>
      <c r="D16309" s="3">
        <v>1.0</v>
      </c>
    </row>
    <row r="16310" ht="15.75" customHeight="1">
      <c r="A16310" s="1">
        <v>17331.0</v>
      </c>
      <c r="B16310" s="3" t="s">
        <v>15493</v>
      </c>
      <c r="C16310" s="3" t="str">
        <f>IFERROR(__xludf.DUMMYFUNCTION("GOOGLETRANSLATE(B16310,""id"",""en"")"),"['strange', 'really', 'telkomnyet', 'pulse', 'sumps',' right ',' contents', 'pulse', 'data', 'match', 'right', 'live', ' right ',' SMS ',' Wear ',' Credit ',' Access', 'Internet', 'Non', 'Package', 'Update', 'Application', 'Device', 'Loss',' Very ' , 'Tel"&amp;"komsel']")</f>
        <v>['strange', 'really', 'telkomnyet', 'pulse', 'sumps',' right ',' contents', 'pulse', 'data', 'match', 'right', 'live', ' right ',' SMS ',' Wear ',' Credit ',' Access', 'Internet', 'Non', 'Package', 'Update', 'Application', 'Device', 'Loss',' Very ' , 'Telkomsel']</v>
      </c>
      <c r="D16310" s="3">
        <v>1.0</v>
      </c>
    </row>
    <row r="16311" ht="15.75" customHeight="1">
      <c r="A16311" s="1">
        <v>17332.0</v>
      </c>
      <c r="B16311" s="3" t="s">
        <v>15494</v>
      </c>
      <c r="C16311" s="3" t="str">
        <f>IFERROR(__xludf.DUMMYFUNCTION("GOOGLETRANSLATE(B16311,""id"",""en"")"),"['thank', 'love', 'account']")</f>
        <v>['thank', 'love', 'account']</v>
      </c>
      <c r="D16311" s="3">
        <v>4.0</v>
      </c>
    </row>
    <row r="16312" ht="15.75" customHeight="1">
      <c r="A16312" s="1">
        <v>17333.0</v>
      </c>
      <c r="B16312" s="3" t="s">
        <v>15495</v>
      </c>
      <c r="C16312" s="3" t="str">
        <f>IFERROR(__xludf.DUMMYFUNCTION("GOOGLETRANSLATE(B16312,""id"",""en"")"),"['disappointing', 'quota', 'unlimited', 'apps', 'purchase', 'printed', 'Apps', 'socialMedia', 'Instagram', 'enter', 'Instagram', ""]")</f>
        <v>['disappointing', 'quota', 'unlimited', 'apps', 'purchase', 'printed', 'Apps', 'socialMedia', 'Instagram', 'enter', 'Instagram', "]</v>
      </c>
      <c r="D16312" s="3">
        <v>1.0</v>
      </c>
    </row>
    <row r="16313" ht="15.75" customHeight="1">
      <c r="A16313" s="1">
        <v>17334.0</v>
      </c>
      <c r="B16313" s="3" t="s">
        <v>15496</v>
      </c>
      <c r="C16313" s="3" t="str">
        <f>IFERROR(__xludf.DUMMYFUNCTION("GOOGLETRANSLATE(B16313,""id"",""en"")"),"['signal', 'strong', 'good']")</f>
        <v>['signal', 'strong', 'good']</v>
      </c>
      <c r="D16313" s="3">
        <v>5.0</v>
      </c>
    </row>
    <row r="16314" ht="15.75" customHeight="1">
      <c r="A16314" s="1">
        <v>17336.0</v>
      </c>
      <c r="B16314" s="3" t="s">
        <v>15497</v>
      </c>
      <c r="C16314" s="3" t="str">
        <f>IFERROR(__xludf.DUMMYFUNCTION("GOOGLETRANSLATE(B16314,""id"",""en"")"),"['fast', 'easy', 'in', 'APL', 'Telkomsel']")</f>
        <v>['fast', 'easy', 'in', 'APL', 'Telkomsel']</v>
      </c>
      <c r="D16314" s="3">
        <v>5.0</v>
      </c>
    </row>
    <row r="16315" ht="15.75" customHeight="1">
      <c r="A16315" s="1">
        <v>17337.0</v>
      </c>
      <c r="B16315" s="3" t="s">
        <v>15498</v>
      </c>
      <c r="C16315" s="3" t="str">
        <f>IFERROR(__xludf.DUMMYFUNCTION("GOOGLETRANSLATE(B16315,""id"",""en"")"),"['Good', 'really', 'get', 'Points', 'Download', 'application', '']")</f>
        <v>['Good', 'really', 'get', 'Points', 'Download', 'application', '']</v>
      </c>
      <c r="D16315" s="3">
        <v>5.0</v>
      </c>
    </row>
    <row r="16316" ht="15.75" customHeight="1">
      <c r="A16316" s="1">
        <v>17338.0</v>
      </c>
      <c r="B16316" s="3" t="s">
        <v>15499</v>
      </c>
      <c r="C16316" s="3" t="str">
        <f>IFERROR(__xludf.DUMMYFUNCTION("GOOGLETRANSLATE(B16316,""id"",""en"")"),"['Package', 'Internet', 'combo', 'really']")</f>
        <v>['Package', 'Internet', 'combo', 'really']</v>
      </c>
      <c r="D16316" s="3">
        <v>5.0</v>
      </c>
    </row>
    <row r="16317" ht="15.75" customHeight="1">
      <c r="A16317" s="1">
        <v>17339.0</v>
      </c>
      <c r="B16317" s="3" t="s">
        <v>15500</v>
      </c>
      <c r="C16317" s="3" t="str">
        <f>IFERROR(__xludf.DUMMYFUNCTION("GOOGLETRANSLATE(B16317,""id"",""en"")"),"['Tong', 'price', 'expensive', 'Kualis', 'fix']")</f>
        <v>['Tong', 'price', 'expensive', 'Kualis', 'fix']</v>
      </c>
      <c r="D16317" s="3">
        <v>1.0</v>
      </c>
    </row>
    <row r="16318" ht="15.75" customHeight="1">
      <c r="A16318" s="1">
        <v>17340.0</v>
      </c>
      <c r="B16318" s="3" t="s">
        <v>15501</v>
      </c>
      <c r="C16318" s="3" t="str">
        <f>IFERROR(__xludf.DUMMYFUNCTION("GOOGLETRANSLATE(B16318,""id"",""en"")"),"['UDH', 'HRI', 'Network', 'Signal', 'Internet', 'ugly', 'Region', 'Bekasi', 'Please', 'Fix']")</f>
        <v>['UDH', 'HRI', 'Network', 'Signal', 'Internet', 'ugly', 'Region', 'Bekasi', 'Please', 'Fix']</v>
      </c>
      <c r="D16318" s="3">
        <v>3.0</v>
      </c>
    </row>
    <row r="16319" ht="15.75" customHeight="1">
      <c r="A16319" s="1">
        <v>17341.0</v>
      </c>
      <c r="B16319" s="3" t="s">
        <v>15502</v>
      </c>
      <c r="C16319" s="3" t="str">
        <f>IFERROR(__xludf.DUMMYFUNCTION("GOOGLETRANSLATE(B16319,""id"",""en"")"),"['Ribet', 'buy', 'package', 'difficult', 'slow', 'really']")</f>
        <v>['Ribet', 'buy', 'package', 'difficult', 'slow', 'really']</v>
      </c>
      <c r="D16319" s="3">
        <v>1.0</v>
      </c>
    </row>
    <row r="16320" ht="15.75" customHeight="1">
      <c r="A16320" s="1">
        <v>17342.0</v>
      </c>
      <c r="B16320" s="3" t="s">
        <v>15503</v>
      </c>
      <c r="C16320" s="3" t="str">
        <f>IFERROR(__xludf.DUMMYFUNCTION("GOOGLETRANSLATE(B16320,""id"",""en"")"),"['', 'application', 'Benerin', 'Kek', 'already', 'update', 'right', 'open', 'screen', 'white', 'already', 'wait', 'minutes ',' ']")</f>
        <v>['', 'application', 'Benerin', 'Kek', 'already', 'update', 'right', 'open', 'screen', 'white', 'already', 'wait', 'minutes ',' ']</v>
      </c>
      <c r="D16320" s="3">
        <v>1.0</v>
      </c>
    </row>
    <row r="16321" ht="15.75" customHeight="1">
      <c r="A16321" s="1">
        <v>17343.0</v>
      </c>
      <c r="B16321" s="3" t="s">
        <v>15504</v>
      </c>
      <c r="C16321" s="3" t="str">
        <f>IFERROR(__xludf.DUMMYFUNCTION("GOOGLETRANSLATE(B16321,""id"",""en"")"),"['Out', 'Download', 'open', '']")</f>
        <v>['Out', 'Download', 'open', '']</v>
      </c>
      <c r="D16321" s="3">
        <v>1.0</v>
      </c>
    </row>
    <row r="16322" ht="15.75" customHeight="1">
      <c r="A16322" s="1">
        <v>17344.0</v>
      </c>
      <c r="B16322" s="3" t="s">
        <v>15505</v>
      </c>
      <c r="C16322" s="3" t="str">
        <f>IFERROR(__xludf.DUMMYFUNCTION("GOOGLETRANSLATE(B16322,""id"",""en"")"),"['application', 'rich', 'heavy', 'loading', 'manu', 'menu', 'decent', 'ram', 'connection', 'internet', 'speeding', 'please', ' Expired ',' ']")</f>
        <v>['application', 'rich', 'heavy', 'loading', 'manu', 'menu', 'decent', 'ram', 'connection', 'internet', 'speeding', 'please', ' Expired ',' ']</v>
      </c>
      <c r="D16322" s="3">
        <v>4.0</v>
      </c>
    </row>
    <row r="16323" ht="15.75" customHeight="1">
      <c r="A16323" s="1">
        <v>17345.0</v>
      </c>
      <c r="B16323" s="3" t="s">
        <v>15506</v>
      </c>
      <c r="C16323" s="3" t="str">
        <f>IFERROR(__xludf.DUMMYFUNCTION("GOOGLETRANSLATE(B16323,""id"",""en"")"),"['crazy', 'price', 'package', 'data', 'expensive', 'thinking', 'feeling', 'person', 'urban', 'network', 'Telkomsel', 'area', ' Soin ',' opportunity ',' go up ',' price ',' please ',' economy ',' stable ',' squeezed ',' a little ',' kalok ',' ride ',' pric"&amp;"e ']")</f>
        <v>['crazy', 'price', 'package', 'data', 'expensive', 'thinking', 'feeling', 'person', 'urban', 'network', 'Telkomsel', 'area', ' Soin ',' opportunity ',' go up ',' price ',' please ',' economy ',' stable ',' squeezed ',' a little ',' kalok ',' ride ',' price ']</v>
      </c>
      <c r="D16323" s="3">
        <v>1.0</v>
      </c>
    </row>
    <row r="16324" ht="15.75" customHeight="1">
      <c r="A16324" s="1">
        <v>17346.0</v>
      </c>
      <c r="B16324" s="3" t="s">
        <v>15507</v>
      </c>
      <c r="C16324" s="3" t="str">
        <f>IFERROR(__xludf.DUMMYFUNCTION("GOOGLETRANSLATE(B16324,""id"",""en"")"),"['App', 'Open', 'Ngeblank', 'then']")</f>
        <v>['App', 'Open', 'Ngeblank', 'then']</v>
      </c>
      <c r="D16324" s="3">
        <v>1.0</v>
      </c>
    </row>
    <row r="16325" ht="15.75" customHeight="1">
      <c r="A16325" s="1">
        <v>17347.0</v>
      </c>
      <c r="B16325" s="3" t="s">
        <v>68</v>
      </c>
      <c r="C16325" s="3" t="str">
        <f>IFERROR(__xludf.DUMMYFUNCTION("GOOGLETRANSLATE(B16325,""id"",""en"")"),"['steady']")</f>
        <v>['steady']</v>
      </c>
      <c r="D16325" s="3">
        <v>5.0</v>
      </c>
    </row>
    <row r="16326" ht="15.75" customHeight="1">
      <c r="A16326" s="1">
        <v>17348.0</v>
      </c>
      <c r="B16326" s="3" t="s">
        <v>15508</v>
      </c>
      <c r="C16326" s="3" t="str">
        <f>IFERROR(__xludf.DUMMYFUNCTION("GOOGLETRANSLATE(B16326,""id"",""en"")"),"['card', 'pepek', 'dick', 'ngentod', 'haram', 'anjeng', 'savage', 'bastard', 'gara', 'gara', 'telkomsel', 'pepek', ' Down ',' Rank ',' dick ',' hope ',' explode ',' office ',' kelen ',' pepek ']")</f>
        <v>['card', 'pepek', 'dick', 'ngentod', 'haram', 'anjeng', 'savage', 'bastard', 'gara', 'gara', 'telkomsel', 'pepek', ' Down ',' Rank ',' dick ',' hope ',' explode ',' office ',' kelen ',' pepek ']</v>
      </c>
      <c r="D16326" s="3">
        <v>1.0</v>
      </c>
    </row>
    <row r="16327" ht="15.75" customHeight="1">
      <c r="A16327" s="1">
        <v>17349.0</v>
      </c>
      <c r="B16327" s="3" t="s">
        <v>478</v>
      </c>
      <c r="C16327" s="3" t="str">
        <f>IFERROR(__xludf.DUMMYFUNCTION("GOOGLETRANSLATE(B16327,""id"",""en"")"),"Of course")</f>
        <v>Of course</v>
      </c>
      <c r="D16327" s="3">
        <v>5.0</v>
      </c>
    </row>
    <row r="16328" ht="15.75" customHeight="1">
      <c r="A16328" s="1">
        <v>17350.0</v>
      </c>
      <c r="B16328" s="3" t="s">
        <v>15509</v>
      </c>
      <c r="C16328" s="3" t="str">
        <f>IFERROR(__xludf.DUMMYFUNCTION("GOOGLETRANSLATE(B16328,""id"",""en"")"),"['transaction', 'Fund']")</f>
        <v>['transaction', 'Fund']</v>
      </c>
      <c r="D16328" s="3">
        <v>3.0</v>
      </c>
    </row>
    <row r="16329" ht="15.75" customHeight="1">
      <c r="A16329" s="1">
        <v>17351.0</v>
      </c>
      <c r="B16329" s="3" t="s">
        <v>15510</v>
      </c>
      <c r="C16329" s="3" t="str">
        <f>IFERROR(__xludf.DUMMYFUNCTION("GOOGLETRANSLATE(B16329,""id"",""en"")"),"['Good', 'Addin', 'promo', 'package', 'internet', 'yoo', 'joss']")</f>
        <v>['Good', 'Addin', 'promo', 'package', 'internet', 'yoo', 'joss']</v>
      </c>
      <c r="D16329" s="3">
        <v>5.0</v>
      </c>
    </row>
    <row r="16330" ht="15.75" customHeight="1">
      <c r="A16330" s="1">
        <v>17352.0</v>
      </c>
      <c r="B16330" s="3" t="s">
        <v>15511</v>
      </c>
      <c r="C16330" s="3" t="str">
        <f>IFERROR(__xludf.DUMMYFUNCTION("GOOGLETRANSLATE(B16330,""id"",""en"")"),"['Telkomsel', 'Application', 'Opened', '']")</f>
        <v>['Telkomsel', 'Application', 'Opened', '']</v>
      </c>
      <c r="D16330" s="3">
        <v>1.0</v>
      </c>
    </row>
    <row r="16331" ht="15.75" customHeight="1">
      <c r="A16331" s="1">
        <v>17353.0</v>
      </c>
      <c r="B16331" s="3" t="s">
        <v>15512</v>
      </c>
      <c r="C16331" s="3" t="str">
        <f>IFERROR(__xludf.DUMMYFUNCTION("GOOGLETRANSLATE(B16331,""id"",""en"")"),"['knapa', 'apk', 'no', 'enter', 'ssh', 'logging', '']")</f>
        <v>['knapa', 'apk', 'no', 'enter', 'ssh', 'logging', '']</v>
      </c>
      <c r="D16331" s="3">
        <v>1.0</v>
      </c>
    </row>
    <row r="16332" ht="15.75" customHeight="1">
      <c r="A16332" s="1">
        <v>17354.0</v>
      </c>
      <c r="B16332" s="3" t="s">
        <v>15513</v>
      </c>
      <c r="C16332" s="3" t="str">
        <f>IFERROR(__xludf.DUMMYFUNCTION("GOOGLETRANSLATE(B16332,""id"",""en"")"),"['activate', 'package', 'data', 'pulse', 'reduce', 'write', 'non', 'package', 'disappointing']")</f>
        <v>['activate', 'package', 'data', 'pulse', 'reduce', 'write', 'non', 'package', 'disappointing']</v>
      </c>
      <c r="D16332" s="3">
        <v>1.0</v>
      </c>
    </row>
    <row r="16333" ht="15.75" customHeight="1">
      <c r="A16333" s="1">
        <v>17355.0</v>
      </c>
      <c r="B16333" s="3" t="s">
        <v>15514</v>
      </c>
      <c r="C16333" s="3" t="str">
        <f>IFERROR(__xludf.DUMMYFUNCTION("GOOGLETRANSLATE(B16333,""id"",""en"")"),"['like', 'difficult', 'enter', 'application']")</f>
        <v>['like', 'difficult', 'enter', 'application']</v>
      </c>
      <c r="D16333" s="3">
        <v>5.0</v>
      </c>
    </row>
    <row r="16334" ht="15.75" customHeight="1">
      <c r="A16334" s="1">
        <v>17356.0</v>
      </c>
      <c r="B16334" s="3" t="s">
        <v>15515</v>
      </c>
      <c r="C16334" s="3" t="str">
        <f>IFERROR(__xludf.DUMMYFUNCTION("GOOGLETRANSLATE(B16334,""id"",""en"")"),"['', 'enter', 'application', '']")</f>
        <v>['', 'enter', 'application', '']</v>
      </c>
      <c r="D16334" s="3">
        <v>1.0</v>
      </c>
    </row>
    <row r="16335" ht="15.75" customHeight="1">
      <c r="A16335" s="1">
        <v>17357.0</v>
      </c>
      <c r="B16335" s="3" t="s">
        <v>15516</v>
      </c>
      <c r="C16335" s="3" t="str">
        <f>IFERROR(__xludf.DUMMYFUNCTION("GOOGLETRANSLATE(B16335,""id"",""en"")"),"['Please', 'launch', 'donk', 'Telkomsel', 'LEGH', 'really', 'play', 'smooth', 'Mulu', 'card', 'Telkom', 'LEGH', ' Play ',' Ping ',' Red ',' Screen ',' Skrng ',' White ',' Dikirain ',' Error ',' Try ',' Game ',' APK ',' Safe ',' Rating ' , 'Please', 'hold'"&amp;", 'System', 'fix', 'already', 'kyk', 'gini', 'tpi', 'belom', 'repair']")</f>
        <v>['Please', 'launch', 'donk', 'Telkomsel', 'LEGH', 'really', 'play', 'smooth', 'Mulu', 'card', 'Telkom', 'LEGH', ' Play ',' Ping ',' Red ',' Screen ',' Skrng ',' White ',' Dikirain ',' Error ',' Try ',' Game ',' APK ',' Safe ',' Rating ' , 'Please', 'hold', 'System', 'fix', 'already', 'kyk', 'gini', 'tpi', 'belom', 'repair']</v>
      </c>
      <c r="D16335" s="3">
        <v>1.0</v>
      </c>
    </row>
    <row r="16336" ht="15.75" customHeight="1">
      <c r="A16336" s="1">
        <v>17358.0</v>
      </c>
      <c r="B16336" s="3" t="s">
        <v>15517</v>
      </c>
      <c r="C16336" s="3" t="str">
        <f>IFERROR(__xludf.DUMMYFUNCTION("GOOGLETRANSLATE(B16336,""id"",""en"")"),"['satisfying', 'APLKSI', 'opened', 'White', 'Lyar', 'Dbatnya', 'CPE', 'Download', 'Delete', 'smpe', 'repeat', 'times',' ']")</f>
        <v>['satisfying', 'APLKSI', 'opened', 'White', 'Lyar', 'Dbatnya', 'CPE', 'Download', 'Delete', 'smpe', 'repeat', 'times',' ']</v>
      </c>
      <c r="D16336" s="3">
        <v>1.0</v>
      </c>
    </row>
    <row r="16337" ht="15.75" customHeight="1">
      <c r="A16337" s="1">
        <v>17359.0</v>
      </c>
      <c r="B16337" s="3" t="s">
        <v>15518</v>
      </c>
      <c r="C16337" s="3" t="str">
        <f>IFERROR(__xludf.DUMMYFUNCTION("GOOGLETRANSLATE(B16337,""id"",""en"")"),"['Disappointed', 'Performance', 'Network', 'authorized', 'Riau', 'VERYLELET', '']")</f>
        <v>['Disappointed', 'Performance', 'Network', 'authorized', 'Riau', 'VERYLELET', '']</v>
      </c>
      <c r="D16337" s="3">
        <v>2.0</v>
      </c>
    </row>
    <row r="16338" ht="15.75" customHeight="1">
      <c r="A16338" s="1">
        <v>17360.0</v>
      </c>
      <c r="B16338" s="3" t="s">
        <v>15519</v>
      </c>
      <c r="C16338" s="3" t="str">
        <f>IFERROR(__xludf.DUMMYFUNCTION("GOOGLETRANSLATE(B16338,""id"",""en"")"),"['application', 'bagu', 'package', 'cheap', '']")</f>
        <v>['application', 'bagu', 'package', 'cheap', '']</v>
      </c>
      <c r="D16338" s="3">
        <v>3.0</v>
      </c>
    </row>
    <row r="16339" ht="15.75" customHeight="1">
      <c r="A16339" s="1">
        <v>17361.0</v>
      </c>
      <c r="B16339" s="3" t="s">
        <v>15520</v>
      </c>
      <c r="C16339" s="3" t="str">
        <f>IFERROR(__xludf.DUMMYFUNCTION("GOOGLETRANSLATE(B16339,""id"",""en"")"),"['Error', 'enter']")</f>
        <v>['Error', 'enter']</v>
      </c>
      <c r="D16339" s="3">
        <v>1.0</v>
      </c>
    </row>
    <row r="16340" ht="15.75" customHeight="1">
      <c r="A16340" s="1">
        <v>17362.0</v>
      </c>
      <c r="B16340" s="3" t="s">
        <v>15521</v>
      </c>
      <c r="C16340" s="3" t="str">
        <f>IFERROR(__xludf.DUMMYFUNCTION("GOOGLETRANSLATE(B16340,""id"",""en"")"),"['oath', 'apk', 'nyeblin', 'buy', 'package', 'pulse', 'tidk', 'automatic', 'suck', 'pulse', 'pulse', 'run out', ' Wait a minute ',' Zoom ',' attempt ',' lime ',' attempt ',' College ',' SMA ',' Tlkomsel ', ""]")</f>
        <v>['oath', 'apk', 'nyeblin', 'buy', 'package', 'pulse', 'tidk', 'automatic', 'suck', 'pulse', 'pulse', 'run out', ' Wait a minute ',' Zoom ',' attempt ',' lime ',' attempt ',' College ',' SMA ',' Tlkomsel ', "]</v>
      </c>
      <c r="D16340" s="3">
        <v>1.0</v>
      </c>
    </row>
    <row r="16341" ht="15.75" customHeight="1">
      <c r="A16341" s="1">
        <v>17363.0</v>
      </c>
      <c r="B16341" s="3" t="s">
        <v>15522</v>
      </c>
      <c r="C16341" s="3" t="str">
        <f>IFERROR(__xludf.DUMMYFUNCTION("GOOGLETRANSLATE(B16341,""id"",""en"")"),"['', 'Have', 'Update', 'BGitu', 'Update', 'BSA', 'Opened', 'Orjes', 'Lahh', ""]")</f>
        <v>['', 'Have', 'Update', 'BGitu', 'Update', 'BSA', 'Opened', 'Orjes', 'Lahh', "]</v>
      </c>
      <c r="D16341" s="3">
        <v>1.0</v>
      </c>
    </row>
    <row r="16342" ht="15.75" customHeight="1">
      <c r="A16342" s="1">
        <v>17364.0</v>
      </c>
      <c r="B16342" s="3" t="s">
        <v>1257</v>
      </c>
      <c r="C16342" s="3" t="str">
        <f>IFERROR(__xludf.DUMMYFUNCTION("GOOGLETRANSLATE(B16342,""id"",""en"")"),"['Opened']")</f>
        <v>['Opened']</v>
      </c>
      <c r="D16342" s="3">
        <v>1.0</v>
      </c>
    </row>
    <row r="16343" ht="15.75" customHeight="1">
      <c r="A16343" s="1">
        <v>17365.0</v>
      </c>
      <c r="B16343" s="3" t="s">
        <v>15523</v>
      </c>
      <c r="C16343" s="3" t="str">
        <f>IFERROR(__xludf.DUMMYFUNCTION("GOOGLETRANSLATE(B16343,""id"",""en"")"),"['signal', 'severe', 'really', 'chat', 'error', 'disappointed', 'Telkomsel', 'service', 'down']")</f>
        <v>['signal', 'severe', 'really', 'chat', 'error', 'disappointed', 'Telkomsel', 'service', 'down']</v>
      </c>
      <c r="D16343" s="3">
        <v>1.0</v>
      </c>
    </row>
    <row r="16344" ht="15.75" customHeight="1">
      <c r="A16344" s="1">
        <v>17366.0</v>
      </c>
      <c r="B16344" s="3" t="s">
        <v>15524</v>
      </c>
      <c r="C16344" s="3" t="str">
        <f>IFERROR(__xludf.DUMMYFUNCTION("GOOGLETRANSLATE(B16344,""id"",""en"")"),"['right', 'smooth', 'smooth', 'open', 'apk', 'screen', 'white', 'enter', 'please', 'repaired', 'developer', ""]")</f>
        <v>['right', 'smooth', 'smooth', 'open', 'apk', 'screen', 'white', 'enter', 'please', 'repaired', 'developer', "]</v>
      </c>
      <c r="D16344" s="3">
        <v>1.0</v>
      </c>
    </row>
    <row r="16345" ht="15.75" customHeight="1">
      <c r="A16345" s="1">
        <v>17367.0</v>
      </c>
      <c r="B16345" s="3" t="s">
        <v>6636</v>
      </c>
      <c r="C16345" s="3" t="str">
        <f>IFERROR(__xludf.DUMMYFUNCTION("GOOGLETRANSLATE(B16345,""id"",""en"")"),"['Anyway', 'steady']")</f>
        <v>['Anyway', 'steady']</v>
      </c>
      <c r="D16345" s="3">
        <v>5.0</v>
      </c>
    </row>
    <row r="16346" ht="15.75" customHeight="1">
      <c r="A16346" s="1">
        <v>17369.0</v>
      </c>
      <c r="B16346" s="3" t="s">
        <v>15525</v>
      </c>
      <c r="C16346" s="3" t="str">
        <f>IFERROR(__xludf.DUMMYFUNCTION("GOOGLETRANSLATE(B16346,""id"",""en"")"),"['Disappointed', 'Very', 'subscription', 'opened', 'Unintal', 'Unintal', 'Tetep', 'Fix', 'Run', 'Oprator', 'Laen']")</f>
        <v>['Disappointed', 'Very', 'subscription', 'opened', 'Unintal', 'Unintal', 'Tetep', 'Fix', 'Run', 'Oprator', 'Laen']</v>
      </c>
      <c r="D16346" s="3">
        <v>1.0</v>
      </c>
    </row>
    <row r="16347" ht="15.75" customHeight="1">
      <c r="A16347" s="1">
        <v>17370.0</v>
      </c>
      <c r="B16347" s="3" t="s">
        <v>15526</v>
      </c>
      <c r="C16347" s="3" t="str">
        <f>IFERROR(__xludf.DUMMYFUNCTION("GOOGLETRANSLATE(B16347,""id"",""en"")"),"['Out', 'update', 'apk', 'no', 'open']")</f>
        <v>['Out', 'update', 'apk', 'no', 'open']</v>
      </c>
      <c r="D16347" s="3">
        <v>1.0</v>
      </c>
    </row>
    <row r="16348" ht="15.75" customHeight="1">
      <c r="A16348" s="1">
        <v>17371.0</v>
      </c>
      <c r="B16348" s="3" t="s">
        <v>15527</v>
      </c>
      <c r="C16348" s="3" t="str">
        <f>IFERROR(__xludf.DUMMYFUNCTION("GOOGLETRANSLATE(B16348,""id"",""en"")"),"['happy', 'Telkomsel', 'promo']")</f>
        <v>['happy', 'Telkomsel', 'promo']</v>
      </c>
      <c r="D16348" s="3">
        <v>5.0</v>
      </c>
    </row>
    <row r="16349" ht="15.75" customHeight="1">
      <c r="A16349" s="1">
        <v>17372.0</v>
      </c>
      <c r="B16349" s="3" t="s">
        <v>15528</v>
      </c>
      <c r="C16349" s="3" t="str">
        <f>IFERROR(__xludf.DUMMYFUNCTION("GOOGLETRANSLATE(B16349,""id"",""en"")"),"['Please', 'signal', 'fix', 'price', 'expensive', 'quality', 'low']")</f>
        <v>['Please', 'signal', 'fix', 'price', 'expensive', 'quality', 'low']</v>
      </c>
      <c r="D16349" s="3">
        <v>1.0</v>
      </c>
    </row>
    <row r="16350" ht="15.75" customHeight="1">
      <c r="A16350" s="1">
        <v>17373.0</v>
      </c>
      <c r="B16350" s="3" t="s">
        <v>15529</v>
      </c>
      <c r="C16350" s="3" t="str">
        <f>IFERROR(__xludf.DUMMYFUNCTION("GOOGLETRANSLATE(B16350,""id"",""en"")"),"['Appelication', 'Good']")</f>
        <v>['Appelication', 'Good']</v>
      </c>
      <c r="D16350" s="3">
        <v>5.0</v>
      </c>
    </row>
    <row r="16351" ht="15.75" customHeight="1">
      <c r="A16351" s="1">
        <v>17374.0</v>
      </c>
      <c r="B16351" s="3" t="s">
        <v>15530</v>
      </c>
      <c r="C16351" s="3" t="str">
        <f>IFERROR(__xludf.DUMMYFUNCTION("GOOGLETRANSLATE(B16351,""id"",""en"")"),"['network', 'difficult', 'access', 'internet', 'play', 'game', 'online', '']")</f>
        <v>['network', 'difficult', 'access', 'internet', 'play', 'game', 'online', '']</v>
      </c>
      <c r="D16351" s="3">
        <v>1.0</v>
      </c>
    </row>
    <row r="16352" ht="15.75" customHeight="1">
      <c r="A16352" s="1">
        <v>17375.0</v>
      </c>
      <c r="B16352" s="3" t="s">
        <v>15531</v>
      </c>
      <c r="C16352" s="3" t="str">
        <f>IFERROR(__xludf.DUMMYFUNCTION("GOOGLETRANSLATE(B16352,""id"",""en"")"),"['giving', 'promo', 'really', 'really', 'right', 'given', 'sms',' combo ',' sakti ',' rb ',' right ',' check ',' Gaada ',' Combo ',' Sakti ',' Unlimited ',' Price ',' RB ',' Changed ',' Unlimited ',' Price ',' Approaching ',' RB ',' Worth ',' bought ' , '"&amp;"Please', 'Telkomsel', 'provides', 'promo', 'users']")</f>
        <v>['giving', 'promo', 'really', 'really', 'right', 'given', 'sms',' combo ',' sakti ',' rb ',' right ',' check ',' Gaada ',' Combo ',' Sakti ',' Unlimited ',' Price ',' RB ',' Changed ',' Unlimited ',' Price ',' Approaching ',' RB ',' Worth ',' bought ' , 'Please', 'Telkomsel', 'provides', 'promo', 'users']</v>
      </c>
      <c r="D16352" s="3">
        <v>1.0</v>
      </c>
    </row>
    <row r="16353" ht="15.75" customHeight="1">
      <c r="A16353" s="1">
        <v>17376.0</v>
      </c>
      <c r="B16353" s="3" t="s">
        <v>15532</v>
      </c>
      <c r="C16353" s="3" t="str">
        <f>IFERROR(__xludf.DUMMYFUNCTION("GOOGLETRANSLATE(B16353,""id"",""en"")"),"['good', 'dam', 'easy', 'use', 'feature', 'log', 'fast', '']")</f>
        <v>['good', 'dam', 'easy', 'use', 'feature', 'log', 'fast', '']</v>
      </c>
      <c r="D16353" s="3">
        <v>5.0</v>
      </c>
    </row>
    <row r="16354" ht="15.75" customHeight="1">
      <c r="A16354" s="1">
        <v>17377.0</v>
      </c>
      <c r="B16354" s="3" t="s">
        <v>15533</v>
      </c>
      <c r="C16354" s="3" t="str">
        <f>IFERROR(__xludf.DUMMYFUNCTION("GOOGLETRANSLATE(B16354,""id"",""en"")"),"['Yesterday', 'application', 'mytelkomsel', 'cmn', 'white', 'doang', 'look', 'pdhal', 'kyk', 'gini', 'smpe', 'already', ' Uninstall ',' then ',' Install ',' Tetep ',' White ',' Doang ',' How ',' Solution ',' Thank you ']")</f>
        <v>['Yesterday', 'application', 'mytelkomsel', 'cmn', 'white', 'doang', 'look', 'pdhal', 'kyk', 'gini', 'smpe', 'already', ' Uninstall ',' then ',' Install ',' Tetep ',' White ',' Doang ',' How ',' Solution ',' Thank you ']</v>
      </c>
      <c r="D16354" s="3">
        <v>2.0</v>
      </c>
    </row>
    <row r="16355" ht="15.75" customHeight="1">
      <c r="A16355" s="1">
        <v>17378.0</v>
      </c>
      <c r="B16355" s="3" t="s">
        <v>15534</v>
      </c>
      <c r="C16355" s="3" t="str">
        <f>IFERROR(__xludf.DUMMYFUNCTION("GOOGLETRANSLATE(B16355,""id"",""en"")"),"['pules', 'reduced', 'zero', 'rupiah', 'use', 'sms', 'call', 'quota', 'internet', 'strange', 'loss', 'really']")</f>
        <v>['pules', 'reduced', 'zero', 'rupiah', 'use', 'sms', 'call', 'quota', 'internet', 'strange', 'loss', 'really']</v>
      </c>
      <c r="D16355" s="3">
        <v>3.0</v>
      </c>
    </row>
    <row r="16356" ht="15.75" customHeight="1">
      <c r="A16356" s="1">
        <v>17379.0</v>
      </c>
      <c r="B16356" s="3" t="s">
        <v>13912</v>
      </c>
      <c r="C16356" s="3" t="str">
        <f>IFERROR(__xludf.DUMMYFUNCTION("GOOGLETRANSLATE(B16356,""id"",""en"")"),"['application', 'open', 'Samsung', '']")</f>
        <v>['application', 'open', 'Samsung', '']</v>
      </c>
      <c r="D16356" s="3">
        <v>1.0</v>
      </c>
    </row>
    <row r="16357" ht="15.75" customHeight="1">
      <c r="A16357" s="1">
        <v>17380.0</v>
      </c>
      <c r="B16357" s="3" t="s">
        <v>4008</v>
      </c>
      <c r="C16357" s="3" t="str">
        <f>IFERROR(__xludf.DUMMYFUNCTION("GOOGLETRANSLATE(B16357,""id"",""en"")"),"['application', 'difficult', 'open', '']")</f>
        <v>['application', 'difficult', 'open', '']</v>
      </c>
      <c r="D16357" s="3">
        <v>3.0</v>
      </c>
    </row>
    <row r="16358" ht="15.75" customHeight="1">
      <c r="A16358" s="1">
        <v>17381.0</v>
      </c>
      <c r="B16358" s="3" t="s">
        <v>15535</v>
      </c>
      <c r="C16358" s="3" t="str">
        <f>IFERROR(__xludf.DUMMYFUNCTION("GOOGLETRANSLATE(B16358,""id"",""en"")"),"['Application', 'Telkomsel', 'access',' open ',' Display ',' Blank ',' White ',' Disappointed ',' Please ',' Repaired ',' As soon as', 'variant', ' nominal ',' quota ',' internet ',' kurah ',' circles', 'enjoy it', 'price', 'quota', 'monthly', 'cheap', 't"&amp;"housand', 'circles',' please ' , 'Response', 'Implement', 'Hopefully', 'Application', 'Enjoyed', 'BWH', 'Provider', 'Priority', 'Indonesia', 'Thanks', ""]")</f>
        <v>['Application', 'Telkomsel', 'access',' open ',' Display ',' Blank ',' White ',' Disappointed ',' Please ',' Repaired ',' As soon as', 'variant', ' nominal ',' quota ',' internet ',' kurah ',' circles', 'enjoy it', 'price', 'quota', 'monthly', 'cheap', 'thousand', 'circles',' please ' , 'Response', 'Implement', 'Hopefully', 'Application', 'Enjoyed', 'BWH', 'Provider', 'Priority', 'Indonesia', 'Thanks', "]</v>
      </c>
      <c r="D16358" s="3">
        <v>1.0</v>
      </c>
    </row>
    <row r="16359" ht="15.75" customHeight="1">
      <c r="A16359" s="1">
        <v>17382.0</v>
      </c>
      <c r="B16359" s="3" t="s">
        <v>9818</v>
      </c>
      <c r="C16359" s="3" t="str">
        <f>IFERROR(__xludf.DUMMYFUNCTION("GOOGLETRANSLATE(B16359,""id"",""en"")"),"['Steady', 'help', ""]")</f>
        <v>['Steady', 'help', "]</v>
      </c>
      <c r="D16359" s="3">
        <v>5.0</v>
      </c>
    </row>
    <row r="16360" ht="15.75" customHeight="1">
      <c r="A16360" s="1">
        <v>17383.0</v>
      </c>
      <c r="B16360" s="3" t="s">
        <v>15536</v>
      </c>
      <c r="C16360" s="3" t="str">
        <f>IFERROR(__xludf.DUMMYFUNCTION("GOOGLETRANSLATE(B16360,""id"",""en"")"),"['Love', 'Bintang', 'Karna', 'Slow']")</f>
        <v>['Love', 'Bintang', 'Karna', 'Slow']</v>
      </c>
      <c r="D16360" s="3">
        <v>4.0</v>
      </c>
    </row>
    <row r="16361" ht="15.75" customHeight="1">
      <c r="A16361" s="1">
        <v>17384.0</v>
      </c>
      <c r="B16361" s="3" t="s">
        <v>15537</v>
      </c>
      <c r="C16361" s="3" t="str">
        <f>IFERROR(__xludf.DUMMYFUNCTION("GOOGLETRANSLATE(B16361,""id"",""en"")"),"['Pay', 'quota', 'data', 'expensive', 'signal', 'tetep', 'slow', 'really', 'repair']")</f>
        <v>['Pay', 'quota', 'data', 'expensive', 'signal', 'tetep', 'slow', 'really', 'repair']</v>
      </c>
      <c r="D16361" s="3">
        <v>1.0</v>
      </c>
    </row>
    <row r="16362" ht="15.75" customHeight="1">
      <c r="A16362" s="1">
        <v>17386.0</v>
      </c>
      <c r="B16362" s="3" t="s">
        <v>15538</v>
      </c>
      <c r="C16362" s="3" t="str">
        <f>IFERROR(__xludf.DUMMYFUNCTION("GOOGLETRANSLATE(B16362,""id"",""en"")"),"['my apk', 'kekak', 'pdhl', 'network', 'quota', 'gmna', 'yaa']")</f>
        <v>['my apk', 'kekak', 'pdhl', 'network', 'quota', 'gmna', 'yaa']</v>
      </c>
      <c r="D16362" s="3">
        <v>3.0</v>
      </c>
    </row>
    <row r="16363" ht="15.75" customHeight="1">
      <c r="A16363" s="1">
        <v>17387.0</v>
      </c>
      <c r="B16363" s="3" t="s">
        <v>15539</v>
      </c>
      <c r="C16363" s="3" t="str">
        <f>IFERROR(__xludf.DUMMYFUNCTION("GOOGLETRANSLATE(B16363,""id"",""en"")"),"['Kasi', 'bonus', 'package', 'internet', 'main', 'MOTINIIN', 'Customer', 'loyal', 'Telkomsel']")</f>
        <v>['Kasi', 'bonus', 'package', 'internet', 'main', 'MOTINIIN', 'Customer', 'loyal', 'Telkomsel']</v>
      </c>
      <c r="D16363" s="3">
        <v>4.0</v>
      </c>
    </row>
    <row r="16364" ht="15.75" customHeight="1">
      <c r="A16364" s="1">
        <v>17388.0</v>
      </c>
      <c r="B16364" s="3" t="s">
        <v>15540</v>
      </c>
      <c r="C16364" s="3" t="str">
        <f>IFERROR(__xludf.DUMMYFUNCTION("GOOGLETRANSLATE(B16364,""id"",""en"")"),"['repairs', 'network', 'Surabaya', 'North', 'slow', 'price', 'pulses', 'expensive', 'application', 'pulses', 'bikes', ""]")</f>
        <v>['repairs', 'network', 'Surabaya', 'North', 'slow', 'price', 'pulses', 'expensive', 'application', 'pulses', 'bikes', "]</v>
      </c>
      <c r="D16364" s="3">
        <v>2.0</v>
      </c>
    </row>
    <row r="16365" ht="15.75" customHeight="1">
      <c r="A16365" s="1">
        <v>17389.0</v>
      </c>
      <c r="B16365" s="3" t="s">
        <v>15541</v>
      </c>
      <c r="C16365" s="3" t="str">
        <f>IFERROR(__xludf.DUMMYFUNCTION("GOOGLETRANSLATE(B16365,""id"",""en"")"),"['Application', 'Telkomsel', 'Season', 'Very', 'User', 'Sad', 'Disappointed']")</f>
        <v>['Application', 'Telkomsel', 'Season', 'Very', 'User', 'Sad', 'Disappointed']</v>
      </c>
      <c r="D16365" s="3">
        <v>3.0</v>
      </c>
    </row>
    <row r="16366" ht="15.75" customHeight="1">
      <c r="A16366" s="1">
        <v>17391.0</v>
      </c>
      <c r="B16366" s="3" t="s">
        <v>15542</v>
      </c>
      <c r="C16366" s="3" t="str">
        <f>IFERROR(__xludf.DUMMYFUNCTION("GOOGLETRANSLATE(B16366,""id"",""en"")"),"['The application', 'Mantul', 'really']")</f>
        <v>['The application', 'Mantul', 'really']</v>
      </c>
      <c r="D16366" s="3">
        <v>5.0</v>
      </c>
    </row>
    <row r="16367" ht="15.75" customHeight="1">
      <c r="A16367" s="1">
        <v>17392.0</v>
      </c>
      <c r="B16367" s="3" t="s">
        <v>15543</v>
      </c>
      <c r="C16367" s="3" t="str">
        <f>IFERROR(__xludf.DUMMYFUNCTION("GOOGLETRANSLATE(B16367,""id"",""en"")"),"['Update', 'TPI', 'Open']")</f>
        <v>['Update', 'TPI', 'Open']</v>
      </c>
      <c r="D16367" s="3">
        <v>2.0</v>
      </c>
    </row>
    <row r="16368" ht="15.75" customHeight="1">
      <c r="A16368" s="1">
        <v>17393.0</v>
      </c>
      <c r="B16368" s="3" t="s">
        <v>15544</v>
      </c>
      <c r="C16368" s="3" t="str">
        <f>IFERROR(__xludf.DUMMYFUNCTION("GOOGLETRANSLATE(B16368,""id"",""en"")"),"['Signal', 'Sea', 'Please', 'Increase', ""]")</f>
        <v>['Signal', 'Sea', 'Please', 'Increase', "]</v>
      </c>
      <c r="D16368" s="3">
        <v>3.0</v>
      </c>
    </row>
    <row r="16369" ht="15.75" customHeight="1">
      <c r="A16369" s="1">
        <v>17394.0</v>
      </c>
      <c r="B16369" s="3" t="s">
        <v>2127</v>
      </c>
      <c r="C16369" s="3" t="str">
        <f>IFERROR(__xludf.DUMMYFUNCTION("GOOGLETRANSLATE(B16369,""id"",""en"")"),"['easy']")</f>
        <v>['easy']</v>
      </c>
      <c r="D16369" s="3">
        <v>5.0</v>
      </c>
    </row>
    <row r="16370" ht="15.75" customHeight="1">
      <c r="A16370" s="1">
        <v>17395.0</v>
      </c>
      <c r="B16370" s="3" t="s">
        <v>15545</v>
      </c>
      <c r="C16370" s="3" t="str">
        <f>IFERROR(__xludf.DUMMYFUNCTION("GOOGLETRANSLATE(B16370,""id"",""en"")"),"['package', 'cheap', 'price', 'affordable', 'likes',' just ',' signal ',' likes', 'luplep', 'Telkomsel', 'good', 'area', ' ']")</f>
        <v>['package', 'cheap', 'price', 'affordable', 'likes',' just ',' signal ',' likes', 'luplep', 'Telkomsel', 'good', 'area', ' ']</v>
      </c>
      <c r="D16370" s="3">
        <v>4.0</v>
      </c>
    </row>
    <row r="16371" ht="15.75" customHeight="1">
      <c r="A16371" s="1">
        <v>17396.0</v>
      </c>
      <c r="B16371" s="3" t="s">
        <v>15546</v>
      </c>
      <c r="C16371" s="3" t="str">
        <f>IFERROR(__xludf.DUMMYFUNCTION("GOOGLETRANSLATE(B16371,""id"",""en"")"),"['Not bad', 'stable', 'the application', 'functions', 'maximum', 'buy', 'package', 'grapari']")</f>
        <v>['Not bad', 'stable', 'the application', 'functions', 'maximum', 'buy', 'package', 'grapari']</v>
      </c>
      <c r="D16371" s="3">
        <v>3.0</v>
      </c>
    </row>
    <row r="16372" ht="15.75" customHeight="1">
      <c r="A16372" s="1">
        <v>17397.0</v>
      </c>
      <c r="B16372" s="3" t="s">
        <v>15547</v>
      </c>
      <c r="C16372" s="3" t="str">
        <f>IFERROR(__xludf.DUMMYFUNCTION("GOOGLETRANSLATE(B16372,""id"",""en"")"),"['Can't', 'Open', 'Application']")</f>
        <v>['Can't', 'Open', 'Application']</v>
      </c>
      <c r="D16372" s="3">
        <v>5.0</v>
      </c>
    </row>
    <row r="16373" ht="15.75" customHeight="1">
      <c r="A16373" s="1">
        <v>17398.0</v>
      </c>
      <c r="B16373" s="3" t="s">
        <v>5285</v>
      </c>
      <c r="C16373" s="3" t="str">
        <f>IFERROR(__xludf.DUMMYFUNCTION("GOOGLETRANSLATE(B16373,""id"",""en"")"),"['inexpensive']")</f>
        <v>['inexpensive']</v>
      </c>
      <c r="D16373" s="3">
        <v>3.0</v>
      </c>
    </row>
    <row r="16374" ht="15.75" customHeight="1">
      <c r="A16374" s="1">
        <v>17399.0</v>
      </c>
      <c r="B16374" s="3" t="s">
        <v>15548</v>
      </c>
      <c r="C16374" s="3" t="str">
        <f>IFERROR(__xludf.DUMMYFUNCTION("GOOGLETRANSLATE(B16374,""id"",""en"")"),"['steady', 'easy', 'hopefully', 'lottery', 'car', 'want', 'car', 'TPI', 'power', 'buy', ""]")</f>
        <v>['steady', 'easy', 'hopefully', 'lottery', 'car', 'want', 'car', 'TPI', 'power', 'buy', "]</v>
      </c>
      <c r="D16374" s="3">
        <v>5.0</v>
      </c>
    </row>
    <row r="16375" ht="15.75" customHeight="1">
      <c r="A16375" s="1">
        <v>17400.0</v>
      </c>
      <c r="B16375" s="3" t="s">
        <v>15549</v>
      </c>
      <c r="C16375" s="3" t="str">
        <f>IFERROR(__xludf.DUMMYFUNCTION("GOOGLETRANSLATE(B16375,""id"",""en"")"),"['Wonder', 'buy', 'package', 'written', 'situ', 'free', 'YouTube', 'etc.', 'strange', 'quota', 'main', 'run out', ' Quota ',' YouTube ',' Tetep ',' Seeeeee ']")</f>
        <v>['Wonder', 'buy', 'package', 'written', 'situ', 'free', 'YouTube', 'etc.', 'strange', 'quota', 'main', 'run out', ' Quota ',' YouTube ',' Tetep ',' Seeeeee ']</v>
      </c>
      <c r="D16375" s="3">
        <v>1.0</v>
      </c>
    </row>
    <row r="16376" ht="15.75" customHeight="1">
      <c r="A16376" s="1">
        <v>17401.0</v>
      </c>
      <c r="B16376" s="3" t="s">
        <v>15550</v>
      </c>
      <c r="C16376" s="3" t="str">
        <f>IFERROR(__xludf.DUMMYFUNCTION("GOOGLETRANSLATE(B16376,""id"",""en"")"),"['Help', 'Internet', 'Call']")</f>
        <v>['Help', 'Internet', 'Call']</v>
      </c>
      <c r="D16376" s="3">
        <v>5.0</v>
      </c>
    </row>
    <row r="16377" ht="15.75" customHeight="1">
      <c r="A16377" s="1">
        <v>17402.0</v>
      </c>
      <c r="B16377" s="3" t="s">
        <v>15551</v>
      </c>
      <c r="C16377" s="3" t="str">
        <f>IFERROR(__xludf.DUMMYFUNCTION("GOOGLETRANSLATE(B16377,""id"",""en"")"),"['Kontoolllll', 'Telkomsel', 'card', 'kontollllll', 'buy', 'expensive', 'signal', 'ngeeleg', 'kontolll']")</f>
        <v>['Kontoolllll', 'Telkomsel', 'card', 'kontollllll', 'buy', 'expensive', 'signal', 'ngeeleg', 'kontolll']</v>
      </c>
      <c r="D16377" s="3">
        <v>1.0</v>
      </c>
    </row>
    <row r="16378" ht="15.75" customHeight="1">
      <c r="A16378" s="1">
        <v>17403.0</v>
      </c>
      <c r="B16378" s="3" t="s">
        <v>15552</v>
      </c>
      <c r="C16378" s="3" t="str">
        <f>IFERROR(__xludf.DUMMYFUNCTION("GOOGLETRANSLATE(B16378,""id"",""en"")"),"['credit', 'ilang', 'Mulu', 'naro', 'pulse', 'cut']")</f>
        <v>['credit', 'ilang', 'Mulu', 'naro', 'pulse', 'cut']</v>
      </c>
      <c r="D16378" s="3">
        <v>1.0</v>
      </c>
    </row>
    <row r="16379" ht="15.75" customHeight="1">
      <c r="A16379" s="1">
        <v>17404.0</v>
      </c>
      <c r="B16379" s="3" t="s">
        <v>2127</v>
      </c>
      <c r="C16379" s="3" t="str">
        <f>IFERROR(__xludf.DUMMYFUNCTION("GOOGLETRANSLATE(B16379,""id"",""en"")"),"['easy']")</f>
        <v>['easy']</v>
      </c>
      <c r="D16379" s="3">
        <v>5.0</v>
      </c>
    </row>
    <row r="16380" ht="15.75" customHeight="1">
      <c r="A16380" s="1">
        <v>17405.0</v>
      </c>
      <c r="B16380" s="3" t="s">
        <v>15553</v>
      </c>
      <c r="C16380" s="3" t="str">
        <f>IFERROR(__xludf.DUMMYFUNCTION("GOOGLETRANSLATE(B16380,""id"",""en"")"),"['', 'Try', 'Pairs', 'Package', 'Cheerful', '']")</f>
        <v>['', 'Try', 'Pairs', 'Package', 'Cheerful', '']</v>
      </c>
      <c r="D16380" s="3">
        <v>1.0</v>
      </c>
    </row>
    <row r="16381" ht="15.75" customHeight="1">
      <c r="A16381" s="1">
        <v>17406.0</v>
      </c>
      <c r="B16381" s="3" t="s">
        <v>15554</v>
      </c>
      <c r="C16381" s="3" t="str">
        <f>IFERROR(__xludf.DUMMYFUNCTION("GOOGLETRANSLATE(B16381,""id"",""en"")"),"['Love', 'promo', 'cheap']")</f>
        <v>['Love', 'promo', 'cheap']</v>
      </c>
      <c r="D16381" s="3">
        <v>5.0</v>
      </c>
    </row>
    <row r="16382" ht="15.75" customHeight="1">
      <c r="A16382" s="1">
        <v>17407.0</v>
      </c>
      <c r="B16382" s="3" t="s">
        <v>15555</v>
      </c>
      <c r="C16382" s="3" t="str">
        <f>IFERROR(__xludf.DUMMYFUNCTION("GOOGLETRANSLATE(B16382,""id"",""en"")"),"['Cool', 'Easy', 'Practical']")</f>
        <v>['Cool', 'Easy', 'Practical']</v>
      </c>
      <c r="D16382" s="3">
        <v>5.0</v>
      </c>
    </row>
    <row r="16383" ht="15.75" customHeight="1">
      <c r="A16383" s="1">
        <v>17408.0</v>
      </c>
      <c r="B16383" s="3" t="s">
        <v>15556</v>
      </c>
      <c r="C16383" s="3" t="str">
        <f>IFERROR(__xludf.DUMMYFUNCTION("GOOGLETRANSLATE(B16383,""id"",""en"")"),"['App', 'Ter', 'Install', 'TPI', 'Ngeblang', 'likes', 'SDNG', 'Disorders', 'Please', 'Help', 'Thank you']")</f>
        <v>['App', 'Ter', 'Install', 'TPI', 'Ngeblang', 'likes', 'SDNG', 'Disorders', 'Please', 'Help', 'Thank you']</v>
      </c>
      <c r="D16383" s="3">
        <v>5.0</v>
      </c>
    </row>
    <row r="16384" ht="15.75" customHeight="1">
      <c r="A16384" s="1">
        <v>17409.0</v>
      </c>
      <c r="B16384" s="3" t="s">
        <v>15557</v>
      </c>
      <c r="C16384" s="3" t="str">
        <f>IFERROR(__xludf.DUMMYFUNCTION("GOOGLETRANSLATE(B16384,""id"",""en"")"),"['apk', 'ugly', 'network', 'lag', 'price', 'expensive', 'diking', '']")</f>
        <v>['apk', 'ugly', 'network', 'lag', 'price', 'expensive', 'diking', '']</v>
      </c>
      <c r="D16384" s="3">
        <v>1.0</v>
      </c>
    </row>
    <row r="16385" ht="15.75" customHeight="1">
      <c r="A16385" s="1">
        <v>17410.0</v>
      </c>
      <c r="B16385" s="3" t="s">
        <v>15558</v>
      </c>
      <c r="C16385" s="3" t="str">
        <f>IFERROR(__xludf.DUMMYFUNCTION("GOOGLETRANSLATE(B16385,""id"",""en"")"),"['samgat', 'puan']")</f>
        <v>['samgat', 'puan']</v>
      </c>
      <c r="D16385" s="3">
        <v>5.0</v>
      </c>
    </row>
    <row r="16386" ht="15.75" customHeight="1">
      <c r="A16386" s="1">
        <v>17411.0</v>
      </c>
      <c r="B16386" s="3" t="s">
        <v>15559</v>
      </c>
      <c r="C16386" s="3" t="str">
        <f>IFERROR(__xludf.DUMMYFUNCTION("GOOGLETRANSLATE(B16386,""id"",""en"")"),"['It's easy', 'practical']")</f>
        <v>['It's easy', 'practical']</v>
      </c>
      <c r="D16386" s="3">
        <v>5.0</v>
      </c>
    </row>
    <row r="16387" ht="15.75" customHeight="1">
      <c r="A16387" s="1">
        <v>17412.0</v>
      </c>
      <c r="B16387" s="3" t="s">
        <v>15560</v>
      </c>
      <c r="C16387" s="3" t="str">
        <f>IFERROR(__xludf.DUMMYFUNCTION("GOOGLETRANSLATE(B16387,""id"",""en"")"),"['', 'date', 'skrg', 'the application']")</f>
        <v>['', 'date', 'skrg', 'the application']</v>
      </c>
      <c r="D16387" s="3">
        <v>2.0</v>
      </c>
    </row>
    <row r="16388" ht="15.75" customHeight="1">
      <c r="A16388" s="1">
        <v>17413.0</v>
      </c>
      <c r="B16388" s="3" t="s">
        <v>15561</v>
      </c>
      <c r="C16388" s="3" t="str">
        <f>IFERROR(__xludf.DUMMYFUNCTION("GOOGLETRANSLATE(B16388,""id"",""en"")"),"['signal', 'good', 'spirit', 'hope', 'Telkomsel', 'fast', 'go bankrupt', 'amin', 'card']")</f>
        <v>['signal', 'good', 'spirit', 'hope', 'Telkomsel', 'fast', 'go bankrupt', 'amin', 'card']</v>
      </c>
      <c r="D16388" s="3">
        <v>1.0</v>
      </c>
    </row>
    <row r="16389" ht="15.75" customHeight="1">
      <c r="A16389" s="1">
        <v>17414.0</v>
      </c>
      <c r="B16389" s="3" t="s">
        <v>15562</v>
      </c>
      <c r="C16389" s="3" t="str">
        <f>IFERROR(__xludf.DUMMYFUNCTION("GOOGLETRANSLATE(B16389,""id"",""en"")"),"['Network', 'move', '']")</f>
        <v>['Network', 'move', '']</v>
      </c>
      <c r="D16389" s="3">
        <v>2.0</v>
      </c>
    </row>
    <row r="16390" ht="15.75" customHeight="1">
      <c r="A16390" s="1">
        <v>17415.0</v>
      </c>
      <c r="B16390" s="3" t="s">
        <v>15563</v>
      </c>
      <c r="C16390" s="3" t="str">
        <f>IFERROR(__xludf.DUMMYFUNCTION("GOOGLETRANSLATE(B16390,""id"",""en"")"),"['Trying', 'Hopefully', 'Committing', 'Live', 'troubles', ""]")</f>
        <v>['Trying', 'Hopefully', 'Committing', 'Live', 'troubles', "]</v>
      </c>
      <c r="D16390" s="3">
        <v>4.0</v>
      </c>
    </row>
    <row r="16391" ht="15.75" customHeight="1">
      <c r="A16391" s="1">
        <v>17416.0</v>
      </c>
      <c r="B16391" s="3" t="s">
        <v>15564</v>
      </c>
      <c r="C16391" s="3" t="str">
        <f>IFERROR(__xludf.DUMMYFUNCTION("GOOGLETRANSLATE(B16391,""id"",""en"")"),"['Easy', 'Prktis']")</f>
        <v>['Easy', 'Prktis']</v>
      </c>
      <c r="D16391" s="3">
        <v>4.0</v>
      </c>
    </row>
    <row r="16392" ht="15.75" customHeight="1">
      <c r="A16392" s="1">
        <v>17417.0</v>
      </c>
      <c r="B16392" s="3" t="s">
        <v>15565</v>
      </c>
      <c r="C16392" s="3" t="str">
        <f>IFERROR(__xludf.DUMMYFUNCTION("GOOGLETRANSLATE(B16392,""id"",""en"")"),"['The network', 'good', 'bonus', 'quota', 'free', 'subscribe', 'Disney', 'hotstar', 'application', 'easy', 'understood']")</f>
        <v>['The network', 'good', 'bonus', 'quota', 'free', 'subscribe', 'Disney', 'hotstar', 'application', 'easy', 'understood']</v>
      </c>
      <c r="D16392" s="3">
        <v>5.0</v>
      </c>
    </row>
    <row r="16393" ht="15.75" customHeight="1">
      <c r="A16393" s="1">
        <v>17418.0</v>
      </c>
      <c r="B16393" s="3" t="s">
        <v>15566</v>
      </c>
      <c r="C16393" s="3" t="str">
        <f>IFERROR(__xludf.DUMMYFUNCTION("GOOGLETRANSLATE(B16393,""id"",""en"")"),"['satisfying', 'service', 'Telkomsel']")</f>
        <v>['satisfying', 'service', 'Telkomsel']</v>
      </c>
      <c r="D16393" s="3">
        <v>5.0</v>
      </c>
    </row>
    <row r="16394" ht="15.75" customHeight="1">
      <c r="A16394" s="1">
        <v>17419.0</v>
      </c>
      <c r="B16394" s="3" t="s">
        <v>15567</v>
      </c>
      <c r="C16394" s="3" t="str">
        <f>IFERROR(__xludf.DUMMYFUNCTION("GOOGLETRANSLATE(B16394,""id"",""en"")"),"['Please', 'Package', 'JGAN', 'Dijieved', 'Entar', 'Already', 'ilangin', 'Entar', 'Add to', 'Star', ""]")</f>
        <v>['Please', 'Package', 'JGAN', 'Dijieved', 'Entar', 'Already', 'ilangin', 'Entar', 'Add to', 'Star', "]</v>
      </c>
      <c r="D16394" s="3">
        <v>2.0</v>
      </c>
    </row>
    <row r="16395" ht="15.75" customHeight="1">
      <c r="A16395" s="1">
        <v>17420.0</v>
      </c>
      <c r="B16395" s="3" t="s">
        <v>15568</v>
      </c>
      <c r="C16395" s="3" t="str">
        <f>IFERROR(__xludf.DUMMYFUNCTION("GOOGLETRANSLATE(B16395,""id"",""en"")"),"['KNPA', 'Mhal', 'Hrga', 'Pketan', 'Kmren', 'Msih', 'Sekrang', 'Sudh', 'Really', 'Tekkin', 'Semkin', ""]")</f>
        <v>['KNPA', 'Mhal', 'Hrga', 'Pketan', 'Kmren', 'Msih', 'Sekrang', 'Sudh', 'Really', 'Tekkin', 'Semkin', "]</v>
      </c>
      <c r="D16395" s="3">
        <v>2.0</v>
      </c>
    </row>
    <row r="16396" ht="15.75" customHeight="1">
      <c r="A16396" s="1">
        <v>17421.0</v>
      </c>
      <c r="B16396" s="3" t="s">
        <v>15569</v>
      </c>
      <c r="C16396" s="3" t="str">
        <f>IFERROR(__xludf.DUMMYFUNCTION("GOOGLETRANSLATE(B16396,""id"",""en"")"),"['Telkomsel', 'normal', 'love', 'star', 'special', 'disappointing', 'user', 'open', 'telkomsel', 'skrg', 'open', 'lock', ' The key ',' expensive ',' for a while ',' Error ',' Telkomsel ', ""]")</f>
        <v>['Telkomsel', 'normal', 'love', 'star', 'special', 'disappointing', 'user', 'open', 'telkomsel', 'skrg', 'open', 'lock', ' The key ',' expensive ',' for a while ',' Error ',' Telkomsel ', "]</v>
      </c>
      <c r="D16396" s="3">
        <v>1.0</v>
      </c>
    </row>
    <row r="16397" ht="15.75" customHeight="1">
      <c r="A16397" s="1">
        <v>17422.0</v>
      </c>
      <c r="B16397" s="3" t="s">
        <v>15570</v>
      </c>
      <c r="C16397" s="3" t="str">
        <f>IFERROR(__xludf.DUMMYFUNCTION("GOOGLETRANSLATE(B16397,""id"",""en"")"),"['Mobile', 'Download', 'Telkomsel', '']")</f>
        <v>['Mobile', 'Download', 'Telkomsel', '']</v>
      </c>
      <c r="D16397" s="3">
        <v>5.0</v>
      </c>
    </row>
    <row r="16398" ht="15.75" customHeight="1">
      <c r="A16398" s="1">
        <v>17423.0</v>
      </c>
      <c r="B16398" s="3" t="s">
        <v>15571</v>
      </c>
      <c r="C16398" s="3" t="str">
        <f>IFERROR(__xludf.DUMMYFUNCTION("GOOGLETRANSLATE(B16398,""id"",""en"")"),"['Lazy', 'Pakek', 'Telkomsel']")</f>
        <v>['Lazy', 'Pakek', 'Telkomsel']</v>
      </c>
      <c r="D16398" s="3">
        <v>1.0</v>
      </c>
    </row>
    <row r="16399" ht="15.75" customHeight="1">
      <c r="A16399" s="1">
        <v>17424.0</v>
      </c>
      <c r="B16399" s="3" t="s">
        <v>15572</v>
      </c>
      <c r="C16399" s="3" t="str">
        <f>IFERROR(__xludf.DUMMYFUNCTION("GOOGLETRANSLATE(B16399,""id"",""en"")"),"['Open', 'application', 'knp', '']")</f>
        <v>['Open', 'application', 'knp', '']</v>
      </c>
      <c r="D16399" s="3">
        <v>3.0</v>
      </c>
    </row>
    <row r="16400" ht="15.75" customHeight="1">
      <c r="A16400" s="1">
        <v>17425.0</v>
      </c>
      <c r="B16400" s="3" t="s">
        <v>15573</v>
      </c>
      <c r="C16400" s="3" t="str">
        <f>IFERROR(__xludf.DUMMYFUNCTION("GOOGLETRANSLATE(B16400,""id"",""en"")"),"['Increases', 'Signal', 'Telkomsel']")</f>
        <v>['Increases', 'Signal', 'Telkomsel']</v>
      </c>
      <c r="D16400" s="3">
        <v>5.0</v>
      </c>
    </row>
    <row r="16401" ht="15.75" customHeight="1">
      <c r="A16401" s="1">
        <v>17426.0</v>
      </c>
      <c r="B16401" s="3" t="s">
        <v>15574</v>
      </c>
      <c r="C16401" s="3" t="str">
        <f>IFERROR(__xludf.DUMMYFUNCTION("GOOGLETRANSLATE(B16401,""id"",""en"")"),"['hope', 'promo']")</f>
        <v>['hope', 'promo']</v>
      </c>
      <c r="D16401" s="3">
        <v>5.0</v>
      </c>
    </row>
    <row r="16402" ht="15.75" customHeight="1">
      <c r="A16402" s="1">
        <v>17427.0</v>
      </c>
      <c r="B16402" s="3" t="s">
        <v>15575</v>
      </c>
      <c r="C16402" s="3" t="str">
        <f>IFERROR(__xludf.DUMMYFUNCTION("GOOGLETRANSLATE(B16402,""id"",""en"")"),"['tariff', 'price', 'package', 'subscription']")</f>
        <v>['tariff', 'price', 'package', 'subscription']</v>
      </c>
      <c r="D16402" s="3">
        <v>3.0</v>
      </c>
    </row>
    <row r="16403" ht="15.75" customHeight="1">
      <c r="A16403" s="1">
        <v>17428.0</v>
      </c>
      <c r="B16403" s="3" t="s">
        <v>904</v>
      </c>
      <c r="C16403" s="3" t="str">
        <f>IFERROR(__xludf.DUMMYFUNCTION("GOOGLETRANSLATE(B16403,""id"",""en"")"),"['Convenience']")</f>
        <v>['Convenience']</v>
      </c>
      <c r="D16403" s="3">
        <v>5.0</v>
      </c>
    </row>
    <row r="16404" ht="15.75" customHeight="1">
      <c r="A16404" s="1">
        <v>17429.0</v>
      </c>
      <c r="B16404" s="3" t="s">
        <v>9498</v>
      </c>
      <c r="C16404" s="3" t="str">
        <f>IFERROR(__xludf.DUMMYFUNCTION("GOOGLETRANSLATE(B16404,""id"",""en"")"),"['App', 'Good', '']")</f>
        <v>['App', 'Good', '']</v>
      </c>
      <c r="D16404" s="3">
        <v>5.0</v>
      </c>
    </row>
    <row r="16405" ht="15.75" customHeight="1">
      <c r="A16405" s="1">
        <v>17430.0</v>
      </c>
      <c r="B16405" s="3" t="s">
        <v>15576</v>
      </c>
      <c r="C16405" s="3" t="str">
        <f>IFERROR(__xludf.DUMMYFUNCTION("GOOGLETRANSLATE(B16405,""id"",""en"")"),"['signal', 'weak', 'price', 'expensive']")</f>
        <v>['signal', 'weak', 'price', 'expensive']</v>
      </c>
      <c r="D16405" s="3">
        <v>1.0</v>
      </c>
    </row>
    <row r="16406" ht="15.75" customHeight="1">
      <c r="A16406" s="1">
        <v>17431.0</v>
      </c>
      <c r="B16406" s="3" t="s">
        <v>15577</v>
      </c>
      <c r="C16406" s="3" t="str">
        <f>IFERROR(__xludf.DUMMYFUNCTION("GOOGLETRANSLATE(B16406,""id"",""en"")"),"['application', 'can', 'dbuka', 'Please', 'repair']")</f>
        <v>['application', 'can', 'dbuka', 'Please', 'repair']</v>
      </c>
      <c r="D16406" s="3">
        <v>2.0</v>
      </c>
    </row>
    <row r="16407" ht="15.75" customHeight="1">
      <c r="A16407" s="1">
        <v>17432.0</v>
      </c>
      <c r="B16407" s="3" t="s">
        <v>7485</v>
      </c>
      <c r="C16407" s="3" t="str">
        <f>IFERROR(__xludf.DUMMYFUNCTION("GOOGLETRANSLATE(B16407,""id"",""en"")"),"['easy', 'application', 'Telkomsel']")</f>
        <v>['easy', 'application', 'Telkomsel']</v>
      </c>
      <c r="D16407" s="3">
        <v>5.0</v>
      </c>
    </row>
    <row r="16408" ht="15.75" customHeight="1">
      <c r="A16408" s="1">
        <v>17433.0</v>
      </c>
      <c r="B16408" s="3" t="s">
        <v>15578</v>
      </c>
      <c r="C16408" s="3" t="str">
        <f>IFERROR(__xludf.DUMMYFUNCTION("GOOGLETRANSLATE(B16408,""id"",""en"")"),"['Good', 'really', 'the application', 'easy']")</f>
        <v>['Good', 'really', 'the application', 'easy']</v>
      </c>
      <c r="D16408" s="3">
        <v>5.0</v>
      </c>
    </row>
    <row r="16409" ht="15.75" customHeight="1">
      <c r="A16409" s="1">
        <v>17434.0</v>
      </c>
      <c r="B16409" s="3" t="s">
        <v>15579</v>
      </c>
      <c r="C16409" s="3" t="str">
        <f>IFERROR(__xludf.DUMMYFUNCTION("GOOGLETRANSLATE(B16409,""id"",""en"")"),"['times',' getting ',' buy ',' package ',' enter ',' enter ',' balance ',' Cut ',' call ',' Call ',' center ',' processed ',' eat ',' buy ',' pulse ',' enter ',' enter ',' balance ',' chair ',' deterred ',' buy ',' package ',' pulse ',' application ',' ']")</f>
        <v>['times',' getting ',' buy ',' package ',' enter ',' enter ',' balance ',' Cut ',' call ',' Call ',' center ',' processed ',' eat ',' buy ',' pulse ',' enter ',' enter ',' balance ',' chair ',' deterred ',' buy ',' package ',' pulse ',' application ',' ']</v>
      </c>
      <c r="D16409" s="3">
        <v>1.0</v>
      </c>
    </row>
    <row r="16410" ht="15.75" customHeight="1">
      <c r="A16410" s="1">
        <v>17435.0</v>
      </c>
      <c r="B16410" s="3" t="s">
        <v>15580</v>
      </c>
      <c r="C16410" s="3" t="str">
        <f>IFERROR(__xludf.DUMMYFUNCTION("GOOGLETRANSLATE(B16410,""id"",""en"")"),"['Help', 'Purchase', 'Data']")</f>
        <v>['Help', 'Purchase', 'Data']</v>
      </c>
      <c r="D16410" s="3">
        <v>4.0</v>
      </c>
    </row>
    <row r="16411" ht="15.75" customHeight="1">
      <c r="A16411" s="1">
        <v>17436.0</v>
      </c>
      <c r="B16411" s="3" t="s">
        <v>15581</v>
      </c>
      <c r="C16411" s="3" t="str">
        <f>IFERROR(__xludf.DUMMYFUNCTION("GOOGLETRANSLATE(B16411,""id"",""en"")"),"['Provider']")</f>
        <v>['Provider']</v>
      </c>
      <c r="D16411" s="3">
        <v>1.0</v>
      </c>
    </row>
    <row r="16412" ht="15.75" customHeight="1">
      <c r="A16412" s="1">
        <v>17437.0</v>
      </c>
      <c r="B16412" s="3" t="s">
        <v>15582</v>
      </c>
      <c r="C16412" s="3" t="str">
        <f>IFERROR(__xludf.DUMMYFUNCTION("GOOGLETRANSLATE(B16412,""id"",""en"")"),"['Hello', 'Telkomselll', 'APK', 'NDA', 'opened', 'serious', 'entry', 'white', 'so', 'ngestuck']")</f>
        <v>['Hello', 'Telkomselll', 'APK', 'NDA', 'opened', 'serious', 'entry', 'white', 'so', 'ngestuck']</v>
      </c>
      <c r="D16412" s="3">
        <v>5.0</v>
      </c>
    </row>
    <row r="16413" ht="15.75" customHeight="1">
      <c r="A16413" s="1">
        <v>17438.0</v>
      </c>
      <c r="B16413" s="3" t="s">
        <v>15583</v>
      </c>
      <c r="C16413" s="3" t="str">
        <f>IFERROR(__xludf.DUMMYFUNCTION("GOOGLETRANSLATE(B16413,""id"",""en"")"),"['Screen', 'White', 'fast', 'fix', 'buy', 'package', 'kuotaaa', 'udh', 'week']")</f>
        <v>['Screen', 'White', 'fast', 'fix', 'buy', 'package', 'kuotaaa', 'udh', 'week']</v>
      </c>
      <c r="D16413" s="3">
        <v>1.0</v>
      </c>
    </row>
    <row r="16414" ht="15.75" customHeight="1">
      <c r="A16414" s="1">
        <v>17439.0</v>
      </c>
      <c r="B16414" s="3" t="s">
        <v>15108</v>
      </c>
      <c r="C16414" s="3" t="str">
        <f>IFERROR(__xludf.DUMMYFUNCTION("GOOGLETRANSLATE(B16414,""id"",""en"")"),"['', 'good']")</f>
        <v>['', 'good']</v>
      </c>
      <c r="D16414" s="3">
        <v>5.0</v>
      </c>
    </row>
    <row r="16415" ht="15.75" customHeight="1">
      <c r="A16415" s="1">
        <v>17440.0</v>
      </c>
      <c r="B16415" s="3" t="s">
        <v>4308</v>
      </c>
      <c r="C16415" s="3" t="str">
        <f>IFERROR(__xludf.DUMMYFUNCTION("GOOGLETRANSLATE(B16415,""id"",""en"")"),"['like']")</f>
        <v>['like']</v>
      </c>
      <c r="D16415" s="3">
        <v>5.0</v>
      </c>
    </row>
    <row r="16416" ht="15.75" customHeight="1">
      <c r="A16416" s="1">
        <v>17441.0</v>
      </c>
      <c r="B16416" s="3" t="s">
        <v>15584</v>
      </c>
      <c r="C16416" s="3" t="str">
        <f>IFERROR(__xludf.DUMMYFUNCTION("GOOGLETRANSLATE(B16416,""id"",""en"")"),"['Easy', 'Application']")</f>
        <v>['Easy', 'Application']</v>
      </c>
      <c r="D16416" s="3">
        <v>5.0</v>
      </c>
    </row>
    <row r="16417" ht="15.75" customHeight="1">
      <c r="A16417" s="1">
        <v>17442.0</v>
      </c>
      <c r="B16417" s="3" t="s">
        <v>15585</v>
      </c>
      <c r="C16417" s="3" t="str">
        <f>IFERROR(__xludf.DUMMYFUNCTION("GOOGLETRANSLATE(B16417,""id"",""en"")"),"['Easy', 'silling', 'disease']")</f>
        <v>['Easy', 'silling', 'disease']</v>
      </c>
      <c r="D16417" s="3">
        <v>5.0</v>
      </c>
    </row>
    <row r="16418" ht="15.75" customHeight="1">
      <c r="A16418" s="1">
        <v>17443.0</v>
      </c>
      <c r="B16418" s="3" t="s">
        <v>15586</v>
      </c>
      <c r="C16418" s="3" t="str">
        <f>IFERROR(__xludf.DUMMYFUNCTION("GOOGLETRANSLATE(B16418,""id"",""en"")"),"['Open', 'Display', 'Web']")</f>
        <v>['Open', 'Display', 'Web']</v>
      </c>
      <c r="D16418" s="3">
        <v>2.0</v>
      </c>
    </row>
    <row r="16419" ht="15.75" customHeight="1">
      <c r="A16419" s="1">
        <v>17444.0</v>
      </c>
      <c r="B16419" s="3" t="s">
        <v>15587</v>
      </c>
      <c r="C16419" s="3" t="str">
        <f>IFERROR(__xludf.DUMMYFUNCTION("GOOGLETRANSLATE(B16419,""id"",""en"")"),"['service', 'poor', 'used', 'intenetan', 'quota', 'fast', 'run out', 'scoted', '']")</f>
        <v>['service', 'poor', 'used', 'intenetan', 'quota', 'fast', 'run out', 'scoted', '']</v>
      </c>
      <c r="D16419" s="3">
        <v>1.0</v>
      </c>
    </row>
    <row r="16420" ht="15.75" customHeight="1">
      <c r="A16420" s="1">
        <v>17445.0</v>
      </c>
      <c r="B16420" s="3" t="s">
        <v>15588</v>
      </c>
      <c r="C16420" s="3" t="str">
        <f>IFERROR(__xludf.DUMMYFUNCTION("GOOGLETRANSLATE(B16420,""id"",""en"")"),"['Application', 'Telkomsel', 'opened', 'Disappointed']")</f>
        <v>['Application', 'Telkomsel', 'opened', 'Disappointed']</v>
      </c>
      <c r="D16420" s="3">
        <v>3.0</v>
      </c>
    </row>
    <row r="16421" ht="15.75" customHeight="1">
      <c r="A16421" s="1">
        <v>17446.0</v>
      </c>
      <c r="B16421" s="3" t="s">
        <v>15589</v>
      </c>
      <c r="C16421" s="3" t="str">
        <f>IFERROR(__xludf.DUMMYFUNCTION("GOOGLETRANSLATE(B16421,""id"",""en"")"),"['Star', 'Judge']")</f>
        <v>['Star', 'Judge']</v>
      </c>
      <c r="D16421" s="3">
        <v>5.0</v>
      </c>
    </row>
    <row r="16422" ht="15.75" customHeight="1">
      <c r="A16422" s="1">
        <v>17447.0</v>
      </c>
      <c r="B16422" s="3" t="s">
        <v>15590</v>
      </c>
      <c r="C16422" s="3" t="str">
        <f>IFERROR(__xludf.DUMMYFUNCTION("GOOGLETRANSLATE(B16422,""id"",""en"")"),"['Sampe', 'here', 'expensive', 'PackageX', 'TPI', 'Kasi', 'star', '']")</f>
        <v>['Sampe', 'here', 'expensive', 'PackageX', 'TPI', 'Kasi', 'star', '']</v>
      </c>
      <c r="D16422" s="3">
        <v>5.0</v>
      </c>
    </row>
    <row r="16423" ht="15.75" customHeight="1">
      <c r="A16423" s="1">
        <v>17449.0</v>
      </c>
      <c r="B16423" s="3" t="s">
        <v>15591</v>
      </c>
      <c r="C16423" s="3" t="str">
        <f>IFERROR(__xludf.DUMMYFUNCTION("GOOGLETRANSLATE(B16423,""id"",""en"")"),"['APK', 'Cool', 'Help', 'Register', 'Package', 'Internet']")</f>
        <v>['APK', 'Cool', 'Help', 'Register', 'Package', 'Internet']</v>
      </c>
      <c r="D16423" s="3">
        <v>5.0</v>
      </c>
    </row>
    <row r="16424" ht="15.75" customHeight="1">
      <c r="A16424" s="1">
        <v>17450.0</v>
      </c>
      <c r="B16424" s="3" t="s">
        <v>15592</v>
      </c>
      <c r="C16424" s="3" t="str">
        <f>IFERROR(__xludf.DUMMYFUNCTION("GOOGLETRANSLATE(B16424,""id"",""en"")"),"['What', 'Login', 'Display', 'Login', 'Blank', 'White', 'Already', 'Delete', 'Download', 'Tetep', 'Complaint', 'Slow', ' Response ',' Action ']")</f>
        <v>['What', 'Login', 'Display', 'Login', 'Blank', 'White', 'Already', 'Delete', 'Download', 'Tetep', 'Complaint', 'Slow', ' Response ',' Action ']</v>
      </c>
      <c r="D16424" s="3">
        <v>1.0</v>
      </c>
    </row>
    <row r="16425" ht="15.75" customHeight="1">
      <c r="A16425" s="1">
        <v>17451.0</v>
      </c>
      <c r="B16425" s="3" t="s">
        <v>15593</v>
      </c>
      <c r="C16425" s="3" t="str">
        <f>IFERROR(__xludf.DUMMYFUNCTION("GOOGLETRANSLATE(B16425,""id"",""en"")"),"['Announcement', 'Lottery', 'Telkomsel', 'points', 'transparent', 'clarity', 'data', 'win', 'loss', ""]")</f>
        <v>['Announcement', 'Lottery', 'Telkomsel', 'points', 'transparent', 'clarity', 'data', 'win', 'loss', "]</v>
      </c>
      <c r="D16425" s="3">
        <v>1.0</v>
      </c>
    </row>
    <row r="16426" ht="15.75" customHeight="1">
      <c r="A16426" s="1">
        <v>17452.0</v>
      </c>
      <c r="B16426" s="3" t="s">
        <v>15594</v>
      </c>
      <c r="C16426" s="3" t="str">
        <f>IFERROR(__xludf.DUMMYFUNCTION("GOOGLETRANSLATE(B16426,""id"",""en"")"),"['Admin', 'Network', 'Village', 'Bad', 'Please', 'Fix', 'Address',' Village ',' Tebing ',' Lestari ',' District ',' Tapung ',' Hilir ',' Kabupaten ',' Kampar ',' Riau ']")</f>
        <v>['Admin', 'Network', 'Village', 'Bad', 'Please', 'Fix', 'Address',' Village ',' Tebing ',' Lestari ',' District ',' Tapung ',' Hilir ',' Kabupaten ',' Kampar ',' Riau ']</v>
      </c>
      <c r="D16426" s="3">
        <v>3.0</v>
      </c>
    </row>
    <row r="16427" ht="15.75" customHeight="1">
      <c r="A16427" s="1">
        <v>17453.0</v>
      </c>
      <c r="B16427" s="3" t="s">
        <v>15595</v>
      </c>
      <c r="C16427" s="3" t="str">
        <f>IFERROR(__xludf.DUMMYFUNCTION("GOOGLETRANSLATE(B16427,""id"",""en"")"),"['Help', 'promo', 'hope', 'promo', '']")</f>
        <v>['Help', 'promo', 'hope', 'promo', '']</v>
      </c>
      <c r="D16427" s="3">
        <v>4.0</v>
      </c>
    </row>
    <row r="16428" ht="15.75" customHeight="1">
      <c r="A16428" s="1">
        <v>17454.0</v>
      </c>
      <c r="B16428" s="3" t="s">
        <v>15596</v>
      </c>
      <c r="C16428" s="3" t="str">
        <f>IFERROR(__xludf.DUMMYFUNCTION("GOOGLETRANSLATE(B16428,""id"",""en"")"),"['The application', 'opened', 'screen', 'white', 'doang', '']")</f>
        <v>['The application', 'opened', 'screen', 'white', 'doang', '']</v>
      </c>
      <c r="D16428" s="3">
        <v>1.0</v>
      </c>
    </row>
    <row r="16429" ht="15.75" customHeight="1">
      <c r="A16429" s="1">
        <v>17457.0</v>
      </c>
      <c r="B16429" s="3" t="s">
        <v>15597</v>
      </c>
      <c r="C16429" s="3" t="str">
        <f>IFERROR(__xludf.DUMMYFUNCTION("GOOGLETRANSLATE(B16429,""id"",""en"")"),"['Update', 'slow', '']")</f>
        <v>['Update', 'slow', '']</v>
      </c>
      <c r="D16429" s="3">
        <v>2.0</v>
      </c>
    </row>
    <row r="16430" ht="15.75" customHeight="1">
      <c r="A16430" s="1">
        <v>17458.0</v>
      </c>
      <c r="B16430" s="3" t="s">
        <v>15598</v>
      </c>
      <c r="C16430" s="3" t="str">
        <f>IFERROR(__xludf.DUMMYFUNCTION("GOOGLETRANSLATE(B16430,""id"",""en"")"),"['No', 'Open', 'Application', 'Dlm']")</f>
        <v>['No', 'Open', 'Application', 'Dlm']</v>
      </c>
      <c r="D16430" s="3">
        <v>1.0</v>
      </c>
    </row>
    <row r="16431" ht="15.75" customHeight="1">
      <c r="A16431" s="1">
        <v>17459.0</v>
      </c>
      <c r="B16431" s="3" t="s">
        <v>15599</v>
      </c>
      <c r="C16431" s="3" t="str">
        <f>IFERROR(__xludf.DUMMYFUNCTION("GOOGLETRANSLATE(B16431,""id"",""en"")"),"['', 'package', 'cheap', 'area', 'Papua']")</f>
        <v>['', 'package', 'cheap', 'area', 'Papua']</v>
      </c>
      <c r="D16431" s="3">
        <v>2.0</v>
      </c>
    </row>
    <row r="16432" ht="15.75" customHeight="1">
      <c r="A16432" s="1">
        <v>17460.0</v>
      </c>
      <c r="B16432" s="3" t="s">
        <v>15600</v>
      </c>
      <c r="C16432" s="3" t="str">
        <f>IFERROR(__xludf.DUMMYFUNCTION("GOOGLETRANSLATE(B16432,""id"",""en"")"),"['makes it easier', 'user']")</f>
        <v>['makes it easier', 'user']</v>
      </c>
      <c r="D16432" s="3">
        <v>5.0</v>
      </c>
    </row>
    <row r="16433" ht="15.75" customHeight="1">
      <c r="A16433" s="1">
        <v>17461.0</v>
      </c>
      <c r="B16433" s="3" t="s">
        <v>15601</v>
      </c>
      <c r="C16433" s="3" t="str">
        <f>IFERROR(__xludf.DUMMYFUNCTION("GOOGLETRANSLATE(B16433,""id"",""en"")"),"['Star', 'love', 'star', 'comment', 'application', 'access',' open ',' the application ',' poor ',' buy ',' package ',' rb ',' rb ',' already ',' that's', 'rb', 'sekaang', 'already', 'rb', 'ride', 'ampe', 'satisfied', 'already', 'expensive', 'his network'"&amp;" , 'Kayak', 'taik', 'already', 'the application', 'plus', 'checked', 'sms', 'reply', 'a year', 'entered', ""]")</f>
        <v>['Star', 'love', 'star', 'comment', 'application', 'access',' open ',' the application ',' poor ',' buy ',' package ',' rb ',' rb ',' already ',' that's', 'rb', 'sekaang', 'already', 'rb', 'ride', 'ampe', 'satisfied', 'already', 'expensive', 'his network' , 'Kayak', 'taik', 'already', 'the application', 'plus', 'checked', 'sms', 'reply', 'a year', 'entered', "]</v>
      </c>
      <c r="D16433" s="3">
        <v>1.0</v>
      </c>
    </row>
    <row r="16434" ht="15.75" customHeight="1">
      <c r="A16434" s="1">
        <v>17462.0</v>
      </c>
      <c r="B16434" s="3" t="s">
        <v>15602</v>
      </c>
      <c r="C16434" s="3" t="str">
        <f>IFERROR(__xludf.DUMMYFUNCTION("GOOGLETRANSLATE(B16434,""id"",""en"")"),"['Screen', 'White', 'Open', 'How', 'Min', 'Kayak', 'Gini', '']")</f>
        <v>['Screen', 'White', 'Open', 'How', 'Min', 'Kayak', 'Gini', '']</v>
      </c>
      <c r="D16434" s="3">
        <v>1.0</v>
      </c>
    </row>
    <row r="16435" ht="15.75" customHeight="1">
      <c r="A16435" s="1">
        <v>17463.0</v>
      </c>
      <c r="B16435" s="3" t="s">
        <v>15603</v>
      </c>
      <c r="C16435" s="3" t="str">
        <f>IFERROR(__xludf.DUMMYFUNCTION("GOOGLETRANSLATE(B16435,""id"",""en"")"),"['Severe', 'Difficult', 'Access',' Buy ',' Package ',' Quota ',' Package ',' Combo ',' Monthly ',' Message ',' Increase ',' Kinerjamu ',' Telkomsel ',' Thank ',' Love ']")</f>
        <v>['Severe', 'Difficult', 'Access',' Buy ',' Package ',' Quota ',' Package ',' Combo ',' Monthly ',' Message ',' Increase ',' Kinerjamu ',' Telkomsel ',' Thank ',' Love ']</v>
      </c>
      <c r="D16435" s="3">
        <v>1.0</v>
      </c>
    </row>
    <row r="16436" ht="15.75" customHeight="1">
      <c r="A16436" s="1">
        <v>17464.0</v>
      </c>
      <c r="B16436" s="3" t="s">
        <v>15604</v>
      </c>
      <c r="C16436" s="3" t="str">
        <f>IFERROR(__xludf.DUMMYFUNCTION("GOOGLETRANSLATE(B16436,""id"",""en"")"),"['Kasi', 'Star', ""]")</f>
        <v>['Kasi', 'Star', "]</v>
      </c>
      <c r="D16436" s="3">
        <v>4.0</v>
      </c>
    </row>
    <row r="16437" ht="15.75" customHeight="1">
      <c r="A16437" s="1">
        <v>17465.0</v>
      </c>
      <c r="B16437" s="3" t="s">
        <v>15605</v>
      </c>
      <c r="C16437" s="3" t="str">
        <f>IFERROR(__xludf.DUMMYFUNCTION("GOOGLETRANSLATE(B16437,""id"",""en"")"),"['application', 'help', 'use', 'card', 'Telkomsel', 'check', 'use', 'pulse', 'quota']")</f>
        <v>['application', 'help', 'use', 'card', 'Telkomsel', 'check', 'use', 'pulse', 'quota']</v>
      </c>
      <c r="D16437" s="3">
        <v>4.0</v>
      </c>
    </row>
    <row r="16438" ht="15.75" customHeight="1">
      <c r="A16438" s="1">
        <v>17467.0</v>
      </c>
      <c r="B16438" s="3" t="s">
        <v>15606</v>
      </c>
      <c r="C16438" s="3" t="str">
        <f>IFERROR(__xludf.DUMMYFUNCTION("GOOGLETRANSLATE(B16438,""id"",""en"")"),"['Update', 'White', 'Doank', 'Ampe', 'Clock', 'Clock', 'Kemprul']")</f>
        <v>['Update', 'White', 'Doank', 'Ampe', 'Clock', 'Clock', 'Kemprul']</v>
      </c>
      <c r="D16438" s="3">
        <v>1.0</v>
      </c>
    </row>
    <row r="16439" ht="15.75" customHeight="1">
      <c r="A16439" s="1">
        <v>17468.0</v>
      </c>
      <c r="B16439" s="3" t="s">
        <v>15607</v>
      </c>
      <c r="C16439" s="3" t="str">
        <f>IFERROR(__xludf.DUMMYFUNCTION("GOOGLETRANSLATE(B16439,""id"",""en"")"),"['Telkomsel', 'skrg', 'wasteful', 'city', 'fast', 'run out', 'content', 'belom', 'a week', 'please', 'fix', 'corruption']")</f>
        <v>['Telkomsel', 'skrg', 'wasteful', 'city', 'fast', 'run out', 'content', 'belom', 'a week', 'please', 'fix', 'corruption']</v>
      </c>
      <c r="D16439" s="3">
        <v>4.0</v>
      </c>
    </row>
    <row r="16440" ht="15.75" customHeight="1">
      <c r="A16440" s="1">
        <v>17469.0</v>
      </c>
      <c r="B16440" s="3" t="s">
        <v>1601</v>
      </c>
      <c r="C16440" s="3" t="str">
        <f>IFERROR(__xludf.DUMMYFUNCTION("GOOGLETRANSLATE(B16440,""id"",""en"")"),"['open']")</f>
        <v>['open']</v>
      </c>
      <c r="D16440" s="3">
        <v>1.0</v>
      </c>
    </row>
    <row r="16441" ht="15.75" customHeight="1">
      <c r="A16441" s="1">
        <v>17470.0</v>
      </c>
      <c r="B16441" s="3" t="s">
        <v>15608</v>
      </c>
      <c r="C16441" s="3" t="str">
        <f>IFERROR(__xludf.DUMMYFUNCTION("GOOGLETRANSLATE(B16441,""id"",""en"")"),"['Provider', 'Credit', 'buy', 'Package', 'Combo', 'Sakti', 'Price', 'Method', 'Payment', 'Use', 'Credit', 'said', ' pulse', '']")</f>
        <v>['Provider', 'Credit', 'buy', 'Package', 'Combo', 'Sakti', 'Price', 'Method', 'Payment', 'Use', 'Credit', 'said', ' pulse', '']</v>
      </c>
      <c r="D16441" s="3">
        <v>1.0</v>
      </c>
    </row>
    <row r="16442" ht="15.75" customHeight="1">
      <c r="A16442" s="1">
        <v>17471.0</v>
      </c>
      <c r="B16442" s="3" t="s">
        <v>15609</v>
      </c>
      <c r="C16442" s="3" t="str">
        <f>IFERROR(__xludf.DUMMYFUNCTION("GOOGLETRANSLATE(B16442,""id"",""en"")"),"['bad', 'application', 'respond', 'image', 'appears', 'picture', 'color', 'white']")</f>
        <v>['bad', 'application', 'respond', 'image', 'appears', 'picture', 'color', 'white']</v>
      </c>
      <c r="D16442" s="3">
        <v>1.0</v>
      </c>
    </row>
    <row r="16443" ht="15.75" customHeight="1">
      <c r="A16443" s="1">
        <v>17472.0</v>
      </c>
      <c r="B16443" s="3" t="s">
        <v>15610</v>
      </c>
      <c r="C16443" s="3" t="str">
        <f>IFERROR(__xludf.DUMMYFUNCTION("GOOGLETRANSLATE(B16443,""id"",""en"")"),"['Feature', 'interesting', 'easy', 'apply']")</f>
        <v>['Feature', 'interesting', 'easy', 'apply']</v>
      </c>
      <c r="D16443" s="3">
        <v>5.0</v>
      </c>
    </row>
    <row r="16444" ht="15.75" customHeight="1">
      <c r="A16444" s="1">
        <v>17473.0</v>
      </c>
      <c r="B16444" s="3" t="s">
        <v>15611</v>
      </c>
      <c r="C16444" s="3" t="str">
        <f>IFERROR(__xludf.DUMMYFUNCTION("GOOGLETRANSLATE(B16444,""id"",""en"")"),"['YTH', 'Telkomsel', 'Knp', 'Application', 'Telkomsel', 'opened', '']")</f>
        <v>['YTH', 'Telkomsel', 'Knp', 'Application', 'Telkomsel', 'opened', '']</v>
      </c>
      <c r="D16444" s="3">
        <v>2.0</v>
      </c>
    </row>
    <row r="16445" ht="15.75" customHeight="1">
      <c r="A16445" s="1">
        <v>17474.0</v>
      </c>
      <c r="B16445" s="3" t="s">
        <v>15612</v>
      </c>
      <c r="C16445" s="3" t="str">
        <f>IFERROR(__xludf.DUMMYFUNCTION("GOOGLETRANSLATE(B16445,""id"",""en"")"),"['Application', 'strange', 'Segini', 'BUMN', 'Service', 'Change', 'Card', 'Difficult', 'Dead', 'Rich', 'Rich', 'invaders',' Negri ',' package ',' expensive ',' internet ',' bapuk ',' mah ',' already ',' tsel ',' where ',' wkwkw ',' cool ',' bet ',' out ' "&amp;", 'signal', 'kaga', 'different', 'tsel', 'already', 'so', 'congratulations', 'breakfast', 'rice', 'yesterday']")</f>
        <v>['Application', 'strange', 'Segini', 'BUMN', 'Service', 'Change', 'Card', 'Difficult', 'Dead', 'Rich', 'Rich', 'invaders',' Negri ',' package ',' expensive ',' internet ',' bapuk ',' mah ',' already ',' tsel ',' where ',' wkwkw ',' cool ',' bet ',' out ' , 'signal', 'kaga', 'different', 'tsel', 'already', 'so', 'congratulations', 'breakfast', 'rice', 'yesterday']</v>
      </c>
      <c r="D16445" s="3">
        <v>1.0</v>
      </c>
    </row>
    <row r="16446" ht="15.75" customHeight="1">
      <c r="A16446" s="1">
        <v>17475.0</v>
      </c>
      <c r="B16446" s="3" t="s">
        <v>15613</v>
      </c>
      <c r="C16446" s="3" t="str">
        <f>IFERROR(__xludf.DUMMYFUNCTION("GOOGLETRANSLATE(B16446,""id"",""en"")"),"['Please', 'menu', 'Exchange', 'Points', 'given', 'Choice', 'Points', 'exchanged', ""]")</f>
        <v>['Please', 'menu', 'Exchange', 'Points', 'given', 'Choice', 'Points', 'exchanged', "]</v>
      </c>
      <c r="D16446" s="3">
        <v>5.0</v>
      </c>
    </row>
    <row r="16447" ht="15.75" customHeight="1">
      <c r="A16447" s="1">
        <v>17476.0</v>
      </c>
      <c r="B16447" s="3" t="s">
        <v>15614</v>
      </c>
      <c r="C16447" s="3" t="str">
        <f>IFERROR(__xludf.DUMMYFUNCTION("GOOGLETRANSLATE(B16447,""id"",""en"")"),"['Steady', 'Enhanced', 'Quality', 'Signal', 'Lined', 'Village', 'Mountains']")</f>
        <v>['Steady', 'Enhanced', 'Quality', 'Signal', 'Lined', 'Village', 'Mountains']</v>
      </c>
      <c r="D16447" s="3">
        <v>5.0</v>
      </c>
    </row>
    <row r="16448" ht="15.75" customHeight="1">
      <c r="A16448" s="1">
        <v>17477.0</v>
      </c>
      <c r="B16448" s="3" t="s">
        <v>15615</v>
      </c>
      <c r="C16448" s="3" t="str">
        <f>IFERROR(__xludf.DUMMYFUNCTION("GOOGLETRANSLATE(B16448,""id"",""en"")"),"['satisfying', 'Thank you', 'MyTelkomsel', ""]")</f>
        <v>['satisfying', 'Thank you', 'MyTelkomsel', "]</v>
      </c>
      <c r="D16448" s="3">
        <v>5.0</v>
      </c>
    </row>
    <row r="16449" ht="15.75" customHeight="1">
      <c r="A16449" s="1">
        <v>17478.0</v>
      </c>
      <c r="B16449" s="3" t="s">
        <v>15616</v>
      </c>
      <c r="C16449" s="3" t="str">
        <f>IFERROR(__xludf.DUMMYFUNCTION("GOOGLETRANSLATE(B16449,""id"",""en"")"),"['slow', 'right', 'open', 'application', 'check', 'quota']")</f>
        <v>['slow', 'right', 'open', 'application', 'check', 'quota']</v>
      </c>
      <c r="D16449" s="3">
        <v>1.0</v>
      </c>
    </row>
    <row r="16450" ht="15.75" customHeight="1">
      <c r="A16450" s="1">
        <v>17479.0</v>
      </c>
      <c r="B16450" s="3" t="s">
        <v>15617</v>
      </c>
      <c r="C16450" s="3" t="str">
        <f>IFERROR(__xludf.DUMMYFUNCTION("GOOGLETRANSLATE(B16450,""id"",""en"")"),"['Signal', 'ugly', 'expensive']")</f>
        <v>['Signal', 'ugly', 'expensive']</v>
      </c>
      <c r="D16450" s="3">
        <v>1.0</v>
      </c>
    </row>
    <row r="16451" ht="15.75" customHeight="1">
      <c r="A16451" s="1">
        <v>17480.0</v>
      </c>
      <c r="B16451" s="3" t="s">
        <v>15618</v>
      </c>
      <c r="C16451" s="3" t="str">
        <f>IFERROR(__xludf.DUMMYFUNCTION("GOOGLETRANSLATE(B16451,""id"",""en"")"),"['Miyakan', 'promo', 'cuy']")</f>
        <v>['Miyakan', 'promo', 'cuy']</v>
      </c>
      <c r="D16451" s="3">
        <v>3.0</v>
      </c>
    </row>
    <row r="16452" ht="15.75" customHeight="1">
      <c r="A16452" s="1">
        <v>17481.0</v>
      </c>
      <c r="B16452" s="3" t="s">
        <v>15619</v>
      </c>
      <c r="C16452" s="3" t="str">
        <f>IFERROR(__xludf.DUMMYFUNCTION("GOOGLETRANSLATE(B16452,""id"",""en"")"),"['Please', 'repay', 'bug', 'open', 'APK', '']")</f>
        <v>['Please', 'repay', 'bug', 'open', 'APK', '']</v>
      </c>
      <c r="D16452" s="3">
        <v>1.0</v>
      </c>
    </row>
    <row r="16453" ht="15.75" customHeight="1">
      <c r="A16453" s="1">
        <v>17482.0</v>
      </c>
      <c r="B16453" s="3" t="s">
        <v>15620</v>
      </c>
      <c r="C16453" s="3" t="str">
        <f>IFERROR(__xludf.DUMMYFUNCTION("GOOGLETRANSLATE(B16453,""id"",""en"")"),"['Disappointed', 'Telkomsel', 'disorder', 'fill', 'voucher', 'busy']")</f>
        <v>['Disappointed', 'Telkomsel', 'disorder', 'fill', 'voucher', 'busy']</v>
      </c>
      <c r="D16453" s="3">
        <v>4.0</v>
      </c>
    </row>
    <row r="16454" ht="15.75" customHeight="1">
      <c r="A16454" s="1">
        <v>17483.0</v>
      </c>
      <c r="B16454" s="3" t="s">
        <v>15621</v>
      </c>
      <c r="C16454" s="3" t="str">
        <f>IFERROR(__xludf.DUMMYFUNCTION("GOOGLETRANSLATE(B16454,""id"",""en"")"),"['Cleaning', 'left', 'customer', 'comment', 'ugly']")</f>
        <v>['Cleaning', 'left', 'customer', 'comment', 'ugly']</v>
      </c>
      <c r="D16454" s="3">
        <v>1.0</v>
      </c>
    </row>
    <row r="16455" ht="15.75" customHeight="1">
      <c r="A16455" s="1">
        <v>17484.0</v>
      </c>
      <c r="B16455" s="3" t="s">
        <v>15622</v>
      </c>
      <c r="C16455" s="3" t="str">
        <f>IFERROR(__xludf.DUMMYFUNCTION("GOOGLETRANSLATE(B16455,""id"",""en"")"),"['quota', 'night', 'like', 'missing', 'rating', 'network', 'ugly', 'rotten', 'cloud', 'rain', 'direct', 'threat', ' ping ',' right ',' play ',' game ',' ']")</f>
        <v>['quota', 'night', 'like', 'missing', 'rating', 'network', 'ugly', 'rotten', 'cloud', 'rain', 'direct', 'threat', ' ping ',' right ',' play ',' game ',' ']</v>
      </c>
      <c r="D16455" s="3">
        <v>1.0</v>
      </c>
    </row>
    <row r="16456" ht="15.75" customHeight="1">
      <c r="A16456" s="1">
        <v>17485.0</v>
      </c>
      <c r="B16456" s="3" t="s">
        <v>15623</v>
      </c>
      <c r="C16456" s="3" t="str">
        <f>IFERROR(__xludf.DUMMYFUNCTION("GOOGLETRANSLATE(B16456,""id"",""en"")"),"['sell', 'data', 'bang', 'expensive', '']")</f>
        <v>['sell', 'data', 'bang', 'expensive', '']</v>
      </c>
      <c r="D16456" s="3">
        <v>1.0</v>
      </c>
    </row>
    <row r="16457" ht="15.75" customHeight="1">
      <c r="A16457" s="1">
        <v>17486.0</v>
      </c>
      <c r="B16457" s="3" t="s">
        <v>15624</v>
      </c>
      <c r="C16457" s="3" t="str">
        <f>IFERROR(__xludf.DUMMYFUNCTION("GOOGLETRANSLATE(B16457,""id"",""en"")"),"['Pieces', 'Transfer', 'pulses']")</f>
        <v>['Pieces', 'Transfer', 'pulses']</v>
      </c>
      <c r="D16457" s="3">
        <v>5.0</v>
      </c>
    </row>
    <row r="16458" ht="15.75" customHeight="1">
      <c r="A16458" s="1">
        <v>17487.0</v>
      </c>
      <c r="B16458" s="3" t="s">
        <v>15625</v>
      </c>
      <c r="C16458" s="3" t="str">
        <f>IFERROR(__xludf.DUMMYFUNCTION("GOOGLETRANSLATE(B16458,""id"",""en"")"),"['Convenience', 'in', 'use']")</f>
        <v>['Convenience', 'in', 'use']</v>
      </c>
      <c r="D16458" s="3">
        <v>5.0</v>
      </c>
    </row>
    <row r="16459" ht="15.75" customHeight="1">
      <c r="A16459" s="1">
        <v>17489.0</v>
      </c>
      <c r="B16459" s="3" t="s">
        <v>15626</v>
      </c>
      <c r="C16459" s="3" t="str">
        <f>IFERROR(__xludf.DUMMYFUNCTION("GOOGLETRANSLATE(B16459,""id"",""en"")"),"['bill', 'postpaid', 'swollen', 'package', 'non', 'activate', 'settlement', 'Telkomsel', ""]")</f>
        <v>['bill', 'postpaid', 'swollen', 'package', 'non', 'activate', 'settlement', 'Telkomsel', "]</v>
      </c>
      <c r="D16459" s="3">
        <v>1.0</v>
      </c>
    </row>
    <row r="16460" ht="15.75" customHeight="1">
      <c r="A16460" s="1">
        <v>17490.0</v>
      </c>
      <c r="B16460" s="3" t="s">
        <v>15627</v>
      </c>
      <c r="C16460" s="3" t="str">
        <f>IFERROR(__xludf.DUMMYFUNCTION("GOOGLETRANSLATE(B16460,""id"",""en"")"),"['', 'Network', 'HPK', 'Support']")</f>
        <v>['', 'Network', 'HPK', 'Support']</v>
      </c>
      <c r="D16460" s="3">
        <v>4.0</v>
      </c>
    </row>
    <row r="16461" ht="15.75" customHeight="1">
      <c r="A16461" s="1">
        <v>17491.0</v>
      </c>
      <c r="B16461" s="3" t="s">
        <v>15628</v>
      </c>
      <c r="C16461" s="3" t="str">
        <f>IFERROR(__xludf.DUMMYFUNCTION("GOOGLETRANSLATE(B16461,""id"",""en"")"),"['', 'like', 'bngt', 'application', 'makes it easier', 'check', 'pulse', 'quota']")</f>
        <v>['', 'like', 'bngt', 'application', 'makes it easier', 'check', 'pulse', 'quota']</v>
      </c>
      <c r="D16461" s="3">
        <v>5.0</v>
      </c>
    </row>
    <row r="16462" ht="15.75" customHeight="1">
      <c r="A16462" s="1">
        <v>17492.0</v>
      </c>
      <c r="B16462" s="3" t="s">
        <v>15629</v>
      </c>
      <c r="C16462" s="3" t="str">
        <f>IFERROR(__xludf.DUMMYFUNCTION("GOOGLETRANSLATE(B16462,""id"",""en"")"),"['Severe', 'Baget', 'seteah', 'update', 'aplkasibga', 'Diuk', 'Screen', 'White', 'Please', 'Approved', 'Update', 'Application', ' Opened ',' Kao ',' Jain ',' Customer ',' Deleting ',' Apikasi ',' ']")</f>
        <v>['Severe', 'Baget', 'seteah', 'update', 'aplkasibga', 'Diuk', 'Screen', 'White', 'Please', 'Approved', 'Update', 'Application', ' Opened ',' Kao ',' Jain ',' Customer ',' Deleting ',' Apikasi ',' ']</v>
      </c>
      <c r="D16462" s="3">
        <v>1.0</v>
      </c>
    </row>
    <row r="16463" ht="15.75" customHeight="1">
      <c r="A16463" s="1">
        <v>17493.0</v>
      </c>
      <c r="B16463" s="3" t="s">
        <v>15630</v>
      </c>
      <c r="C16463" s="3" t="str">
        <f>IFERROR(__xludf.DUMMYFUNCTION("GOOGLETRANSLATE(B16463,""id"",""en"")"),"['Screen', 'White', 'Doang', 'Application', 'Trash', 'Najis']")</f>
        <v>['Screen', 'White', 'Doang', 'Application', 'Trash', 'Najis']</v>
      </c>
      <c r="D16463" s="3">
        <v>1.0</v>
      </c>
    </row>
    <row r="16464" ht="15.75" customHeight="1">
      <c r="A16464" s="1">
        <v>17494.0</v>
      </c>
      <c r="B16464" s="3" t="s">
        <v>15631</v>
      </c>
      <c r="C16464" s="3" t="str">
        <f>IFERROR(__xludf.DUMMYFUNCTION("GOOGLETRANSLATE(B16464,""id"",""en"")"),"['knp', 'skrg', 'entered', 'yaa', 'the application', 'pdhl', 'network', 'uda', 'good', 'update', 'version', 'trbaru', ' H It ',' Screen ',' White ']")</f>
        <v>['knp', 'skrg', 'entered', 'yaa', 'the application', 'pdhl', 'network', 'uda', 'good', 'update', 'version', 'trbaru', ' H It ',' Screen ',' White ']</v>
      </c>
      <c r="D16464" s="3">
        <v>1.0</v>
      </c>
    </row>
    <row r="16465" ht="15.75" customHeight="1">
      <c r="A16465" s="1">
        <v>17495.0</v>
      </c>
      <c r="B16465" s="3" t="s">
        <v>15632</v>
      </c>
      <c r="C16465" s="3" t="str">
        <f>IFERROR(__xludf.DUMMYFUNCTION("GOOGLETRANSLATE(B16465,""id"",""en"")"),"['application', 'MyTelkomsel', 'open', 'wonder', 'price', 'expensive', 'really', 'error']")</f>
        <v>['application', 'MyTelkomsel', 'open', 'wonder', 'price', 'expensive', 'really', 'error']</v>
      </c>
      <c r="D16465" s="3">
        <v>1.0</v>
      </c>
    </row>
    <row r="16466" ht="15.75" customHeight="1">
      <c r="A16466" s="1">
        <v>17496.0</v>
      </c>
      <c r="B16466" s="3" t="s">
        <v>15633</v>
      </c>
      <c r="C16466" s="3" t="str">
        <f>IFERROR(__xludf.DUMMYFUNCTION("GOOGLETRANSLATE(B16466,""id"",""en"")"),"['Help', 'tuk', 'paker', 'cheap', 'telkomsel']")</f>
        <v>['Help', 'tuk', 'paker', 'cheap', 'telkomsel']</v>
      </c>
      <c r="D16466" s="3">
        <v>4.0</v>
      </c>
    </row>
    <row r="16467" ht="15.75" customHeight="1">
      <c r="A16467" s="1">
        <v>17497.0</v>
      </c>
      <c r="B16467" s="3" t="s">
        <v>15634</v>
      </c>
      <c r="C16467" s="3" t="str">
        <f>IFERROR(__xludf.DUMMYFUNCTION("GOOGLETRANSLATE(B16467,""id"",""en"")"),"['ugly', 'Telkomsel', 'quota', 'expensive', 'network', 'upgrade', '']")</f>
        <v>['ugly', 'Telkomsel', 'quota', 'expensive', 'network', 'upgrade', '']</v>
      </c>
      <c r="D16467" s="3">
        <v>1.0</v>
      </c>
    </row>
    <row r="16468" ht="15.75" customHeight="1">
      <c r="A16468" s="1">
        <v>17498.0</v>
      </c>
      <c r="B16468" s="3" t="s">
        <v>15635</v>
      </c>
      <c r="C16468" s="3" t="str">
        <f>IFERROR(__xludf.DUMMYFUNCTION("GOOGLETRANSLATE(B16468,""id"",""en"")"),"['just', 'screen', 'white', 'open', 'disappointed', 'already', 'daily']")</f>
        <v>['just', 'screen', 'white', 'open', 'disappointed', 'already', 'daily']</v>
      </c>
      <c r="D16468" s="3">
        <v>1.0</v>
      </c>
    </row>
    <row r="16469" ht="15.75" customHeight="1">
      <c r="A16469" s="1">
        <v>17499.0</v>
      </c>
      <c r="B16469" s="3" t="s">
        <v>15636</v>
      </c>
      <c r="C16469" s="3" t="str">
        <f>IFERROR(__xludf.DUMMYFUNCTION("GOOGLETRANSLATE(B16469,""id"",""en"")"),"['Moga', 'Win']")</f>
        <v>['Moga', 'Win']</v>
      </c>
      <c r="D16469" s="3">
        <v>5.0</v>
      </c>
    </row>
    <row r="16470" ht="15.75" customHeight="1">
      <c r="A16470" s="1">
        <v>17500.0</v>
      </c>
      <c r="B16470" s="3" t="s">
        <v>15637</v>
      </c>
      <c r="C16470" s="3" t="str">
        <f>IFERROR(__xludf.DUMMYFUNCTION("GOOGLETRANSLATE(B16470,""id"",""en"")"),"['steady', 'smooth', 'Jaya', 'input', 'buy', 'pulse', 'cashback', 'discount', '']")</f>
        <v>['steady', 'smooth', 'Jaya', 'input', 'buy', 'pulse', 'cashback', 'discount', '']</v>
      </c>
      <c r="D16470" s="3">
        <v>5.0</v>
      </c>
    </row>
    <row r="16471" ht="15.75" customHeight="1">
      <c r="A16471" s="1">
        <v>17501.0</v>
      </c>
      <c r="B16471" s="3" t="s">
        <v>15638</v>
      </c>
      <c r="C16471" s="3" t="str">
        <f>IFERROR(__xludf.DUMMYFUNCTION("GOOGLETRANSLATE(B16471,""id"",""en"")"),"['Menu', 'opened', 'Loading', 'Continuous', 'Support', 'Min', ""]")</f>
        <v>['Menu', 'opened', 'Loading', 'Continuous', 'Support', 'Min', "]</v>
      </c>
      <c r="D16471" s="3">
        <v>1.0</v>
      </c>
    </row>
    <row r="16472" ht="15.75" customHeight="1">
      <c r="A16472" s="1">
        <v>17502.0</v>
      </c>
      <c r="B16472" s="3" t="s">
        <v>15639</v>
      </c>
      <c r="C16472" s="3" t="str">
        <f>IFERROR(__xludf.DUMMYFUNCTION("GOOGLETRANSLATE(B16472,""id"",""en"")"),"['Open', 'White', 'appears', '']")</f>
        <v>['Open', 'White', 'appears', '']</v>
      </c>
      <c r="D16472" s="3">
        <v>1.0</v>
      </c>
    </row>
    <row r="16473" ht="15.75" customHeight="1">
      <c r="A16473" s="1">
        <v>17503.0</v>
      </c>
      <c r="B16473" s="3" t="s">
        <v>15640</v>
      </c>
      <c r="C16473" s="3" t="str">
        <f>IFERROR(__xludf.DUMMYFUNCTION("GOOGLETRANSLATE(B16473,""id"",""en"")"),"['knapa', 'application', 'Telkomsel', 'ngeblank', 'page', 'open', 'mentok']")</f>
        <v>['knapa', 'application', 'Telkomsel', 'ngeblank', 'page', 'open', 'mentok']</v>
      </c>
      <c r="D16473" s="3">
        <v>5.0</v>
      </c>
    </row>
    <row r="16474" ht="15.75" customHeight="1">
      <c r="A16474" s="1">
        <v>17506.0</v>
      </c>
      <c r="B16474" s="3" t="s">
        <v>15641</v>
      </c>
      <c r="C16474" s="3" t="str">
        <f>IFERROR(__xludf.DUMMYFUNCTION("GOOGLETRANSLATE(B16474,""id"",""en"")"),"['Service', 'Provide', 'Package', 'Unlimited', 'Monthly', 'Limit', 'Telkomsel', 'Love', 'Citizens', 'Indonesia', 'Thank you']")</f>
        <v>['Service', 'Provide', 'Package', 'Unlimited', 'Monthly', 'Limit', 'Telkomsel', 'Love', 'Citizens', 'Indonesia', 'Thank you']</v>
      </c>
      <c r="D16474" s="3">
        <v>5.0</v>
      </c>
    </row>
    <row r="16475" ht="15.75" customHeight="1">
      <c r="A16475" s="1">
        <v>17508.0</v>
      </c>
      <c r="B16475" s="3" t="s">
        <v>15642</v>
      </c>
      <c r="C16475" s="3" t="str">
        <f>IFERROR(__xludf.DUMMYFUNCTION("GOOGLETRANSLATE(B16475,""id"",""en"")"),"['Sanagt', 'Help']")</f>
        <v>['Sanagt', 'Help']</v>
      </c>
      <c r="D16475" s="3">
        <v>5.0</v>
      </c>
    </row>
    <row r="16476" ht="15.75" customHeight="1">
      <c r="A16476" s="1">
        <v>17509.0</v>
      </c>
      <c r="B16476" s="3" t="s">
        <v>15643</v>
      </c>
      <c r="C16476" s="3" t="str">
        <f>IFERROR(__xludf.DUMMYFUNCTION("GOOGLETRANSLATE(B16476,""id"",""en"")"),"['application', 'MyTelkomsel', 'open', 'Delete', 'Install', 'reset', ""]")</f>
        <v>['application', 'MyTelkomsel', 'open', 'Delete', 'Install', 'reset', "]</v>
      </c>
      <c r="D16476" s="3">
        <v>2.0</v>
      </c>
    </row>
    <row r="16477" ht="15.75" customHeight="1">
      <c r="A16477" s="1">
        <v>17510.0</v>
      </c>
      <c r="B16477" s="3" t="s">
        <v>15644</v>
      </c>
      <c r="C16477" s="3" t="str">
        <f>IFERROR(__xludf.DUMMYFUNCTION("GOOGLETRANSLATE(B16477,""id"",""en"")"),"['application', 'gabisa', 'open', 'min', 'already', 'a week', 'open', 'gabisa', 'direct', 'out', 'how', 'gabisa', ' Check ',' quota ',' sms', 'sent', 'send', 'already', 'uninstall', 'install', 'tetep', 'gabisa', ""]")</f>
        <v>['application', 'gabisa', 'open', 'min', 'already', 'a week', 'open', 'gabisa', 'direct', 'out', 'how', 'gabisa', ' Check ',' quota ',' sms', 'sent', 'send', 'already', 'uninstall', 'install', 'tetep', 'gabisa', "]</v>
      </c>
      <c r="D16477" s="3">
        <v>3.0</v>
      </c>
    </row>
    <row r="16478" ht="15.75" customHeight="1">
      <c r="A16478" s="1">
        <v>17512.0</v>
      </c>
      <c r="B16478" s="3" t="s">
        <v>15645</v>
      </c>
      <c r="C16478" s="3" t="str">
        <f>IFERROR(__xludf.DUMMYFUNCTION("GOOGLETRANSLATE(B16478,""id"",""en"")"),"['Application', 'steady']")</f>
        <v>['Application', 'steady']</v>
      </c>
      <c r="D16478" s="3">
        <v>5.0</v>
      </c>
    </row>
    <row r="16479" ht="15.75" customHeight="1">
      <c r="A16479" s="1">
        <v>17513.0</v>
      </c>
      <c r="B16479" s="3" t="s">
        <v>15646</v>
      </c>
      <c r="C16479" s="3" t="str">
        <f>IFERROR(__xludf.DUMMYFUNCTION("GOOGLETRANSLATE(B16479,""id"",""en"")"),"['Telkomsel', 'bad', 'pulse', 'buy', 'direct', 'run out', 'buy', 'package', 'network', 'slow', 'mending', 'replace', ' cards', 'bad', 'really', 'king']")</f>
        <v>['Telkomsel', 'bad', 'pulse', 'buy', 'direct', 'run out', 'buy', 'package', 'network', 'slow', 'mending', 'replace', ' cards', 'bad', 'really', 'king']</v>
      </c>
      <c r="D16479" s="3">
        <v>1.0</v>
      </c>
    </row>
    <row r="16480" ht="15.75" customHeight="1">
      <c r="A16480" s="1">
        <v>17514.0</v>
      </c>
      <c r="B16480" s="3" t="s">
        <v>15647</v>
      </c>
      <c r="C16480" s="3" t="str">
        <f>IFERROR(__xludf.DUMMYFUNCTION("GOOGLETRANSLATE(B16480,""id"",""en"")"),"['Updated', 'opened']")</f>
        <v>['Updated', 'opened']</v>
      </c>
      <c r="D16480" s="3">
        <v>2.0</v>
      </c>
    </row>
    <row r="16481" ht="15.75" customHeight="1">
      <c r="A16481" s="1">
        <v>17515.0</v>
      </c>
      <c r="B16481" s="3" t="s">
        <v>15648</v>
      </c>
      <c r="C16481" s="3" t="str">
        <f>IFERROR(__xludf.DUMMYFUNCTION("GOOGLETRANSLATE(B16481,""id"",""en"")"),"['Screen', 'White', 'sucks', '']")</f>
        <v>['Screen', 'White', 'sucks', '']</v>
      </c>
      <c r="D16481" s="3">
        <v>1.0</v>
      </c>
    </row>
    <row r="16482" ht="15.75" customHeight="1">
      <c r="A16482" s="1">
        <v>17516.0</v>
      </c>
      <c r="B16482" s="3" t="s">
        <v>15649</v>
      </c>
      <c r="C16482" s="3" t="str">
        <f>IFERROR(__xludf.DUMMYFUNCTION("GOOGLETRANSLATE(B16482,""id"",""en"")"),"['Gada', 'repairs', 'Fiks', 'replace', 'card', 'data', 'tomorrow', 'UDH', 'already', 'disappointed', ""]")</f>
        <v>['Gada', 'repairs', 'Fiks', 'replace', 'card', 'data', 'tomorrow', 'UDH', 'already', 'disappointed', "]</v>
      </c>
      <c r="D16482" s="3">
        <v>1.0</v>
      </c>
    </row>
    <row r="16483" ht="15.75" customHeight="1">
      <c r="A16483" s="1">
        <v>17518.0</v>
      </c>
      <c r="B16483" s="3" t="s">
        <v>106</v>
      </c>
      <c r="C16483" s="3" t="str">
        <f>IFERROR(__xludf.DUMMYFUNCTION("GOOGLETRANSLATE(B16483,""id"",""en"")"),"['signal']")</f>
        <v>['signal']</v>
      </c>
      <c r="D16483" s="3">
        <v>4.0</v>
      </c>
    </row>
    <row r="16484" ht="15.75" customHeight="1">
      <c r="A16484" s="1">
        <v>17519.0</v>
      </c>
      <c r="B16484" s="3" t="s">
        <v>15650</v>
      </c>
      <c r="C16484" s="3" t="str">
        <f>IFERROR(__xludf.DUMMYFUNCTION("GOOGLETRANSLATE(B16484,""id"",""en"")"),"['jerk', 'buy', 'package', 'for', 'RB', 'buy', 'pulse', 'price', 'package', 'add', 'expensive', 'jngn', ' Maenin ',' Price ',' Customer ',' Annual ']")</f>
        <v>['jerk', 'buy', 'package', 'for', 'RB', 'buy', 'pulse', 'price', 'package', 'add', 'expensive', 'jngn', ' Maenin ',' Price ',' Customer ',' Annual ']</v>
      </c>
      <c r="D16484" s="3">
        <v>1.0</v>
      </c>
    </row>
    <row r="16485" ht="15.75" customHeight="1">
      <c r="A16485" s="1">
        <v>17520.0</v>
      </c>
      <c r="B16485" s="3" t="s">
        <v>15651</v>
      </c>
      <c r="C16485" s="3" t="str">
        <f>IFERROR(__xludf.DUMMYFUNCTION("GOOGLETRANSLATE(B16485,""id"",""en"")"),"['Application', 'Display', 'Screen', 'White', 'Diuninstall', 'installed', ""]")</f>
        <v>['Application', 'Display', 'Screen', 'White', 'Diuninstall', 'installed', "]</v>
      </c>
      <c r="D16485" s="3">
        <v>1.0</v>
      </c>
    </row>
    <row r="16486" ht="15.75" customHeight="1">
      <c r="A16486" s="1">
        <v>17521.0</v>
      </c>
      <c r="B16486" s="3" t="s">
        <v>15652</v>
      </c>
      <c r="C16486" s="3" t="str">
        <f>IFERROR(__xludf.DUMMYFUNCTION("GOOGLETRANSLATE(B16486,""id"",""en"")"),"['Good', 'prize']")</f>
        <v>['Good', 'prize']</v>
      </c>
      <c r="D16486" s="3">
        <v>5.0</v>
      </c>
    </row>
    <row r="16487" ht="15.75" customHeight="1">
      <c r="A16487" s="1">
        <v>17522.0</v>
      </c>
      <c r="B16487" s="3" t="s">
        <v>15653</v>
      </c>
      <c r="C16487" s="3" t="str">
        <f>IFERROR(__xludf.DUMMYFUNCTION("GOOGLETRANSLATE(B16487,""id"",""en"")"),"['APK', 'opened', 'suda']")</f>
        <v>['APK', 'opened', 'suda']</v>
      </c>
      <c r="D16487" s="3">
        <v>5.0</v>
      </c>
    </row>
    <row r="16488" ht="15.75" customHeight="1">
      <c r="A16488" s="1">
        <v>17523.0</v>
      </c>
      <c r="B16488" s="3" t="s">
        <v>15654</v>
      </c>
      <c r="C16488" s="3" t="str">
        <f>IFERROR(__xludf.DUMMYFUNCTION("GOOGLETRANSLATE(B16488,""id"",""en"")"),"['lag', 'open', 'open', 'complain', 'handled', 'data', 'admin', 'Telkomsel', 'read', 'reply', 'complaint', 'face', ' Telkomsel ',' Disappointed ']")</f>
        <v>['lag', 'open', 'open', 'complain', 'handled', 'data', 'admin', 'Telkomsel', 'read', 'reply', 'complaint', 'face', ' Telkomsel ',' Disappointed ']</v>
      </c>
      <c r="D16488" s="3">
        <v>1.0</v>
      </c>
    </row>
    <row r="16489" ht="15.75" customHeight="1">
      <c r="A16489" s="1">
        <v>17524.0</v>
      </c>
      <c r="B16489" s="3" t="s">
        <v>15655</v>
      </c>
      <c r="C16489" s="3" t="str">
        <f>IFERROR(__xludf.DUMMYFUNCTION("GOOGLETRANSLATE(B16489,""id"",""en"")"),"['Operator', 'cellular', 'Indonesia']")</f>
        <v>['Operator', 'cellular', 'Indonesia']</v>
      </c>
      <c r="D16489" s="3">
        <v>4.0</v>
      </c>
    </row>
    <row r="16490" ht="15.75" customHeight="1">
      <c r="A16490" s="1">
        <v>17525.0</v>
      </c>
      <c r="B16490" s="3" t="s">
        <v>15656</v>
      </c>
      <c r="C16490" s="3" t="str">
        <f>IFERROR(__xludf.DUMMYFUNCTION("GOOGLETRANSLATE(B16490,""id"",""en"")"),"['Suwekkk', 'Open', 'UDH', 'Try', 'Disappointed', 'Quality', 'Service']")</f>
        <v>['Suwekkk', 'Open', 'UDH', 'Try', 'Disappointed', 'Quality', 'Service']</v>
      </c>
      <c r="D16490" s="3">
        <v>1.0</v>
      </c>
    </row>
    <row r="16491" ht="15.75" customHeight="1">
      <c r="A16491" s="1">
        <v>17526.0</v>
      </c>
      <c r="B16491" s="3" t="s">
        <v>15657</v>
      </c>
      <c r="C16491" s="3" t="str">
        <f>IFERROR(__xludf.DUMMYFUNCTION("GOOGLETRANSLATE(B16491,""id"",""en"")"),"['Signal', 'Telkomsel', 'AUT', 'Sekaran']")</f>
        <v>['Signal', 'Telkomsel', 'AUT', 'Sekaran']</v>
      </c>
      <c r="D16491" s="3">
        <v>1.0</v>
      </c>
    </row>
    <row r="16492" ht="15.75" customHeight="1">
      <c r="A16492" s="1">
        <v>17527.0</v>
      </c>
      <c r="B16492" s="3" t="s">
        <v>15658</v>
      </c>
      <c r="C16492" s="3" t="str">
        <f>IFERROR(__xludf.DUMMYFUNCTION("GOOGLETRANSLATE(B16492,""id"",""en"")"),"['Thank you', 'making easier']")</f>
        <v>['Thank you', 'making easier']</v>
      </c>
      <c r="D16492" s="3">
        <v>4.0</v>
      </c>
    </row>
    <row r="16493" ht="15.75" customHeight="1">
      <c r="A16493" s="1">
        <v>17528.0</v>
      </c>
      <c r="B16493" s="3" t="s">
        <v>15659</v>
      </c>
      <c r="C16493" s="3" t="str">
        <f>IFERROR(__xludf.DUMMYFUNCTION("GOOGLETRANSLATE(B16493,""id"",""en"")"),"['Telkomsel', 'Bener', 'Bener', 'already', 'times',' Uninstall ',' Install ',' APK ',' already ',' date ',' December ',' screen ',' White ',' Please ',' Please ',' Response ',' Liat ',' Review ',' Ngeluh ',' White ',' Screen ',' Telkomsel ',' Karna ',' Te"&amp;"lkomsel ',' Facilitates' , 'mah', 'name', 'bother']")</f>
        <v>['Telkomsel', 'Bener', 'Bener', 'already', 'times',' Uninstall ',' Install ',' APK ',' already ',' date ',' December ',' screen ',' White ',' Please ',' Please ',' Response ',' Liat ',' Review ',' Ngeluh ',' White ',' Screen ',' Telkomsel ',' Karna ',' Telkomsel ',' Facilitates' , 'mah', 'name', 'bother']</v>
      </c>
      <c r="D16493" s="3">
        <v>1.0</v>
      </c>
    </row>
    <row r="16494" ht="15.75" customHeight="1">
      <c r="A16494" s="1">
        <v>17529.0</v>
      </c>
      <c r="B16494" s="3" t="s">
        <v>15660</v>
      </c>
      <c r="C16494" s="3" t="str">
        <f>IFERROR(__xludf.DUMMYFUNCTION("GOOGLETRANSLATE(B16494,""id"",""en"")"),"['easy', 'light', 'fast']")</f>
        <v>['easy', 'light', 'fast']</v>
      </c>
      <c r="D16494" s="3">
        <v>5.0</v>
      </c>
    </row>
    <row r="16495" ht="15.75" customHeight="1">
      <c r="A16495" s="1">
        <v>17530.0</v>
      </c>
      <c r="B16495" s="3" t="s">
        <v>15661</v>
      </c>
      <c r="C16495" s="3" t="str">
        <f>IFERROR(__xludf.DUMMYFUNCTION("GOOGLETRANSLATE(B16495,""id"",""en"")"),"['Help', 'process', 'buy']")</f>
        <v>['Help', 'process', 'buy']</v>
      </c>
      <c r="D16495" s="3">
        <v>5.0</v>
      </c>
    </row>
    <row r="16496" ht="15.75" customHeight="1">
      <c r="A16496" s="1">
        <v>17531.0</v>
      </c>
      <c r="B16496" s="3" t="s">
        <v>15662</v>
      </c>
      <c r="C16496" s="3" t="str">
        <f>IFERROR(__xludf.DUMMYFUNCTION("GOOGLETRANSLATE(B16496,""id"",""en"")"),"['best', 'easy', 'really']")</f>
        <v>['best', 'easy', 'really']</v>
      </c>
      <c r="D16496" s="3">
        <v>5.0</v>
      </c>
    </row>
    <row r="16497" ht="15.75" customHeight="1">
      <c r="A16497" s="1">
        <v>17532.0</v>
      </c>
      <c r="B16497" s="3" t="s">
        <v>15663</v>
      </c>
      <c r="C16497" s="3" t="str">
        <f>IFERROR(__xludf.DUMMYFUNCTION("GOOGLETRANSLATE(B16497,""id"",""en"")"),"['cave', 'love', 'Review', 'Bacot']")</f>
        <v>['cave', 'love', 'Review', 'Bacot']</v>
      </c>
      <c r="D16497" s="3">
        <v>1.0</v>
      </c>
    </row>
    <row r="16498" ht="15.75" customHeight="1">
      <c r="A16498" s="1">
        <v>17534.0</v>
      </c>
      <c r="B16498" s="3" t="s">
        <v>15664</v>
      </c>
      <c r="C16498" s="3" t="str">
        <f>IFERROR(__xludf.DUMMYFUNCTION("GOOGLETRANSLATE(B16498,""id"",""en"")"),"['Sorry', 'upgrade', 'search', 'profit', 'application', 'comfortable', 'use', '']")</f>
        <v>['Sorry', 'upgrade', 'search', 'profit', 'application', 'comfortable', 'use', '']</v>
      </c>
      <c r="D16498" s="3">
        <v>5.0</v>
      </c>
    </row>
    <row r="16499" ht="15.75" customHeight="1">
      <c r="A16499" s="1">
        <v>17535.0</v>
      </c>
      <c r="B16499" s="3" t="s">
        <v>15665</v>
      </c>
      <c r="C16499" s="3" t="str">
        <f>IFERROR(__xludf.DUMMYFUNCTION("GOOGLETRANSLATE(B16499,""id"",""en"")"),"['Please', 'Sorry', 'min', 'price', 'quota', 'Telkomsel', 'area', 'here', 'already', 'so', 'signal', 'as good', ' rich ',' please ',' min ',' please ',' repair ']")</f>
        <v>['Please', 'Sorry', 'min', 'price', 'quota', 'Telkomsel', 'area', 'here', 'already', 'so', 'signal', 'as good', ' rich ',' please ',' min ',' please ',' repair ']</v>
      </c>
      <c r="D16499" s="3">
        <v>1.0</v>
      </c>
    </row>
    <row r="16500" ht="15.75" customHeight="1">
      <c r="A16500" s="1">
        <v>17536.0</v>
      </c>
      <c r="B16500" s="3" t="s">
        <v>15666</v>
      </c>
      <c r="C16500" s="3" t="str">
        <f>IFERROR(__xludf.DUMMYFUNCTION("GOOGLETRANSLATE(B16500,""id"",""en"")"),"['', 'Update', 'Open', 'APK', 'Bad']")</f>
        <v>['', 'Update', 'Open', 'APK', 'Bad']</v>
      </c>
      <c r="D16500" s="3">
        <v>1.0</v>
      </c>
    </row>
    <row r="16501" ht="15.75" customHeight="1">
      <c r="A16501" s="1">
        <v>17537.0</v>
      </c>
      <c r="B16501" s="3" t="s">
        <v>15667</v>
      </c>
      <c r="C16501" s="3" t="str">
        <f>IFERROR(__xludf.DUMMYFUNCTION("GOOGLETRANSLATE(B16501,""id"",""en"")"),"['Telkomsel', 'Reach', 'Region', 'makes it easier', 'communication', 'nation', 'network', 'produce', 'sound', 'price', 'affordable']")</f>
        <v>['Telkomsel', 'Reach', 'Region', 'makes it easier', 'communication', 'nation', 'network', 'produce', 'sound', 'price', 'affordable']</v>
      </c>
      <c r="D16501" s="3">
        <v>5.0</v>
      </c>
    </row>
    <row r="16502" ht="15.75" customHeight="1">
      <c r="A16502" s="1">
        <v>17538.0</v>
      </c>
      <c r="B16502" s="3" t="s">
        <v>15668</v>
      </c>
      <c r="C16502" s="3" t="str">
        <f>IFERROR(__xludf.DUMMYFUNCTION("GOOGLETRANSLATE(B16502,""id"",""en"")"),"['service', 'Telkomsel', 'disruption', 'signal', 'weather', 'cloud', 'annoying', 'activity', 'online', 'beg', 'enhanced', 'strength', ' The signal ',' Thank "", 'Love', 'Telkomsel',""]")</f>
        <v>['service', 'Telkomsel', 'disruption', 'signal', 'weather', 'cloud', 'annoying', 'activity', 'online', 'beg', 'enhanced', 'strength', ' The signal ',' Thank ", 'Love', 'Telkomsel',"]</v>
      </c>
      <c r="D16502" s="3">
        <v>5.0</v>
      </c>
    </row>
    <row r="16503" ht="15.75" customHeight="1">
      <c r="A16503" s="1">
        <v>17539.0</v>
      </c>
      <c r="B16503" s="3" t="s">
        <v>15669</v>
      </c>
      <c r="C16503" s="3" t="str">
        <f>IFERROR(__xludf.DUMMYFUNCTION("GOOGLETRANSLATE(B16503,""id"",""en"")"),"['Update', 'Ngebug', 'Open']")</f>
        <v>['Update', 'Ngebug', 'Open']</v>
      </c>
      <c r="D16503" s="3">
        <v>1.0</v>
      </c>
    </row>
    <row r="16504" ht="15.75" customHeight="1">
      <c r="A16504" s="1">
        <v>17540.0</v>
      </c>
      <c r="B16504" s="3" t="s">
        <v>15670</v>
      </c>
      <c r="C16504" s="3" t="str">
        <f>IFERROR(__xludf.DUMMYFUNCTION("GOOGLETRANSLATE(B16504,""id"",""en"")"),"['App', 'BURIK', 'Fraud', 'opened', 'Network', '']")</f>
        <v>['App', 'BURIK', 'Fraud', 'opened', 'Network', '']</v>
      </c>
      <c r="D16504" s="3">
        <v>2.0</v>
      </c>
    </row>
    <row r="16505" ht="15.75" customHeight="1">
      <c r="A16505" s="1">
        <v>17541.0</v>
      </c>
      <c r="B16505" s="3" t="s">
        <v>15671</v>
      </c>
      <c r="C16505" s="3" t="str">
        <f>IFERROR(__xludf.DUMMYFUNCTION("GOOGLETRANSLATE(B16505,""id"",""en"")"),"['Method', 'Payment', 'Fund', 'Please', 'Restore', 'Sekrang', 'Remnant', 'Indomart', 'make it difficult', 'signal', 'already', 'bnyak', ' Complaints', 'good', 'here', 'Kyak', 'gini']")</f>
        <v>['Method', 'Payment', 'Fund', 'Please', 'Restore', 'Sekrang', 'Remnant', 'Indomart', 'make it difficult', 'signal', 'already', 'bnyak', ' Complaints', 'good', 'here', 'Kyak', 'gini']</v>
      </c>
      <c r="D16505" s="3">
        <v>1.0</v>
      </c>
    </row>
    <row r="16506" ht="15.75" customHeight="1">
      <c r="A16506" s="1">
        <v>17542.0</v>
      </c>
      <c r="B16506" s="3" t="s">
        <v>15672</v>
      </c>
      <c r="C16506" s="3" t="str">
        <f>IFERROR(__xludf.DUMMYFUNCTION("GOOGLETRANSLATE(B16506,""id"",""en"")"),"['Current', 'fares', 'expensive', 'vendor']")</f>
        <v>['Current', 'fares', 'expensive', 'vendor']</v>
      </c>
      <c r="D16506" s="3">
        <v>4.0</v>
      </c>
    </row>
    <row r="16507" ht="15.75" customHeight="1">
      <c r="A16507" s="1">
        <v>17543.0</v>
      </c>
      <c r="B16507" s="3" t="s">
        <v>15673</v>
      </c>
      <c r="C16507" s="3" t="str">
        <f>IFERROR(__xludf.DUMMYFUNCTION("GOOGLETRANSLATE(B16507,""id"",""en"")"),"['Mantul', 'staple']")</f>
        <v>['Mantul', 'staple']</v>
      </c>
      <c r="D16507" s="3">
        <v>5.0</v>
      </c>
    </row>
    <row r="16508" ht="15.75" customHeight="1">
      <c r="A16508" s="1">
        <v>17544.0</v>
      </c>
      <c r="B16508" s="3" t="s">
        <v>15674</v>
      </c>
      <c r="C16508" s="3" t="str">
        <f>IFERROR(__xludf.DUMMYFUNCTION("GOOGLETRANSLATE(B16508,""id"",""en"")"),"['quota', 'expensive', 'quality', 'broken', '']")</f>
        <v>['quota', 'expensive', 'quality', 'broken', '']</v>
      </c>
      <c r="D16508" s="3">
        <v>1.0</v>
      </c>
    </row>
    <row r="16509" ht="15.75" customHeight="1">
      <c r="A16509" s="1">
        <v>17545.0</v>
      </c>
      <c r="B16509" s="3" t="s">
        <v>3031</v>
      </c>
      <c r="C16509" s="3" t="str">
        <f>IFERROR(__xludf.DUMMYFUNCTION("GOOGLETRANSLATE(B16509,""id"",""en"")"),"['Help', 'easy']")</f>
        <v>['Help', 'easy']</v>
      </c>
      <c r="D16509" s="3">
        <v>5.0</v>
      </c>
    </row>
    <row r="16510" ht="15.75" customHeight="1">
      <c r="A16510" s="1">
        <v>17546.0</v>
      </c>
      <c r="B16510" s="3" t="s">
        <v>15675</v>
      </c>
      <c r="C16510" s="3" t="str">
        <f>IFERROR(__xludf.DUMMYFUNCTION("GOOGLETRANSLATE(B16510,""id"",""en"")"),"['The application', 'Helpful', '']")</f>
        <v>['The application', 'Helpful', '']</v>
      </c>
      <c r="D16510" s="3">
        <v>5.0</v>
      </c>
    </row>
    <row r="16511" ht="15.75" customHeight="1">
      <c r="A16511" s="1">
        <v>17547.0</v>
      </c>
      <c r="B16511" s="3" t="s">
        <v>15676</v>
      </c>
      <c r="C16511" s="3" t="str">
        <f>IFERROR(__xludf.DUMMYFUNCTION("GOOGLETRANSLATE(B16511,""id"",""en"")"),"['Out', 'update', 'Nggk', 'buy', 'package', 'wallet', 'sangt', 'sacreda']")</f>
        <v>['Out', 'update', 'Nggk', 'buy', 'package', 'wallet', 'sangt', 'sacreda']</v>
      </c>
      <c r="D16511" s="3">
        <v>1.0</v>
      </c>
    </row>
    <row r="16512" ht="15.75" customHeight="1">
      <c r="A16512" s="1">
        <v>17548.0</v>
      </c>
      <c r="B16512" s="3" t="s">
        <v>15677</v>
      </c>
      <c r="C16512" s="3" t="str">
        <f>IFERROR(__xludf.DUMMYFUNCTION("GOOGLETRANSLATE(B16512,""id"",""en"")"),"['Telkomsel', 'Champion', 'Medicine']")</f>
        <v>['Telkomsel', 'Champion', 'Medicine']</v>
      </c>
      <c r="D16512" s="3">
        <v>5.0</v>
      </c>
    </row>
    <row r="16513" ht="15.75" customHeight="1">
      <c r="A16513" s="1">
        <v>17549.0</v>
      </c>
      <c r="B16513" s="3" t="s">
        <v>15678</v>
      </c>
      <c r="C16513" s="3" t="str">
        <f>IFERROR(__xludf.DUMMYFUNCTION("GOOGLETRANSLATE(B16513,""id"",""en"")"),"['Mantab', 'Application', 'Telkomsel']")</f>
        <v>['Mantab', 'Application', 'Telkomsel']</v>
      </c>
      <c r="D16513" s="3">
        <v>5.0</v>
      </c>
    </row>
    <row r="16514" ht="15.75" customHeight="1">
      <c r="A16514" s="1">
        <v>17550.0</v>
      </c>
      <c r="B16514" s="3" t="s">
        <v>15679</v>
      </c>
      <c r="C16514" s="3" t="str">
        <f>IFERROR(__xludf.DUMMYFUNCTION("GOOGLETRANSLATE(B16514,""id"",""en"")"),"['min', 'quota', 'gamesmax', 'play', 'pubg', 'disappointed', 'right', 'buy', 'package', 'gamemax', 'diamond', 'game', ' Pubg ',' Mobilev Not ',' printed ',' ']")</f>
        <v>['min', 'quota', 'gamesmax', 'play', 'pubg', 'disappointed', 'right', 'buy', 'package', 'gamemax', 'diamond', 'game', ' Pubg ',' Mobilev Not ',' printed ',' ']</v>
      </c>
      <c r="D16514" s="3">
        <v>1.0</v>
      </c>
    </row>
    <row r="16515" ht="15.75" customHeight="1">
      <c r="A16515" s="1">
        <v>17551.0</v>
      </c>
      <c r="B16515" s="3" t="s">
        <v>15680</v>
      </c>
      <c r="C16515" s="3" t="str">
        <f>IFERROR(__xludf.DUMMYFUNCTION("GOOGLETRANSLATE(B16515,""id"",""en"")"),"['price', 'card', 'Hallo', 'postpaid', 'expensive', 'signal', 'ugly', 'mending', 'disband', 'Telkomsel', 'exceed', 'System', ' RENTENIR ',' ']")</f>
        <v>['price', 'card', 'Hallo', 'postpaid', 'expensive', 'signal', 'ugly', 'mending', 'disband', 'Telkomsel', 'exceed', 'System', ' RENTENIR ',' ']</v>
      </c>
      <c r="D16515" s="3">
        <v>1.0</v>
      </c>
    </row>
    <row r="16516" ht="15.75" customHeight="1">
      <c r="A16516" s="1">
        <v>17552.0</v>
      </c>
      <c r="B16516" s="3" t="s">
        <v>15681</v>
      </c>
      <c r="C16516" s="3" t="str">
        <f>IFERROR(__xludf.DUMMYFUNCTION("GOOGLETRANSLATE(B16516,""id"",""en"")"),"['Good', 'Open', 'The application']")</f>
        <v>['Good', 'Open', 'The application']</v>
      </c>
      <c r="D16516" s="3">
        <v>5.0</v>
      </c>
    </row>
    <row r="16517" ht="15.75" customHeight="1">
      <c r="A16517" s="1">
        <v>17553.0</v>
      </c>
      <c r="B16517" s="3" t="s">
        <v>15682</v>
      </c>
      <c r="C16517" s="3" t="str">
        <f>IFERROR(__xludf.DUMMYFUNCTION("GOOGLETRANSLATE(B16517,""id"",""en"")"),"['top', 'markotop', 'signal', 'steady', 'even though', 'dead', 'lights',' data ',' telephone ',' just ',' Jos', 'thank you', ' Team ',' Telkomsel ',' Greetings', 'Success',' air ', ""]")</f>
        <v>['top', 'markotop', 'signal', 'steady', 'even though', 'dead', 'lights',' data ',' telephone ',' just ',' Jos', 'thank you', ' Team ',' Telkomsel ',' Greetings', 'Success',' air ', "]</v>
      </c>
      <c r="D16517" s="3">
        <v>5.0</v>
      </c>
    </row>
    <row r="16518" ht="15.75" customHeight="1">
      <c r="A16518" s="1">
        <v>17554.0</v>
      </c>
      <c r="B16518" s="3" t="s">
        <v>15683</v>
      </c>
      <c r="C16518" s="3" t="str">
        <f>IFERROR(__xludf.DUMMYFUNCTION("GOOGLETRANSLATE(B16518,""id"",""en"")"),"['Method', 'Payment', 'APP', 'MyTelkomsel', 'Lost', 'Min', 'GIMNA', 'GIVING', 'CMN', 'Payment', 'Via', 'Credit', ' ']")</f>
        <v>['Method', 'Payment', 'APP', 'MyTelkomsel', 'Lost', 'Min', 'GIMNA', 'GIVING', 'CMN', 'Payment', 'Via', 'Credit', ' ']</v>
      </c>
      <c r="D16518" s="3">
        <v>2.0</v>
      </c>
    </row>
    <row r="16519" ht="15.75" customHeight="1">
      <c r="A16519" s="1">
        <v>17555.0</v>
      </c>
      <c r="B16519" s="3" t="s">
        <v>15684</v>
      </c>
      <c r="C16519" s="3" t="str">
        <f>IFERROR(__xludf.DUMMYFUNCTION("GOOGLETRANSLATE(B16519,""id"",""en"")"),"['Feelings',' Price ',' Mulu ',' Price ',' Continuous', 'Cool', 'Uda', 'Hopefully', 'Healthy', 'Keridans',' yaa ',' Massa ',' Pandemic ',' Gini ',' expensive ',' Surveih ',' Hadehhhh ', ""]")</f>
        <v>['Feelings',' Price ',' Mulu ',' Price ',' Continuous', 'Cool', 'Uda', 'Hopefully', 'Healthy', 'Keridans',' yaa ',' Massa ',' Pandemic ',' Gini ',' expensive ',' Surveih ',' Hadehhhh ', "]</v>
      </c>
      <c r="D16519" s="3">
        <v>1.0</v>
      </c>
    </row>
    <row r="16520" ht="15.75" customHeight="1">
      <c r="A16520" s="1">
        <v>17556.0</v>
      </c>
      <c r="B16520" s="3" t="s">
        <v>15685</v>
      </c>
      <c r="C16520" s="3" t="str">
        <f>IFERROR(__xludf.DUMMYFUNCTION("GOOGLETRANSLATE(B16520,""id"",""en"")"),"['Telkomsel', 'internet', 'smooth', '']")</f>
        <v>['Telkomsel', 'internet', 'smooth', '']</v>
      </c>
      <c r="D16520" s="3">
        <v>4.0</v>
      </c>
    </row>
    <row r="16521" ht="15.75" customHeight="1">
      <c r="A16521" s="1">
        <v>17557.0</v>
      </c>
      <c r="B16521" s="3" t="s">
        <v>15686</v>
      </c>
      <c r="C16521" s="3" t="str">
        <f>IFERROR(__xludf.DUMMYFUNCTION("GOOGLETRANSLATE(B16521,""id"",""en"")"),"['What', 'wooiii', 'top', 'pulse', 'thousand', 'entered', 'wooiiiiii', '']")</f>
        <v>['What', 'wooiii', 'top', 'pulse', 'thousand', 'entered', 'wooiiiiii', '']</v>
      </c>
      <c r="D16521" s="3">
        <v>5.0</v>
      </c>
    </row>
    <row r="16522" ht="15.75" customHeight="1">
      <c r="A16522" s="1">
        <v>17559.0</v>
      </c>
      <c r="B16522" s="3" t="s">
        <v>15687</v>
      </c>
      <c r="C16522" s="3" t="str">
        <f>IFERROR(__xludf.DUMMYFUNCTION("GOOGLETRANSLATE(B16522,""id"",""en"")"),"['PACTH', 'Payment', 'Method', 'Update', 'Try', 'Fix', 'PACTH', '']")</f>
        <v>['PACTH', 'Payment', 'Method', 'Update', 'Try', 'Fix', 'PACTH', '']</v>
      </c>
      <c r="D16522" s="3">
        <v>1.0</v>
      </c>
    </row>
    <row r="16523" ht="15.75" customHeight="1">
      <c r="A16523" s="1">
        <v>17560.0</v>
      </c>
      <c r="B16523" s="3" t="s">
        <v>15688</v>
      </c>
      <c r="C16523" s="3" t="str">
        <f>IFERROR(__xludf.DUMMYFUNCTION("GOOGLETRANSLATE(B16523,""id"",""en"")"),"['application', 'when']]")</f>
        <v>['application', 'when']]</v>
      </c>
      <c r="D16523" s="3">
        <v>5.0</v>
      </c>
    </row>
    <row r="16524" ht="15.75" customHeight="1">
      <c r="A16524" s="1">
        <v>17561.0</v>
      </c>
      <c r="B16524" s="3" t="s">
        <v>15689</v>
      </c>
      <c r="C16524" s="3" t="str">
        <f>IFERROR(__xludf.DUMMYFUNCTION("GOOGLETRANSLATE(B16524,""id"",""en"")"),"['knp', 'buy', 'credit', 'credivo', ""]")</f>
        <v>['knp', 'buy', 'credit', 'credivo', "]</v>
      </c>
      <c r="D16524" s="3">
        <v>1.0</v>
      </c>
    </row>
    <row r="16525" ht="15.75" customHeight="1">
      <c r="A16525" s="1">
        <v>17562.0</v>
      </c>
      <c r="B16525" s="3" t="s">
        <v>15690</v>
      </c>
      <c r="C16525" s="3" t="str">
        <f>IFERROR(__xludf.DUMMYFUNCTION("GOOGLETRANSLATE(B16525,""id"",""en"")"),"['difficult', 'NOT', 'Wait', 'Open', ""]")</f>
        <v>['difficult', 'NOT', 'Wait', 'Open', "]</v>
      </c>
      <c r="D16525" s="3">
        <v>1.0</v>
      </c>
    </row>
    <row r="16526" ht="15.75" customHeight="1">
      <c r="A16526" s="1">
        <v>17563.0</v>
      </c>
      <c r="B16526" s="3" t="s">
        <v>15691</v>
      </c>
      <c r="C16526" s="3" t="str">
        <f>IFERROR(__xludf.DUMMYFUNCTION("GOOGLETRANSLATE(B16526,""id"",""en"")"),"['mantapppp', 'boss', '']")</f>
        <v>['mantapppp', 'boss', '']</v>
      </c>
      <c r="D16526" s="3">
        <v>5.0</v>
      </c>
    </row>
    <row r="16527" ht="15.75" customHeight="1">
      <c r="A16527" s="1">
        <v>17564.0</v>
      </c>
      <c r="B16527" s="3" t="s">
        <v>15692</v>
      </c>
      <c r="C16527" s="3" t="str">
        <f>IFERROR(__xludf.DUMMYFUNCTION("GOOGLETRANSLATE(B16527,""id"",""en"")"),"['Communication', 'Current', 'Telkomsel', 'Come', 'Join', 'Telkomsel']")</f>
        <v>['Communication', 'Current', 'Telkomsel', 'Come', 'Join', 'Telkomsel']</v>
      </c>
      <c r="D16527" s="3">
        <v>5.0</v>
      </c>
    </row>
    <row r="16528" ht="15.75" customHeight="1">
      <c r="A16528" s="1">
        <v>17565.0</v>
      </c>
      <c r="B16528" s="3" t="s">
        <v>15693</v>
      </c>
      <c r="C16528" s="3" t="str">
        <f>IFERROR(__xludf.DUMMYFUNCTION("GOOGLETRANSLATE(B16528,""id"",""en"")"),"['Package', 'Gamemax', 'Maen', 'Game', 'Use', 'Buy', 'Package', ""]")</f>
        <v>['Package', 'Gamemax', 'Maen', 'Game', 'Use', 'Buy', 'Package', "]</v>
      </c>
      <c r="D16528" s="3">
        <v>1.0</v>
      </c>
    </row>
    <row r="16529" ht="15.75" customHeight="1">
      <c r="A16529" s="1">
        <v>17566.0</v>
      </c>
      <c r="B16529" s="3" t="s">
        <v>15694</v>
      </c>
      <c r="C16529" s="3" t="str">
        <f>IFERROR(__xludf.DUMMYFUNCTION("GOOGLETRANSLATE(B16529,""id"",""en"")"),"['Package', 'Internet', 'trap', 'heart', 'buy']")</f>
        <v>['Package', 'Internet', 'trap', 'heart', 'buy']</v>
      </c>
      <c r="D16529" s="3">
        <v>1.0</v>
      </c>
    </row>
    <row r="16530" ht="15.75" customHeight="1">
      <c r="A16530" s="1">
        <v>17567.0</v>
      </c>
      <c r="B16530" s="3" t="s">
        <v>15695</v>
      </c>
      <c r="C16530" s="3" t="str">
        <f>IFERROR(__xludf.DUMMYFUNCTION("GOOGLETRANSLATE(B16530,""id"",""en"")"),"['Knp', 'Telkomsel', 'open', 'koq', 'ngblank', 'white', 'screen', 'look', 'provider', 'expensive', 'tea', 'strange', ' ']")</f>
        <v>['Knp', 'Telkomsel', 'open', 'koq', 'ngblank', 'white', 'screen', 'look', 'provider', 'expensive', 'tea', 'strange', ' ']</v>
      </c>
      <c r="D16530" s="3">
        <v>1.0</v>
      </c>
    </row>
    <row r="16531" ht="15.75" customHeight="1">
      <c r="A16531" s="1">
        <v>17568.0</v>
      </c>
      <c r="B16531" s="3" t="s">
        <v>15696</v>
      </c>
      <c r="C16531" s="3" t="str">
        <f>IFERROR(__xludf.DUMMYFUNCTION("GOOGLETRANSLATE(B16531,""id"",""en"")"),"['stop', '']")</f>
        <v>['stop', '']</v>
      </c>
      <c r="D16531" s="3">
        <v>5.0</v>
      </c>
    </row>
    <row r="16532" ht="15.75" customHeight="1">
      <c r="A16532" s="1">
        <v>17569.0</v>
      </c>
      <c r="B16532" s="3" t="s">
        <v>15697</v>
      </c>
      <c r="C16532" s="3" t="str">
        <f>IFERROR(__xludf.DUMMYFUNCTION("GOOGLETRANSLATE(B16532,""id"",""en"")"),"['Login', 'Telkomsel', 'Love', 'Star', '']")</f>
        <v>['Login', 'Telkomsel', 'Love', 'Star', '']</v>
      </c>
      <c r="D16532" s="3">
        <v>1.0</v>
      </c>
    </row>
    <row r="16533" ht="15.75" customHeight="1">
      <c r="A16533" s="1">
        <v>17570.0</v>
      </c>
      <c r="B16533" s="3" t="s">
        <v>15698</v>
      </c>
      <c r="C16533" s="3" t="str">
        <f>IFERROR(__xludf.DUMMYFUNCTION("GOOGLETRANSLATE(B16533,""id"",""en"")"),"['price', 'data', 'expensive', 'network', 'bad', 'Sikian', 'thank you']")</f>
        <v>['price', 'data', 'expensive', 'network', 'bad', 'Sikian', 'thank you']</v>
      </c>
      <c r="D16533" s="3">
        <v>2.0</v>
      </c>
    </row>
    <row r="16534" ht="15.75" customHeight="1">
      <c r="A16534" s="1">
        <v>17571.0</v>
      </c>
      <c r="B16534" s="3" t="s">
        <v>15699</v>
      </c>
      <c r="C16534" s="3" t="str">
        <f>IFERROR(__xludf.DUMMYFUNCTION("GOOGLETRANSLATE(B16534,""id"",""en"")"),"['Application', 'Out', 'Update', 'Screen', 'White', 'No', 'App', 'Check', 'Status',' Check ',' Please ',' Confirm ',' Solisinua ']")</f>
        <v>['Application', 'Out', 'Update', 'Screen', 'White', 'No', 'App', 'Check', 'Status',' Check ',' Please ',' Confirm ',' Solisinua ']</v>
      </c>
      <c r="D16534" s="3">
        <v>2.0</v>
      </c>
    </row>
    <row r="16535" ht="15.75" customHeight="1">
      <c r="A16535" s="1">
        <v>17572.0</v>
      </c>
      <c r="B16535" s="3" t="s">
        <v>15700</v>
      </c>
      <c r="C16535" s="3" t="str">
        <f>IFERROR(__xludf.DUMMYFUNCTION("GOOGLETRANSLATE(B16535,""id"",""en"")"),"['steady', 'times', 'get', 'sustenance', 'Telkomsel', ""]")</f>
        <v>['steady', 'times', 'get', 'sustenance', 'Telkomsel', "]</v>
      </c>
      <c r="D16535" s="3">
        <v>5.0</v>
      </c>
    </row>
    <row r="16536" ht="15.75" customHeight="1">
      <c r="A16536" s="1">
        <v>17573.0</v>
      </c>
      <c r="B16536" s="3" t="s">
        <v>15701</v>
      </c>
      <c r="C16536" s="3" t="str">
        <f>IFERROR(__xludf.DUMMYFUNCTION("GOOGLETRANSLATE(B16536,""id"",""en"")"),"['steady', 'package', '']")</f>
        <v>['steady', 'package', '']</v>
      </c>
      <c r="D16536" s="3">
        <v>5.0</v>
      </c>
    </row>
    <row r="16537" ht="15.75" customHeight="1">
      <c r="A16537" s="1">
        <v>17574.0</v>
      </c>
      <c r="B16537" s="3" t="s">
        <v>15702</v>
      </c>
      <c r="C16537" s="3" t="str">
        <f>IFERROR(__xludf.DUMMYFUNCTION("GOOGLETRANSLATE(B16537,""id"",""en"")"),"['Telkomsel', 'expensive', 'network', 'TPI', 'Quality', 'Bad', 'Bentarw', 'Leet', 'Telkomsel', 'take', 'profit', 'chapter']")</f>
        <v>['Telkomsel', 'expensive', 'network', 'TPI', 'Quality', 'Bad', 'Bentarw', 'Leet', 'Telkomsel', 'take', 'profit', 'chapter']</v>
      </c>
      <c r="D16537" s="3">
        <v>2.0</v>
      </c>
    </row>
    <row r="16538" ht="15.75" customHeight="1">
      <c r="A16538" s="1">
        <v>17575.0</v>
      </c>
      <c r="B16538" s="3" t="s">
        <v>15703</v>
      </c>
      <c r="C16538" s="3" t="str">
        <f>IFERROR(__xludf.DUMMYFUNCTION("GOOGLETRANSLATE(B16538,""id"",""en"")"),"['Choice', 'Method', 'Payment', 'Account', 'Credit', 'Mandiri', 'Please', 'Overcome']")</f>
        <v>['Choice', 'Method', 'Payment', 'Account', 'Credit', 'Mandiri', 'Please', 'Overcome']</v>
      </c>
      <c r="D16538" s="3">
        <v>1.0</v>
      </c>
    </row>
    <row r="16539" ht="15.75" customHeight="1">
      <c r="A16539" s="1">
        <v>17576.0</v>
      </c>
      <c r="B16539" s="3" t="s">
        <v>15704</v>
      </c>
      <c r="C16539" s="3" t="str">
        <f>IFERROR(__xludf.DUMMYFUNCTION("GOOGLETRANSLATE(B16539,""id"",""en"")"),"['Open', 'application', 'slow', 'really', 'update', 'heavy', '']")</f>
        <v>['Open', 'application', 'slow', 'really', 'update', 'heavy', '']</v>
      </c>
      <c r="D16539" s="3">
        <v>1.0</v>
      </c>
    </row>
    <row r="16540" ht="15.75" customHeight="1">
      <c r="A16540" s="1">
        <v>17577.0</v>
      </c>
      <c r="B16540" s="3" t="s">
        <v>15705</v>
      </c>
      <c r="C16540" s="3" t="str">
        <f>IFERROR(__xludf.DUMMYFUNCTION("GOOGLETRANSLATE(B16540,""id"",""en"")"),"['', 'DGL', 'DSMBER', 'MLM', 'KNPA', 'Signal', 'Sudden', 'Lost', 'Telkomsel', ""]")</f>
        <v>['', 'DGL', 'DSMBER', 'MLM', 'KNPA', 'Signal', 'Sudden', 'Lost', 'Telkomsel', "]</v>
      </c>
      <c r="D16540" s="3">
        <v>1.0</v>
      </c>
    </row>
    <row r="16541" ht="15.75" customHeight="1">
      <c r="A16541" s="1">
        <v>17578.0</v>
      </c>
      <c r="B16541" s="3" t="s">
        <v>15706</v>
      </c>
      <c r="C16541" s="3" t="str">
        <f>IFERROR(__xludf.DUMMYFUNCTION("GOOGLETRANSLATE(B16541,""id"",""en"")"),"['aje', 'network', 'severe', 'expensive', 'expensive', 'expensive', 'expensive', 'signal', 'pulp', ""]")</f>
        <v>['aje', 'network', 'severe', 'expensive', 'expensive', 'expensive', 'expensive', 'signal', 'pulp', "]</v>
      </c>
      <c r="D16541" s="3">
        <v>1.0</v>
      </c>
    </row>
    <row r="16542" ht="15.75" customHeight="1">
      <c r="A16542" s="1">
        <v>17579.0</v>
      </c>
      <c r="B16542" s="3" t="s">
        <v>15707</v>
      </c>
      <c r="C16542" s="3" t="str">
        <f>IFERROR(__xludf.DUMMYFUNCTION("GOOGLETRANSLATE(B16542,""id"",""en"")"),"['Purchase', 'pulse', 'maintenance', 'process', 'elevate', 'proof', 'transaction', '']")</f>
        <v>['Purchase', 'pulse', 'maintenance', 'process', 'elevate', 'proof', 'transaction', '']</v>
      </c>
      <c r="D16542" s="3">
        <v>1.0</v>
      </c>
    </row>
    <row r="16543" ht="15.75" customHeight="1">
      <c r="A16543" s="1">
        <v>17580.0</v>
      </c>
      <c r="B16543" s="3" t="s">
        <v>15708</v>
      </c>
      <c r="C16543" s="3" t="str">
        <f>IFERROR(__xludf.DUMMYFUNCTION("GOOGLETRANSLATE(B16543,""id"",""en"")"),"['choose', 'method', 'payment', 'method', 'payment', 'via', 'pulse', 'fill', 'pulse', 'method', 'payment', ""]")</f>
        <v>['choose', 'method', 'payment', 'method', 'payment', 'via', 'pulse', 'fill', 'pulse', 'method', 'payment', "]</v>
      </c>
      <c r="D16543" s="3">
        <v>2.0</v>
      </c>
    </row>
    <row r="16544" ht="15.75" customHeight="1">
      <c r="A16544" s="1">
        <v>17581.0</v>
      </c>
      <c r="B16544" s="3" t="s">
        <v>15709</v>
      </c>
      <c r="C16544" s="3" t="str">
        <f>IFERROR(__xludf.DUMMYFUNCTION("GOOGLETRANSLATE(B16544,""id"",""en"")"),"['Please', 'love', 'bonus']")</f>
        <v>['Please', 'love', 'bonus']</v>
      </c>
      <c r="D16544" s="3">
        <v>5.0</v>
      </c>
    </row>
    <row r="16545" ht="15.75" customHeight="1">
      <c r="A16545" s="1">
        <v>17582.0</v>
      </c>
      <c r="B16545" s="3" t="s">
        <v>15710</v>
      </c>
      <c r="C16545" s="3" t="str">
        <f>IFERROR(__xludf.DUMMYFUNCTION("GOOGLETRANSLATE(B16545,""id"",""en"")"),"['error', 'error', 'error', 'already', 'gabisa', 'open', 'menu', 'check', 'pulse', 'quota', 'play', 'store', ' Ribet ',' Gini ', ""]")</f>
        <v>['error', 'error', 'error', 'already', 'gabisa', 'open', 'menu', 'check', 'pulse', 'quota', 'play', 'store', ' Ribet ',' Gini ', "]</v>
      </c>
      <c r="D16545" s="3">
        <v>5.0</v>
      </c>
    </row>
    <row r="16546" ht="15.75" customHeight="1">
      <c r="A16546" s="1">
        <v>17583.0</v>
      </c>
      <c r="B16546" s="3" t="s">
        <v>15711</v>
      </c>
      <c r="C16546" s="3" t="str">
        <f>IFERROR(__xludf.DUMMYFUNCTION("GOOGLETRANSLATE(B16546,""id"",""en"")"),"['Out', 'update', 'payment', 'via', 'Fund', 'min']")</f>
        <v>['Out', 'update', 'payment', 'via', 'Fund', 'min']</v>
      </c>
      <c r="D16546" s="3">
        <v>1.0</v>
      </c>
    </row>
    <row r="16547" ht="15.75" customHeight="1">
      <c r="A16547" s="1">
        <v>17584.0</v>
      </c>
      <c r="B16547" s="3" t="s">
        <v>15712</v>
      </c>
      <c r="C16547" s="3" t="str">
        <f>IFERROR(__xludf.DUMMYFUNCTION("GOOGLETRANSLATE(B16547,""id"",""en"")"),"['Bener', 'Bad', 'Network', 'Telkomsel', 'PDAH', 'Telkomsel', 'Network', 'Famous',' Quality ',' why ',' skrg ',' bad ',' very disappointed', '']")</f>
        <v>['Bener', 'Bad', 'Network', 'Telkomsel', 'PDAH', 'Telkomsel', 'Network', 'Famous',' Quality ',' why ',' skrg ',' bad ',' very disappointed', '']</v>
      </c>
      <c r="D16547" s="3">
        <v>1.0</v>
      </c>
    </row>
    <row r="16548" ht="15.75" customHeight="1">
      <c r="A16548" s="1">
        <v>17585.0</v>
      </c>
      <c r="B16548" s="3" t="s">
        <v>15713</v>
      </c>
      <c r="C16548" s="3" t="str">
        <f>IFERROR(__xludf.DUMMYFUNCTION("GOOGLETRANSLATE(B16548,""id"",""en"")"),"['Update', 'Mulu', 'ngntd']")</f>
        <v>['Update', 'Mulu', 'ngntd']</v>
      </c>
      <c r="D16548" s="3">
        <v>1.0</v>
      </c>
    </row>
    <row r="16549" ht="15.75" customHeight="1">
      <c r="A16549" s="1">
        <v>17586.0</v>
      </c>
      <c r="B16549" s="3" t="s">
        <v>15714</v>
      </c>
      <c r="C16549" s="3" t="str">
        <f>IFERROR(__xludf.DUMMYFUNCTION("GOOGLETRANSLATE(B16549,""id"",""en"")"),"['Price', 'Region', 'Speed', 'Intrnet', 'Different', 'Region', 'Apakh', 'Justice', ""]")</f>
        <v>['Price', 'Region', 'Speed', 'Intrnet', 'Different', 'Region', 'Apakh', 'Justice', "]</v>
      </c>
      <c r="D16549" s="3">
        <v>1.0</v>
      </c>
    </row>
    <row r="16550" ht="15.75" customHeight="1">
      <c r="A16550" s="1">
        <v>17587.0</v>
      </c>
      <c r="B16550" s="3" t="s">
        <v>15715</v>
      </c>
      <c r="C16550" s="3" t="str">
        <f>IFERROR(__xludf.DUMMYFUNCTION("GOOGLETRANSLATE(B16550,""id"",""en"")"),"['application', 'already', 'download', 'opened', 'disappointed', 'move', 'operator', '']")</f>
        <v>['application', 'already', 'download', 'opened', 'disappointed', 'move', 'operator', '']</v>
      </c>
      <c r="D16550" s="3">
        <v>4.0</v>
      </c>
    </row>
    <row r="16551" ht="15.75" customHeight="1">
      <c r="A16551" s="1">
        <v>17588.0</v>
      </c>
      <c r="B16551" s="3" t="s">
        <v>15716</v>
      </c>
      <c r="C16551" s="3" t="str">
        <f>IFERROR(__xludf.DUMMYFUNCTION("GOOGLETRANSLATE(B16551,""id"",""en"")"),"['signal', 'ugly', 'network', 'slow']")</f>
        <v>['signal', 'ugly', 'network', 'slow']</v>
      </c>
      <c r="D16551" s="3">
        <v>1.0</v>
      </c>
    </row>
    <row r="16552" ht="15.75" customHeight="1">
      <c r="A16552" s="1">
        <v>17589.0</v>
      </c>
      <c r="B16552" s="3" t="s">
        <v>15717</v>
      </c>
      <c r="C16552" s="3" t="str">
        <f>IFERROR(__xludf.DUMMYFUNCTION("GOOGLETRANSLATE(B16552,""id"",""en"")"),"['Signal', 'Telkomsel', 'Telek']")</f>
        <v>['Signal', 'Telkomsel', 'Telek']</v>
      </c>
      <c r="D16552" s="3">
        <v>1.0</v>
      </c>
    </row>
    <row r="16553" ht="15.75" customHeight="1">
      <c r="A16553" s="1">
        <v>17590.0</v>
      </c>
      <c r="B16553" s="3" t="s">
        <v>15718</v>
      </c>
      <c r="C16553" s="3" t="str">
        <f>IFERROR(__xludf.DUMMYFUNCTION("GOOGLETRANSLATE(B16553,""id"",""en"")"),"['expensive', 'boss', 'price', 'package']")</f>
        <v>['expensive', 'boss', 'price', 'package']</v>
      </c>
      <c r="D16553" s="3">
        <v>1.0</v>
      </c>
    </row>
    <row r="16554" ht="15.75" customHeight="1">
      <c r="A16554" s="1">
        <v>17591.0</v>
      </c>
      <c r="B16554" s="3" t="s">
        <v>15719</v>
      </c>
      <c r="C16554" s="3" t="str">
        <f>IFERROR(__xludf.DUMMYFUNCTION("GOOGLETRANSLATE(B16554,""id"",""en"")"),"['Good', 'cheap', 'less',' get ',' complaints', 'signal', 'shame', 'laen', 'because', 'number', 'kluarga', 'already', ' Move ',' Haluan ']")</f>
        <v>['Good', 'cheap', 'less',' get ',' complaints', 'signal', 'shame', 'laen', 'because', 'number', 'kluarga', 'already', ' Move ',' Haluan ']</v>
      </c>
      <c r="D16554" s="3">
        <v>1.0</v>
      </c>
    </row>
    <row r="16555" ht="15.75" customHeight="1">
      <c r="A16555" s="1">
        <v>17592.0</v>
      </c>
      <c r="B16555" s="3" t="s">
        <v>15720</v>
      </c>
      <c r="C16555" s="3" t="str">
        <f>IFERROR(__xludf.DUMMYFUNCTION("GOOGLETRANSLATE(B16555,""id"",""en"")"),"['Ngentoooodh', 'Method', 'Pay', 'Ovo', 'Etc.', 'Disband', 'Telkomsel', 'Disband', 'Disband', 'Network', 'Silemot', 'Ngenthooddd', ' ']")</f>
        <v>['Ngentoooodh', 'Method', 'Pay', 'Ovo', 'Etc.', 'Disband', 'Telkomsel', 'Disband', 'Disband', 'Network', 'Silemot', 'Ngenthooddd', ' ']</v>
      </c>
      <c r="D16555" s="3">
        <v>1.0</v>
      </c>
    </row>
    <row r="16556" ht="15.75" customHeight="1">
      <c r="A16556" s="1">
        <v>17593.0</v>
      </c>
      <c r="B16556" s="3" t="s">
        <v>15721</v>
      </c>
      <c r="C16556" s="3" t="str">
        <f>IFERROR(__xludf.DUMMYFUNCTION("GOOGLETRANSLATE(B16556,""id"",""en"")"),"['Gue', 'love', 'star', 'APK', 'steady', 'times']")</f>
        <v>['Gue', 'love', 'star', 'APK', 'steady', 'times']</v>
      </c>
      <c r="D16556" s="3">
        <v>5.0</v>
      </c>
    </row>
    <row r="16557" ht="15.75" customHeight="1">
      <c r="A16557" s="1">
        <v>17594.0</v>
      </c>
      <c r="B16557" s="3" t="s">
        <v>15722</v>
      </c>
      <c r="C16557" s="3" t="str">
        <f>IFERROR(__xludf.DUMMYFUNCTION("GOOGLETRANSLATE(B16557,""id"",""en"")"),"['buy', 'package', 'use', 'ovo']")</f>
        <v>['buy', 'package', 'use', 'ovo']</v>
      </c>
      <c r="D16557" s="3">
        <v>1.0</v>
      </c>
    </row>
    <row r="16558" ht="15.75" customHeight="1">
      <c r="A16558" s="1">
        <v>17595.0</v>
      </c>
      <c r="B16558" s="3" t="s">
        <v>15723</v>
      </c>
      <c r="C16558" s="3" t="str">
        <f>IFERROR(__xludf.DUMMYFUNCTION("GOOGLETRANSLATE(B16558,""id"",""en"")"),"['skrg', 'Telkomsel', 'mode', 'combo', 'magic', 'unlimited', 'right', 'kouta', 'main', 'abis',' multimedia ',' abis', ' open', '']")</f>
        <v>['skrg', 'Telkomsel', 'mode', 'combo', 'magic', 'unlimited', 'right', 'kouta', 'main', 'abis',' multimedia ',' abis', ' open', '']</v>
      </c>
      <c r="D16558" s="3">
        <v>1.0</v>
      </c>
    </row>
    <row r="16559" ht="15.75" customHeight="1">
      <c r="A16559" s="1">
        <v>17596.0</v>
      </c>
      <c r="B16559" s="3" t="s">
        <v>15724</v>
      </c>
      <c r="C16559" s="3" t="str">
        <f>IFERROR(__xludf.DUMMYFUNCTION("GOOGLETRANSLATE(B16559,""id"",""en"")"),"['Disappointed', 'BNR', 'Disappointed', 'Singnal', 'Sympathy', 'Night', 'Gara', 'Gara', 'Signal', 'Lost', 'Customer', 'Angry', ' angry ',' forced ',' buy ',' package ',' poor ',' Telkomsel ',' here ',' good ']")</f>
        <v>['Disappointed', 'BNR', 'Disappointed', 'Singnal', 'Sympathy', 'Night', 'Gara', 'Gara', 'Signal', 'Lost', 'Customer', 'Angry', ' angry ',' forced ',' buy ',' package ',' poor ',' Telkomsel ',' here ',' good ']</v>
      </c>
      <c r="D16559" s="3">
        <v>1.0</v>
      </c>
    </row>
    <row r="16560" ht="15.75" customHeight="1">
      <c r="A16560" s="1">
        <v>17597.0</v>
      </c>
      <c r="B16560" s="3" t="s">
        <v>15725</v>
      </c>
      <c r="C16560" s="3" t="str">
        <f>IFERROR(__xludf.DUMMYFUNCTION("GOOGLETRANSLATE(B16560,""id"",""en"")"),"['Mhal', 'package', 'internet', 'unlimited', 'wasteful', 'really', 'lgi']")</f>
        <v>['Mhal', 'package', 'internet', 'unlimited', 'wasteful', 'really', 'lgi']</v>
      </c>
      <c r="D16560" s="3">
        <v>1.0</v>
      </c>
    </row>
    <row r="16561" ht="15.75" customHeight="1">
      <c r="A16561" s="1">
        <v>17598.0</v>
      </c>
      <c r="B16561" s="3" t="s">
        <v>15726</v>
      </c>
      <c r="C16561" s="3" t="str">
        <f>IFERROR(__xludf.DUMMYFUNCTION("GOOGLETRANSLATE(B16561,""id"",""en"")"),"['Group', 'People', 'People', 'Rich', 'Wear', 'Telkomsel', 'Please', 'Cheap', 'Price', 'Package', 'Monthly', 'Thank you']")</f>
        <v>['Group', 'People', 'People', 'Rich', 'Wear', 'Telkomsel', 'Please', 'Cheap', 'Price', 'Package', 'Monthly', 'Thank you']</v>
      </c>
      <c r="D16561" s="3">
        <v>4.0</v>
      </c>
    </row>
    <row r="16562" ht="15.75" customHeight="1">
      <c r="A16562" s="1">
        <v>17599.0</v>
      </c>
      <c r="B16562" s="3" t="s">
        <v>15727</v>
      </c>
      <c r="C16562" s="3" t="str">
        <f>IFERROR(__xludf.DUMMYFUNCTION("GOOGLETRANSLATE(B16562,""id"",""en"")"),"['', 'Over', 'Costumer', 'Waying', 'Service', 'Quality', 'Bad', 'Please', 'Fixed', 'App', 'Load', 'Cave', 'Download ',' App ',' Nukar ',' Points', 'Karna', 'code', 'Deal', 'Exchange', 'Must', 'LWT', 'APP', 'PEAH', 'Telkomsel', 'Ngak', 'Kya', '']")</f>
        <v>['', 'Over', 'Costumer', 'Waying', 'Service', 'Quality', 'Bad', 'Please', 'Fixed', 'App', 'Load', 'Cave', 'Download ',' App ',' Nukar ',' Points', 'Karna', 'code', 'Deal', 'Exchange', 'Must', 'LWT', 'APP', 'PEAH', 'Telkomsel', 'Ngak', 'Kya', '']</v>
      </c>
      <c r="D16562" s="3">
        <v>5.0</v>
      </c>
    </row>
    <row r="16563" ht="15.75" customHeight="1">
      <c r="A16563" s="1">
        <v>17600.0</v>
      </c>
      <c r="B16563" s="3" t="s">
        <v>15728</v>
      </c>
      <c r="C16563" s="3" t="str">
        <f>IFERROR(__xludf.DUMMYFUNCTION("GOOGLETRANSLATE(B16563,""id"",""en"")"),"['Bayangin', 'bro', 'buy', 'package', 'GB', 'unlimited', 'GB', 'internet', 'GB', 'Video', 'YouTube', 'sosmed', ' Tiktok ',' etc. ',' written ',' described ',' GB ',' Yutub ',' weve ',' already ',' monthly ',' package ',' Miss', 'GB', 'sosmed' , 'sosmed', "&amp;"'smooth', 'Yutub', 'ngeloading', 'essence', 'Gabisa', 'Yutub', 'Disappointed', 'Yesterday', 'quota', 'Miss',' GB ',' Yutub ',' gabisa ',' already ',' unemployed ',' ']")</f>
        <v>['Bayangin', 'bro', 'buy', 'package', 'GB', 'unlimited', 'GB', 'internet', 'GB', 'Video', 'YouTube', 'sosmed', ' Tiktok ',' etc. ',' written ',' described ',' GB ',' Yutub ',' weve ',' already ',' monthly ',' package ',' Miss', 'GB', 'sosmed' , 'sosmed', 'smooth', 'Yutub', 'ngeloading', 'essence', 'Gabisa', 'Yutub', 'Disappointed', 'Yesterday', 'quota', 'Miss',' GB ',' Yutub ',' gabisa ',' already ',' unemployed ',' ']</v>
      </c>
      <c r="D16563" s="3">
        <v>1.0</v>
      </c>
    </row>
    <row r="16564" ht="15.75" customHeight="1">
      <c r="A16564" s="1">
        <v>17601.0</v>
      </c>
      <c r="B16564" s="3" t="s">
        <v>15729</v>
      </c>
      <c r="C16564" s="3" t="str">
        <f>IFERROR(__xludf.DUMMYFUNCTION("GOOGLETRANSLATE(B16564,""id"",""en"")"),"['agghhrrrr', 'disorder', 'really', 'disorder', 'high and' quality ',' customized ',' ']")</f>
        <v>['agghhrrrr', 'disorder', 'really', 'disorder', 'high and' quality ',' customized ',' ']</v>
      </c>
      <c r="D16564" s="3">
        <v>1.0</v>
      </c>
    </row>
    <row r="16565" ht="15.75" customHeight="1">
      <c r="A16565" s="1">
        <v>17602.0</v>
      </c>
      <c r="B16565" s="3" t="s">
        <v>15730</v>
      </c>
      <c r="C16565" s="3" t="str">
        <f>IFERROR(__xludf.DUMMYFUNCTION("GOOGLETRANSLATE(B16565,""id"",""en"")"),"['Cursed', 'malem', 'quota', 'abis',' buy ',' app ',' payment ',' via ',' shopeepay ',' no ',' buy ',' pulses', ' Via ',' app ',' Telkomsel ',' problematic ',' intention ',' ']")</f>
        <v>['Cursed', 'malem', 'quota', 'abis',' buy ',' app ',' payment ',' via ',' shopeepay ',' no ',' buy ',' pulses', ' Via ',' app ',' Telkomsel ',' problematic ',' intention ',' ']</v>
      </c>
      <c r="D16565" s="3">
        <v>1.0</v>
      </c>
    </row>
    <row r="16566" ht="15.75" customHeight="1">
      <c r="A16566" s="1">
        <v>17603.0</v>
      </c>
      <c r="B16566" s="3" t="s">
        <v>15731</v>
      </c>
      <c r="C16566" s="3" t="str">
        <f>IFERROR(__xludf.DUMMYFUNCTION("GOOGLETRANSLATE(B16566,""id"",""en"")"),"['price', 'expensive', 'jakarta', 'network', 'down', 'kek', 'snot', ""]")</f>
        <v>['price', 'expensive', 'jakarta', 'network', 'down', 'kek', 'snot', "]</v>
      </c>
      <c r="D16566" s="3">
        <v>1.0</v>
      </c>
    </row>
    <row r="16567" ht="15.75" customHeight="1">
      <c r="A16567" s="1">
        <v>17604.0</v>
      </c>
      <c r="B16567" s="3" t="s">
        <v>659</v>
      </c>
      <c r="C16567" s="3" t="str">
        <f>IFERROR(__xludf.DUMMYFUNCTION("GOOGLETRANSLATE(B16567,""id"",""en"")"),"['Application', 'Help']")</f>
        <v>['Application', 'Help']</v>
      </c>
      <c r="D16567" s="3">
        <v>5.0</v>
      </c>
    </row>
    <row r="16568" ht="15.75" customHeight="1">
      <c r="A16568" s="1">
        <v>17605.0</v>
      </c>
      <c r="B16568" s="3" t="s">
        <v>15732</v>
      </c>
      <c r="C16568" s="3" t="str">
        <f>IFERROR(__xludf.DUMMYFUNCTION("GOOGLETRANSLATE(B16568,""id"",""en"")"),"['Package', 'Dipake', 'Disappointed']")</f>
        <v>['Package', 'Dipake', 'Disappointed']</v>
      </c>
      <c r="D16568" s="3">
        <v>1.0</v>
      </c>
    </row>
    <row r="16569" ht="15.75" customHeight="1">
      <c r="A16569" s="1">
        <v>17606.0</v>
      </c>
      <c r="B16569" s="3" t="s">
        <v>15733</v>
      </c>
      <c r="C16569" s="3" t="str">
        <f>IFERROR(__xludf.DUMMYFUNCTION("GOOGLETRANSLATE(B16569,""id"",""en"")"),"['Severe', 'Package', 'MLM', 'On', 'Data', 'Internet', 'WIB', 'Mah', 'mnit', 'Mal', 'Credit', 'Cut', ' Until ',' Abis', 'Mlah', 'SMS', 'Opra', 'SDG', 'Access',' Internet ',' Non ',' Package ',' already ',' MLM ',' MLM ' , 'pakenya', 'mlm', 'mlah', 'mnit',"&amp;" 'wib', '']")</f>
        <v>['Severe', 'Package', 'MLM', 'On', 'Data', 'Internet', 'WIB', 'Mah', 'mnit', 'Mal', 'Credit', 'Cut', ' Until ',' Abis', 'Mlah', 'SMS', 'Opra', 'SDG', 'Access',' Internet ',' Non ',' Package ',' already ',' MLM ',' MLM ' , 'pakenya', 'mlm', 'mlah', 'mnit', 'wib', '']</v>
      </c>
      <c r="D16569" s="3">
        <v>1.0</v>
      </c>
    </row>
    <row r="16570" ht="15.75" customHeight="1">
      <c r="A16570" s="1">
        <v>17607.0</v>
      </c>
      <c r="B16570" s="3" t="s">
        <v>15734</v>
      </c>
      <c r="C16570" s="3" t="str">
        <f>IFERROR(__xludf.DUMMYFUNCTION("GOOGLETRANSLATE(B16570,""id"",""en"")"),"['Please', 'repaired', 'Low', 'Low', 'End', 'Start', 'Application', 'Hnya', 'blank', 'White', ""]")</f>
        <v>['Please', 'repaired', 'Low', 'Low', 'End', 'Start', 'Application', 'Hnya', 'blank', 'White', "]</v>
      </c>
      <c r="D16570" s="3">
        <v>1.0</v>
      </c>
    </row>
    <row r="16571" ht="15.75" customHeight="1">
      <c r="A16571" s="1">
        <v>17608.0</v>
      </c>
      <c r="B16571" s="3" t="s">
        <v>15735</v>
      </c>
      <c r="C16571" s="3" t="str">
        <f>IFERROR(__xludf.DUMMYFUNCTION("GOOGLETRANSLATE(B16571,""id"",""en"")"),"['Network', 'card', 'Lola', 'Normal', '']")</f>
        <v>['Network', 'card', 'Lola', 'Normal', '']</v>
      </c>
      <c r="D16571" s="3">
        <v>1.0</v>
      </c>
    </row>
    <row r="16572" ht="15.75" customHeight="1">
      <c r="A16572" s="1">
        <v>17609.0</v>
      </c>
      <c r="B16572" s="3" t="s">
        <v>15736</v>
      </c>
      <c r="C16572" s="3" t="str">
        <f>IFERROR(__xludf.DUMMYFUNCTION("GOOGLETRANSLATE(B16572,""id"",""en"")"),"['update', 'option', 'payment', 'choice']")</f>
        <v>['update', 'option', 'payment', 'choice']</v>
      </c>
      <c r="D16572" s="3">
        <v>1.0</v>
      </c>
    </row>
    <row r="16573" ht="15.75" customHeight="1">
      <c r="A16573" s="1">
        <v>17610.0</v>
      </c>
      <c r="B16573" s="3" t="s">
        <v>15737</v>
      </c>
      <c r="C16573" s="3" t="str">
        <f>IFERROR(__xludf.DUMMYFUNCTION("GOOGLETRANSLATE(B16573,""id"",""en"")"),"['right', 'update', 'gabisa', 'buy', 'quota', 'data', 'nelfon', 'method', 'banking', 'money', 'difficult', 'really']")</f>
        <v>['right', 'update', 'gabisa', 'buy', 'quota', 'data', 'nelfon', 'method', 'banking', 'money', 'difficult', 'really']</v>
      </c>
      <c r="D16573" s="3">
        <v>2.0</v>
      </c>
    </row>
    <row r="16574" ht="15.75" customHeight="1">
      <c r="A16574" s="1">
        <v>17611.0</v>
      </c>
      <c r="B16574" s="3" t="s">
        <v>15738</v>
      </c>
      <c r="C16574" s="3" t="str">
        <f>IFERROR(__xludf.DUMMYFUNCTION("GOOGLETRANSLATE(B16574,""id"",""en"")"),"['package', 'expensive', 'signal', 'slow', 'lag', 'severe', 'play', 'game', 'gini', 'better', 'replace', 'card']")</f>
        <v>['package', 'expensive', 'signal', 'slow', 'lag', 'severe', 'play', 'game', 'gini', 'better', 'replace', 'card']</v>
      </c>
      <c r="D16574" s="3">
        <v>1.0</v>
      </c>
    </row>
    <row r="16575" ht="15.75" customHeight="1">
      <c r="A16575" s="1">
        <v>17612.0</v>
      </c>
      <c r="B16575" s="3" t="s">
        <v>15739</v>
      </c>
      <c r="C16575" s="3" t="str">
        <f>IFERROR(__xludf.DUMMYFUNCTION("GOOGLETRANSLATE(B16575,""id"",""en"")"),"['Update', 'Method', 'Payment', 'Credit', 'Eliminate', '']")</f>
        <v>['Update', 'Method', 'Payment', 'Credit', 'Eliminate', '']</v>
      </c>
      <c r="D16575" s="3">
        <v>1.0</v>
      </c>
    </row>
    <row r="16576" ht="15.75" customHeight="1">
      <c r="A16576" s="1">
        <v>17613.0</v>
      </c>
      <c r="B16576" s="3" t="s">
        <v>362</v>
      </c>
      <c r="C16576" s="3" t="str">
        <f>IFERROR(__xludf.DUMMYFUNCTION("GOOGLETRANSLATE(B16576,""id"",""en"")"),"['Telkomsel', 'best']")</f>
        <v>['Telkomsel', 'best']</v>
      </c>
      <c r="D16576" s="3">
        <v>5.0</v>
      </c>
    </row>
    <row r="16577" ht="15.75" customHeight="1">
      <c r="A16577" s="1">
        <v>17614.0</v>
      </c>
      <c r="B16577" s="3" t="s">
        <v>15740</v>
      </c>
      <c r="C16577" s="3" t="str">
        <f>IFERROR(__xludf.DUMMYFUNCTION("GOOGLETRANSLATE(B16577,""id"",""en"")"),"['front']")</f>
        <v>['front']</v>
      </c>
      <c r="D16577" s="3">
        <v>4.0</v>
      </c>
    </row>
    <row r="16578" ht="15.75" customHeight="1">
      <c r="A16578" s="1">
        <v>17617.0</v>
      </c>
      <c r="B16578" s="3" t="s">
        <v>15741</v>
      </c>
      <c r="C16578" s="3" t="str">
        <f>IFERROR(__xludf.DUMMYFUNCTION("GOOGLETRANSLATE(B16578,""id"",""en"")"),"['Congratulations', 'night', 'admin', 'method', 'payment', 'app', 'link', 'Please', 'enlightenment', ""]")</f>
        <v>['Congratulations', 'night', 'admin', 'method', 'payment', 'app', 'link', 'Please', 'enlightenment', "]</v>
      </c>
      <c r="D16578" s="3">
        <v>3.0</v>
      </c>
    </row>
    <row r="16579" ht="15.75" customHeight="1">
      <c r="A16579" s="1">
        <v>17618.0</v>
      </c>
      <c r="B16579" s="3" t="s">
        <v>15742</v>
      </c>
      <c r="C16579" s="3" t="str">
        <f>IFERROR(__xludf.DUMMYFUNCTION("GOOGLETRANSLATE(B16579,""id"",""en"")"),"['Option', 'payment', 'Where', 'Sis', 'Buy', 'Package', 'Gada', 'Option', 'Payment', ""]")</f>
        <v>['Option', 'payment', 'Where', 'Sis', 'Buy', 'Package', 'Gada', 'Option', 'Payment', "]</v>
      </c>
      <c r="D16579" s="3">
        <v>2.0</v>
      </c>
    </row>
    <row r="16580" ht="15.75" customHeight="1">
      <c r="A16580" s="1">
        <v>17620.0</v>
      </c>
      <c r="B16580" s="3" t="s">
        <v>15743</v>
      </c>
      <c r="C16580" s="3" t="str">
        <f>IFERROR(__xludf.DUMMYFUNCTION("GOOGLETRANSLATE(B16580,""id"",""en"")"),"['The network', 'bad', 'like', 'kayak', 'gini', ""]")</f>
        <v>['The network', 'bad', 'like', 'kayak', 'gini', "]</v>
      </c>
      <c r="D16580" s="3">
        <v>1.0</v>
      </c>
    </row>
    <row r="16581" ht="15.75" customHeight="1">
      <c r="A16581" s="1">
        <v>17621.0</v>
      </c>
      <c r="B16581" s="3" t="s">
        <v>15744</v>
      </c>
      <c r="C16581" s="3" t="str">
        <f>IFERROR(__xludf.DUMMYFUNCTION("GOOGLETRANSLATE(B16581,""id"",""en"")"),"['Telkomsel', 'Disruption', 'UDH', 'Rank', 'MLBB', 'JDI', 'Lost']")</f>
        <v>['Telkomsel', 'Disruption', 'UDH', 'Rank', 'MLBB', 'JDI', 'Lost']</v>
      </c>
      <c r="D16581" s="3">
        <v>1.0</v>
      </c>
    </row>
    <row r="16582" ht="15.75" customHeight="1">
      <c r="A16582" s="1">
        <v>17622.0</v>
      </c>
      <c r="B16582" s="3" t="s">
        <v>15745</v>
      </c>
      <c r="C16582" s="3" t="str">
        <f>IFERROR(__xludf.DUMMYFUNCTION("GOOGLETRANSLATE(B16582,""id"",""en"")"),"['wasteful']")</f>
        <v>['wasteful']</v>
      </c>
      <c r="D16582" s="3">
        <v>5.0</v>
      </c>
    </row>
    <row r="16583" ht="15.75" customHeight="1">
      <c r="A16583" s="1">
        <v>17623.0</v>
      </c>
      <c r="B16583" s="3" t="s">
        <v>15746</v>
      </c>
      <c r="C16583" s="3" t="str">
        <f>IFERROR(__xludf.DUMMYFUNCTION("GOOGLETRANSLATE(B16583,""id"",""en"")"),"['here', 'Nggk', 'comfortable', 'network', 'please', 'repay', 'NGK', 'price', 'expensive', 'quality', 'increase', 'cook', ' lost']")</f>
        <v>['here', 'Nggk', 'comfortable', 'network', 'please', 'repay', 'NGK', 'price', 'expensive', 'quality', 'increase', 'cook', ' lost']</v>
      </c>
      <c r="D16583" s="3">
        <v>1.0</v>
      </c>
    </row>
    <row r="16584" ht="15.75" customHeight="1">
      <c r="A16584" s="1">
        <v>17624.0</v>
      </c>
      <c r="B16584" s="3" t="s">
        <v>15747</v>
      </c>
      <c r="C16584" s="3" t="str">
        <f>IFERROR(__xludf.DUMMYFUNCTION("GOOGLETRANSLATE(B16584,""id"",""en"")"),"['update', 'apk', 'closed', 'severe']")</f>
        <v>['update', 'apk', 'closed', 'severe']</v>
      </c>
      <c r="D16584" s="3">
        <v>1.0</v>
      </c>
    </row>
    <row r="16585" ht="15.75" customHeight="1">
      <c r="A16585" s="1">
        <v>17625.0</v>
      </c>
      <c r="B16585" s="3" t="s">
        <v>15748</v>
      </c>
      <c r="C16585" s="3" t="str">
        <f>IFERROR(__xludf.DUMMYFUNCTION("GOOGLETRANSLATE(B16585,""id"",""en"")"),"['Application', 'Worst', 'World', 'Update', 'Application', 'Open', 'Uninstall', 'reset', 'result', 'nil', 'hijrah', 'provider', ' Signal ',' Jamblek ',' World ',' Love ',' Star ',' ']")</f>
        <v>['Application', 'Worst', 'World', 'Update', 'Application', 'Open', 'Uninstall', 'reset', 'result', 'nil', 'hijrah', 'provider', ' Signal ',' Jamblek ',' World ',' Love ',' Star ',' ']</v>
      </c>
      <c r="D16585" s="3">
        <v>1.0</v>
      </c>
    </row>
    <row r="16586" ht="15.75" customHeight="1">
      <c r="A16586" s="1">
        <v>17626.0</v>
      </c>
      <c r="B16586" s="3" t="s">
        <v>15749</v>
      </c>
      <c r="C16586" s="3" t="str">
        <f>IFERROR(__xludf.DUMMYFUNCTION("GOOGLETRANSLATE(B16586,""id"",""en"")"),"['Try', 'Try', 'Visit', 'Sorry', 'Just', 'Love']")</f>
        <v>['Try', 'Try', 'Visit', 'Sorry', 'Just', 'Love']</v>
      </c>
      <c r="D16586" s="3">
        <v>3.0</v>
      </c>
    </row>
    <row r="16587" ht="15.75" customHeight="1">
      <c r="A16587" s="1">
        <v>17627.0</v>
      </c>
      <c r="B16587" s="3" t="s">
        <v>15750</v>
      </c>
      <c r="C16587" s="3" t="str">
        <f>IFERROR(__xludf.DUMMYFUNCTION("GOOGLETRANSLATE(B16587,""id"",""en"")"),"['Not bad', 'muter', 'ngblank']")</f>
        <v>['Not bad', 'muter', 'ngblank']</v>
      </c>
      <c r="D16587" s="3">
        <v>2.0</v>
      </c>
    </row>
    <row r="16588" ht="15.75" customHeight="1">
      <c r="A16588" s="1">
        <v>17628.0</v>
      </c>
      <c r="B16588" s="3" t="s">
        <v>15751</v>
      </c>
      <c r="C16588" s="3" t="str">
        <f>IFERROR(__xludf.DUMMYFUNCTION("GOOGLETRANSLATE(B16588,""id"",""en"")"),"['Enter', 'Telkomsel', 'Dri', 'Hru', 'Saturday', 'kmren', 'smpe', 'skrg', 'entry', 'screen', 'white', 'see', ' friends', 'entry', 'unistall', 'install', 'jdi', 'how', 'buy', 'package', 'difficult', 'right', 'please', 'response', 'can' , 'Enter', 'Telkomse"&amp;"l', 'Thank', 'Love']")</f>
        <v>['Enter', 'Telkomsel', 'Dri', 'Hru', 'Saturday', 'kmren', 'smpe', 'skrg', 'entry', 'screen', 'white', 'see', ' friends', 'entry', 'unistall', 'install', 'jdi', 'how', 'buy', 'package', 'difficult', 'right', 'please', 'response', 'can' , 'Enter', 'Telkomsel', 'Thank', 'Love']</v>
      </c>
      <c r="D16588" s="3">
        <v>1.0</v>
      </c>
    </row>
    <row r="16589" ht="15.75" customHeight="1">
      <c r="A16589" s="1">
        <v>17629.0</v>
      </c>
      <c r="B16589" s="3" t="s">
        <v>859</v>
      </c>
      <c r="C16589" s="3" t="str">
        <f>IFERROR(__xludf.DUMMYFUNCTION("GOOGLETRANSLATE(B16589,""id"",""en"")"),"['help', '']")</f>
        <v>['help', '']</v>
      </c>
      <c r="D16589" s="3">
        <v>5.0</v>
      </c>
    </row>
    <row r="16590" ht="15.75" customHeight="1">
      <c r="A16590" s="1">
        <v>17630.0</v>
      </c>
      <c r="B16590" s="3" t="s">
        <v>15752</v>
      </c>
      <c r="C16590" s="3" t="str">
        <f>IFERROR(__xludf.DUMMYFUNCTION("GOOGLETRANSLATE(B16590,""id"",""en"")"),"['Increases', 'service', 'priority', 'satisfaction', 'customer', 'network', 'promo', 'package', 'cheap', 'quality', 'network']")</f>
        <v>['Increases', 'service', 'priority', 'satisfaction', 'customer', 'network', 'promo', 'package', 'cheap', 'quality', 'network']</v>
      </c>
      <c r="D16590" s="3">
        <v>5.0</v>
      </c>
    </row>
    <row r="16591" ht="15.75" customHeight="1">
      <c r="A16591" s="1">
        <v>17631.0</v>
      </c>
      <c r="B16591" s="3" t="s">
        <v>15753</v>
      </c>
      <c r="C16591" s="3" t="str">
        <f>IFERROR(__xludf.DUMMYFUNCTION("GOOGLETRANSLATE(B16591,""id"",""en"")"),"['Hack', 'Sentilan', 'Telkom', 'Severe', 'Very', 'Service', 'White', 'Screen', 'Terosssss', ""]")</f>
        <v>['Hack', 'Sentilan', 'Telkom', 'Severe', 'Very', 'Service', 'White', 'Screen', 'Terosssss', "]</v>
      </c>
      <c r="D16591" s="3">
        <v>1.0</v>
      </c>
    </row>
    <row r="16592" ht="15.75" customHeight="1">
      <c r="A16592" s="1">
        <v>17632.0</v>
      </c>
      <c r="B16592" s="3" t="s">
        <v>15754</v>
      </c>
      <c r="C16592" s="3" t="str">
        <f>IFERROR(__xludf.DUMMYFUNCTION("GOOGLETRANSLATE(B16592,""id"",""en"")"),"['Buy', 'Package', 'Enter', 'Enter', 'Wait']")</f>
        <v>['Buy', 'Package', 'Enter', 'Enter', 'Wait']</v>
      </c>
      <c r="D16592" s="3">
        <v>1.0</v>
      </c>
    </row>
    <row r="16593" ht="15.75" customHeight="1">
      <c r="A16593" s="1">
        <v>17633.0</v>
      </c>
      <c r="B16593" s="3" t="s">
        <v>15755</v>
      </c>
      <c r="C16593" s="3" t="str">
        <f>IFERROR(__xludf.DUMMYFUNCTION("GOOGLETRANSLATE(B16593,""id"",""en"")"),"['apk', 'no', 'no', 'open']")</f>
        <v>['apk', 'no', 'no', 'open']</v>
      </c>
      <c r="D16593" s="3">
        <v>1.0</v>
      </c>
    </row>
    <row r="16594" ht="15.75" customHeight="1">
      <c r="A16594" s="1">
        <v>17634.0</v>
      </c>
      <c r="B16594" s="3" t="s">
        <v>15756</v>
      </c>
      <c r="C16594" s="3" t="str">
        <f>IFERROR(__xludf.DUMMYFUNCTION("GOOGLETRANSLATE(B16594,""id"",""en"")"),"['The application', 'Open', 'White', 'Karna', 'The Application', '']")</f>
        <v>['The application', 'Open', 'White', 'Karna', 'The Application', '']</v>
      </c>
      <c r="D16594" s="3">
        <v>3.0</v>
      </c>
    </row>
    <row r="16595" ht="15.75" customHeight="1">
      <c r="A16595" s="1">
        <v>17635.0</v>
      </c>
      <c r="B16595" s="3" t="s">
        <v>15757</v>
      </c>
      <c r="C16595" s="3" t="str">
        <f>IFERROR(__xludf.DUMMYFUNCTION("GOOGLETRANSLATE(B16595,""id"",""en"")"),"['Out', 'updated', 'opened', 'please', 'explanation', ""]")</f>
        <v>['Out', 'updated', 'opened', 'please', 'explanation', "]</v>
      </c>
      <c r="D16595" s="3">
        <v>4.0</v>
      </c>
    </row>
    <row r="16596" ht="15.75" customHeight="1">
      <c r="A16596" s="1">
        <v>17636.0</v>
      </c>
      <c r="B16596" s="3" t="s">
        <v>15758</v>
      </c>
      <c r="C16596" s="3" t="str">
        <f>IFERROR(__xludf.DUMMYFUNCTION("GOOGLETRANSLATE(B16596,""id"",""en"")"),"['Hbs', 'update', 'open', '']")</f>
        <v>['Hbs', 'update', 'open', '']</v>
      </c>
      <c r="D16596" s="3">
        <v>1.0</v>
      </c>
    </row>
    <row r="16597" ht="15.75" customHeight="1">
      <c r="A16597" s="1">
        <v>17637.0</v>
      </c>
      <c r="B16597" s="3" t="s">
        <v>1044</v>
      </c>
      <c r="C16597" s="3" t="str">
        <f>IFERROR(__xludf.DUMMYFUNCTION("GOOGLETRANSLATE(B16597,""id"",""en"")"),"['good', '']")</f>
        <v>['good', '']</v>
      </c>
      <c r="D16597" s="3">
        <v>5.0</v>
      </c>
    </row>
    <row r="16598" ht="15.75" customHeight="1">
      <c r="A16598" s="1">
        <v>17638.0</v>
      </c>
      <c r="B16598" s="3" t="s">
        <v>15759</v>
      </c>
      <c r="C16598" s="3" t="str">
        <f>IFERROR(__xludf.DUMMYFUNCTION("GOOGLETRANSLATE(B16598,""id"",""en"")"),"['Application', 'Ribet', 'artisan', 'SEDOOOT', 'PULSAAA']")</f>
        <v>['Application', 'Ribet', 'artisan', 'SEDOOOT', 'PULSAAA']</v>
      </c>
      <c r="D16598" s="3">
        <v>1.0</v>
      </c>
    </row>
    <row r="16599" ht="15.75" customHeight="1">
      <c r="A16599" s="1">
        <v>17639.0</v>
      </c>
      <c r="B16599" s="3" t="s">
        <v>15760</v>
      </c>
      <c r="C16599" s="3" t="str">
        <f>IFERROR(__xludf.DUMMYFUNCTION("GOOGLETRANSLATE(B16599,""id"",""en"")"),"['knapa', 'application', 'Telkomsel', 'open', '']")</f>
        <v>['knapa', 'application', 'Telkomsel', 'open', '']</v>
      </c>
      <c r="D16599" s="3">
        <v>1.0</v>
      </c>
    </row>
    <row r="16600" ht="15.75" customHeight="1">
      <c r="A16600" s="1">
        <v>17640.0</v>
      </c>
      <c r="B16600" s="3" t="s">
        <v>15761</v>
      </c>
      <c r="C16600" s="3" t="str">
        <f>IFERROR(__xludf.DUMMYFUNCTION("GOOGLETRANSLATE(B16600,""id"",""en"")"),"['Network', 'ugly', 'please', 'buy', 'quota', 'expensive', 'expensive', 'smooth', 'internet', 'job', 'internet', 'please', ' Telkomsel ',' Rich ',' Gini ',' Change ',' Card ']")</f>
        <v>['Network', 'ugly', 'please', 'buy', 'quota', 'expensive', 'expensive', 'smooth', 'internet', 'job', 'internet', 'please', ' Telkomsel ',' Rich ',' Gini ',' Change ',' Card ']</v>
      </c>
      <c r="D16600" s="3">
        <v>1.0</v>
      </c>
    </row>
    <row r="16601" ht="15.75" customHeight="1">
      <c r="A16601" s="1">
        <v>17641.0</v>
      </c>
      <c r="B16601" s="3" t="s">
        <v>15762</v>
      </c>
      <c r="C16601" s="3" t="str">
        <f>IFERROR(__xludf.DUMMYFUNCTION("GOOGLETRANSLATE(B16601,""id"",""en"")"),"['Out', 'update', 'ngak', 'open']")</f>
        <v>['Out', 'update', 'ngak', 'open']</v>
      </c>
      <c r="D16601" s="3">
        <v>2.0</v>
      </c>
    </row>
    <row r="16602" ht="15.75" customHeight="1">
      <c r="A16602" s="1">
        <v>17642.0</v>
      </c>
      <c r="B16602" s="3" t="s">
        <v>15763</v>
      </c>
      <c r="C16602" s="3" t="str">
        <f>IFERROR(__xludf.DUMMYFUNCTION("GOOGLETRANSLATE(B16602,""id"",""en"")"),"['announcement', 'winner', 'please', 'share', 'exchanger', 'point', 'winner']")</f>
        <v>['announcement', 'winner', 'please', 'share', 'exchanger', 'point', 'winner']</v>
      </c>
      <c r="D16602" s="3">
        <v>5.0</v>
      </c>
    </row>
    <row r="16603" ht="15.75" customHeight="1">
      <c r="A16603" s="1">
        <v>17643.0</v>
      </c>
      <c r="B16603" s="3" t="s">
        <v>15764</v>
      </c>
      <c r="C16603" s="3" t="str">
        <f>IFERROR(__xludf.DUMMYFUNCTION("GOOGLETRANSLATE(B16603,""id"",""en"")"),"['apk', 'Telkomsel', 'as sham', 'update', 'open', '']")</f>
        <v>['apk', 'Telkomsel', 'as sham', 'update', 'open', '']</v>
      </c>
      <c r="D16603" s="3">
        <v>1.0</v>
      </c>
    </row>
    <row r="16604" ht="15.75" customHeight="1">
      <c r="A16604" s="1">
        <v>17644.0</v>
      </c>
      <c r="B16604" s="3" t="s">
        <v>7369</v>
      </c>
      <c r="C16604" s="3" t="str">
        <f>IFERROR(__xludf.DUMMYFUNCTION("GOOGLETRANSLATE(B16604,""id"",""en"")"),"['', 'opened', ""]")</f>
        <v>['', 'opened', "]</v>
      </c>
      <c r="D16604" s="3">
        <v>1.0</v>
      </c>
    </row>
    <row r="16605" ht="15.75" customHeight="1">
      <c r="A16605" s="1">
        <v>17645.0</v>
      </c>
      <c r="B16605" s="3" t="s">
        <v>15765</v>
      </c>
      <c r="C16605" s="3" t="str">
        <f>IFERROR(__xludf.DUMMYFUNCTION("GOOGLETRANSLATE(B16605,""id"",""en"")"),"['red', 'triumphed', 'red', 'severe', 'poor', 'update', 'application', 'mb', 'slow', 'really', 'hours', '']")</f>
        <v>['red', 'triumphed', 'red', 'severe', 'poor', 'update', 'application', 'mb', 'slow', 'really', 'hours', '']</v>
      </c>
      <c r="D16605" s="3">
        <v>1.0</v>
      </c>
    </row>
    <row r="16606" ht="15.75" customHeight="1">
      <c r="A16606" s="1">
        <v>17646.0</v>
      </c>
      <c r="B16606" s="3" t="s">
        <v>15766</v>
      </c>
      <c r="C16606" s="3" t="str">
        <f>IFERROR(__xludf.DUMMYFUNCTION("GOOGLETRANSLATE(B16606,""id"",""en"")"),"['Network', 'bad', 'sosmed', 'right', 'maen', 'game', 'online', 'change', 'kabag', 'sometimes',' signal ',' missing ',' Solution ',' How ',' Change ',' Operator ',' Cellular ',' Network ',' Benerin ',' Thank you ']")</f>
        <v>['Network', 'bad', 'sosmed', 'right', 'maen', 'game', 'online', 'change', 'kabag', 'sometimes',' signal ',' missing ',' Solution ',' How ',' Change ',' Operator ',' Cellular ',' Network ',' Benerin ',' Thank you ']</v>
      </c>
      <c r="D16606" s="3">
        <v>1.0</v>
      </c>
    </row>
    <row r="16607" ht="15.75" customHeight="1">
      <c r="A16607" s="1">
        <v>17648.0</v>
      </c>
      <c r="B16607" s="3" t="s">
        <v>15767</v>
      </c>
      <c r="C16607" s="3" t="str">
        <f>IFERROR(__xludf.DUMMYFUNCTION("GOOGLETRANSLATE(B16607,""id"",""en"")"),"['The slogan', 'the widest', 'slow', 'expensive']")</f>
        <v>['The slogan', 'the widest', 'slow', 'expensive']</v>
      </c>
      <c r="D16607" s="3">
        <v>1.0</v>
      </c>
    </row>
    <row r="16608" ht="15.75" customHeight="1">
      <c r="A16608" s="1">
        <v>17649.0</v>
      </c>
      <c r="B16608" s="3" t="s">
        <v>15768</v>
      </c>
      <c r="C16608" s="3" t="str">
        <f>IFERROR(__xludf.DUMMYFUNCTION("GOOGLETRANSLATE(B16608,""id"",""en"")"),"['buy', 'internet', 'difficult', 'please', 'repair']")</f>
        <v>['buy', 'internet', 'difficult', 'please', 'repair']</v>
      </c>
      <c r="D16608" s="3">
        <v>5.0</v>
      </c>
    </row>
    <row r="16609" ht="15.75" customHeight="1">
      <c r="A16609" s="1">
        <v>17650.0</v>
      </c>
      <c r="B16609" s="3" t="s">
        <v>15769</v>
      </c>
      <c r="C16609" s="3" t="str">
        <f>IFERROR(__xludf.DUMMYFUNCTION("GOOGLETRANSLATE(B16609,""id"",""en"")"),"['Telkomsel', 'expensive', 'comfortable', 'deh', 'lightening', 'objection']")</f>
        <v>['Telkomsel', 'expensive', 'comfortable', 'deh', 'lightening', 'objection']</v>
      </c>
      <c r="D16609" s="3">
        <v>1.0</v>
      </c>
    </row>
    <row r="16610" ht="15.75" customHeight="1">
      <c r="A16610" s="1">
        <v>17651.0</v>
      </c>
      <c r="B16610" s="3" t="s">
        <v>15770</v>
      </c>
      <c r="C16610" s="3" t="str">
        <f>IFERROR(__xludf.DUMMYFUNCTION("GOOGLETRANSLATE(B16610,""id"",""en"")"),"['Promo', 'Package']")</f>
        <v>['Promo', 'Package']</v>
      </c>
      <c r="D16610" s="3">
        <v>1.0</v>
      </c>
    </row>
    <row r="16611" ht="15.75" customHeight="1">
      <c r="A16611" s="1">
        <v>17652.0</v>
      </c>
      <c r="B16611" s="3" t="s">
        <v>15771</v>
      </c>
      <c r="C16611" s="3" t="str">
        <f>IFERROR(__xludf.DUMMYFUNCTION("GOOGLETRANSLATE(B16611,""id"",""en"")"),"['easy', 'buy', 'package', 'chest', 'mytelkomsel', 'steady']")</f>
        <v>['easy', 'buy', 'package', 'chest', 'mytelkomsel', 'steady']</v>
      </c>
      <c r="D16611" s="3">
        <v>5.0</v>
      </c>
    </row>
    <row r="16612" ht="15.75" customHeight="1">
      <c r="A16612" s="1">
        <v>17653.0</v>
      </c>
      <c r="B16612" s="3" t="s">
        <v>15772</v>
      </c>
      <c r="C16612" s="3" t="str">
        <f>IFERROR(__xludf.DUMMYFUNCTION("GOOGLETRANSLATE(B16612,""id"",""en"")"),"['Hopefully', 'at the end', 'get', 'Lucky']")</f>
        <v>['Hopefully', 'at the end', 'get', 'Lucky']</v>
      </c>
      <c r="D16612" s="3">
        <v>5.0</v>
      </c>
    </row>
    <row r="16613" ht="15.75" customHeight="1">
      <c r="A16613" s="1">
        <v>17654.0</v>
      </c>
      <c r="B16613" s="3" t="s">
        <v>15773</v>
      </c>
      <c r="C16613" s="3" t="str">
        <f>IFERROR(__xludf.DUMMYFUNCTION("GOOGLETRANSLATE(B16613,""id"",""en"")"),"['', 'Telkomsel', 'full', 'surprise', 'voucher', 'lottery', '']")</f>
        <v>['', 'Telkomsel', 'full', 'surprise', 'voucher', 'lottery', '']</v>
      </c>
      <c r="D16613" s="3">
        <v>5.0</v>
      </c>
    </row>
    <row r="16614" ht="15.75" customHeight="1">
      <c r="A16614" s="1">
        <v>17655.0</v>
      </c>
      <c r="B16614" s="3" t="s">
        <v>15774</v>
      </c>
      <c r="C16614" s="3" t="str">
        <f>IFERROR(__xludf.DUMMYFUNCTION("GOOGLETRANSLATE(B16614,""id"",""en"")"),"['Satisfied', 'Service', 'Telkomsel', '']")</f>
        <v>['Satisfied', 'Service', 'Telkomsel', '']</v>
      </c>
      <c r="D16614" s="3">
        <v>5.0</v>
      </c>
    </row>
    <row r="16615" ht="15.75" customHeight="1">
      <c r="A16615" s="1">
        <v>17656.0</v>
      </c>
      <c r="B16615" s="3" t="s">
        <v>15775</v>
      </c>
      <c r="C16615" s="3" t="str">
        <f>IFERROR(__xludf.DUMMYFUNCTION("GOOGLETRANSLATE(B16615,""id"",""en"")"),"['Ngerti', 'UDH', 'Download', 'Access',' APK ',' Uninstall ',' Download ',' TLG ',' Telkomsel ',' APK ',' Wrong ',' Memory ',' wide', '']")</f>
        <v>['Ngerti', 'UDH', 'Download', 'Access',' APK ',' Uninstall ',' Download ',' TLG ',' Telkomsel ',' APK ',' Wrong ',' Memory ',' wide', '']</v>
      </c>
      <c r="D16615" s="3">
        <v>1.0</v>
      </c>
    </row>
    <row r="16616" ht="15.75" customHeight="1">
      <c r="A16616" s="1">
        <v>17657.0</v>
      </c>
      <c r="B16616" s="3" t="s">
        <v>3231</v>
      </c>
      <c r="C16616" s="3" t="str">
        <f>IFERROR(__xludf.DUMMYFUNCTION("GOOGLETRANSLATE(B16616,""id"",""en"")"),"['APK', 'Open']")</f>
        <v>['APK', 'Open']</v>
      </c>
      <c r="D16616" s="3">
        <v>2.0</v>
      </c>
    </row>
    <row r="16617" ht="15.75" customHeight="1">
      <c r="A16617" s="1">
        <v>17658.0</v>
      </c>
      <c r="B16617" s="3" t="s">
        <v>15776</v>
      </c>
      <c r="C16617" s="3" t="str">
        <f>IFERROR(__xludf.DUMMYFUNCTION("GOOGLETRANSLATE(B16617,""id"",""en"")"),"['multiply', 'bonus', 'perman', 'price', 'package', 'internet', '']")</f>
        <v>['multiply', 'bonus', 'perman', 'price', 'package', 'internet', '']</v>
      </c>
      <c r="D16617" s="3">
        <v>5.0</v>
      </c>
    </row>
    <row r="16618" ht="15.75" customHeight="1">
      <c r="A16618" s="1">
        <v>17659.0</v>
      </c>
      <c r="B16618" s="3" t="s">
        <v>15777</v>
      </c>
      <c r="C16618" s="3" t="str">
        <f>IFERROR(__xludf.DUMMYFUNCTION("GOOGLETRANSLATE(B16618,""id"",""en"")"),"['signal', 'muter', 'signal', 'down', 'stable', 'difficult', 'package', 'expensive', 'quality', 'comparable', 'please', 'repaired', ' harmful', '']")</f>
        <v>['signal', 'muter', 'signal', 'down', 'stable', 'difficult', 'package', 'expensive', 'quality', 'comparable', 'please', 'repaired', ' harmful', '']</v>
      </c>
      <c r="D16618" s="3">
        <v>3.0</v>
      </c>
    </row>
    <row r="16619" ht="15.75" customHeight="1">
      <c r="A16619" s="1">
        <v>17660.0</v>
      </c>
      <c r="B16619" s="3" t="s">
        <v>2587</v>
      </c>
      <c r="C16619" s="3" t="str">
        <f>IFERROR(__xludf.DUMMYFUNCTION("GOOGLETRANSLATE(B16619,""id"",""en"")"),"['Update']")</f>
        <v>['Update']</v>
      </c>
      <c r="D16619" s="3">
        <v>1.0</v>
      </c>
    </row>
    <row r="16620" ht="15.75" customHeight="1">
      <c r="A16620" s="1">
        <v>17662.0</v>
      </c>
      <c r="B16620" s="3" t="s">
        <v>15778</v>
      </c>
      <c r="C16620" s="3" t="str">
        <f>IFERROR(__xludf.DUMMYFUNCTION("GOOGLETRANSLATE(B16620,""id"",""en"")"),"['The network', 'ugly', 'pulses', 'expensive', '']")</f>
        <v>['The network', 'ugly', 'pulses', 'expensive', '']</v>
      </c>
      <c r="D16620" s="3">
        <v>3.0</v>
      </c>
    </row>
    <row r="16621" ht="15.75" customHeight="1">
      <c r="A16621" s="1">
        <v>17663.0</v>
      </c>
      <c r="B16621" s="3" t="s">
        <v>447</v>
      </c>
      <c r="C16621" s="3" t="str">
        <f>IFERROR(__xludf.DUMMYFUNCTION("GOOGLETRANSLATE(B16621,""id"",""en"")"),"['Convenience', '']")</f>
        <v>['Convenience', '']</v>
      </c>
      <c r="D16621" s="3">
        <v>5.0</v>
      </c>
    </row>
    <row r="16622" ht="15.75" customHeight="1">
      <c r="A16622" s="1">
        <v>17664.0</v>
      </c>
      <c r="B16622" s="3" t="s">
        <v>15779</v>
      </c>
      <c r="C16622" s="3" t="str">
        <f>IFERROR(__xludf.DUMMYFUNCTION("GOOGLETRANSLATE(B16622,""id"",""en"")"),"['TOP', 'Pisan']")</f>
        <v>['TOP', 'Pisan']</v>
      </c>
      <c r="D16622" s="3">
        <v>5.0</v>
      </c>
    </row>
    <row r="16623" ht="15.75" customHeight="1">
      <c r="A16623" s="1">
        <v>17665.0</v>
      </c>
      <c r="B16623" s="3" t="s">
        <v>15780</v>
      </c>
      <c r="C16623" s="3" t="str">
        <f>IFERROR(__xludf.DUMMYFUNCTION("GOOGLETRANSLATE(B16623,""id"",""en"")"),"['The application', 'Useful', 'Please', 'Fix']")</f>
        <v>['The application', 'Useful', 'Please', 'Fix']</v>
      </c>
      <c r="D16623" s="3">
        <v>1.0</v>
      </c>
    </row>
    <row r="16624" ht="15.75" customHeight="1">
      <c r="A16624" s="1">
        <v>17666.0</v>
      </c>
      <c r="B16624" s="3" t="s">
        <v>15781</v>
      </c>
      <c r="C16624" s="3" t="str">
        <f>IFERROR(__xludf.DUMMYFUNCTION("GOOGLETRANSLATE(B16624,""id"",""en"")"),"['service', 'Telkomsel', 'dertemen', 'use', 'Telkomsel']")</f>
        <v>['service', 'Telkomsel', 'dertemen', 'use', 'Telkomsel']</v>
      </c>
      <c r="D16624" s="3">
        <v>5.0</v>
      </c>
    </row>
    <row r="16625" ht="15.75" customHeight="1">
      <c r="A16625" s="1">
        <v>17667.0</v>
      </c>
      <c r="B16625" s="3" t="s">
        <v>15782</v>
      </c>
      <c r="C16625" s="3" t="str">
        <f>IFERROR(__xludf.DUMMYFUNCTION("GOOGLETRANSLATE(B16625,""id"",""en"")"),"['Kalok', 'contents', 'pulses', 'minimal', 'boss']")</f>
        <v>['Kalok', 'contents', 'pulses', 'minimal', 'boss']</v>
      </c>
      <c r="D16625" s="3">
        <v>5.0</v>
      </c>
    </row>
    <row r="16626" ht="15.75" customHeight="1">
      <c r="A16626" s="1">
        <v>17668.0</v>
      </c>
      <c r="B16626" s="3" t="s">
        <v>15783</v>
      </c>
      <c r="C16626" s="3" t="str">
        <f>IFERROR(__xludf.DUMMYFUNCTION("GOOGLETRANSLATE(B16626,""id"",""en"")"),"['Network', 'DKI', 'Mantap']")</f>
        <v>['Network', 'DKI', 'Mantap']</v>
      </c>
      <c r="D16626" s="3">
        <v>5.0</v>
      </c>
    </row>
    <row r="16627" ht="15.75" customHeight="1">
      <c r="A16627" s="1">
        <v>17669.0</v>
      </c>
      <c r="B16627" s="3" t="s">
        <v>15293</v>
      </c>
      <c r="C16627" s="3" t="str">
        <f>IFERROR(__xludf.DUMMYFUNCTION("GOOGLETRANSLATE(B16627,""id"",""en"")"),"['Increase', 'Network']")</f>
        <v>['Increase', 'Network']</v>
      </c>
      <c r="D16627" s="3">
        <v>5.0</v>
      </c>
    </row>
    <row r="16628" ht="15.75" customHeight="1">
      <c r="A16628" s="1">
        <v>17670.0</v>
      </c>
      <c r="B16628" s="3" t="s">
        <v>15784</v>
      </c>
      <c r="C16628" s="3" t="str">
        <f>IFERROR(__xludf.DUMMYFUNCTION("GOOGLETRANSLATE(B16628,""id"",""en"")"),"['Package', 'expensive', 'Indonesia', 'forced']")</f>
        <v>['Package', 'expensive', 'Indonesia', 'forced']</v>
      </c>
      <c r="D16628" s="3">
        <v>1.0</v>
      </c>
    </row>
    <row r="16629" ht="15.75" customHeight="1">
      <c r="A16629" s="1">
        <v>17671.0</v>
      </c>
      <c r="B16629" s="3" t="s">
        <v>15785</v>
      </c>
      <c r="C16629" s="3" t="str">
        <f>IFERROR(__xludf.DUMMYFUNCTION("GOOGLETRANSLATE(B16629,""id"",""en"")"),"['Contents', 'Telkomsel', 'Gopay', 'Link', 'Disappointed']")</f>
        <v>['Contents', 'Telkomsel', 'Gopay', 'Link', 'Disappointed']</v>
      </c>
      <c r="D16629" s="3">
        <v>2.0</v>
      </c>
    </row>
    <row r="16630" ht="15.75" customHeight="1">
      <c r="A16630" s="1">
        <v>17672.0</v>
      </c>
      <c r="B16630" s="3" t="s">
        <v>15786</v>
      </c>
      <c r="C16630" s="3" t="str">
        <f>IFERROR(__xludf.DUMMYFUNCTION("GOOGLETRANSLATE(B16630,""id"",""en"")"),"['Sorry', 'Out', 'Update', 'Telkomsel', 'NDX', 'Open', 'Screen', 'White', 'Please', 'Solution', 'Trima', 'Love']")</f>
        <v>['Sorry', 'Out', 'Update', 'Telkomsel', 'NDX', 'Open', 'Screen', 'White', 'Please', 'Solution', 'Trima', 'Love']</v>
      </c>
      <c r="D16630" s="3">
        <v>3.0</v>
      </c>
    </row>
    <row r="16631" ht="15.75" customHeight="1">
      <c r="A16631" s="1">
        <v>17673.0</v>
      </c>
      <c r="B16631" s="3" t="s">
        <v>15787</v>
      </c>
      <c r="C16631" s="3" t="str">
        <f>IFERROR(__xludf.DUMMYFUNCTION("GOOGLETRANSLATE(B16631,""id"",""en"")"),"['Application', 'Application', 'Telkomsel', 'Open', 'Severe', 'The Operator', 'Network', 'Come', 'Decreases',' Quality ',' GMN ',' Uninstalll ',' Forgiveness', 'Dech', 'Makelll']")</f>
        <v>['Application', 'Application', 'Telkomsel', 'Open', 'Severe', 'The Operator', 'Network', 'Come', 'Decreases',' Quality ',' GMN ',' Uninstalll ',' Forgiveness', 'Dech', 'Makelll']</v>
      </c>
      <c r="D16631" s="3">
        <v>1.0</v>
      </c>
    </row>
    <row r="16632" ht="15.75" customHeight="1">
      <c r="A16632" s="1">
        <v>17674.0</v>
      </c>
      <c r="B16632" s="3" t="s">
        <v>15788</v>
      </c>
      <c r="C16632" s="3" t="str">
        <f>IFERROR(__xludf.DUMMYFUNCTION("GOOGLETRANSLATE(B16632,""id"",""en"")"),"['', 'open', 'regret', 'updeat']")</f>
        <v>['', 'open', 'regret', 'updeat']</v>
      </c>
      <c r="D16632" s="3">
        <v>1.0</v>
      </c>
    </row>
    <row r="16633" ht="15.75" customHeight="1">
      <c r="A16633" s="1">
        <v>17676.0</v>
      </c>
      <c r="B16633" s="3" t="s">
        <v>15789</v>
      </c>
      <c r="C16633" s="3" t="str">
        <f>IFERROR(__xludf.DUMMYFUNCTION("GOOGLETRANSLATE(B16633,""id"",""en"")"),"['Making', 'Easy', 'Anyway']")</f>
        <v>['Making', 'Easy', 'Anyway']</v>
      </c>
      <c r="D16633" s="3">
        <v>5.0</v>
      </c>
    </row>
    <row r="16634" ht="15.75" customHeight="1">
      <c r="A16634" s="1">
        <v>17677.0</v>
      </c>
      <c r="B16634" s="3" t="s">
        <v>15790</v>
      </c>
      <c r="C16634" s="3" t="str">
        <f>IFERROR(__xludf.DUMMYFUNCTION("GOOGLETRANSLATE(B16634,""id"",""en"")"),"['opened', 'smooth', 'update', 'biaa', 'open']")</f>
        <v>['opened', 'smooth', 'update', 'biaa', 'open']</v>
      </c>
      <c r="D16634" s="3">
        <v>2.0</v>
      </c>
    </row>
    <row r="16635" ht="15.75" customHeight="1">
      <c r="A16635" s="1">
        <v>17678.0</v>
      </c>
      <c r="B16635" s="3" t="s">
        <v>809</v>
      </c>
      <c r="C16635" s="3" t="str">
        <f>IFERROR(__xludf.DUMMYFUNCTION("GOOGLETRANSLATE(B16635,""id"",""en"")"),"['Network', 'Telkomsel', 'Good']")</f>
        <v>['Network', 'Telkomsel', 'Good']</v>
      </c>
      <c r="D16635" s="3">
        <v>5.0</v>
      </c>
    </row>
    <row r="16636" ht="15.75" customHeight="1">
      <c r="A16636" s="1">
        <v>17679.0</v>
      </c>
      <c r="B16636" s="3" t="s">
        <v>9586</v>
      </c>
      <c r="C16636" s="3" t="str">
        <f>IFERROR(__xludf.DUMMYFUNCTION("GOOGLETRANSLATE(B16636,""id"",""en"")"),"['Good', 'pokonya']")</f>
        <v>['Good', 'pokonya']</v>
      </c>
      <c r="D16636" s="3">
        <v>5.0</v>
      </c>
    </row>
    <row r="16637" ht="15.75" customHeight="1">
      <c r="A16637" s="1">
        <v>17680.0</v>
      </c>
      <c r="B16637" s="3" t="s">
        <v>15791</v>
      </c>
      <c r="C16637" s="3" t="str">
        <f>IFERROR(__xludf.DUMMYFUNCTION("GOOGLETRANSLATE(B16637,""id"",""en"")"),"['Disappointed', 'gift', 'visits', 'DTG', 'Wait', 'Sunday']")</f>
        <v>['Disappointed', 'gift', 'visits', 'DTG', 'Wait', 'Sunday']</v>
      </c>
      <c r="D16637" s="3">
        <v>1.0</v>
      </c>
    </row>
    <row r="16638" ht="15.75" customHeight="1">
      <c r="A16638" s="1">
        <v>17681.0</v>
      </c>
      <c r="B16638" s="3" t="s">
        <v>15792</v>
      </c>
      <c r="C16638" s="3" t="str">
        <f>IFERROR(__xludf.DUMMYFUNCTION("GOOGLETRANSLATE(B16638,""id"",""en"")"),"['halah', 'quota', 'expensive', 'signal', 'TPI', 'signal', 'below', '']")</f>
        <v>['halah', 'quota', 'expensive', 'signal', 'TPI', 'signal', 'below', '']</v>
      </c>
      <c r="D16638" s="3">
        <v>1.0</v>
      </c>
    </row>
    <row r="16639" ht="15.75" customHeight="1">
      <c r="A16639" s="1">
        <v>17682.0</v>
      </c>
      <c r="B16639" s="3" t="s">
        <v>15793</v>
      </c>
      <c r="C16639" s="3" t="str">
        <f>IFERROR(__xludf.DUMMYFUNCTION("GOOGLETRANSLATE(B16639,""id"",""en"")"),"['Signal', 'Change', 'Kayak', 'Indosat', 'right', 'Rain', 'Signal', 'Goib', 'Game', 'Lost']")</f>
        <v>['Signal', 'Change', 'Kayak', 'Indosat', 'right', 'Rain', 'Signal', 'Goib', 'Game', 'Lost']</v>
      </c>
      <c r="D16639" s="3">
        <v>3.0</v>
      </c>
    </row>
    <row r="16640" ht="15.75" customHeight="1">
      <c r="A16640" s="1">
        <v>17683.0</v>
      </c>
      <c r="B16640" s="3" t="s">
        <v>15794</v>
      </c>
      <c r="C16640" s="3" t="str">
        <f>IFERROR(__xludf.DUMMYFUNCTION("GOOGLETRANSLATE(B16640,""id"",""en"")"),"['screen', 'white', 'kirain', 'network', 'bad', 'already', 'uninstall', 'install', 'tetep', '']")</f>
        <v>['screen', 'white', 'kirain', 'network', 'bad', 'already', 'uninstall', 'install', 'tetep', '']</v>
      </c>
      <c r="D16640" s="3">
        <v>2.0</v>
      </c>
    </row>
    <row r="16641" ht="15.75" customHeight="1">
      <c r="A16641" s="1">
        <v>17684.0</v>
      </c>
      <c r="B16641" s="3" t="s">
        <v>15795</v>
      </c>
      <c r="C16641" s="3" t="str">
        <f>IFERROR(__xludf.DUMMYFUNCTION("GOOGLETRANSLATE(B16641,""id"",""en"")"),"['update', 'blank', 'white', 'gyma', 'love', 'star']")</f>
        <v>['update', 'blank', 'white', 'gyma', 'love', 'star']</v>
      </c>
      <c r="D16641" s="3">
        <v>1.0</v>
      </c>
    </row>
    <row r="16642" ht="15.75" customHeight="1">
      <c r="A16642" s="1">
        <v>17685.0</v>
      </c>
      <c r="B16642" s="3" t="s">
        <v>15796</v>
      </c>
      <c r="C16642" s="3" t="str">
        <f>IFERROR(__xludf.DUMMYFUNCTION("GOOGLETRANSLATE(B16642,""id"",""en"")"),"['Please', 'Fix', 'Network', 'Data', 'Full', 'LEG', 'BIN', 'LEMOT', 'Ngeselin']")</f>
        <v>['Please', 'Fix', 'Network', 'Data', 'Full', 'LEG', 'BIN', 'LEMOT', 'Ngeselin']</v>
      </c>
      <c r="D16642" s="3">
        <v>2.0</v>
      </c>
    </row>
    <row r="16643" ht="15.75" customHeight="1">
      <c r="A16643" s="1">
        <v>17686.0</v>
      </c>
      <c r="B16643" s="3" t="s">
        <v>15797</v>
      </c>
      <c r="C16643" s="3" t="str">
        <f>IFERROR(__xludf.DUMMYFUNCTION("GOOGLETRANSLATE(B16643,""id"",""en"")"),"['topup', 'pulseku', 'enter', 'what']]")</f>
        <v>['topup', 'pulseku', 'enter', 'what']]</v>
      </c>
      <c r="D16643" s="3">
        <v>1.0</v>
      </c>
    </row>
    <row r="16644" ht="15.75" customHeight="1">
      <c r="A16644" s="1">
        <v>17687.0</v>
      </c>
      <c r="B16644" s="3" t="s">
        <v>15798</v>
      </c>
      <c r="C16644" s="3" t="str">
        <f>IFERROR(__xludf.DUMMYFUNCTION("GOOGLETRANSLATE(B16644,""id"",""en"")"),"['Price', 'Package', 'Star', 'Network', 'Feet', 'Hadehhhhhh']")</f>
        <v>['Price', 'Package', 'Star', 'Network', 'Feet', 'Hadehhhhhh']</v>
      </c>
      <c r="D16644" s="3">
        <v>1.0</v>
      </c>
    </row>
    <row r="16645" ht="15.75" customHeight="1">
      <c r="A16645" s="1">
        <v>17688.0</v>
      </c>
      <c r="B16645" s="3" t="s">
        <v>15799</v>
      </c>
      <c r="C16645" s="3" t="str">
        <f>IFERROR(__xludf.DUMMYFUNCTION("GOOGLETRANSLATE(B16645,""id"",""en"")"),"['difficult', 'go', '']")</f>
        <v>['difficult', 'go', '']</v>
      </c>
      <c r="D16645" s="3">
        <v>2.0</v>
      </c>
    </row>
    <row r="16646" ht="15.75" customHeight="1">
      <c r="A16646" s="1">
        <v>17689.0</v>
      </c>
      <c r="B16646" s="3" t="s">
        <v>15800</v>
      </c>
      <c r="C16646" s="3" t="str">
        <f>IFERROR(__xludf.DUMMYFUNCTION("GOOGLETRANSLATE(B16646,""id"",""en"")"),"['App', 'opened', 'zonk', 'white', 'login', '']")</f>
        <v>['App', 'opened', 'zonk', 'white', 'login', '']</v>
      </c>
      <c r="D16646" s="3">
        <v>5.0</v>
      </c>
    </row>
    <row r="16647" ht="15.75" customHeight="1">
      <c r="A16647" s="1">
        <v>17690.0</v>
      </c>
      <c r="B16647" s="3" t="s">
        <v>15801</v>
      </c>
      <c r="C16647" s="3" t="str">
        <f>IFERROR(__xludf.DUMMYFUNCTION("GOOGLETRANSLATE(B16647,""id"",""en"")"),"['application', 'defective', 'update', 'slow', 'screen', 'white', 'look', ""]")</f>
        <v>['application', 'defective', 'update', 'slow', 'screen', 'white', 'look', "]</v>
      </c>
      <c r="D16647" s="3">
        <v>1.0</v>
      </c>
    </row>
    <row r="16648" ht="15.75" customHeight="1">
      <c r="A16648" s="1">
        <v>17691.0</v>
      </c>
      <c r="B16648" s="3" t="s">
        <v>3507</v>
      </c>
      <c r="C16648" s="3" t="str">
        <f>IFERROR(__xludf.DUMMYFUNCTION("GOOGLETRANSLATE(B16648,""id"",""en"")"),"['like', 'application']")</f>
        <v>['like', 'application']</v>
      </c>
      <c r="D16648" s="3">
        <v>5.0</v>
      </c>
    </row>
    <row r="16649" ht="15.75" customHeight="1">
      <c r="A16649" s="1">
        <v>17692.0</v>
      </c>
      <c r="B16649" s="3" t="s">
        <v>15802</v>
      </c>
      <c r="C16649" s="3" t="str">
        <f>IFERROR(__xludf.DUMMYFUNCTION("GOOGLETRANSLATE(B16649,""id"",""en"")"),"['network', 'Telkomsel', 'bad', 'please', 'fix', 'loss', 'buy', 'package', 'expensive', '']")</f>
        <v>['network', 'Telkomsel', 'bad', 'please', 'fix', 'loss', 'buy', 'package', 'expensive', '']</v>
      </c>
      <c r="D16649" s="3">
        <v>1.0</v>
      </c>
    </row>
    <row r="16650" ht="15.75" customHeight="1">
      <c r="A16650" s="1">
        <v>17693.0</v>
      </c>
      <c r="B16650" s="3" t="s">
        <v>15803</v>
      </c>
      <c r="C16650" s="3" t="str">
        <f>IFERROR(__xludf.DUMMYFUNCTION("GOOGLETRANSLATE(B16650,""id"",""en"")"),"['oath', 'severe', 'really', 'network', 'feels',' make ',' card ',' kayak ',' smooth ',' Jaya ',' wuihh ',' regret ',' cave ',' buy ',' lazy ',' cave ',' make ',' card ',' bye ']")</f>
        <v>['oath', 'severe', 'really', 'network', 'feels',' make ',' card ',' kayak ',' smooth ',' Jaya ',' wuihh ',' regret ',' cave ',' buy ',' lazy ',' cave ',' make ',' card ',' bye ']</v>
      </c>
      <c r="D16650" s="3">
        <v>1.0</v>
      </c>
    </row>
    <row r="16651" ht="15.75" customHeight="1">
      <c r="A16651" s="1">
        <v>17694.0</v>
      </c>
      <c r="B16651" s="3" t="s">
        <v>15804</v>
      </c>
      <c r="C16651" s="3" t="str">
        <f>IFERROR(__xludf.DUMMYFUNCTION("GOOGLETRANSLATE(B16651,""id"",""en"")"),"['Network', 'destroyed', 'Lebur', 'Telkomsel', 'destroyed', 'poor', 'package', 'expensive', 'network', 'ndk', 'karu', 'karuan', ' Please, 'buy', 'package', 'use', 'money', 'use', 'leaves']")</f>
        <v>['Network', 'destroyed', 'Lebur', 'Telkomsel', 'destroyed', 'poor', 'package', 'expensive', 'network', 'ndk', 'karu', 'karuan', ' Please, 'buy', 'package', 'use', 'money', 'use', 'leaves']</v>
      </c>
      <c r="D16651" s="3">
        <v>1.0</v>
      </c>
    </row>
    <row r="16652" ht="15.75" customHeight="1">
      <c r="A16652" s="1">
        <v>17695.0</v>
      </c>
      <c r="B16652" s="3" t="s">
        <v>15805</v>
      </c>
      <c r="C16652" s="3" t="str">
        <f>IFERROR(__xludf.DUMMYFUNCTION("GOOGLETRANSLATE(B16652,""id"",""en"")"),"['signal', 'strong', 'Telkomsel', 'kereen']")</f>
        <v>['signal', 'strong', 'Telkomsel', 'kereen']</v>
      </c>
      <c r="D16652" s="3">
        <v>5.0</v>
      </c>
    </row>
    <row r="16653" ht="15.75" customHeight="1">
      <c r="A16653" s="1">
        <v>17696.0</v>
      </c>
      <c r="B16653" s="3" t="s">
        <v>15806</v>
      </c>
      <c r="C16653" s="3" t="str">
        <f>IFERROR(__xludf.DUMMYFUNCTION("GOOGLETRANSLATE(B16653,""id"",""en"")"),"['APK', 'updated', 'jammed', 'quota', 'sosmed', 'package', 'combo', 'quota', 'main', 'finished', 'concurrent', 'effective', ' Quota ',' National ',' Local ',' Under ',' Flag ',' Red ',' White ',' Region ',' Indonesia ',' Signal ',' Lost ',' Not Good ',' S"&amp;"table ' , 'missing', 'just', 'suggestion', 'package', 'combo', 'together', 'quota', 'main', 'so', 'thank', 'salary']")</f>
        <v>['APK', 'updated', 'jammed', 'quota', 'sosmed', 'package', 'combo', 'quota', 'main', 'finished', 'concurrent', 'effective', ' Quota ',' National ',' Local ',' Under ',' Flag ',' Red ',' White ',' Region ',' Indonesia ',' Signal ',' Lost ',' Not Good ',' Stable ' , 'missing', 'just', 'suggestion', 'package', 'combo', 'together', 'quota', 'main', 'so', 'thank', 'salary']</v>
      </c>
      <c r="D16653" s="3">
        <v>3.0</v>
      </c>
    </row>
    <row r="16654" ht="15.75" customHeight="1">
      <c r="A16654" s="1">
        <v>17697.0</v>
      </c>
      <c r="B16654" s="3" t="s">
        <v>15807</v>
      </c>
      <c r="C16654" s="3" t="str">
        <f>IFERROR(__xludf.DUMMYFUNCTION("GOOGLETRANSLATE(B16654,""id"",""en"")"),"['open', 'stlh', 'updet', 'telkomseell']")</f>
        <v>['open', 'stlh', 'updet', 'telkomseell']</v>
      </c>
      <c r="D16654" s="3">
        <v>2.0</v>
      </c>
    </row>
    <row r="16655" ht="15.75" customHeight="1">
      <c r="A16655" s="1">
        <v>17698.0</v>
      </c>
      <c r="B16655" s="3" t="s">
        <v>15808</v>
      </c>
      <c r="C16655" s="3" t="str">
        <f>IFERROR(__xludf.DUMMYFUNCTION("GOOGLETRANSLATE(B16655,""id"",""en"")"),"['Assalamualaikum', 'Sorry', 'Bang', 'Update', 'Apilkasi', 'Telkomsel', 'Oppo', 'Open']")</f>
        <v>['Assalamualaikum', 'Sorry', 'Bang', 'Update', 'Apilkasi', 'Telkomsel', 'Oppo', 'Open']</v>
      </c>
      <c r="D16655" s="3">
        <v>3.0</v>
      </c>
    </row>
    <row r="16656" ht="15.75" customHeight="1">
      <c r="A16656" s="1">
        <v>17699.0</v>
      </c>
      <c r="B16656" s="3" t="s">
        <v>12376</v>
      </c>
      <c r="C16656" s="3" t="str">
        <f>IFERROR(__xludf.DUMMYFUNCTION("GOOGLETRANSLATE(B16656,""id"",""en"")"),"['screen', 'white', 'update']")</f>
        <v>['screen', 'white', 'update']</v>
      </c>
      <c r="D16656" s="3">
        <v>2.0</v>
      </c>
    </row>
    <row r="16657" ht="15.75" customHeight="1">
      <c r="A16657" s="1">
        <v>17700.0</v>
      </c>
      <c r="B16657" s="3" t="s">
        <v>15809</v>
      </c>
      <c r="C16657" s="3" t="str">
        <f>IFERROR(__xludf.DUMMYFUNCTION("GOOGLETRANSLATE(B16657,""id"",""en"")"),"['Network', 'Telkomsel', 'smooth']")</f>
        <v>['Network', 'Telkomsel', 'smooth']</v>
      </c>
      <c r="D16657" s="3">
        <v>5.0</v>
      </c>
    </row>
    <row r="16658" ht="15.75" customHeight="1">
      <c r="A16658" s="1">
        <v>17701.0</v>
      </c>
      <c r="B16658" s="3" t="s">
        <v>15810</v>
      </c>
      <c r="C16658" s="3" t="str">
        <f>IFERROR(__xludf.DUMMYFUNCTION("GOOGLETRANSLATE(B16658,""id"",""en"")"),"['network', 'restart', 'network', 'network', 'smooth', 'love', 'rating', 'price', 'package', 'expensive', 'already', 'that's',' Love ',' quota ',' little ',' card ',' Telkomsel ',' contents', 'price', 'package', 'cheap', 'gini', 'mah', 'telkomsel', 'searc"&amp;"h' , 'profit']")</f>
        <v>['network', 'restart', 'network', 'network', 'smooth', 'love', 'rating', 'price', 'package', 'expensive', 'already', 'that's',' Love ',' quota ',' little ',' card ',' Telkomsel ',' contents', 'price', 'package', 'cheap', 'gini', 'mah', 'telkomsel', 'search' , 'profit']</v>
      </c>
      <c r="D16658" s="3">
        <v>3.0</v>
      </c>
    </row>
    <row r="16659" ht="15.75" customHeight="1">
      <c r="A16659" s="1">
        <v>17702.0</v>
      </c>
      <c r="B16659" s="3" t="s">
        <v>15811</v>
      </c>
      <c r="C16659" s="3" t="str">
        <f>IFERROR(__xludf.DUMMYFUNCTION("GOOGLETRANSLATE(B16659,""id"",""en"")"),"['Enter', 'APK', 'MyTelkomsel', 'Disconnect', 'Install', 'APK', 'Please', 'MyTelkomsel', ""]")</f>
        <v>['Enter', 'APK', 'MyTelkomsel', 'Disconnect', 'Install', 'APK', 'Please', 'MyTelkomsel', "]</v>
      </c>
      <c r="D16659" s="3">
        <v>1.0</v>
      </c>
    </row>
    <row r="16660" ht="15.75" customHeight="1">
      <c r="A16660" s="1">
        <v>17703.0</v>
      </c>
      <c r="B16660" s="3" t="s">
        <v>15812</v>
      </c>
      <c r="C16660" s="3" t="str">
        <f>IFERROR(__xludf.DUMMYFUNCTION("GOOGLETRANSLATE(B16660,""id"",""en"")"),"['Update', 'Upgrade', 'Open', 'Application', 'Bgaimana', 'Solution', 'App', 'Public Required', 'Purchase', 'Purchase', 'Package', 'Facilitated', ' the payment ',' SISTM ',' APP ',' Mlah ',' Screenwhite ',' Bgin ',' Duuuh ',' Repoot ',' Please ',' Repaired"&amp;" ',' App ',' Really ',' Need ' , '']")</f>
        <v>['Update', 'Upgrade', 'Open', 'Application', 'Bgaimana', 'Solution', 'App', 'Public Required', 'Purchase', 'Purchase', 'Package', 'Facilitated', ' the payment ',' SISTM ',' APP ',' Mlah ',' Screenwhite ',' Bgin ',' Duuuh ',' Repoot ',' Please ',' Repaired ',' App ',' Really ',' Need ' , '']</v>
      </c>
      <c r="D16660" s="3">
        <v>2.0</v>
      </c>
    </row>
    <row r="16661" ht="15.75" customHeight="1">
      <c r="A16661" s="1">
        <v>17704.0</v>
      </c>
      <c r="B16661" s="3" t="s">
        <v>15813</v>
      </c>
      <c r="C16661" s="3" t="str">
        <f>IFERROR(__xludf.DUMMYFUNCTION("GOOGLETRANSLATE(B16661,""id"",""en"")"),"['Satisfied', 'Products',' Telkomsel ',' Tlong ',' Maluku ',' Areal ',' Ambon ',' Restless', 'Krna', 'Difference', 'Price', 'Package', ' Prices', 'Regions',' Java ',' Padahaldi ',' Regions', 'Items',' Expensive ',' Compared ',' Regions', 'Java', 'Seputara"&amp;"n', 'Indonesia', 'West' ]")</f>
        <v>['Satisfied', 'Products',' Telkomsel ',' Tlong ',' Maluku ',' Areal ',' Ambon ',' Restless', 'Krna', 'Difference', 'Price', 'Package', ' Prices', 'Regions',' Java ',' Padahaldi ',' Regions', 'Items',' Expensive ',' Compared ',' Regions', 'Java', 'Seputaran', 'Indonesia', 'West' ]</v>
      </c>
      <c r="D16661" s="3">
        <v>5.0</v>
      </c>
    </row>
    <row r="16662" ht="15.75" customHeight="1">
      <c r="A16662" s="1">
        <v>17705.0</v>
      </c>
      <c r="B16662" s="3" t="s">
        <v>15814</v>
      </c>
      <c r="C16662" s="3" t="str">
        <f>IFERROR(__xludf.DUMMYFUNCTION("GOOGLETRANSLATE(B16662,""id"",""en"")"),"['The package', 'expensive', 'Gamukun', 'sense', 'package', 'provider', 'pulses', 'chick']")</f>
        <v>['The package', 'expensive', 'Gamukun', 'sense', 'package', 'provider', 'pulses', 'chick']</v>
      </c>
      <c r="D16662" s="3">
        <v>1.0</v>
      </c>
    </row>
    <row r="16663" ht="15.75" customHeight="1">
      <c r="A16663" s="1">
        <v>17706.0</v>
      </c>
      <c r="B16663" s="3" t="s">
        <v>15815</v>
      </c>
      <c r="C16663" s="3" t="str">
        <f>IFERROR(__xludf.DUMMYFUNCTION("GOOGLETRANSLATE(B16663,""id"",""en"")"),"['Update', 'bug', '']")</f>
        <v>['Update', 'bug', '']</v>
      </c>
      <c r="D16663" s="3">
        <v>1.0</v>
      </c>
    </row>
    <row r="16664" ht="15.75" customHeight="1">
      <c r="A16664" s="1">
        <v>17707.0</v>
      </c>
      <c r="B16664" s="3" t="s">
        <v>15816</v>
      </c>
      <c r="C16664" s="3" t="str">
        <f>IFERROR(__xludf.DUMMYFUNCTION("GOOGLETRANSLATE(B16664,""id"",""en"")"),"['process', 'service', 'purchase', 'package', 'data', 'easy', 'fast', '']")</f>
        <v>['process', 'service', 'purchase', 'package', 'data', 'easy', 'fast', '']</v>
      </c>
      <c r="D16664" s="3">
        <v>5.0</v>
      </c>
    </row>
    <row r="16665" ht="15.75" customHeight="1">
      <c r="A16665" s="1">
        <v>17708.0</v>
      </c>
      <c r="B16665" s="3" t="s">
        <v>15817</v>
      </c>
      <c r="C16665" s="3" t="str">
        <f>IFERROR(__xludf.DUMMYFUNCTION("GOOGLETRANSLATE(B16665,""id"",""en"")"),"['Network', 'Telkomsel', 'bad', 'expensive', 'TPI', 'quality', 'best', 'customer', 'expensive', 'according to', 'quality', 'internet']")</f>
        <v>['Network', 'Telkomsel', 'bad', 'expensive', 'TPI', 'quality', 'best', 'customer', 'expensive', 'according to', 'quality', 'internet']</v>
      </c>
      <c r="D16665" s="3">
        <v>2.0</v>
      </c>
    </row>
    <row r="16666" ht="15.75" customHeight="1">
      <c r="A16666" s="1">
        <v>17709.0</v>
      </c>
      <c r="B16666" s="3" t="s">
        <v>15818</v>
      </c>
      <c r="C16666" s="3" t="str">
        <f>IFERROR(__xludf.DUMMYFUNCTION("GOOGLETRANSLATE(B16666,""id"",""en"")"),"['network', 'internet', 'sadistic', 'slow', 'stable', 'severe', ""]")</f>
        <v>['network', 'internet', 'sadistic', 'slow', 'stable', 'severe', "]</v>
      </c>
      <c r="D16666" s="3">
        <v>1.0</v>
      </c>
    </row>
    <row r="16667" ht="15.75" customHeight="1">
      <c r="A16667" s="1">
        <v>17710.0</v>
      </c>
      <c r="B16667" s="3" t="s">
        <v>4106</v>
      </c>
      <c r="C16667" s="3" t="str">
        <f>IFERROR(__xludf.DUMMYFUNCTION("GOOGLETRANSLATE(B16667,""id"",""en"")"),"['application', '']")</f>
        <v>['application', '']</v>
      </c>
      <c r="D16667" s="3">
        <v>5.0</v>
      </c>
    </row>
    <row r="16668" ht="15.75" customHeight="1">
      <c r="A16668" s="1">
        <v>17711.0</v>
      </c>
      <c r="B16668" s="3" t="s">
        <v>15819</v>
      </c>
      <c r="C16668" s="3" t="str">
        <f>IFERROR(__xludf.DUMMYFUNCTION("GOOGLETRANSLATE(B16668,""id"",""en"")"),"['YTH', 'Director', 'Telkomsel', 'naughty', 'contents',' credit ',' emergency ',' apply ',' coercion ',' charging ',' pulse ',' pulses', ' Emergency ',' Please ',' Looked ',' Credit ',' Submissions', 'Telkomsel', 'Times',' Learn ',' If ',' Million ',' Cus"&amp;"tomers', 'Treated', 'Value' , 'Telkomsel', 'take', 'consumer', 'trillion', 'bln', 'smart', 'file', 'institution', 'consumer', '']")</f>
        <v>['YTH', 'Director', 'Telkomsel', 'naughty', 'contents',' credit ',' emergency ',' apply ',' coercion ',' charging ',' pulse ',' pulses', ' Emergency ',' Please ',' Looked ',' Credit ',' Submissions', 'Telkomsel', 'Times',' Learn ',' If ',' Million ',' Customers', 'Treated', 'Value' , 'Telkomsel', 'take', 'consumer', 'trillion', 'bln', 'smart', 'file', 'institution', 'consumer', '']</v>
      </c>
      <c r="D16668" s="3">
        <v>4.0</v>
      </c>
    </row>
    <row r="16669" ht="15.75" customHeight="1">
      <c r="A16669" s="1">
        <v>17712.0</v>
      </c>
      <c r="B16669" s="3" t="s">
        <v>15820</v>
      </c>
      <c r="C16669" s="3" t="str">
        <f>IFERROR(__xludf.DUMMYFUNCTION("GOOGLETRANSLATE(B16669,""id"",""en"")"),"['Card', 'Hello', 'Pre', 'Pay', 'Help']")</f>
        <v>['Card', 'Hello', 'Pre', 'Pay', 'Help']</v>
      </c>
      <c r="D16669" s="3">
        <v>4.0</v>
      </c>
    </row>
    <row r="16670" ht="15.75" customHeight="1">
      <c r="A16670" s="1">
        <v>17713.0</v>
      </c>
      <c r="B16670" s="3" t="s">
        <v>15821</v>
      </c>
      <c r="C16670" s="3" t="str">
        <f>IFERROR(__xludf.DUMMYFUNCTION("GOOGLETRANSLATE(B16670,""id"",""en"")"),"['application', 'error', 'appears', 'screen', 'white', 'empty', 'after', 'process', 'install', 'finish', 'Please', 'solution']")</f>
        <v>['application', 'error', 'appears', 'screen', 'white', 'empty', 'after', 'process', 'install', 'finish', 'Please', 'solution']</v>
      </c>
      <c r="D16670" s="3">
        <v>5.0</v>
      </c>
    </row>
    <row r="16671" ht="15.75" customHeight="1">
      <c r="A16671" s="1">
        <v>17714.0</v>
      </c>
      <c r="B16671" s="3" t="s">
        <v>15822</v>
      </c>
      <c r="C16671" s="3" t="str">
        <f>IFERROR(__xludf.DUMMYFUNCTION("GOOGLETRANSLATE(B16671,""id"",""en"")"),"['Application', 'Error', 'Open', 'Please', 'Fix', '']")</f>
        <v>['Application', 'Error', 'Open', 'Please', 'Fix', '']</v>
      </c>
      <c r="D16671" s="3">
        <v>1.0</v>
      </c>
    </row>
    <row r="16672" ht="15.75" customHeight="1">
      <c r="A16672" s="1">
        <v>17715.0</v>
      </c>
      <c r="B16672" s="3" t="s">
        <v>15823</v>
      </c>
      <c r="C16672" s="3" t="str">
        <f>IFERROR(__xludf.DUMMYFUNCTION("GOOGLETRANSLATE(B16672,""id"",""en"")"),"['Ribet', 'Log', 'app', 'no', 'ugly', 'update', 'blank', 'screen', 'white', 'no', 'mebuka', 'my apk', ' Diuninstal ',' download ',' tetep ',' blank ',' wis', 'bad', ""]")</f>
        <v>['Ribet', 'Log', 'app', 'no', 'ugly', 'update', 'blank', 'screen', 'white', 'no', 'mebuka', 'my apk', ' Diuninstal ',' download ',' tetep ',' blank ',' wis', 'bad', "]</v>
      </c>
      <c r="D16672" s="3">
        <v>1.0</v>
      </c>
    </row>
    <row r="16673" ht="15.75" customHeight="1">
      <c r="A16673" s="1">
        <v>17716.0</v>
      </c>
      <c r="B16673" s="3" t="s">
        <v>15824</v>
      </c>
      <c r="C16673" s="3" t="str">
        <f>IFERROR(__xludf.DUMMYFUNCTION("GOOGLETRANSLATE(B16673,""id"",""en"")"),"['Notification', 'Application', 'Update', 'Update', 'Fluency', 'Comfort', 'Opened', 'Appear', 'White', 'Screen', 'Continuous',' Disappointing ',' ']")</f>
        <v>['Notification', 'Application', 'Update', 'Update', 'Fluency', 'Comfort', 'Opened', 'Appear', 'White', 'Screen', 'Continuous',' Disappointing ',' ']</v>
      </c>
      <c r="D16673" s="3">
        <v>1.0</v>
      </c>
    </row>
    <row r="16674" ht="15.75" customHeight="1">
      <c r="A16674" s="1">
        <v>17717.0</v>
      </c>
      <c r="B16674" s="3" t="s">
        <v>15825</v>
      </c>
      <c r="C16674" s="3" t="str">
        <f>IFERROR(__xludf.DUMMYFUNCTION("GOOGLETRANSLATE(B16674,""id"",""en"")"),"['Really', 'Good', 'App', 'Thanks', 'Telkomsel', 'Cheap', 'Purchase', 'Credit', '']")</f>
        <v>['Really', 'Good', 'App', 'Thanks', 'Telkomsel', 'Cheap', 'Purchase', 'Credit', '']</v>
      </c>
      <c r="D16674" s="3">
        <v>5.0</v>
      </c>
    </row>
    <row r="16675" ht="15.75" customHeight="1">
      <c r="A16675" s="1">
        <v>17718.0</v>
      </c>
      <c r="B16675" s="3" t="s">
        <v>15826</v>
      </c>
      <c r="C16675" s="3" t="str">
        <f>IFERROR(__xludf.DUMMYFUNCTION("GOOGLETRANSLATE(B16675,""id"",""en"")"),"['Sorry', '4th', 'star', 'signal', 'severe', 'noon', 'night', 'indocator', 'area', 'stay', 'city', 'suburbs',' Jakarta ',' Mount ',' Signal ',' Internet ',' Please ',' Repaired ',' Porvider ',' Class', 'Elite', 'Expensive', 'Package', 'Service', 'Quality'"&amp;" , 'internet', 'shy', 'provider', 'next door', 'murmer', 'signal', 'good', '']")</f>
        <v>['Sorry', '4th', 'star', 'signal', 'severe', 'noon', 'night', 'indocator', 'area', 'stay', 'city', 'suburbs',' Jakarta ',' Mount ',' Signal ',' Internet ',' Please ',' Repaired ',' Porvider ',' Class', 'Elite', 'Expensive', 'Package', 'Service', 'Quality' , 'internet', 'shy', 'provider', 'next door', 'murmer', 'signal', 'good', '']</v>
      </c>
      <c r="D16675" s="3">
        <v>2.0</v>
      </c>
    </row>
    <row r="16676" ht="15.75" customHeight="1">
      <c r="A16676" s="1">
        <v>17719.0</v>
      </c>
      <c r="B16676" s="3" t="s">
        <v>15827</v>
      </c>
      <c r="C16676" s="3" t="str">
        <f>IFERROR(__xludf.DUMMYFUNCTION("GOOGLETRANSLATE(B16676,""id"",""en"")"),"['apk', 'no', 'open', '']")</f>
        <v>['apk', 'no', 'open', '']</v>
      </c>
      <c r="D16676" s="3">
        <v>2.0</v>
      </c>
    </row>
    <row r="16677" ht="15.75" customHeight="1">
      <c r="A16677" s="1">
        <v>17720.0</v>
      </c>
      <c r="B16677" s="3" t="s">
        <v>15828</v>
      </c>
      <c r="C16677" s="3" t="str">
        <f>IFERROR(__xludf.DUMMYFUNCTION("GOOGLETRANSLATE(B16677,""id"",""en"")"),"['update', 'version', 'the latest', 'it looks',' screen ',' white ',' siyal ',' weve ',' sannya ',' beg ',' udate ',' version ',' Latest, ',' Funded ']")</f>
        <v>['update', 'version', 'the latest', 'it looks',' screen ',' white ',' siyal ',' weve ',' sannya ',' beg ',' udate ',' version ',' Latest, ',' Funded ']</v>
      </c>
      <c r="D16677" s="3">
        <v>2.0</v>
      </c>
    </row>
    <row r="16678" ht="15.75" customHeight="1">
      <c r="A16678" s="1">
        <v>17721.0</v>
      </c>
      <c r="B16678" s="3" t="s">
        <v>15829</v>
      </c>
      <c r="C16678" s="3" t="str">
        <f>IFERROR(__xludf.DUMMYFUNCTION("GOOGLETRANSLATE(B16678,""id"",""en"")"),"['wkwkwkw', 'klu', 'dkasih', 'reting', 'dkit', 'dkomen']")</f>
        <v>['wkwkwkw', 'klu', 'dkasih', 'reting', 'dkit', 'dkomen']</v>
      </c>
      <c r="D16678" s="3">
        <v>1.0</v>
      </c>
    </row>
    <row r="16679" ht="15.75" customHeight="1">
      <c r="A16679" s="1">
        <v>17722.0</v>
      </c>
      <c r="B16679" s="3" t="s">
        <v>15830</v>
      </c>
      <c r="C16679" s="3" t="str">
        <f>IFERROR(__xludf.DUMMYFUNCTION("GOOGLETRANSLATE(B16679,""id"",""en"")"),"['Yesterday', 'after', 'mnta', 'update', 'kbuka', 'open', 'application', 'wonder', 'solution', 'min']")</f>
        <v>['Yesterday', 'after', 'mnta', 'update', 'kbuka', 'open', 'application', 'wonder', 'solution', 'min']</v>
      </c>
      <c r="D16679" s="3">
        <v>1.0</v>
      </c>
    </row>
    <row r="16680" ht="15.75" customHeight="1">
      <c r="A16680" s="1">
        <v>17723.0</v>
      </c>
      <c r="B16680" s="3" t="s">
        <v>15831</v>
      </c>
      <c r="C16680" s="3" t="str">
        <f>IFERROR(__xludf.DUMMYFUNCTION("GOOGLETRANSLATE(B16680,""id"",""en"")"),"['Taiiii', 'network', 'Lemotttt', 'watch', 'buffering', 'play', 'game', 'signal', 'red', 'download', 'cmn', 'MB', ' MENISIS ',' CLOSED ',' TELKOMSellLL ',' Network ',' Bad ',' Fun ',' Jajal ',' Buy ',' quota ',' Telkomsel ',' Karna ',' sent ',' pulses' , "&amp;"'Bullek', 'Telkomsel', 'Try', 'buy', 'package', 'use', 'anjirrrrr', 'cuihhh', 'kenceng', 'kencengaaa', 'suggestion', 'fix', ' network ',' already ',' expensive ',' credit ',' like ',' sumps', 'gaje', 'basics',' Telkomsel ', ""]")</f>
        <v>['Taiiii', 'network', 'Lemotttt', 'watch', 'buffering', 'play', 'game', 'signal', 'red', 'download', 'cmn', 'MB', ' MENISIS ',' CLOSED ',' TELKOMSellLL ',' Network ',' Bad ',' Fun ',' Jajal ',' Buy ',' quota ',' Telkomsel ',' Karna ',' sent ',' pulses' , 'Bullek', 'Telkomsel', 'Try', 'buy', 'package', 'use', 'anjirrrrr', 'cuihhh', 'kenceng', 'kencengaaa', 'suggestion', 'fix', ' network ',' already ',' expensive ',' credit ',' like ',' sumps', 'gaje', 'basics',' Telkomsel ', "]</v>
      </c>
      <c r="D16680" s="3">
        <v>1.0</v>
      </c>
    </row>
    <row r="16681" ht="15.75" customHeight="1">
      <c r="A16681" s="1">
        <v>17724.0</v>
      </c>
      <c r="B16681" s="3" t="s">
        <v>15832</v>
      </c>
      <c r="C16681" s="3" t="str">
        <f>IFERROR(__xludf.DUMMYFUNCTION("GOOGLETRANSLATE(B16681,""id"",""en"")"),"['Telkom', 'signal', 'toll', 'Gobl', 'please', 'fix', 'telkom', 'devil', 'threat', 'mmr', 'mlbb', 'cave']")</f>
        <v>['Telkom', 'signal', 'toll', 'Gobl', 'please', 'fix', 'telkom', 'devil', 'threat', 'mmr', 'mlbb', 'cave']</v>
      </c>
      <c r="D16681" s="3">
        <v>2.0</v>
      </c>
    </row>
    <row r="16682" ht="15.75" customHeight="1">
      <c r="A16682" s="1">
        <v>17725.0</v>
      </c>
      <c r="B16682" s="3" t="s">
        <v>1367</v>
      </c>
      <c r="C16682" s="3" t="str">
        <f>IFERROR(__xludf.DUMMYFUNCTION("GOOGLETRANSLATE(B16682,""id"",""en"")"),"['good']")</f>
        <v>['good']</v>
      </c>
      <c r="D16682" s="3">
        <v>5.0</v>
      </c>
    </row>
    <row r="16683" ht="15.75" customHeight="1">
      <c r="A16683" s="1">
        <v>17726.0</v>
      </c>
      <c r="B16683" s="3" t="s">
        <v>15833</v>
      </c>
      <c r="C16683" s="3" t="str">
        <f>IFERROR(__xludf.DUMMYFUNCTION("GOOGLETRANSLATE(B16683,""id"",""en"")"),"['Severe', 'Update', 'Enter', 'UDH', 'Click', 'APK', 'Mlah', 'White', 'Screen']")</f>
        <v>['Severe', 'Update', 'Enter', 'UDH', 'Click', 'APK', 'Mlah', 'White', 'Screen']</v>
      </c>
      <c r="D16683" s="3">
        <v>1.0</v>
      </c>
    </row>
    <row r="16684" ht="15.75" customHeight="1">
      <c r="A16684" s="1">
        <v>17727.0</v>
      </c>
      <c r="B16684" s="3" t="s">
        <v>15834</v>
      </c>
      <c r="C16684" s="3" t="str">
        <f>IFERROR(__xludf.DUMMYFUNCTION("GOOGLETRANSLATE(B16684,""id"",""en"")"),"['Please', 'Fix', 'Network', 'Game', 'Play', 'Mobile', 'Legend', 'ping', 'No', 'Setabil', 'Bagusss',' You ',' forced ',' replace ',' card ',' cheap ',' good ',' signal ',' game ']")</f>
        <v>['Please', 'Fix', 'Network', 'Game', 'Play', 'Mobile', 'Legend', 'ping', 'No', 'Setabil', 'Bagusss',' You ',' forced ',' replace ',' card ',' cheap ',' good ',' signal ',' game ']</v>
      </c>
      <c r="D16684" s="3">
        <v>1.0</v>
      </c>
    </row>
    <row r="16685" ht="15.75" customHeight="1">
      <c r="A16685" s="1">
        <v>17728.0</v>
      </c>
      <c r="B16685" s="3" t="s">
        <v>15835</v>
      </c>
      <c r="C16685" s="3" t="str">
        <f>IFERROR(__xludf.DUMMYFUNCTION("GOOGLETRANSLATE(B16685,""id"",""en"")"),"['Need', 'service', 'best', 'contents',' package ',' backup ',' vain ',' vain ',' buy ',' package ',' buy ',' package ',' Money ',' Leaves', 'Taikk', 'Network', 'Internet', 'Fix']")</f>
        <v>['Need', 'service', 'best', 'contents',' package ',' backup ',' vain ',' vain ',' buy ',' package ',' buy ',' package ',' Money ',' Leaves', 'Taikk', 'Network', 'Internet', 'Fix']</v>
      </c>
      <c r="D16685" s="3">
        <v>1.0</v>
      </c>
    </row>
    <row r="16686" ht="15.75" customHeight="1">
      <c r="A16686" s="1">
        <v>17729.0</v>
      </c>
      <c r="B16686" s="3" t="s">
        <v>15836</v>
      </c>
      <c r="C16686" s="3" t="str">
        <f>IFERROR(__xludf.DUMMYFUNCTION("GOOGLETRANSLATE(B16686,""id"",""en"")"),"['Mai', 'enter', 'already', 'no', 'because', 'right', 'click', 'my APK', 'screen', 'white', 'cinema', ""]")</f>
        <v>['Mai', 'enter', 'already', 'no', 'because', 'right', 'click', 'my APK', 'screen', 'white', 'cinema', "]</v>
      </c>
      <c r="D16686" s="3">
        <v>1.0</v>
      </c>
    </row>
    <row r="16687" ht="15.75" customHeight="1">
      <c r="A16687" s="1">
        <v>17730.0</v>
      </c>
      <c r="B16687" s="3" t="s">
        <v>15837</v>
      </c>
      <c r="C16687" s="3" t="str">
        <f>IFERROR(__xludf.DUMMYFUNCTION("GOOGLETRANSLATE(B16687,""id"",""en"")"),"['udh', 'kyk', 'official', 'country', 'min', 'udh', 'expensive', 'buy', 'package', 'network', 'bad', 'bad', ' Disappointed ',' Disappointed ',' ']")</f>
        <v>['udh', 'kyk', 'official', 'country', 'min', 'udh', 'expensive', 'buy', 'package', 'network', 'bad', 'bad', ' Disappointed ',' Disappointed ',' ']</v>
      </c>
      <c r="D16687" s="3">
        <v>1.0</v>
      </c>
    </row>
    <row r="16688" ht="15.75" customHeight="1">
      <c r="A16688" s="1">
        <v>17731.0</v>
      </c>
      <c r="B16688" s="3" t="s">
        <v>15838</v>
      </c>
      <c r="C16688" s="3" t="str">
        <f>IFERROR(__xludf.DUMMYFUNCTION("GOOGLETRANSLATE(B16688,""id"",""en"")"),"['network', 'Telkomsel', 'BURIK', 'price', 'expensive', 'quality', 'gmn', 'Telkomsel', 'please', 'fix', 'reset', 'the network', ' Users', 'Satisfied', '']")</f>
        <v>['network', 'Telkomsel', 'BURIK', 'price', 'expensive', 'quality', 'gmn', 'Telkomsel', 'please', 'fix', 'reset', 'the network', ' Users', 'Satisfied', '']</v>
      </c>
      <c r="D16688" s="3">
        <v>1.0</v>
      </c>
    </row>
    <row r="16689" ht="15.75" customHeight="1">
      <c r="A16689" s="1">
        <v>17732.0</v>
      </c>
      <c r="B16689" s="3" t="s">
        <v>15839</v>
      </c>
      <c r="C16689" s="3" t="str">
        <f>IFERROR(__xludf.DUMMYFUNCTION("GOOGLETRANSLATE(B16689,""id"",""en"")"),"['Lally', 'promo', 'cheap']")</f>
        <v>['Lally', 'promo', 'cheap']</v>
      </c>
      <c r="D16689" s="3">
        <v>4.0</v>
      </c>
    </row>
    <row r="16690" ht="15.75" customHeight="1">
      <c r="A16690" s="1">
        <v>17733.0</v>
      </c>
      <c r="B16690" s="3" t="s">
        <v>15840</v>
      </c>
      <c r="C16690" s="3" t="str">
        <f>IFERROR(__xludf.DUMMYFUNCTION("GOOGLETRANSLATE(B16690,""id"",""en"")"),"['Love', 'Gifts', 'then', 'Lottery', 'Win', '']")</f>
        <v>['Love', 'Gifts', 'then', 'Lottery', 'Win', '']</v>
      </c>
      <c r="D16690" s="3">
        <v>3.0</v>
      </c>
    </row>
    <row r="16691" ht="15.75" customHeight="1">
      <c r="A16691" s="1">
        <v>17734.0</v>
      </c>
      <c r="B16691" s="3" t="s">
        <v>15841</v>
      </c>
      <c r="C16691" s="3" t="str">
        <f>IFERROR(__xludf.DUMMYFUNCTION("GOOGLETRANSLATE(B16691,""id"",""en"")"),"['Telkomsel', 'slow', 'skarang', 'kyk', 'dlu', 'network', 'forgiveness',' monastery ',' slow ',' Telkomsel ',' please ',' pay attention ',' LGI ',' Quality ',' Network ',' ']")</f>
        <v>['Telkomsel', 'slow', 'skarang', 'kyk', 'dlu', 'network', 'forgiveness',' monastery ',' slow ',' Telkomsel ',' please ',' pay attention ',' LGI ',' Quality ',' Network ',' ']</v>
      </c>
      <c r="D16691" s="3">
        <v>2.0</v>
      </c>
    </row>
    <row r="16692" ht="15.75" customHeight="1">
      <c r="A16692" s="1">
        <v>17735.0</v>
      </c>
      <c r="B16692" s="3" t="s">
        <v>15842</v>
      </c>
      <c r="C16692" s="3" t="str">
        <f>IFERROR(__xludf.DUMMYFUNCTION("GOOGLETRANSLATE(B16692,""id"",""en"")"),"['bad', 'apk', 'already', 'open', 'uninstall', 'install', 'open', 'severe', 'telkomsel', 'ugly', '']")</f>
        <v>['bad', 'apk', 'already', 'open', 'uninstall', 'install', 'open', 'severe', 'telkomsel', 'ugly', '']</v>
      </c>
      <c r="D16692" s="3">
        <v>1.0</v>
      </c>
    </row>
    <row r="16693" ht="15.75" customHeight="1">
      <c r="A16693" s="1">
        <v>17736.0</v>
      </c>
      <c r="B16693" s="3" t="s">
        <v>15843</v>
      </c>
      <c r="C16693" s="3" t="str">
        <f>IFERROR(__xludf.DUMMYFUNCTION("GOOGLETRANSLATE(B16693,""id"",""en"")"),"['complain', 'fix', 'ssore', 'until', 'late', 'night', 'get', ""]")</f>
        <v>['complain', 'fix', 'ssore', 'until', 'late', 'night', 'get', "]</v>
      </c>
      <c r="D16693" s="3">
        <v>1.0</v>
      </c>
    </row>
    <row r="16694" ht="15.75" customHeight="1">
      <c r="A16694" s="1">
        <v>17737.0</v>
      </c>
      <c r="B16694" s="3" t="s">
        <v>15844</v>
      </c>
      <c r="C16694" s="3" t="str">
        <f>IFERROR(__xludf.DUMMYFUNCTION("GOOGLETRANSLATE(B16694,""id"",""en"")"),"['signal', 'good', 'internet', 'sosmed', 'smooth', 'alias', 'zonk', 'yeah', 'no', 'tower', 'adasolusinya', ""]")</f>
        <v>['signal', 'good', 'internet', 'sosmed', 'smooth', 'alias', 'zonk', 'yeah', 'no', 'tower', 'adasolusinya', "]</v>
      </c>
      <c r="D16694" s="3">
        <v>5.0</v>
      </c>
    </row>
    <row r="16695" ht="15.75" customHeight="1">
      <c r="A16695" s="1">
        <v>17738.0</v>
      </c>
      <c r="B16695" s="3" t="s">
        <v>15845</v>
      </c>
      <c r="C16695" s="3" t="str">
        <f>IFERROR(__xludf.DUMMYFUNCTION("GOOGLETRANSLATE(B16695,""id"",""en"")"),"['Lost', 'game']")</f>
        <v>['Lost', 'game']</v>
      </c>
      <c r="D16695" s="3">
        <v>1.0</v>
      </c>
    </row>
    <row r="16696" ht="15.75" customHeight="1">
      <c r="A16696" s="1">
        <v>17740.0</v>
      </c>
      <c r="B16696" s="3" t="s">
        <v>15846</v>
      </c>
      <c r="C16696" s="3" t="str">
        <f>IFERROR(__xludf.DUMMYFUNCTION("GOOGLETRANSLATE(B16696,""id"",""en"")"),"['Mejangmuda', 'Save', 'Costs']")</f>
        <v>['Mejangmuda', 'Save', 'Costs']</v>
      </c>
      <c r="D16696" s="3">
        <v>5.0</v>
      </c>
    </row>
    <row r="16697" ht="15.75" customHeight="1">
      <c r="A16697" s="1">
        <v>17741.0</v>
      </c>
      <c r="B16697" s="3" t="s">
        <v>3749</v>
      </c>
      <c r="C16697" s="3" t="str">
        <f>IFERROR(__xludf.DUMMYFUNCTION("GOOGLETRANSLATE(B16697,""id"",""en"")"),"['hope', 'promo', 'interesting']")</f>
        <v>['hope', 'promo', 'interesting']</v>
      </c>
      <c r="D16697" s="3">
        <v>5.0</v>
      </c>
    </row>
    <row r="16698" ht="15.75" customHeight="1">
      <c r="A16698" s="1">
        <v>17742.0</v>
      </c>
      <c r="B16698" s="3" t="s">
        <v>15847</v>
      </c>
      <c r="C16698" s="3" t="str">
        <f>IFERROR(__xludf.DUMMYFUNCTION("GOOGLETRANSLATE(B16698,""id"",""en"")"),"['', 'promo']")</f>
        <v>['', 'promo']</v>
      </c>
      <c r="D16698" s="3">
        <v>5.0</v>
      </c>
    </row>
    <row r="16699" ht="15.75" customHeight="1">
      <c r="A16699" s="1">
        <v>17743.0</v>
      </c>
      <c r="B16699" s="3" t="s">
        <v>15848</v>
      </c>
      <c r="C16699" s="3" t="str">
        <f>IFERROR(__xludf.DUMMYFUNCTION("GOOGLETRANSLATE(B16699,""id"",""en"")"),"['Sangta', 'Irit', 'Trimakasih', 'Telkomsel', ""]")</f>
        <v>['Sangta', 'Irit', 'Trimakasih', 'Telkomsel', "]</v>
      </c>
      <c r="D16699" s="3">
        <v>5.0</v>
      </c>
    </row>
    <row r="16700" ht="15.75" customHeight="1">
      <c r="A16700" s="1">
        <v>17744.0</v>
      </c>
      <c r="B16700" s="3" t="s">
        <v>15849</v>
      </c>
      <c r="C16700" s="3" t="str">
        <f>IFERROR(__xludf.DUMMYFUNCTION("GOOGLETRANSLATE(B16700,""id"",""en"")"),"['access', 'Telkomsel', 'Download', 'reset', 'can', 'use', 'Please', 'help']")</f>
        <v>['access', 'Telkomsel', 'Download', 'reset', 'can', 'use', 'Please', 'help']</v>
      </c>
      <c r="D16700" s="3">
        <v>5.0</v>
      </c>
    </row>
    <row r="16701" ht="15.75" customHeight="1">
      <c r="A16701" s="1">
        <v>17745.0</v>
      </c>
      <c r="B16701" s="3" t="s">
        <v>15850</v>
      </c>
      <c r="C16701" s="3" t="str">
        <f>IFERROR(__xludf.DUMMYFUNCTION("GOOGLETRANSLATE(B16701,""id"",""en"")"),"['Buy', 'Paketan', 'Telkomsel', 'Cheap']")</f>
        <v>['Buy', 'Paketan', 'Telkomsel', 'Cheap']</v>
      </c>
      <c r="D16701" s="3">
        <v>5.0</v>
      </c>
    </row>
    <row r="16702" ht="15.75" customHeight="1">
      <c r="A16702" s="1">
        <v>17746.0</v>
      </c>
      <c r="B16702" s="3" t="s">
        <v>15851</v>
      </c>
      <c r="C16702" s="3" t="str">
        <f>IFERROR(__xludf.DUMMYFUNCTION("GOOGLETRANSLATE(B16702,""id"",""en"")"),"['Sad', 'right', 'update', 'the application', 'opened', '']")</f>
        <v>['Sad', 'right', 'update', 'the application', 'opened', '']</v>
      </c>
      <c r="D16702" s="3">
        <v>3.0</v>
      </c>
    </row>
    <row r="16703" ht="15.75" customHeight="1">
      <c r="A16703" s="1">
        <v>17747.0</v>
      </c>
      <c r="B16703" s="3" t="s">
        <v>15852</v>
      </c>
      <c r="C16703" s="3" t="str">
        <f>IFERROR(__xludf.DUMMYFUNCTION("GOOGLETRANSLATE(B16703,""id"",""en"")"),"['price', 'expensive', 'network', 'threat', 'disappointed', 'heavy', 'Telkomsel', 'network', 'rotten', 'right', 'mending', 'next door', ' quality ',' price ',' cheap ',' difference ',' speed ',' download ',' Telkomsel ',' streaming ',' open ',' app ',' sl"&amp;"ow ',' network ',' number ' , 'Mending', 'a day', 'week', 'speed', 'browsing', 'down', 'really', 'writing', 'kbps',' taste ',' speed ',' repair ',' Replace ',' card ']")</f>
        <v>['price', 'expensive', 'network', 'threat', 'disappointed', 'heavy', 'Telkomsel', 'network', 'rotten', 'right', 'mending', 'next door', ' quality ',' price ',' cheap ',' difference ',' speed ',' download ',' Telkomsel ',' streaming ',' open ',' app ',' slow ',' network ',' number ' , 'Mending', 'a day', 'week', 'speed', 'browsing', 'down', 'really', 'writing', 'kbps',' taste ',' speed ',' repair ',' Replace ',' card ']</v>
      </c>
      <c r="D16703" s="3">
        <v>1.0</v>
      </c>
    </row>
    <row r="16704" ht="15.75" customHeight="1">
      <c r="A16704" s="1">
        <v>17748.0</v>
      </c>
      <c r="B16704" s="3" t="s">
        <v>15853</v>
      </c>
      <c r="C16704" s="3" t="str">
        <f>IFERROR(__xludf.DUMMYFUNCTION("GOOGLETRANSLATE(B16704,""id"",""en"")"),"['quota', 'expensive', 'network', 'kayak', 'goat']")</f>
        <v>['quota', 'expensive', 'network', 'kayak', 'goat']</v>
      </c>
      <c r="D16704" s="3">
        <v>1.0</v>
      </c>
    </row>
    <row r="16705" ht="15.75" customHeight="1">
      <c r="A16705" s="1">
        <v>17749.0</v>
      </c>
      <c r="B16705" s="3" t="s">
        <v>15854</v>
      </c>
      <c r="C16705" s="3" t="str">
        <f>IFERROR(__xludf.DUMMYFUNCTION("GOOGLETRANSLATE(B16705,""id"",""en"")"),"['already', 'a week', 'access', 'Tlkomsel', '']")</f>
        <v>['already', 'a week', 'access', 'Tlkomsel', '']</v>
      </c>
      <c r="D16705" s="3">
        <v>1.0</v>
      </c>
    </row>
    <row r="16706" ht="15.75" customHeight="1">
      <c r="A16706" s="1">
        <v>17750.0</v>
      </c>
      <c r="B16706" s="3" t="s">
        <v>15855</v>
      </c>
      <c r="C16706" s="3" t="str">
        <f>IFERROR(__xludf.DUMMYFUNCTION("GOOGLETRANSLATE(B16706,""id"",""en"")"),"['Patasa', 'run out', 'quota', 'napa', 'kom']")</f>
        <v>['Patasa', 'run out', 'quota', 'napa', 'kom']</v>
      </c>
      <c r="D16706" s="3">
        <v>1.0</v>
      </c>
    </row>
    <row r="16707" ht="15.75" customHeight="1">
      <c r="A16707" s="1">
        <v>17752.0</v>
      </c>
      <c r="B16707" s="3" t="s">
        <v>15856</v>
      </c>
      <c r="C16707" s="3" t="str">
        <f>IFERROR(__xludf.DUMMYFUNCTION("GOOGLETRANSLATE(B16707,""id"",""en"")"),"['Application', 'Cool', '']")</f>
        <v>['Application', 'Cool', '']</v>
      </c>
      <c r="D16707" s="3">
        <v>5.0</v>
      </c>
    </row>
    <row r="16708" ht="15.75" customHeight="1">
      <c r="A16708" s="1">
        <v>17753.0</v>
      </c>
      <c r="B16708" s="3" t="s">
        <v>15857</v>
      </c>
      <c r="C16708" s="3" t="str">
        <f>IFERROR(__xludf.DUMMYFUNCTION("GOOGLETRANSLATE(B16708,""id"",""en"")"),"['Please', 'Provider', 'number', 'Indonesia', 'fix', 'dlu', 'network', 'network', 'at home', 'slow', 'really', 'stay', ' City ',' already ',' lag ',' streaming ',' browser ']")</f>
        <v>['Please', 'Provider', 'number', 'Indonesia', 'fix', 'dlu', 'network', 'network', 'at home', 'slow', 'really', 'stay', ' City ',' already ',' lag ',' streaming ',' browser ']</v>
      </c>
      <c r="D16708" s="3">
        <v>1.0</v>
      </c>
    </row>
    <row r="16709" ht="15.75" customHeight="1">
      <c r="A16709" s="1">
        <v>17754.0</v>
      </c>
      <c r="B16709" s="3" t="s">
        <v>15858</v>
      </c>
      <c r="C16709" s="3" t="str">
        <f>IFERROR(__xludf.DUMMYFUNCTION("GOOGLETRANSLATE(B16709,""id"",""en"")"),"['Kayak', 'screen', 'white', 'masok', 'betol', 'application', 'enthusiasts', 'sukak', 'ATI', 'operator', 'skrng', ""]")</f>
        <v>['Kayak', 'screen', 'white', 'masok', 'betol', 'application', 'enthusiasts', 'sukak', 'ATI', 'operator', 'skrng', "]</v>
      </c>
      <c r="D16709" s="3">
        <v>1.0</v>
      </c>
    </row>
    <row r="16710" ht="15.75" customHeight="1">
      <c r="A16710" s="1">
        <v>17755.0</v>
      </c>
      <c r="B16710" s="3" t="s">
        <v>15859</v>
      </c>
      <c r="C16710" s="3" t="str">
        <f>IFERROR(__xludf.DUMMYFUNCTION("GOOGLETRANSLATE(B16710,""id"",""en"")"),"['', 'NGK', 'Papa', 'Network', 'ugly', 'package', 'expensive']")</f>
        <v>['', 'NGK', 'Papa', 'Network', 'ugly', 'package', 'expensive']</v>
      </c>
      <c r="D16710" s="3">
        <v>4.0</v>
      </c>
    </row>
    <row r="16711" ht="15.75" customHeight="1">
      <c r="A16711" s="1">
        <v>17756.0</v>
      </c>
      <c r="B16711" s="3" t="s">
        <v>15860</v>
      </c>
      <c r="C16711" s="3" t="str">
        <f>IFERROR(__xludf.DUMMYFUNCTION("GOOGLETRANSLATE(B16711,""id"",""en"")"),"['Application', 'Delay', 'Bngt', 'Application', 'Child', 'Internship', 'High School', 'Application', 'Trash']")</f>
        <v>['Application', 'Delay', 'Bngt', 'Application', 'Child', 'Internship', 'High School', 'Application', 'Trash']</v>
      </c>
      <c r="D16711" s="3">
        <v>1.0</v>
      </c>
    </row>
    <row r="16712" ht="15.75" customHeight="1">
      <c r="A16712" s="1">
        <v>17757.0</v>
      </c>
      <c r="B16712" s="3" t="s">
        <v>15861</v>
      </c>
      <c r="C16712" s="3" t="str">
        <f>IFERROR(__xludf.DUMMYFUNCTION("GOOGLETRANSLATE(B16712,""id"",""en"")"),"['Abis',' update ',' ngeta ',' open ',' apk ',' cave ',' apus', 'apk', 'then', 'cave', 'download', ' right ',' cave ',' open ',' white ',' plong ',' screen ',' cave ',' gena ', ""]")</f>
        <v>['Abis',' update ',' ngeta ',' open ',' apk ',' cave ',' apus', 'apk', 'then', 'cave', 'download', ' right ',' cave ',' open ',' white ',' plong ',' screen ',' cave ',' gena ', "]</v>
      </c>
      <c r="D16712" s="3">
        <v>1.0</v>
      </c>
    </row>
    <row r="16713" ht="15.75" customHeight="1">
      <c r="A16713" s="1">
        <v>17758.0</v>
      </c>
      <c r="B16713" s="3" t="s">
        <v>15862</v>
      </c>
      <c r="C16713" s="3" t="str">
        <f>IFERROR(__xludf.DUMMYFUNCTION("GOOGLETRANSLATE(B16713,""id"",""en"")"),"['Quality', 'The network', 'please', 'repaired']")</f>
        <v>['Quality', 'The network', 'please', 'repaired']</v>
      </c>
      <c r="D16713" s="3">
        <v>1.0</v>
      </c>
    </row>
    <row r="16714" ht="15.75" customHeight="1">
      <c r="A16714" s="1">
        <v>17759.0</v>
      </c>
      <c r="B16714" s="3" t="s">
        <v>15863</v>
      </c>
      <c r="C16714" s="3" t="str">
        <f>IFERROR(__xludf.DUMMYFUNCTION("GOOGLETRANSLATE(B16714,""id"",""en"")"),"['offline', 'quota', 'logic', 'what', 'buy', 'package', 'application', 'quota', 'buy', 'package', 'cunning', 'requires',' Users', 'activate', 'data', 'automatic', 'pulse', 'truncated', 'open', 'application', '']")</f>
        <v>['offline', 'quota', 'logic', 'what', 'buy', 'package', 'application', 'quota', 'buy', 'package', 'cunning', 'requires',' Users', 'activate', 'data', 'automatic', 'pulse', 'truncated', 'open', 'application', '']</v>
      </c>
      <c r="D16714" s="3">
        <v>2.0</v>
      </c>
    </row>
    <row r="16715" ht="15.75" customHeight="1">
      <c r="A16715" s="1">
        <v>17760.0</v>
      </c>
      <c r="B16715" s="3" t="s">
        <v>15864</v>
      </c>
      <c r="C16715" s="3" t="str">
        <f>IFERROR(__xludf.DUMMYFUNCTION("GOOGLETRANSLATE(B16715,""id"",""en"")"),"['APK', 'Open', 'Upgrade']")</f>
        <v>['APK', 'Open', 'Upgrade']</v>
      </c>
      <c r="D16715" s="3">
        <v>4.0</v>
      </c>
    </row>
    <row r="16716" ht="15.75" customHeight="1">
      <c r="A16716" s="1">
        <v>17762.0</v>
      </c>
      <c r="B16716" s="3" t="s">
        <v>15865</v>
      </c>
      <c r="C16716" s="3" t="str">
        <f>IFERROR(__xludf.DUMMYFUNCTION("GOOGLETRANSLATE(B16716,""id"",""en"")"),"['WOI', 'Juragan', 'Telkomsel', 'knapa', 'NGLEG', 'then', '']")</f>
        <v>['WOI', 'Juragan', 'Telkomsel', 'knapa', 'NGLEG', 'then', '']</v>
      </c>
      <c r="D16716" s="3">
        <v>1.0</v>
      </c>
    </row>
    <row r="16717" ht="15.75" customHeight="1">
      <c r="A16717" s="1">
        <v>17763.0</v>
      </c>
      <c r="B16717" s="3" t="s">
        <v>15866</v>
      </c>
      <c r="C16717" s="3" t="str">
        <f>IFERROR(__xludf.DUMMYFUNCTION("GOOGLETRANSLATE(B16717,""id"",""en"")"),"['Cakep', 'easy']")</f>
        <v>['Cakep', 'easy']</v>
      </c>
      <c r="D16717" s="3">
        <v>4.0</v>
      </c>
    </row>
    <row r="16718" ht="15.75" customHeight="1">
      <c r="A16718" s="1">
        <v>17764.0</v>
      </c>
      <c r="B16718" s="3" t="s">
        <v>15867</v>
      </c>
      <c r="C16718" s="3" t="str">
        <f>IFERROR(__xludf.DUMMYFUNCTION("GOOGLETRANSLATE(B16718,""id"",""en"")"),"['Card', 'Telkomntol', 'Package', 'Expensive', 'Network', 'Kek', 'Anjeng', 'Shargo', ""]")</f>
        <v>['Card', 'Telkomntol', 'Package', 'Expensive', 'Network', 'Kek', 'Anjeng', 'Shargo', "]</v>
      </c>
      <c r="D16718" s="3">
        <v>1.0</v>
      </c>
    </row>
    <row r="16719" ht="15.75" customHeight="1">
      <c r="A16719" s="1">
        <v>17765.0</v>
      </c>
      <c r="B16719" s="3" t="s">
        <v>15868</v>
      </c>
      <c r="C16719" s="3" t="str">
        <f>IFERROR(__xludf.DUMMYFUNCTION("GOOGLETRANSLATE(B16719,""id"",""en"")"),"['use', 'Telkomsel', 'like', 'use it', 'list', 'package', 'internet', 'missing', 'just', 'package', 'education', 'annoyed', ' Buy ',' Package ',' Internet ',' buy ',' ']")</f>
        <v>['use', 'Telkomsel', 'like', 'use it', 'list', 'package', 'internet', 'missing', 'just', 'package', 'education', 'annoyed', ' Buy ',' Package ',' Internet ',' buy ',' ']</v>
      </c>
      <c r="D16719" s="3">
        <v>4.0</v>
      </c>
    </row>
    <row r="16720" ht="15.75" customHeight="1">
      <c r="A16720" s="1">
        <v>17766.0</v>
      </c>
      <c r="B16720" s="3" t="s">
        <v>15869</v>
      </c>
      <c r="C16720" s="3" t="str">
        <f>IFERROR(__xludf.DUMMYFUNCTION("GOOGLETRANSLATE(B16720,""id"",""en"")"),"['Network', 'Telkomsel', 'emang', 'ugly']")</f>
        <v>['Network', 'Telkomsel', 'emang', 'ugly']</v>
      </c>
      <c r="D16720" s="3">
        <v>1.0</v>
      </c>
    </row>
    <row r="16721" ht="15.75" customHeight="1">
      <c r="A16721" s="1">
        <v>17767.0</v>
      </c>
      <c r="B16721" s="3" t="s">
        <v>15870</v>
      </c>
      <c r="C16721" s="3" t="str">
        <f>IFERROR(__xludf.DUMMYFUNCTION("GOOGLETRANSLATE(B16721,""id"",""en"")"),"['waaahhhhhh', 'bikessss']")</f>
        <v>['waaahhhhhh', 'bikessss']</v>
      </c>
      <c r="D16721" s="3">
        <v>5.0</v>
      </c>
    </row>
    <row r="16722" ht="15.75" customHeight="1">
      <c r="A16722" s="1">
        <v>17768.0</v>
      </c>
      <c r="B16722" s="3" t="s">
        <v>15871</v>
      </c>
      <c r="C16722" s="3" t="str">
        <f>IFERROR(__xludf.DUMMYFUNCTION("GOOGLETRANSLATE(B16722,""id"",""en"")"),"['Laah', 'tratata', 'bnyak', 'kjadian', 'Schreen', 'White', 'stlah', 'update', 'apk', 'version', 'smpe', 'phone', ' Operators', 'ktanya', 'bntuk', 'team', 'mgtasi', 'duration', 'jm', '']")</f>
        <v>['Laah', 'tratata', 'bnyak', 'kjadian', 'Schreen', 'White', 'stlah', 'update', 'apk', 'version', 'smpe', 'phone', ' Operators', 'ktanya', 'bntuk', 'team', 'mgtasi', 'duration', 'jm', '']</v>
      </c>
      <c r="D16722" s="3">
        <v>1.0</v>
      </c>
    </row>
    <row r="16723" ht="15.75" customHeight="1">
      <c r="A16723" s="1">
        <v>17769.0</v>
      </c>
      <c r="B16723" s="3" t="s">
        <v>15872</v>
      </c>
      <c r="C16723" s="3" t="str">
        <f>IFERROR(__xludf.DUMMYFUNCTION("GOOGLETRANSLATE(B16723,""id"",""en"")"),"['Knpa', 'opened']")</f>
        <v>['Knpa', 'opened']</v>
      </c>
      <c r="D16723" s="3">
        <v>1.0</v>
      </c>
    </row>
    <row r="16724" ht="15.75" customHeight="1">
      <c r="A16724" s="1">
        <v>17770.0</v>
      </c>
      <c r="B16724" s="3" t="s">
        <v>15873</v>
      </c>
      <c r="C16724" s="3" t="str">
        <f>IFERROR(__xludf.DUMMYFUNCTION("GOOGLETRANSLATE(B16724,""id"",""en"")"),"['Good', 'given', 'unlimited']")</f>
        <v>['Good', 'given', 'unlimited']</v>
      </c>
      <c r="D16724" s="3">
        <v>5.0</v>
      </c>
    </row>
    <row r="16725" ht="15.75" customHeight="1">
      <c r="A16725" s="1">
        <v>17771.0</v>
      </c>
      <c r="B16725" s="3" t="s">
        <v>15874</v>
      </c>
      <c r="C16725" s="3" t="str">
        <f>IFERROR(__xludf.DUMMYFUNCTION("GOOGLETRANSLATE(B16725,""id"",""en"")"),"['', 'good, thank you', '']")</f>
        <v>['', 'good, thank you', '']</v>
      </c>
      <c r="D16725" s="3">
        <v>5.0</v>
      </c>
    </row>
    <row r="16726" ht="15.75" customHeight="1">
      <c r="A16726" s="1">
        <v>17772.0</v>
      </c>
      <c r="B16726" s="3" t="s">
        <v>15875</v>
      </c>
      <c r="C16726" s="3" t="str">
        <f>IFERROR(__xludf.DUMMYFUNCTION("GOOGLETRANSLATE(B16726,""id"",""en"")"),"['IIH', 'Gini', 'I', 'Update', 'Iku', 'Fikir', 'Akku', 'Error', 'Opened', 'APK', 'Telkomtel', 'Akku', ' Update ',' opened ',' updated ',' update ',' opened ',' ']")</f>
        <v>['IIH', 'Gini', 'I', 'Update', 'Iku', 'Fikir', 'Akku', 'Error', 'Opened', 'APK', 'Telkomtel', 'Akku', ' Update ',' opened ',' updated ',' update ',' opened ',' ']</v>
      </c>
      <c r="D16726" s="3">
        <v>1.0</v>
      </c>
    </row>
    <row r="16727" ht="15.75" customHeight="1">
      <c r="A16727" s="1">
        <v>17773.0</v>
      </c>
      <c r="B16727" s="3" t="s">
        <v>15876</v>
      </c>
      <c r="C16727" s="3" t="str">
        <f>IFERROR(__xludf.DUMMYFUNCTION("GOOGLETRANSLATE(B16727,""id"",""en"")"),"['Mantep', 'like', 'really', 'Telkomsel', 'Kerennn', '']")</f>
        <v>['Mantep', 'like', 'really', 'Telkomsel', 'Kerennn', '']</v>
      </c>
      <c r="D16727" s="3">
        <v>5.0</v>
      </c>
    </row>
    <row r="16728" ht="15.75" customHeight="1">
      <c r="A16728" s="1">
        <v>17774.0</v>
      </c>
      <c r="B16728" s="3" t="s">
        <v>15877</v>
      </c>
      <c r="C16728" s="3" t="str">
        <f>IFERROR(__xludf.DUMMYFUNCTION("GOOGLETRANSLATE(B16728,""id"",""en"")"),"['', 'enter', 'account']")</f>
        <v>['', 'enter', 'account']</v>
      </c>
      <c r="D16728" s="3">
        <v>1.0</v>
      </c>
    </row>
    <row r="16729" ht="15.75" customHeight="1">
      <c r="A16729" s="1">
        <v>17775.0</v>
      </c>
      <c r="B16729" s="3" t="s">
        <v>15878</v>
      </c>
      <c r="C16729" s="3" t="str">
        <f>IFERROR(__xludf.DUMMYFUNCTION("GOOGLETRANSLATE(B16729,""id"",""en"")"),"['Not bad', 'help', 'trumaxih', 'Telkomsel']")</f>
        <v>['Not bad', 'help', 'trumaxih', 'Telkomsel']</v>
      </c>
      <c r="D16729" s="3">
        <v>5.0</v>
      </c>
    </row>
    <row r="16730" ht="15.75" customHeight="1">
      <c r="A16730" s="1">
        <v>17776.0</v>
      </c>
      <c r="B16730" s="3" t="s">
        <v>15879</v>
      </c>
      <c r="C16730" s="3" t="str">
        <f>IFERROR(__xludf.DUMMYFUNCTION("GOOGLETRANSLATE(B16730,""id"",""en"")"),"['times', 'ngak', 'opened', 'already', 'installed', 'already', 'updated', '']")</f>
        <v>['times', 'ngak', 'opened', 'already', 'installed', 'already', 'updated', '']</v>
      </c>
      <c r="D16730" s="3">
        <v>1.0</v>
      </c>
    </row>
    <row r="16731" ht="15.75" customHeight="1">
      <c r="A16731" s="1">
        <v>17777.0</v>
      </c>
      <c r="B16731" s="3" t="s">
        <v>15880</v>
      </c>
      <c r="C16731" s="3" t="str">
        <f>IFERROR(__xludf.DUMMYFUNCTION("GOOGLETRANSLATE(B16731,""id"",""en"")"),"['UDH', 'Price', 'Network', 'Kek', 'Snail', 'Bangsut', 'Bet', 'Telkom', 'Move', 'Next to', 'Udh']")</f>
        <v>['UDH', 'Price', 'Network', 'Kek', 'Snail', 'Bangsut', 'Bet', 'Telkom', 'Move', 'Next to', 'Udh']</v>
      </c>
      <c r="D16731" s="3">
        <v>1.0</v>
      </c>
    </row>
    <row r="16732" ht="15.75" customHeight="1">
      <c r="A16732" s="1">
        <v>17778.0</v>
      </c>
      <c r="B16732" s="3" t="s">
        <v>15881</v>
      </c>
      <c r="C16732" s="3" t="str">
        <f>IFERROR(__xludf.DUMMYFUNCTION("GOOGLETRANSLATE(B16732,""id"",""en"")"),"['Network', 'Telkomsel', 'Fix', 'Area', 'Kab', 'Tapanuli', 'Asian', 'Sipirok', 'Percumahal', 'Network', 'Leet', 'Waterbummen']")</f>
        <v>['Network', 'Telkomsel', 'Fix', 'Area', 'Kab', 'Tapanuli', 'Asian', 'Sipirok', 'Percumahal', 'Network', 'Leet', 'Waterbummen']</v>
      </c>
      <c r="D16732" s="3">
        <v>1.0</v>
      </c>
    </row>
    <row r="16733" ht="15.75" customHeight="1">
      <c r="A16733" s="1">
        <v>17779.0</v>
      </c>
      <c r="B16733" s="3" t="s">
        <v>15882</v>
      </c>
      <c r="C16733" s="3" t="str">
        <f>IFERROR(__xludf.DUMMYFUNCTION("GOOGLETRANSLATE(B16733,""id"",""en"")"),"['no', 'open', 'application', 'cell']")</f>
        <v>['no', 'open', 'application', 'cell']</v>
      </c>
      <c r="D16733" s="3">
        <v>4.0</v>
      </c>
    </row>
    <row r="16734" ht="15.75" customHeight="1">
      <c r="A16734" s="1">
        <v>17780.0</v>
      </c>
      <c r="B16734" s="3" t="s">
        <v>15883</v>
      </c>
      <c r="C16734" s="3" t="str">
        <f>IFERROR(__xludf.DUMMYFUNCTION("GOOGLETRANSLATE(B16734,""id"",""en"")"),"['Trima', 'love', 'application', 'help', 'skali']")</f>
        <v>['Trima', 'love', 'application', 'help', 'skali']</v>
      </c>
      <c r="D16734" s="3">
        <v>5.0</v>
      </c>
    </row>
    <row r="16735" ht="15.75" customHeight="1">
      <c r="A16735" s="1">
        <v>17781.0</v>
      </c>
      <c r="B16735" s="3" t="s">
        <v>15884</v>
      </c>
      <c r="C16735" s="3" t="str">
        <f>IFERROR(__xludf.DUMMYFUNCTION("GOOGLETRANSLATE(B16735,""id"",""en"")"),"['Change']")</f>
        <v>['Change']</v>
      </c>
      <c r="D16735" s="3">
        <v>5.0</v>
      </c>
    </row>
    <row r="16736" ht="15.75" customHeight="1">
      <c r="A16736" s="1">
        <v>17782.0</v>
      </c>
      <c r="B16736" s="3" t="s">
        <v>15885</v>
      </c>
      <c r="C16736" s="3" t="str">
        <f>IFERROR(__xludf.DUMMYFUNCTION("GOOGLETRANSLATE(B16736,""id"",""en"")"),"['APK', 'This is', 'Good', 'Help']")</f>
        <v>['APK', 'This is', 'Good', 'Help']</v>
      </c>
      <c r="D16736" s="3">
        <v>5.0</v>
      </c>
    </row>
    <row r="16737" ht="15.75" customHeight="1">
      <c r="A16737" s="1">
        <v>17783.0</v>
      </c>
      <c r="B16737" s="3" t="s">
        <v>520</v>
      </c>
      <c r="C16737" s="3" t="str">
        <f>IFERROR(__xludf.DUMMYFUNCTION("GOOGLETRANSLATE(B16737,""id"",""en"")"),"['Satisfied', 'Telkomsel']")</f>
        <v>['Satisfied', 'Telkomsel']</v>
      </c>
      <c r="D16737" s="3">
        <v>4.0</v>
      </c>
    </row>
    <row r="16738" ht="15.75" customHeight="1">
      <c r="A16738" s="1">
        <v>17784.0</v>
      </c>
      <c r="B16738" s="3" t="s">
        <v>15886</v>
      </c>
      <c r="C16738" s="3" t="str">
        <f>IFERROR(__xludf.DUMMYFUNCTION("GOOGLETRANSLATE(B16738,""id"",""en"")"),"['Taun', 'Telkomsel', 'Taun', 'October', 'Novemver', 'December', 'Network', 'Severe']")</f>
        <v>['Taun', 'Telkomsel', 'Taun', 'October', 'Novemver', 'December', 'Network', 'Severe']</v>
      </c>
      <c r="D16738" s="3">
        <v>1.0</v>
      </c>
    </row>
    <row r="16739" ht="15.75" customHeight="1">
      <c r="A16739" s="1">
        <v>17785.0</v>
      </c>
      <c r="B16739" s="3" t="s">
        <v>15887</v>
      </c>
      <c r="C16739" s="3" t="str">
        <f>IFERROR(__xludf.DUMMYFUNCTION("GOOGLETRANSLATE(B16739,""id"",""en"")"),"['Network', 'idiot']")</f>
        <v>['Network', 'idiot']</v>
      </c>
      <c r="D16739" s="3">
        <v>1.0</v>
      </c>
    </row>
    <row r="16740" ht="15.75" customHeight="1">
      <c r="A16740" s="1">
        <v>17786.0</v>
      </c>
      <c r="B16740" s="3" t="s">
        <v>15888</v>
      </c>
      <c r="C16740" s="3" t="str">
        <f>IFERROR(__xludf.DUMMYFUNCTION("GOOGLETRANSLATE(B16740,""id"",""en"")"),"['Application', 'Help', 'Thank you']")</f>
        <v>['Application', 'Help', 'Thank you']</v>
      </c>
      <c r="D16740" s="3">
        <v>5.0</v>
      </c>
    </row>
    <row r="16741" ht="15.75" customHeight="1">
      <c r="A16741" s="1">
        <v>17787.0</v>
      </c>
      <c r="B16741" s="3" t="s">
        <v>15889</v>
      </c>
      <c r="C16741" s="3" t="str">
        <f>IFERROR(__xludf.DUMMYFUNCTION("GOOGLETRANSLATE(B16741,""id"",""en"")"),"['Signal', 'ugly', 'Benerin']")</f>
        <v>['Signal', 'ugly', 'Benerin']</v>
      </c>
      <c r="D16741" s="3">
        <v>1.0</v>
      </c>
    </row>
    <row r="16742" ht="15.75" customHeight="1">
      <c r="A16742" s="1">
        <v>17788.0</v>
      </c>
      <c r="B16742" s="3" t="s">
        <v>15890</v>
      </c>
      <c r="C16742" s="3" t="str">
        <f>IFERROR(__xludf.DUMMYFUNCTION("GOOGLETRANSLATE(B16742,""id"",""en"")"),"['Price', 'expensive', 'network']")</f>
        <v>['Price', 'expensive', 'network']</v>
      </c>
      <c r="D16742" s="3">
        <v>1.0</v>
      </c>
    </row>
    <row r="16743" ht="15.75" customHeight="1">
      <c r="A16743" s="1">
        <v>17789.0</v>
      </c>
      <c r="B16743" s="3" t="s">
        <v>15891</v>
      </c>
      <c r="C16743" s="3" t="str">
        <f>IFERROR(__xludf.DUMMYFUNCTION("GOOGLETRANSLATE(B16743,""id"",""en"")"),"['Telkomsel', 'strange', 'TLP', 'SMS', 'Doang', 'TTP', 'SMSIN', 'Internet']")</f>
        <v>['Telkomsel', 'strange', 'TLP', 'SMS', 'Doang', 'TTP', 'SMSIN', 'Internet']</v>
      </c>
      <c r="D16743" s="3">
        <v>1.0</v>
      </c>
    </row>
    <row r="16744" ht="15.75" customHeight="1">
      <c r="A16744" s="1">
        <v>17790.0</v>
      </c>
      <c r="B16744" s="3" t="s">
        <v>15892</v>
      </c>
      <c r="C16744" s="3" t="str">
        <f>IFERROR(__xludf.DUMMYFUNCTION("GOOGLETRANSLATE(B16744,""id"",""en"")"),"['difficult', 'open', 'application', 'already', 'update', 'open', 'please', 'fix', '']")</f>
        <v>['difficult', 'open', 'application', 'already', 'update', 'open', 'please', 'fix', '']</v>
      </c>
      <c r="D16744" s="3">
        <v>1.0</v>
      </c>
    </row>
    <row r="16745" ht="15.75" customHeight="1">
      <c r="A16745" s="1">
        <v>17791.0</v>
      </c>
      <c r="B16745" s="3" t="s">
        <v>15893</v>
      </c>
      <c r="C16745" s="3" t="str">
        <f>IFERROR(__xludf.DUMMYFUNCTION("GOOGLETRANSLATE(B16745,""id"",""en"")"),"['Network', 'Canap', 'Leet', 'really']")</f>
        <v>['Network', 'Canap', 'Leet', 'really']</v>
      </c>
      <c r="D16745" s="3">
        <v>1.0</v>
      </c>
    </row>
    <row r="16746" ht="15.75" customHeight="1">
      <c r="A16746" s="1">
        <v>17792.0</v>
      </c>
      <c r="B16746" s="3" t="s">
        <v>15894</v>
      </c>
      <c r="C16746" s="3" t="str">
        <f>IFERROR(__xludf.DUMMYFUNCTION("GOOGLETRANSLATE(B16746,""id"",""en"")"),"['Application', 'Open', 'Chek', 'Please', 'The solution', 'Thank you']")</f>
        <v>['Application', 'Open', 'Chek', 'Please', 'The solution', 'Thank you']</v>
      </c>
      <c r="D16746" s="3">
        <v>4.0</v>
      </c>
    </row>
    <row r="16747" ht="15.75" customHeight="1">
      <c r="A16747" s="1">
        <v>17793.0</v>
      </c>
      <c r="B16747" s="3" t="s">
        <v>15895</v>
      </c>
      <c r="C16747" s="3" t="str">
        <f>IFERROR(__xludf.DUMMYFUNCTION("GOOGLETRANSLATE(B16747,""id"",""en"")"),"['signal', 'quality', 'tissue', 'ugly', 'really', 'area', 'range', 'think', 'slow', 'taunya', 'friend', 'ngayaan', ' Please, 'Telkomsel', 'disappointing', 'users', 'Telkomsel']")</f>
        <v>['signal', 'quality', 'tissue', 'ugly', 'really', 'area', 'range', 'think', 'slow', 'taunya', 'friend', 'ngayaan', ' Please, 'Telkomsel', 'disappointing', 'users', 'Telkomsel']</v>
      </c>
      <c r="D16747" s="3">
        <v>2.0</v>
      </c>
    </row>
    <row r="16748" ht="15.75" customHeight="1">
      <c r="A16748" s="1">
        <v>17794.0</v>
      </c>
      <c r="B16748" s="3" t="s">
        <v>15896</v>
      </c>
      <c r="C16748" s="3" t="str">
        <f>IFERROR(__xludf.DUMMYFUNCTION("GOOGLETRANSLATE(B16748,""id"",""en"")"),"['disappointing', 'oath', 'quota', 'fast', 'wasteful', 'GB', 'ilang', 'ngak', 'open', 'just', 'then', 'quota', ' usually ',' separated ',' special ',' quota ',' chat ',' suck ',' quota ',' main ',' quota ',' main ',' fast ',' abis', 'giman' , 'quota', 'om"&amp;"g', 'price', 'GB', 'damaged', 'week', 'quota', 'already', 'abis',' durable ',' a month ',' disappointing ',' Mending ',' moved ',' already ',' Telkomsel ',' drained ',' bat ',' money ',' edit ',' btw ',' tasty ',' card ',' next door ',' pulses' , 'Lock', "&amp;"'On', 'Data', 'Masalh']")</f>
        <v>['disappointing', 'oath', 'quota', 'fast', 'wasteful', 'GB', 'ilang', 'ngak', 'open', 'just', 'then', 'quota', ' usually ',' separated ',' special ',' quota ',' chat ',' suck ',' quota ',' main ',' quota ',' main ',' fast ',' abis', 'giman' , 'quota', 'omg', 'price', 'GB', 'damaged', 'week', 'quota', 'already', 'abis',' durable ',' a month ',' disappointing ',' Mending ',' moved ',' already ',' Telkomsel ',' drained ',' bat ',' money ',' edit ',' btw ',' tasty ',' card ',' next door ',' pulses' , 'Lock', 'On', 'Data', 'Masalh']</v>
      </c>
      <c r="D16748" s="3">
        <v>1.0</v>
      </c>
    </row>
    <row r="16749" ht="15.75" customHeight="1">
      <c r="A16749" s="1">
        <v>17795.0</v>
      </c>
      <c r="B16749" s="3" t="s">
        <v>15897</v>
      </c>
      <c r="C16749" s="3" t="str">
        <f>IFERROR(__xludf.DUMMYFUNCTION("GOOGLETRANSLATE(B16749,""id"",""en"")"),"['Open', 'blank', 'white', ""]")</f>
        <v>['Open', 'blank', 'white', "]</v>
      </c>
      <c r="D16749" s="3">
        <v>1.0</v>
      </c>
    </row>
    <row r="16750" ht="15.75" customHeight="1">
      <c r="A16750" s="1">
        <v>17796.0</v>
      </c>
      <c r="B16750" s="3" t="s">
        <v>15898</v>
      </c>
      <c r="C16750" s="3" t="str">
        <f>IFERROR(__xludf.DUMMYFUNCTION("GOOGLETRANSLATE(B16750,""id"",""en"")"),"['Android', '']")</f>
        <v>['Android', '']</v>
      </c>
      <c r="D16750" s="3">
        <v>4.0</v>
      </c>
    </row>
    <row r="16751" ht="15.75" customHeight="1">
      <c r="A16751" s="1">
        <v>17797.0</v>
      </c>
      <c r="B16751" s="3" t="s">
        <v>15899</v>
      </c>
      <c r="C16751" s="3" t="str">
        <f>IFERROR(__xludf.DUMMYFUNCTION("GOOGLETRANSLATE(B16751,""id"",""en"")"),"['Steady', 'Telkomsel']")</f>
        <v>['Steady', 'Telkomsel']</v>
      </c>
      <c r="D16751" s="3">
        <v>5.0</v>
      </c>
    </row>
    <row r="16752" ht="15.75" customHeight="1">
      <c r="A16752" s="1">
        <v>17798.0</v>
      </c>
      <c r="B16752" s="3" t="s">
        <v>15900</v>
      </c>
      <c r="C16752" s="3" t="str">
        <f>IFERROR(__xludf.DUMMYFUNCTION("GOOGLETRANSLATE(B16752,""id"",""en"")"),"['gabisa', 'enter', 'error', 'system', '']")</f>
        <v>['gabisa', 'enter', 'error', 'system', '']</v>
      </c>
      <c r="D16752" s="3">
        <v>5.0</v>
      </c>
    </row>
    <row r="16753" ht="15.75" customHeight="1">
      <c r="A16753" s="1">
        <v>17799.0</v>
      </c>
      <c r="B16753" s="3" t="s">
        <v>15901</v>
      </c>
      <c r="C16753" s="3" t="str">
        <f>IFERROR(__xludf.DUMMYFUNCTION("GOOGLETRANSLATE(B16753,""id"",""en"")"),"['', 'Open', 'APLK']")</f>
        <v>['', 'Open', 'APLK']</v>
      </c>
      <c r="D16753" s="3">
        <v>1.0</v>
      </c>
    </row>
    <row r="16754" ht="15.75" customHeight="1">
      <c r="A16754" s="1">
        <v>17800.0</v>
      </c>
      <c r="B16754" s="3" t="s">
        <v>15902</v>
      </c>
      <c r="C16754" s="3" t="str">
        <f>IFERROR(__xludf.DUMMYFUNCTION("GOOGLETRANSLATE(B16754,""id"",""en"")"),"['Enter', 'Error', 'Males', 'Use', 'APK', 'Loding', 'Turn', 'Munjul', 'Error', 'Pekah']")</f>
        <v>['Enter', 'Error', 'Males', 'Use', 'APK', 'Loding', 'Turn', 'Munjul', 'Error', 'Pekah']</v>
      </c>
      <c r="D16754" s="3">
        <v>1.0</v>
      </c>
    </row>
    <row r="16755" ht="15.75" customHeight="1">
      <c r="A16755" s="1">
        <v>17801.0</v>
      </c>
      <c r="B16755" s="3" t="s">
        <v>15903</v>
      </c>
      <c r="C16755" s="3" t="str">
        <f>IFERROR(__xludf.DUMMYFUNCTION("GOOGLETRANSLATE(B16755,""id"",""en"")"),"['Please', 'Diadain', 'Features', 'Save', 'Credit', 'Package', 'Internet', 'Out', 'Loss', 'Loss', 'Credit']")</f>
        <v>['Please', 'Diadain', 'Features', 'Save', 'Credit', 'Package', 'Internet', 'Out', 'Loss', 'Loss', 'Credit']</v>
      </c>
      <c r="D16755" s="3">
        <v>1.0</v>
      </c>
    </row>
    <row r="16756" ht="15.75" customHeight="1">
      <c r="A16756" s="1">
        <v>17802.0</v>
      </c>
      <c r="B16756" s="3" t="s">
        <v>15904</v>
      </c>
      <c r="C16756" s="3" t="str">
        <f>IFERROR(__xludf.DUMMYFUNCTION("GOOGLETRANSLATE(B16756,""id"",""en"")"),"['Updated', 'Application', 'open']")</f>
        <v>['Updated', 'Application', 'open']</v>
      </c>
      <c r="D16756" s="3">
        <v>1.0</v>
      </c>
    </row>
    <row r="16757" ht="15.75" customHeight="1">
      <c r="A16757" s="1">
        <v>17803.0</v>
      </c>
      <c r="B16757" s="3" t="s">
        <v>15905</v>
      </c>
      <c r="C16757" s="3" t="str">
        <f>IFERROR(__xludf.DUMMYFUNCTION("GOOGLETRANSLATE(B16757,""id"",""en"")"),"['Signal', 'Lemott', 'Severe', 'Watch', 'Buffering', 'Mending', 'Provider', 'Yng', ""]")</f>
        <v>['Signal', 'Lemott', 'Severe', 'Watch', 'Buffering', 'Mending', 'Provider', 'Yng', "]</v>
      </c>
      <c r="D16757" s="3">
        <v>1.0</v>
      </c>
    </row>
    <row r="16758" ht="15.75" customHeight="1">
      <c r="A16758" s="1">
        <v>17804.0</v>
      </c>
      <c r="B16758" s="3" t="s">
        <v>15906</v>
      </c>
      <c r="C16758" s="3" t="str">
        <f>IFERROR(__xludf.DUMMYFUNCTION("GOOGLETRANSLATE(B16758,""id"",""en"")"),"['satisfying', 'because', 'bonus', 'Bener', 'Bener', 'Mantullllll', '']")</f>
        <v>['satisfying', 'because', 'bonus', 'Bener', 'Bener', 'Mantullllll', '']</v>
      </c>
      <c r="D16758" s="3">
        <v>5.0</v>
      </c>
    </row>
    <row r="16759" ht="15.75" customHeight="1">
      <c r="A16759" s="1">
        <v>17805.0</v>
      </c>
      <c r="B16759" s="3" t="s">
        <v>15907</v>
      </c>
      <c r="C16759" s="3" t="str">
        <f>IFERROR(__xludf.DUMMYFUNCTION("GOOGLETRANSLATE(B16759,""id"",""en"")"),"['Disappointed', 'here', 'Severe', 'Network', 'Not bad', 'card']")</f>
        <v>['Disappointed', 'here', 'Severe', 'Network', 'Not bad', 'card']</v>
      </c>
      <c r="D16759" s="3">
        <v>1.0</v>
      </c>
    </row>
    <row r="16760" ht="15.75" customHeight="1">
      <c r="A16760" s="1">
        <v>17807.0</v>
      </c>
      <c r="B16760" s="3" t="s">
        <v>15908</v>
      </c>
      <c r="C16760" s="3" t="str">
        <f>IFERROR(__xludf.DUMMYFUNCTION("GOOGLETRANSLATE(B16760,""id"",""en"")"),"['satisfying', 'the application', 'thank you']")</f>
        <v>['satisfying', 'the application', 'thank you']</v>
      </c>
      <c r="D16760" s="3">
        <v>5.0</v>
      </c>
    </row>
    <row r="16761" ht="15.75" customHeight="1">
      <c r="A16761" s="1">
        <v>17808.0</v>
      </c>
      <c r="B16761" s="3" t="s">
        <v>15909</v>
      </c>
      <c r="C16761" s="3" t="str">
        <f>IFERROR(__xludf.DUMMYFUNCTION("GOOGLETRANSLATE(B16761,""id"",""en"")"),"['application', 'difficult', 'open', 'adequate', 'delete', 'install', 'reset', 'cheat', '']")</f>
        <v>['application', 'difficult', 'open', 'adequate', 'delete', 'install', 'reset', 'cheat', '']</v>
      </c>
      <c r="D16761" s="3">
        <v>1.0</v>
      </c>
    </row>
    <row r="16762" ht="15.75" customHeight="1">
      <c r="A16762" s="1">
        <v>17809.0</v>
      </c>
      <c r="B16762" s="3" t="s">
        <v>15910</v>
      </c>
      <c r="C16762" s="3" t="str">
        <f>IFERROR(__xludf.DUMMYFUNCTION("GOOGLETRANSLATE(B16762,""id"",""en"")"),"['credit', 'ilang', 'buy', 'quota', 'internet', 'GB', 'sucked', 'credit', 'Telkomsel', 'like', 'tuyul', 'steal', ' Credit ',' confirm ']")</f>
        <v>['credit', 'ilang', 'buy', 'quota', 'internet', 'GB', 'sucked', 'credit', 'Telkomsel', 'like', 'tuyul', 'steal', ' Credit ',' confirm ']</v>
      </c>
      <c r="D16762" s="3">
        <v>1.0</v>
      </c>
    </row>
    <row r="16763" ht="15.75" customHeight="1">
      <c r="A16763" s="1">
        <v>17810.0</v>
      </c>
      <c r="B16763" s="3" t="s">
        <v>15911</v>
      </c>
      <c r="C16763" s="3" t="str">
        <f>IFERROR(__xludf.DUMMYFUNCTION("GOOGLETRANSLATE(B16763,""id"",""en"")"),"['cave', 'love', 'star', 'krna', 'network', 'ugly']")</f>
        <v>['cave', 'love', 'star', 'krna', 'network', 'ugly']</v>
      </c>
      <c r="D16763" s="3">
        <v>1.0</v>
      </c>
    </row>
    <row r="16764" ht="15.75" customHeight="1">
      <c r="A16764" s="1">
        <v>17811.0</v>
      </c>
      <c r="B16764" s="3" t="s">
        <v>15912</v>
      </c>
      <c r="C16764" s="3" t="str">
        <f>IFERROR(__xludf.DUMMYFUNCTION("GOOGLETRANSLATE(B16764,""id"",""en"")"),"['Good', 'application', 'mytelkomsel']")</f>
        <v>['Good', 'application', 'mytelkomsel']</v>
      </c>
      <c r="D16764" s="3">
        <v>5.0</v>
      </c>
    </row>
    <row r="16765" ht="15.75" customHeight="1">
      <c r="A16765" s="1">
        <v>17812.0</v>
      </c>
      <c r="B16765" s="3" t="s">
        <v>15913</v>
      </c>
      <c r="C16765" s="3" t="str">
        <f>IFERROR(__xludf.DUMMYFUNCTION("GOOGLETRANSLATE(B16765,""id"",""en"")"),"['Moga', 'Telkomsel', 'Promo', 'Mantulllll', '']")</f>
        <v>['Moga', 'Telkomsel', 'Promo', 'Mantulllll', '']</v>
      </c>
      <c r="D16765" s="3">
        <v>5.0</v>
      </c>
    </row>
    <row r="16766" ht="15.75" customHeight="1">
      <c r="A16766" s="1">
        <v>17813.0</v>
      </c>
      <c r="B16766" s="3" t="s">
        <v>15914</v>
      </c>
      <c r="C16766" s="3" t="str">
        <f>IFERROR(__xludf.DUMMYFUNCTION("GOOGLETRANSLATE(B16766,""id"",""en"")"),"['Fix', 'Network', 'Region', 'Medan', 'Johor', 'Kontool', 'You', 'Have', 'Report', 'Uda', 'Report', 'Client', ' The process', 'improvement', 'its network', 'Taik', ""]")</f>
        <v>['Fix', 'Network', 'Region', 'Medan', 'Johor', 'Kontool', 'You', 'Have', 'Report', 'Uda', 'Report', 'Client', ' The process', 'improvement', 'its network', 'Taik', "]</v>
      </c>
      <c r="D16766" s="3">
        <v>1.0</v>
      </c>
    </row>
    <row r="16767" ht="15.75" customHeight="1">
      <c r="A16767" s="1">
        <v>17814.0</v>
      </c>
      <c r="B16767" s="3" t="s">
        <v>15915</v>
      </c>
      <c r="C16767" s="3" t="str">
        <f>IFERROR(__xludf.DUMMYFUNCTION("GOOGLETRANSLATE(B16767,""id"",""en"")"),"['Laris', 'Telkomsel', 'Package', 'Combo', 'Sakti', 'Price', 'Please', 'Normalin', 'Piha', 'Developer']")</f>
        <v>['Laris', 'Telkomsel', 'Package', 'Combo', 'Sakti', 'Price', 'Please', 'Normalin', 'Piha', 'Developer']</v>
      </c>
      <c r="D16767" s="3">
        <v>3.0</v>
      </c>
    </row>
    <row r="16768" ht="15.75" customHeight="1">
      <c r="A16768" s="1">
        <v>17815.0</v>
      </c>
      <c r="B16768" s="3" t="s">
        <v>15916</v>
      </c>
      <c r="C16768" s="3" t="str">
        <f>IFERROR(__xludf.DUMMYFUNCTION("GOOGLETRANSLATE(B16768,""id"",""en"")"),"['Bintong', ""]")</f>
        <v>['Bintong', "]</v>
      </c>
      <c r="D16768" s="3">
        <v>1.0</v>
      </c>
    </row>
    <row r="16769" ht="15.75" customHeight="1">
      <c r="A16769" s="1">
        <v>17816.0</v>
      </c>
      <c r="B16769" s="3" t="s">
        <v>1601</v>
      </c>
      <c r="C16769" s="3" t="str">
        <f>IFERROR(__xludf.DUMMYFUNCTION("GOOGLETRANSLATE(B16769,""id"",""en"")"),"['open']")</f>
        <v>['open']</v>
      </c>
      <c r="D16769" s="3">
        <v>1.0</v>
      </c>
    </row>
    <row r="16770" ht="15.75" customHeight="1">
      <c r="A16770" s="1">
        <v>17817.0</v>
      </c>
      <c r="B16770" s="3" t="s">
        <v>15917</v>
      </c>
      <c r="C16770" s="3" t="str">
        <f>IFERROR(__xludf.DUMMYFUNCTION("GOOGLETRANSLATE(B16770,""id"",""en"")"),"['poor', 'network', 'Telkomsel', 'Ujan', 'UDH', 'Network', 'ilang', 'then', 'ilang', 'again', 'package', 'expensive']")</f>
        <v>['poor', 'network', 'Telkomsel', 'Ujan', 'UDH', 'Network', 'ilang', 'then', 'ilang', 'again', 'package', 'expensive']</v>
      </c>
      <c r="D16770" s="3">
        <v>1.0</v>
      </c>
    </row>
    <row r="16771" ht="15.75" customHeight="1">
      <c r="A16771" s="1">
        <v>17818.0</v>
      </c>
      <c r="B16771" s="3" t="s">
        <v>15918</v>
      </c>
      <c r="C16771" s="3" t="str">
        <f>IFERROR(__xludf.DUMMYFUNCTION("GOOGLETRANSLATE(B16771,""id"",""en"")"),"['difficult', 'access', '']")</f>
        <v>['difficult', 'access', '']</v>
      </c>
      <c r="D16771" s="3">
        <v>1.0</v>
      </c>
    </row>
    <row r="16772" ht="15.75" customHeight="1">
      <c r="A16772" s="1">
        <v>17819.0</v>
      </c>
      <c r="B16772" s="3" t="s">
        <v>15919</v>
      </c>
      <c r="C16772" s="3" t="str">
        <f>IFERROR(__xludf.DUMMYFUNCTION("GOOGLETRANSLATE(B16772,""id"",""en"")"),"['application', 'good', 'makes it easy', 'hopefully', 'can', 'enhanced']")</f>
        <v>['application', 'good', 'makes it easy', 'hopefully', 'can', 'enhanced']</v>
      </c>
      <c r="D16772" s="3">
        <v>5.0</v>
      </c>
    </row>
    <row r="16773" ht="15.75" customHeight="1">
      <c r="A16773" s="1">
        <v>17820.0</v>
      </c>
      <c r="B16773" s="3" t="s">
        <v>15920</v>
      </c>
      <c r="C16773" s="3" t="str">
        <f>IFERROR(__xludf.DUMMYFUNCTION("GOOGLETRANSLATE(B16773,""id"",""en"")"),"['Cool', 'ptomo']")</f>
        <v>['Cool', 'ptomo']</v>
      </c>
      <c r="D16773" s="3">
        <v>5.0</v>
      </c>
    </row>
    <row r="16774" ht="15.75" customHeight="1">
      <c r="A16774" s="1">
        <v>17821.0</v>
      </c>
      <c r="B16774" s="3" t="s">
        <v>15921</v>
      </c>
      <c r="C16774" s="3" t="str">
        <f>IFERROR(__xludf.DUMMYFUNCTION("GOOGLETRANSLATE(B16774,""id"",""en"")"),"['Jir', 'login', 'really', 'please', 'fix', '']")</f>
        <v>['Jir', 'login', 'really', 'please', 'fix', '']</v>
      </c>
      <c r="D16774" s="3">
        <v>5.0</v>
      </c>
    </row>
    <row r="16775" ht="15.75" customHeight="1">
      <c r="A16775" s="1">
        <v>17822.0</v>
      </c>
      <c r="B16775" s="3" t="s">
        <v>15922</v>
      </c>
      <c r="C16775" s="3" t="str">
        <f>IFERROR(__xludf.DUMMYFUNCTION("GOOGLETRANSLATE(B16775,""id"",""en"")"),"['Jos', 'transaction', 'failed', 'then']")</f>
        <v>['Jos', 'transaction', 'failed', 'then']</v>
      </c>
      <c r="D16775" s="3">
        <v>5.0</v>
      </c>
    </row>
    <row r="16776" ht="15.75" customHeight="1">
      <c r="A16776" s="1">
        <v>17823.0</v>
      </c>
      <c r="B16776" s="3" t="s">
        <v>15923</v>
      </c>
      <c r="C16776" s="3" t="str">
        <f>IFERROR(__xludf.DUMMYFUNCTION("GOOGLETRANSLATE(B16776,""id"",""en"")"),"['price', 'package', 'expensive', 'quality', 'down']")</f>
        <v>['price', 'package', 'expensive', 'quality', 'down']</v>
      </c>
      <c r="D16776" s="3">
        <v>1.0</v>
      </c>
    </row>
    <row r="16777" ht="15.75" customHeight="1">
      <c r="A16777" s="1">
        <v>17824.0</v>
      </c>
      <c r="B16777" s="3" t="s">
        <v>2004</v>
      </c>
      <c r="C16777" s="3" t="str">
        <f>IFERROR(__xludf.DUMMYFUNCTION("GOOGLETRANSLATE(B16777,""id"",""en"")"),"['login']")</f>
        <v>['login']</v>
      </c>
      <c r="D16777" s="3">
        <v>1.0</v>
      </c>
    </row>
    <row r="16778" ht="15.75" customHeight="1">
      <c r="A16778" s="1">
        <v>17825.0</v>
      </c>
      <c r="B16778" s="3" t="s">
        <v>15924</v>
      </c>
      <c r="C16778" s="3" t="str">
        <f>IFERROR(__xludf.DUMMYFUNCTION("GOOGLETRANSLATE(B16778,""id"",""en"")"),"['Difficult', 'Open', 'The application', 'LEG', 'Lambaaaat', 'Please', 'Fix', '']")</f>
        <v>['Difficult', 'Open', 'The application', 'LEG', 'Lambaaaat', 'Please', 'Fix', '']</v>
      </c>
      <c r="D16778" s="3">
        <v>2.0</v>
      </c>
    </row>
    <row r="16779" ht="15.75" customHeight="1">
      <c r="A16779" s="1">
        <v>17826.0</v>
      </c>
      <c r="B16779" s="3" t="s">
        <v>13354</v>
      </c>
      <c r="C16779" s="3" t="str">
        <f>IFERROR(__xludf.DUMMYFUNCTION("GOOGLETRANSLATE(B16779,""id"",""en"")"),"['application', 'access', '']")</f>
        <v>['application', 'access', '']</v>
      </c>
      <c r="D16779" s="3">
        <v>1.0</v>
      </c>
    </row>
    <row r="16780" ht="15.75" customHeight="1">
      <c r="A16780" s="1">
        <v>17827.0</v>
      </c>
      <c r="B16780" s="3" t="s">
        <v>15925</v>
      </c>
      <c r="C16780" s="3" t="str">
        <f>IFERROR(__xludf.DUMMYFUNCTION("GOOGLETRANSLATE(B16780,""id"",""en"")"),"['use', 'card', 'Hello', 'Telkomsel', 'price', 'expensive', 'internet', 'bad', 'like', 'error', 'sometimes',' already ',' Pay ',' Tetep ',' digits', 'internet']")</f>
        <v>['use', 'card', 'Hello', 'Telkomsel', 'price', 'expensive', 'internet', 'bad', 'like', 'error', 'sometimes',' already ',' Pay ',' Tetep ',' digits', 'internet']</v>
      </c>
      <c r="D16780" s="3">
        <v>1.0</v>
      </c>
    </row>
    <row r="16781" ht="15.75" customHeight="1">
      <c r="A16781" s="1">
        <v>17829.0</v>
      </c>
      <c r="B16781" s="3" t="s">
        <v>15926</v>
      </c>
      <c r="C16781" s="3" t="str">
        <f>IFERROR(__xludf.DUMMYFUNCTION("GOOGLETRANSLATE(B16781,""id"",""en"")"),"['Star', 'use', 'APL']")</f>
        <v>['Star', 'use', 'APL']</v>
      </c>
      <c r="D16781" s="3">
        <v>4.0</v>
      </c>
    </row>
    <row r="16782" ht="15.75" customHeight="1">
      <c r="A16782" s="1">
        <v>17830.0</v>
      </c>
      <c r="B16782" s="3" t="s">
        <v>15927</v>
      </c>
      <c r="C16782" s="3" t="str">
        <f>IFERROR(__xludf.DUMMYFUNCTION("GOOGLETRANSLATE(B16782,""id"",""en"")"),"['Application', 'hope', 'bring', 'smile', 'amin', ""]")</f>
        <v>['Application', 'hope', 'bring', 'smile', 'amin', "]</v>
      </c>
      <c r="D16782" s="3">
        <v>5.0</v>
      </c>
    </row>
    <row r="16783" ht="15.75" customHeight="1">
      <c r="A16783" s="1">
        <v>17831.0</v>
      </c>
      <c r="B16783" s="3" t="s">
        <v>15928</v>
      </c>
      <c r="C16783" s="3" t="str">
        <f>IFERROR(__xludf.DUMMYFUNCTION("GOOGLETRANSLATE(B16783,""id"",""en"")"),"['use', 'card', 'Telkomsel', 'reach', 'broad', 'voice']")</f>
        <v>['use', 'card', 'Telkomsel', 'reach', 'broad', 'voice']</v>
      </c>
      <c r="D16783" s="3">
        <v>4.0</v>
      </c>
    </row>
    <row r="16784" ht="15.75" customHeight="1">
      <c r="A16784" s="1">
        <v>17832.0</v>
      </c>
      <c r="B16784" s="3" t="s">
        <v>15929</v>
      </c>
      <c r="C16784" s="3" t="str">
        <f>IFERROR(__xludf.DUMMYFUNCTION("GOOGLETRANSLATE(B16784,""id"",""en"")"),"['Contents',' pulse ',' package ',' cheap ',' contents', 'pulse', 'change', 'expensive', 'expensive', 'balance', 'disappointed', 'his name', ' The game ',' buy ',' balance ',' credit ',' buy ',' package ',' ']")</f>
        <v>['Contents',' pulse ',' package ',' cheap ',' contents', 'pulse', 'change', 'expensive', 'expensive', 'balance', 'disappointed', 'his name', ' The game ',' buy ',' balance ',' credit ',' buy ',' package ',' ']</v>
      </c>
      <c r="D16784" s="3">
        <v>1.0</v>
      </c>
    </row>
    <row r="16785" ht="15.75" customHeight="1">
      <c r="A16785" s="1">
        <v>17833.0</v>
      </c>
      <c r="B16785" s="3" t="s">
        <v>9474</v>
      </c>
      <c r="C16785" s="3" t="str">
        <f>IFERROR(__xludf.DUMMYFUNCTION("GOOGLETRANSLATE(B16785,""id"",""en"")"),"['steady', 'application']")</f>
        <v>['steady', 'application']</v>
      </c>
      <c r="D16785" s="3">
        <v>5.0</v>
      </c>
    </row>
    <row r="16786" ht="15.75" customHeight="1">
      <c r="A16786" s="1">
        <v>17834.0</v>
      </c>
      <c r="B16786" s="3" t="s">
        <v>15930</v>
      </c>
      <c r="C16786" s="3" t="str">
        <f>IFERROR(__xludf.DUMMYFUNCTION("GOOGLETRANSLATE(B16786,""id"",""en"")"),"['mayan', 'help']")</f>
        <v>['mayan', 'help']</v>
      </c>
      <c r="D16786" s="3">
        <v>4.0</v>
      </c>
    </row>
    <row r="16787" ht="15.75" customHeight="1">
      <c r="A16787" s="1">
        <v>17835.0</v>
      </c>
      <c r="B16787" s="3" t="s">
        <v>15931</v>
      </c>
      <c r="C16787" s="3" t="str">
        <f>IFERROR(__xludf.DUMMYFUNCTION("GOOGLETRANSLATE(B16787,""id"",""en"")"),"['Night', 'Telkom', 'BSA', 'Open', 'Morning', 'Bener', 'Disappointed', 'Telkomsel']")</f>
        <v>['Night', 'Telkom', 'BSA', 'Open', 'Morning', 'Bener', 'Disappointed', 'Telkomsel']</v>
      </c>
      <c r="D16787" s="3">
        <v>1.0</v>
      </c>
    </row>
    <row r="16788" ht="15.75" customHeight="1">
      <c r="A16788" s="1">
        <v>17836.0</v>
      </c>
      <c r="B16788" s="3" t="s">
        <v>15932</v>
      </c>
      <c r="C16788" s="3" t="str">
        <f>IFERROR(__xludf.DUMMYFUNCTION("GOOGLETRANSLATE(B16788,""id"",""en"")"),"['App', 'Telkomsel', 'Error', 'Open', 'screen', 'White', 'Delete', 'Install']")</f>
        <v>['App', 'Telkomsel', 'Error', 'Open', 'screen', 'White', 'Delete', 'Install']</v>
      </c>
      <c r="D16788" s="3">
        <v>1.0</v>
      </c>
    </row>
    <row r="16789" ht="15.75" customHeight="1">
      <c r="A16789" s="1">
        <v>17837.0</v>
      </c>
      <c r="B16789" s="3" t="s">
        <v>15933</v>
      </c>
      <c r="C16789" s="3" t="str">
        <f>IFERROR(__xludf.DUMMYFUNCTION("GOOGLETRANSLATE(B16789,""id"",""en"")"),"['Pakek', 'White', 'SCCREEN', 'Sis',' Please ',' Repaired ',' Sis', 'Signal', 'Extitting It', 'Please', 'Sis',' repaired ',' ']")</f>
        <v>['Pakek', 'White', 'SCCREEN', 'Sis',' Please ',' Repaired ',' Sis', 'Signal', 'Extitting It', 'Please', 'Sis',' repaired ',' ']</v>
      </c>
      <c r="D16789" s="3">
        <v>1.0</v>
      </c>
    </row>
    <row r="16790" ht="15.75" customHeight="1">
      <c r="A16790" s="1">
        <v>17838.0</v>
      </c>
      <c r="B16790" s="3" t="s">
        <v>15934</v>
      </c>
      <c r="C16790" s="3" t="str">
        <f>IFERROR(__xludf.DUMMYFUNCTION("GOOGLETRANSLATE(B16790,""id"",""en"")"),"['happy', 'use', 'network', 'Telkomsel']")</f>
        <v>['happy', 'use', 'network', 'Telkomsel']</v>
      </c>
      <c r="D16790" s="3">
        <v>5.0</v>
      </c>
    </row>
    <row r="16791" ht="15.75" customHeight="1">
      <c r="A16791" s="1">
        <v>17839.0</v>
      </c>
      <c r="B16791" s="3" t="s">
        <v>15935</v>
      </c>
      <c r="C16791" s="3" t="str">
        <f>IFERROR(__xludf.DUMMYFUNCTION("GOOGLETRANSLATE(B16791,""id"",""en"")"),"['active', 'nggk', 'bro', 'already', 'contents',' pulse ',' rb ',' active ',' sampi ',' date ',' buy ',' pulse ',' changed', '']")</f>
        <v>['active', 'nggk', 'bro', 'already', 'contents',' pulse ',' rb ',' active ',' sampi ',' date ',' buy ',' pulse ',' changed', '']</v>
      </c>
      <c r="D16791" s="3">
        <v>2.0</v>
      </c>
    </row>
    <row r="16792" ht="15.75" customHeight="1">
      <c r="A16792" s="1">
        <v>17840.0</v>
      </c>
      <c r="B16792" s="3" t="s">
        <v>15936</v>
      </c>
      <c r="C16792" s="3" t="str">
        <f>IFERROR(__xludf.DUMMYFUNCTION("GOOGLETRANSLATE(B16792,""id"",""en"")"),"['try', 'application']")</f>
        <v>['try', 'application']</v>
      </c>
      <c r="D16792" s="3">
        <v>5.0</v>
      </c>
    </row>
    <row r="16793" ht="15.75" customHeight="1">
      <c r="A16793" s="1">
        <v>17841.0</v>
      </c>
      <c r="B16793" s="3" t="s">
        <v>15937</v>
      </c>
      <c r="C16793" s="3" t="str">
        <f>IFERROR(__xludf.DUMMYFUNCTION("GOOGLETRANSLATE(B16793,""id"",""en"")"),"['signal', 'Mantab', 'Sikon', 'Whatever', 'Thank', 'Telkomsel']")</f>
        <v>['signal', 'Mantab', 'Sikon', 'Whatever', 'Thank', 'Telkomsel']</v>
      </c>
      <c r="D16793" s="3">
        <v>5.0</v>
      </c>
    </row>
    <row r="16794" ht="15.75" customHeight="1">
      <c r="A16794" s="1">
        <v>17842.0</v>
      </c>
      <c r="B16794" s="3" t="s">
        <v>15938</v>
      </c>
      <c r="C16794" s="3" t="str">
        <f>IFERROR(__xludf.DUMMYFUNCTION("GOOGLETRANSLATE(B16794,""id"",""en"")"),"['Telkomsel', 'best', 'package', 'cheap', 'greetings', 'heart']")</f>
        <v>['Telkomsel', 'best', 'package', 'cheap', 'greetings', 'heart']</v>
      </c>
      <c r="D16794" s="3">
        <v>5.0</v>
      </c>
    </row>
    <row r="16795" ht="15.75" customHeight="1">
      <c r="A16795" s="1">
        <v>17843.0</v>
      </c>
      <c r="B16795" s="3" t="s">
        <v>15939</v>
      </c>
      <c r="C16795" s="3" t="str">
        <f>IFERROR(__xludf.DUMMYFUNCTION("GOOGLETRANSLATE(B16795,""id"",""en"")"),"['slow network']")</f>
        <v>['slow network']</v>
      </c>
      <c r="D16795" s="3">
        <v>3.0</v>
      </c>
    </row>
    <row r="16796" ht="15.75" customHeight="1">
      <c r="A16796" s="1">
        <v>17844.0</v>
      </c>
      <c r="B16796" s="3" t="s">
        <v>15940</v>
      </c>
      <c r="C16796" s="3" t="str">
        <f>IFERROR(__xludf.DUMMYFUNCTION("GOOGLETRANSLATE(B16796,""id"",""en"")"),"['Install', 'Telkomsel', 'koq', 'open', 'obstacle', 'ngak', 'application', '']")</f>
        <v>['Install', 'Telkomsel', 'koq', 'open', 'obstacle', 'ngak', 'application', '']</v>
      </c>
      <c r="D16796" s="3">
        <v>1.0</v>
      </c>
    </row>
    <row r="16797" ht="15.75" customHeight="1">
      <c r="A16797" s="1">
        <v>17845.0</v>
      </c>
      <c r="B16797" s="3" t="s">
        <v>15941</v>
      </c>
      <c r="C16797" s="3" t="str">
        <f>IFERROR(__xludf.DUMMYFUNCTION("GOOGLETRANSLATE(B16797,""id"",""en"")"),"['Update', 'Morning', 'Enter', 'The application', 'Error', 'Please', 'Assisted']")</f>
        <v>['Update', 'Morning', 'Enter', 'The application', 'Error', 'Please', 'Assisted']</v>
      </c>
      <c r="D16797" s="3">
        <v>3.0</v>
      </c>
    </row>
    <row r="16798" ht="15.75" customHeight="1">
      <c r="A16798" s="1">
        <v>17846.0</v>
      </c>
      <c r="B16798" s="3" t="s">
        <v>15942</v>
      </c>
      <c r="C16798" s="3" t="str">
        <f>IFERROR(__xludf.DUMMYFUNCTION("GOOGLETRANSLATE(B16798,""id"",""en"")"),"['Telkomselku', 'Indak', 'Open']")</f>
        <v>['Telkomselku', 'Indak', 'Open']</v>
      </c>
      <c r="D16798" s="3">
        <v>5.0</v>
      </c>
    </row>
    <row r="16799" ht="15.75" customHeight="1">
      <c r="A16799" s="1">
        <v>17847.0</v>
      </c>
      <c r="B16799" s="3" t="s">
        <v>15943</v>
      </c>
      <c r="C16799" s="3" t="str">
        <f>IFERROR(__xludf.DUMMYFUNCTION("GOOGLETRANSLATE(B16799,""id"",""en"")"),"['Good', 'steady', '']")</f>
        <v>['Good', 'steady', '']</v>
      </c>
      <c r="D16799" s="3">
        <v>5.0</v>
      </c>
    </row>
    <row r="16800" ht="15.75" customHeight="1">
      <c r="A16800" s="1">
        <v>17848.0</v>
      </c>
      <c r="B16800" s="3" t="s">
        <v>15944</v>
      </c>
      <c r="C16800" s="3" t="str">
        <f>IFERROR(__xludf.DUMMYFUNCTION("GOOGLETRANSLATE(B16800,""id"",""en"")"),"['Force', 'Close', 'Vivo', 'Android', 'Knp', 'Kaks', '']")</f>
        <v>['Force', 'Close', 'Vivo', 'Android', 'Knp', 'Kaks', '']</v>
      </c>
      <c r="D16800" s="3">
        <v>3.0</v>
      </c>
    </row>
    <row r="16801" ht="15.75" customHeight="1">
      <c r="A16801" s="1">
        <v>17849.0</v>
      </c>
      <c r="B16801" s="3" t="s">
        <v>15945</v>
      </c>
      <c r="C16801" s="3" t="str">
        <f>IFERROR(__xludf.DUMMYFUNCTION("GOOGLETRANSLATE(B16801,""id"",""en"")"),"['application', 'like', 'problematic', 'blank', 'white']")</f>
        <v>['application', 'like', 'problematic', 'blank', 'white']</v>
      </c>
      <c r="D16801" s="3">
        <v>1.0</v>
      </c>
    </row>
    <row r="16802" ht="15.75" customHeight="1">
      <c r="A16802" s="1">
        <v>17850.0</v>
      </c>
      <c r="B16802" s="3" t="s">
        <v>15946</v>
      </c>
      <c r="C16802" s="3" t="str">
        <f>IFERROR(__xludf.DUMMYFUNCTION("GOOGLETRANSLATE(B16802,""id"",""en"")"),"['Bener', 'Disappointed', 'Bener', 'according to', 'Jargon', 'Provider', 'Network', 'Strongest', 'Continue', 'consistency']")</f>
        <v>['Bener', 'Disappointed', 'Bener', 'according to', 'Jargon', 'Provider', 'Network', 'Strongest', 'Continue', 'consistency']</v>
      </c>
      <c r="D16802" s="3">
        <v>1.0</v>
      </c>
    </row>
    <row r="16803" ht="15.75" customHeight="1">
      <c r="A16803" s="1">
        <v>17851.0</v>
      </c>
      <c r="B16803" s="3" t="s">
        <v>15947</v>
      </c>
      <c r="C16803" s="3" t="str">
        <f>IFERROR(__xludf.DUMMYFUNCTION("GOOGLETRANSLATE(B16803,""id"",""en"")"),"['application', 'standard', 'application', 'operator', 'network', 'telkomsel', 'here', 'chaotic', 'severe']")</f>
        <v>['application', 'standard', 'application', 'operator', 'network', 'telkomsel', 'here', 'chaotic', 'severe']</v>
      </c>
      <c r="D16803" s="3">
        <v>1.0</v>
      </c>
    </row>
    <row r="16804" ht="15.75" customHeight="1">
      <c r="A16804" s="1">
        <v>17852.0</v>
      </c>
      <c r="B16804" s="3" t="s">
        <v>15948</v>
      </c>
      <c r="C16804" s="3" t="str">
        <f>IFERROR(__xludf.DUMMYFUNCTION("GOOGLETRANSLATE(B16804,""id"",""en"")"),"['Knp', 'tumben', 'access',' like ',' network ',' next door ',' bad ',' ugly ',' feeling ',' week ',' yesterday ',' okay ',' Knp ',' severe ',' price ',' expensive ',' signal ',' dizziness']")</f>
        <v>['Knp', 'tumben', 'access',' like ',' network ',' next door ',' bad ',' ugly ',' feeling ',' week ',' yesterday ',' okay ',' Knp ',' severe ',' price ',' expensive ',' signal ',' dizziness']</v>
      </c>
      <c r="D16804" s="3">
        <v>1.0</v>
      </c>
    </row>
    <row r="16805" ht="15.75" customHeight="1">
      <c r="A16805" s="1">
        <v>17853.0</v>
      </c>
      <c r="B16805" s="3" t="s">
        <v>10467</v>
      </c>
      <c r="C16805" s="3" t="str">
        <f>IFERROR(__xludf.DUMMYFUNCTION("GOOGLETRANSLATE(B16805,""id"",""en"")"),"['slow network']")</f>
        <v>['slow network']</v>
      </c>
      <c r="D16805" s="3">
        <v>1.0</v>
      </c>
    </row>
    <row r="16806" ht="15.75" customHeight="1">
      <c r="A16806" s="1">
        <v>17854.0</v>
      </c>
      <c r="B16806" s="3" t="s">
        <v>15949</v>
      </c>
      <c r="C16806" s="3" t="str">
        <f>IFERROR(__xludf.DUMMYFUNCTION("GOOGLETRANSLATE(B16806,""id"",""en"")"),"['Provider', 'network', 'WORST', 'INDO', 'APASI', 'SELET', 'Mulu', 'so']")</f>
        <v>['Provider', 'network', 'WORST', 'INDO', 'APASI', 'SELET', 'Mulu', 'so']</v>
      </c>
      <c r="D16806" s="3">
        <v>1.0</v>
      </c>
    </row>
    <row r="16807" ht="15.75" customHeight="1">
      <c r="A16807" s="1">
        <v>17855.0</v>
      </c>
      <c r="B16807" s="3" t="s">
        <v>15950</v>
      </c>
      <c r="C16807" s="3" t="str">
        <f>IFERROR(__xludf.DUMMYFUNCTION("GOOGLETRANSLATE(B16807,""id"",""en"")"),"['fast', 'response', '']")</f>
        <v>['fast', 'response', '']</v>
      </c>
      <c r="D16807" s="3">
        <v>5.0</v>
      </c>
    </row>
    <row r="16808" ht="15.75" customHeight="1">
      <c r="A16808" s="1">
        <v>17856.0</v>
      </c>
      <c r="B16808" s="3" t="s">
        <v>15951</v>
      </c>
      <c r="C16808" s="3" t="str">
        <f>IFERROR(__xludf.DUMMYFUNCTION("GOOGLETRANSLATE(B16808,""id"",""en"")"),"['Cukum', 'Satisfied']")</f>
        <v>['Cukum', 'Satisfied']</v>
      </c>
      <c r="D16808" s="3">
        <v>5.0</v>
      </c>
    </row>
    <row r="16809" ht="15.75" customHeight="1">
      <c r="A16809" s="1">
        <v>17857.0</v>
      </c>
      <c r="B16809" s="3" t="s">
        <v>15952</v>
      </c>
      <c r="C16809" s="3" t="str">
        <f>IFERROR(__xludf.DUMMYFUNCTION("GOOGLETRANSLATE(B16809,""id"",""en"")"),"['Network', 'Paraahhhhhhh', 'destroyed', ""]")</f>
        <v>['Network', 'Paraahhhhhhh', 'destroyed', "]</v>
      </c>
      <c r="D16809" s="3">
        <v>1.0</v>
      </c>
    </row>
    <row r="16810" ht="15.75" customHeight="1">
      <c r="A16810" s="1">
        <v>17858.0</v>
      </c>
      <c r="B16810" s="3" t="s">
        <v>15953</v>
      </c>
      <c r="C16810" s="3" t="str">
        <f>IFERROR(__xludf.DUMMYFUNCTION("GOOGLETRANSLATE(B16810,""id"",""en"")"),"['Easy', 'UNK', 'Exchange', 'Points',' Check ',' Quota ',' Internet ',' SMS ',' Tel ',' Info ',' Interesting ',' Application ',' Telkomsel ',' info ',' BNYK ',' ']")</f>
        <v>['Easy', 'UNK', 'Exchange', 'Points',' Check ',' Quota ',' Internet ',' SMS ',' Tel ',' Info ',' Interesting ',' Application ',' Telkomsel ',' info ',' BNYK ',' ']</v>
      </c>
      <c r="D16810" s="3">
        <v>5.0</v>
      </c>
    </row>
    <row r="16811" ht="15.75" customHeight="1">
      <c r="A16811" s="1">
        <v>17859.0</v>
      </c>
      <c r="B16811" s="3" t="s">
        <v>15954</v>
      </c>
      <c r="C16811" s="3" t="str">
        <f>IFERROR(__xludf.DUMMYFUNCTION("GOOGLETRANSLATE(B16811,""id"",""en"")"),"['Telkomsel', 'bad', 'net', 'network', 'broad', 'detrimental', 'as' workers ',' Telkomsel ',' eat ',' tidor ',' Wooy ',' Fix ',' Network ']")</f>
        <v>['Telkomsel', 'bad', 'net', 'network', 'broad', 'detrimental', 'as' workers ',' Telkomsel ',' eat ',' tidor ',' Wooy ',' Fix ',' Network ']</v>
      </c>
      <c r="D16811" s="3">
        <v>1.0</v>
      </c>
    </row>
    <row r="16812" ht="15.75" customHeight="1">
      <c r="A16812" s="1">
        <v>17860.0</v>
      </c>
      <c r="B16812" s="3" t="s">
        <v>15955</v>
      </c>
      <c r="C16812" s="3" t="str">
        <f>IFERROR(__xludf.DUMMYFUNCTION("GOOGLETRANSLATE(B16812,""id"",""en"")"),"['CoAB', 'Gift', 'Telkomsel']")</f>
        <v>['CoAB', 'Gift', 'Telkomsel']</v>
      </c>
      <c r="D16812" s="3">
        <v>5.0</v>
      </c>
    </row>
    <row r="16813" ht="15.75" customHeight="1">
      <c r="A16813" s="1">
        <v>17861.0</v>
      </c>
      <c r="B16813" s="3" t="s">
        <v>15956</v>
      </c>
      <c r="C16813" s="3" t="str">
        <f>IFERROR(__xludf.DUMMYFUNCTION("GOOGLETRANSLATE(B16813,""id"",""en"")"),"['knapa', 'opened', ""]")</f>
        <v>['knapa', 'opened', "]</v>
      </c>
      <c r="D16813" s="3">
        <v>1.0</v>
      </c>
    </row>
    <row r="16814" ht="15.75" customHeight="1">
      <c r="A16814" s="1">
        <v>17862.0</v>
      </c>
      <c r="B16814" s="3" t="s">
        <v>1694</v>
      </c>
      <c r="C16814" s="3" t="str">
        <f>IFERROR(__xludf.DUMMYFUNCTION("GOOGLETRANSLATE(B16814,""id"",""en"")"),"['bad connection']")</f>
        <v>['bad connection']</v>
      </c>
      <c r="D16814" s="3">
        <v>1.0</v>
      </c>
    </row>
    <row r="16815" ht="15.75" customHeight="1">
      <c r="A16815" s="1">
        <v>17863.0</v>
      </c>
      <c r="B16815" s="3" t="s">
        <v>15957</v>
      </c>
      <c r="C16815" s="3" t="str">
        <f>IFERROR(__xludf.DUMMYFUNCTION("GOOGLETRANSLATE(B16815,""id"",""en"")"),"['economical']")</f>
        <v>['economical']</v>
      </c>
      <c r="D16815" s="3">
        <v>5.0</v>
      </c>
    </row>
    <row r="16816" ht="15.75" customHeight="1">
      <c r="A16816" s="1">
        <v>17864.0</v>
      </c>
      <c r="B16816" s="3" t="s">
        <v>15958</v>
      </c>
      <c r="C16816" s="3" t="str">
        <f>IFERROR(__xludf.DUMMYFUNCTION("GOOGLETRANSLATE(B16816,""id"",""en"")"),"['LemoOottt', 'Severe', 'Screenwhite', 'Signal', 'Internet', 'Bigss', 'Duh', 'Bkin', 'Emotion', ""]")</f>
        <v>['LemoOottt', 'Severe', 'Screenwhite', 'Signal', 'Internet', 'Bigss', 'Duh', 'Bkin', 'Emotion', "]</v>
      </c>
      <c r="D16816" s="3">
        <v>1.0</v>
      </c>
    </row>
    <row r="16817" ht="15.75" customHeight="1">
      <c r="A16817" s="1">
        <v>17865.0</v>
      </c>
      <c r="B16817" s="3" t="s">
        <v>15959</v>
      </c>
      <c r="C16817" s="3" t="str">
        <f>IFERROR(__xludf.DUMMYFUNCTION("GOOGLETRANSLATE(B16817,""id"",""en"")"),"['PKET', 'run out', 'Notif', 'late', 'Mulu', 'Wait', 'pulse', 'suck', 'bru', 'notif', 'appears',' jng ',' Deliberately ',' Difficult ',' Nerapin ',' Logic ',' Gituan ',' Kcuspui ',' Emng ',' Have ',' Boss', 'Mke', 'Ank', 'Internship', ""]")</f>
        <v>['PKET', 'run out', 'Notif', 'late', 'Mulu', 'Wait', 'pulse', 'suck', 'bru', 'notif', 'appears',' jng ',' Deliberately ',' Difficult ',' Nerapin ',' Logic ',' Gituan ',' Kcuspui ',' Emng ',' Have ',' Boss', 'Mke', 'Ank', 'Internship', "]</v>
      </c>
      <c r="D16817" s="3">
        <v>1.0</v>
      </c>
    </row>
    <row r="16818" ht="15.75" customHeight="1">
      <c r="A16818" s="1">
        <v>17867.0</v>
      </c>
      <c r="B16818" s="3" t="s">
        <v>15960</v>
      </c>
      <c r="C16818" s="3" t="str">
        <f>IFERROR(__xludf.DUMMYFUNCTION("GOOGLETRANSLATE(B16818,""id"",""en"")"),"['Help', 'really', 'use', 'easy']")</f>
        <v>['Help', 'really', 'use', 'easy']</v>
      </c>
      <c r="D16818" s="3">
        <v>5.0</v>
      </c>
    </row>
    <row r="16819" ht="15.75" customHeight="1">
      <c r="A16819" s="1">
        <v>17868.0</v>
      </c>
      <c r="B16819" s="3" t="s">
        <v>15961</v>
      </c>
      <c r="C16819" s="3" t="str">
        <f>IFERROR(__xludf.DUMMYFUNCTION("GOOGLETRANSLATE(B16819,""id"",""en"")"),"['Telkomsel', 'ngak', 'bsa', 'open', 'sdah', 'update']")</f>
        <v>['Telkomsel', 'ngak', 'bsa', 'open', 'sdah', 'update']</v>
      </c>
      <c r="D16819" s="3">
        <v>5.0</v>
      </c>
    </row>
    <row r="16820" ht="15.75" customHeight="1">
      <c r="A16820" s="1">
        <v>17869.0</v>
      </c>
      <c r="B16820" s="3" t="s">
        <v>15962</v>
      </c>
      <c r="C16820" s="3" t="str">
        <f>IFERROR(__xludf.DUMMYFUNCTION("GOOGLETRANSLATE(B16820,""id"",""en"")"),"['best', 'hope', 'trusted']")</f>
        <v>['best', 'hope', 'trusted']</v>
      </c>
      <c r="D16820" s="3">
        <v>5.0</v>
      </c>
    </row>
    <row r="16821" ht="15.75" customHeight="1">
      <c r="A16821" s="1">
        <v>17870.0</v>
      </c>
      <c r="B16821" s="3" t="s">
        <v>11361</v>
      </c>
      <c r="C16821" s="3" t="str">
        <f>IFERROR(__xludf.DUMMYFUNCTION("GOOGLETRANSLATE(B16821,""id"",""en"")"),"['like', '']")</f>
        <v>['like', '']</v>
      </c>
      <c r="D16821" s="3">
        <v>5.0</v>
      </c>
    </row>
    <row r="16822" ht="15.75" customHeight="1">
      <c r="A16822" s="1">
        <v>17871.0</v>
      </c>
      <c r="B16822" s="3" t="s">
        <v>15963</v>
      </c>
      <c r="C16822" s="3" t="str">
        <f>IFERROR(__xludf.DUMMYFUNCTION("GOOGLETRANSLATE(B16822,""id"",""en"")"),"['', 'Gedeg', 'SMA', 'TLKOMSEL', 'TIME', 'FIXING', 'Credit', 'Slalu', 'Cut', 'Mulu', 'Anjgg', 'Credit', 'Hbis ',' Krna ',' PTONG ',' SMA ',' TLKOMSEL ',' IHH ',' Bakar ',' company ',' it ',' Gedegg ', ""]")</f>
        <v>['', 'Gedeg', 'SMA', 'TLKOMSEL', 'TIME', 'FIXING', 'Credit', 'Slalu', 'Cut', 'Mulu', 'Anjgg', 'Credit', 'Hbis ',' Krna ',' PTONG ',' SMA ',' TLKOMSEL ',' IHH ',' Bakar ',' company ',' it ',' Gedegg ', "]</v>
      </c>
      <c r="D16822" s="3">
        <v>1.0</v>
      </c>
    </row>
    <row r="16823" ht="15.75" customHeight="1">
      <c r="A16823" s="1">
        <v>17873.0</v>
      </c>
      <c r="B16823" s="3" t="s">
        <v>3183</v>
      </c>
      <c r="C16823" s="3" t="str">
        <f>IFERROR(__xludf.DUMMYFUNCTION("GOOGLETRANSLATE(B16823,""id"",""en"")"),"['The application', 'Good', '']")</f>
        <v>['The application', 'Good', '']</v>
      </c>
      <c r="D16823" s="3">
        <v>5.0</v>
      </c>
    </row>
    <row r="16824" ht="15.75" customHeight="1">
      <c r="A16824" s="1">
        <v>17874.0</v>
      </c>
      <c r="B16824" s="3" t="s">
        <v>15964</v>
      </c>
      <c r="C16824" s="3" t="str">
        <f>IFERROR(__xludf.DUMMYFUNCTION("GOOGLETRANSLATE(B16824,""id"",""en"")"),"['Telkomsel', 'package', 'expensive', 'network', 'joked', 'not', 'package', 'expensive', 'network', 'good', 'lost', 'ama', ' Next to ',' next door ',' the network ',' stable ',' play ',' game ',' smooth ',' use ',' Telkomsel ',' deh ',' mending ',' provid"&amp;"er ']")</f>
        <v>['Telkomsel', 'package', 'expensive', 'network', 'joked', 'not', 'package', 'expensive', 'network', 'good', 'lost', 'ama', ' Next to ',' next door ',' the network ',' stable ',' play ',' game ',' smooth ',' use ',' Telkomsel ',' deh ',' mending ',' provider ']</v>
      </c>
      <c r="D16824" s="3">
        <v>1.0</v>
      </c>
    </row>
    <row r="16825" ht="15.75" customHeight="1">
      <c r="A16825" s="1">
        <v>17875.0</v>
      </c>
      <c r="B16825" s="3" t="s">
        <v>15965</v>
      </c>
      <c r="C16825" s="3" t="str">
        <f>IFERROR(__xludf.DUMMYFUNCTION("GOOGLETRANSLATE(B16825,""id"",""en"")"),"['Telkomsel', 'gabisa', 'guard', 'reputation', 'signal', 'lost', 'gabisa', 'service', 'consumer', ""]")</f>
        <v>['Telkomsel', 'gabisa', 'guard', 'reputation', 'signal', 'lost', 'gabisa', 'service', 'consumer', "]</v>
      </c>
      <c r="D16825" s="3">
        <v>1.0</v>
      </c>
    </row>
    <row r="16826" ht="15.75" customHeight="1">
      <c r="A16826" s="1">
        <v>17876.0</v>
      </c>
      <c r="B16826" s="3" t="s">
        <v>15966</v>
      </c>
      <c r="C16826" s="3" t="str">
        <f>IFERROR(__xludf.DUMMYFUNCTION("GOOGLETRANSLATE(B16826,""id"",""en"")"),"['', 'Login', 'Severe', 'Telkomsel', 'deteriorates', ""]")</f>
        <v>['', 'Login', 'Severe', 'Telkomsel', 'deteriorates', "]</v>
      </c>
      <c r="D16826" s="3">
        <v>1.0</v>
      </c>
    </row>
    <row r="16827" ht="15.75" customHeight="1">
      <c r="A16827" s="1">
        <v>17877.0</v>
      </c>
      <c r="B16827" s="3" t="s">
        <v>15967</v>
      </c>
      <c r="C16827" s="3" t="str">
        <f>IFERROR(__xludf.DUMMYFUNCTION("GOOGLETRANSLATE(B16827,""id"",""en"")"),"['Wherever', 'Siyala', 'Tetep']")</f>
        <v>['Wherever', 'Siyala', 'Tetep']</v>
      </c>
      <c r="D16827" s="3">
        <v>5.0</v>
      </c>
    </row>
    <row r="16828" ht="15.75" customHeight="1">
      <c r="A16828" s="1">
        <v>17879.0</v>
      </c>
      <c r="B16828" s="3" t="s">
        <v>15968</v>
      </c>
      <c r="C16828" s="3" t="str">
        <f>IFERROR(__xludf.DUMMYFUNCTION("GOOGLETRANSLATE(B16828,""id"",""en"")"),"['Stressss', 'point', 'like', 'missing', '']")</f>
        <v>['Stressss', 'point', 'like', 'missing', '']</v>
      </c>
      <c r="D16828" s="3">
        <v>1.0</v>
      </c>
    </row>
    <row r="16829" ht="15.75" customHeight="1">
      <c r="A16829" s="1">
        <v>17880.0</v>
      </c>
      <c r="B16829" s="3" t="s">
        <v>15969</v>
      </c>
      <c r="C16829" s="3" t="str">
        <f>IFERROR(__xludf.DUMMYFUNCTION("GOOGLETRANSLATE(B16829,""id"",""en"")"),"['Application', 'Open', 'please', 'repair']")</f>
        <v>['Application', 'Open', 'please', 'repair']</v>
      </c>
      <c r="D16829" s="3">
        <v>1.0</v>
      </c>
    </row>
    <row r="16830" ht="15.75" customHeight="1">
      <c r="A16830" s="1">
        <v>17881.0</v>
      </c>
      <c r="B16830" s="3" t="s">
        <v>15970</v>
      </c>
      <c r="C16830" s="3" t="str">
        <f>IFERROR(__xludf.DUMMYFUNCTION("GOOGLETRANSLATE(B16830,""id"",""en"")"),"['', 'Reviews',' Where ',' Delete ',' intention ',' sell ',' fill in ',' pulse ',' until ',' enter ',' enter ',' a day ',' Mending ',' Contents', 'counter', 'makes it easier', 'make it difficult']")</f>
        <v>['', 'Reviews',' Where ',' Delete ',' intention ',' sell ',' fill in ',' pulse ',' until ',' enter ',' enter ',' a day ',' Mending ',' Contents', 'counter', 'makes it easier', 'make it difficult']</v>
      </c>
      <c r="D16830" s="3">
        <v>1.0</v>
      </c>
    </row>
    <row r="16831" ht="15.75" customHeight="1">
      <c r="A16831" s="1">
        <v>17883.0</v>
      </c>
      <c r="B16831" s="3" t="s">
        <v>15971</v>
      </c>
      <c r="C16831" s="3" t="str">
        <f>IFERROR(__xludf.DUMMYFUNCTION("GOOGLETRANSLATE(B16831,""id"",""en"")"),"['APK', 'MyTelkomsel', 'already', 'opened', 'entered', 'APK', 'screen', 'cellphone', 'white', 'already', 'tried', 'times',' The results']")</f>
        <v>['APK', 'MyTelkomsel', 'already', 'opened', 'entered', 'APK', 'screen', 'cellphone', 'white', 'already', 'tried', 'times',' The results']</v>
      </c>
      <c r="D16831" s="3">
        <v>5.0</v>
      </c>
    </row>
    <row r="16832" ht="15.75" customHeight="1">
      <c r="A16832" s="1">
        <v>17884.0</v>
      </c>
      <c r="B16832" s="3" t="s">
        <v>15972</v>
      </c>
      <c r="C16832" s="3" t="str">
        <f>IFERROR(__xludf.DUMMYFUNCTION("GOOGLETRANSLATE(B16832,""id"",""en"")"),"['already', 'update', 'no', 'open', 'color', 'white']")</f>
        <v>['already', 'update', 'no', 'open', 'color', 'white']</v>
      </c>
      <c r="D16832" s="3">
        <v>1.0</v>
      </c>
    </row>
    <row r="16833" ht="15.75" customHeight="1">
      <c r="A16833" s="1">
        <v>17885.0</v>
      </c>
      <c r="B16833" s="3" t="s">
        <v>15973</v>
      </c>
      <c r="C16833" s="3" t="str">
        <f>IFERROR(__xludf.DUMMYFUNCTION("GOOGLETRANSLATE(B16833,""id"",""en"")"),"['Come', 'difficult', 'open', 'loading', 'tip', 'failed', 'open', 'go', 'here', 'chaotic', 'Telkomsel', 'Please', ' repair']")</f>
        <v>['Come', 'difficult', 'open', 'loading', 'tip', 'failed', 'open', 'go', 'here', 'chaotic', 'Telkomsel', 'Please', ' repair']</v>
      </c>
      <c r="D16833" s="3">
        <v>1.0</v>
      </c>
    </row>
    <row r="16834" ht="15.75" customHeight="1">
      <c r="A16834" s="1">
        <v>17886.0</v>
      </c>
      <c r="B16834" s="3" t="s">
        <v>15974</v>
      </c>
      <c r="C16834" s="3" t="str">
        <f>IFERROR(__xludf.DUMMYFUNCTION("GOOGLETRANSLATE(B16834,""id"",""en"")"),"['Bagusssss', 'already', 'cave', 'good', 'see']")</f>
        <v>['Bagusssss', 'already', 'cave', 'good', 'see']</v>
      </c>
      <c r="D16834" s="3">
        <v>5.0</v>
      </c>
    </row>
    <row r="16835" ht="15.75" customHeight="1">
      <c r="A16835" s="1">
        <v>17887.0</v>
      </c>
      <c r="B16835" s="3" t="s">
        <v>15975</v>
      </c>
      <c r="C16835" s="3" t="str">
        <f>IFERROR(__xludf.DUMMYFUNCTION("GOOGLETRANSLATE(B16835,""id"",""en"")"),"['oath', 'ugly', 'network', 'Telkomsel', 'uda', 'price', 'expensive', 'network', 'lost', 'arising', 'kayak', 'move', ' Providers', 'Dahh', '']")</f>
        <v>['oath', 'ugly', 'network', 'Telkomsel', 'uda', 'price', 'expensive', 'network', 'lost', 'arising', 'kayak', 'move', ' Providers', 'Dahh', '']</v>
      </c>
      <c r="D16835" s="3">
        <v>1.0</v>
      </c>
    </row>
    <row r="16836" ht="15.75" customHeight="1">
      <c r="A16836" s="1">
        <v>17888.0</v>
      </c>
      <c r="B16836" s="3" t="s">
        <v>15976</v>
      </c>
      <c r="C16836" s="3" t="str">
        <f>IFERROR(__xludf.DUMMYFUNCTION("GOOGLETRANSLATE(B16836,""id"",""en"")"),"['Telkomsel', 'Disappointed', 'Use', 'Card', 'Telkomsel', 'Signal', 'Severe', 'Disappointing']")</f>
        <v>['Telkomsel', 'Disappointed', 'Use', 'Card', 'Telkomsel', 'Signal', 'Severe', 'Disappointing']</v>
      </c>
      <c r="D16836" s="3">
        <v>1.0</v>
      </c>
    </row>
    <row r="16837" ht="15.75" customHeight="1">
      <c r="A16837" s="1">
        <v>17889.0</v>
      </c>
      <c r="B16837" s="3" t="s">
        <v>15977</v>
      </c>
      <c r="C16837" s="3" t="str">
        <f>IFERROR(__xludf.DUMMYFUNCTION("GOOGLETRANSLATE(B16837,""id"",""en"")"),"['Home', 'Telkomsel', 'Blank', 'Mimin', 'Telkomsel', 'Help', 'Contact', 'Via', 'Telegram', 'WhatsApp', 'Twit', 'Insta', ' Info ',' ']")</f>
        <v>['Home', 'Telkomsel', 'Blank', 'Mimin', 'Telkomsel', 'Help', 'Contact', 'Via', 'Telegram', 'WhatsApp', 'Twit', 'Insta', ' Info ',' ']</v>
      </c>
      <c r="D16837" s="3">
        <v>1.0</v>
      </c>
    </row>
    <row r="16838" ht="15.75" customHeight="1">
      <c r="A16838" s="1">
        <v>17890.0</v>
      </c>
      <c r="B16838" s="3" t="s">
        <v>2333</v>
      </c>
      <c r="C16838" s="3" t="str">
        <f>IFERROR(__xludf.DUMMYFUNCTION("GOOGLETRANSLATE(B16838,""id"",""en"")"),"['opened', 'application', '']")</f>
        <v>['opened', 'application', '']</v>
      </c>
      <c r="D16838" s="3">
        <v>1.0</v>
      </c>
    </row>
    <row r="16839" ht="15.75" customHeight="1">
      <c r="A16839" s="1">
        <v>17891.0</v>
      </c>
      <c r="B16839" s="3" t="s">
        <v>15978</v>
      </c>
      <c r="C16839" s="3" t="str">
        <f>IFERROR(__xludf.DUMMYFUNCTION("GOOGLETRANSLATE(B16839,""id"",""en"")"),"['price', 'package', 'expensive', 'quality', 'signal', 'cheap', 'Ujan', 'dead', 'lights', ""]")</f>
        <v>['price', 'package', 'expensive', 'quality', 'signal', 'cheap', 'Ujan', 'dead', 'lights', "]</v>
      </c>
      <c r="D16839" s="3">
        <v>1.0</v>
      </c>
    </row>
    <row r="16840" ht="15.75" customHeight="1">
      <c r="A16840" s="1">
        <v>17892.0</v>
      </c>
      <c r="B16840" s="3" t="s">
        <v>15979</v>
      </c>
      <c r="C16840" s="3" t="str">
        <f>IFERROR(__xludf.DUMMYFUNCTION("GOOGLETRANSLATE(B16840,""id"",""en"")"),"['like', 'application', 'help']")</f>
        <v>['like', 'application', 'help']</v>
      </c>
      <c r="D16840" s="3">
        <v>5.0</v>
      </c>
    </row>
    <row r="16841" ht="15.75" customHeight="1">
      <c r="A16841" s="1">
        <v>17893.0</v>
      </c>
      <c r="B16841" s="3" t="s">
        <v>15980</v>
      </c>
      <c r="C16841" s="3" t="str">
        <f>IFERROR(__xludf.DUMMYFUNCTION("GOOGLETRANSLATE(B16841,""id"",""en"")"),"['Package', 'a little', 'option', 'expensive', 'affordable', 'understand', 'update', 'what']")</f>
        <v>['Package', 'a little', 'option', 'expensive', 'affordable', 'understand', 'update', 'what']</v>
      </c>
      <c r="D16841" s="3">
        <v>2.0</v>
      </c>
    </row>
    <row r="16842" ht="15.75" customHeight="1">
      <c r="A16842" s="1">
        <v>17894.0</v>
      </c>
      <c r="B16842" s="3" t="s">
        <v>15981</v>
      </c>
      <c r="C16842" s="3" t="str">
        <f>IFERROR(__xludf.DUMMYFUNCTION("GOOGLETRANSLATE(B16842,""id"",""en"")"),"['Since', 'Use', 'Mytekomsel', 'Save', 'Promo', 'Others']")</f>
        <v>['Since', 'Use', 'Mytekomsel', 'Save', 'Promo', 'Others']</v>
      </c>
      <c r="D16842" s="3">
        <v>5.0</v>
      </c>
    </row>
    <row r="16843" ht="15.75" customHeight="1">
      <c r="A16843" s="1">
        <v>17896.0</v>
      </c>
      <c r="B16843" s="3" t="s">
        <v>15982</v>
      </c>
      <c r="C16843" s="3" t="str">
        <f>IFERROR(__xludf.DUMMYFUNCTION("GOOGLETRANSLATE(B16843,""id"",""en"")"),"['Islands', 'Mentawai', 'HNY', 'cell', 'good', 'patient', 'operator', ""]")</f>
        <v>['Islands', 'Mentawai', 'HNY', 'cell', 'good', 'patient', 'operator', "]</v>
      </c>
      <c r="D16843" s="3">
        <v>5.0</v>
      </c>
    </row>
    <row r="16844" ht="15.75" customHeight="1">
      <c r="A16844" s="1">
        <v>17897.0</v>
      </c>
      <c r="B16844" s="3" t="s">
        <v>15983</v>
      </c>
      <c r="C16844" s="3" t="str">
        <f>IFERROR(__xludf.DUMMYFUNCTION("GOOGLETRANSLATE(B16844,""id"",""en"")"),"['Error', 'Open', 'subscribe', 'please', 'Really', 'quota', 'no', 'check', 'quota', ""]")</f>
        <v>['Error', 'Open', 'subscribe', 'please', 'Really', 'quota', 'no', 'check', 'quota', "]</v>
      </c>
      <c r="D16844" s="3">
        <v>5.0</v>
      </c>
    </row>
    <row r="16845" ht="15.75" customHeight="1">
      <c r="A16845" s="1">
        <v>17898.0</v>
      </c>
      <c r="B16845" s="3" t="s">
        <v>15984</v>
      </c>
      <c r="C16845" s="3" t="str">
        <f>IFERROR(__xludf.DUMMYFUNCTION("GOOGLETRANSLATE(B16845,""id"",""en"")"),"['signal', 'already', 'Not bad', 'good', 'good', 'division', 'quota', 'open', 'social', 'media', 'sucked', 'quota', ' Social ',' mediya ',' quota ',' main ',' repaired ']")</f>
        <v>['signal', 'already', 'Not bad', 'good', 'good', 'division', 'quota', 'open', 'social', 'media', 'sucked', 'quota', ' Social ',' mediya ',' quota ',' main ',' repaired ']</v>
      </c>
      <c r="D16845" s="3">
        <v>1.0</v>
      </c>
    </row>
    <row r="16846" ht="15.75" customHeight="1">
      <c r="A16846" s="1">
        <v>17899.0</v>
      </c>
      <c r="B16846" s="3" t="s">
        <v>15985</v>
      </c>
      <c r="C16846" s="3" t="str">
        <f>IFERROR(__xludf.DUMMYFUNCTION("GOOGLETRANSLATE(B16846,""id"",""en"")"),"['Fix', 'The application', 'opened', '']")</f>
        <v>['Fix', 'The application', 'opened', '']</v>
      </c>
      <c r="D16846" s="3">
        <v>1.0</v>
      </c>
    </row>
    <row r="16847" ht="15.75" customHeight="1">
      <c r="A16847" s="1">
        <v>17901.0</v>
      </c>
      <c r="B16847" s="3" t="s">
        <v>15986</v>
      </c>
      <c r="C16847" s="3" t="str">
        <f>IFERROR(__xludf.DUMMYFUNCTION("GOOGLETRANSLATE(B16847,""id"",""en"")"),"['expensive', 'doang', 'network', 'ugly', 'really', 'open', 'game', 'online', 'difficult', 'night', 'jammed', 'total']")</f>
        <v>['expensive', 'doang', 'network', 'ugly', 'really', 'open', 'game', 'online', 'difficult', 'night', 'jammed', 'total']</v>
      </c>
      <c r="D16847" s="3">
        <v>1.0</v>
      </c>
    </row>
    <row r="16848" ht="15.75" customHeight="1">
      <c r="A16848" s="1">
        <v>17902.0</v>
      </c>
      <c r="B16848" s="3" t="s">
        <v>15987</v>
      </c>
      <c r="C16848" s="3" t="str">
        <f>IFERROR(__xludf.DUMMYFUNCTION("GOOGLETRANSLATE(B16848,""id"",""en"")"),"['Please', 'Package', 'Promo']")</f>
        <v>['Please', 'Package', 'Promo']</v>
      </c>
      <c r="D16848" s="3">
        <v>5.0</v>
      </c>
    </row>
    <row r="16849" ht="15.75" customHeight="1">
      <c r="A16849" s="1">
        <v>17903.0</v>
      </c>
      <c r="B16849" s="3" t="s">
        <v>15988</v>
      </c>
      <c r="C16849" s="3" t="str">
        <f>IFERROR(__xludf.DUMMYFUNCTION("GOOGLETRANSLATE(B16849,""id"",""en"")"),"['Woy', 'Screen', 'White', 'Mulu', 'Please', 'Repaired', 'Season', 'Really', 'Still', 'White', 'Screen', 'Mulu', ' Ngent ',' ']")</f>
        <v>['Woy', 'Screen', 'White', 'Mulu', 'Please', 'Repaired', 'Season', 'Really', 'Still', 'White', 'Screen', 'Mulu', ' Ngent ',' ']</v>
      </c>
      <c r="D16849" s="3">
        <v>1.0</v>
      </c>
    </row>
    <row r="16850" ht="15.75" customHeight="1">
      <c r="A16850" s="1">
        <v>17904.0</v>
      </c>
      <c r="B16850" s="3" t="s">
        <v>478</v>
      </c>
      <c r="C16850" s="3" t="str">
        <f>IFERROR(__xludf.DUMMYFUNCTION("GOOGLETRANSLATE(B16850,""id"",""en"")"),"Of course")</f>
        <v>Of course</v>
      </c>
      <c r="D16850" s="3">
        <v>4.0</v>
      </c>
    </row>
    <row r="16851" ht="15.75" customHeight="1">
      <c r="A16851" s="1">
        <v>17905.0</v>
      </c>
      <c r="B16851" s="3" t="s">
        <v>15989</v>
      </c>
      <c r="C16851" s="3" t="str">
        <f>IFERROR(__xludf.DUMMYFUNCTION("GOOGLETRANSLATE(B16851,""id"",""en"")"),"['Love', 'already', 'a week', 'Uninstall', 'Install', 'Tetep', 'open', 'application', 'White', 'Screen', 'Doang', 'Kirain', ' Doang ',' right ',' read ',' comment ',' person ',' rich ',' gini ',' that's', 'mah', 'update', ""]")</f>
        <v>['Love', 'already', 'a week', 'Uninstall', 'Install', 'Tetep', 'open', 'application', 'White', 'Screen', 'Doang', 'Kirain', ' Doang ',' right ',' read ',' comment ',' person ',' rich ',' gini ',' that's', 'mah', 'update', "]</v>
      </c>
      <c r="D16851" s="3">
        <v>1.0</v>
      </c>
    </row>
    <row r="16852" ht="15.75" customHeight="1">
      <c r="A16852" s="1">
        <v>17906.0</v>
      </c>
      <c r="B16852" s="3" t="s">
        <v>15990</v>
      </c>
      <c r="C16852" s="3" t="str">
        <f>IFERROR(__xludf.DUMMYFUNCTION("GOOGLETRANSLATE(B16852,""id"",""en"")"),"['apk', 'dapad', 'open', 'napa', '']")</f>
        <v>['apk', 'dapad', 'open', 'napa', '']</v>
      </c>
      <c r="D16852" s="3">
        <v>1.0</v>
      </c>
    </row>
    <row r="16853" ht="15.75" customHeight="1">
      <c r="A16853" s="1">
        <v>17908.0</v>
      </c>
      <c r="B16853" s="3" t="s">
        <v>15991</v>
      </c>
      <c r="C16853" s="3" t="str">
        <f>IFERROR(__xludf.DUMMYFUNCTION("GOOGLETRANSLATE(B16853,""id"",""en"")"),"['Prank', 'Latest', 'Telkomsel', 'Pay', 'Ovo', 'Get', 'Cashback', 'Wait', 'LGI', 'get', 'prank', ""]")</f>
        <v>['Prank', 'Latest', 'Telkomsel', 'Pay', 'Ovo', 'Get', 'Cashback', 'Wait', 'LGI', 'get', 'prank', "]</v>
      </c>
      <c r="D16853" s="3">
        <v>1.0</v>
      </c>
    </row>
    <row r="16854" ht="15.75" customHeight="1">
      <c r="A16854" s="1">
        <v>17909.0</v>
      </c>
      <c r="B16854" s="3" t="s">
        <v>15992</v>
      </c>
      <c r="C16854" s="3" t="str">
        <f>IFERROR(__xludf.DUMMYFUNCTION("GOOGLETRANSLATE(B16854,""id"",""en"")"),"['Kayak', 'Lottery', 'Telkomsel', 'Riel', 'Transparent', 'Ngundi', 'Winner', 'Disappointed', 'Cave', 'JGAN', 'Believe', 'Try', ' Poto ',' Winner ',' Brapa ',' Exchange ',' Disappointed ',' Kyak ',' Cave ', ""]")</f>
        <v>['Kayak', 'Lottery', 'Telkomsel', 'Riel', 'Transparent', 'Ngundi', 'Winner', 'Disappointed', 'Cave', 'JGAN', 'Believe', 'Try', ' Poto ',' Winner ',' Brapa ',' Exchange ',' Disappointed ',' Kyak ',' Cave ', "]</v>
      </c>
      <c r="D16854" s="3">
        <v>1.0</v>
      </c>
    </row>
    <row r="16855" ht="15.75" customHeight="1">
      <c r="A16855" s="1">
        <v>17910.0</v>
      </c>
      <c r="B16855" s="3" t="s">
        <v>15993</v>
      </c>
      <c r="C16855" s="3" t="str">
        <f>IFERROR(__xludf.DUMMYFUNCTION("GOOGLETRANSLATE(B16855,""id"",""en"")"),"['easy', 'use', 'mantapp', '']")</f>
        <v>['easy', 'use', 'mantapp', '']</v>
      </c>
      <c r="D16855" s="3">
        <v>4.0</v>
      </c>
    </row>
    <row r="16856" ht="15.75" customHeight="1">
      <c r="A16856" s="1">
        <v>17911.0</v>
      </c>
      <c r="B16856" s="3" t="s">
        <v>15994</v>
      </c>
      <c r="C16856" s="3" t="str">
        <f>IFERROR(__xludf.DUMMYFUNCTION("GOOGLETRANSLATE(B16856,""id"",""en"")"),"['Paketan', 'Download', 'Play', 'Store', 'Download', 'Telkomsel', 'PEAH']")</f>
        <v>['Paketan', 'Download', 'Play', 'Store', 'Download', 'Telkomsel', 'PEAH']</v>
      </c>
      <c r="D16856" s="3">
        <v>1.0</v>
      </c>
    </row>
    <row r="16857" ht="15.75" customHeight="1">
      <c r="A16857" s="1">
        <v>17912.0</v>
      </c>
      <c r="B16857" s="3" t="s">
        <v>15995</v>
      </c>
      <c r="C16857" s="3" t="str">
        <f>IFERROR(__xludf.DUMMYFUNCTION("GOOGLETRANSLATE(B16857,""id"",""en"")"),"['Hopefully', 'Lucky', 'Telkomsel']")</f>
        <v>['Hopefully', 'Lucky', 'Telkomsel']</v>
      </c>
      <c r="D16857" s="3">
        <v>4.0</v>
      </c>
    </row>
    <row r="16858" ht="15.75" customHeight="1">
      <c r="A16858" s="1">
        <v>17913.0</v>
      </c>
      <c r="B16858" s="3" t="s">
        <v>348</v>
      </c>
      <c r="C16858" s="3" t="str">
        <f>IFERROR(__xludf.DUMMYFUNCTION("GOOGLETRANSLATE(B16858,""id"",""en"")"),"['Steady', 'help']")</f>
        <v>['Steady', 'help']</v>
      </c>
      <c r="D16858" s="3">
        <v>4.0</v>
      </c>
    </row>
    <row r="16859" ht="15.75" customHeight="1">
      <c r="A16859" s="1">
        <v>17914.0</v>
      </c>
      <c r="B16859" s="3" t="s">
        <v>15996</v>
      </c>
      <c r="C16859" s="3" t="str">
        <f>IFERROR(__xludf.DUMMYFUNCTION("GOOGLETRANSLATE(B16859,""id"",""en"")"),"['Gift', 'Add', 'Star', '']")</f>
        <v>['Gift', 'Add', 'Star', '']</v>
      </c>
      <c r="D16859" s="3">
        <v>1.0</v>
      </c>
    </row>
    <row r="16860" ht="15.75" customHeight="1">
      <c r="A16860" s="1">
        <v>17915.0</v>
      </c>
      <c r="B16860" s="3" t="s">
        <v>15997</v>
      </c>
      <c r="C16860" s="3" t="str">
        <f>IFERROR(__xludf.DUMMYFUNCTION("GOOGLETRANSLATE(B16860,""id"",""en"")"),"['harmful']")</f>
        <v>['harmful']</v>
      </c>
      <c r="D16860" s="3">
        <v>5.0</v>
      </c>
    </row>
    <row r="16861" ht="15.75" customHeight="1">
      <c r="A16861" s="1">
        <v>17916.0</v>
      </c>
      <c r="B16861" s="3" t="s">
        <v>15998</v>
      </c>
      <c r="C16861" s="3" t="str">
        <f>IFERROR(__xludf.DUMMYFUNCTION("GOOGLETRANSLATE(B16861,""id"",""en"")"),"['Package', 'Internet', 'telephone', 'relative', 'expensive', 'quality', 'network', 'satisfying']")</f>
        <v>['Package', 'Internet', 'telephone', 'relative', 'expensive', 'quality', 'network', 'satisfying']</v>
      </c>
      <c r="D16861" s="3">
        <v>2.0</v>
      </c>
    </row>
    <row r="16862" ht="15.75" customHeight="1">
      <c r="A16862" s="1">
        <v>17917.0</v>
      </c>
      <c r="B16862" s="3" t="s">
        <v>15999</v>
      </c>
      <c r="C16862" s="3" t="str">
        <f>IFERROR(__xludf.DUMMYFUNCTION("GOOGLETRANSLATE(B16862,""id"",""en"")"),"['Severe', 'application', 'appears', 'screen', 'white', 'blank']")</f>
        <v>['Severe', 'application', 'appears', 'screen', 'white', 'blank']</v>
      </c>
      <c r="D16862" s="3">
        <v>2.0</v>
      </c>
    </row>
    <row r="16863" ht="15.75" customHeight="1">
      <c r="A16863" s="1">
        <v>17918.0</v>
      </c>
      <c r="B16863" s="3" t="s">
        <v>16000</v>
      </c>
      <c r="C16863" s="3" t="str">
        <f>IFERROR(__xludf.DUMMYFUNCTION("GOOGLETRANSLATE(B16863,""id"",""en"")"),"['dlu', 'right', 'pakek', 'telkomsel', 'bkm', 'updte', 'ngk', 'kyk', 'gni', 'pdhal', 'exchange', 'point', ' complicated ',' app ',' ndak ',' open ',' inscribed ',' veronika ',' ndak ',' wants', 'telkomsel']")</f>
        <v>['dlu', 'right', 'pakek', 'telkomsel', 'bkm', 'updte', 'ngk', 'kyk', 'gni', 'pdhal', 'exchange', 'point', ' complicated ',' app ',' ndak ',' open ',' inscribed ',' veronika ',' ndak ',' wants', 'telkomsel']</v>
      </c>
      <c r="D16863" s="3">
        <v>1.0</v>
      </c>
    </row>
    <row r="16864" ht="15.75" customHeight="1">
      <c r="A16864" s="1">
        <v>17919.0</v>
      </c>
      <c r="B16864" s="3" t="s">
        <v>10908</v>
      </c>
      <c r="C16864" s="3" t="str">
        <f>IFERROR(__xludf.DUMMYFUNCTION("GOOGLETRANSLATE(B16864,""id"",""en"")"),"['Open', 'application']")</f>
        <v>['Open', 'application']</v>
      </c>
      <c r="D16864" s="3">
        <v>1.0</v>
      </c>
    </row>
    <row r="16865" ht="15.75" customHeight="1">
      <c r="A16865" s="1">
        <v>17920.0</v>
      </c>
      <c r="B16865" s="3" t="s">
        <v>16001</v>
      </c>
      <c r="C16865" s="3" t="str">
        <f>IFERROR(__xludf.DUMMYFUNCTION("GOOGLETRANSLATE(B16865,""id"",""en"")"),"['APK', 'opened', 'expensive', 'signal', 'ugly', 'broke', 'Hank', 'Detinent', 'quota', 'krtu', 'cheap', 'friend', ' My friend ',' Ojol ']")</f>
        <v>['APK', 'opened', 'expensive', 'signal', 'ugly', 'broke', 'Hank', 'Detinent', 'quota', 'krtu', 'cheap', 'friend', ' My friend ',' Ojol ']</v>
      </c>
      <c r="D16865" s="3">
        <v>1.0</v>
      </c>
    </row>
    <row r="16866" ht="15.75" customHeight="1">
      <c r="A16866" s="1">
        <v>17921.0</v>
      </c>
      <c r="B16866" s="3" t="s">
        <v>16002</v>
      </c>
      <c r="C16866" s="3" t="str">
        <f>IFERROR(__xludf.DUMMYFUNCTION("GOOGLETRANSLATE(B16866,""id"",""en"")"),"['Upgrade', 'Login', 'Screenya', 'White', 'Modon', 'Fix', 'Look']")</f>
        <v>['Upgrade', 'Login', 'Screenya', 'White', 'Modon', 'Fix', 'Look']</v>
      </c>
      <c r="D16866" s="3">
        <v>2.0</v>
      </c>
    </row>
    <row r="16867" ht="15.75" customHeight="1">
      <c r="A16867" s="1">
        <v>17922.0</v>
      </c>
      <c r="B16867" s="3" t="s">
        <v>16003</v>
      </c>
      <c r="C16867" s="3" t="str">
        <f>IFERROR(__xludf.DUMMYFUNCTION("GOOGLETRANSLATE(B16867,""id"",""en"")"),"['Network', 'Good', 'slow', 'Loading', 'disappointing', 'Customer', '']")</f>
        <v>['Network', 'Good', 'slow', 'Loading', 'disappointing', 'Customer', '']</v>
      </c>
      <c r="D16867" s="3">
        <v>1.0</v>
      </c>
    </row>
    <row r="16868" ht="15.75" customHeight="1">
      <c r="A16868" s="1">
        <v>17923.0</v>
      </c>
      <c r="B16868" s="3" t="s">
        <v>16004</v>
      </c>
      <c r="C16868" s="3" t="str">
        <f>IFERROR(__xludf.DUMMYFUNCTION("GOOGLETRANSLATE(B16868,""id"",""en"")"),"['week', 'signal', 'bad', 'signal', 'Often', 'missing', 'Telkomsel', 'opened', '']")</f>
        <v>['week', 'signal', 'bad', 'signal', 'Often', 'missing', 'Telkomsel', 'opened', '']</v>
      </c>
      <c r="D16868" s="3">
        <v>1.0</v>
      </c>
    </row>
    <row r="16869" ht="15.75" customHeight="1">
      <c r="A16869" s="1">
        <v>17924.0</v>
      </c>
      <c r="B16869" s="3" t="s">
        <v>16005</v>
      </c>
      <c r="C16869" s="3" t="str">
        <f>IFERROR(__xludf.DUMMYFUNCTION("GOOGLETRANSLATE(B16869,""id"",""en"")"),"['Open', 'Application', 'LEG', 'TRUSSS']")</f>
        <v>['Open', 'Application', 'LEG', 'TRUSSS']</v>
      </c>
      <c r="D16869" s="3">
        <v>2.0</v>
      </c>
    </row>
    <row r="16870" ht="15.75" customHeight="1">
      <c r="A16870" s="1">
        <v>17925.0</v>
      </c>
      <c r="B16870" s="3" t="s">
        <v>243</v>
      </c>
      <c r="C16870" s="3" t="str">
        <f>IFERROR(__xludf.DUMMYFUNCTION("GOOGLETRANSLATE(B16870,""id"",""en"")"),"['present']")</f>
        <v>['present']</v>
      </c>
      <c r="D16870" s="3">
        <v>5.0</v>
      </c>
    </row>
    <row r="16871" ht="15.75" customHeight="1">
      <c r="A16871" s="1">
        <v>17926.0</v>
      </c>
      <c r="B16871" s="3" t="s">
        <v>16006</v>
      </c>
      <c r="C16871" s="3" t="str">
        <f>IFERROR(__xludf.DUMMYFUNCTION("GOOGLETRANSLATE(B16871,""id"",""en"")"),"['Thank you', 'Telkomsel', 'Best', ""]")</f>
        <v>['Thank you', 'Telkomsel', 'Best', "]</v>
      </c>
      <c r="D16871" s="3">
        <v>5.0</v>
      </c>
    </row>
    <row r="16872" ht="15.75" customHeight="1">
      <c r="A16872" s="1">
        <v>17927.0</v>
      </c>
      <c r="B16872" s="3" t="s">
        <v>16007</v>
      </c>
      <c r="C16872" s="3" t="str">
        <f>IFERROR(__xludf.DUMMYFUNCTION("GOOGLETRANSLATE(B16872,""id"",""en"")"),"['Maaph', 'APK', 'MyTelkomsel', 'Kug', 'Nda', 'opened', 'KNP', 'opened', 'Actually', 'profitable', 'Seh', 'APK', ' Opened ',' GMNA ',' ']")</f>
        <v>['Maaph', 'APK', 'MyTelkomsel', 'Kug', 'Nda', 'opened', 'KNP', 'opened', 'Actually', 'profitable', 'Seh', 'APK', ' Opened ',' GMNA ',' ']</v>
      </c>
      <c r="D16872" s="3">
        <v>3.0</v>
      </c>
    </row>
    <row r="16873" ht="15.75" customHeight="1">
      <c r="A16873" s="1">
        <v>17929.0</v>
      </c>
      <c r="B16873" s="3" t="s">
        <v>16008</v>
      </c>
      <c r="C16873" s="3" t="str">
        <f>IFERROR(__xludf.DUMMYFUNCTION("GOOGLETRANSLATE(B16873,""id"",""en"")"),"['Good', 'transaction', 'smooth', '']")</f>
        <v>['Good', 'transaction', 'smooth', '']</v>
      </c>
      <c r="D16873" s="3">
        <v>5.0</v>
      </c>
    </row>
    <row r="16874" ht="15.75" customHeight="1">
      <c r="A16874" s="1">
        <v>17930.0</v>
      </c>
      <c r="B16874" s="3" t="s">
        <v>16009</v>
      </c>
      <c r="C16874" s="3" t="str">
        <f>IFERROR(__xludf.DUMMYFUNCTION("GOOGLETRANSLATE(B16874,""id"",""en"")"),"['shortcut', 'easy', 'Telkomsel', '']")</f>
        <v>['shortcut', 'easy', 'Telkomsel', '']</v>
      </c>
      <c r="D16874" s="3">
        <v>5.0</v>
      </c>
    </row>
    <row r="16875" ht="15.75" customHeight="1">
      <c r="A16875" s="1">
        <v>17931.0</v>
      </c>
      <c r="B16875" s="3" t="s">
        <v>16010</v>
      </c>
      <c r="C16875" s="3" t="str">
        <f>IFERROR(__xludf.DUMMYFUNCTION("GOOGLETRANSLATE(B16875,""id"",""en"")"),"['signal', 'stupid', 'package', 'doang', 'expensive', 'signal', 'nuajisss', 'cuihhh']")</f>
        <v>['signal', 'stupid', 'package', 'doang', 'expensive', 'signal', 'nuajisss', 'cuihhh']</v>
      </c>
      <c r="D16875" s="3">
        <v>1.0</v>
      </c>
    </row>
    <row r="16876" ht="15.75" customHeight="1">
      <c r="A16876" s="1">
        <v>17932.0</v>
      </c>
      <c r="B16876" s="3" t="s">
        <v>16011</v>
      </c>
      <c r="C16876" s="3" t="str">
        <f>IFERROR(__xludf.DUMMYFUNCTION("GOOGLETRANSLATE(B16876,""id"",""en"")"),"['Try', 'YSA']")</f>
        <v>['Try', 'YSA']</v>
      </c>
      <c r="D16876" s="3">
        <v>2.0</v>
      </c>
    </row>
    <row r="16877" ht="15.75" customHeight="1">
      <c r="A16877" s="1">
        <v>17933.0</v>
      </c>
      <c r="B16877" s="3" t="s">
        <v>16012</v>
      </c>
      <c r="C16877" s="3" t="str">
        <f>IFERROR(__xludf.DUMMYFUNCTION("GOOGLETRANSLATE(B16877,""id"",""en"")"),"['Normally', 'Shopping', 'Voucher', 'Shop', '']")</f>
        <v>['Normally', 'Shopping', 'Voucher', 'Shop', '']</v>
      </c>
      <c r="D16877" s="3">
        <v>3.0</v>
      </c>
    </row>
    <row r="16878" ht="15.75" customHeight="1">
      <c r="A16878" s="1">
        <v>17934.0</v>
      </c>
      <c r="B16878" s="3" t="s">
        <v>16013</v>
      </c>
      <c r="C16878" s="3" t="str">
        <f>IFERROR(__xludf.DUMMYFUNCTION("GOOGLETRANSLATE(B16878,""id"",""en"")"),"['Promotions', 'expensive', 'expensive']")</f>
        <v>['Promotions', 'expensive', 'expensive']</v>
      </c>
      <c r="D16878" s="3">
        <v>1.0</v>
      </c>
    </row>
    <row r="16879" ht="15.75" customHeight="1">
      <c r="A16879" s="1">
        <v>17935.0</v>
      </c>
      <c r="B16879" s="3" t="s">
        <v>16014</v>
      </c>
      <c r="C16879" s="3" t="str">
        <f>IFERROR(__xludf.DUMMYFUNCTION("GOOGLETRANSLATE(B16879,""id"",""en"")"),"['Network', 'Village', 'Kalisumur', 'Bumiayu', 'Bad', 'Please', 'Tower', 'Telkomsel', ""]")</f>
        <v>['Network', 'Village', 'Kalisumur', 'Bumiayu', 'Bad', 'Please', 'Tower', 'Telkomsel', "]</v>
      </c>
      <c r="D16879" s="3">
        <v>3.0</v>
      </c>
    </row>
    <row r="16880" ht="15.75" customHeight="1">
      <c r="A16880" s="1">
        <v>17936.0</v>
      </c>
      <c r="B16880" s="3" t="s">
        <v>16015</v>
      </c>
      <c r="C16880" s="3" t="str">
        <f>IFERROR(__xludf.DUMMYFUNCTION("GOOGLETRANSLATE(B16880,""id"",""en"")"),"['ugly', 'really', 'lemotttttttt', 'replace', 'card', 'dahhh', 'mls']")</f>
        <v>['ugly', 'really', 'lemotttttttt', 'replace', 'card', 'dahhh', 'mls']</v>
      </c>
      <c r="D16880" s="3">
        <v>1.0</v>
      </c>
    </row>
    <row r="16881" ht="15.75" customHeight="1">
      <c r="A16881" s="1">
        <v>17937.0</v>
      </c>
      <c r="B16881" s="3" t="s">
        <v>16016</v>
      </c>
      <c r="C16881" s="3" t="str">
        <f>IFERROR(__xludf.DUMMYFUNCTION("GOOGLETRANSLATE(B16881,""id"",""en"")"),"['Ngepain', 'price', 'Paketan', 'behind it', 'RB', 'RB', 'RB', 'RB', 'RB', 'RB', 'RB', 'RB', ' right ',' fill ',' plznya ',' that's', 'leftover', 'plz', 'ilang', '']")</f>
        <v>['Ngepain', 'price', 'Paketan', 'behind it', 'RB', 'RB', 'RB', 'RB', 'RB', 'RB', 'RB', 'RB', ' right ',' fill ',' plznya ',' that's', 'leftover', 'plz', 'ilang', '']</v>
      </c>
      <c r="D16881" s="3">
        <v>1.0</v>
      </c>
    </row>
    <row r="16882" ht="15.75" customHeight="1">
      <c r="A16882" s="1">
        <v>17938.0</v>
      </c>
      <c r="B16882" s="3" t="s">
        <v>3844</v>
      </c>
      <c r="C16882" s="3" t="str">
        <f>IFERROR(__xludf.DUMMYFUNCTION("GOOGLETRANSLATE(B16882,""id"",""en"")"),"['', 'Open', 'Application']")</f>
        <v>['', 'Open', 'Application']</v>
      </c>
      <c r="D16882" s="3">
        <v>1.0</v>
      </c>
    </row>
    <row r="16883" ht="15.75" customHeight="1">
      <c r="A16883" s="1">
        <v>17939.0</v>
      </c>
      <c r="B16883" s="3" t="s">
        <v>16017</v>
      </c>
      <c r="C16883" s="3" t="str">
        <f>IFERROR(__xludf.DUMMYFUNCTION("GOOGLETRANSLATE(B16883,""id"",""en"")"),"['Application', 'opened', 'Android', 'Samsung', 'Blank', 'White']")</f>
        <v>['Application', 'opened', 'Android', 'Samsung', 'Blank', 'White']</v>
      </c>
      <c r="D16883" s="3">
        <v>1.0</v>
      </c>
    </row>
    <row r="16884" ht="15.75" customHeight="1">
      <c r="A16884" s="1">
        <v>17940.0</v>
      </c>
      <c r="B16884" s="3" t="s">
        <v>16018</v>
      </c>
      <c r="C16884" s="3" t="str">
        <f>IFERROR(__xludf.DUMMYFUNCTION("GOOGLETRANSLATE(B16884,""id"",""en"")"),"['Telkomsel', 'smooth', 'safe', 'controlled', 'Where', 'use', 'Telkomsel', 'safe']")</f>
        <v>['Telkomsel', 'smooth', 'safe', 'controlled', 'Where', 'use', 'Telkomsel', 'safe']</v>
      </c>
      <c r="D16884" s="3">
        <v>5.0</v>
      </c>
    </row>
    <row r="16885" ht="15.75" customHeight="1">
      <c r="A16885" s="1">
        <v>17941.0</v>
      </c>
      <c r="B16885" s="3" t="s">
        <v>16019</v>
      </c>
      <c r="C16885" s="3" t="str">
        <f>IFERROR(__xludf.DUMMYFUNCTION("GOOGLETRANSLATE(B16885,""id"",""en"")"),"['Package', 'cheap', 'jadiin', 'permanent']")</f>
        <v>['Package', 'cheap', 'jadiin', 'permanent']</v>
      </c>
      <c r="D16885" s="3">
        <v>5.0</v>
      </c>
    </row>
    <row r="16886" ht="15.75" customHeight="1">
      <c r="A16886" s="1">
        <v>17942.0</v>
      </c>
      <c r="B16886" s="3" t="s">
        <v>16020</v>
      </c>
      <c r="C16886" s="3" t="str">
        <f>IFERROR(__xludf.DUMMYFUNCTION("GOOGLETRANSLATE(B16886,""id"",""en"")"),"['Pleasant', 'Karana', 'Buy', 'Package', 'Telkomsel', 'Karna', 'Buy', 'Open', 'Data', 'RLeacher', 'Turn on', 'Data', ' pulse ',' buy ',' TDI ',' buy ',' package ',' sucked ',' or ',' reduced ',' mbeli ',' paker ',' choose ',' ']")</f>
        <v>['Pleasant', 'Karana', 'Buy', 'Package', 'Telkomsel', 'Karna', 'Buy', 'Open', 'Data', 'RLeacher', 'Turn on', 'Data', ' pulse ',' buy ',' TDI ',' buy ',' package ',' sucked ',' or ',' reduced ',' mbeli ',' paker ',' choose ',' ']</v>
      </c>
      <c r="D16886" s="3">
        <v>3.0</v>
      </c>
    </row>
    <row r="16887" ht="15.75" customHeight="1">
      <c r="A16887" s="1">
        <v>17943.0</v>
      </c>
      <c r="B16887" s="3" t="s">
        <v>16021</v>
      </c>
      <c r="C16887" s="3" t="str">
        <f>IFERROR(__xludf.DUMMYFUNCTION("GOOGLETRANSLATE(B16887,""id"",""en"")"),"['Dri', 'sympathy', 'moved', 'Hallo', 'thought', 'signal', 'good', 'offer', 'promise', 'signal', 'strong', 'super', ' slow']")</f>
        <v>['Dri', 'sympathy', 'moved', 'Hallo', 'thought', 'signal', 'good', 'offer', 'promise', 'signal', 'strong', 'super', ' slow']</v>
      </c>
      <c r="D16887" s="3">
        <v>1.0</v>
      </c>
    </row>
    <row r="16888" ht="15.75" customHeight="1">
      <c r="A16888" s="1">
        <v>17944.0</v>
      </c>
      <c r="B16888" s="3" t="s">
        <v>16022</v>
      </c>
      <c r="C16888" s="3" t="str">
        <f>IFERROR(__xludf.DUMMYFUNCTION("GOOGLETRANSLATE(B16888,""id"",""en"")"),"['OK good']")</f>
        <v>['OK good']</v>
      </c>
      <c r="D16888" s="3">
        <v>3.0</v>
      </c>
    </row>
    <row r="16889" ht="15.75" customHeight="1">
      <c r="A16889" s="1">
        <v>17945.0</v>
      </c>
      <c r="B16889" s="3" t="s">
        <v>16023</v>
      </c>
      <c r="C16889" s="3" t="str">
        <f>IFERROR(__xludf.DUMMYFUNCTION("GOOGLETRANSLATE(B16889,""id"",""en"")"),"['Sometimes', 'difficult', 'login']")</f>
        <v>['Sometimes', 'difficult', 'login']</v>
      </c>
      <c r="D16889" s="3">
        <v>4.0</v>
      </c>
    </row>
    <row r="16890" ht="15.75" customHeight="1">
      <c r="A16890" s="1">
        <v>17946.0</v>
      </c>
      <c r="B16890" s="3" t="s">
        <v>16024</v>
      </c>
      <c r="C16890" s="3" t="str">
        <f>IFERROR(__xludf.DUMMYFUNCTION("GOOGLETRANSLATE(B16890,""id"",""en"")"),"['Please', 'buy', 'pulse', 'data', 'Matiin', 'right', 'buy', 'reduced', 'corruption', ""]")</f>
        <v>['Please', 'buy', 'pulse', 'data', 'Matiin', 'right', 'buy', 'reduced', 'corruption', "]</v>
      </c>
      <c r="D16890" s="3">
        <v>1.0</v>
      </c>
    </row>
    <row r="16891" ht="15.75" customHeight="1">
      <c r="A16891" s="1">
        <v>17947.0</v>
      </c>
      <c r="B16891" s="3" t="s">
        <v>16025</v>
      </c>
      <c r="C16891" s="3" t="str">
        <f>IFERROR(__xludf.DUMMYFUNCTION("GOOGLETRANSLATE(B16891,""id"",""en"")"),"['Application', 'Error', 'NGK', 'Opened']")</f>
        <v>['Application', 'Error', 'NGK', 'Opened']</v>
      </c>
      <c r="D16891" s="3">
        <v>5.0</v>
      </c>
    </row>
    <row r="16892" ht="15.75" customHeight="1">
      <c r="A16892" s="1">
        <v>17948.0</v>
      </c>
      <c r="B16892" s="3" t="s">
        <v>16026</v>
      </c>
      <c r="C16892" s="3" t="str">
        <f>IFERROR(__xludf.DUMMYFUNCTION("GOOGLETRANSLATE(B16892,""id"",""en"")"),"['Nomer', 'internet', 'slow', 'disappointed', 'natabat', '']")</f>
        <v>['Nomer', 'internet', 'slow', 'disappointed', 'natabat', '']</v>
      </c>
      <c r="D16892" s="3">
        <v>1.0</v>
      </c>
    </row>
    <row r="16893" ht="15.75" customHeight="1">
      <c r="A16893" s="1">
        <v>17949.0</v>
      </c>
      <c r="B16893" s="3" t="s">
        <v>16027</v>
      </c>
      <c r="C16893" s="3" t="str">
        <f>IFERROR(__xludf.DUMMYFUNCTION("GOOGLETRANSLATE(B16893,""id"",""en"")"),"['', 'Update', 'Open']")</f>
        <v>['', 'Update', 'Open']</v>
      </c>
      <c r="D16893" s="3">
        <v>2.0</v>
      </c>
    </row>
    <row r="16894" ht="15.75" customHeight="1">
      <c r="A16894" s="1">
        <v>17950.0</v>
      </c>
      <c r="B16894" s="3" t="s">
        <v>16028</v>
      </c>
      <c r="C16894" s="3" t="str">
        <f>IFERROR(__xludf.DUMMYFUNCTION("GOOGLETRANSLATE(B16894,""id"",""en"")"),"['Bayu', 'Jack', 'Application', 'Helpful']")</f>
        <v>['Bayu', 'Jack', 'Application', 'Helpful']</v>
      </c>
      <c r="D16894" s="3">
        <v>5.0</v>
      </c>
    </row>
    <row r="16895" ht="15.75" customHeight="1">
      <c r="A16895" s="1">
        <v>17951.0</v>
      </c>
      <c r="B16895" s="3" t="s">
        <v>16029</v>
      </c>
      <c r="C16895" s="3" t="str">
        <f>IFERROR(__xludf.DUMMYFUNCTION("GOOGLETRANSLATE(B16895,""id"",""en"")"),"['price', 'child', 'boarding', 'quota', 'boss', ""]")</f>
        <v>['price', 'child', 'boarding', 'quota', 'boss', "]</v>
      </c>
      <c r="D16895" s="3">
        <v>5.0</v>
      </c>
    </row>
    <row r="16896" ht="15.75" customHeight="1">
      <c r="A16896" s="1">
        <v>17952.0</v>
      </c>
      <c r="B16896" s="3" t="s">
        <v>16030</v>
      </c>
      <c r="C16896" s="3" t="str">
        <f>IFERROR(__xludf.DUMMYFUNCTION("GOOGLETRANSLATE(B16896,""id"",""en"")"),"['update', 'update', 'blank', 'white', 'really', 'no', 'finished', 'KSUD', '']")</f>
        <v>['update', 'update', 'blank', 'white', 'really', 'no', 'finished', 'KSUD', '']</v>
      </c>
      <c r="D16896" s="3">
        <v>1.0</v>
      </c>
    </row>
    <row r="16897" ht="15.75" customHeight="1">
      <c r="A16897" s="1">
        <v>17954.0</v>
      </c>
      <c r="B16897" s="3" t="s">
        <v>16031</v>
      </c>
      <c r="C16897" s="3" t="str">
        <f>IFERROR(__xludf.DUMMYFUNCTION("GOOGLETRANSLATE(B16897,""id"",""en"")"),"['apk', 'difficult', 'open', 'price', 'my computer', 'expensive', 'network', 'lose', 'operator', 'price', 'my computer', 'cheap', ' ']")</f>
        <v>['apk', 'difficult', 'open', 'price', 'my computer', 'expensive', 'network', 'lose', 'operator', 'price', 'my computer', 'cheap', ' ']</v>
      </c>
      <c r="D16897" s="3">
        <v>1.0</v>
      </c>
    </row>
    <row r="16898" ht="15.75" customHeight="1">
      <c r="A16898" s="1">
        <v>17955.0</v>
      </c>
      <c r="B16898" s="3" t="s">
        <v>16032</v>
      </c>
      <c r="C16898" s="3" t="str">
        <f>IFERROR(__xludf.DUMMYFUNCTION("GOOGLETRANSLATE(B16898,""id"",""en"")"),"['update', 'application', 'Nge', 'Hang', 'used', 'star', 'star', ""]")</f>
        <v>['update', 'application', 'Nge', 'Hang', 'used', 'star', 'star', "]</v>
      </c>
      <c r="D16898" s="3">
        <v>1.0</v>
      </c>
    </row>
    <row r="16899" ht="15.75" customHeight="1">
      <c r="A16899" s="1">
        <v>17956.0</v>
      </c>
      <c r="B16899" s="3" t="s">
        <v>16033</v>
      </c>
      <c r="C16899" s="3" t="str">
        <f>IFERROR(__xludf.DUMMYFUNCTION("GOOGLETRANSLATE(B16899,""id"",""en"")"),"['Telokmsel', 'BLM', 'Open']")</f>
        <v>['Telokmsel', 'BLM', 'Open']</v>
      </c>
      <c r="D16899" s="3">
        <v>1.0</v>
      </c>
    </row>
    <row r="16900" ht="15.75" customHeight="1">
      <c r="A16900" s="1">
        <v>17957.0</v>
      </c>
      <c r="B16900" s="3" t="s">
        <v>16034</v>
      </c>
      <c r="C16900" s="3" t="str">
        <f>IFERROR(__xludf.DUMMYFUNCTION("GOOGLETRANSLATE(B16900,""id"",""en"")"),"['list']")</f>
        <v>['list']</v>
      </c>
      <c r="D16900" s="3">
        <v>1.0</v>
      </c>
    </row>
    <row r="16901" ht="15.75" customHeight="1">
      <c r="A16901" s="1">
        <v>17959.0</v>
      </c>
      <c r="B16901" s="3" t="s">
        <v>16035</v>
      </c>
      <c r="C16901" s="3" t="str">
        <f>IFERROR(__xludf.DUMMYFUNCTION("GOOGLETRANSLATE(B16901,""id"",""en"")"),"['application', 'error', 'wkwkwkwk', 'blank', 'white', 'doang', 'telkomsel', 'hope', 'change', 'work', ""]")</f>
        <v>['application', 'error', 'wkwkwkwk', 'blank', 'white', 'doang', 'telkomsel', 'hope', 'change', 'work', "]</v>
      </c>
      <c r="D16901" s="3">
        <v>1.0</v>
      </c>
    </row>
    <row r="16902" ht="15.75" customHeight="1">
      <c r="A16902" s="1">
        <v>17960.0</v>
      </c>
      <c r="B16902" s="3" t="s">
        <v>16036</v>
      </c>
      <c r="C16902" s="3" t="str">
        <f>IFERROR(__xludf.DUMMYFUNCTION("GOOGLETRANSLATE(B16902,""id"",""en"")"),"['update', 'opened', 'direct', 'uninstall', '']")</f>
        <v>['update', 'opened', 'direct', 'uninstall', '']</v>
      </c>
      <c r="D16902" s="3">
        <v>1.0</v>
      </c>
    </row>
    <row r="16903" ht="15.75" customHeight="1">
      <c r="A16903" s="1">
        <v>17961.0</v>
      </c>
      <c r="B16903" s="3" t="s">
        <v>16037</v>
      </c>
      <c r="C16903" s="3" t="str">
        <f>IFERROR(__xludf.DUMMYFUNCTION("GOOGLETRANSLATE(B16903,""id"",""en"")"),"['Easy']")</f>
        <v>['Easy']</v>
      </c>
      <c r="D16903" s="3">
        <v>5.0</v>
      </c>
    </row>
    <row r="16904" ht="15.75" customHeight="1">
      <c r="A16904" s="1">
        <v>17962.0</v>
      </c>
      <c r="B16904" s="3" t="s">
        <v>16038</v>
      </c>
      <c r="C16904" s="3" t="str">
        <f>IFERROR(__xludf.DUMMYFUNCTION("GOOGLETRANSLATE(B16904,""id"",""en"")"),"['Signal', 'Telkomsel', 'ugly', 'pelangan', 'loyal', 'Telkomsel']")</f>
        <v>['Signal', 'Telkomsel', 'ugly', 'pelangan', 'loyal', 'Telkomsel']</v>
      </c>
      <c r="D16904" s="3">
        <v>3.0</v>
      </c>
    </row>
    <row r="16905" ht="15.75" customHeight="1">
      <c r="A16905" s="1">
        <v>17963.0</v>
      </c>
      <c r="B16905" s="3" t="s">
        <v>16039</v>
      </c>
      <c r="C16905" s="3" t="str">
        <f>IFERROR(__xludf.DUMMYFUNCTION("GOOGLETRANSLATE(B16905,""id"",""en"")"),"['uhuy']")</f>
        <v>['uhuy']</v>
      </c>
      <c r="D16905" s="3">
        <v>5.0</v>
      </c>
    </row>
    <row r="16906" ht="15.75" customHeight="1">
      <c r="A16906" s="1">
        <v>17964.0</v>
      </c>
      <c r="B16906" s="3" t="s">
        <v>16040</v>
      </c>
      <c r="C16906" s="3" t="str">
        <f>IFERROR(__xludf.DUMMYFUNCTION("GOOGLETRANSLATE(B16906,""id"",""en"")"),"['Gabisa', 'entry', 'APK', 'brapa', 'tensing', 'TIME', 'Try', 'gabisa', 'enter']")</f>
        <v>['Gabisa', 'entry', 'APK', 'brapa', 'tensing', 'TIME', 'Try', 'gabisa', 'enter']</v>
      </c>
      <c r="D16906" s="3">
        <v>1.0</v>
      </c>
    </row>
    <row r="16907" ht="15.75" customHeight="1">
      <c r="A16907" s="1">
        <v>17965.0</v>
      </c>
      <c r="B16907" s="3" t="s">
        <v>16041</v>
      </c>
      <c r="C16907" s="3" t="str">
        <f>IFERROR(__xludf.DUMMYFUNCTION("GOOGLETRANSLATE(B16907,""id"",""en"")"),"['satisfying', 'buy', 'package', 'directly', 'enter']")</f>
        <v>['satisfying', 'buy', 'package', 'directly', 'enter']</v>
      </c>
      <c r="D16907" s="3">
        <v>5.0</v>
      </c>
    </row>
    <row r="16908" ht="15.75" customHeight="1">
      <c r="A16908" s="1">
        <v>17966.0</v>
      </c>
      <c r="B16908" s="3" t="s">
        <v>16042</v>
      </c>
      <c r="C16908" s="3" t="str">
        <f>IFERROR(__xludf.DUMMYFUNCTION("GOOGLETRANSLATE(B16908,""id"",""en"")"),"['MyTelkomel', 'Good']")</f>
        <v>['MyTelkomel', 'Good']</v>
      </c>
      <c r="D16908" s="3">
        <v>5.0</v>
      </c>
    </row>
    <row r="16909" ht="15.75" customHeight="1">
      <c r="A16909" s="1">
        <v>17967.0</v>
      </c>
      <c r="B16909" s="3" t="s">
        <v>16043</v>
      </c>
      <c r="C16909" s="3" t="str">
        <f>IFERROR(__xludf.DUMMYFUNCTION("GOOGLETRANSLATE(B16909,""id"",""en"")"),"['Sousiny', 'Luplep', 'Open', 'Status', 'People', 'Muter', 'wae', ""]")</f>
        <v>['Sousiny', 'Luplep', 'Open', 'Status', 'People', 'Muter', 'wae', "]</v>
      </c>
      <c r="D16909" s="3">
        <v>1.0</v>
      </c>
    </row>
    <row r="16910" ht="15.75" customHeight="1">
      <c r="A16910" s="1">
        <v>17969.0</v>
      </c>
      <c r="B16910" s="3" t="s">
        <v>16044</v>
      </c>
      <c r="C16910" s="3" t="str">
        <f>IFERROR(__xludf.DUMMYFUNCTION("GOOGLETRANSLATE(B16910,""id"",""en"")"),"['Pulse', 'Telkomsel', 'Sya', 'Reduced']")</f>
        <v>['Pulse', 'Telkomsel', 'Sya', 'Reduced']</v>
      </c>
      <c r="D16910" s="3">
        <v>1.0</v>
      </c>
    </row>
    <row r="16911" ht="15.75" customHeight="1">
      <c r="A16911" s="1">
        <v>17970.0</v>
      </c>
      <c r="B16911" s="3" t="s">
        <v>16045</v>
      </c>
      <c r="C16911" s="3" t="str">
        <f>IFERROR(__xludf.DUMMYFUNCTION("GOOGLETRANSLATE(B16911,""id"",""en"")"),"['apk', 'feeling', 'yesterday', 'apk', 'skrng', 'mlh', 'kek', 'gini', 'entry', 'apk', 'blank', 'white', ' Sya ',' buy ',' quota ',' tolonh ',' sgra ',' repair ',' need ',' really ']")</f>
        <v>['apk', 'feeling', 'yesterday', 'apk', 'skrng', 'mlh', 'kek', 'gini', 'entry', 'apk', 'blank', 'white', ' Sya ',' buy ',' quota ',' tolonh ',' sgra ',' repair ',' need ',' really ']</v>
      </c>
      <c r="D16911" s="3">
        <v>2.0</v>
      </c>
    </row>
    <row r="16912" ht="15.75" customHeight="1">
      <c r="A16912" s="1">
        <v>17971.0</v>
      </c>
      <c r="B16912" s="3" t="s">
        <v>16046</v>
      </c>
      <c r="C16912" s="3" t="str">
        <f>IFERROR(__xludf.DUMMYFUNCTION("GOOGLETRANSLATE(B16912,""id"",""en"")"),"['perman']")</f>
        <v>['perman']</v>
      </c>
      <c r="D16912" s="3">
        <v>4.0</v>
      </c>
    </row>
    <row r="16913" ht="15.75" customHeight="1">
      <c r="A16913" s="1">
        <v>17972.0</v>
      </c>
      <c r="B16913" s="3" t="s">
        <v>8462</v>
      </c>
      <c r="C16913" s="3" t="str">
        <f>IFERROR(__xludf.DUMMYFUNCTION("GOOGLETRANSLATE(B16913,""id"",""en"")"),"['Opened', 'The application']")</f>
        <v>['Opened', 'The application']</v>
      </c>
      <c r="D16913" s="3">
        <v>2.0</v>
      </c>
    </row>
    <row r="16914" ht="15.75" customHeight="1">
      <c r="A16914" s="1">
        <v>17973.0</v>
      </c>
      <c r="B16914" s="3" t="s">
        <v>16047</v>
      </c>
      <c r="C16914" s="3" t="str">
        <f>IFERROR(__xludf.DUMMYFUNCTION("GOOGLETRANSLATE(B16914,""id"",""en"")"),"['Buy', 'Paketan', 'Uda', 'Success', 'Paketan', 'Belom', 'Active', ""]")</f>
        <v>['Buy', 'Paketan', 'Uda', 'Success', 'Paketan', 'Belom', 'Active', "]</v>
      </c>
      <c r="D16914" s="3">
        <v>1.0</v>
      </c>
    </row>
    <row r="16915" ht="15.75" customHeight="1">
      <c r="A16915" s="1">
        <v>17974.0</v>
      </c>
      <c r="B16915" s="3" t="s">
        <v>16048</v>
      </c>
      <c r="C16915" s="3" t="str">
        <f>IFERROR(__xludf.DUMMYFUNCTION("GOOGLETRANSLATE(B16915,""id"",""en"")"),"['Help', 'hope', 'price', 'cheap', 'signal', 'strong']")</f>
        <v>['Help', 'hope', 'price', 'cheap', 'signal', 'strong']</v>
      </c>
      <c r="D16915" s="3">
        <v>5.0</v>
      </c>
    </row>
    <row r="16916" ht="15.75" customHeight="1">
      <c r="A16916" s="1">
        <v>17975.0</v>
      </c>
      <c r="B16916" s="3" t="s">
        <v>16049</v>
      </c>
      <c r="C16916" s="3" t="str">
        <f>IFERROR(__xludf.DUMMYFUNCTION("GOOGLETRANSLATE(B16916,""id"",""en"")"),"['Steady', 'Success']")</f>
        <v>['Steady', 'Success']</v>
      </c>
      <c r="D16916" s="3">
        <v>5.0</v>
      </c>
    </row>
    <row r="16917" ht="15.75" customHeight="1">
      <c r="A16917" s="1">
        <v>17976.0</v>
      </c>
      <c r="B16917" s="3" t="s">
        <v>16050</v>
      </c>
      <c r="C16917" s="3" t="str">
        <f>IFERROR(__xludf.DUMMYFUNCTION("GOOGLETRANSLATE(B16917,""id"",""en"")"),"['already', 'buy', 'expensive', 'the network', 'like', 'ilang', '']")</f>
        <v>['already', 'buy', 'expensive', 'the network', 'like', 'ilang', '']</v>
      </c>
      <c r="D16917" s="3">
        <v>1.0</v>
      </c>
    </row>
    <row r="16918" ht="15.75" customHeight="1">
      <c r="A16918" s="1">
        <v>17977.0</v>
      </c>
      <c r="B16918" s="3" t="s">
        <v>16051</v>
      </c>
      <c r="C16918" s="3" t="str">
        <f>IFERROR(__xludf.DUMMYFUNCTION("GOOGLETRANSLATE(B16918,""id"",""en"")"),"['Kalu', 'love', 'bntang', 'zero', 'kadih', 'zero', 'apk', 'open', 'screen', 'white', 'gliran', 'check', ' Credit ',' MOTH ',' Credit ',' APK ',' Amazing ', ""]")</f>
        <v>['Kalu', 'love', 'bntang', 'zero', 'kadih', 'zero', 'apk', 'open', 'screen', 'white', 'gliran', 'check', ' Credit ',' MOTH ',' Credit ',' APK ',' Amazing ', "]</v>
      </c>
      <c r="D16918" s="3">
        <v>1.0</v>
      </c>
    </row>
    <row r="16919" ht="15.75" customHeight="1">
      <c r="A16919" s="1">
        <v>17978.0</v>
      </c>
      <c r="B16919" s="3" t="s">
        <v>16052</v>
      </c>
      <c r="C16919" s="3" t="str">
        <f>IFERROR(__xludf.DUMMYFUNCTION("GOOGLETRANSLATE(B16919,""id"",""en"")"),"['update', 'no', 'opened', 'White', 'Screen', 'Install', 'Tetep', 'opened', 'woooiiii', 'opened']")</f>
        <v>['update', 'no', 'opened', 'White', 'Screen', 'Install', 'Tetep', 'opened', 'woooiiii', 'opened']</v>
      </c>
      <c r="D16919" s="3">
        <v>1.0</v>
      </c>
    </row>
    <row r="16920" ht="15.75" customHeight="1">
      <c r="A16920" s="1">
        <v>17979.0</v>
      </c>
      <c r="B16920" s="3" t="s">
        <v>16053</v>
      </c>
      <c r="C16920" s="3" t="str">
        <f>IFERROR(__xludf.DUMMYFUNCTION("GOOGLETRANSLATE(B16920,""id"",""en"")"),"['Good', 'please', 'price', 'kouta', 'collapse', 'quota', 'mb', 'rb', 'rb', '']")</f>
        <v>['Good', 'please', 'price', 'kouta', 'collapse', 'quota', 'mb', 'rb', 'rb', '']</v>
      </c>
      <c r="D16920" s="3">
        <v>5.0</v>
      </c>
    </row>
    <row r="16921" ht="15.75" customHeight="1">
      <c r="A16921" s="1">
        <v>17980.0</v>
      </c>
      <c r="B16921" s="3" t="s">
        <v>16054</v>
      </c>
      <c r="C16921" s="3" t="str">
        <f>IFERROR(__xludf.DUMMYFUNCTION("GOOGLETRANSLATE(B16921,""id"",""en"")"),"['Lucky', 'curious', 'prize', 'exchange', 'Points', 'TPI', 'Blum', 'Lottery', 'skrang', 'date', ""]")</f>
        <v>['Lucky', 'curious', 'prize', 'exchange', 'Points', 'TPI', 'Blum', 'Lottery', 'skrang', 'date', "]</v>
      </c>
      <c r="D16921" s="3">
        <v>5.0</v>
      </c>
    </row>
    <row r="16922" ht="15.75" customHeight="1">
      <c r="A16922" s="1">
        <v>17981.0</v>
      </c>
      <c r="B16922" s="3" t="s">
        <v>16055</v>
      </c>
      <c r="C16922" s="3" t="str">
        <f>IFERROR(__xludf.DUMMYFUNCTION("GOOGLETRANSLATE(B16922,""id"",""en"")"),"['Network', 'slow', 'emang', 'good', 'Indosat', 'Telkomsel', '']")</f>
        <v>['Network', 'slow', 'emang', 'good', 'Indosat', 'Telkomsel', '']</v>
      </c>
      <c r="D16922" s="3">
        <v>1.0</v>
      </c>
    </row>
    <row r="16923" ht="15.75" customHeight="1">
      <c r="A16923" s="1">
        <v>17982.0</v>
      </c>
      <c r="B16923" s="3" t="s">
        <v>16056</v>
      </c>
      <c r="C16923" s="3" t="str">
        <f>IFERROR(__xludf.DUMMYFUNCTION("GOOGLETRANSLATE(B16923,""id"",""en"")"),"['Open', 'Application', 'Install', 'reset', 'Open', 'Android', '']")</f>
        <v>['Open', 'Application', 'Install', 'reset', 'Open', 'Android', '']</v>
      </c>
      <c r="D16923" s="3">
        <v>3.0</v>
      </c>
    </row>
    <row r="16924" ht="15.75" customHeight="1">
      <c r="A16924" s="1">
        <v>17984.0</v>
      </c>
      <c r="B16924" s="3" t="s">
        <v>16057</v>
      </c>
      <c r="C16924" s="3" t="str">
        <f>IFERROR(__xludf.DUMMYFUNCTION("GOOGLETRANSLATE(B16924,""id"",""en"")"),"['Telkomsel', 'Network', 'slow', '']")</f>
        <v>['Telkomsel', 'Network', 'slow', '']</v>
      </c>
      <c r="D16924" s="3">
        <v>1.0</v>
      </c>
    </row>
    <row r="16925" ht="15.75" customHeight="1">
      <c r="A16925" s="1">
        <v>17985.0</v>
      </c>
      <c r="B16925" s="3" t="s">
        <v>16058</v>
      </c>
      <c r="C16925" s="3" t="str">
        <f>IFERROR(__xludf.DUMMYFUNCTION("GOOGLETRANSLATE(B16925,""id"",""en"")"),"['The application', 'good', 'like', '']")</f>
        <v>['The application', 'good', 'like', '']</v>
      </c>
      <c r="D16925" s="3">
        <v>5.0</v>
      </c>
    </row>
    <row r="16926" ht="15.75" customHeight="1">
      <c r="A16926" s="1">
        <v>17986.0</v>
      </c>
      <c r="B16926" s="3" t="s">
        <v>659</v>
      </c>
      <c r="C16926" s="3" t="str">
        <f>IFERROR(__xludf.DUMMYFUNCTION("GOOGLETRANSLATE(B16926,""id"",""en"")"),"['Application', 'Help']")</f>
        <v>['Application', 'Help']</v>
      </c>
      <c r="D16926" s="3">
        <v>5.0</v>
      </c>
    </row>
    <row r="16927" ht="15.75" customHeight="1">
      <c r="A16927" s="1">
        <v>17987.0</v>
      </c>
      <c r="B16927" s="3" t="s">
        <v>16059</v>
      </c>
      <c r="C16927" s="3" t="str">
        <f>IFERROR(__xludf.DUMMYFUNCTION("GOOGLETRANSLATE(B16927,""id"",""en"")"),"['Choice', 'Package', 'Telephone', 'Internet']")</f>
        <v>['Choice', 'Package', 'Telephone', 'Internet']</v>
      </c>
      <c r="D16927" s="3">
        <v>5.0</v>
      </c>
    </row>
    <row r="16928" ht="15.75" customHeight="1">
      <c r="A16928" s="1">
        <v>17988.0</v>
      </c>
      <c r="B16928" s="3" t="s">
        <v>16060</v>
      </c>
      <c r="C16928" s="3" t="str">
        <f>IFERROR(__xludf.DUMMYFUNCTION("GOOGLETRANSLATE(B16928,""id"",""en"")"),"['', 'slow', 'signal', 'Telkomsel', 'slow', 'super', 'severe']")</f>
        <v>['', 'slow', 'signal', 'Telkomsel', 'slow', 'super', 'severe']</v>
      </c>
      <c r="D16928" s="3">
        <v>1.0</v>
      </c>
    </row>
    <row r="16929" ht="15.75" customHeight="1">
      <c r="A16929" s="1">
        <v>17989.0</v>
      </c>
      <c r="B16929" s="3" t="s">
        <v>16061</v>
      </c>
      <c r="C16929" s="3" t="str">
        <f>IFERROR(__xludf.DUMMYFUNCTION("GOOGLETRANSLATE(B16929,""id"",""en"")"),"['Network', 'Internet', 'stable', '']")</f>
        <v>['Network', 'Internet', 'stable', '']</v>
      </c>
      <c r="D16929" s="3">
        <v>2.0</v>
      </c>
    </row>
    <row r="16930" ht="15.75" customHeight="1">
      <c r="A16930" s="1">
        <v>17990.0</v>
      </c>
      <c r="B16930" s="3" t="s">
        <v>16062</v>
      </c>
      <c r="C16930" s="3" t="str">
        <f>IFERROR(__xludf.DUMMYFUNCTION("GOOGLETRANSLATE(B16930,""id"",""en"")"),"['knpa', 'use', 'Telkomsel', 'network', 'missing', 'lost', 'Tangerang']")</f>
        <v>['knpa', 'use', 'Telkomsel', 'network', 'missing', 'lost', 'Tangerang']</v>
      </c>
      <c r="D16930" s="3">
        <v>2.0</v>
      </c>
    </row>
    <row r="16931" ht="15.75" customHeight="1">
      <c r="A16931" s="1">
        <v>17991.0</v>
      </c>
      <c r="B16931" s="3" t="s">
        <v>8039</v>
      </c>
      <c r="C16931" s="3" t="str">
        <f>IFERROR(__xludf.DUMMYFUNCTION("GOOGLETRANSLATE(B16931,""id"",""en"")"),"['Cool', 'application']")</f>
        <v>['Cool', 'application']</v>
      </c>
      <c r="D16931" s="3">
        <v>4.0</v>
      </c>
    </row>
    <row r="16932" ht="15.75" customHeight="1">
      <c r="A16932" s="1">
        <v>17992.0</v>
      </c>
      <c r="B16932" s="3" t="s">
        <v>16063</v>
      </c>
      <c r="C16932" s="3" t="str">
        <f>IFERROR(__xludf.DUMMYFUNCTION("GOOGLETRANSLATE(B16932,""id"",""en"")"),"['Sauda', 'dbuka']")</f>
        <v>['Sauda', 'dbuka']</v>
      </c>
      <c r="D16932" s="3">
        <v>1.0</v>
      </c>
    </row>
    <row r="16933" ht="15.75" customHeight="1">
      <c r="A16933" s="1">
        <v>17993.0</v>
      </c>
      <c r="B16933" s="3" t="s">
        <v>16064</v>
      </c>
      <c r="C16933" s="3" t="str">
        <f>IFERROR(__xludf.DUMMYFUNCTION("GOOGLETRANSLATE(B16933,""id"",""en"")"),"['Help', 'info', 'Telkomsel']")</f>
        <v>['Help', 'info', 'Telkomsel']</v>
      </c>
      <c r="D16933" s="3">
        <v>4.0</v>
      </c>
    </row>
    <row r="16934" ht="15.75" customHeight="1">
      <c r="A16934" s="1">
        <v>17994.0</v>
      </c>
      <c r="B16934" s="3" t="s">
        <v>16065</v>
      </c>
      <c r="C16934" s="3" t="str">
        <f>IFERROR(__xludf.DUMMYFUNCTION("GOOGLETRANSLATE(B16934,""id"",""en"")"),"['Developer', 'please', 'min', 'already', 'subscription', 'buy', 'package', 'internet', 'buy', 'package', 'found', 'change', ' Package ',' expensive ',' ']")</f>
        <v>['Developer', 'please', 'min', 'already', 'subscription', 'buy', 'package', 'internet', 'buy', 'package', 'found', 'change', ' Package ',' expensive ',' ']</v>
      </c>
      <c r="D16934" s="3">
        <v>3.0</v>
      </c>
    </row>
    <row r="16935" ht="15.75" customHeight="1">
      <c r="A16935" s="1">
        <v>17995.0</v>
      </c>
      <c r="B16935" s="3" t="s">
        <v>16066</v>
      </c>
      <c r="C16935" s="3" t="str">
        <f>IFERROR(__xludf.DUMMYFUNCTION("GOOGLETRANSLATE(B16935,""id"",""en"")"),"['admin', 'please', 'APK', 'MyTelkomsel', 'opened', 'updated', 'open', 'look', 'white', 'appear', 'min', ""]")</f>
        <v>['admin', 'please', 'APK', 'MyTelkomsel', 'opened', 'updated', 'open', 'look', 'white', 'appear', 'min', "]</v>
      </c>
      <c r="D16935" s="3">
        <v>1.0</v>
      </c>
    </row>
    <row r="16936" ht="15.75" customHeight="1">
      <c r="A16936" s="1">
        <v>17996.0</v>
      </c>
      <c r="B16936" s="3" t="s">
        <v>16067</v>
      </c>
      <c r="C16936" s="3" t="str">
        <f>IFERROR(__xludf.DUMMYFUNCTION("GOOGLETRANSLATE(B16936,""id"",""en"")"),"['Application', 'Heavy', 'Open', 'Application', 'Screen', 'White', 'Update', 'Fix', 'Provider', 'Expensive', 'Shy', 'Service', ' bad']")</f>
        <v>['Application', 'Heavy', 'Open', 'Application', 'Screen', 'White', 'Update', 'Fix', 'Provider', 'Expensive', 'Shy', 'Service', ' bad']</v>
      </c>
      <c r="D16936" s="3">
        <v>1.0</v>
      </c>
    </row>
    <row r="16937" ht="15.75" customHeight="1">
      <c r="A16937" s="1">
        <v>17997.0</v>
      </c>
      <c r="B16937" s="3" t="s">
        <v>16068</v>
      </c>
      <c r="C16937" s="3" t="str">
        <f>IFERROR(__xludf.DUMMYFUNCTION("GOOGLETRANSLATE(B16937,""id"",""en"")"),"['Trima', 'Love', 'Best']")</f>
        <v>['Trima', 'Love', 'Best']</v>
      </c>
      <c r="D16937" s="3">
        <v>4.0</v>
      </c>
    </row>
    <row r="16938" ht="15.75" customHeight="1">
      <c r="A16938" s="1">
        <v>17998.0</v>
      </c>
      <c r="B16938" s="3" t="s">
        <v>16069</v>
      </c>
      <c r="C16938" s="3" t="str">
        <f>IFERROR(__xludf.DUMMYFUNCTION("GOOGLETRANSLATE(B16938,""id"",""en"")"),"['Abis',' update ',' right ',' wanted ',' enter ',' appl ',' withe ',' srceen ',' already ',' update ',' pls', 'good', ' Want ',' buy ',' quota ']")</f>
        <v>['Abis',' update ',' right ',' wanted ',' enter ',' appl ',' withe ',' srceen ',' already ',' update ',' pls', 'good', ' Want ',' buy ',' quota ']</v>
      </c>
      <c r="D16938" s="3">
        <v>1.0</v>
      </c>
    </row>
    <row r="16939" ht="15.75" customHeight="1">
      <c r="A16939" s="1">
        <v>17999.0</v>
      </c>
      <c r="B16939" s="3" t="s">
        <v>16070</v>
      </c>
      <c r="C16939" s="3" t="str">
        <f>IFERROR(__xludf.DUMMYFUNCTION("GOOGLETRANSLATE(B16939,""id"",""en"")"),"['pulse', 'package', 'expensive']")</f>
        <v>['pulse', 'package', 'expensive']</v>
      </c>
      <c r="D16939" s="3">
        <v>2.0</v>
      </c>
    </row>
    <row r="16940" ht="15.75" customHeight="1">
      <c r="A16940" s="1">
        <v>18000.0</v>
      </c>
      <c r="B16940" s="3" t="s">
        <v>16071</v>
      </c>
      <c r="C16940" s="3" t="str">
        <f>IFERROR(__xludf.DUMMYFUNCTION("GOOGLETRANSLATE(B16940,""id"",""en"")"),"['petrified', 'Lotsin', 'promo', 'donk']")</f>
        <v>['petrified', 'Lotsin', 'promo', 'donk']</v>
      </c>
      <c r="D16940" s="3">
        <v>5.0</v>
      </c>
    </row>
    <row r="16941" ht="15.75" customHeight="1">
      <c r="A16941" s="1">
        <v>18001.0</v>
      </c>
      <c r="B16941" s="3" t="s">
        <v>16072</v>
      </c>
      <c r="C16941" s="3" t="str">
        <f>IFERROR(__xludf.DUMMYFUNCTION("GOOGLETRANSLATE(B16941,""id"",""en"")"),"['Severe', 'Ngeblank', 'Uninstall', 'then', 'Reinstall', 'Tetep', 'White', 'cleanhhh']")</f>
        <v>['Severe', 'Ngeblank', 'Uninstall', 'then', 'Reinstall', 'Tetep', 'White', 'cleanhhh']</v>
      </c>
      <c r="D16941" s="3">
        <v>1.0</v>
      </c>
    </row>
    <row r="16942" ht="15.75" customHeight="1">
      <c r="A16942" s="1">
        <v>18002.0</v>
      </c>
      <c r="B16942" s="3" t="s">
        <v>16073</v>
      </c>
      <c r="C16942" s="3" t="str">
        <f>IFERROR(__xludf.DUMMYFUNCTION("GOOGLETRANSLATE(B16942,""id"",""en"")"),"['expensive', 'good', 'advertising', 'really', 'strategy', 'marketing', 'stupid', 'work', 'serious', 'aunt', ""]")</f>
        <v>['expensive', 'good', 'advertising', 'really', 'strategy', 'marketing', 'stupid', 'work', 'serious', 'aunt', "]</v>
      </c>
      <c r="D16942" s="3">
        <v>1.0</v>
      </c>
    </row>
    <row r="16943" ht="15.75" customHeight="1">
      <c r="A16943" s="1">
        <v>18003.0</v>
      </c>
      <c r="B16943" s="3" t="s">
        <v>16074</v>
      </c>
      <c r="C16943" s="3" t="str">
        <f>IFERROR(__xludf.DUMMYFUNCTION("GOOGLETRANSLATE(B16943,""id"",""en"")"),"['', 'update', 'expensive', 'package', 'data']")</f>
        <v>['', 'update', 'expensive', 'package', 'data']</v>
      </c>
      <c r="D16943" s="3">
        <v>1.0</v>
      </c>
    </row>
    <row r="16944" ht="15.75" customHeight="1">
      <c r="A16944" s="1">
        <v>18004.0</v>
      </c>
      <c r="B16944" s="3" t="s">
        <v>1601</v>
      </c>
      <c r="C16944" s="3" t="str">
        <f>IFERROR(__xludf.DUMMYFUNCTION("GOOGLETRANSLATE(B16944,""id"",""en"")"),"['open']")</f>
        <v>['open']</v>
      </c>
      <c r="D16944" s="3">
        <v>5.0</v>
      </c>
    </row>
    <row r="16945" ht="15.75" customHeight="1">
      <c r="A16945" s="1">
        <v>18005.0</v>
      </c>
      <c r="B16945" s="3" t="s">
        <v>16075</v>
      </c>
      <c r="C16945" s="3" t="str">
        <f>IFERROR(__xludf.DUMMYFUNCTION("GOOGLETRANSLATE(B16945,""id"",""en"")"),"['Disruption', 'signal', 'stable', 'card', 'Hello']")</f>
        <v>['Disruption', 'signal', 'stable', 'card', 'Hello']</v>
      </c>
      <c r="D16945" s="3">
        <v>2.0</v>
      </c>
    </row>
    <row r="16946" ht="15.75" customHeight="1">
      <c r="A16946" s="1">
        <v>18006.0</v>
      </c>
      <c r="B16946" s="3" t="s">
        <v>14173</v>
      </c>
      <c r="C16946" s="3" t="str">
        <f>IFERROR(__xludf.DUMMYFUNCTION("GOOGLETRANSLATE(B16946,""id"",""en"")"),"['happy', 'Telkomsel']")</f>
        <v>['happy', 'Telkomsel']</v>
      </c>
      <c r="D16946" s="3">
        <v>5.0</v>
      </c>
    </row>
    <row r="16947" ht="15.75" customHeight="1">
      <c r="A16947" s="1">
        <v>18007.0</v>
      </c>
      <c r="B16947" s="3" t="s">
        <v>16076</v>
      </c>
      <c r="C16947" s="3" t="str">
        <f>IFERROR(__xludf.DUMMYFUNCTION("GOOGLETRANSLATE(B16947,""id"",""en"")"),"['APPLK', 'Network', 'Uda', 'Research', 'TPI', 'TTP', 'PDHL', 'Uda', 'Bngt', 'PKE', 'KRTU', 'accompany', ' mpe ',' skrg ',' subscription ',' telokomsel ',' ']")</f>
        <v>['APPLK', 'Network', 'Uda', 'Research', 'TPI', 'TTP', 'PDHL', 'Uda', 'Bngt', 'PKE', 'KRTU', 'accompany', ' mpe ',' skrg ',' subscription ',' telokomsel ',' ']</v>
      </c>
      <c r="D16947" s="3">
        <v>3.0</v>
      </c>
    </row>
    <row r="16948" ht="15.75" customHeight="1">
      <c r="A16948" s="1">
        <v>18008.0</v>
      </c>
      <c r="B16948" s="3" t="s">
        <v>16077</v>
      </c>
      <c r="C16948" s="3" t="str">
        <f>IFERROR(__xludf.DUMMYFUNCTION("GOOGLETRANSLATE(B16948,""id"",""en"")"),"['Please', 'repaired', 'quota', 'tenganan', 'ndak', 'digunaka', 'loss', 'really']")</f>
        <v>['Please', 'repaired', 'quota', 'tenganan', 'ndak', 'digunaka', 'loss', 'really']</v>
      </c>
      <c r="D16948" s="3">
        <v>1.0</v>
      </c>
    </row>
    <row r="16949" ht="15.75" customHeight="1">
      <c r="A16949" s="1">
        <v>18009.0</v>
      </c>
      <c r="B16949" s="3" t="s">
        <v>7288</v>
      </c>
      <c r="C16949" s="3" t="str">
        <f>IFERROR(__xludf.DUMMYFUNCTION("GOOGLETRANSLATE(B16949,""id"",""en"")"),"['Transaction', 'fast']")</f>
        <v>['Transaction', 'fast']</v>
      </c>
      <c r="D16949" s="3">
        <v>5.0</v>
      </c>
    </row>
    <row r="16950" ht="15.75" customHeight="1">
      <c r="A16950" s="1">
        <v>18010.0</v>
      </c>
      <c r="B16950" s="3" t="s">
        <v>16078</v>
      </c>
      <c r="C16950" s="3" t="str">
        <f>IFERROR(__xludf.DUMMYFUNCTION("GOOGLETRANSLATE(B16950,""id"",""en"")"),"['', 'Russy', 'Anyway', 'Buy', 'Paketan', 'DSNI']")</f>
        <v>['', 'Russy', 'Anyway', 'Buy', 'Paketan', 'DSNI']</v>
      </c>
      <c r="D16950" s="3">
        <v>5.0</v>
      </c>
    </row>
    <row r="16951" ht="15.75" customHeight="1">
      <c r="A16951" s="1">
        <v>18011.0</v>
      </c>
      <c r="B16951" s="3" t="s">
        <v>16079</v>
      </c>
      <c r="C16951" s="3" t="str">
        <f>IFERROR(__xludf.DUMMYFUNCTION("GOOGLETRANSLATE(B16951,""id"",""en"")"),"['Application', 'Good', 'Artificial', 'Tsel']")</f>
        <v>['Application', 'Good', 'Artificial', 'Tsel']</v>
      </c>
      <c r="D16951" s="3">
        <v>5.0</v>
      </c>
    </row>
    <row r="16952" ht="15.75" customHeight="1">
      <c r="A16952" s="1">
        <v>18012.0</v>
      </c>
      <c r="B16952" s="3" t="s">
        <v>16080</v>
      </c>
      <c r="C16952" s="3" t="str">
        <f>IFERROR(__xludf.DUMMYFUNCTION("GOOGLETRANSLATE(B16952,""id"",""en"")"),"['APK', 'opened', 'slow', 'yak', 'disappointed', 'pdhal', 'already', 'subscription']")</f>
        <v>['APK', 'opened', 'slow', 'yak', 'disappointed', 'pdhal', 'already', 'subscription']</v>
      </c>
      <c r="D16952" s="3">
        <v>1.0</v>
      </c>
    </row>
    <row r="16953" ht="15.75" customHeight="1">
      <c r="A16953" s="1">
        <v>18013.0</v>
      </c>
      <c r="B16953" s="3" t="s">
        <v>16081</v>
      </c>
      <c r="C16953" s="3" t="str">
        <f>IFERROR(__xludf.DUMMYFUNCTION("GOOGLETRANSLATE(B16953,""id"",""en"")"),"['Please', 'repaired', 'Network', 'Telkomsel', 'Region', 'Pekanbaru', 'Woy', 'Kek', 'garbage', 'times',' LEG ',' Times', ' The network is', 'BANGJE', '']")</f>
        <v>['Please', 'repaired', 'Network', 'Telkomsel', 'Region', 'Pekanbaru', 'Woy', 'Kek', 'garbage', 'times',' LEG ',' Times', ' The network is', 'BANGJE', '']</v>
      </c>
      <c r="D16953" s="3">
        <v>1.0</v>
      </c>
    </row>
    <row r="16954" ht="15.75" customHeight="1">
      <c r="A16954" s="1">
        <v>18014.0</v>
      </c>
      <c r="B16954" s="3" t="s">
        <v>16082</v>
      </c>
      <c r="C16954" s="3" t="str">
        <f>IFERROR(__xludf.DUMMYFUNCTION("GOOGLETRANSLATE(B16954,""id"",""en"")"),"['The application', 'crash', 'buy', 'package', 'via', 'Telkomsel', 'method', 'payment', 'gopay', 'balance', 'gopay', 'reduced', ' package ',' active ',' minimal ',' features']")</f>
        <v>['The application', 'crash', 'buy', 'package', 'via', 'Telkomsel', 'method', 'payment', 'gopay', 'balance', 'gopay', 'reduced', ' package ',' active ',' minimal ',' features']</v>
      </c>
      <c r="D16954" s="3">
        <v>1.0</v>
      </c>
    </row>
    <row r="16955" ht="15.75" customHeight="1">
      <c r="A16955" s="1">
        <v>18015.0</v>
      </c>
      <c r="B16955" s="3" t="s">
        <v>16083</v>
      </c>
      <c r="C16955" s="3" t="str">
        <f>IFERROR(__xludf.DUMMYFUNCTION("GOOGLETRANSLATE(B16955,""id"",""en"")"),"['Greetings', 'admin', 'admin', 'application', 'check', 'Ngeblank', ""]")</f>
        <v>['Greetings', 'admin', 'admin', 'application', 'check', 'Ngeblank', "]</v>
      </c>
      <c r="D16955" s="3">
        <v>4.0</v>
      </c>
    </row>
    <row r="16956" ht="15.75" customHeight="1">
      <c r="A16956" s="1">
        <v>18016.0</v>
      </c>
      <c r="B16956" s="3" t="s">
        <v>16084</v>
      </c>
      <c r="C16956" s="3" t="str">
        <f>IFERROR(__xludf.DUMMYFUNCTION("GOOGLETRANSLATE(B16956,""id"",""en"")"),"['Bangat', 'Error', 'Enter', 'Telkomsel']")</f>
        <v>['Bangat', 'Error', 'Enter', 'Telkomsel']</v>
      </c>
      <c r="D16956" s="3">
        <v>2.0</v>
      </c>
    </row>
    <row r="16957" ht="15.75" customHeight="1">
      <c r="A16957" s="1">
        <v>18017.0</v>
      </c>
      <c r="B16957" s="3" t="s">
        <v>16085</v>
      </c>
      <c r="C16957" s="3" t="str">
        <f>IFERROR(__xludf.DUMMYFUNCTION("GOOGLETRANSLATE(B16957,""id"",""en"")"),"['Sis',' No "", 'Open', 'APK', 'Screen', 'White', 'Sis',""]")</f>
        <v>['Sis',' No ", 'Open', 'APK', 'Screen', 'White', 'Sis',"]</v>
      </c>
      <c r="D16957" s="3">
        <v>1.0</v>
      </c>
    </row>
    <row r="16958" ht="15.75" customHeight="1">
      <c r="A16958" s="1">
        <v>18018.0</v>
      </c>
      <c r="B16958" s="3" t="s">
        <v>16086</v>
      </c>
      <c r="C16958" s="3" t="str">
        <f>IFERROR(__xludf.DUMMYFUNCTION("GOOGLETRANSLATE(B16958,""id"",""en"")"),"['Astagfirullah', 'play', 'Ranked', 'lag', 'Telkomsel', 'slow', 'kek', 'please', 'min', 'network', 'fix', 'push', ' Rank ',' good ',' sya ',' love ', ""]")</f>
        <v>['Astagfirullah', 'play', 'Ranked', 'lag', 'Telkomsel', 'slow', 'kek', 'please', 'min', 'network', 'fix', 'push', ' Rank ',' good ',' sya ',' love ', "]</v>
      </c>
      <c r="D16958" s="3">
        <v>1.0</v>
      </c>
    </row>
    <row r="16959" ht="15.75" customHeight="1">
      <c r="A16959" s="1">
        <v>18019.0</v>
      </c>
      <c r="B16959" s="3" t="s">
        <v>16087</v>
      </c>
      <c r="C16959" s="3" t="str">
        <f>IFERROR(__xludf.DUMMYFUNCTION("GOOGLETRANSLATE(B16959,""id"",""en"")"),"['Package', 'cheap']")</f>
        <v>['Package', 'cheap']</v>
      </c>
      <c r="D16959" s="3">
        <v>5.0</v>
      </c>
    </row>
    <row r="16960" ht="15.75" customHeight="1">
      <c r="A16960" s="1">
        <v>18020.0</v>
      </c>
      <c r="B16960" s="3" t="s">
        <v>16088</v>
      </c>
      <c r="C16960" s="3" t="str">
        <f>IFERROR(__xludf.DUMMYFUNCTION("GOOGLETRANSLATE(B16960,""id"",""en"")"),"['love', 'star', 'really', 'error', 'technical', 'try', 'reset']")</f>
        <v>['love', 'star', 'really', 'error', 'technical', 'try', 'reset']</v>
      </c>
      <c r="D16960" s="3">
        <v>2.0</v>
      </c>
    </row>
    <row r="16961" ht="15.75" customHeight="1">
      <c r="A16961" s="1">
        <v>18021.0</v>
      </c>
      <c r="B16961" s="3" t="s">
        <v>16089</v>
      </c>
      <c r="C16961" s="3" t="str">
        <f>IFERROR(__xludf.DUMMYFUNCTION("GOOGLETRANSLATE(B16961,""id"",""en"")"),"['', 'Log', 'APP', 'White', 'Screen', 'already', 'contact', 'Telkomsel', 'Via', 'Facebook', 'Messenger', 'solution', 'Fix ',' Uninstall ',' ']")</f>
        <v>['', 'Log', 'APP', 'White', 'Screen', 'already', 'contact', 'Telkomsel', 'Via', 'Facebook', 'Messenger', 'solution', 'Fix ',' Uninstall ',' ']</v>
      </c>
      <c r="D16961" s="3">
        <v>1.0</v>
      </c>
    </row>
    <row r="16962" ht="15.75" customHeight="1">
      <c r="A16962" s="1">
        <v>18022.0</v>
      </c>
      <c r="B16962" s="3" t="s">
        <v>16090</v>
      </c>
      <c r="C16962" s="3" t="str">
        <f>IFERROR(__xludf.DUMMYFUNCTION("GOOGLETRANSLATE(B16962,""id"",""en"")"),"['Open', 'The application', 'White', 'Gada', 'picture', 'Please', 'fix']")</f>
        <v>['Open', 'The application', 'White', 'Gada', 'picture', 'Please', 'fix']</v>
      </c>
      <c r="D16962" s="3">
        <v>4.0</v>
      </c>
    </row>
    <row r="16963" ht="15.75" customHeight="1">
      <c r="A16963" s="1">
        <v>18023.0</v>
      </c>
      <c r="B16963" s="3" t="s">
        <v>16091</v>
      </c>
      <c r="C16963" s="3" t="str">
        <f>IFERROR(__xludf.DUMMYFUNCTION("GOOGLETRANSLATE(B16963,""id"",""en"")"),"['Tipun', 'Telkomsel', 'Points',' Sring ',' BLI ',' Credit ',' Pulses', 'Cut', 'Kuotany', 'KGK', 'appears',' Thaii ',' Give ',' Oses', 'Jan', 'Bejibun', 'Kek', 'Lhaa', ""]")</f>
        <v>['Tipun', 'Telkomsel', 'Points',' Sring ',' BLI ',' Credit ',' Pulses', 'Cut', 'Kuotany', 'KGK', 'appears',' Thaii ',' Give ',' Oses', 'Jan', 'Bejibun', 'Kek', 'Lhaa', "]</v>
      </c>
      <c r="D16963" s="3">
        <v>1.0</v>
      </c>
    </row>
    <row r="16964" ht="15.75" customHeight="1">
      <c r="A16964" s="1">
        <v>18024.0</v>
      </c>
      <c r="B16964" s="3" t="s">
        <v>16092</v>
      </c>
      <c r="C16964" s="3" t="str">
        <f>IFERROR(__xludf.DUMMYFUNCTION("GOOGLETRANSLATE(B16964,""id"",""en"")"),"['application', 'modol', 'go', 'ngebleng']")</f>
        <v>['application', 'modol', 'go', 'ngebleng']</v>
      </c>
      <c r="D16964" s="3">
        <v>1.0</v>
      </c>
    </row>
    <row r="16965" ht="15.75" customHeight="1">
      <c r="A16965" s="1">
        <v>18025.0</v>
      </c>
      <c r="B16965" s="3" t="s">
        <v>7400</v>
      </c>
      <c r="C16965" s="3" t="str">
        <f>IFERROR(__xludf.DUMMYFUNCTION("GOOGLETRANSLATE(B16965,""id"",""en"")"),"['The application', 'opened', '']")</f>
        <v>['The application', 'opened', '']</v>
      </c>
      <c r="D16965" s="3">
        <v>1.0</v>
      </c>
    </row>
    <row r="16966" ht="15.75" customHeight="1">
      <c r="A16966" s="1">
        <v>18026.0</v>
      </c>
      <c r="B16966" s="3" t="s">
        <v>16093</v>
      </c>
      <c r="C16966" s="3" t="str">
        <f>IFERROR(__xludf.DUMMYFUNCTION("GOOGLETRANSLATE(B16966,""id"",""en"")"),"['Hopefully', 'Success', 'In the future']")</f>
        <v>['Hopefully', 'Success', 'In the future']</v>
      </c>
      <c r="D16966" s="3">
        <v>5.0</v>
      </c>
    </row>
    <row r="16967" ht="15.75" customHeight="1">
      <c r="A16967" s="1">
        <v>18027.0</v>
      </c>
      <c r="B16967" s="3" t="s">
        <v>16094</v>
      </c>
      <c r="C16967" s="3" t="str">
        <f>IFERROR(__xludf.DUMMYFUNCTION("GOOGLETRANSLATE(B16967,""id"",""en"")"),"['a month', 'enter', 'application', 'Telkomsel', 'knp', 'update', 'upset']")</f>
        <v>['a month', 'enter', 'application', 'Telkomsel', 'knp', 'update', 'upset']</v>
      </c>
      <c r="D16967" s="3">
        <v>4.0</v>
      </c>
    </row>
    <row r="16968" ht="15.75" customHeight="1">
      <c r="A16968" s="1">
        <v>18028.0</v>
      </c>
      <c r="B16968" s="3" t="s">
        <v>16095</v>
      </c>
      <c r="C16968" s="3" t="str">
        <f>IFERROR(__xludf.DUMMYFUNCTION("GOOGLETRANSLATE(B16968,""id"",""en"")"),"['Mmpermudah', 'consumer']")</f>
        <v>['Mmpermudah', 'consumer']</v>
      </c>
      <c r="D16968" s="3">
        <v>5.0</v>
      </c>
    </row>
    <row r="16969" ht="15.75" customHeight="1">
      <c r="A16969" s="1">
        <v>18029.0</v>
      </c>
      <c r="B16969" s="3" t="s">
        <v>16096</v>
      </c>
      <c r="C16969" s="3" t="str">
        <f>IFERROR(__xludf.DUMMYFUNCTION("GOOGLETRANSLATE(B16969,""id"",""en"")"),"['Perna']")</f>
        <v>['Perna']</v>
      </c>
      <c r="D16969" s="3">
        <v>4.0</v>
      </c>
    </row>
    <row r="16970" ht="15.75" customHeight="1">
      <c r="A16970" s="1">
        <v>18030.0</v>
      </c>
      <c r="B16970" s="3" t="s">
        <v>16097</v>
      </c>
      <c r="C16970" s="3" t="str">
        <f>IFERROR(__xludf.DUMMYFUNCTION("GOOGLETRANSLATE(B16970,""id"",""en"")"),"['Min', 'KOQ', 'Network', 'Kayak', 'Kura', 'Leet', 'Buffering', 'Browsing', 'Cape', 'Deh', 'Borosin', 'Battery', ' ']")</f>
        <v>['Min', 'KOQ', 'Network', 'Kayak', 'Kura', 'Leet', 'Buffering', 'Browsing', 'Cape', 'Deh', 'Borosin', 'Battery', ' ']</v>
      </c>
      <c r="D16970" s="3">
        <v>1.0</v>
      </c>
    </row>
    <row r="16971" ht="15.75" customHeight="1">
      <c r="A16971" s="1">
        <v>18031.0</v>
      </c>
      <c r="B16971" s="3" t="s">
        <v>16098</v>
      </c>
      <c r="C16971" s="3" t="str">
        <f>IFERROR(__xludf.DUMMYFUNCTION("GOOGLETRANSLATE(B16971,""id"",""en"")"),"['Telkomsel', 'hatiii']")</f>
        <v>['Telkomsel', 'hatiii']</v>
      </c>
      <c r="D16971" s="3">
        <v>5.0</v>
      </c>
    </row>
    <row r="16972" ht="15.75" customHeight="1">
      <c r="A16972" s="1">
        <v>18032.0</v>
      </c>
      <c r="B16972" s="3" t="s">
        <v>16099</v>
      </c>
      <c r="C16972" s="3" t="str">
        <f>IFERROR(__xludf.DUMMYFUNCTION("GOOGLETRANSLATE(B16972,""id"",""en"")"),"['Please', 'Dunk', 'Fix', 'Difficult', 'Buy', 'Paketan', 'Telkomsel', 'Terimkasih']")</f>
        <v>['Please', 'Dunk', 'Fix', 'Difficult', 'Buy', 'Paketan', 'Telkomsel', 'Terimkasih']</v>
      </c>
      <c r="D16972" s="3">
        <v>5.0</v>
      </c>
    </row>
    <row r="16973" ht="15.75" customHeight="1">
      <c r="A16973" s="1">
        <v>18033.0</v>
      </c>
      <c r="B16973" s="3" t="s">
        <v>16100</v>
      </c>
      <c r="C16973" s="3" t="str">
        <f>IFERROR(__xludf.DUMMYFUNCTION("GOOGLETRANSLATE(B16973,""id"",""en"")"),"['Please', 'buy', 'package', 'unlimited', 'youtube', 'already', 'pay', 'entered', 'enter', 'package', 'mean', ' How ',' morotin ',' balance ',' kah ',' ']")</f>
        <v>['Please', 'buy', 'package', 'unlimited', 'youtube', 'already', 'pay', 'entered', 'enter', 'package', 'mean', ' How ',' morotin ',' balance ',' kah ',' ']</v>
      </c>
      <c r="D16973" s="3">
        <v>5.0</v>
      </c>
    </row>
    <row r="16974" ht="15.75" customHeight="1">
      <c r="A16974" s="1">
        <v>18034.0</v>
      </c>
      <c r="B16974" s="3" t="s">
        <v>16101</v>
      </c>
      <c r="C16974" s="3" t="str">
        <f>IFERROR(__xludf.DUMMYFUNCTION("GOOGLETRANSLATE(B16974,""id"",""en"")"),"['Network', 'here', 'Melelet', 'Dead', 'Lamu', 'Signal', 'Dead']")</f>
        <v>['Network', 'here', 'Melelet', 'Dead', 'Lamu', 'Signal', 'Dead']</v>
      </c>
      <c r="D16974" s="3">
        <v>1.0</v>
      </c>
    </row>
    <row r="16975" ht="15.75" customHeight="1">
      <c r="A16975" s="1">
        <v>18036.0</v>
      </c>
      <c r="B16975" s="3" t="s">
        <v>10820</v>
      </c>
      <c r="C16975" s="3" t="str">
        <f>IFERROR(__xludf.DUMMYFUNCTION("GOOGLETRANSLATE(B16975,""id"",""en"")"),"['network']")</f>
        <v>['network']</v>
      </c>
      <c r="D16975" s="3">
        <v>1.0</v>
      </c>
    </row>
    <row r="16976" ht="15.75" customHeight="1">
      <c r="A16976" s="1">
        <v>18037.0</v>
      </c>
      <c r="B16976" s="3" t="s">
        <v>16102</v>
      </c>
      <c r="C16976" s="3" t="str">
        <f>IFERROR(__xludf.DUMMYFUNCTION("GOOGLETRANSLATE(B16976,""id"",""en"")"),"['Please', 'Telkomsel', 'signal', 'fix', 'laaaa', 'comfortable', 'make', '']")</f>
        <v>['Please', 'Telkomsel', 'signal', 'fix', 'laaaa', 'comfortable', 'make', '']</v>
      </c>
      <c r="D16976" s="3">
        <v>1.0</v>
      </c>
    </row>
    <row r="16977" ht="15.75" customHeight="1">
      <c r="A16977" s="1">
        <v>18038.0</v>
      </c>
      <c r="B16977" s="3" t="s">
        <v>16103</v>
      </c>
      <c r="C16977" s="3" t="str">
        <f>IFERROR(__xludf.DUMMYFUNCTION("GOOGLETRANSLATE(B16977,""id"",""en"")"),"['Hello', 'opened', 'please', 'list', 'package', 'internet', 'unlimited']")</f>
        <v>['Hello', 'opened', 'please', 'list', 'package', 'internet', 'unlimited']</v>
      </c>
      <c r="D16977" s="3">
        <v>5.0</v>
      </c>
    </row>
    <row r="16978" ht="15.75" customHeight="1">
      <c r="A16978" s="1">
        <v>18039.0</v>
      </c>
      <c r="B16978" s="3" t="s">
        <v>1669</v>
      </c>
      <c r="C16978" s="3" t="str">
        <f>IFERROR(__xludf.DUMMYFUNCTION("GOOGLETRANSLATE(B16978,""id"",""en"")"),"['Application', 'Good', 'user', 'Telkomsel']")</f>
        <v>['Application', 'Good', 'user', 'Telkomsel']</v>
      </c>
      <c r="D16978" s="3">
        <v>5.0</v>
      </c>
    </row>
    <row r="16979" ht="15.75" customHeight="1">
      <c r="A16979" s="1">
        <v>18040.0</v>
      </c>
      <c r="B16979" s="3" t="s">
        <v>16104</v>
      </c>
      <c r="C16979" s="3" t="str">
        <f>IFERROR(__xludf.DUMMYFUNCTION("GOOGLETRANSLATE(B16979,""id"",""en"")"),"['send', 'code', 'OTP', 'Bener', 'pulse', 'gave', 'service', 'good', 'sell', 'Prov', '']")</f>
        <v>['send', 'code', 'OTP', 'Bener', 'pulse', 'gave', 'service', 'good', 'sell', 'Prov', '']</v>
      </c>
      <c r="D16979" s="3">
        <v>1.0</v>
      </c>
    </row>
    <row r="16980" ht="15.75" customHeight="1">
      <c r="A16980" s="1">
        <v>18041.0</v>
      </c>
      <c r="B16980" s="3" t="s">
        <v>16105</v>
      </c>
      <c r="C16980" s="3" t="str">
        <f>IFERROR(__xludf.DUMMYFUNCTION("GOOGLETRANSLATE(B16980,""id"",""en"")"),"['updated', 'in', 'application', 'how', 'device', 'Load', 'reset', 'Tetep', 'enter', '']")</f>
        <v>['updated', 'in', 'application', 'how', 'device', 'Load', 'reset', 'Tetep', 'enter', '']</v>
      </c>
      <c r="D16980" s="3">
        <v>2.0</v>
      </c>
    </row>
    <row r="16981" ht="15.75" customHeight="1">
      <c r="A16981" s="1">
        <v>18042.0</v>
      </c>
      <c r="B16981" s="3" t="s">
        <v>16106</v>
      </c>
      <c r="C16981" s="3" t="str">
        <f>IFERROR(__xludf.DUMMYFUNCTION("GOOGLETRANSLATE(B16981,""id"",""en"")"),"['Ngblank', 'Open']")</f>
        <v>['Ngblank', 'Open']</v>
      </c>
      <c r="D16981" s="3">
        <v>1.0</v>
      </c>
    </row>
    <row r="16982" ht="15.75" customHeight="1">
      <c r="A16982" s="1">
        <v>18043.0</v>
      </c>
      <c r="B16982" s="3" t="s">
        <v>16107</v>
      </c>
      <c r="C16982" s="3" t="str">
        <f>IFERROR(__xludf.DUMMYFUNCTION("GOOGLETRANSLATE(B16982,""id"",""en"")"),"['Data', 'On', 'Credit', 'Sumpot']")</f>
        <v>['Data', 'On', 'Credit', 'Sumpot']</v>
      </c>
      <c r="D16982" s="3">
        <v>1.0</v>
      </c>
    </row>
    <row r="16983" ht="15.75" customHeight="1">
      <c r="A16983" s="1">
        <v>18044.0</v>
      </c>
      <c r="B16983" s="3" t="s">
        <v>16108</v>
      </c>
      <c r="C16983" s="3" t="str">
        <f>IFERROR(__xludf.DUMMYFUNCTION("GOOGLETRANSLATE(B16983,""id"",""en"")"),"['Login', 'pictured', 'White']")</f>
        <v>['Login', 'pictured', 'White']</v>
      </c>
      <c r="D16983" s="3">
        <v>1.0</v>
      </c>
    </row>
    <row r="16984" ht="15.75" customHeight="1">
      <c r="A16984" s="1">
        <v>18045.0</v>
      </c>
      <c r="B16984" s="3" t="s">
        <v>16109</v>
      </c>
      <c r="C16984" s="3" t="str">
        <f>IFERROR(__xludf.DUMMYFUNCTION("GOOGLETRANSLATE(B16984,""id"",""en"")"),"['updated', 'open', 'the application', '']")</f>
        <v>['updated', 'open', 'the application', '']</v>
      </c>
      <c r="D16984" s="3">
        <v>2.0</v>
      </c>
    </row>
    <row r="16985" ht="15.75" customHeight="1">
      <c r="A16985" s="1">
        <v>18046.0</v>
      </c>
      <c r="B16985" s="3" t="s">
        <v>16110</v>
      </c>
      <c r="C16985" s="3" t="str">
        <f>IFERROR(__xludf.DUMMYFUNCTION("GOOGLETRANSLATE(B16985,""id"",""en"")"),"['MyTelkomsel', 'opened', '']")</f>
        <v>['MyTelkomsel', 'opened', '']</v>
      </c>
      <c r="D16985" s="3">
        <v>1.0</v>
      </c>
    </row>
    <row r="16986" ht="15.75" customHeight="1">
      <c r="A16986" s="1">
        <v>18047.0</v>
      </c>
      <c r="B16986" s="3" t="s">
        <v>16111</v>
      </c>
      <c r="C16986" s="3" t="str">
        <f>IFERROR(__xludf.DUMMYFUNCTION("GOOGLETRANSLATE(B16986,""id"",""en"")"),"['Telkomsel', 'access', 'Maintenen', '']")</f>
        <v>['Telkomsel', 'access', 'Maintenen', '']</v>
      </c>
      <c r="D16986" s="3">
        <v>4.0</v>
      </c>
    </row>
    <row r="16987" ht="15.75" customHeight="1">
      <c r="A16987" s="1">
        <v>18048.0</v>
      </c>
      <c r="B16987" s="3" t="s">
        <v>16112</v>
      </c>
      <c r="C16987" s="3" t="str">
        <f>IFERROR(__xludf.DUMMYFUNCTION("GOOGLETRANSLATE(B16987,""id"",""en"")"),"['Steady', 'direct', 'love', 'star']")</f>
        <v>['Steady', 'direct', 'love', 'star']</v>
      </c>
      <c r="D16987" s="3">
        <v>5.0</v>
      </c>
    </row>
    <row r="16988" ht="15.75" customHeight="1">
      <c r="A16988" s="1">
        <v>18049.0</v>
      </c>
      <c r="B16988" s="3" t="s">
        <v>16113</v>
      </c>
      <c r="C16988" s="3" t="str">
        <f>IFERROR(__xludf.DUMMYFUNCTION("GOOGLETRANSLATE(B16988,""id"",""en"")"),"['repay', 'satisfaction', 'custamer', 'update', 'doang']")</f>
        <v>['repay', 'satisfaction', 'custamer', 'update', 'doang']</v>
      </c>
      <c r="D16988" s="3">
        <v>1.0</v>
      </c>
    </row>
    <row r="16989" ht="15.75" customHeight="1">
      <c r="A16989" s="1">
        <v>18050.0</v>
      </c>
      <c r="B16989" s="3" t="s">
        <v>16114</v>
      </c>
      <c r="C16989" s="3" t="str">
        <f>IFERROR(__xludf.DUMMYFUNCTION("GOOGLETRANSLATE(B16989,""id"",""en"")"),"['No', 'opened', 'Download', 'how', 'Telkomsel', 'please', 'easy']")</f>
        <v>['No', 'opened', 'Download', 'how', 'Telkomsel', 'please', 'easy']</v>
      </c>
      <c r="D16989" s="3">
        <v>1.0</v>
      </c>
    </row>
    <row r="16990" ht="15.75" customHeight="1">
      <c r="A16990" s="1">
        <v>18052.0</v>
      </c>
      <c r="B16990" s="3" t="s">
        <v>16115</v>
      </c>
      <c r="C16990" s="3" t="str">
        <f>IFERROR(__xludf.DUMMYFUNCTION("GOOGLETRANSLATE(B16990,""id"",""en"")"),"['Choice', 'package', 'internet', 'bought', 'consumer', 'multiplied', 'network', 'internet', 'repaired', 'maximum', 'thank', 'love']")</f>
        <v>['Choice', 'package', 'internet', 'bought', 'consumer', 'multiplied', 'network', 'internet', 'repaired', 'maximum', 'thank', 'love']</v>
      </c>
      <c r="D16990" s="3">
        <v>5.0</v>
      </c>
    </row>
    <row r="16991" ht="15.75" customHeight="1">
      <c r="A16991" s="1">
        <v>18053.0</v>
      </c>
      <c r="B16991" s="3" t="s">
        <v>16116</v>
      </c>
      <c r="C16991" s="3" t="str">
        <f>IFERROR(__xludf.DUMMYFUNCTION("GOOGLETRANSLATE(B16991,""id"",""en"")"),"['Sorry', 'Love', 'Star', 'Login', 'Canaaa', '']")</f>
        <v>['Sorry', 'Love', 'Star', 'Login', 'Canaaa', '']</v>
      </c>
      <c r="D16991" s="3">
        <v>3.0</v>
      </c>
    </row>
    <row r="16992" ht="15.75" customHeight="1">
      <c r="A16992" s="1">
        <v>18054.0</v>
      </c>
      <c r="B16992" s="3" t="s">
        <v>16117</v>
      </c>
      <c r="C16992" s="3" t="str">
        <f>IFERROR(__xludf.DUMMYFUNCTION("GOOGLETRANSLATE(B16992,""id"",""en"")"),"['For', 'telkomyet', 'hahhh', 'package', 'expensive', 'network', 'ngelag', 'cokkkkkkkkkkkkkkk']")</f>
        <v>['For', 'telkomyet', 'hahhh', 'package', 'expensive', 'network', 'ngelag', 'cokkkkkkkkkkkkkkk']</v>
      </c>
      <c r="D16992" s="3">
        <v>1.0</v>
      </c>
    </row>
    <row r="16993" ht="15.75" customHeight="1">
      <c r="A16993" s="1">
        <v>18055.0</v>
      </c>
      <c r="B16993" s="3" t="s">
        <v>16118</v>
      </c>
      <c r="C16993" s="3" t="str">
        <f>IFERROR(__xludf.DUMMYFUNCTION("GOOGLETRANSLATE(B16993,""id"",""en"")"),"['Full', 'star', 'signal', 'internet', 'ajur', 'star', 'pull', 'pelangan', 'Jare']")</f>
        <v>['Full', 'star', 'signal', 'internet', 'ajur', 'star', 'pull', 'pelangan', 'Jare']</v>
      </c>
      <c r="D16993" s="3">
        <v>5.0</v>
      </c>
    </row>
    <row r="16994" ht="15.75" customHeight="1">
      <c r="A16994" s="1">
        <v>18056.0</v>
      </c>
      <c r="B16994" s="3" t="s">
        <v>16119</v>
      </c>
      <c r="C16994" s="3" t="str">
        <f>IFERROR(__xludf.DUMMYFUNCTION("GOOGLETRANSLATE(B16994,""id"",""en"")"),"['Well', 'Thanks',' Min ',' Glad ',' Wear ',' Telkomsel ',' Sometimes', 'Constraints',' Hearing ',' No ',' Severe ',' Spirit ',' Min ']")</f>
        <v>['Well', 'Thanks',' Min ',' Glad ',' Wear ',' Telkomsel ',' Sometimes', 'Constraints',' Hearing ',' No ',' Severe ',' Spirit ',' Min ']</v>
      </c>
      <c r="D16994" s="3">
        <v>5.0</v>
      </c>
    </row>
    <row r="16995" ht="15.75" customHeight="1">
      <c r="A16995" s="1">
        <v>18057.0</v>
      </c>
      <c r="B16995" s="3" t="s">
        <v>16120</v>
      </c>
      <c r="C16995" s="3" t="str">
        <f>IFERROR(__xludf.DUMMYFUNCTION("GOOGLETRANSLATE(B16995,""id"",""en"")"),"['Out', 'update', 'no', 'open', 'application', 'screen', 'white', ""]")</f>
        <v>['Out', 'update', 'no', 'open', 'application', 'screen', 'white', "]</v>
      </c>
      <c r="D16995" s="3">
        <v>1.0</v>
      </c>
    </row>
    <row r="16996" ht="15.75" customHeight="1">
      <c r="A16996" s="1">
        <v>18058.0</v>
      </c>
      <c r="B16996" s="3" t="s">
        <v>16121</v>
      </c>
      <c r="C16996" s="3" t="str">
        <f>IFERROR(__xludf.DUMMYFUNCTION("GOOGLETRANSLATE(B16996,""id"",""en"")"),"['Kah', 'Kmaren', 'Telkomsel', 'Open']")</f>
        <v>['Kah', 'Kmaren', 'Telkomsel', 'Open']</v>
      </c>
      <c r="D16996" s="3">
        <v>1.0</v>
      </c>
    </row>
    <row r="16997" ht="15.75" customHeight="1">
      <c r="A16997" s="1">
        <v>18059.0</v>
      </c>
      <c r="B16997" s="3" t="s">
        <v>16122</v>
      </c>
      <c r="C16997" s="3" t="str">
        <f>IFERROR(__xludf.DUMMYFUNCTION("GOOGLETRANSLATE(B16997,""id"",""en"")"),"['Disappointed', 'application', 'Telkomsel', 'already', 'brp', 'open', 'buy', 'quota']")</f>
        <v>['Disappointed', 'application', 'Telkomsel', 'already', 'brp', 'open', 'buy', 'quota']</v>
      </c>
      <c r="D16997" s="3">
        <v>2.0</v>
      </c>
    </row>
    <row r="16998" ht="15.75" customHeight="1">
      <c r="A16998" s="1">
        <v>18060.0</v>
      </c>
      <c r="B16998" s="3" t="s">
        <v>16123</v>
      </c>
      <c r="C16998" s="3" t="str">
        <f>IFERROR(__xludf.DUMMYFUNCTION("GOOGLETRANSLATE(B16998,""id"",""en"")"),"['Service', 'Fastest', 'Cheapest', 'Signal', 'Good', 'Very', '']")</f>
        <v>['Service', 'Fastest', 'Cheapest', 'Signal', 'Good', 'Very', '']</v>
      </c>
      <c r="D16998" s="3">
        <v>5.0</v>
      </c>
    </row>
    <row r="16999" ht="15.75" customHeight="1">
      <c r="A16999" s="1">
        <v>18061.0</v>
      </c>
      <c r="B16999" s="3" t="s">
        <v>16124</v>
      </c>
      <c r="C16999" s="3" t="str">
        <f>IFERROR(__xludf.DUMMYFUNCTION("GOOGLETRANSLATE(B16999,""id"",""en"")"),"['already', 'week', 'APK', 'MyTelkomsel', 'White', 'blank', 'knp', 'skrng', 'blm', 'fix', 'Please', 'explanation', ' ']")</f>
        <v>['already', 'week', 'APK', 'MyTelkomsel', 'White', 'blank', 'knp', 'skrng', 'blm', 'fix', 'Please', 'explanation', ' ']</v>
      </c>
      <c r="D16999" s="3">
        <v>1.0</v>
      </c>
    </row>
    <row r="17000" ht="15.75" customHeight="1">
      <c r="A17000" s="1">
        <v>18063.0</v>
      </c>
      <c r="B17000" s="3" t="s">
        <v>16125</v>
      </c>
      <c r="C17000" s="3" t="str">
        <f>IFERROR(__xludf.DUMMYFUNCTION("GOOGLETRANSLATE(B17000,""id"",""en"")"),"['knpa', 'apk', 'open', 'already', 'try', 'delete', 'then', 'install', '']")</f>
        <v>['knpa', 'apk', 'open', 'already', 'try', 'delete', 'then', 'install', '']</v>
      </c>
      <c r="D17000" s="3">
        <v>1.0</v>
      </c>
    </row>
    <row r="17001" ht="15.75" customHeight="1">
      <c r="A17001" s="1">
        <v>18064.0</v>
      </c>
      <c r="B17001" s="3" t="s">
        <v>16126</v>
      </c>
      <c r="C17001" s="3" t="str">
        <f>IFERROR(__xludf.DUMMYFUNCTION("GOOGLETRANSLATE(B17001,""id"",""en"")"),"['Good', 'Ribet', 'buy', 'quota', 'check', 'quota']")</f>
        <v>['Good', 'Ribet', 'buy', 'quota', 'check', 'quota']</v>
      </c>
      <c r="D17001" s="3">
        <v>5.0</v>
      </c>
    </row>
    <row r="17002" ht="15.75" customHeight="1">
      <c r="A17002" s="1">
        <v>18065.0</v>
      </c>
      <c r="B17002" s="3" t="s">
        <v>16127</v>
      </c>
      <c r="C17002" s="3" t="str">
        <f>IFERROR(__xludf.DUMMYFUNCTION("GOOGLETRANSLATE(B17002,""id"",""en"")"),"['Woy', 'Operator', 'Use', 'Combo', 'Sakti', 'thousand', 'Paketan', 'Multimedian', 'Game', 'Written', 'Game', 'Klau', ' Love ',' Remarks', 'Disight', 'Consumers',' Show ',' Screenshot ',' Gau ',' Upload ',' Sixai ',' Proof ', ""]")</f>
        <v>['Woy', 'Operator', 'Use', 'Combo', 'Sakti', 'thousand', 'Paketan', 'Multimedian', 'Game', 'Written', 'Game', 'Klau', ' Love ',' Remarks', 'Disight', 'Consumers',' Show ',' Screenshot ',' Gau ',' Upload ',' Sixai ',' Proof ', "]</v>
      </c>
      <c r="D17002" s="3">
        <v>2.0</v>
      </c>
    </row>
    <row r="17003" ht="15.75" customHeight="1">
      <c r="A17003" s="1">
        <v>18066.0</v>
      </c>
      <c r="B17003" s="3" t="s">
        <v>16128</v>
      </c>
      <c r="C17003" s="3" t="str">
        <f>IFERROR(__xludf.DUMMYFUNCTION("GOOGLETRANSLATE(B17003,""id"",""en"")"),"['Application', 'updated', 'White', 'Screen', 'opened', 'Raying', 'Update', 'Deh', 'Please', 'Benerin', ""]")</f>
        <v>['Application', 'updated', 'White', 'Screen', 'opened', 'Raying', 'Update', 'Deh', 'Please', 'Benerin', "]</v>
      </c>
      <c r="D17003" s="3">
        <v>1.0</v>
      </c>
    </row>
    <row r="17004" ht="15.75" customHeight="1">
      <c r="A17004" s="1">
        <v>18067.0</v>
      </c>
      <c r="B17004" s="3" t="s">
        <v>16129</v>
      </c>
      <c r="C17004" s="3" t="str">
        <f>IFERROR(__xludf.DUMMYFUNCTION("GOOGLETRANSLATE(B17004,""id"",""en"")"),"['Change', 'Star', 'Come here', 'Screen', 'White', 'Signal', 'Full', 'WiFi', 'Okay', 'Please', 'Fix', 'System', ' Dayli ',' Check ',' Current ',' ']")</f>
        <v>['Change', 'Star', 'Come here', 'Screen', 'White', 'Signal', 'Full', 'WiFi', 'Okay', 'Please', 'Fix', 'System', ' Dayli ',' Check ',' Current ',' ']</v>
      </c>
      <c r="D17004" s="3">
        <v>1.0</v>
      </c>
    </row>
    <row r="17005" ht="15.75" customHeight="1">
      <c r="A17005" s="1">
        <v>18068.0</v>
      </c>
      <c r="B17005" s="3" t="s">
        <v>16130</v>
      </c>
      <c r="C17005" s="3" t="str">
        <f>IFERROR(__xludf.DUMMYFUNCTION("GOOGLETRANSLATE(B17005,""id"",""en"")"),"['Good', 'price', 'expensive', 'hunt', 'download', 'download', 'ntar', 'disappointed', '']")</f>
        <v>['Good', 'price', 'expensive', 'hunt', 'download', 'download', 'ntar', 'disappointed', '']</v>
      </c>
      <c r="D17005" s="3">
        <v>5.0</v>
      </c>
    </row>
    <row r="17006" ht="15.75" customHeight="1">
      <c r="A17006" s="1">
        <v>18069.0</v>
      </c>
      <c r="B17006" s="3" t="s">
        <v>16131</v>
      </c>
      <c r="C17006" s="3" t="str">
        <f>IFERROR(__xludf.DUMMYFUNCTION("GOOGLETRANSLATE(B17006,""id"",""en"")"),"['APL', 'Open', 'Padsh', 'Update', 'Discard', 'Quota', 'Doang']")</f>
        <v>['APL', 'Open', 'Padsh', 'Update', 'Discard', 'Quota', 'Doang']</v>
      </c>
      <c r="D17006" s="3">
        <v>1.0</v>
      </c>
    </row>
    <row r="17007" ht="15.75" customHeight="1">
      <c r="A17007" s="1">
        <v>18070.0</v>
      </c>
      <c r="B17007" s="3" t="s">
        <v>16132</v>
      </c>
      <c r="C17007" s="3" t="str">
        <f>IFERROR(__xludf.DUMMYFUNCTION("GOOGLETRANSLATE(B17007,""id"",""en"")"),"['promo', 'as soon as', 'promo', 'expensive', 'bet']")</f>
        <v>['promo', 'as soon as', 'promo', 'expensive', 'bet']</v>
      </c>
      <c r="D17007" s="3">
        <v>5.0</v>
      </c>
    </row>
    <row r="17008" ht="15.75" customHeight="1">
      <c r="A17008" s="1">
        <v>18071.0</v>
      </c>
      <c r="B17008" s="3" t="s">
        <v>2127</v>
      </c>
      <c r="C17008" s="3" t="str">
        <f>IFERROR(__xludf.DUMMYFUNCTION("GOOGLETRANSLATE(B17008,""id"",""en"")"),"['easy']")</f>
        <v>['easy']</v>
      </c>
      <c r="D17008" s="3">
        <v>5.0</v>
      </c>
    </row>
    <row r="17009" ht="15.75" customHeight="1">
      <c r="A17009" s="1">
        <v>18072.0</v>
      </c>
      <c r="B17009" s="3" t="s">
        <v>16133</v>
      </c>
      <c r="C17009" s="3" t="str">
        <f>IFERROR(__xludf.DUMMYFUNCTION("GOOGLETRANSLATE(B17009,""id"",""en"")"),"['Cheap', 'ysng', 'cheap', 'cheap', '']")</f>
        <v>['Cheap', 'ysng', 'cheap', 'cheap', '']</v>
      </c>
      <c r="D17009" s="3">
        <v>5.0</v>
      </c>
    </row>
    <row r="17010" ht="15.75" customHeight="1">
      <c r="A17010" s="1">
        <v>18073.0</v>
      </c>
      <c r="B17010" s="3" t="s">
        <v>16134</v>
      </c>
      <c r="C17010" s="3" t="str">
        <f>IFERROR(__xludf.DUMMYFUNCTION("GOOGLETRANSLATE(B17010,""id"",""en"")"),"['knp', 'APKaa', 'open', 'white', 'all', 'abistu', 'parahh', 'sii', 'see', 'package', 'buy', 'package', ' Trash ', ""]")</f>
        <v>['knp', 'APKaa', 'open', 'white', 'all', 'abistu', 'parahh', 'sii', 'see', 'package', 'buy', 'package', ' Trash ', "]</v>
      </c>
      <c r="D17010" s="3">
        <v>2.0</v>
      </c>
    </row>
    <row r="17011" ht="15.75" customHeight="1">
      <c r="A17011" s="1">
        <v>18075.0</v>
      </c>
      <c r="B17011" s="3" t="s">
        <v>16135</v>
      </c>
      <c r="C17011" s="3" t="str">
        <f>IFERROR(__xludf.DUMMYFUNCTION("GOOGLETRANSLATE(B17011,""id"",""en"")"),"['entry', 'application', 'love', 'star', 'company', 'telecommunications',' biggest ',' Indonesia ',' BECUS ',' managing ',' maintenance ',' application ',' entry ',' slow ',' severe ',' clean ',' cache ',' etc ',' rating ',' fix ',' ']")</f>
        <v>['entry', 'application', 'love', 'star', 'company', 'telecommunications',' biggest ',' Indonesia ',' BECUS ',' managing ',' maintenance ',' application ',' entry ',' slow ',' severe ',' clean ',' cache ',' etc ',' rating ',' fix ',' ']</v>
      </c>
      <c r="D17011" s="3">
        <v>2.0</v>
      </c>
    </row>
    <row r="17012" ht="15.75" customHeight="1">
      <c r="A17012" s="1">
        <v>18076.0</v>
      </c>
      <c r="B17012" s="3" t="s">
        <v>16136</v>
      </c>
      <c r="C17012" s="3" t="str">
        <f>IFERROR(__xludf.DUMMYFUNCTION("GOOGLETRANSLATE(B17012,""id"",""en"")"),"['Mentang', 'biggest', 'Indonesia', 'tariff', 'expensive', 'quality', 'abal', 'learn', 'Nokia', 'boss',' tuted ',' Wait ',' ']")</f>
        <v>['Mentang', 'biggest', 'Indonesia', 'tariff', 'expensive', 'quality', 'abal', 'learn', 'Nokia', 'boss',' tuted ',' Wait ',' ']</v>
      </c>
      <c r="D17012" s="3">
        <v>1.0</v>
      </c>
    </row>
    <row r="17013" ht="15.75" customHeight="1">
      <c r="A17013" s="1">
        <v>18077.0</v>
      </c>
      <c r="B17013" s="3" t="s">
        <v>16137</v>
      </c>
      <c r="C17013" s="3" t="str">
        <f>IFERROR(__xludf.DUMMYFUNCTION("GOOGLETRANSLATE(B17013,""id"",""en"")"),"['Nyerot', 'quota', 'crazy', 'fast', 'usage', 'network', 'ilang', 'app', 'open', 'stupid', 'tetep', 'Telkomsel', ' ']")</f>
        <v>['Nyerot', 'quota', 'crazy', 'fast', 'usage', 'network', 'ilang', 'app', 'open', 'stupid', 'tetep', 'Telkomsel', ' ']</v>
      </c>
      <c r="D17013" s="3">
        <v>1.0</v>
      </c>
    </row>
    <row r="17014" ht="15.75" customHeight="1">
      <c r="A17014" s="1">
        <v>18078.0</v>
      </c>
      <c r="B17014" s="3" t="s">
        <v>16138</v>
      </c>
      <c r="C17014" s="3" t="str">
        <f>IFERROR(__xludf.DUMMYFUNCTION("GOOGLETRANSLATE(B17014,""id"",""en"")"),"['Version', 'Severe', 'really', 'updated', 'Date', 'December', 'Sampe', 'skarang', 'blm', 'open', 'tlng', 'repaired', ' Talikin ',' conversion ']")</f>
        <v>['Version', 'Severe', 'really', 'updated', 'Date', 'December', 'Sampe', 'skarang', 'blm', 'open', 'tlng', 'repaired', ' Talikin ',' conversion ']</v>
      </c>
      <c r="D17014" s="3">
        <v>1.0</v>
      </c>
    </row>
    <row r="17015" ht="15.75" customHeight="1">
      <c r="A17015" s="1">
        <v>18079.0</v>
      </c>
      <c r="B17015" s="3" t="s">
        <v>16139</v>
      </c>
      <c r="C17015" s="3" t="str">
        <f>IFERROR(__xludf.DUMMYFUNCTION("GOOGLETRANSLATE(B17015,""id"",""en"")"),"['buy', 'package', 'cheerful', 'pulse', 'buy', 'package', '']")</f>
        <v>['buy', 'package', 'cheerful', 'pulse', 'buy', 'package', '']</v>
      </c>
      <c r="D17015" s="3">
        <v>3.0</v>
      </c>
    </row>
    <row r="17016" ht="15.75" customHeight="1">
      <c r="A17016" s="1">
        <v>18080.0</v>
      </c>
      <c r="B17016" s="3" t="s">
        <v>16140</v>
      </c>
      <c r="C17016" s="3" t="str">
        <f>IFERROR(__xludf.DUMMYFUNCTION("GOOGLETRANSLATE(B17016,""id"",""en"")"),"['Good', 'Ganisa', 'opened']")</f>
        <v>['Good', 'Ganisa', 'opened']</v>
      </c>
      <c r="D17016" s="3">
        <v>4.0</v>
      </c>
    </row>
    <row r="17017" ht="15.75" customHeight="1">
      <c r="A17017" s="1">
        <v>18081.0</v>
      </c>
      <c r="B17017" s="3" t="s">
        <v>16141</v>
      </c>
      <c r="C17017" s="3" t="str">
        <f>IFERROR(__xludf.DUMMYFUNCTION("GOOGLETRANSLATE(B17017,""id"",""en"")"),"['Rain', 'APK', 'Open', 'Ngeblank', 'Color', 'White', ""]")</f>
        <v>['Rain', 'APK', 'Open', 'Ngeblank', 'Color', 'White', "]</v>
      </c>
      <c r="D17017" s="3">
        <v>1.0</v>
      </c>
    </row>
    <row r="17018" ht="15.75" customHeight="1">
      <c r="A17018" s="1">
        <v>18082.0</v>
      </c>
      <c r="B17018" s="3" t="s">
        <v>16142</v>
      </c>
      <c r="C17018" s="3" t="str">
        <f>IFERROR(__xludf.DUMMYFUNCTION("GOOGLETRANSLATE(B17018,""id"",""en"")"),"['signal', 'Mangprang', 'Teruuusss', 'Good', 'Job', 'Telkomsel', 'Forward', 'Success', ""]")</f>
        <v>['signal', 'Mangprang', 'Teruuusss', 'Good', 'Job', 'Telkomsel', 'Forward', 'Success', "]</v>
      </c>
      <c r="D17018" s="3">
        <v>5.0</v>
      </c>
    </row>
    <row r="17019" ht="15.75" customHeight="1">
      <c r="A17019" s="1">
        <v>18083.0</v>
      </c>
      <c r="B17019" s="3" t="s">
        <v>16143</v>
      </c>
      <c r="C17019" s="3" t="str">
        <f>IFERROR(__xludf.DUMMYFUNCTION("GOOGLETRANSLATE(B17019,""id"",""en"")"),"['card', 'Telkomsel', 'data', 'active', 'Kuotaya', 'application', 'ngebleng', 'right', 'open', 'try']")</f>
        <v>['card', 'Telkomsel', 'data', 'active', 'Kuotaya', 'application', 'ngebleng', 'right', 'open', 'try']</v>
      </c>
      <c r="D17019" s="3">
        <v>1.0</v>
      </c>
    </row>
    <row r="17020" ht="15.75" customHeight="1">
      <c r="A17020" s="1">
        <v>18085.0</v>
      </c>
      <c r="B17020" s="3" t="s">
        <v>16144</v>
      </c>
      <c r="C17020" s="3" t="str">
        <f>IFERROR(__xludf.DUMMYFUNCTION("GOOGLETRANSLATE(B17020,""id"",""en"")"),"['likes',' take ',' pulse ',' OTA ',' opened ',' subscription ',' proof ',' opened ',' poor ',' open ',' delete ',' Google ',' The operator ',' ugly ',' mean ',' Supay ',' Gabisa ',' BLI ',' PAKETAN ',' Kah ',' That's', 'Love', 'Promo', 'Telkomsel', 'wise"&amp;"' , 'Difficult', 'opened', 'it seems', 'number', 'blocked', 'gmn', 'telkosel']")</f>
        <v>['likes',' take ',' pulse ',' OTA ',' opened ',' subscription ',' proof ',' opened ',' poor ',' open ',' delete ',' Google ',' The operator ',' ugly ',' mean ',' Supay ',' Gabisa ',' BLI ',' PAKETAN ',' Kah ',' That's', 'Love', 'Promo', 'Telkomsel', 'wise' , 'Difficult', 'opened', 'it seems', 'number', 'blocked', 'gmn', 'telkosel']</v>
      </c>
      <c r="D17020" s="3">
        <v>1.0</v>
      </c>
    </row>
    <row r="17021" ht="15.75" customHeight="1">
      <c r="A17021" s="1">
        <v>18086.0</v>
      </c>
      <c r="B17021" s="3" t="s">
        <v>16145</v>
      </c>
      <c r="C17021" s="3" t="str">
        <f>IFERROR(__xludf.DUMMYFUNCTION("GOOGLETRANSLATE(B17021,""id"",""en"")"),"['Telkomsel', 'Package', 'Data', 'Expensive', 'KMI', 'All', 'Citizens',' Kec ',' Tohor ',' etc. ',' Please ',' Network ',' Package ',' expensive ',' slow ',' kyk ',' wifi ',' paid ',' plis', 'repair', '']")</f>
        <v>['Telkomsel', 'Package', 'Data', 'Expensive', 'KMI', 'All', 'Citizens',' Kec ',' Tohor ',' etc. ',' Please ',' Network ',' Package ',' expensive ',' slow ',' kyk ',' wifi ',' paid ',' plis', 'repair', '']</v>
      </c>
      <c r="D17021" s="3">
        <v>1.0</v>
      </c>
    </row>
    <row r="17022" ht="15.75" customHeight="1">
      <c r="A17022" s="1">
        <v>18087.0</v>
      </c>
      <c r="B17022" s="3" t="s">
        <v>16146</v>
      </c>
      <c r="C17022" s="3" t="str">
        <f>IFERROR(__xludf.DUMMYFUNCTION("GOOGLETRANSLATE(B17022,""id"",""en"")"),"['Application', 'responds', 'tlg', 'fix', 'system', 'smg', 'benefits', 'trims']")</f>
        <v>['Application', 'responds', 'tlg', 'fix', 'system', 'smg', 'benefits', 'trims']</v>
      </c>
      <c r="D17022" s="3">
        <v>1.0</v>
      </c>
    </row>
    <row r="17023" ht="15.75" customHeight="1">
      <c r="A17023" s="1">
        <v>18088.0</v>
      </c>
      <c r="B17023" s="3" t="s">
        <v>16147</v>
      </c>
      <c r="C17023" s="3" t="str">
        <f>IFERROR(__xludf.DUMMYFUNCTION("GOOGLETRANSLATE(B17023,""id"",""en"")"),"['Success', 'Jaya']")</f>
        <v>['Success', 'Jaya']</v>
      </c>
      <c r="D17023" s="3">
        <v>5.0</v>
      </c>
    </row>
    <row r="17024" ht="15.75" customHeight="1">
      <c r="A17024" s="1">
        <v>18089.0</v>
      </c>
      <c r="B17024" s="3" t="s">
        <v>16148</v>
      </c>
      <c r="C17024" s="3" t="str">
        <f>IFERROR(__xludf.DUMMYFUNCTION("GOOGLETRANSLATE(B17024,""id"",""en"")"),"['price', 'promo', 'package', 'internet', 'expensive']")</f>
        <v>['price', 'promo', 'package', 'internet', 'expensive']</v>
      </c>
      <c r="D17024" s="3">
        <v>4.0</v>
      </c>
    </row>
    <row r="17025" ht="15.75" customHeight="1">
      <c r="A17025" s="1">
        <v>18090.0</v>
      </c>
      <c r="B17025" s="3" t="s">
        <v>16149</v>
      </c>
      <c r="C17025" s="3" t="str">
        <f>IFERROR(__xludf.DUMMYFUNCTION("GOOGLETRANSLATE(B17025,""id"",""en"")"),"['love', 'star', 'signal', 'easy', 'free', 'wali', 'expensive', 'happy', 'daily', 'chek', 'please', 'quality', ' APK ',' Upwardin ',' APK ',' Dahan ',' Open ',' Alternating ',' Install ',' Install ',' Uninstall ',' Install ',' After ',' Quota ',' Sebbap '"&amp;" ]")</f>
        <v>['love', 'star', 'signal', 'easy', 'free', 'wali', 'expensive', 'happy', 'daily', 'chek', 'please', 'quality', ' APK ',' Upwardin ',' APK ',' Dahan ',' Open ',' Alternating ',' Install ',' Install ',' Uninstall ',' Install ',' After ',' Quota ',' Sebbap ' ]</v>
      </c>
      <c r="D17025" s="3">
        <v>5.0</v>
      </c>
    </row>
    <row r="17026" ht="15.75" customHeight="1">
      <c r="A17026" s="1">
        <v>18091.0</v>
      </c>
      <c r="B17026" s="3" t="s">
        <v>16150</v>
      </c>
      <c r="C17026" s="3" t="str">
        <f>IFERROR(__xludf.DUMMYFUNCTION("GOOGLETRANSLATE(B17026,""id"",""en"")"),"['Application', 'opened', 'Install', 'reset']")</f>
        <v>['Application', 'opened', 'Install', 'reset']</v>
      </c>
      <c r="D17026" s="3">
        <v>4.0</v>
      </c>
    </row>
    <row r="17027" ht="15.75" customHeight="1">
      <c r="A17027" s="1">
        <v>18093.0</v>
      </c>
      <c r="B17027" s="3" t="s">
        <v>2137</v>
      </c>
      <c r="C17027" s="3" t="str">
        <f>IFERROR(__xludf.DUMMYFUNCTION("GOOGLETRANSLATE(B17027,""id"",""en"")"),"['Safe', 'trusted']")</f>
        <v>['Safe', 'trusted']</v>
      </c>
      <c r="D17027" s="3">
        <v>5.0</v>
      </c>
    </row>
    <row r="17028" ht="15.75" customHeight="1">
      <c r="A17028" s="1">
        <v>18094.0</v>
      </c>
      <c r="B17028" s="3" t="s">
        <v>16151</v>
      </c>
      <c r="C17028" s="3" t="str">
        <f>IFERROR(__xludf.DUMMYFUNCTION("GOOGLETRANSLATE(B17028,""id"",""en"")"),"['Update', 'Direct', 'Update', 'Open', 'Apps',' White ',' Layara ',' Severe ',' Very ',' Already ',' Install ',' Re-reset ',' times', 'gabisa', 'gabisa', 'check', 'for days',' point ',' already ',' clerk ',' for a while ',' active ',' run out ',' please '"&amp;",' fix ' , 'yaa', 'apps', 'nyaaa']")</f>
        <v>['Update', 'Direct', 'Update', 'Open', 'Apps',' White ',' Layara ',' Severe ',' Very ',' Already ',' Install ',' Re-reset ',' times', 'gabisa', 'gabisa', 'check', 'for days',' point ',' already ',' clerk ',' for a while ',' active ',' run out ',' please ',' fix ' , 'yaa', 'apps', 'nyaaa']</v>
      </c>
      <c r="D17028" s="3">
        <v>1.0</v>
      </c>
    </row>
    <row r="17029" ht="15.75" customHeight="1">
      <c r="A17029" s="1">
        <v>18095.0</v>
      </c>
      <c r="B17029" s="3" t="s">
        <v>16152</v>
      </c>
      <c r="C17029" s="3" t="str">
        <f>IFERROR(__xludf.DUMMYFUNCTION("GOOGLETRANSLATE(B17029,""id"",""en"")"),"['The application', 'opened', 'in', 'Sunday', 'blank', 'white', 'seblm', 'smooth', 'how', 'Telkomsel', ""]")</f>
        <v>['The application', 'opened', 'in', 'Sunday', 'blank', 'white', 'seblm', 'smooth', 'how', 'Telkomsel', "]</v>
      </c>
      <c r="D17029" s="3">
        <v>1.0</v>
      </c>
    </row>
    <row r="17030" ht="15.75" customHeight="1">
      <c r="A17030" s="1">
        <v>18097.0</v>
      </c>
      <c r="B17030" s="3" t="s">
        <v>16153</v>
      </c>
      <c r="C17030" s="3" t="str">
        <f>IFERROR(__xludf.DUMMYFUNCTION("GOOGLETRANSLATE(B17030,""id"",""en"")"),"['Install', '']")</f>
        <v>['Install', '']</v>
      </c>
      <c r="D17030" s="3">
        <v>5.0</v>
      </c>
    </row>
    <row r="17031" ht="15.75" customHeight="1">
      <c r="A17031" s="1">
        <v>18098.0</v>
      </c>
      <c r="B17031" s="3" t="s">
        <v>16154</v>
      </c>
      <c r="C17031" s="3" t="str">
        <f>IFERROR(__xludf.DUMMYFUNCTION("GOOGLETRANSLATE(B17031,""id"",""en"")"),"['Inhibition', 'convenience', 'transact', 'top', 'pulse', 'complicated', 'era', 'dlu', ""]")</f>
        <v>['Inhibition', 'convenience', 'transact', 'top', 'pulse', 'complicated', 'era', 'dlu', "]</v>
      </c>
      <c r="D17031" s="3">
        <v>5.0</v>
      </c>
    </row>
    <row r="17032" ht="15.75" customHeight="1">
      <c r="A17032" s="1">
        <v>18099.0</v>
      </c>
      <c r="B17032" s="3" t="s">
        <v>16155</v>
      </c>
      <c r="C17032" s="3" t="str">
        <f>IFERROR(__xludf.DUMMYFUNCTION("GOOGLETRANSLATE(B17032,""id"",""en"")"),"['Update', 'white', 'Doang', 'screen', 'min']")</f>
        <v>['Update', 'white', 'Doang', 'screen', 'min']</v>
      </c>
      <c r="D17032" s="3">
        <v>5.0</v>
      </c>
    </row>
    <row r="17033" ht="15.75" customHeight="1">
      <c r="A17033" s="1">
        <v>18100.0</v>
      </c>
      <c r="B17033" s="3" t="s">
        <v>16156</v>
      </c>
      <c r="C17033" s="3" t="str">
        <f>IFERROR(__xludf.DUMMYFUNCTION("GOOGLETRANSLATE(B17033,""id"",""en"")"),"['', 'BSA', 'Open', '']")</f>
        <v>['', 'BSA', 'Open', '']</v>
      </c>
      <c r="D17033" s="3">
        <v>3.0</v>
      </c>
    </row>
    <row r="17034" ht="15.75" customHeight="1">
      <c r="A17034" s="1">
        <v>18101.0</v>
      </c>
      <c r="B17034" s="3" t="s">
        <v>16157</v>
      </c>
      <c r="C17034" s="3" t="str">
        <f>IFERROR(__xludf.DUMMYFUNCTION("GOOGLETRANSLATE(B17034,""id"",""en"")"),"['Screen', 'White']")</f>
        <v>['Screen', 'White']</v>
      </c>
      <c r="D17034" s="3">
        <v>1.0</v>
      </c>
    </row>
    <row r="17035" ht="15.75" customHeight="1">
      <c r="A17035" s="1">
        <v>18103.0</v>
      </c>
      <c r="B17035" s="3" t="s">
        <v>16158</v>
      </c>
      <c r="C17035" s="3" t="str">
        <f>IFERROR(__xludf.DUMMYFUNCTION("GOOGLETRANSLATE(B17035,""id"",""en"")"),"['Thank you', 'Telkomsel', 'service', ""]")</f>
        <v>['Thank you', 'Telkomsel', 'service', "]</v>
      </c>
      <c r="D17035" s="3">
        <v>5.0</v>
      </c>
    </row>
    <row r="17036" ht="15.75" customHeight="1">
      <c r="A17036" s="1">
        <v>18104.0</v>
      </c>
      <c r="B17036" s="3" t="s">
        <v>2727</v>
      </c>
      <c r="C17036" s="3" t="str">
        <f>IFERROR(__xludf.DUMMYFUNCTION("GOOGLETRANSLATE(B17036,""id"",""en"")"),"['Opened', '']")</f>
        <v>['Opened', '']</v>
      </c>
      <c r="D17036" s="3">
        <v>5.0</v>
      </c>
    </row>
    <row r="17037" ht="15.75" customHeight="1">
      <c r="A17037" s="1">
        <v>18105.0</v>
      </c>
      <c r="B17037" s="3" t="s">
        <v>16159</v>
      </c>
      <c r="C17037" s="3" t="str">
        <f>IFERROR(__xludf.DUMMYFUNCTION("GOOGLETRANSLATE(B17037,""id"",""en"")"),"['Telkomsel', 'here', 'strange', 'credit', 'SMS', 'paying', 'recipient', 'credit', 'reduced', 'use', 'TLP', 'SMS', ' help', '']")</f>
        <v>['Telkomsel', 'here', 'strange', 'credit', 'SMS', 'paying', 'recipient', 'credit', 'reduced', 'use', 'TLP', 'SMS', ' help', '']</v>
      </c>
      <c r="D17037" s="3">
        <v>2.0</v>
      </c>
    </row>
    <row r="17038" ht="15.75" customHeight="1">
      <c r="A17038" s="1">
        <v>18106.0</v>
      </c>
      <c r="B17038" s="3" t="s">
        <v>16160</v>
      </c>
      <c r="C17038" s="3" t="str">
        <f>IFERROR(__xludf.DUMMYFUNCTION("GOOGLETRANSLATE(B17038,""id"",""en"")"),"['already', 'open', 'application', 'screen', 'white', 'already', 'Try', 'Delete', 'Data', 'Delete', 'Application', 'Download', ' Tetep ']")</f>
        <v>['already', 'open', 'application', 'screen', 'white', 'already', 'Try', 'Delete', 'Data', 'Delete', 'Application', 'Download', ' Tetep ']</v>
      </c>
      <c r="D17038" s="3">
        <v>3.0</v>
      </c>
    </row>
    <row r="17039" ht="15.75" customHeight="1">
      <c r="A17039" s="1">
        <v>18107.0</v>
      </c>
      <c r="B17039" s="3" t="s">
        <v>16161</v>
      </c>
      <c r="C17039" s="3" t="str">
        <f>IFERROR(__xludf.DUMMYFUNCTION("GOOGLETRANSLATE(B17039,""id"",""en"")"),"['no', 'Alesan', 'gave', 'star', 'already', 'represented', 'friend', 'friend', 'rating', '' 'review']")</f>
        <v>['no', 'Alesan', 'gave', 'star', 'already', 'represented', 'friend', 'friend', 'rating', '' 'review']</v>
      </c>
      <c r="D17039" s="3">
        <v>1.0</v>
      </c>
    </row>
    <row r="17040" ht="15.75" customHeight="1">
      <c r="A17040" s="1">
        <v>18108.0</v>
      </c>
      <c r="B17040" s="3" t="s">
        <v>16162</v>
      </c>
      <c r="C17040" s="3" t="str">
        <f>IFERROR(__xludf.DUMMYFUNCTION("GOOGLETRANSLATE(B17040,""id"",""en"")"),"['chat', 'reply', 'forgiveness',' APP ',' AMA ',' Twitter ',' Slow ',' response ',' signal ',' ilang ',' Nilagan ',' said ',' Severe ',' Anyway ']")</f>
        <v>['chat', 'reply', 'forgiveness',' APP ',' AMA ',' Twitter ',' Slow ',' response ',' signal ',' ilang ',' Nilagan ',' said ',' Severe ',' Anyway ']</v>
      </c>
      <c r="D17040" s="3">
        <v>1.0</v>
      </c>
    </row>
    <row r="17041" ht="15.75" customHeight="1">
      <c r="A17041" s="1">
        <v>18109.0</v>
      </c>
      <c r="B17041" s="3" t="s">
        <v>16163</v>
      </c>
      <c r="C17041" s="3" t="str">
        <f>IFERROR(__xludf.DUMMYFUNCTION("GOOGLETRANSLATE(B17041,""id"",""en"")"),"['hope', 'advanced', 'Telkomsel']")</f>
        <v>['hope', 'advanced', 'Telkomsel']</v>
      </c>
      <c r="D17041" s="3">
        <v>5.0</v>
      </c>
    </row>
    <row r="17042" ht="15.75" customHeight="1">
      <c r="A17042" s="1">
        <v>18110.0</v>
      </c>
      <c r="B17042" s="3" t="s">
        <v>16164</v>
      </c>
      <c r="C17042" s="3" t="str">
        <f>IFERROR(__xludf.DUMMYFUNCTION("GOOGLETRANSLATE(B17042,""id"",""en"")"),"['buy', 'card', 'first', 'Telkomsel', 'counter', 'run out', 'card', 'cheap', 'severe', 'run out', 'call', 'expensive', ' Internet ',' expensive ',' ']")</f>
        <v>['buy', 'card', 'first', 'Telkomsel', 'counter', 'run out', 'card', 'cheap', 'severe', 'run out', 'call', 'expensive', ' Internet ',' expensive ',' ']</v>
      </c>
      <c r="D17042" s="3">
        <v>1.0</v>
      </c>
    </row>
    <row r="17043" ht="15.75" customHeight="1">
      <c r="A17043" s="1">
        <v>18111.0</v>
      </c>
      <c r="B17043" s="3" t="s">
        <v>16165</v>
      </c>
      <c r="C17043" s="3" t="str">
        <f>IFERROR(__xludf.DUMMYFUNCTION("GOOGLETRANSLATE(B17043,""id"",""en"")"),"['Okay', 'Telkomsel', 'Hopefully', 'in the future', 'price', 'quota', 'cheap', 'price', 'quota', 'promo', 'expensive', ""]")</f>
        <v>['Okay', 'Telkomsel', 'Hopefully', 'in the future', 'price', 'quota', 'cheap', 'price', 'quota', 'promo', 'expensive', "]</v>
      </c>
      <c r="D17043" s="3">
        <v>4.0</v>
      </c>
    </row>
    <row r="17044" ht="15.75" customHeight="1">
      <c r="A17044" s="1">
        <v>18112.0</v>
      </c>
      <c r="B17044" s="3" t="s">
        <v>16166</v>
      </c>
      <c r="C17044" s="3" t="str">
        <f>IFERROR(__xludf.DUMMYFUNCTION("GOOGLETRANSLATE(B17044,""id"",""en"")"),"['BSA', 'opened', 'DHA', 'Download', 'Cman', 'Screen', 'White']")</f>
        <v>['BSA', 'opened', 'DHA', 'Download', 'Cman', 'Screen', 'White']</v>
      </c>
      <c r="D17044" s="3">
        <v>1.0</v>
      </c>
    </row>
    <row r="17045" ht="15.75" customHeight="1">
      <c r="A17045" s="1">
        <v>18113.0</v>
      </c>
      <c r="B17045" s="3" t="s">
        <v>16167</v>
      </c>
      <c r="C17045" s="3" t="str">
        <f>IFERROR(__xludf.DUMMYFUNCTION("GOOGLETRANSLATE(B17045,""id"",""en"")"),"['Since', 'PKEK', 'Application', 'Telkomsel', 'Needs',' Online ',' fulfilled ',' Dispose ',' Money ',' Anyway ',' mantaaaaaappp ',' really ',' Deeeh ',' Telkomsel ',' ']")</f>
        <v>['Since', 'PKEK', 'Application', 'Telkomsel', 'Needs',' Online ',' fulfilled ',' Dispose ',' Money ',' Anyway ',' mantaaaaaappp ',' really ',' Deeeh ',' Telkomsel ',' ']</v>
      </c>
      <c r="D17045" s="3">
        <v>5.0</v>
      </c>
    </row>
    <row r="17046" ht="15.75" customHeight="1">
      <c r="A17046" s="1">
        <v>18114.0</v>
      </c>
      <c r="B17046" s="3" t="s">
        <v>16168</v>
      </c>
      <c r="C17046" s="3" t="str">
        <f>IFERROR(__xludf.DUMMYFUNCTION("GOOGLETRANSLATE(B17046,""id"",""en"")"),"['Error', 'White', 'Gabisa', 'Opened']")</f>
        <v>['Error', 'White', 'Gabisa', 'Opened']</v>
      </c>
      <c r="D17046" s="3">
        <v>1.0</v>
      </c>
    </row>
    <row r="17047" ht="15.75" customHeight="1">
      <c r="A17047" s="1">
        <v>18115.0</v>
      </c>
      <c r="B17047" s="3" t="s">
        <v>16169</v>
      </c>
      <c r="C17047" s="3" t="str">
        <f>IFERROR(__xludf.DUMMYFUNCTION("GOOGLETRANSLATE(B17047,""id"",""en"")"),"['Help', 'Signal']")</f>
        <v>['Help', 'Signal']</v>
      </c>
      <c r="D17047" s="3">
        <v>5.0</v>
      </c>
    </row>
    <row r="17048" ht="15.75" customHeight="1">
      <c r="A17048" s="1">
        <v>18116.0</v>
      </c>
      <c r="B17048" s="3" t="s">
        <v>16170</v>
      </c>
      <c r="C17048" s="3" t="str">
        <f>IFERROR(__xludf.DUMMYFUNCTION("GOOGLETRANSLATE(B17048,""id"",""en"")"),"['Please', 'Win', 'Lottery', 'Grand', 'Prize', 'Car', 'Telkomsel', 'Point']")</f>
        <v>['Please', 'Win', 'Lottery', 'Grand', 'Prize', 'Car', 'Telkomsel', 'Point']</v>
      </c>
      <c r="D17048" s="3">
        <v>5.0</v>
      </c>
    </row>
    <row r="17049" ht="15.75" customHeight="1">
      <c r="A17049" s="1">
        <v>18118.0</v>
      </c>
      <c r="B17049" s="3" t="s">
        <v>10908</v>
      </c>
      <c r="C17049" s="3" t="str">
        <f>IFERROR(__xludf.DUMMYFUNCTION("GOOGLETRANSLATE(B17049,""id"",""en"")"),"['Open', 'application']")</f>
        <v>['Open', 'application']</v>
      </c>
      <c r="D17049" s="3">
        <v>3.0</v>
      </c>
    </row>
    <row r="17050" ht="15.75" customHeight="1">
      <c r="A17050" s="1">
        <v>18119.0</v>
      </c>
      <c r="B17050" s="3" t="s">
        <v>16171</v>
      </c>
      <c r="C17050" s="3" t="str">
        <f>IFERROR(__xludf.DUMMYFUNCTION("GOOGLETRANSLATE(B17050,""id"",""en"")"),"['classy', 'skrg', 'quality', 'network', 'competitors',' stable ',' price ',' quality ',' comparable ',' feeling ',' operator ',' sultan ',' now ',' taught ',' cave ',' ama ',' TMM ',' network ',' signal ',' please ',' repaired ',' loyal ', ""]")</f>
        <v>['classy', 'skrg', 'quality', 'network', 'competitors',' stable ',' price ',' quality ',' comparable ',' feeling ',' operator ',' sultan ',' now ',' taught ',' cave ',' ama ',' TMM ',' network ',' signal ',' please ',' repaired ',' loyal ', "]</v>
      </c>
      <c r="D17050" s="3">
        <v>1.0</v>
      </c>
    </row>
    <row r="17051" ht="15.75" customHeight="1">
      <c r="A17051" s="1">
        <v>18120.0</v>
      </c>
      <c r="B17051" s="3" t="s">
        <v>16172</v>
      </c>
      <c r="C17051" s="3" t="str">
        <f>IFERROR(__xludf.DUMMYFUNCTION("GOOGLETRANSLATE(B17051,""id"",""en"")"),"['Proof', 'reception', 'lottery', 'Points']")</f>
        <v>['Proof', 'reception', 'lottery', 'Points']</v>
      </c>
      <c r="D17051" s="3">
        <v>5.0</v>
      </c>
    </row>
    <row r="17052" ht="15.75" customHeight="1">
      <c r="A17052" s="1">
        <v>18121.0</v>
      </c>
      <c r="B17052" s="3" t="s">
        <v>16173</v>
      </c>
      <c r="C17052" s="3" t="str">
        <f>IFERROR(__xludf.DUMMYFUNCTION("GOOGLETRANSLATE(B17052,""id"",""en"")"),"['Help', 'Purchase', 'Package', 'Data']")</f>
        <v>['Help', 'Purchase', 'Package', 'Data']</v>
      </c>
      <c r="D17052" s="3">
        <v>5.0</v>
      </c>
    </row>
    <row r="17053" ht="15.75" customHeight="1">
      <c r="A17053" s="1">
        <v>18122.0</v>
      </c>
      <c r="B17053" s="3" t="s">
        <v>16174</v>
      </c>
      <c r="C17053" s="3" t="str">
        <f>IFERROR(__xludf.DUMMYFUNCTION("GOOGLETRANSLATE(B17053,""id"",""en"")"),"['', 'customers',' Telkomsel ',' yrs', 'TPI', 'think', 'use', 'network', 'Telkomsel', 'district', 'Mamasa', 'bad', 'the capital ',' Regency ',' BTS ',' Where ',' TPI ',' Connection ',' Bad ',' In the future ',' Switch ',' Provider ',' quota ',' expensive "&amp;"',' quality ', 'Bad', 'bad']")</f>
        <v>['', 'customers',' Telkomsel ',' yrs', 'TPI', 'think', 'use', 'network', 'Telkomsel', 'district', 'Mamasa', 'bad', 'the capital ',' Regency ',' BTS ',' Where ',' TPI ',' Connection ',' Bad ',' In the future ',' Switch ',' Provider ',' quota ',' expensive ',' quality ', 'Bad', 'bad']</v>
      </c>
      <c r="D17053" s="3">
        <v>1.0</v>
      </c>
    </row>
    <row r="17054" ht="15.75" customHeight="1">
      <c r="A17054" s="1">
        <v>18123.0</v>
      </c>
      <c r="B17054" s="3" t="s">
        <v>16175</v>
      </c>
      <c r="C17054" s="3" t="str">
        <f>IFERROR(__xludf.DUMMYFUNCTION("GOOGLETRANSLATE(B17054,""id"",""en"")"),"['steady', 'network']")</f>
        <v>['steady', 'network']</v>
      </c>
      <c r="D17054" s="3">
        <v>5.0</v>
      </c>
    </row>
    <row r="17055" ht="15.75" customHeight="1">
      <c r="A17055" s="1">
        <v>18124.0</v>
      </c>
      <c r="B17055" s="3" t="s">
        <v>16176</v>
      </c>
      <c r="C17055" s="3" t="str">
        <f>IFERROR(__xludf.DUMMYFUNCTION("GOOGLETRANSLATE(B17055,""id"",""en"")"),"['Application', 'Trapping', 'On', 'Package', 'Out', 'Direct', 'Suck', 'Credit']")</f>
        <v>['Application', 'Trapping', 'On', 'Package', 'Out', 'Direct', 'Suck', 'Credit']</v>
      </c>
      <c r="D17055" s="3">
        <v>1.0</v>
      </c>
    </row>
    <row r="17056" ht="15.75" customHeight="1">
      <c r="A17056" s="1">
        <v>18125.0</v>
      </c>
      <c r="B17056" s="3" t="s">
        <v>1148</v>
      </c>
      <c r="C17056" s="3" t="str">
        <f>IFERROR(__xludf.DUMMYFUNCTION("GOOGLETRANSLATE(B17056,""id"",""en"")"),"['Application', 'opened']")</f>
        <v>['Application', 'opened']</v>
      </c>
      <c r="D17056" s="3">
        <v>1.0</v>
      </c>
    </row>
    <row r="17057" ht="15.75" customHeight="1">
      <c r="A17057" s="1">
        <v>18126.0</v>
      </c>
      <c r="B17057" s="3" t="s">
        <v>16177</v>
      </c>
      <c r="C17057" s="3" t="str">
        <f>IFERROR(__xludf.DUMMYFUNCTION("GOOGLETRANSLATE(B17057,""id"",""en"")"),"['Come on', 'Come on', 'work', 'work', 'The application', 'Fix', 'Opened', 'Update', 'APL', 'Latest', 'December', 'What' do ',' Update ',' Gini ',' Try ',' Uintsal ',' Download ',' Ngebug ',' Gabisa ',' Opened ',' Kirain ',' Ngeluh ',' Just Beloved ',' Op"&amp;"en ',' The application ' , 'pulses', 'less', 'until', 'run out', 'life', '']")</f>
        <v>['Come on', 'Come on', 'work', 'work', 'The application', 'Fix', 'Opened', 'Update', 'APL', 'Latest', 'December', 'What' do ',' Update ',' Gini ',' Try ',' Uintsal ',' Download ',' Ngebug ',' Gabisa ',' Opened ',' Kirain ',' Ngeluh ',' Just Beloved ',' Open ',' The application ' , 'pulses', 'less', 'until', 'run out', 'life', '']</v>
      </c>
      <c r="D17057" s="3">
        <v>2.0</v>
      </c>
    </row>
    <row r="17058" ht="15.75" customHeight="1">
      <c r="A17058" s="1">
        <v>18127.0</v>
      </c>
      <c r="B17058" s="3" t="s">
        <v>16178</v>
      </c>
      <c r="C17058" s="3" t="str">
        <f>IFERROR(__xludf.DUMMYFUNCTION("GOOGLETRANSLATE(B17058,""id"",""en"")"),"['Unfortunately', 'quota', 'youtube', 'unlimited', 'please', 'quota', 'unlimited', 'youtube']")</f>
        <v>['Unfortunately', 'quota', 'youtube', 'unlimited', 'please', 'quota', 'unlimited', 'youtube']</v>
      </c>
      <c r="D17058" s="3">
        <v>4.0</v>
      </c>
    </row>
    <row r="17059" ht="15.75" customHeight="1">
      <c r="A17059" s="1">
        <v>18128.0</v>
      </c>
      <c r="B17059" s="3" t="s">
        <v>16179</v>
      </c>
      <c r="C17059" s="3" t="str">
        <f>IFERROR(__xludf.DUMMYFUNCTION("GOOGLETRANSLATE(B17059,""id"",""en"")"),"['Hallo', 'TEL', 'complain', 'Tel', 'just', 'debt', 'credit', 'emergency', 'thousand', 'tags',' abis', 'his nine', ' Persulit ',' Restore ',' Direct ',' Current ',' Severe ',' Bngt ',' Tel ',' Feelings', 'Products',' Neighbors', 'Nolongs',' Customer ',' T"&amp;"hat's' , '']")</f>
        <v>['Hallo', 'TEL', 'complain', 'Tel', 'just', 'debt', 'credit', 'emergency', 'thousand', 'tags',' abis', 'his nine', ' Persulit ',' Restore ',' Direct ',' Current ',' Severe ',' Bngt ',' Tel ',' Feelings', 'Products',' Neighbors', 'Nolongs',' Customer ',' That's' , '']</v>
      </c>
      <c r="D17059" s="3">
        <v>1.0</v>
      </c>
    </row>
    <row r="17060" ht="15.75" customHeight="1">
      <c r="A17060" s="1">
        <v>18129.0</v>
      </c>
      <c r="B17060" s="3" t="s">
        <v>16180</v>
      </c>
      <c r="C17060" s="3" t="str">
        <f>IFERROR(__xludf.DUMMYFUNCTION("GOOGLETRANSLATE(B17060,""id"",""en"")"),"['Cook', 'Login', 'Telkomsel']")</f>
        <v>['Cook', 'Login', 'Telkomsel']</v>
      </c>
      <c r="D17060" s="3">
        <v>1.0</v>
      </c>
    </row>
    <row r="17061" ht="15.75" customHeight="1">
      <c r="A17061" s="1">
        <v>18130.0</v>
      </c>
      <c r="B17061" s="3" t="s">
        <v>16181</v>
      </c>
      <c r="C17061" s="3" t="str">
        <f>IFERROR(__xludf.DUMMYFUNCTION("GOOGLETRANSLATE(B17061,""id"",""en"")"),"['Good', 'just', '']")</f>
        <v>['Good', 'just', '']</v>
      </c>
      <c r="D17061" s="3">
        <v>5.0</v>
      </c>
    </row>
    <row r="17062" ht="15.75" customHeight="1">
      <c r="A17062" s="1">
        <v>18131.0</v>
      </c>
      <c r="B17062" s="3" t="s">
        <v>16182</v>
      </c>
      <c r="C17062" s="3" t="str">
        <f>IFERROR(__xludf.DUMMYFUNCTION("GOOGLETRANSLATE(B17062,""id"",""en"")"),"['', 'application', 'bsa', 'open', 'lgi', 'pdhl', 'klw', 'bsa', 'open', 'bsa', 'cheap', 'bli', 'city ',' ']")</f>
        <v>['', 'application', 'bsa', 'open', 'lgi', 'pdhl', 'klw', 'bsa', 'open', 'bsa', 'cheap', 'bli', 'city ',' ']</v>
      </c>
      <c r="D17062" s="3">
        <v>1.0</v>
      </c>
    </row>
    <row r="17063" ht="15.75" customHeight="1">
      <c r="A17063" s="1">
        <v>18132.0</v>
      </c>
      <c r="B17063" s="3" t="s">
        <v>16183</v>
      </c>
      <c r="C17063" s="3" t="str">
        <f>IFERROR(__xludf.DUMMYFUNCTION("GOOGLETRANSLATE(B17063,""id"",""en"")"),"['Kenaph', 'Leg', ""]")</f>
        <v>['Kenaph', 'Leg', "]</v>
      </c>
      <c r="D17063" s="3">
        <v>1.0</v>
      </c>
    </row>
    <row r="17064" ht="15.75" customHeight="1">
      <c r="A17064" s="1">
        <v>18133.0</v>
      </c>
      <c r="B17064" s="3" t="s">
        <v>16184</v>
      </c>
      <c r="C17064" s="3" t="str">
        <f>IFERROR(__xludf.DUMMYFUNCTION("GOOGLETRANSLATE(B17064,""id"",""en"")"),"['Please', 'The Network', 'Fix', 'The Network', 'Setabil', 'Play', 'Game', 'Ping', 'Red', 'Ijo', 'Mulu', 'Expensive', ' Doang ',' network ',' pulp ',' please ',' fix ']")</f>
        <v>['Please', 'The Network', 'Fix', 'The Network', 'Setabil', 'Play', 'Game', 'Ping', 'Red', 'Ijo', 'Mulu', 'Expensive', ' Doang ',' network ',' pulp ',' please ',' fix ']</v>
      </c>
      <c r="D17064" s="3">
        <v>1.0</v>
      </c>
    </row>
    <row r="17065" ht="15.75" customHeight="1">
      <c r="A17065" s="1">
        <v>18134.0</v>
      </c>
      <c r="B17065" s="3" t="s">
        <v>16185</v>
      </c>
      <c r="C17065" s="3" t="str">
        <f>IFERROR(__xludf.DUMMYFUNCTION("GOOGLETRANSLATE(B17065,""id"",""en"")"),"['APK', 'Accessible', 'Screen', 'White', 'Update', '']")</f>
        <v>['APK', 'Accessible', 'Screen', 'White', 'Update', '']</v>
      </c>
      <c r="D17065" s="3">
        <v>1.0</v>
      </c>
    </row>
    <row r="17066" ht="15.75" customHeight="1">
      <c r="A17066" s="1">
        <v>18135.0</v>
      </c>
      <c r="B17066" s="3" t="s">
        <v>16186</v>
      </c>
      <c r="C17066" s="3" t="str">
        <f>IFERROR(__xludf.DUMMYFUNCTION("GOOGLETRANSLATE(B17066,""id"",""en"")"),"['', 'cell', 'mantaap', '']")</f>
        <v>['', 'cell', 'mantaap', '']</v>
      </c>
      <c r="D17066" s="3">
        <v>5.0</v>
      </c>
    </row>
    <row r="17067" ht="15.75" customHeight="1">
      <c r="A17067" s="1">
        <v>18136.0</v>
      </c>
      <c r="B17067" s="3" t="s">
        <v>16187</v>
      </c>
      <c r="C17067" s="3" t="str">
        <f>IFERROR(__xludf.DUMMYFUNCTION("GOOGLETRANSLATE(B17067,""id"",""en"")"),"['Heart', 'App', 'Telkomsel', 'Open', '']")</f>
        <v>['Heart', 'App', 'Telkomsel', 'Open', '']</v>
      </c>
      <c r="D17067" s="3">
        <v>1.0</v>
      </c>
    </row>
    <row r="17068" ht="15.75" customHeight="1">
      <c r="A17068" s="1">
        <v>18137.0</v>
      </c>
      <c r="B17068" s="3" t="s">
        <v>16188</v>
      </c>
      <c r="C17068" s="3" t="str">
        <f>IFERROR(__xludf.DUMMYFUNCTION("GOOGLETRANSLATE(B17068,""id"",""en"")"),"['Contents', 'Package', 'Enter', 'SLDO', 'Shoppe', 'Reduced']")</f>
        <v>['Contents', 'Package', 'Enter', 'SLDO', 'Shoppe', 'Reduced']</v>
      </c>
      <c r="D17068" s="3">
        <v>4.0</v>
      </c>
    </row>
    <row r="17069" ht="15.75" customHeight="1">
      <c r="A17069" s="1">
        <v>18138.0</v>
      </c>
      <c r="B17069" s="3" t="s">
        <v>16189</v>
      </c>
      <c r="C17069" s="3" t="str">
        <f>IFERROR(__xludf.DUMMYFUNCTION("GOOGLETRANSLATE(B17069,""id"",""en"")"),"['application', 'good', 'already', 'application', 'good', 'see']")</f>
        <v>['application', 'good', 'already', 'application', 'good', 'see']</v>
      </c>
      <c r="D17069" s="3">
        <v>5.0</v>
      </c>
    </row>
    <row r="17070" ht="15.75" customHeight="1">
      <c r="A17070" s="1">
        <v>18139.0</v>
      </c>
      <c r="B17070" s="3" t="s">
        <v>16190</v>
      </c>
      <c r="C17070" s="3" t="str">
        <f>IFERROR(__xludf.DUMMYFUNCTION("GOOGLETRANSLATE(B17070,""id"",""en"")"),"['The application', 'good', 'easy']")</f>
        <v>['The application', 'good', 'easy']</v>
      </c>
      <c r="D17070" s="3">
        <v>5.0</v>
      </c>
    </row>
    <row r="17071" ht="15.75" customHeight="1">
      <c r="A17071" s="1">
        <v>18140.0</v>
      </c>
      <c r="B17071" s="3" t="s">
        <v>16191</v>
      </c>
      <c r="C17071" s="3" t="str">
        <f>IFERROR(__xludf.DUMMYFUNCTION("GOOGLETRANSLATE(B17071,""id"",""en"")"),"['Kasih', 'cheap', 'pket', 'Anlimitid', 'ksi', 'dri', 'Rbu', 'Lahh', ""]")</f>
        <v>['Kasih', 'cheap', 'pket', 'Anlimitid', 'ksi', 'dri', 'Rbu', 'Lahh', "]</v>
      </c>
      <c r="D17071" s="3">
        <v>3.0</v>
      </c>
    </row>
    <row r="17072" ht="15.75" customHeight="1">
      <c r="A17072" s="1">
        <v>18141.0</v>
      </c>
      <c r="B17072" s="3" t="s">
        <v>16192</v>
      </c>
      <c r="C17072" s="3" t="str">
        <f>IFERROR(__xludf.DUMMYFUNCTION("GOOGLETRANSLATE(B17072,""id"",""en"")"),"['Please', 'work', 'weapon', 'Customer', 'Disappointed', 'Connection', 'Network', 'Telkomsel', 'Stable', 'Customer', 'Geram', 'Costs',' issued ',' according to ',' usage ',' connection ',' signal ',' network ',' thank you ']")</f>
        <v>['Please', 'work', 'weapon', 'Customer', 'Disappointed', 'Connection', 'Network', 'Telkomsel', 'Stable', 'Customer', 'Geram', 'Costs',' issued ',' according to ',' usage ',' connection ',' signal ',' network ',' thank you ']</v>
      </c>
      <c r="D17072" s="3">
        <v>3.0</v>
      </c>
    </row>
    <row r="17073" ht="15.75" customHeight="1">
      <c r="A17073" s="1">
        <v>18142.0</v>
      </c>
      <c r="B17073" s="3" t="s">
        <v>16193</v>
      </c>
      <c r="C17073" s="3" t="str">
        <f>IFERROR(__xludf.DUMMYFUNCTION("GOOGLETRANSLATE(B17073,""id"",""en"")"),"['signal', 'sub-district', 'continue']")</f>
        <v>['signal', 'sub-district', 'continue']</v>
      </c>
      <c r="D17073" s="3">
        <v>5.0</v>
      </c>
    </row>
    <row r="17074" ht="15.75" customHeight="1">
      <c r="A17074" s="1">
        <v>18143.0</v>
      </c>
      <c r="B17074" s="3" t="s">
        <v>16194</v>
      </c>
      <c r="C17074" s="3" t="str">
        <f>IFERROR(__xludf.DUMMYFUNCTION("GOOGLETRANSLATE(B17074,""id"",""en"")"),"['Telkomsel', 'ugly', 'signal', 'already', 'slow', 'trs', 'disorder', 'already', 'expensive', 'signal', 'slow', '']")</f>
        <v>['Telkomsel', 'ugly', 'signal', 'already', 'slow', 'trs', 'disorder', 'already', 'expensive', 'signal', 'slow', '']</v>
      </c>
      <c r="D17074" s="3">
        <v>2.0</v>
      </c>
    </row>
    <row r="17075" ht="15.75" customHeight="1">
      <c r="A17075" s="1">
        <v>18144.0</v>
      </c>
      <c r="B17075" s="3" t="s">
        <v>16195</v>
      </c>
      <c r="C17075" s="3" t="str">
        <f>IFERROR(__xludf.DUMMYFUNCTION("GOOGLETRANSLATE(B17075,""id"",""en"")"),"['Win', 'Lottery', 'Love', 'Bintang', ""]")</f>
        <v>['Win', 'Lottery', 'Love', 'Bintang', "]</v>
      </c>
      <c r="D17075" s="3">
        <v>3.0</v>
      </c>
    </row>
    <row r="17076" ht="15.75" customHeight="1">
      <c r="A17076" s="1">
        <v>18145.0</v>
      </c>
      <c r="B17076" s="3" t="s">
        <v>16196</v>
      </c>
      <c r="C17076" s="3" t="str">
        <f>IFERROR(__xludf.DUMMYFUNCTION("GOOGLETRANSLATE(B17076,""id"",""en"")"),"['use', 'Telkomsel', 'Times',' Telkomsel ',' opened ',' a week ',' Telkomsel ',' Nge ',' blank ',' white ',' signal ',' down ',' repeated ',' times', 'download', 'reset', 'result', 'please', 'repaired', 'make it difficult', 'check', 'leftover', 'quota', '"&amp;"etc.', 'tks' , '']")</f>
        <v>['use', 'Telkomsel', 'Times',' Telkomsel ',' opened ',' a week ',' Telkomsel ',' Nge ',' blank ',' white ',' signal ',' down ',' repeated ',' times', 'download', 'reset', 'result', 'please', 'repaired', 'make it difficult', 'check', 'leftover', 'quota', 'etc.', 'tks' , '']</v>
      </c>
      <c r="D17076" s="3">
        <v>2.0</v>
      </c>
    </row>
    <row r="17077" ht="15.75" customHeight="1">
      <c r="A17077" s="1">
        <v>18146.0</v>
      </c>
      <c r="B17077" s="3" t="s">
        <v>1754</v>
      </c>
      <c r="C17077" s="3" t="str">
        <f>IFERROR(__xludf.DUMMYFUNCTION("GOOGLETRANSLATE(B17077,""id"",""en"")"),"['', 'open']")</f>
        <v>['', 'open']</v>
      </c>
      <c r="D17077" s="3">
        <v>1.0</v>
      </c>
    </row>
    <row r="17078" ht="15.75" customHeight="1">
      <c r="A17078" s="1">
        <v>18147.0</v>
      </c>
      <c r="B17078" s="3" t="s">
        <v>16197</v>
      </c>
      <c r="C17078" s="3" t="str">
        <f>IFERROR(__xludf.DUMMYFUNCTION("GOOGLETRANSLATE(B17078,""id"",""en"")"),"['Error', 'ugly', 'disappointed']")</f>
        <v>['Error', 'ugly', 'disappointed']</v>
      </c>
      <c r="D17078" s="3">
        <v>1.0</v>
      </c>
    </row>
    <row r="17079" ht="15.75" customHeight="1">
      <c r="A17079" s="1">
        <v>18148.0</v>
      </c>
      <c r="B17079" s="3" t="s">
        <v>16198</v>
      </c>
      <c r="C17079" s="3" t="str">
        <f>IFERROR(__xludf.DUMMYFUNCTION("GOOGLETRANSLATE(B17079,""id"",""en"")"),"['Knp', 'login', 'stack', 'screen', 'white', 'open', 'my apk', 'udh', 'try', 'delete', 'downld', 'repeat', ' time']")</f>
        <v>['Knp', 'login', 'stack', 'screen', 'white', 'open', 'my apk', 'udh', 'try', 'delete', 'downld', 'repeat', ' time']</v>
      </c>
      <c r="D17079" s="3">
        <v>5.0</v>
      </c>
    </row>
    <row r="17080" ht="15.75" customHeight="1">
      <c r="A17080" s="1">
        <v>18149.0</v>
      </c>
      <c r="B17080" s="3" t="s">
        <v>16199</v>
      </c>
      <c r="C17080" s="3" t="str">
        <f>IFERROR(__xludf.DUMMYFUNCTION("GOOGLETRANSLATE(B17080,""id"",""en"")"),"['updated', 'used', 'already', 'uninstall', 'install', 'tetep']")</f>
        <v>['updated', 'used', 'already', 'uninstall', 'install', 'tetep']</v>
      </c>
      <c r="D17080" s="3">
        <v>1.0</v>
      </c>
    </row>
    <row r="17081" ht="15.75" customHeight="1">
      <c r="A17081" s="1">
        <v>18150.0</v>
      </c>
      <c r="B17081" s="3" t="s">
        <v>16200</v>
      </c>
      <c r="C17081" s="3" t="str">
        <f>IFERROR(__xludf.DUMMYFUNCTION("GOOGLETRANSLATE(B17081,""id"",""en"")"),"['Disappointed', 'Application', 'Karna', 'Credit', 'Reduced', 'Purchase', 'FAIL']")</f>
        <v>['Disappointed', 'Application', 'Karna', 'Credit', 'Reduced', 'Purchase', 'FAIL']</v>
      </c>
      <c r="D17081" s="3">
        <v>1.0</v>
      </c>
    </row>
    <row r="17082" ht="15.75" customHeight="1">
      <c r="A17082" s="1">
        <v>18151.0</v>
      </c>
      <c r="B17082" s="3" t="s">
        <v>16201</v>
      </c>
      <c r="C17082" s="3" t="str">
        <f>IFERROR(__xludf.DUMMYFUNCTION("GOOGLETRANSLATE(B17082,""id"",""en"")"),"['Notification', 'feels', 'spam', 'bot']")</f>
        <v>['Notification', 'feels', 'spam', 'bot']</v>
      </c>
      <c r="D17082" s="3">
        <v>3.0</v>
      </c>
    </row>
    <row r="17083" ht="15.75" customHeight="1">
      <c r="A17083" s="1">
        <v>18153.0</v>
      </c>
      <c r="B17083" s="3" t="s">
        <v>16202</v>
      </c>
      <c r="C17083" s="3" t="str">
        <f>IFERROR(__xludf.DUMMYFUNCTION("GOOGLETRANSLATE(B17083,""id"",""en"")"),"['Hello', 'admin', 'Telkomsel', 'Dear', 'Wear', 'Telkomsel', 'Tissue', 'Telkomsel', 'Bad', 'Love', 'Understand', 'Gini', ' Mending ',' Change ',' Provider ',' Thank you ', ""]")</f>
        <v>['Hello', 'admin', 'Telkomsel', 'Dear', 'Wear', 'Telkomsel', 'Tissue', 'Telkomsel', 'Bad', 'Love', 'Understand', 'Gini', ' Mending ',' Change ',' Provider ',' Thank you ', "]</v>
      </c>
      <c r="D17083" s="3">
        <v>1.0</v>
      </c>
    </row>
    <row r="17084" ht="15.75" customHeight="1">
      <c r="A17084" s="1">
        <v>18154.0</v>
      </c>
      <c r="B17084" s="3" t="s">
        <v>6437</v>
      </c>
      <c r="C17084" s="3" t="str">
        <f>IFERROR(__xludf.DUMMYFUNCTION("GOOGLETRANSLATE(B17084,""id"",""en"")"),"['easy', 'practical']")</f>
        <v>['easy', 'practical']</v>
      </c>
      <c r="D17084" s="3">
        <v>5.0</v>
      </c>
    </row>
    <row r="17085" ht="15.75" customHeight="1">
      <c r="A17085" s="1">
        <v>18155.0</v>
      </c>
      <c r="B17085" s="3" t="s">
        <v>16203</v>
      </c>
      <c r="C17085" s="3" t="str">
        <f>IFERROR(__xludf.DUMMYFUNCTION("GOOGLETRANSLATE(B17085,""id"",""en"")"),"['Install', 'BSA', 'Kebuka', 'Bangeeeet', 'Application']")</f>
        <v>['Install', 'BSA', 'Kebuka', 'Bangeeeet', 'Application']</v>
      </c>
      <c r="D17085" s="3">
        <v>1.0</v>
      </c>
    </row>
    <row r="17086" ht="15.75" customHeight="1">
      <c r="A17086" s="1">
        <v>18156.0</v>
      </c>
      <c r="B17086" s="3" t="s">
        <v>16204</v>
      </c>
      <c r="C17086" s="3" t="str">
        <f>IFERROR(__xludf.DUMMYFUNCTION("GOOGLETRANSLATE(B17086,""id"",""en"")"),"['signal', 'bad', 'customer', 'loyal', 'telkom', 'really', 'disappointing', 'delete', 'post', 'signal', 'fix', 'management']")</f>
        <v>['signal', 'bad', 'customer', 'loyal', 'telkom', 'really', 'disappointing', 'delete', 'post', 'signal', 'fix', 'management']</v>
      </c>
      <c r="D17086" s="3">
        <v>1.0</v>
      </c>
    </row>
    <row r="17087" ht="15.75" customHeight="1">
      <c r="A17087" s="1">
        <v>18157.0</v>
      </c>
      <c r="B17087" s="3" t="s">
        <v>16205</v>
      </c>
      <c r="C17087" s="3" t="str">
        <f>IFERROR(__xludf.DUMMYFUNCTION("GOOGLETRANSLATE(B17087,""id"",""en"")"),"['Good', 'skali', 'petrified', 'sya', 'exchange', 'point', 'sya', 'dri', 'pda', 'poinx', 'hngus',' lbih ',' Exchange ',' Dnnn ',' coupon ',' Lottery ']")</f>
        <v>['Good', 'skali', 'petrified', 'sya', 'exchange', 'point', 'sya', 'dri', 'pda', 'poinx', 'hngus',' lbih ',' Exchange ',' Dnnn ',' coupon ',' Lottery ']</v>
      </c>
      <c r="D17087" s="3">
        <v>5.0</v>
      </c>
    </row>
    <row r="17088" ht="15.75" customHeight="1">
      <c r="A17088" s="1">
        <v>18158.0</v>
      </c>
      <c r="B17088" s="3" t="s">
        <v>16206</v>
      </c>
      <c r="C17088" s="3" t="str">
        <f>IFERROR(__xludf.DUMMYFUNCTION("GOOGLETRANSLATE(B17088,""id"",""en"")"),"['Help', 'trimanasih', 'cell']")</f>
        <v>['Help', 'trimanasih', 'cell']</v>
      </c>
      <c r="D17088" s="3">
        <v>5.0</v>
      </c>
    </row>
    <row r="17089" ht="15.75" customHeight="1">
      <c r="A17089" s="1">
        <v>18159.0</v>
      </c>
      <c r="B17089" s="3" t="s">
        <v>16207</v>
      </c>
      <c r="C17089" s="3" t="str">
        <f>IFERROR(__xludf.DUMMYFUNCTION("GOOGLETRANSLATE(B17089,""id"",""en"")"),"['', 'difficult', 'logon']")</f>
        <v>['', 'difficult', 'logon']</v>
      </c>
      <c r="D17089" s="3">
        <v>4.0</v>
      </c>
    </row>
    <row r="17090" ht="15.75" customHeight="1">
      <c r="A17090" s="1">
        <v>18160.0</v>
      </c>
      <c r="B17090" s="3" t="s">
        <v>16208</v>
      </c>
      <c r="C17090" s="3" t="str">
        <f>IFERROR(__xludf.DUMMYFUNCTION("GOOGLETRANSLATE(B17090,""id"",""en"")"),"['already', 'update', 'no', 'finished', 'celeai']")</f>
        <v>['already', 'update', 'no', 'finished', 'celeai']</v>
      </c>
      <c r="D17090" s="3">
        <v>1.0</v>
      </c>
    </row>
    <row r="17091" ht="15.75" customHeight="1">
      <c r="A17091" s="1">
        <v>18161.0</v>
      </c>
      <c r="B17091" s="3" t="s">
        <v>16209</v>
      </c>
      <c r="C17091" s="3" t="str">
        <f>IFERROR(__xludf.DUMMYFUNCTION("GOOGLETRANSLATE(B17091,""id"",""en"")"),"['down', 'star', 'Telkomsel', 'expensive', 'active', 'data', 'package', 'data', 'experience', 'increase', 'price']")</f>
        <v>['down', 'star', 'Telkomsel', 'expensive', 'active', 'data', 'package', 'data', 'experience', 'increase', 'price']</v>
      </c>
      <c r="D17091" s="3">
        <v>3.0</v>
      </c>
    </row>
    <row r="17092" ht="15.75" customHeight="1">
      <c r="A17092" s="1">
        <v>18163.0</v>
      </c>
      <c r="B17092" s="3" t="s">
        <v>16210</v>
      </c>
      <c r="C17092" s="3" t="str">
        <f>IFERROR(__xludf.DUMMYFUNCTION("GOOGLETRANSLATE(B17092,""id"",""en"")"),"['right', 'buy', 'pulse', 'sucked', 'buy', 'package', 'combo', 'sakti', 'please', 'repair']")</f>
        <v>['right', 'buy', 'pulse', 'sucked', 'buy', 'package', 'combo', 'sakti', 'please', 'repair']</v>
      </c>
      <c r="D17092" s="3">
        <v>3.0</v>
      </c>
    </row>
    <row r="17093" ht="15.75" customHeight="1">
      <c r="A17093" s="1">
        <v>18164.0</v>
      </c>
      <c r="B17093" s="3" t="s">
        <v>16211</v>
      </c>
      <c r="C17093" s="3" t="str">
        <f>IFERROR(__xludf.DUMMYFUNCTION("GOOGLETRANSLATE(B17093,""id"",""en"")"),"['', 'application', 'opened', 'stuck', 'screen', 'white', 'already', 'try', 'install', 'tetep']")</f>
        <v>['', 'application', 'opened', 'stuck', 'screen', 'white', 'already', 'try', 'install', 'tetep']</v>
      </c>
      <c r="D17093" s="3">
        <v>1.0</v>
      </c>
    </row>
    <row r="17094" ht="15.75" customHeight="1">
      <c r="A17094" s="1">
        <v>18165.0</v>
      </c>
      <c r="B17094" s="3" t="s">
        <v>16212</v>
      </c>
      <c r="C17094" s="3" t="str">
        <f>IFERROR(__xludf.DUMMYFUNCTION("GOOGLETRANSLATE(B17094,""id"",""en"")"),"['Operator', 'work', 'ngeapain', 'network', 'internet', 'stable', 'no', 'becus']")</f>
        <v>['Operator', 'work', 'ngeapain', 'network', 'internet', 'stable', 'no', 'becus']</v>
      </c>
      <c r="D17094" s="3">
        <v>1.0</v>
      </c>
    </row>
    <row r="17095" ht="15.75" customHeight="1">
      <c r="A17095" s="1">
        <v>18166.0</v>
      </c>
      <c r="B17095" s="3" t="s">
        <v>16213</v>
      </c>
      <c r="C17095" s="3" t="str">
        <f>IFERROR(__xludf.DUMMYFUNCTION("GOOGLETRANSLATE(B17095,""id"",""en"")"),"['Application', 'Update', 'Open', 'Please', 'Fix', 'Application', 'Opened', 'appears',' screen ',' White ',' just ',' petrified ',' petrified ',' application ']")</f>
        <v>['Application', 'Update', 'Open', 'Please', 'Fix', 'Application', 'Opened', 'appears',' screen ',' White ',' just ',' petrified ',' petrified ',' application ']</v>
      </c>
      <c r="D17095" s="3">
        <v>1.0</v>
      </c>
    </row>
    <row r="17096" ht="15.75" customHeight="1">
      <c r="A17096" s="1">
        <v>18167.0</v>
      </c>
      <c r="B17096" s="3" t="s">
        <v>16214</v>
      </c>
      <c r="C17096" s="3" t="str">
        <f>IFERROR(__xludf.DUMMYFUNCTION("GOOGLETRANSLATE(B17096,""id"",""en"")"),"['great', 'prize', 'need', 'thank you']")</f>
        <v>['great', 'prize', 'need', 'thank you']</v>
      </c>
      <c r="D17096" s="3">
        <v>5.0</v>
      </c>
    </row>
    <row r="17097" ht="15.75" customHeight="1">
      <c r="A17097" s="1">
        <v>18168.0</v>
      </c>
      <c r="B17097" s="3" t="s">
        <v>16215</v>
      </c>
      <c r="C17097" s="3" t="str">
        <f>IFERROR(__xludf.DUMMYFUNCTION("GOOGLETRANSLATE(B17097,""id"",""en"")"),"['Update', 'then' opened ']")</f>
        <v>['Update', 'then' opened ']</v>
      </c>
      <c r="D17097" s="3">
        <v>1.0</v>
      </c>
    </row>
    <row r="17098" ht="15.75" customHeight="1">
      <c r="A17098" s="1">
        <v>18169.0</v>
      </c>
      <c r="B17098" s="3" t="s">
        <v>15600</v>
      </c>
      <c r="C17098" s="3" t="str">
        <f>IFERROR(__xludf.DUMMYFUNCTION("GOOGLETRANSLATE(B17098,""id"",""en"")"),"['makes it easier', 'user']")</f>
        <v>['makes it easier', 'user']</v>
      </c>
      <c r="D17098" s="3">
        <v>5.0</v>
      </c>
    </row>
    <row r="17099" ht="15.75" customHeight="1">
      <c r="A17099" s="1">
        <v>18170.0</v>
      </c>
      <c r="B17099" s="3" t="s">
        <v>16216</v>
      </c>
      <c r="C17099" s="3" t="str">
        <f>IFERROR(__xludf.DUMMYFUNCTION("GOOGLETRANSLATE(B17099,""id"",""en"")"),"['ugly', 'TBTB', 'right', 'Open', 'White', 'Screen', 'Doang']")</f>
        <v>['ugly', 'TBTB', 'right', 'Open', 'White', 'Screen', 'Doang']</v>
      </c>
      <c r="D17099" s="3">
        <v>1.0</v>
      </c>
    </row>
    <row r="17100" ht="15.75" customHeight="1">
      <c r="A17100" s="1">
        <v>18171.0</v>
      </c>
      <c r="B17100" s="3" t="s">
        <v>16217</v>
      </c>
      <c r="C17100" s="3" t="str">
        <f>IFERROR(__xludf.DUMMYFUNCTION("GOOGLETRANSLATE(B17100,""id"",""en"")"),"['makes it easy', 'home']")</f>
        <v>['makes it easy', 'home']</v>
      </c>
      <c r="D17100" s="3">
        <v>5.0</v>
      </c>
    </row>
    <row r="17101" ht="15.75" customHeight="1">
      <c r="A17101" s="1">
        <v>18172.0</v>
      </c>
      <c r="B17101" s="3" t="s">
        <v>16218</v>
      </c>
      <c r="C17101" s="3" t="str">
        <f>IFERROR(__xludf.DUMMYFUNCTION("GOOGLETRANSLATE(B17101,""id"",""en"")"),"['data', 'pulses', 'run out', 'log', 'out', 'right', 'list', 'difficult', 'enter', ""]")</f>
        <v>['data', 'pulses', 'run out', 'log', 'out', 'right', 'list', 'difficult', 'enter', "]</v>
      </c>
      <c r="D17101" s="3">
        <v>2.0</v>
      </c>
    </row>
    <row r="17102" ht="15.75" customHeight="1">
      <c r="A17102" s="1">
        <v>18173.0</v>
      </c>
      <c r="B17102" s="3" t="s">
        <v>16219</v>
      </c>
      <c r="C17102" s="3" t="str">
        <f>IFERROR(__xludf.DUMMYFUNCTION("GOOGLETRANSLATE(B17102,""id"",""en"")"),"['Open', 'application', 'mytelkomsel', 'really', 'open', 'uninstall', 'dlu', 'download', 'open']")</f>
        <v>['Open', 'application', 'mytelkomsel', 'really', 'open', 'uninstall', 'dlu', 'download', 'open']</v>
      </c>
      <c r="D17102" s="3">
        <v>5.0</v>
      </c>
    </row>
    <row r="17103" ht="15.75" customHeight="1">
      <c r="A17103" s="1">
        <v>18175.0</v>
      </c>
      <c r="B17103" s="3" t="s">
        <v>16220</v>
      </c>
      <c r="C17103" s="3" t="str">
        <f>IFERROR(__xludf.DUMMYFUNCTION("GOOGLETRANSLATE(B17103,""id"",""en"")"),"['Help', 'cheap']")</f>
        <v>['Help', 'cheap']</v>
      </c>
      <c r="D17103" s="3">
        <v>5.0</v>
      </c>
    </row>
    <row r="17104" ht="15.75" customHeight="1">
      <c r="A17104" s="1">
        <v>18176.0</v>
      </c>
      <c r="B17104" s="3" t="s">
        <v>16221</v>
      </c>
      <c r="C17104" s="3" t="str">
        <f>IFERROR(__xludf.DUMMYFUNCTION("GOOGLETRANSLATE(B17104,""id"",""en"")"),"['Comfortable', 'use it']")</f>
        <v>['Comfortable', 'use it']</v>
      </c>
      <c r="D17104" s="3">
        <v>5.0</v>
      </c>
    </row>
    <row r="17105" ht="15.75" customHeight="1">
      <c r="A17105" s="1">
        <v>18177.0</v>
      </c>
      <c r="B17105" s="3" t="s">
        <v>16222</v>
      </c>
      <c r="C17105" s="3" t="str">
        <f>IFERROR(__xludf.DUMMYFUNCTION("GOOGLETRANSLATE(B17105,""id"",""en"")"),"['', 'plsa', 'free']")</f>
        <v>['', 'plsa', 'free']</v>
      </c>
      <c r="D17105" s="3">
        <v>1.0</v>
      </c>
    </row>
    <row r="17106" ht="15.75" customHeight="1">
      <c r="A17106" s="1">
        <v>18178.0</v>
      </c>
      <c r="B17106" s="3" t="s">
        <v>16223</v>
      </c>
      <c r="C17106" s="3" t="str">
        <f>IFERROR(__xludf.DUMMYFUNCTION("GOOGLETRANSLATE(B17106,""id"",""en"")"),"['card', 'Telkomsel', 'price', 'package', 'expensive', 'RB', 'I've been', 'PDHL', 'friend', 'Package', 'Telkomsel', 'a month', ' Rb ',' ']")</f>
        <v>['card', 'Telkomsel', 'price', 'package', 'expensive', 'RB', 'I've been', 'PDHL', 'friend', 'Package', 'Telkomsel', 'a month', ' Rb ',' ']</v>
      </c>
      <c r="D17106" s="3">
        <v>5.0</v>
      </c>
    </row>
    <row r="17107" ht="15.75" customHeight="1">
      <c r="A17107" s="1">
        <v>18179.0</v>
      </c>
      <c r="B17107" s="3" t="s">
        <v>16224</v>
      </c>
      <c r="C17107" s="3" t="str">
        <f>IFERROR(__xludf.DUMMYFUNCTION("GOOGLETRANSLATE(B17107,""id"",""en"")"),"['Satisfied', 'promo', 'Telkomsel']")</f>
        <v>['Satisfied', 'promo', 'Telkomsel']</v>
      </c>
      <c r="D17107" s="3">
        <v>5.0</v>
      </c>
    </row>
    <row r="17108" ht="15.75" customHeight="1">
      <c r="A17108" s="1">
        <v>18180.0</v>
      </c>
      <c r="B17108" s="3" t="s">
        <v>4464</v>
      </c>
      <c r="C17108" s="3" t="str">
        <f>IFERROR(__xludf.DUMMYFUNCTION("GOOGLETRANSLATE(B17108,""id"",""en"")"),"['Good', 'satisfying']")</f>
        <v>['Good', 'satisfying']</v>
      </c>
      <c r="D17108" s="3">
        <v>5.0</v>
      </c>
    </row>
    <row r="17109" ht="15.75" customHeight="1">
      <c r="A17109" s="1">
        <v>18181.0</v>
      </c>
      <c r="B17109" s="3" t="s">
        <v>16225</v>
      </c>
      <c r="C17109" s="3" t="str">
        <f>IFERROR(__xludf.DUMMYFUNCTION("GOOGLETRANSLATE(B17109,""id"",""en"")"),"['Easy', 'Hopefully', 'Win', 'Get', 'Lottery', 'Telkomsel']")</f>
        <v>['Easy', 'Hopefully', 'Win', 'Get', 'Lottery', 'Telkomsel']</v>
      </c>
      <c r="D17109" s="3">
        <v>5.0</v>
      </c>
    </row>
    <row r="17110" ht="15.75" customHeight="1">
      <c r="A17110" s="1">
        <v>18182.0</v>
      </c>
      <c r="B17110" s="3" t="s">
        <v>16226</v>
      </c>
      <c r="C17110" s="3" t="str">
        <f>IFERROR(__xludf.DUMMYFUNCTION("GOOGLETRANSLATE(B17110,""id"",""en"")"),"['user', 'Telkomsel']")</f>
        <v>['user', 'Telkomsel']</v>
      </c>
      <c r="D17110" s="3">
        <v>5.0</v>
      </c>
    </row>
    <row r="17111" ht="15.75" customHeight="1">
      <c r="A17111" s="1">
        <v>18183.0</v>
      </c>
      <c r="B17111" s="3" t="s">
        <v>16227</v>
      </c>
      <c r="C17111" s="3" t="str">
        <f>IFERROR(__xludf.DUMMYFUNCTION("GOOGLETRANSLATE(B17111,""id"",""en"")"),"['Time', 'try']")</f>
        <v>['Time', 'try']</v>
      </c>
      <c r="D17111" s="3">
        <v>5.0</v>
      </c>
    </row>
    <row r="17112" ht="15.75" customHeight="1">
      <c r="A17112" s="1">
        <v>18184.0</v>
      </c>
      <c r="B17112" s="3" t="s">
        <v>16228</v>
      </c>
      <c r="C17112" s="3" t="str">
        <f>IFERROR(__xludf.DUMMYFUNCTION("GOOGLETRANSLATE(B17112,""id"",""en"")"),"['Most', 'update', 'open', 'told', 'update', 'emang', 'application', 'bnyk', 'bug', 'lazy', 'open', 'application', ' Telkomsel ',' Update ',' Mending ',' Change ',' Card ']")</f>
        <v>['Most', 'update', 'open', 'told', 'update', 'emang', 'application', 'bnyk', 'bug', 'lazy', 'open', 'application', ' Telkomsel ',' Update ',' Mending ',' Change ',' Card ']</v>
      </c>
      <c r="D17112" s="3">
        <v>1.0</v>
      </c>
    </row>
    <row r="17113" ht="15.75" customHeight="1">
      <c r="A17113" s="1">
        <v>18185.0</v>
      </c>
      <c r="B17113" s="3" t="s">
        <v>16229</v>
      </c>
      <c r="C17113" s="3" t="str">
        <f>IFERROR(__xludf.DUMMYFUNCTION("GOOGLETRANSLATE(B17113,""id"",""en"")"),"['Pantap', 'Pisan', 'BSA', 'Open', 'Application', 'Telkomsel']")</f>
        <v>['Pantap', 'Pisan', 'BSA', 'Open', 'Application', 'Telkomsel']</v>
      </c>
      <c r="D17113" s="3">
        <v>5.0</v>
      </c>
    </row>
    <row r="17114" ht="15.75" customHeight="1">
      <c r="A17114" s="1">
        <v>18186.0</v>
      </c>
      <c r="B17114" s="3" t="s">
        <v>16230</v>
      </c>
      <c r="C17114" s="3" t="str">
        <f>IFERROR(__xludf.DUMMYFUNCTION("GOOGLETRANSLATE(B17114,""id"",""en"")"),"['signal', 'then', 'Nyampe', 'Benerin', 'signal', 'malem', 'clock', 'morning', 'ngeeleg', 'bwnget']")</f>
        <v>['signal', 'then', 'Nyampe', 'Benerin', 'signal', 'malem', 'clock', 'morning', 'ngeeleg', 'bwnget']</v>
      </c>
      <c r="D17114" s="3">
        <v>1.0</v>
      </c>
    </row>
    <row r="17115" ht="15.75" customHeight="1">
      <c r="A17115" s="1">
        <v>18187.0</v>
      </c>
      <c r="B17115" s="3" t="s">
        <v>16231</v>
      </c>
      <c r="C17115" s="3" t="str">
        <f>IFERROR(__xludf.DUMMYFUNCTION("GOOGLETRANSLATE(B17115,""id"",""en"")"),"['like', 'promo', 'interesting', 'recomment', 'really', 'friend', 'friend']")</f>
        <v>['like', 'promo', 'interesting', 'recomment', 'really', 'friend', 'friend']</v>
      </c>
      <c r="D17115" s="3">
        <v>5.0</v>
      </c>
    </row>
    <row r="17116" ht="15.75" customHeight="1">
      <c r="A17116" s="1">
        <v>18188.0</v>
      </c>
      <c r="B17116" s="3" t="s">
        <v>16232</v>
      </c>
      <c r="C17116" s="3" t="str">
        <f>IFERROR(__xludf.DUMMYFUNCTION("GOOGLETRANSLATE(B17116,""id"",""en"")"),"['Please', 'parcels', 'signal', 'Inter', 'Net']")</f>
        <v>['Please', 'parcels', 'signal', 'Inter', 'Net']</v>
      </c>
      <c r="D17116" s="3">
        <v>5.0</v>
      </c>
    </row>
    <row r="17117" ht="15.75" customHeight="1">
      <c r="A17117" s="1">
        <v>18189.0</v>
      </c>
      <c r="B17117" s="3" t="s">
        <v>1167</v>
      </c>
      <c r="C17117" s="3" t="str">
        <f>IFERROR(__xludf.DUMMYFUNCTION("GOOGLETRANSLATE(B17117,""id"",""en"")"),"['help']")</f>
        <v>['help']</v>
      </c>
      <c r="D17117" s="3">
        <v>5.0</v>
      </c>
    </row>
    <row r="17118" ht="15.75" customHeight="1">
      <c r="A17118" s="1">
        <v>18190.0</v>
      </c>
      <c r="B17118" s="3" t="s">
        <v>16233</v>
      </c>
      <c r="C17118" s="3" t="str">
        <f>IFERROR(__xludf.DUMMYFUNCTION("GOOGLETRANSLATE(B17118,""id"",""en"")"),"['Severe', 'Network', 'Telkomsel', 'Like', 'Down', '']")</f>
        <v>['Severe', 'Network', 'Telkomsel', 'Like', 'Down', '']</v>
      </c>
      <c r="D17118" s="3">
        <v>1.0</v>
      </c>
    </row>
    <row r="17119" ht="15.75" customHeight="1">
      <c r="A17119" s="1">
        <v>18191.0</v>
      </c>
      <c r="B17119" s="3" t="s">
        <v>16234</v>
      </c>
      <c r="C17119" s="3" t="str">
        <f>IFERROR(__xludf.DUMMYFUNCTION("GOOGLETRANSLATE(B17119,""id"",""en"")"),"['great', 'really', 'know', 'replace', 'card', 'network', 'grapari', 'closest', 'bonus',' kouta ',' internet ',' thank you ',' Ali ',' Grapari ',' Bungo ', ""]")</f>
        <v>['great', 'really', 'know', 'replace', 'card', 'network', 'grapari', 'closest', 'bonus',' kouta ',' internet ',' thank you ',' Ali ',' Grapari ',' Bungo ', "]</v>
      </c>
      <c r="D17119" s="3">
        <v>5.0</v>
      </c>
    </row>
    <row r="17120" ht="15.75" customHeight="1">
      <c r="A17120" s="1">
        <v>18192.0</v>
      </c>
      <c r="B17120" s="3" t="s">
        <v>16235</v>
      </c>
      <c r="C17120" s="3" t="str">
        <f>IFERROR(__xludf.DUMMYFUNCTION("GOOGLETRANSLATE(B17120,""id"",""en"")"),"['', 'steady', 'help']")</f>
        <v>['', 'steady', 'help']</v>
      </c>
      <c r="D17120" s="3">
        <v>5.0</v>
      </c>
    </row>
    <row r="17121" ht="15.75" customHeight="1">
      <c r="A17121" s="1">
        <v>18193.0</v>
      </c>
      <c r="B17121" s="3" t="s">
        <v>16236</v>
      </c>
      <c r="C17121" s="3" t="str">
        <f>IFERROR(__xludf.DUMMYFUNCTION("GOOGLETRANSLATE(B17121,""id"",""en"")"),"['easy', 'access']")</f>
        <v>['easy', 'access']</v>
      </c>
      <c r="D17121" s="3">
        <v>5.0</v>
      </c>
    </row>
    <row r="17122" ht="15.75" customHeight="1">
      <c r="A17122" s="1">
        <v>18194.0</v>
      </c>
      <c r="B17122" s="3" t="s">
        <v>16237</v>
      </c>
      <c r="C17122" s="3" t="str">
        <f>IFERROR(__xludf.DUMMYFUNCTION("GOOGLETRANSLATE(B17122,""id"",""en"")"),"['Package', 'Telkomsel', 'Tmbah', 'Mhal']")</f>
        <v>['Package', 'Telkomsel', 'Tmbah', 'Mhal']</v>
      </c>
      <c r="D17122" s="3">
        <v>1.0</v>
      </c>
    </row>
    <row r="17123" ht="15.75" customHeight="1">
      <c r="A17123" s="1">
        <v>18195.0</v>
      </c>
      <c r="B17123" s="3" t="s">
        <v>16238</v>
      </c>
      <c r="C17123" s="3" t="str">
        <f>IFERROR(__xludf.DUMMYFUNCTION("GOOGLETRANSLATE(B17123,""id"",""en"")"),"['Telkomsel', 'steady', 'Please', 'Increase', 'Quality', 'Signal', 'Lined', 'Kalimantan']")</f>
        <v>['Telkomsel', 'steady', 'Please', 'Increase', 'Quality', 'Signal', 'Lined', 'Kalimantan']</v>
      </c>
      <c r="D17123" s="3">
        <v>5.0</v>
      </c>
    </row>
    <row r="17124" ht="15.75" customHeight="1">
      <c r="A17124" s="1">
        <v>18197.0</v>
      </c>
      <c r="B17124" s="3" t="s">
        <v>16239</v>
      </c>
      <c r="C17124" s="3" t="str">
        <f>IFERROR(__xludf.DUMMYFUNCTION("GOOGLETRANSLATE(B17124,""id"",""en"")"),"['Telkomsel', 'slow', 'cave', 'stay', 'in the city', 'slow', 'how', 'cave', 'stay', 'village', 'signal']")</f>
        <v>['Telkomsel', 'slow', 'cave', 'stay', 'in the city', 'slow', 'how', 'cave', 'stay', 'village', 'signal']</v>
      </c>
      <c r="D17124" s="3">
        <v>1.0</v>
      </c>
    </row>
    <row r="17125" ht="15.75" customHeight="1">
      <c r="A17125" s="1">
        <v>18198.0</v>
      </c>
      <c r="B17125" s="3" t="s">
        <v>16240</v>
      </c>
      <c r="C17125" s="3" t="str">
        <f>IFERROR(__xludf.DUMMYFUNCTION("GOOGLETRANSLATE(B17125,""id"",""en"")"),"['Thanks', 'Telkomsel', 'Gara', 'Gara', 'You', 'Damaged', 'Crazy', 'Publ', 'Ping', 'Down', ""]")</f>
        <v>['Thanks', 'Telkomsel', 'Gara', 'Gara', 'You', 'Damaged', 'Crazy', 'Publ', 'Ping', 'Down', "]</v>
      </c>
      <c r="D17125" s="3">
        <v>1.0</v>
      </c>
    </row>
    <row r="17126" ht="15.75" customHeight="1">
      <c r="A17126" s="1">
        <v>18199.0</v>
      </c>
      <c r="B17126" s="3" t="s">
        <v>7210</v>
      </c>
      <c r="C17126" s="3" t="str">
        <f>IFERROR(__xludf.DUMMYFUNCTION("GOOGLETRANSLATE(B17126,""id"",""en"")"),"['It's easier for', 'users']")</f>
        <v>['It's easier for', 'users']</v>
      </c>
      <c r="D17126" s="3">
        <v>5.0</v>
      </c>
    </row>
    <row r="17127" ht="15.75" customHeight="1">
      <c r="A17127" s="1">
        <v>18200.0</v>
      </c>
      <c r="B17127" s="3" t="s">
        <v>16241</v>
      </c>
      <c r="C17127" s="3" t="str">
        <f>IFERROR(__xludf.DUMMYFUNCTION("GOOGLETRANSLATE(B17127,""id"",""en"")"),"['Telkomsel', 'ugly', 'download', 'loss', 'drain', 'pulse', ""]")</f>
        <v>['Telkomsel', 'ugly', 'download', 'loss', 'drain', 'pulse', "]</v>
      </c>
      <c r="D17127" s="3">
        <v>1.0</v>
      </c>
    </row>
    <row r="17128" ht="15.75" customHeight="1">
      <c r="A17128" s="1">
        <v>18201.0</v>
      </c>
      <c r="B17128" s="3" t="s">
        <v>16242</v>
      </c>
      <c r="C17128" s="3" t="str">
        <f>IFERROR(__xludf.DUMMYFUNCTION("GOOGLETRANSLATE(B17128,""id"",""en"")"),"['already', 'access', 'network', 'lemoot', 'login', 'session', 'run out', '']")</f>
        <v>['already', 'access', 'network', 'lemoot', 'login', 'session', 'run out', '']</v>
      </c>
      <c r="D17128" s="3">
        <v>1.0</v>
      </c>
    </row>
    <row r="17129" ht="15.75" customHeight="1">
      <c r="A17129" s="1">
        <v>18202.0</v>
      </c>
      <c r="B17129" s="3" t="s">
        <v>16243</v>
      </c>
      <c r="C17129" s="3" t="str">
        <f>IFERROR(__xludf.DUMMYFUNCTION("GOOGLETRANSLATE(B17129,""id"",""en"")"),"['Star', 'geh']")</f>
        <v>['Star', 'geh']</v>
      </c>
      <c r="D17129" s="3">
        <v>5.0</v>
      </c>
    </row>
    <row r="17130" ht="15.75" customHeight="1">
      <c r="A17130" s="1">
        <v>18203.0</v>
      </c>
      <c r="B17130" s="3" t="s">
        <v>16244</v>
      </c>
      <c r="C17130" s="3" t="str">
        <f>IFERROR(__xludf.DUMMYFUNCTION("GOOGLETRANSLATE(B17130,""id"",""en"")"),"['opened', 'error', 'white', 'screen', 'bgi', 'quota', 'free', 'stop', 'promo', 'update', 'app', 'damaged', ' Update ',' updated ',' version ',' msh ',' normal ']")</f>
        <v>['opened', 'error', 'white', 'screen', 'bgi', 'quota', 'free', 'stop', 'promo', 'update', 'app', 'damaged', ' Update ',' updated ',' version ',' msh ',' normal ']</v>
      </c>
      <c r="D17130" s="3">
        <v>1.0</v>
      </c>
    </row>
    <row r="17131" ht="15.75" customHeight="1">
      <c r="A17131" s="1">
        <v>18204.0</v>
      </c>
      <c r="B17131" s="3" t="s">
        <v>16245</v>
      </c>
      <c r="C17131" s="3" t="str">
        <f>IFERROR(__xludf.DUMMYFUNCTION("GOOGLETRANSLATE(B17131,""id"",""en"")"),"['Please', 'information', 'APK', '']")</f>
        <v>['Please', 'information', 'APK', '']</v>
      </c>
      <c r="D17131" s="3">
        <v>1.0</v>
      </c>
    </row>
    <row r="17132" ht="15.75" customHeight="1">
      <c r="A17132" s="1">
        <v>18205.0</v>
      </c>
      <c r="B17132" s="3" t="s">
        <v>16246</v>
      </c>
      <c r="C17132" s="3" t="str">
        <f>IFERROR(__xludf.DUMMYFUNCTION("GOOGLETRANSLATE(B17132,""id"",""en"")"),"['Please', 'improve', 'quality', 'area', 'countryside']")</f>
        <v>['Please', 'improve', 'quality', 'area', 'countryside']</v>
      </c>
      <c r="D17132" s="3">
        <v>4.0</v>
      </c>
    </row>
    <row r="17133" ht="15.75" customHeight="1">
      <c r="A17133" s="1">
        <v>18206.0</v>
      </c>
      <c r="B17133" s="3" t="s">
        <v>16247</v>
      </c>
      <c r="C17133" s="3" t="str">
        <f>IFERROR(__xludf.DUMMYFUNCTION("GOOGLETRANSLATE(B17133,""id"",""en"")"),"['Please', 'Package', 'Sakti', 'thousand', 'Jngan', 'Package', 'Limit', 'Use', 'Thank you']")</f>
        <v>['Please', 'Package', 'Sakti', 'thousand', 'Jngan', 'Package', 'Limit', 'Use', 'Thank you']</v>
      </c>
      <c r="D17133" s="3">
        <v>5.0</v>
      </c>
    </row>
    <row r="17134" ht="15.75" customHeight="1">
      <c r="A17134" s="1">
        <v>18207.0</v>
      </c>
      <c r="B17134" s="3" t="s">
        <v>16248</v>
      </c>
      <c r="C17134" s="3" t="str">
        <f>IFERROR(__xludf.DUMMYFUNCTION("GOOGLETRANSLATE(B17134,""id"",""en"")"),"['process', 'increase', 'limit', 'change', 'quota']")</f>
        <v>['process', 'increase', 'limit', 'change', 'quota']</v>
      </c>
      <c r="D17134" s="3">
        <v>3.0</v>
      </c>
    </row>
    <row r="17135" ht="15.75" customHeight="1">
      <c r="A17135" s="1">
        <v>18208.0</v>
      </c>
      <c r="B17135" s="3" t="s">
        <v>16249</v>
      </c>
      <c r="C17135" s="3" t="str">
        <f>IFERROR(__xludf.DUMMYFUNCTION("GOOGLETRANSLATE(B17135,""id"",""en"")"),"['makes it easy', 'use']")</f>
        <v>['makes it easy', 'use']</v>
      </c>
      <c r="D17135" s="3">
        <v>5.0</v>
      </c>
    </row>
    <row r="17136" ht="15.75" customHeight="1">
      <c r="A17136" s="1">
        <v>18209.0</v>
      </c>
      <c r="B17136" s="3" t="s">
        <v>16250</v>
      </c>
      <c r="C17136" s="3" t="str">
        <f>IFERROR(__xludf.DUMMYFUNCTION("GOOGLETRANSLATE(B17136,""id"",""en"")"),"['connection', 'internet', 'sympathy', 'ugly', 'mulu', 'solution', 'telkomsel', 'price', 'expensive', 'price', 'expensive', 'balance', ' connection ',' please ',' fix ',' connection ',' believe ',' use ',' Telkomsel ']")</f>
        <v>['connection', 'internet', 'sympathy', 'ugly', 'mulu', 'solution', 'telkomsel', 'price', 'expensive', 'price', 'expensive', 'balance', ' connection ',' please ',' fix ',' connection ',' believe ',' use ',' Telkomsel ']</v>
      </c>
      <c r="D17136" s="3">
        <v>1.0</v>
      </c>
    </row>
    <row r="17137" ht="15.75" customHeight="1">
      <c r="A17137" s="1">
        <v>18210.0</v>
      </c>
      <c r="B17137" s="3" t="s">
        <v>16251</v>
      </c>
      <c r="C17137" s="3" t="str">
        <f>IFERROR(__xludf.DUMMYFUNCTION("GOOGLETRANSLATE(B17137,""id"",""en"")"),"['Application', 'Gal', 'opened']")</f>
        <v>['Application', 'Gal', 'opened']</v>
      </c>
      <c r="D17137" s="3">
        <v>1.0</v>
      </c>
    </row>
    <row r="17138" ht="15.75" customHeight="1">
      <c r="A17138" s="1">
        <v>18211.0</v>
      </c>
      <c r="B17138" s="3" t="s">
        <v>16252</v>
      </c>
      <c r="C17138" s="3" t="str">
        <f>IFERROR(__xludf.DUMMYFUNCTION("GOOGLETRANSLATE(B17138,""id"",""en"")"),"['Moga', 'Good']")</f>
        <v>['Moga', 'Good']</v>
      </c>
      <c r="D17138" s="3">
        <v>5.0</v>
      </c>
    </row>
    <row r="17139" ht="15.75" customHeight="1">
      <c r="A17139" s="1">
        <v>18212.0</v>
      </c>
      <c r="B17139" s="3" t="s">
        <v>16253</v>
      </c>
      <c r="C17139" s="3" t="str">
        <f>IFERROR(__xludf.DUMMYFUNCTION("GOOGLETRANSLATE(B17139,""id"",""en"")"),"['Telkomsel', 'number', 'Indonesia', 'Network', 'saatan', 'bad']")</f>
        <v>['Telkomsel', 'number', 'Indonesia', 'Network', 'saatan', 'bad']</v>
      </c>
      <c r="D17139" s="3">
        <v>1.0</v>
      </c>
    </row>
    <row r="17140" ht="15.75" customHeight="1">
      <c r="A17140" s="1">
        <v>18213.0</v>
      </c>
      <c r="B17140" s="3" t="s">
        <v>16254</v>
      </c>
      <c r="C17140" s="3" t="str">
        <f>IFERROR(__xludf.DUMMYFUNCTION("GOOGLETRANSLATE(B17140,""id"",""en"")"),"['Hopefully', 'Helpful', 'People', '']")</f>
        <v>['Hopefully', 'Helpful', 'People', '']</v>
      </c>
      <c r="D17140" s="3">
        <v>5.0</v>
      </c>
    </row>
    <row r="17141" ht="15.75" customHeight="1">
      <c r="A17141" s="1">
        <v>18214.0</v>
      </c>
      <c r="B17141" s="3" t="s">
        <v>16255</v>
      </c>
      <c r="C17141" s="3" t="str">
        <f>IFERROR(__xludf.DUMMYFUNCTION("GOOGLETRANSLATE(B17141,""id"",""en"")"),"['great', 'promo', 'serving', 'customer', 'thank', 'love', 'tsel', '']")</f>
        <v>['great', 'promo', 'serving', 'customer', 'thank', 'love', 'tsel', '']</v>
      </c>
      <c r="D17141" s="3">
        <v>5.0</v>
      </c>
    </row>
    <row r="17142" ht="15.75" customHeight="1">
      <c r="A17142" s="1">
        <v>18215.0</v>
      </c>
      <c r="B17142" s="3" t="s">
        <v>16256</v>
      </c>
      <c r="C17142" s="3" t="str">
        <f>IFERROR(__xludf.DUMMYFUNCTION("GOOGLETRANSLATE(B17142,""id"",""en"")"),"['card', 'sympathy', 'buy', 'package', 'expensive', 'trs', 'kasian', 'remote', 'kasian', '']")</f>
        <v>['card', 'sympathy', 'buy', 'package', 'expensive', 'trs', 'kasian', 'remote', 'kasian', '']</v>
      </c>
      <c r="D17142" s="3">
        <v>1.0</v>
      </c>
    </row>
    <row r="17143" ht="15.75" customHeight="1">
      <c r="A17143" s="1">
        <v>18216.0</v>
      </c>
      <c r="B17143" s="3" t="s">
        <v>16257</v>
      </c>
      <c r="C17143" s="3" t="str">
        <f>IFERROR(__xludf.DUMMYFUNCTION("GOOGLETRANSLATE(B17143,""id"",""en"")"),"['Quality', 'network', 'fix', 'no', 'slow']")</f>
        <v>['Quality', 'network', 'fix', 'no', 'slow']</v>
      </c>
      <c r="D17143" s="3">
        <v>5.0</v>
      </c>
    </row>
    <row r="17144" ht="15.75" customHeight="1">
      <c r="A17144" s="1">
        <v>18217.0</v>
      </c>
      <c r="B17144" s="3" t="s">
        <v>16258</v>
      </c>
      <c r="C17144" s="3" t="str">
        <f>IFERROR(__xludf.DUMMYFUNCTION("GOOGLETRANSLATE(B17144,""id"",""en"")"),"['logic', 'easy']")</f>
        <v>['logic', 'easy']</v>
      </c>
      <c r="D17144" s="3">
        <v>5.0</v>
      </c>
    </row>
    <row r="17145" ht="15.75" customHeight="1">
      <c r="A17145" s="1">
        <v>18218.0</v>
      </c>
      <c r="B17145" s="3" t="s">
        <v>16259</v>
      </c>
      <c r="C17145" s="3" t="str">
        <f>IFERROR(__xludf.DUMMYFUNCTION("GOOGLETRANSLATE(B17145,""id"",""en"")"),"['Package', 'expensive', 'Bangat', 'it looks', 'cheap', '']")</f>
        <v>['Package', 'expensive', 'Bangat', 'it looks', 'cheap', '']</v>
      </c>
      <c r="D17145" s="3">
        <v>3.0</v>
      </c>
    </row>
    <row r="17146" ht="15.75" customHeight="1">
      <c r="A17146" s="1">
        <v>18219.0</v>
      </c>
      <c r="B17146" s="3" t="s">
        <v>16260</v>
      </c>
      <c r="C17146" s="3" t="str">
        <f>IFERROR(__xludf.DUMMYFUNCTION("GOOGLETRANSLATE(B17146,""id"",""en"")"),"['Program', 'good', 'really', 'blum', '']")</f>
        <v>['Program', 'good', 'really', 'blum', '']</v>
      </c>
      <c r="D17146" s="3">
        <v>5.0</v>
      </c>
    </row>
    <row r="17147" ht="15.75" customHeight="1">
      <c r="A17147" s="1">
        <v>18220.0</v>
      </c>
      <c r="B17147" s="3" t="s">
        <v>16261</v>
      </c>
      <c r="C17147" s="3" t="str">
        <f>IFERROR(__xludf.DUMMYFUNCTION("GOOGLETRANSLATE(B17147,""id"",""en"")"),"['complain', 'processed', 'replace', 'loss', 'emang', 'mentally', 'invaders', 'capitalist']")</f>
        <v>['complain', 'processed', 'replace', 'loss', 'emang', 'mentally', 'invaders', 'capitalist']</v>
      </c>
      <c r="D17147" s="3">
        <v>1.0</v>
      </c>
    </row>
    <row r="17148" ht="15.75" customHeight="1">
      <c r="A17148" s="1">
        <v>18221.0</v>
      </c>
      <c r="B17148" s="3" t="s">
        <v>777</v>
      </c>
      <c r="C17148" s="3" t="str">
        <f>IFERROR(__xludf.DUMMYFUNCTION("GOOGLETRANSLATE(B17148,""id"",""en"")"),"['Application', 'Good', '']")</f>
        <v>['Application', 'Good', '']</v>
      </c>
      <c r="D17148" s="3">
        <v>5.0</v>
      </c>
    </row>
    <row r="17149" ht="15.75" customHeight="1">
      <c r="A17149" s="1">
        <v>18222.0</v>
      </c>
      <c r="B17149" s="3" t="s">
        <v>16262</v>
      </c>
      <c r="C17149" s="3" t="str">
        <f>IFERROR(__xludf.DUMMYFUNCTION("GOOGLETRANSLATE(B17149,""id"",""en"")"),"['UDH', 'TIME', 'Download', 'go']")</f>
        <v>['UDH', 'TIME', 'Download', 'go']</v>
      </c>
      <c r="D17149" s="3">
        <v>1.0</v>
      </c>
    </row>
    <row r="17150" ht="15.75" customHeight="1">
      <c r="A17150" s="1">
        <v>18223.0</v>
      </c>
      <c r="B17150" s="3" t="s">
        <v>16263</v>
      </c>
      <c r="C17150" s="3" t="str">
        <f>IFERROR(__xludf.DUMMYFUNCTION("GOOGLETRANSLATE(B17150,""id"",""en"")"),"['Ngelek', 'DAK', 'buy', 'expensive', 'he knows', 'network', 'ngelek', 'loss', 'no', 'network']")</f>
        <v>['Ngelek', 'DAK', 'buy', 'expensive', 'he knows', 'network', 'ngelek', 'loss', 'no', 'network']</v>
      </c>
      <c r="D17150" s="3">
        <v>1.0</v>
      </c>
    </row>
    <row r="17151" ht="15.75" customHeight="1">
      <c r="A17151" s="1">
        <v>18225.0</v>
      </c>
      <c r="B17151" s="3" t="s">
        <v>16264</v>
      </c>
      <c r="C17151" s="3" t="str">
        <f>IFERROR(__xludf.DUMMYFUNCTION("GOOGLETRANSLATE(B17151,""id"",""en"")"),"['as', 'Customer', 'BLM', 'product', 'Package', 'Save', 'Satisfaction', 'KPD', 'Consumer']")</f>
        <v>['as', 'Customer', 'BLM', 'product', 'Package', 'Save', 'Satisfaction', 'KPD', 'Consumer']</v>
      </c>
      <c r="D17151" s="3">
        <v>2.0</v>
      </c>
    </row>
    <row r="17152" ht="15.75" customHeight="1">
      <c r="A17152" s="1">
        <v>18226.0</v>
      </c>
      <c r="B17152" s="3" t="s">
        <v>16265</v>
      </c>
      <c r="C17152" s="3" t="str">
        <f>IFERROR(__xludf.DUMMYFUNCTION("GOOGLETRANSLATE(B17152,""id"",""en"")"),"['Credit', 'reduced', 'appears',' message ',' activates', 'package', 'emergency', 'activates',' package ',' emergency ',' Please ',' explanation ',' Because ',' detrimental ']")</f>
        <v>['Credit', 'reduced', 'appears',' message ',' activates', 'package', 'emergency', 'activates',' package ',' emergency ',' Please ',' explanation ',' Because ',' detrimental ']</v>
      </c>
      <c r="D17152" s="3">
        <v>1.0</v>
      </c>
    </row>
    <row r="17153" ht="15.75" customHeight="1">
      <c r="A17153" s="1">
        <v>18227.0</v>
      </c>
      <c r="B17153" s="3" t="s">
        <v>16266</v>
      </c>
      <c r="C17153" s="3" t="str">
        <f>IFERROR(__xludf.DUMMYFUNCTION("GOOGLETRANSLATE(B17153,""id"",""en"")"),"['sincere', 'network', 'bad', 'amen']")</f>
        <v>['sincere', 'network', 'bad', 'amen']</v>
      </c>
      <c r="D17153" s="3">
        <v>1.0</v>
      </c>
    </row>
    <row r="17154" ht="15.75" customHeight="1">
      <c r="A17154" s="1">
        <v>18228.0</v>
      </c>
      <c r="B17154" s="3" t="s">
        <v>16267</v>
      </c>
      <c r="C17154" s="3" t="str">
        <f>IFERROR(__xludf.DUMMYFUNCTION("GOOGLETRANSLATE(B17154,""id"",""en"")"),"['The application', 'opened', 'blank', 'white', 'gmn', 'min', 'alternating', 'install', 'reset', 'that's',' weaving ',' network ',' down', '']")</f>
        <v>['The application', 'opened', 'blank', 'white', 'gmn', 'min', 'alternating', 'install', 'reset', 'that's',' weaving ',' network ',' down', '']</v>
      </c>
      <c r="D17154" s="3">
        <v>1.0</v>
      </c>
    </row>
    <row r="17155" ht="15.75" customHeight="1">
      <c r="A17155" s="1">
        <v>18229.0</v>
      </c>
      <c r="B17155" s="3" t="s">
        <v>16268</v>
      </c>
      <c r="C17155" s="3" t="str">
        <f>IFERROR(__xludf.DUMMYFUNCTION("GOOGLETRANSLATE(B17155,""id"",""en"")"),"['Paraaah', 'Hang', 'Raying', 'Update', 'Telkomsel', ""]")</f>
        <v>['Paraaah', 'Hang', 'Raying', 'Update', 'Telkomsel', "]</v>
      </c>
      <c r="D17155" s="3">
        <v>1.0</v>
      </c>
    </row>
    <row r="17156" ht="15.75" customHeight="1">
      <c r="A17156" s="1">
        <v>18231.0</v>
      </c>
      <c r="B17156" s="3" t="s">
        <v>16269</v>
      </c>
      <c r="C17156" s="3" t="str">
        <f>IFERROR(__xludf.DUMMYFUNCTION("GOOGLETRANSLATE(B17156,""id"",""en"")"),"['use', 'Telkomsel', 'Paketannya', 'pulse', 'Take', 'Please', 'Benerin', 'Credit', 'Jngan', 'Suck', 'Pas',' Install ',' Reduced ',' huhu ',' disappointing ']")</f>
        <v>['use', 'Telkomsel', 'Paketannya', 'pulse', 'Take', 'Please', 'Benerin', 'Credit', 'Jngan', 'Suck', 'Pas',' Install ',' Reduced ',' huhu ',' disappointing ']</v>
      </c>
      <c r="D17156" s="3">
        <v>1.0</v>
      </c>
    </row>
    <row r="17157" ht="15.75" customHeight="1">
      <c r="A17157" s="1">
        <v>18232.0</v>
      </c>
      <c r="B17157" s="3" t="s">
        <v>16270</v>
      </c>
      <c r="C17157" s="3" t="str">
        <f>IFERROR(__xludf.DUMMYFUNCTION("GOOGLETRANSLATE(B17157,""id"",""en"")"),"['Sorry', 'Love', 'Star', 'Main', 'Game', 'The Network', 'Edge']")</f>
        <v>['Sorry', 'Love', 'Star', 'Main', 'Game', 'The Network', 'Edge']</v>
      </c>
      <c r="D17157" s="3">
        <v>4.0</v>
      </c>
    </row>
    <row r="17158" ht="15.75" customHeight="1">
      <c r="A17158" s="1">
        <v>18233.0</v>
      </c>
      <c r="B17158" s="3" t="s">
        <v>16271</v>
      </c>
      <c r="C17158" s="3" t="str">
        <f>IFERROR(__xludf.DUMMYFUNCTION("GOOGLETRANSLATE(B17158,""id"",""en"")"),"['Open', 'APK', 'ZONK', 'Blank', 'White', 'Screen']")</f>
        <v>['Open', 'APK', 'ZONK', 'Blank', 'White', 'Screen']</v>
      </c>
      <c r="D17158" s="3">
        <v>1.0</v>
      </c>
    </row>
    <row r="17159" ht="15.75" customHeight="1">
      <c r="A17159" s="1">
        <v>18234.0</v>
      </c>
      <c r="B17159" s="3" t="s">
        <v>16272</v>
      </c>
      <c r="C17159" s="3" t="str">
        <f>IFERROR(__xludf.DUMMYFUNCTION("GOOGLETRANSLATE(B17159,""id"",""en"")"),"['Update', 'On']")</f>
        <v>['Update', 'On']</v>
      </c>
      <c r="D17159" s="3">
        <v>3.0</v>
      </c>
    </row>
    <row r="17160" ht="15.75" customHeight="1">
      <c r="A17160" s="1">
        <v>18235.0</v>
      </c>
      <c r="B17160" s="3" t="s">
        <v>16273</v>
      </c>
      <c r="C17160" s="3" t="str">
        <f>IFERROR(__xludf.DUMMYFUNCTION("GOOGLETRANSLATE(B17160,""id"",""en"")"),"['Application', 'Good', 'ASIII', '' ']")</f>
        <v>['Application', 'Good', 'ASIII', '' ']</v>
      </c>
      <c r="D17160" s="3">
        <v>5.0</v>
      </c>
    </row>
    <row r="17161" ht="15.75" customHeight="1">
      <c r="A17161" s="1">
        <v>18236.0</v>
      </c>
      <c r="B17161" s="3" t="s">
        <v>16274</v>
      </c>
      <c r="C17161" s="3" t="str">
        <f>IFERROR(__xludf.DUMMYFUNCTION("GOOGLETRANSLATE(B17161,""id"",""en"")"),"['Knp', 'stack', 'scereeen', 'white', 'trs', 'min', 'please', 'fix']")</f>
        <v>['Knp', 'stack', 'scereeen', 'white', 'trs', 'min', 'please', 'fix']</v>
      </c>
      <c r="D17161" s="3">
        <v>1.0</v>
      </c>
    </row>
    <row r="17162" ht="15.75" customHeight="1">
      <c r="A17162" s="1">
        <v>18237.0</v>
      </c>
      <c r="B17162" s="3" t="s">
        <v>16275</v>
      </c>
      <c r="C17162" s="3" t="str">
        <f>IFERROR(__xludf.DUMMYFUNCTION("GOOGLETRANSLATE(B17162,""id"",""en"")"),"['Open', 'Daily', 'Check', '']")</f>
        <v>['Open', 'Daily', 'Check', '']</v>
      </c>
      <c r="D17162" s="3">
        <v>5.0</v>
      </c>
    </row>
    <row r="17163" ht="15.75" customHeight="1">
      <c r="A17163" s="1">
        <v>18238.0</v>
      </c>
      <c r="B17163" s="3" t="s">
        <v>16276</v>
      </c>
      <c r="C17163" s="3" t="str">
        <f>IFERROR(__xludf.DUMMYFUNCTION("GOOGLETRANSLATE(B17163,""id"",""en"")"),"['Concerned', 'Regions', 'Kalimantan', 'South', 'Network', 'Telkomsel', 'Lemot']")</f>
        <v>['Concerned', 'Regions', 'Kalimantan', 'South', 'Network', 'Telkomsel', 'Lemot']</v>
      </c>
      <c r="D17163" s="3">
        <v>1.0</v>
      </c>
    </row>
    <row r="17164" ht="15.75" customHeight="1">
      <c r="A17164" s="1">
        <v>18239.0</v>
      </c>
      <c r="B17164" s="3" t="s">
        <v>16277</v>
      </c>
      <c r="C17164" s="3" t="str">
        <f>IFERROR(__xludf.DUMMYFUNCTION("GOOGLETRANSLATE(B17164,""id"",""en"")"),"['Please', 'fix', 'enter', 'apk', 'Telkomsel', 'error']")</f>
        <v>['Please', 'fix', 'enter', 'apk', 'Telkomsel', 'error']</v>
      </c>
      <c r="D17164" s="3">
        <v>1.0</v>
      </c>
    </row>
    <row r="17165" ht="15.75" customHeight="1">
      <c r="A17165" s="1">
        <v>18240.0</v>
      </c>
      <c r="B17165" s="3" t="s">
        <v>777</v>
      </c>
      <c r="C17165" s="3" t="str">
        <f>IFERROR(__xludf.DUMMYFUNCTION("GOOGLETRANSLATE(B17165,""id"",""en"")"),"['Application', 'Good', '']")</f>
        <v>['Application', 'Good', '']</v>
      </c>
      <c r="D17165" s="3">
        <v>5.0</v>
      </c>
    </row>
    <row r="17166" ht="15.75" customHeight="1">
      <c r="A17166" s="1">
        <v>18241.0</v>
      </c>
      <c r="B17166" s="3" t="s">
        <v>16278</v>
      </c>
      <c r="C17166" s="3" t="str">
        <f>IFERROR(__xludf.DUMMYFUNCTION("GOOGLETRANSLATE(B17166,""id"",""en"")"),"['Toling', 'Telkomsel', 'may', 'SKRNG', 'Snyanya', 'maybe', 'bad', 'please', 'Fong', 'fix', 'jngan', 'packetan', ' Doang ',' Mahalin ',' signal ',' ugly ',' plnggan ',' stia ',' psti ',' move ',' all ',' operator ']")</f>
        <v>['Toling', 'Telkomsel', 'may', 'SKRNG', 'Snyanya', 'maybe', 'bad', 'please', 'Fong', 'fix', 'jngan', 'packetan', ' Doang ',' Mahalin ',' signal ',' ugly ',' plnggan ',' stia ',' psti ',' move ',' all ',' operator ']</v>
      </c>
      <c r="D17166" s="3">
        <v>1.0</v>
      </c>
    </row>
    <row r="17167" ht="15.75" customHeight="1">
      <c r="A17167" s="1">
        <v>18242.0</v>
      </c>
      <c r="B17167" s="3" t="s">
        <v>16279</v>
      </c>
      <c r="C17167" s="3" t="str">
        <f>IFERROR(__xludf.DUMMYFUNCTION("GOOGLETRANSLATE(B17167,""id"",""en"")"),"['application', 'broken', 'please', 'repair', 'Telkomsel', 'buy', 'quota', 'combo', 'sick', 'Telkomsel', 'pay', 'use', ' Application ',' Fund ',' balance ',' tone ',' truncated ',' paid ',' quota ',' nga ',' entry ',' sampa ',' cheating ',' disorder ',' a"&amp;"pplication ' , 'Telkomsel', 'Please', 'Fix', 'Restore', 'Balance', 'Fund', 'Cut', 'Quota', 'Enter']")</f>
        <v>['application', 'broken', 'please', 'repair', 'Telkomsel', 'buy', 'quota', 'combo', 'sick', 'Telkomsel', 'pay', 'use', ' Application ',' Fund ',' balance ',' tone ',' truncated ',' paid ',' quota ',' nga ',' entry ',' sampa ',' cheating ',' disorder ',' application ' , 'Telkomsel', 'Please', 'Fix', 'Restore', 'Balance', 'Fund', 'Cut', 'Quota', 'Enter']</v>
      </c>
      <c r="D17167" s="3">
        <v>1.0</v>
      </c>
    </row>
    <row r="17168" ht="15.75" customHeight="1">
      <c r="A17168" s="1">
        <v>18243.0</v>
      </c>
      <c r="B17168" s="3" t="s">
        <v>16280</v>
      </c>
      <c r="C17168" s="3" t="str">
        <f>IFERROR(__xludf.DUMMYFUNCTION("GOOGLETRANSLATE(B17168,""id"",""en"")"),"['TRIMS', 'Telkomsel', 'suda', 'mmbntu', '']")</f>
        <v>['TRIMS', 'Telkomsel', 'suda', 'mmbntu', '']</v>
      </c>
      <c r="D17168" s="3">
        <v>5.0</v>
      </c>
    </row>
    <row r="17169" ht="15.75" customHeight="1">
      <c r="A17169" s="1">
        <v>18244.0</v>
      </c>
      <c r="B17169" s="3" t="s">
        <v>16281</v>
      </c>
      <c r="C17169" s="3" t="str">
        <f>IFERROR(__xludf.DUMMYFUNCTION("GOOGLETRANSLATE(B17169,""id"",""en"")"),"['expensive', 'price', 'package', 'quota', 'package', 'midnight', 'point', 'burdensome', 'consumer', 'cheat', 'Telkomsel', 'Akti', ' Quota ',' Date ',' expiration ',' date ',' fix ',' Telkomsel ',' SPT ',' stingy ',' ']")</f>
        <v>['expensive', 'price', 'package', 'quota', 'package', 'midnight', 'point', 'burdensome', 'consumer', 'cheat', 'Telkomsel', 'Akti', ' Quota ',' Date ',' expiration ',' date ',' fix ',' Telkomsel ',' SPT ',' stingy ',' ']</v>
      </c>
      <c r="D17169" s="3">
        <v>2.0</v>
      </c>
    </row>
    <row r="17170" ht="15.75" customHeight="1">
      <c r="A17170" s="1">
        <v>18245.0</v>
      </c>
      <c r="B17170" s="3" t="s">
        <v>16282</v>
      </c>
      <c r="C17170" s="3" t="str">
        <f>IFERROR(__xludf.DUMMYFUNCTION("GOOGLETRANSLATE(B17170,""id"",""en"")"),"['Telkomsel', 'severe', 'play', 'game', 'class',' COC ',' slow ',' bts', 'fair', 'BTS', 'Telkomsel', 'purpose', ' ']")</f>
        <v>['Telkomsel', 'severe', 'play', 'game', 'class',' COC ',' slow ',' bts', 'fair', 'BTS', 'Telkomsel', 'purpose', ' ']</v>
      </c>
      <c r="D17170" s="3">
        <v>1.0</v>
      </c>
    </row>
    <row r="17171" ht="15.75" customHeight="1">
      <c r="A17171" s="1">
        <v>18247.0</v>
      </c>
      <c r="B17171" s="3" t="s">
        <v>16283</v>
      </c>
      <c r="C17171" s="3" t="str">
        <f>IFERROR(__xludf.DUMMYFUNCTION("GOOGLETRANSLATE(B17171,""id"",""en"")"),"['Cirrism', 'Use', 'Application', 'MyTelkomsel', 'Confused', 'Make me', 'Discuss',' Krna ',' My Samus', 'Disconnect', 'Asa', ' MyTelkomsel ',' Makes me ',' fascinated ',' have ',' aura ',' charismatic ',' emit ',' Like ',' Sun ',' moon ',' noon ',' night "&amp;"',' swan ' , 'waves', 'dust', 'eyes', 'amazed', 'amazed', 'sandy', 'sand', 'eyes', 'insight', 'beauty', 'tribulation', ""]")</f>
        <v>['Cirrism', 'Use', 'Application', 'MyTelkomsel', 'Confused', 'Make me', 'Discuss',' Krna ',' My Samus', 'Disconnect', 'Asa', ' MyTelkomsel ',' Makes me ',' fascinated ',' have ',' aura ',' charismatic ',' emit ',' Like ',' Sun ',' moon ',' noon ',' night ',' swan ' , 'waves', 'dust', 'eyes', 'amazed', 'amazed', 'sandy', 'sand', 'eyes', 'insight', 'beauty', 'tribulation', "]</v>
      </c>
      <c r="D17171" s="3">
        <v>5.0</v>
      </c>
    </row>
    <row r="17172" ht="15.75" customHeight="1">
      <c r="A17172" s="1">
        <v>18248.0</v>
      </c>
      <c r="B17172" s="3" t="s">
        <v>16284</v>
      </c>
      <c r="C17172" s="3" t="str">
        <f>IFERROR(__xludf.DUMMYFUNCTION("GOOGLETRANSLATE(B17172,""id"",""en"")"),"['Credit', 'Cut', 'Use', 'WiFi']")</f>
        <v>['Credit', 'Cut', 'Use', 'WiFi']</v>
      </c>
      <c r="D17172" s="3">
        <v>1.0</v>
      </c>
    </row>
    <row r="17173" ht="15.75" customHeight="1">
      <c r="A17173" s="1">
        <v>18249.0</v>
      </c>
      <c r="B17173" s="3" t="s">
        <v>16285</v>
      </c>
      <c r="C17173" s="3" t="str">
        <f>IFERROR(__xludf.DUMMYFUNCTION("GOOGLETRANSLATE(B17173,""id"",""en"")"),"['Bad', 'use']")</f>
        <v>['Bad', 'use']</v>
      </c>
      <c r="D17173" s="3">
        <v>3.0</v>
      </c>
    </row>
    <row r="17174" ht="15.75" customHeight="1">
      <c r="A17174" s="1">
        <v>18250.0</v>
      </c>
      <c r="B17174" s="3" t="s">
        <v>16286</v>
      </c>
      <c r="C17174" s="3" t="str">
        <f>IFERROR(__xludf.DUMMYFUNCTION("GOOGLETRANSLATE(B17174,""id"",""en"")"),"['Sorry', 'Telkomsel', 'Sanga', 'Teeth', 'Points',' Data ',' Credit ',' Tampa ',' picking up ',' Costs', 'Additional', 'Exchange', ' Points', 'buy', 'packages',' fees', 'exchanges',' expensive ',' disappointed ',' really ',' Telkomsel ', ""]")</f>
        <v>['Sorry', 'Telkomsel', 'Sanga', 'Teeth', 'Points',' Data ',' Credit ',' Tampa ',' picking up ',' Costs', 'Additional', 'Exchange', ' Points', 'buy', 'packages',' fees', 'exchanges',' expensive ',' disappointed ',' really ',' Telkomsel ', "]</v>
      </c>
      <c r="D17174" s="3">
        <v>1.0</v>
      </c>
    </row>
    <row r="17175" ht="15.75" customHeight="1">
      <c r="A17175" s="1">
        <v>18251.0</v>
      </c>
      <c r="B17175" s="3" t="s">
        <v>16287</v>
      </c>
      <c r="C17175" s="3" t="str">
        <f>IFERROR(__xludf.DUMMYFUNCTION("GOOGLETRANSLATE(B17175,""id"",""en"")"),"['Please', 'Quality', 'Network', 'Fix', 'Ngegame', 'Super', 'ugly', 'Area', 'Grobogan', 'Please', 'Message', ' Mendanjorjan ',' comment ',' twiter ',' line ',' function ',' column ',' comment ',' ']")</f>
        <v>['Please', 'Quality', 'Network', 'Fix', 'Ngegame', 'Super', 'ugly', 'Area', 'Grobogan', 'Please', 'Message', ' Mendanjorjan ',' comment ',' twiter ',' line ',' function ',' column ',' comment ',' ']</v>
      </c>
      <c r="D17175" s="3">
        <v>1.0</v>
      </c>
    </row>
    <row r="17176" ht="15.75" customHeight="1">
      <c r="A17176" s="1">
        <v>18252.0</v>
      </c>
      <c r="B17176" s="3" t="s">
        <v>16288</v>
      </c>
      <c r="C17176" s="3" t="str">
        <f>IFERROR(__xludf.DUMMYFUNCTION("GOOGLETRANSLATE(B17176,""id"",""en"")"),"['quota', 'unlimitid', 'Telkomsel', 'buy', ""]")</f>
        <v>['quota', 'unlimitid', 'Telkomsel', 'buy', "]</v>
      </c>
      <c r="D17176" s="3">
        <v>4.0</v>
      </c>
    </row>
    <row r="17177" ht="15.75" customHeight="1">
      <c r="A17177" s="1">
        <v>18253.0</v>
      </c>
      <c r="B17177" s="3" t="s">
        <v>16289</v>
      </c>
      <c r="C17177" s="3" t="str">
        <f>IFERROR(__xludf.DUMMYFUNCTION("GOOGLETRANSLATE(B17177,""id"",""en"")"),"['network', 'Telkomsel', 'already', 'kayak', 'connection', 'worst', 'already', 'kayak', 'network', 'abal', 'abal', '']")</f>
        <v>['network', 'Telkomsel', 'already', 'kayak', 'connection', 'worst', 'already', 'kayak', 'network', 'abal', 'abal', '']</v>
      </c>
      <c r="D17177" s="3">
        <v>1.0</v>
      </c>
    </row>
    <row r="17178" ht="15.75" customHeight="1">
      <c r="A17178" s="1">
        <v>18254.0</v>
      </c>
      <c r="B17178" s="3" t="s">
        <v>16290</v>
      </c>
      <c r="C17178" s="3" t="str">
        <f>IFERROR(__xludf.DUMMYFUNCTION("GOOGLETRANSLATE(B17178,""id"",""en"")"),"['Thank you', 'Telkomsel', 'blessings', 'get', 'info', 'package', 'cheap', 'save', 'cost']")</f>
        <v>['Thank you', 'Telkomsel', 'blessings', 'get', 'info', 'package', 'cheap', 'save', 'cost']</v>
      </c>
      <c r="D17178" s="3">
        <v>5.0</v>
      </c>
    </row>
    <row r="17179" ht="15.75" customHeight="1">
      <c r="A17179" s="1">
        <v>18255.0</v>
      </c>
      <c r="B17179" s="3" t="s">
        <v>16291</v>
      </c>
      <c r="C17179" s="3" t="str">
        <f>IFERROR(__xludf.DUMMYFUNCTION("GOOGLETRANSLATE(B17179,""id"",""en"")"),"['Telkomsel', 'disappointing', 'price', 'quota', 'super', 'expensive', 'network', 'super', 'slow', 'disappointed', 'users',' Telkomsel ',' ']")</f>
        <v>['Telkomsel', 'disappointing', 'price', 'quota', 'super', 'expensive', 'network', 'super', 'slow', 'disappointed', 'users',' Telkomsel ',' ']</v>
      </c>
      <c r="D17179" s="3">
        <v>1.0</v>
      </c>
    </row>
    <row r="17180" ht="15.75" customHeight="1">
      <c r="A17180" s="1">
        <v>18256.0</v>
      </c>
      <c r="B17180" s="3" t="s">
        <v>16292</v>
      </c>
      <c r="C17180" s="3" t="str">
        <f>IFERROR(__xludf.DUMMYFUNCTION("GOOGLETRANSLATE(B17180,""id"",""en"")"),"['knapa', 'entry', 'just', 'dwoloud', 'reset', 'tetep', 'enter', '']")</f>
        <v>['knapa', 'entry', 'just', 'dwoloud', 'reset', 'tetep', 'enter', '']</v>
      </c>
      <c r="D17180" s="3">
        <v>1.0</v>
      </c>
    </row>
    <row r="17181" ht="15.75" customHeight="1">
      <c r="A17181" s="1">
        <v>18257.0</v>
      </c>
      <c r="B17181" s="3" t="s">
        <v>16293</v>
      </c>
      <c r="C17181" s="3" t="str">
        <f>IFERROR(__xludf.DUMMYFUNCTION("GOOGLETRANSLATE(B17181,""id"",""en"")"),"['Good', 'gift', 'check', 'change', 'quota', 'discount', 'zlora']")</f>
        <v>['Good', 'gift', 'check', 'change', 'quota', 'discount', 'zlora']</v>
      </c>
      <c r="D17181" s="3">
        <v>4.0</v>
      </c>
    </row>
    <row r="17182" ht="15.75" customHeight="1">
      <c r="A17182" s="1">
        <v>18258.0</v>
      </c>
      <c r="B17182" s="3" t="s">
        <v>16294</v>
      </c>
      <c r="C17182" s="3" t="str">
        <f>IFERROR(__xludf.DUMMYFUNCTION("GOOGLETRANSLATE(B17182,""id"",""en"")"),"['', 'Telkomsel', 'update', 'already', 'no', 'open', 'already', 'no', 'open', 'fail', 'product']")</f>
        <v>['', 'Telkomsel', 'update', 'already', 'no', 'open', 'already', 'no', 'open', 'fail', 'product']</v>
      </c>
      <c r="D17182" s="3">
        <v>5.0</v>
      </c>
    </row>
    <row r="17183" ht="15.75" customHeight="1">
      <c r="A17183" s="1">
        <v>18259.0</v>
      </c>
      <c r="B17183" s="3" t="s">
        <v>16295</v>
      </c>
      <c r="C17183" s="3" t="str">
        <f>IFERROR(__xludf.DUMMYFUNCTION("GOOGLETRANSLATE(B17183,""id"",""en"")"),"['', 'Unfortunately', 'Package', 'Nelp']")</f>
        <v>['', 'Unfortunately', 'Package', 'Nelp']</v>
      </c>
      <c r="D17183" s="3">
        <v>2.0</v>
      </c>
    </row>
    <row r="17184" ht="15.75" customHeight="1">
      <c r="A17184" s="1">
        <v>18260.0</v>
      </c>
      <c r="B17184" s="3" t="s">
        <v>16296</v>
      </c>
      <c r="C17184" s="3" t="str">
        <f>IFERROR(__xludf.DUMMYFUNCTION("GOOGLETRANSLATE(B17184,""id"",""en"")"),"['Application', 'dizzy']")</f>
        <v>['Application', 'dizzy']</v>
      </c>
      <c r="D17184" s="3">
        <v>1.0</v>
      </c>
    </row>
    <row r="17185" ht="15.75" customHeight="1">
      <c r="A17185" s="1">
        <v>18261.0</v>
      </c>
      <c r="B17185" s="3" t="s">
        <v>16297</v>
      </c>
      <c r="C17185" s="3" t="str">
        <f>IFERROR(__xludf.DUMMYFUNCTION("GOOGLETRANSLATE(B17185,""id"",""en"")"),"['Sorry', 'update', 'no', 'opened', '']")</f>
        <v>['Sorry', 'update', 'no', 'opened', '']</v>
      </c>
      <c r="D17185" s="3">
        <v>5.0</v>
      </c>
    </row>
    <row r="17186" ht="15.75" customHeight="1">
      <c r="A17186" s="1">
        <v>18262.0</v>
      </c>
      <c r="B17186" s="3" t="s">
        <v>16298</v>
      </c>
      <c r="C17186" s="3" t="str">
        <f>IFERROR(__xludf.DUMMYFUNCTION("GOOGLETRANSLATE(B17186,""id"",""en"")"),"['Network', 'Telkomsel', 'Mulu', 'Price', 'Expensive', 'Network', 'Trash', 'Mending', 'Move', 'Provider', ""]")</f>
        <v>['Network', 'Telkomsel', 'Mulu', 'Price', 'Expensive', 'Network', 'Trash', 'Mending', 'Move', 'Provider', "]</v>
      </c>
      <c r="D17186" s="3">
        <v>1.0</v>
      </c>
    </row>
    <row r="17187" ht="15.75" customHeight="1">
      <c r="A17187" s="1">
        <v>18263.0</v>
      </c>
      <c r="B17187" s="3" t="s">
        <v>16299</v>
      </c>
      <c r="C17187" s="3" t="str">
        <f>IFERROR(__xludf.DUMMYFUNCTION("GOOGLETRANSLATE(B17187,""id"",""en"")"),"['buy', 'quota', 'via', 'Gopay', 'balance', 'truncated', 'quota', 'enter', 'ORDER', 'Telkomsel']")</f>
        <v>['buy', 'quota', 'via', 'Gopay', 'balance', 'truncated', 'quota', 'enter', 'ORDER', 'Telkomsel']</v>
      </c>
      <c r="D17187" s="3">
        <v>1.0</v>
      </c>
    </row>
    <row r="17188" ht="15.75" customHeight="1">
      <c r="A17188" s="1">
        <v>18264.0</v>
      </c>
      <c r="B17188" s="3" t="s">
        <v>16300</v>
      </c>
      <c r="C17188" s="3" t="str">
        <f>IFERROR(__xludf.DUMMYFUNCTION("GOOGLETRANSLATE(B17188,""id"",""en"")"),"['response', 'slow', 'send', 'gift', 'pulse', 'gopay', 'enter', 'balance', 'gopay', 'truncated', 'send', 'email', ' Chat ',' virtual ',' application ',' WhatsApp ',' response ',' disappointed ',' service ',' Telkomsel ',' times', 'please', 'repaired', 'en"&amp;"hanced', ""]")</f>
        <v>['response', 'slow', 'send', 'gift', 'pulse', 'gopay', 'enter', 'balance', 'gopay', 'truncated', 'send', 'email', ' Chat ',' virtual ',' application ',' WhatsApp ',' response ',' disappointed ',' service ',' Telkomsel ',' times', 'please', 'repaired', 'enhanced', "]</v>
      </c>
      <c r="D17188" s="3">
        <v>1.0</v>
      </c>
    </row>
    <row r="17189" ht="15.75" customHeight="1">
      <c r="A17189" s="1">
        <v>18265.0</v>
      </c>
      <c r="B17189" s="3" t="s">
        <v>16301</v>
      </c>
      <c r="C17189" s="3" t="str">
        <f>IFERROR(__xludf.DUMMYFUNCTION("GOOGLETRANSLATE(B17189,""id"",""en"")"),"['woi', 'telkom', 'play', 'lag', 'kon', 'udh', 'pay', 'expensive', 'slow', 'lol']")</f>
        <v>['woi', 'telkom', 'play', 'lag', 'kon', 'udh', 'pay', 'expensive', 'slow', 'lol']</v>
      </c>
      <c r="D17189" s="3">
        <v>1.0</v>
      </c>
    </row>
    <row r="17190" ht="15.75" customHeight="1">
      <c r="A17190" s="1">
        <v>18266.0</v>
      </c>
      <c r="B17190" s="3" t="s">
        <v>16302</v>
      </c>
      <c r="C17190" s="3" t="str">
        <f>IFERROR(__xludf.DUMMYFUNCTION("GOOGLETRANSLATE(B17190,""id"",""en"")"),"['gile', 'NDRO', 'expensive', 'Jrgan', 'Ngadat', 'Signed', 'TRS', 'PDHL', 'Customer', 'BKNX', 'Give', 'Promo', ' Fucked ',' Price ',' ']")</f>
        <v>['gile', 'NDRO', 'expensive', 'Jrgan', 'Ngadat', 'Signed', 'TRS', 'PDHL', 'Customer', 'BKNX', 'Give', 'Promo', ' Fucked ',' Price ',' ']</v>
      </c>
      <c r="D17190" s="3">
        <v>1.0</v>
      </c>
    </row>
    <row r="17191" ht="15.75" customHeight="1">
      <c r="A17191" s="1">
        <v>18267.0</v>
      </c>
      <c r="B17191" s="3" t="s">
        <v>16303</v>
      </c>
      <c r="C17191" s="3" t="str">
        <f>IFERROR(__xludf.DUMMYFUNCTION("GOOGLETRANSLATE(B17191,""id"",""en"")"),"['CMN', 'screen', 'white', 'appears']")</f>
        <v>['CMN', 'screen', 'white', 'appears']</v>
      </c>
      <c r="D17191" s="3">
        <v>1.0</v>
      </c>
    </row>
    <row r="17192" ht="15.75" customHeight="1">
      <c r="A17192" s="1">
        <v>18268.0</v>
      </c>
      <c r="B17192" s="3" t="s">
        <v>16304</v>
      </c>
      <c r="C17192" s="3" t="str">
        <f>IFERROR(__xludf.DUMMYFUNCTION("GOOGLETRANSLATE(B17192,""id"",""en"")"),"['Alhamdulillah', 'easy', 'application']")</f>
        <v>['Alhamdulillah', 'easy', 'application']</v>
      </c>
      <c r="D17192" s="3">
        <v>5.0</v>
      </c>
    </row>
    <row r="17193" ht="15.75" customHeight="1">
      <c r="A17193" s="1">
        <v>18269.0</v>
      </c>
      <c r="B17193" s="3" t="s">
        <v>16305</v>
      </c>
      <c r="C17193" s="3" t="str">
        <f>IFERROR(__xludf.DUMMYFUNCTION("GOOGLETRANSLATE(B17193,""id"",""en"")"),"['contents', 'package', 'times', 'msuk', '']")</f>
        <v>['contents', 'package', 'times', 'msuk', '']</v>
      </c>
      <c r="D17193" s="3">
        <v>1.0</v>
      </c>
    </row>
    <row r="17194" ht="15.75" customHeight="1">
      <c r="A17194" s="1">
        <v>18271.0</v>
      </c>
      <c r="B17194" s="3" t="s">
        <v>16306</v>
      </c>
      <c r="C17194" s="3" t="str">
        <f>IFERROR(__xludf.DUMMYFUNCTION("GOOGLETRANSLATE(B17194,""id"",""en"")"),"['people', 'rich', 'remote', 'village', 'network', 'Telkomsel', 'Please', 'Telkomsel', 'credit', 'take', 'Kouta', 'Sya', ' After ',' Sya ',' Turn Off ',' Data ',' Tomorrow ',' Content ',' pls', 'Buy', 'Koutaa', 'Ludes',' pls', 'times',' please ' , 'the ri"&amp;"ch']")</f>
        <v>['people', 'rich', 'remote', 'village', 'network', 'Telkomsel', 'Please', 'Telkomsel', 'credit', 'take', 'Kouta', 'Sya', ' After ',' Sya ',' Turn Off ',' Data ',' Tomorrow ',' Content ',' pls', 'Buy', 'Koutaa', 'Ludes',' pls', 'times',' please ' , 'the rich']</v>
      </c>
      <c r="D17194" s="3">
        <v>1.0</v>
      </c>
    </row>
    <row r="17195" ht="15.75" customHeight="1">
      <c r="A17195" s="1">
        <v>18272.0</v>
      </c>
      <c r="B17195" s="3" t="s">
        <v>3409</v>
      </c>
      <c r="C17195" s="3" t="str">
        <f>IFERROR(__xludf.DUMMYFUNCTION("GOOGLETRANSLATE(B17195,""id"",""en"")"),"['Fast', 'Accurate']")</f>
        <v>['Fast', 'Accurate']</v>
      </c>
      <c r="D17195" s="3">
        <v>5.0</v>
      </c>
    </row>
    <row r="17196" ht="15.75" customHeight="1">
      <c r="A17196" s="1">
        <v>18273.0</v>
      </c>
      <c r="B17196" s="3" t="s">
        <v>16307</v>
      </c>
      <c r="C17196" s="3" t="str">
        <f>IFERROR(__xludf.DUMMYFUNCTION("GOOGLETRANSLATE(B17196,""id"",""en"")"),"['Quality', 'Signal', 'Achieved', 'City', 'Padang', 'Please', 'Enhanced']")</f>
        <v>['Quality', 'Signal', 'Achieved', 'City', 'Padang', 'Please', 'Enhanced']</v>
      </c>
      <c r="D17196" s="3">
        <v>3.0</v>
      </c>
    </row>
    <row r="17197" ht="15.75" customHeight="1">
      <c r="A17197" s="1">
        <v>18274.0</v>
      </c>
      <c r="B17197" s="3" t="s">
        <v>16308</v>
      </c>
      <c r="C17197" s="3" t="str">
        <f>IFERROR(__xludf.DUMMYFUNCTION("GOOGLETRANSLATE(B17197,""id"",""en"")"),"['Update', 'Open', 'Whitescreen', 'how', 'solution', '']")</f>
        <v>['Update', 'Open', 'Whitescreen', 'how', 'solution', '']</v>
      </c>
      <c r="D17197" s="3">
        <v>1.0</v>
      </c>
    </row>
    <row r="17198" ht="15.75" customHeight="1">
      <c r="A17198" s="1">
        <v>18275.0</v>
      </c>
      <c r="B17198" s="3" t="s">
        <v>16309</v>
      </c>
      <c r="C17198" s="3" t="str">
        <f>IFERROR(__xludf.DUMMYFUNCTION("GOOGLETRANSLATE(B17198,""id"",""en"")"),"['Login', 'App', 'Ribet', 'Enter', 'Link', 'Sometimes',' SMS ',' Contains', 'Link', 'Received', 'Mambuang', 'makes it difficult', ' Use ',' user ',' name ',' password ',' ']")</f>
        <v>['Login', 'App', 'Ribet', 'Enter', 'Link', 'Sometimes',' SMS ',' Contains', 'Link', 'Received', 'Mambuang', 'makes it difficult', ' Use ',' user ',' name ',' password ',' ']</v>
      </c>
      <c r="D17198" s="3">
        <v>1.0</v>
      </c>
    </row>
    <row r="17199" ht="15.75" customHeight="1">
      <c r="A17199" s="1">
        <v>18276.0</v>
      </c>
      <c r="B17199" s="3" t="s">
        <v>16310</v>
      </c>
      <c r="C17199" s="3" t="str">
        <f>IFERROR(__xludf.DUMMYFUNCTION("GOOGLETRANSLATE(B17199,""id"",""en"")"),"['card', 'rotten', 'all-round', 'expensive', 'quality', 'worst', 'eat', 'money', 'people', 'according to', '']")</f>
        <v>['card', 'rotten', 'all-round', 'expensive', 'quality', 'worst', 'eat', 'money', 'people', 'according to', '']</v>
      </c>
      <c r="D17199" s="3">
        <v>1.0</v>
      </c>
    </row>
    <row r="17200" ht="15.75" customHeight="1">
      <c r="A17200" s="1">
        <v>18277.0</v>
      </c>
      <c r="B17200" s="3" t="s">
        <v>7724</v>
      </c>
      <c r="C17200" s="3" t="str">
        <f>IFERROR(__xludf.DUMMYFUNCTION("GOOGLETRANSLATE(B17200,""id"",""en"")"),"['Telkomsel', 'heart', '']")</f>
        <v>['Telkomsel', 'heart', '']</v>
      </c>
      <c r="D17200" s="3">
        <v>5.0</v>
      </c>
    </row>
    <row r="17201" ht="15.75" customHeight="1">
      <c r="A17201" s="1">
        <v>18278.0</v>
      </c>
      <c r="B17201" s="3" t="s">
        <v>16311</v>
      </c>
      <c r="C17201" s="3" t="str">
        <f>IFERROR(__xludf.DUMMYFUNCTION("GOOGLETRANSLATE(B17201,""id"",""en"")"),"['MyTelkomsel', 'as fast', 'light', 'access', '']")</f>
        <v>['MyTelkomsel', 'as fast', 'light', 'access', '']</v>
      </c>
      <c r="D17201" s="3">
        <v>5.0</v>
      </c>
    </row>
    <row r="17202" ht="15.75" customHeight="1">
      <c r="A17202" s="1">
        <v>18279.0</v>
      </c>
      <c r="B17202" s="3" t="s">
        <v>16312</v>
      </c>
      <c r="C17202" s="3" t="str">
        <f>IFERROR(__xludf.DUMMYFUNCTION("GOOGLETRANSLATE(B17202,""id"",""en"")"),"['See', 'quota', 'package', 'data', 'see', 'promo', 'mantab']")</f>
        <v>['See', 'quota', 'package', 'data', 'see', 'promo', 'mantab']</v>
      </c>
      <c r="D17202" s="3">
        <v>5.0</v>
      </c>
    </row>
    <row r="17203" ht="15.75" customHeight="1">
      <c r="A17203" s="1">
        <v>18280.0</v>
      </c>
      <c r="B17203" s="3" t="s">
        <v>16313</v>
      </c>
      <c r="C17203" s="3" t="str">
        <f>IFERROR(__xludf.DUMMYFUNCTION("GOOGLETRANSLATE(B17203,""id"",""en"")"),"['Open', 'APP', 'White', 'Screen', 'Uninstall', 'Install', 'Tetep', 'What', 'Provider', 'Best', 'Indonesia']")</f>
        <v>['Open', 'APP', 'White', 'Screen', 'Uninstall', 'Install', 'Tetep', 'What', 'Provider', 'Best', 'Indonesia']</v>
      </c>
      <c r="D17203" s="3">
        <v>1.0</v>
      </c>
    </row>
    <row r="17204" ht="15.75" customHeight="1">
      <c r="A17204" s="1">
        <v>18281.0</v>
      </c>
      <c r="B17204" s="3" t="s">
        <v>16314</v>
      </c>
      <c r="C17204" s="3" t="str">
        <f>IFERROR(__xludf.DUMMYFUNCTION("GOOGLETRANSLATE(B17204,""id"",""en"")"),"['apk', 'Telkomsel', 'good', 'open', 'screen', 'white', 'aje', ""]")</f>
        <v>['apk', 'Telkomsel', 'good', 'open', 'screen', 'white', 'aje', "]</v>
      </c>
      <c r="D17204" s="3">
        <v>1.0</v>
      </c>
    </row>
    <row r="17205" ht="15.75" customHeight="1">
      <c r="A17205" s="1">
        <v>18282.0</v>
      </c>
      <c r="B17205" s="3" t="s">
        <v>16315</v>
      </c>
      <c r="C17205" s="3" t="str">
        <f>IFERROR(__xludf.DUMMYFUNCTION("GOOGLETRANSLATE(B17205,""id"",""en"")"),"['entry', 'link', 'complicated', 'application', 'heavy', 'open', 'application', 'Telkomsel', 'difficult', 'right', 'entry', 'application', ' good ',' digit ',' verification ',' Telkomsel ',' click ',' link ',' application ',' Telkomsel ',' heavy ',' open "&amp;"',' complain ',' input ',' etc. ' , 'people', 'Telkomsel', 'already', 'smart']")</f>
        <v>['entry', 'link', 'complicated', 'application', 'heavy', 'open', 'application', 'Telkomsel', 'difficult', 'right', 'entry', 'application', ' good ',' digit ',' verification ',' Telkomsel ',' click ',' link ',' application ',' Telkomsel ',' heavy ',' open ',' complain ',' input ',' etc. ' , 'people', 'Telkomsel', 'already', 'smart']</v>
      </c>
      <c r="D17205" s="3">
        <v>1.0</v>
      </c>
    </row>
    <row r="17206" ht="15.75" customHeight="1">
      <c r="A17206" s="1">
        <v>18286.0</v>
      </c>
      <c r="B17206" s="3" t="s">
        <v>16316</v>
      </c>
      <c r="C17206" s="3" t="str">
        <f>IFERROR(__xludf.DUMMYFUNCTION("GOOGLETRANSLATE(B17206,""id"",""en"")"),"['Telcomsel', 'ngawak', 'oath', 'network', 'cave', 'annoyed', 'forgiveness',' network ',' rich ',' gini ',' kah ',' nyadar ',' fast ',' woe ',' turn ',' network ',' told ',' contact ',' cave ',' make ',' telcomsel ',' ngk ',' package ',' expensive ',' net"&amp;"work ' , 'As']")</f>
        <v>['Telcomsel', 'ngawak', 'oath', 'network', 'cave', 'annoyed', 'forgiveness',' network ',' rich ',' gini ',' kah ',' nyadar ',' fast ',' woe ',' turn ',' network ',' told ',' contact ',' cave ',' make ',' telcomsel ',' ngk ',' package ',' expensive ',' network ' , 'As']</v>
      </c>
      <c r="D17206" s="3">
        <v>1.0</v>
      </c>
    </row>
    <row r="17207" ht="15.75" customHeight="1">
      <c r="A17207" s="1">
        <v>18287.0</v>
      </c>
      <c r="B17207" s="3" t="s">
        <v>16317</v>
      </c>
      <c r="C17207" s="3" t="str">
        <f>IFERROR(__xludf.DUMMYFUNCTION("GOOGLETRANSLATE(B17207,""id"",""en"")"),"['Package', 'Unlimited', 'YouTube', 'Use']")</f>
        <v>['Package', 'Unlimited', 'YouTube', 'Use']</v>
      </c>
      <c r="D17207" s="3">
        <v>1.0</v>
      </c>
    </row>
    <row r="17208" ht="15.75" customHeight="1">
      <c r="A17208" s="1">
        <v>18288.0</v>
      </c>
      <c r="B17208" s="3" t="s">
        <v>16318</v>
      </c>
      <c r="C17208" s="3" t="str">
        <f>IFERROR(__xludf.DUMMYFUNCTION("GOOGLETRANSLATE(B17208,""id"",""en"")"),"['Telkomsel', 'opened', 'already', 'a week']")</f>
        <v>['Telkomsel', 'opened', 'already', 'a week']</v>
      </c>
      <c r="D17208" s="3">
        <v>4.0</v>
      </c>
    </row>
    <row r="17209" ht="15.75" customHeight="1">
      <c r="A17209" s="1">
        <v>18289.0</v>
      </c>
      <c r="B17209" s="3" t="s">
        <v>16319</v>
      </c>
      <c r="C17209" s="3" t="str">
        <f>IFERROR(__xludf.DUMMYFUNCTION("GOOGLETRANSLATE(B17209,""id"",""en"")"),"['', 'Cikande', 'attack', 'Banten', 'Sinyal', 'ugly', 'room', 'zonk', ""]")</f>
        <v>['', 'Cikande', 'attack', 'Banten', 'Sinyal', 'ugly', 'room', 'zonk', "]</v>
      </c>
      <c r="D17209" s="3">
        <v>2.0</v>
      </c>
    </row>
    <row r="17210" ht="15.75" customHeight="1">
      <c r="A17210" s="1">
        <v>18290.0</v>
      </c>
      <c r="B17210" s="3" t="s">
        <v>16320</v>
      </c>
      <c r="C17210" s="3" t="str">
        <f>IFERROR(__xludf.DUMMYFUNCTION("GOOGLETRANSLATE(B17210,""id"",""en"")"),"['expensive', 'signal', 'ugly', 'complaints', 'machine', 'repairs']")</f>
        <v>['expensive', 'signal', 'ugly', 'complaints', 'machine', 'repairs']</v>
      </c>
      <c r="D17210" s="3">
        <v>1.0</v>
      </c>
    </row>
    <row r="17211" ht="15.75" customHeight="1">
      <c r="A17211" s="1">
        <v>18291.0</v>
      </c>
      <c r="B17211" s="3" t="s">
        <v>16321</v>
      </c>
      <c r="C17211" s="3" t="str">
        <f>IFERROR(__xludf.DUMMYFUNCTION("GOOGLETRANSLATE(B17211,""id"",""en"")"),"['Saver', 'Cimahi', 'signal', 'good']")</f>
        <v>['Saver', 'Cimahi', 'signal', 'good']</v>
      </c>
      <c r="D17211" s="3">
        <v>5.0</v>
      </c>
    </row>
    <row r="17212" ht="15.75" customHeight="1">
      <c r="A17212" s="1">
        <v>18292.0</v>
      </c>
      <c r="B17212" s="3" t="s">
        <v>16322</v>
      </c>
      <c r="C17212" s="3" t="str">
        <f>IFERROR(__xludf.DUMMYFUNCTION("GOOGLETRANSLATE(B17212,""id"",""en"")"),"['access', 'Telkomsel', 'try', 'update', 'Please', 'check', 'obstacle', 'DMANA', '']")</f>
        <v>['access', 'Telkomsel', 'try', 'update', 'Please', 'check', 'obstacle', 'DMANA', '']</v>
      </c>
      <c r="D17212" s="3">
        <v>3.0</v>
      </c>
    </row>
    <row r="17213" ht="15.75" customHeight="1">
      <c r="A17213" s="1">
        <v>18293.0</v>
      </c>
      <c r="B17213" s="3" t="s">
        <v>16323</v>
      </c>
      <c r="C17213" s="3" t="str">
        <f>IFERROR(__xludf.DUMMYFUNCTION("GOOGLETRANSLATE(B17213,""id"",""en"")"),"['APK', 'opened', 'Yesterday', 'fill in', 'package', 'data', 'please', 'repaired', 'APK', 'Yesterday', 'yesterday', 'already', ' good']")</f>
        <v>['APK', 'opened', 'Yesterday', 'fill in', 'package', 'data', 'please', 'repaired', 'APK', 'Yesterday', 'yesterday', 'already', ' good']</v>
      </c>
      <c r="D17213" s="3">
        <v>3.0</v>
      </c>
    </row>
    <row r="17214" ht="15.75" customHeight="1">
      <c r="A17214" s="1">
        <v>18294.0</v>
      </c>
      <c r="B17214" s="3" t="s">
        <v>16324</v>
      </c>
      <c r="C17214" s="3" t="str">
        <f>IFERROR(__xludf.DUMMYFUNCTION("GOOGLETRANSLATE(B17214,""id"",""en"")"),"['really', 'application', 'entry', 'via', 'link', 'application', 'point', 'link', 'bizarrhhhh', ""]")</f>
        <v>['really', 'application', 'entry', 'via', 'link', 'application', 'point', 'link', 'bizarrhhhh', "]</v>
      </c>
      <c r="D17214" s="3">
        <v>2.0</v>
      </c>
    </row>
    <row r="17215" ht="15.75" customHeight="1">
      <c r="A17215" s="1">
        <v>18295.0</v>
      </c>
      <c r="B17215" s="3" t="s">
        <v>16325</v>
      </c>
      <c r="C17215" s="3" t="str">
        <f>IFERROR(__xludf.DUMMYFUNCTION("GOOGLETRANSLATE(B17215,""id"",""en"")"),"['disappointing', 'package', 'garbage', 'active', 'pulse', 'cut', 'as soon as',' stomach ',' hobby ',' scoted ',' pulse ',' customer ',' ']")</f>
        <v>['disappointing', 'package', 'garbage', 'active', 'pulse', 'cut', 'as soon as',' stomach ',' hobby ',' scoted ',' pulse ',' customer ',' ']</v>
      </c>
      <c r="D17215" s="3">
        <v>1.0</v>
      </c>
    </row>
    <row r="17216" ht="15.75" customHeight="1">
      <c r="A17216" s="1">
        <v>18296.0</v>
      </c>
      <c r="B17216" s="3" t="s">
        <v>16326</v>
      </c>
      <c r="C17216" s="3" t="str">
        <f>IFERROR(__xludf.DUMMYFUNCTION("GOOGLETRANSLATE(B17216,""id"",""en"")"),"['Telkom', 'GPP', 'quota', 'expensive', 'network', 'good', 'network', 'ugly', 'heavy', 'okay', 'telkom', 'here' ugly ',' Shocked ',' Ujan ',' Gosha ',' ugly ',' severe ']")</f>
        <v>['Telkom', 'GPP', 'quota', 'expensive', 'network', 'good', 'network', 'ugly', 'heavy', 'okay', 'telkom', 'here' ugly ',' Shocked ',' Ujan ',' Gosha ',' ugly ',' severe ']</v>
      </c>
      <c r="D17216" s="3">
        <v>1.0</v>
      </c>
    </row>
    <row r="17217" ht="15.75" customHeight="1">
      <c r="A17217" s="1">
        <v>18297.0</v>
      </c>
      <c r="B17217" s="3" t="s">
        <v>16327</v>
      </c>
      <c r="C17217" s="3" t="str">
        <f>IFERROR(__xludf.DUMMYFUNCTION("GOOGLETRANSLATE(B17217,""id"",""en"")"),"['complain', 'buy', 'package', 'unlemited', 'for', 'RB', 'payment', 'Gopay', 'transaction', 'success',' balance ',' Gopay ',' Cutting ',' Package ',' Visit ',' On ']")</f>
        <v>['complain', 'buy', 'package', 'unlemited', 'for', 'RB', 'payment', 'Gopay', 'transaction', 'success',' balance ',' Gopay ',' Cutting ',' Package ',' Visit ',' On ']</v>
      </c>
      <c r="D17217" s="3">
        <v>1.0</v>
      </c>
    </row>
    <row r="17218" ht="15.75" customHeight="1">
      <c r="A17218" s="1">
        <v>18298.0</v>
      </c>
      <c r="B17218" s="3" t="s">
        <v>16328</v>
      </c>
      <c r="C17218" s="3" t="str">
        <f>IFERROR(__xludf.DUMMYFUNCTION("GOOGLETRANSLATE(B17218,""id"",""en"")"),"['Use', 'Telkomsel', 'Application', 'Toughest', 'Meet', 'Light', 'Open', 'LemooOOOOH', 'Mulu', 'Network', 'Telkomsel', 'emg', ' Good ',' emg ',' programmer ',' APK ',' APK ',' light ',' open ',' ']")</f>
        <v>['Use', 'Telkomsel', 'Application', 'Toughest', 'Meet', 'Light', 'Open', 'LemooOOOOH', 'Mulu', 'Network', 'Telkomsel', 'emg', ' Good ',' emg ',' programmer ',' APK ',' APK ',' light ',' open ',' ']</v>
      </c>
      <c r="D17218" s="3">
        <v>1.0</v>
      </c>
    </row>
    <row r="17219" ht="15.75" customHeight="1">
      <c r="A17219" s="1">
        <v>18299.0</v>
      </c>
      <c r="B17219" s="3" t="s">
        <v>16329</v>
      </c>
      <c r="C17219" s="3" t="str">
        <f>IFERROR(__xludf.DUMMYFUNCTION("GOOGLETRANSLATE(B17219,""id"",""en"")"),"['Nga', 'Nga', 'open', 'siiiiihhhh', 'screen', 'color', 'white', ""]")</f>
        <v>['Nga', 'Nga', 'open', 'siiiiihhhh', 'screen', 'color', 'white', "]</v>
      </c>
      <c r="D17219" s="3">
        <v>5.0</v>
      </c>
    </row>
    <row r="17220" ht="15.75" customHeight="1">
      <c r="A17220" s="1">
        <v>18300.0</v>
      </c>
      <c r="B17220" s="3" t="s">
        <v>16330</v>
      </c>
      <c r="C17220" s="3" t="str">
        <f>IFERROR(__xludf.DUMMYFUNCTION("GOOGLETRANSLATE(B17220,""id"",""en"")"),"['Telkomsel', 'Severe', 'signal']")</f>
        <v>['Telkomsel', 'Severe', 'signal']</v>
      </c>
      <c r="D17220" s="3">
        <v>4.0</v>
      </c>
    </row>
    <row r="17221" ht="15.75" customHeight="1">
      <c r="A17221" s="1">
        <v>18301.0</v>
      </c>
      <c r="B17221" s="3" t="s">
        <v>16331</v>
      </c>
      <c r="C17221" s="3" t="str">
        <f>IFERROR(__xludf.DUMMYFUNCTION("GOOGLETRANSLATE(B17221,""id"",""en"")"),"['Hopefully', 'Move']")</f>
        <v>['Hopefully', 'Move']</v>
      </c>
      <c r="D17221" s="3">
        <v>4.0</v>
      </c>
    </row>
    <row r="17222" ht="15.75" customHeight="1">
      <c r="A17222" s="1">
        <v>18302.0</v>
      </c>
      <c r="B17222" s="3" t="s">
        <v>13055</v>
      </c>
      <c r="C17222" s="3" t="str">
        <f>IFERROR(__xludf.DUMMYFUNCTION("GOOGLETRANSLATE(B17222,""id"",""en"")"),"['hope', 'winner']")</f>
        <v>['hope', 'winner']</v>
      </c>
      <c r="D17222" s="3">
        <v>5.0</v>
      </c>
    </row>
    <row r="17223" ht="15.75" customHeight="1">
      <c r="A17223" s="1">
        <v>18303.0</v>
      </c>
      <c r="B17223" s="3" t="s">
        <v>16332</v>
      </c>
      <c r="C17223" s="3" t="str">
        <f>IFERROR(__xludf.DUMMYFUNCTION("GOOGLETRANSLATE(B17223,""id"",""en"")"),"['Combo', 'cool']")</f>
        <v>['Combo', 'cool']</v>
      </c>
      <c r="D17223" s="3">
        <v>5.0</v>
      </c>
    </row>
    <row r="17224" ht="15.75" customHeight="1">
      <c r="A17224" s="1">
        <v>18304.0</v>
      </c>
      <c r="B17224" s="3" t="s">
        <v>16333</v>
      </c>
      <c r="C17224" s="3" t="str">
        <f>IFERROR(__xludf.DUMMYFUNCTION("GOOGLETRANSLATE(B17224,""id"",""en"")"),"['Telkomsel', 'quality']")</f>
        <v>['Telkomsel', 'quality']</v>
      </c>
      <c r="D17224" s="3">
        <v>1.0</v>
      </c>
    </row>
    <row r="17225" ht="15.75" customHeight="1">
      <c r="A17225" s="1">
        <v>18306.0</v>
      </c>
      <c r="B17225" s="3" t="s">
        <v>16334</v>
      </c>
      <c r="C17225" s="3" t="str">
        <f>IFERROR(__xludf.DUMMYFUNCTION("GOOGLETRANSLATE(B17225,""id"",""en"")"),"['', 'update', 'open', 'strange', 'updated', 'mess', '']")</f>
        <v>['', 'update', 'open', 'strange', 'updated', 'mess', '']</v>
      </c>
      <c r="D17225" s="3">
        <v>1.0</v>
      </c>
    </row>
    <row r="17226" ht="15.75" customHeight="1">
      <c r="A17226" s="1">
        <v>18307.0</v>
      </c>
      <c r="B17226" s="3" t="s">
        <v>16335</v>
      </c>
      <c r="C17226" s="3" t="str">
        <f>IFERROR(__xludf.DUMMYFUNCTION("GOOGLETRANSLATE(B17226,""id"",""en"")"),"['Ngak', 'opened', 'MyTelkomsel']")</f>
        <v>['Ngak', 'opened', 'MyTelkomsel']</v>
      </c>
      <c r="D17226" s="3">
        <v>5.0</v>
      </c>
    </row>
    <row r="17227" ht="15.75" customHeight="1">
      <c r="A17227" s="1">
        <v>18308.0</v>
      </c>
      <c r="B17227" s="3" t="s">
        <v>16336</v>
      </c>
      <c r="C17227" s="3" t="str">
        <f>IFERROR(__xludf.DUMMYFUNCTION("GOOGLETRANSLATE(B17227,""id"",""en"")"),"['Telkomsel', 'Error', 'How', 'Yesterday', 'Open', 'Already', 'Uninstall', 'Install', 'Tetep', 'Keblank', 'Ngeblank', 'screen']")</f>
        <v>['Telkomsel', 'Error', 'How', 'Yesterday', 'Open', 'Already', 'Uninstall', 'Install', 'Tetep', 'Keblank', 'Ngeblank', 'screen']</v>
      </c>
      <c r="D17227" s="3">
        <v>1.0</v>
      </c>
    </row>
    <row r="17228" ht="15.75" customHeight="1">
      <c r="A17228" s="1">
        <v>18309.0</v>
      </c>
      <c r="B17228" s="3" t="s">
        <v>16337</v>
      </c>
      <c r="C17228" s="3" t="str">
        <f>IFERROR(__xludf.DUMMYFUNCTION("GOOGLETRANSLATE(B17228,""id"",""en"")"),"['Donwlot', 'Application', 'Telkomsel']")</f>
        <v>['Donwlot', 'Application', 'Telkomsel']</v>
      </c>
      <c r="D17228" s="3">
        <v>5.0</v>
      </c>
    </row>
    <row r="17229" ht="15.75" customHeight="1">
      <c r="A17229" s="1">
        <v>18310.0</v>
      </c>
      <c r="B17229" s="3" t="s">
        <v>16338</v>
      </c>
      <c r="C17229" s="3" t="str">
        <f>IFERROR(__xludf.DUMMYFUNCTION("GOOGLETRANSLATE(B17229,""id"",""en"")"),"['Application', 'Telkomsel', 'opened', 'Unistal', 'Install']")</f>
        <v>['Application', 'Telkomsel', 'opened', 'Unistal', 'Install']</v>
      </c>
      <c r="D17229" s="3">
        <v>1.0</v>
      </c>
    </row>
    <row r="17230" ht="15.75" customHeight="1">
      <c r="A17230" s="1">
        <v>18311.0</v>
      </c>
      <c r="B17230" s="3" t="s">
        <v>16339</v>
      </c>
      <c r="C17230" s="3" t="str">
        <f>IFERROR(__xludf.DUMMYFUNCTION("GOOGLETRANSLATE(B17230,""id"",""en"")"),"['Bad', 'Network', 'Tekomsel', 'Dibagusin']")</f>
        <v>['Bad', 'Network', 'Tekomsel', 'Dibagusin']</v>
      </c>
      <c r="D17230" s="3">
        <v>3.0</v>
      </c>
    </row>
    <row r="17231" ht="15.75" customHeight="1">
      <c r="A17231" s="1">
        <v>18312.0</v>
      </c>
      <c r="B17231" s="3" t="s">
        <v>16340</v>
      </c>
      <c r="C17231" s="3" t="str">
        <f>IFERROR(__xludf.DUMMYFUNCTION("GOOGLETRANSLATE(B17231,""id"",""en"")"),"['', 'Telkomsel', 'open', 'please', 'repaired', 'as soon as possible,' have ']")</f>
        <v>['', 'Telkomsel', 'open', 'please', 'repaired', 'as soon as possible,' have ']</v>
      </c>
      <c r="D17231" s="3">
        <v>1.0</v>
      </c>
    </row>
    <row r="17232" ht="15.75" customHeight="1">
      <c r="A17232" s="1">
        <v>18313.0</v>
      </c>
      <c r="B17232" s="3" t="s">
        <v>16341</v>
      </c>
      <c r="C17232" s="3" t="str">
        <f>IFERROR(__xludf.DUMMYFUNCTION("GOOGLETRANSLATE(B17232,""id"",""en"")"),"['What', 'gabisa', 'send', 'package', 'data', 'send', 'quota', 'parents', 'please', 'repair', ""]")</f>
        <v>['What', 'gabisa', 'send', 'package', 'data', 'send', 'quota', 'parents', 'please', 'repair', "]</v>
      </c>
      <c r="D17232" s="3">
        <v>1.0</v>
      </c>
    </row>
    <row r="17233" ht="15.75" customHeight="1">
      <c r="A17233" s="1">
        <v>18314.0</v>
      </c>
      <c r="B17233" s="3" t="s">
        <v>16342</v>
      </c>
      <c r="C17233" s="3" t="str">
        <f>IFERROR(__xludf.DUMMYFUNCTION("GOOGLETRANSLATE(B17233,""id"",""en"")"),"['Help', 'Direct', '']")</f>
        <v>['Help', 'Direct', '']</v>
      </c>
      <c r="D17233" s="3">
        <v>5.0</v>
      </c>
    </row>
    <row r="17234" ht="15.75" customHeight="1">
      <c r="A17234" s="1">
        <v>18315.0</v>
      </c>
      <c r="B17234" s="3" t="s">
        <v>16343</v>
      </c>
      <c r="C17234" s="3" t="str">
        <f>IFERROR(__xludf.DUMMYFUNCTION("GOOGLETRANSLATE(B17234,""id"",""en"")"),"['Buy', 'Package', 'Thinking', 'Quota', 'Main', 'Thinking', 'Unlimited', 'YouTube', 'Enter', 'Gopay', 'Cutting']")</f>
        <v>['Buy', 'Package', 'Thinking', 'Quota', 'Main', 'Thinking', 'Unlimited', 'YouTube', 'Enter', 'Gopay', 'Cutting']</v>
      </c>
      <c r="D17234" s="3">
        <v>1.0</v>
      </c>
    </row>
    <row r="17235" ht="15.75" customHeight="1">
      <c r="A17235" s="1">
        <v>18316.0</v>
      </c>
      <c r="B17235" s="3" t="s">
        <v>520</v>
      </c>
      <c r="C17235" s="3" t="str">
        <f>IFERROR(__xludf.DUMMYFUNCTION("GOOGLETRANSLATE(B17235,""id"",""en"")"),"['Satisfied', 'Telkomsel']")</f>
        <v>['Satisfied', 'Telkomsel']</v>
      </c>
      <c r="D17235" s="3">
        <v>4.0</v>
      </c>
    </row>
    <row r="17236" ht="15.75" customHeight="1">
      <c r="A17236" s="1">
        <v>18317.0</v>
      </c>
      <c r="B17236" s="3" t="s">
        <v>16344</v>
      </c>
      <c r="C17236" s="3" t="str">
        <f>IFERROR(__xludf.DUMMYFUNCTION("GOOGLETRANSLATE(B17236,""id"",""en"")"),"['Paketan', 'expensive', 'signal', 'BURIK', 'Raying', 'Telkomsel']")</f>
        <v>['Paketan', 'expensive', 'signal', 'BURIK', 'Raying', 'Telkomsel']</v>
      </c>
      <c r="D17236" s="3">
        <v>1.0</v>
      </c>
    </row>
    <row r="17237" ht="15.75" customHeight="1">
      <c r="A17237" s="1">
        <v>18318.0</v>
      </c>
      <c r="B17237" s="3" t="s">
        <v>16345</v>
      </c>
      <c r="C17237" s="3" t="str">
        <f>IFERROR(__xludf.DUMMYFUNCTION("GOOGLETRANSLATE(B17237,""id"",""en"")"),"['', 'clock', 'login', 'nge', 'blank', 'white', 'how', 'package', 'expensive', 'signal', 'chaotic', 'luck', 'patient ',' Telkomsel ']")</f>
        <v>['', 'clock', 'login', 'nge', 'blank', 'white', 'how', 'package', 'expensive', 'signal', 'chaotic', 'luck', 'patient ',' Telkomsel ']</v>
      </c>
      <c r="D17237" s="3">
        <v>1.0</v>
      </c>
    </row>
    <row r="17238" ht="15.75" customHeight="1">
      <c r="A17238" s="1">
        <v>18319.0</v>
      </c>
      <c r="B17238" s="3" t="s">
        <v>16346</v>
      </c>
      <c r="C17238" s="3" t="str">
        <f>IFERROR(__xludf.DUMMYFUNCTION("GOOGLETRANSLATE(B17238,""id"",""en"")"),"['Update', 'Application', 'Blank', 'White', ""]")</f>
        <v>['Update', 'Application', 'Blank', 'White', "]</v>
      </c>
      <c r="D17238" s="3">
        <v>5.0</v>
      </c>
    </row>
    <row r="17239" ht="15.75" customHeight="1">
      <c r="A17239" s="1">
        <v>18321.0</v>
      </c>
      <c r="B17239" s="3" t="s">
        <v>16347</v>
      </c>
      <c r="C17239" s="3" t="str">
        <f>IFERROR(__xludf.DUMMYFUNCTION("GOOGLETRANSLATE(B17239,""id"",""en"")"),"['Compared', 'Reversed', 'Advertising', 'Offered', 'Signal', 'Reliable']")</f>
        <v>['Compared', 'Reversed', 'Advertising', 'Offered', 'Signal', 'Reliable']</v>
      </c>
      <c r="D17239" s="3">
        <v>1.0</v>
      </c>
    </row>
    <row r="17240" ht="15.75" customHeight="1">
      <c r="A17240" s="1">
        <v>18322.0</v>
      </c>
      <c r="B17240" s="3" t="s">
        <v>16348</v>
      </c>
      <c r="C17240" s="3" t="str">
        <f>IFERROR(__xludf.DUMMYFUNCTION("GOOGLETRANSLATE(B17240,""id"",""en"")"),"['Peng', 'update', 'tan', 'app', 'difficult', 'open', 'app', 'right', 'click', 'app', 'ngeblur', 'look', ' Color ',' white ',' appears', 'icon', 'icon', 'menu', '']")</f>
        <v>['Peng', 'update', 'tan', 'app', 'difficult', 'open', 'app', 'right', 'click', 'app', 'ngeblur', 'look', ' Color ',' white ',' appears', 'icon', 'icon', 'menu', '']</v>
      </c>
      <c r="D17240" s="3">
        <v>1.0</v>
      </c>
    </row>
    <row r="17241" ht="15.75" customHeight="1">
      <c r="A17241" s="1">
        <v>18323.0</v>
      </c>
      <c r="B17241" s="3" t="s">
        <v>16349</v>
      </c>
      <c r="C17241" s="3" t="str">
        <f>IFERROR(__xludf.DUMMYFUNCTION("GOOGLETRANSLATE(B17241,""id"",""en"")"),"['Level', 'Snyl', 'Lemot']")</f>
        <v>['Level', 'Snyl', 'Lemot']</v>
      </c>
      <c r="D17241" s="3">
        <v>5.0</v>
      </c>
    </row>
    <row r="17242" ht="15.75" customHeight="1">
      <c r="A17242" s="1">
        <v>18324.0</v>
      </c>
      <c r="B17242" s="3" t="s">
        <v>16350</v>
      </c>
      <c r="C17242" s="3" t="str">
        <f>IFERROR(__xludf.DUMMYFUNCTION("GOOGLETRANSLATE(B17242,""id"",""en"")"),"['Application', 'Help', 'Thankyou', 'Telkomsel', ""]")</f>
        <v>['Application', 'Help', 'Thankyou', 'Telkomsel', "]</v>
      </c>
      <c r="D17242" s="3">
        <v>5.0</v>
      </c>
    </row>
    <row r="17243" ht="15.75" customHeight="1">
      <c r="A17243" s="1">
        <v>18325.0</v>
      </c>
      <c r="B17243" s="3" t="s">
        <v>16351</v>
      </c>
      <c r="C17243" s="3" t="str">
        <f>IFERROR(__xludf.DUMMYFUNCTION("GOOGLETRANSLATE(B17243,""id"",""en"")"),"['Engaged', 'Open', 'Telkomsel']")</f>
        <v>['Engaged', 'Open', 'Telkomsel']</v>
      </c>
      <c r="D17243" s="3">
        <v>5.0</v>
      </c>
    </row>
    <row r="17244" ht="15.75" customHeight="1">
      <c r="A17244" s="1">
        <v>18326.0</v>
      </c>
      <c r="B17244" s="3" t="s">
        <v>16352</v>
      </c>
      <c r="C17244" s="3" t="str">
        <f>IFERROR(__xludf.DUMMYFUNCTION("GOOGLETRANSLATE(B17244,""id"",""en"")"),"['updated', 'access', 'poor', 'Telkomsel', '']")</f>
        <v>['updated', 'access', 'poor', 'Telkomsel', '']</v>
      </c>
      <c r="D17244" s="3">
        <v>1.0</v>
      </c>
    </row>
    <row r="17245" ht="15.75" customHeight="1">
      <c r="A17245" s="1">
        <v>18328.0</v>
      </c>
      <c r="B17245" s="3" t="s">
        <v>2372</v>
      </c>
      <c r="C17245" s="3" t="str">
        <f>IFERROR(__xludf.DUMMYFUNCTION("GOOGLETRANSLATE(B17245,""id"",""en"")"),"['', '']")</f>
        <v>['', '']</v>
      </c>
      <c r="D17245" s="3">
        <v>5.0</v>
      </c>
    </row>
    <row r="17246" ht="15.75" customHeight="1">
      <c r="A17246" s="1">
        <v>18330.0</v>
      </c>
      <c r="B17246" s="3" t="s">
        <v>16353</v>
      </c>
      <c r="C17246" s="3" t="str">
        <f>IFERROR(__xludf.DUMMYFUNCTION("GOOGLETRANSLATE(B17246,""id"",""en"")"),"['Telkomsel', 'Slldi', '']")</f>
        <v>['Telkomsel', 'Slldi', '']</v>
      </c>
      <c r="D17246" s="3">
        <v>5.0</v>
      </c>
    </row>
    <row r="17247" ht="15.75" customHeight="1">
      <c r="A17247" s="1">
        <v>18331.0</v>
      </c>
      <c r="B17247" s="3" t="s">
        <v>16354</v>
      </c>
      <c r="C17247" s="3" t="str">
        <f>IFERROR(__xludf.DUMMYFUNCTION("GOOGLETRANSLATE(B17247,""id"",""en"")"),"['Application', 'Opened', 'Ngeblank', 'Application', 'Heavy', 'Hank', 'Network', 'Telkomsel', 'My Place', 'Drop', 'Use', 'Telkomsel', ' Because ',' superior ',' expensive ',' skrg ',' Different ',' please ',' Telkomsel ',' repaired ',' because 'provider',"&amp;" 'my place', 'good', 'cheap' , '']")</f>
        <v>['Application', 'Opened', 'Ngeblank', 'Application', 'Heavy', 'Hank', 'Network', 'Telkomsel', 'My Place', 'Drop', 'Use', 'Telkomsel', ' Because ',' superior ',' expensive ',' skrg ',' Different ',' please ',' Telkomsel ',' repaired ',' because 'provider', 'my place', 'good', 'cheap' , '']</v>
      </c>
      <c r="D17247" s="3">
        <v>3.0</v>
      </c>
    </row>
    <row r="17248" ht="15.75" customHeight="1">
      <c r="A17248" s="1">
        <v>18332.0</v>
      </c>
      <c r="B17248" s="3" t="s">
        <v>16355</v>
      </c>
      <c r="C17248" s="3" t="str">
        <f>IFERROR(__xludf.DUMMYFUNCTION("GOOGLETRANSLATE(B17248,""id"",""en"")"),"['right', 'see', 'leftover', 'kwota', 'screenya', 'white', 'mulu', 'telkomsel', 'toling', 'fix', 'as soon as possible,' needs ',' school ',' ptm ']")</f>
        <v>['right', 'see', 'leftover', 'kwota', 'screenya', 'white', 'mulu', 'telkomsel', 'toling', 'fix', 'as soon as possible,' needs ',' school ',' ptm ']</v>
      </c>
      <c r="D17248" s="3">
        <v>1.0</v>
      </c>
    </row>
    <row r="17249" ht="15.75" customHeight="1">
      <c r="A17249" s="1">
        <v>18333.0</v>
      </c>
      <c r="B17249" s="3" t="s">
        <v>16356</v>
      </c>
      <c r="C17249" s="3" t="str">
        <f>IFERROR(__xludf.DUMMYFUNCTION("GOOGLETRANSLATE(B17249,""id"",""en"")"),"['Paketan', 'internet', 'like', 'ilang', 'Nilagan', 'Mulu']")</f>
        <v>['Paketan', 'internet', 'like', 'ilang', 'Nilagan', 'Mulu']</v>
      </c>
      <c r="D17249" s="3">
        <v>1.0</v>
      </c>
    </row>
    <row r="17250" ht="15.75" customHeight="1">
      <c r="A17250" s="1">
        <v>18334.0</v>
      </c>
      <c r="B17250" s="3" t="s">
        <v>16357</v>
      </c>
      <c r="C17250" s="3" t="str">
        <f>IFERROR(__xludf.DUMMYFUNCTION("GOOGLETRANSLATE(B17250,""id"",""en"")"),"['Ribet', 'difficult', 'enter']")</f>
        <v>['Ribet', 'difficult', 'enter']</v>
      </c>
      <c r="D17250" s="3">
        <v>2.0</v>
      </c>
    </row>
    <row r="17251" ht="15.75" customHeight="1">
      <c r="A17251" s="1">
        <v>18335.0</v>
      </c>
      <c r="B17251" s="3" t="s">
        <v>16358</v>
      </c>
      <c r="C17251" s="3" t="str">
        <f>IFERROR(__xludf.DUMMYFUNCTION("GOOGLETRANSLATE(B17251,""id"",""en"")"),"['Please', 'Card', 'Hello', 'Postpaid', 'Enabled', 'BYR', 'Monthly', 'KNP', 'MSH', 'Blocked', 'Bill', 'BYR', ' Flowing ',' Please ',' Kominfo ',' Returns', 'Telkomsel', 'Society', 'Loans',' Harmed ',' TRS ',' Protect ',' Company ',' Fix ',' Quality ' , 'n"&amp;"etwork', 'internet', 'detrimental', 'user', 'trs', 'country', 'laen', 'sued', 'company', 'customer', 'harmed', ""]")</f>
        <v>['Please', 'Card', 'Hello', 'Postpaid', 'Enabled', 'BYR', 'Monthly', 'KNP', 'MSH', 'Blocked', 'Bill', 'BYR', ' Flowing ',' Please ',' Kominfo ',' Returns', 'Telkomsel', 'Society', 'Loans',' Harmed ',' TRS ',' Protect ',' Company ',' Fix ',' Quality ' , 'network', 'internet', 'detrimental', 'user', 'trs', 'country', 'laen', 'sued', 'company', 'customer', 'harmed', "]</v>
      </c>
      <c r="D17251" s="3">
        <v>3.0</v>
      </c>
    </row>
    <row r="17252" ht="15.75" customHeight="1">
      <c r="A17252" s="1">
        <v>18336.0</v>
      </c>
      <c r="B17252" s="3" t="s">
        <v>16359</v>
      </c>
      <c r="C17252" s="3" t="str">
        <f>IFERROR(__xludf.DUMMYFUNCTION("GOOGLETRANSLATE(B17252,""id"",""en"")"),"['mhon', 'function', 'application', 'lbh', 'made easier', 'trll', 'complicated']")</f>
        <v>['mhon', 'function', 'application', 'lbh', 'made easier', 'trll', 'complicated']</v>
      </c>
      <c r="D17252" s="3">
        <v>4.0</v>
      </c>
    </row>
    <row r="17253" ht="15.75" customHeight="1">
      <c r="A17253" s="1">
        <v>18337.0</v>
      </c>
      <c r="B17253" s="3" t="s">
        <v>16360</v>
      </c>
      <c r="C17253" s="3" t="str">
        <f>IFERROR(__xludf.DUMMYFUNCTION("GOOGLETRANSLATE(B17253,""id"",""en"")"),"['signal', 'ugly', 'quota', 'mahaal']")</f>
        <v>['signal', 'ugly', 'quota', 'mahaal']</v>
      </c>
      <c r="D17253" s="3">
        <v>1.0</v>
      </c>
    </row>
    <row r="17254" ht="15.75" customHeight="1">
      <c r="A17254" s="1">
        <v>18338.0</v>
      </c>
      <c r="B17254" s="3" t="s">
        <v>16361</v>
      </c>
      <c r="C17254" s="3" t="str">
        <f>IFERROR(__xludf.DUMMYFUNCTION("GOOGLETRANSLATE(B17254,""id"",""en"")"),"['Contents',' quota ',' lapse ',' tiktok ',' unlimited ',' used ',' tiktok ',' hit ',' quota ',' main ',' sorry ',' star ',' Reduced ']")</f>
        <v>['Contents',' quota ',' lapse ',' tiktok ',' unlimited ',' used ',' tiktok ',' hit ',' quota ',' main ',' sorry ',' star ',' Reduced ']</v>
      </c>
      <c r="D17254" s="3">
        <v>2.0</v>
      </c>
    </row>
    <row r="17255" ht="15.75" customHeight="1">
      <c r="A17255" s="1">
        <v>18340.0</v>
      </c>
      <c r="B17255" s="3" t="s">
        <v>904</v>
      </c>
      <c r="C17255" s="3" t="str">
        <f>IFERROR(__xludf.DUMMYFUNCTION("GOOGLETRANSLATE(B17255,""id"",""en"")"),"['Convenience']")</f>
        <v>['Convenience']</v>
      </c>
      <c r="D17255" s="3">
        <v>5.0</v>
      </c>
    </row>
    <row r="17256" ht="15.75" customHeight="1">
      <c r="A17256" s="1">
        <v>18341.0</v>
      </c>
      <c r="B17256" s="3" t="s">
        <v>16362</v>
      </c>
      <c r="C17256" s="3" t="str">
        <f>IFERROR(__xludf.DUMMYFUNCTION("GOOGLETRANSLATE(B17256,""id"",""en"")"),"['Network', 'Good', '']")</f>
        <v>['Network', 'Good', '']</v>
      </c>
      <c r="D17256" s="3">
        <v>5.0</v>
      </c>
    </row>
    <row r="17257" ht="15.75" customHeight="1">
      <c r="A17257" s="1">
        <v>18342.0</v>
      </c>
      <c r="B17257" s="3" t="s">
        <v>16363</v>
      </c>
      <c r="C17257" s="3" t="str">
        <f>IFERROR(__xludf.DUMMYFUNCTION("GOOGLETRANSLATE(B17257,""id"",""en"")"),"['Please', 'Operator', 'Telkom', 'Knp', 'Hbs', 'Update', 'APK', 'Telkom', 'Open', 'Please', 'Fix']")</f>
        <v>['Please', 'Operator', 'Telkom', 'Knp', 'Hbs', 'Update', 'APK', 'Telkom', 'Open', 'Please', 'Fix']</v>
      </c>
      <c r="D17257" s="3">
        <v>3.0</v>
      </c>
    </row>
    <row r="17258" ht="15.75" customHeight="1">
      <c r="A17258" s="1">
        <v>18343.0</v>
      </c>
      <c r="B17258" s="3" t="s">
        <v>16364</v>
      </c>
      <c r="C17258" s="3" t="str">
        <f>IFERROR(__xludf.DUMMYFUNCTION("GOOGLETRANSLATE(B17258,""id"",""en"")"),"['APK', 'Abis', 'Update', 'Open', '']")</f>
        <v>['APK', 'Abis', 'Update', 'Open', '']</v>
      </c>
      <c r="D17258" s="3">
        <v>2.0</v>
      </c>
    </row>
    <row r="17259" ht="15.75" customHeight="1">
      <c r="A17259" s="1">
        <v>18344.0</v>
      </c>
      <c r="B17259" s="3" t="s">
        <v>16365</v>
      </c>
      <c r="C17259" s="3" t="str">
        <f>IFERROR(__xludf.DUMMYFUNCTION("GOOGLETRANSLATE(B17259,""id"",""en"")"),"['', 'Telkomsel', 'Champion', 'Lemooot', 'Lemoot', 'Lemoooot', 'Keong', 'Location', 'Riau', 'Telkomsel', 'Lemot', 'Posts',' Doang ',' ping ',' ping ',' taiiik ']")</f>
        <v>['', 'Telkomsel', 'Champion', 'Lemooot', 'Lemoot', 'Lemoooot', 'Keong', 'Location', 'Riau', 'Telkomsel', 'Lemot', 'Posts',' Doang ',' ping ',' ping ',' taiiik ']</v>
      </c>
      <c r="D17259" s="3">
        <v>1.0</v>
      </c>
    </row>
    <row r="17260" ht="15.75" customHeight="1">
      <c r="A17260" s="1">
        <v>18345.0</v>
      </c>
      <c r="B17260" s="3" t="s">
        <v>16366</v>
      </c>
      <c r="C17260" s="3" t="str">
        <f>IFERROR(__xludf.DUMMYFUNCTION("GOOGLETRANSLATE(B17260,""id"",""en"")"),"['Astungkara', 'blessing', 'signal', 'etc.']")</f>
        <v>['Astungkara', 'blessing', 'signal', 'etc.']</v>
      </c>
      <c r="D17260" s="3">
        <v>5.0</v>
      </c>
    </row>
    <row r="17261" ht="15.75" customHeight="1">
      <c r="A17261" s="1">
        <v>18346.0</v>
      </c>
      <c r="B17261" s="3" t="s">
        <v>16367</v>
      </c>
      <c r="C17261" s="3" t="str">
        <f>IFERROR(__xludf.DUMMYFUNCTION("GOOGLETRANSLATE(B17261,""id"",""en"")"),"['Network', 'UDH', 'No', 'Good', 'UDH', 'No', 'Urus', 'The Network', 'Disappointed', 'Really', 'Telkomsel']")</f>
        <v>['Network', 'UDH', 'No', 'Good', 'UDH', 'No', 'Urus', 'The Network', 'Disappointed', 'Really', 'Telkomsel']</v>
      </c>
      <c r="D17261" s="3">
        <v>1.0</v>
      </c>
    </row>
    <row r="17262" ht="15.75" customHeight="1">
      <c r="A17262" s="1">
        <v>18348.0</v>
      </c>
      <c r="B17262" s="3" t="s">
        <v>16368</v>
      </c>
      <c r="C17262" s="3" t="str">
        <f>IFERROR(__xludf.DUMMYFUNCTION("GOOGLETRANSLATE(B17262,""id"",""en"")"),"['MHN', 'repaired', 'Network', 'Balekambang', 'Malang', 'South', 'Trouble', 'Net', 'Severe', 'Poool', 'Cook', 'Rain', ' network ',' dead ',' wind ',' network ',' dead ',' electricity ',' go out ',' network ',' dead ']")</f>
        <v>['MHN', 'repaired', 'Network', 'Balekambang', 'Malang', 'South', 'Trouble', 'Net', 'Severe', 'Poool', 'Cook', 'Rain', ' network ',' dead ',' wind ',' network ',' dead ',' electricity ',' go out ',' network ',' dead ']</v>
      </c>
      <c r="D17262" s="3">
        <v>5.0</v>
      </c>
    </row>
    <row r="17263" ht="15.75" customHeight="1">
      <c r="A17263" s="1">
        <v>18349.0</v>
      </c>
      <c r="B17263" s="3" t="s">
        <v>16369</v>
      </c>
      <c r="C17263" s="3" t="str">
        <f>IFERROR(__xludf.DUMMYFUNCTION("GOOGLETRANSLATE(B17263,""id"",""en"")"),"['Sis',' Sorry ',' annoying ',' complaints', 'signal', 'area', 'Bangka', 'Belitung', 'stable', 'internet', 'download', 'application', ' Open ',' Internet ',' Fast ',' Constraints', 'PKAI', 'APK', 'Tidk', 'Call', 'Telfon', 'Please', 'work', 'weapon']")</f>
        <v>['Sis',' Sorry ',' annoying ',' complaints', 'signal', 'area', 'Bangka', 'Belitung', 'stable', 'internet', 'download', 'application', ' Open ',' Internet ',' Fast ',' Constraints', 'PKAI', 'APK', 'Tidk', 'Call', 'Telfon', 'Please', 'work', 'weapon']</v>
      </c>
      <c r="D17263" s="3">
        <v>4.0</v>
      </c>
    </row>
    <row r="17264" ht="15.75" customHeight="1">
      <c r="A17264" s="1">
        <v>18350.0</v>
      </c>
      <c r="B17264" s="3" t="s">
        <v>16370</v>
      </c>
      <c r="C17264" s="3" t="str">
        <f>IFERROR(__xludf.DUMMYFUNCTION("GOOGLETRANSLATE(B17264,""id"",""en"")"),"['application', 'good', 'dear', 'quota', 'run out', 'direct', 'suck', 'pulse', 'quota', 'run out', 'suck', 'pulses',' Non ',' Activate ',' Strangely ',' Update ',' Open ']")</f>
        <v>['application', 'good', 'dear', 'quota', 'run out', 'direct', 'suck', 'pulse', 'quota', 'run out', 'suck', 'pulses',' Non ',' Activate ',' Strangely ',' Update ',' Open ']</v>
      </c>
      <c r="D17264" s="3">
        <v>5.0</v>
      </c>
    </row>
    <row r="17265" ht="15.75" customHeight="1">
      <c r="A17265" s="1">
        <v>18351.0</v>
      </c>
      <c r="B17265" s="3" t="s">
        <v>16371</v>
      </c>
      <c r="C17265" s="3" t="str">
        <f>IFERROR(__xludf.DUMMYFUNCTION("GOOGLETRANSLATE(B17265,""id"",""en"")"),"['Satisfied', 'makes it easy', 'transaction', 'buy', 'pulse', 'quota', 'data', 'internet']")</f>
        <v>['Satisfied', 'makes it easy', 'transaction', 'buy', 'pulse', 'quota', 'data', 'internet']</v>
      </c>
      <c r="D17265" s="3">
        <v>5.0</v>
      </c>
    </row>
    <row r="17266" ht="15.75" customHeight="1">
      <c r="A17266" s="1">
        <v>18352.0</v>
      </c>
      <c r="B17266" s="3" t="s">
        <v>16372</v>
      </c>
      <c r="C17266" s="3" t="str">
        <f>IFERROR(__xludf.DUMMYFUNCTION("GOOGLETRANSLATE(B17266,""id"",""en"")"),"['voucher', 'packagegamemax', 'me', '']")</f>
        <v>['voucher', 'packagegamemax', 'me', '']</v>
      </c>
      <c r="D17266" s="3">
        <v>1.0</v>
      </c>
    </row>
    <row r="17267" ht="15.75" customHeight="1">
      <c r="A17267" s="1">
        <v>18353.0</v>
      </c>
      <c r="B17267" s="3" t="s">
        <v>16373</v>
      </c>
      <c r="C17267" s="3" t="str">
        <f>IFERROR(__xludf.DUMMYFUNCTION("GOOGLETRANSLATE(B17267,""id"",""en"")"),"['version', 'the application', 'broken', 'opened', 'please', 'repaired', 'bug', '']")</f>
        <v>['version', 'the application', 'broken', 'opened', 'please', 'repaired', 'bug', '']</v>
      </c>
      <c r="D17267" s="3">
        <v>1.0</v>
      </c>
    </row>
    <row r="17268" ht="15.75" customHeight="1">
      <c r="A17268" s="1">
        <v>18354.0</v>
      </c>
      <c r="B17268" s="3" t="s">
        <v>16374</v>
      </c>
      <c r="C17268" s="3" t="str">
        <f>IFERROR(__xludf.DUMMYFUNCTION("GOOGLETRANSLATE(B17268,""id"",""en"")"),"['week', 'application', 'bad', 'verytt', 'bad', 'opened', 'screen', 'white', 'mulu', 'errrr', 'fix', 'donk', ' ']")</f>
        <v>['week', 'application', 'bad', 'verytt', 'bad', 'opened', 'screen', 'white', 'mulu', 'errrr', 'fix', 'donk', ' ']</v>
      </c>
      <c r="D17268" s="3">
        <v>1.0</v>
      </c>
    </row>
    <row r="17269" ht="15.75" customHeight="1">
      <c r="A17269" s="1">
        <v>18355.0</v>
      </c>
      <c r="B17269" s="3" t="s">
        <v>16375</v>
      </c>
      <c r="C17269" s="3" t="str">
        <f>IFERROR(__xludf.DUMMYFUNCTION("GOOGLETRANSLATE(B17269,""id"",""en"")"),"['Severe', 'bro', 'hrga', 'package', '']")</f>
        <v>['Severe', 'bro', 'hrga', 'package', '']</v>
      </c>
      <c r="D17269" s="3">
        <v>1.0</v>
      </c>
    </row>
    <row r="17270" ht="15.75" customHeight="1">
      <c r="A17270" s="1">
        <v>18356.0</v>
      </c>
      <c r="B17270" s="3" t="s">
        <v>16376</v>
      </c>
      <c r="C17270" s="3" t="str">
        <f>IFERROR(__xludf.DUMMYFUNCTION("GOOGLETRANSLATE(B17270,""id"",""en"")"),"['knapa', 'skang', 'mytelkomsel', 'complicated', 'play', 'udh', 'jerge', 'slow', 'enter', 'code', 'freak', 'complex', ' BNGET ']")</f>
        <v>['knapa', 'skang', 'mytelkomsel', 'complicated', 'play', 'udh', 'jerge', 'slow', 'enter', 'code', 'freak', 'complex', ' BNGET ']</v>
      </c>
      <c r="D17270" s="3">
        <v>1.0</v>
      </c>
    </row>
    <row r="17271" ht="15.75" customHeight="1">
      <c r="A17271" s="1">
        <v>18357.0</v>
      </c>
      <c r="B17271" s="3" t="s">
        <v>16377</v>
      </c>
      <c r="C17271" s="3" t="str">
        <f>IFERROR(__xludf.DUMMYFUNCTION("GOOGLETRANSLATE(B17271,""id"",""en"")"),"['Update', 'version', 'Latest', 'Blank', 'Screen', 'Enter', 'Application', 'Try', 'Install', 'Reset', 'Tetep', ""]")</f>
        <v>['Update', 'version', 'Latest', 'Blank', 'Screen', 'Enter', 'Application', 'Try', 'Install', 'Reset', 'Tetep', "]</v>
      </c>
      <c r="D17271" s="3">
        <v>2.0</v>
      </c>
    </row>
    <row r="17272" ht="15.75" customHeight="1">
      <c r="A17272" s="1">
        <v>18358.0</v>
      </c>
      <c r="B17272" s="3" t="s">
        <v>16378</v>
      </c>
      <c r="C17272" s="3" t="str">
        <f>IFERROR(__xludf.DUMMYFUNCTION("GOOGLETRANSLATE(B17272,""id"",""en"")"),"['Network', 'Telkomsel', 'Leet', '']")</f>
        <v>['Network', 'Telkomsel', 'Leet', '']</v>
      </c>
      <c r="D17272" s="3">
        <v>3.0</v>
      </c>
    </row>
    <row r="17273" ht="15.75" customHeight="1">
      <c r="A17273" s="1">
        <v>18359.0</v>
      </c>
      <c r="B17273" s="3" t="s">
        <v>16379</v>
      </c>
      <c r="C17273" s="3" t="str">
        <f>IFERROR(__xludf.DUMMYFUNCTION("GOOGLETRANSLATE(B17273,""id"",""en"")"),"['Congratulations',' night ',' Sis', 'buy', 'pulse', 'worth', 'thousand', 'app', 'Telkomsel', 'payment', 'via', 'Shoope', ' Pay ',' Shopee ',' Pay ',' Cutting ',' Credit ',' Visit ',' Enter ',' Please ',' Help ',' Sis']")</f>
        <v>['Congratulations',' night ',' Sis', 'buy', 'pulse', 'worth', 'thousand', 'app', 'Telkomsel', 'payment', 'via', 'Shoope', ' Pay ',' Shopee ',' Pay ',' Cutting ',' Credit ',' Visit ',' Enter ',' Please ',' Help ',' Sis']</v>
      </c>
      <c r="D17273" s="3">
        <v>1.0</v>
      </c>
    </row>
    <row r="17274" ht="15.75" customHeight="1">
      <c r="A17274" s="1">
        <v>18360.0</v>
      </c>
      <c r="B17274" s="3" t="s">
        <v>16380</v>
      </c>
      <c r="C17274" s="3" t="str">
        <f>IFERROR(__xludf.DUMMYFUNCTION("GOOGLETRANSLATE(B17274,""id"",""en"")"),"['Knp', 'application', 'MyTelkomsel', 'skrg', 'open', 'price', 'expensive', 'network', 'mutter', 'muter', ""]")</f>
        <v>['Knp', 'application', 'MyTelkomsel', 'skrg', 'open', 'price', 'expensive', 'network', 'mutter', 'muter', "]</v>
      </c>
      <c r="D17274" s="3">
        <v>5.0</v>
      </c>
    </row>
    <row r="17275" ht="15.75" customHeight="1">
      <c r="A17275" s="1">
        <v>18361.0</v>
      </c>
      <c r="B17275" s="3" t="s">
        <v>16381</v>
      </c>
      <c r="C17275" s="3" t="str">
        <f>IFERROR(__xludf.DUMMYFUNCTION("GOOGLETRANSLATE(B17275,""id"",""en"")"),"['verytt', 'good', 'interesting']")</f>
        <v>['verytt', 'good', 'interesting']</v>
      </c>
      <c r="D17275" s="3">
        <v>5.0</v>
      </c>
    </row>
    <row r="17276" ht="15.75" customHeight="1">
      <c r="A17276" s="1">
        <v>18363.0</v>
      </c>
      <c r="B17276" s="3" t="s">
        <v>16382</v>
      </c>
      <c r="C17276" s="3" t="str">
        <f>IFERROR(__xludf.DUMMYFUNCTION("GOOGLETRANSLATE(B17276,""id"",""en"")"),"['Please', 'fix', 'buy', 'package', 'emergency', 'keeleli', 'owe', 'pulse', 'annoyed']")</f>
        <v>['Please', 'fix', 'buy', 'package', 'emergency', 'keeleli', 'owe', 'pulse', 'annoyed']</v>
      </c>
      <c r="D17276" s="3">
        <v>1.0</v>
      </c>
    </row>
    <row r="17277" ht="15.75" customHeight="1">
      <c r="A17277" s="1">
        <v>18364.0</v>
      </c>
      <c r="B17277" s="3" t="s">
        <v>16383</v>
      </c>
      <c r="C17277" s="3" t="str">
        <f>IFERROR(__xludf.DUMMYFUNCTION("GOOGLETRANSLATE(B17277,""id"",""en"")"),"['easy', 'practical', '']")</f>
        <v>['easy', 'practical', '']</v>
      </c>
      <c r="D17277" s="3">
        <v>5.0</v>
      </c>
    </row>
    <row r="17278" ht="15.75" customHeight="1">
      <c r="A17278" s="1">
        <v>18365.0</v>
      </c>
      <c r="B17278" s="3" t="s">
        <v>16384</v>
      </c>
      <c r="C17278" s="3" t="str">
        <f>IFERROR(__xludf.DUMMYFUNCTION("GOOGLETRANSLATE(B17278,""id"",""en"")"),"['sympathy', 'already', 'gajelas',' network ',' bad ',' mulu ',' use ',' play ',' game ',' dead ',' data ',' strange ',' Sumpah ']")</f>
        <v>['sympathy', 'already', 'gajelas',' network ',' bad ',' mulu ',' use ',' play ',' game ',' dead ',' data ',' strange ',' Sumpah ']</v>
      </c>
      <c r="D17278" s="3">
        <v>2.0</v>
      </c>
    </row>
    <row r="17279" ht="15.75" customHeight="1">
      <c r="A17279" s="1">
        <v>18367.0</v>
      </c>
      <c r="B17279" s="3" t="s">
        <v>16385</v>
      </c>
      <c r="C17279" s="3" t="str">
        <f>IFERROR(__xludf.DUMMYFUNCTION("GOOGLETRANSLATE(B17279,""id"",""en"")"),"['price', 'package', 'data', 'expensive', 'the application', 'open', 'open', 'mah', 'nge', 'balnk', 'white', 'already', ' Wait ',' Tetep ',' Nge ',' Blank ',' White ',' Enter ',' Enter ',' Menu ',' Home ',' Screen ', ""]")</f>
        <v>['price', 'package', 'data', 'expensive', 'the application', 'open', 'open', 'mah', 'nge', 'balnk', 'white', 'already', ' Wait ',' Tetep ',' Nge ',' Blank ',' White ',' Enter ',' Enter ',' Menu ',' Home ',' Screen ', "]</v>
      </c>
      <c r="D17279" s="3">
        <v>1.0</v>
      </c>
    </row>
    <row r="17280" ht="15.75" customHeight="1">
      <c r="A17280" s="1">
        <v>18368.0</v>
      </c>
      <c r="B17280" s="3" t="s">
        <v>16386</v>
      </c>
      <c r="C17280" s="3" t="str">
        <f>IFERROR(__xludf.DUMMYFUNCTION("GOOGLETRANSLATE(B17280,""id"",""en"")"),"['already', 'dozens', 'cell']")</f>
        <v>['already', 'dozens', 'cell']</v>
      </c>
      <c r="D17280" s="3">
        <v>5.0</v>
      </c>
    </row>
    <row r="17281" ht="15.75" customHeight="1">
      <c r="A17281" s="1">
        <v>18369.0</v>
      </c>
      <c r="B17281" s="3" t="s">
        <v>16387</v>
      </c>
      <c r="C17281" s="3" t="str">
        <f>IFERROR(__xludf.DUMMYFUNCTION("GOOGLETRANSLATE(B17281,""id"",""en"")"),"['The difference', 'skrg', 'the network', 'rich']")</f>
        <v>['The difference', 'skrg', 'the network', 'rich']</v>
      </c>
      <c r="D17281" s="3">
        <v>4.0</v>
      </c>
    </row>
    <row r="17282" ht="15.75" customHeight="1">
      <c r="A17282" s="1">
        <v>18370.0</v>
      </c>
      <c r="B17282" s="3" t="s">
        <v>16388</v>
      </c>
      <c r="C17282" s="3" t="str">
        <f>IFERROR(__xludf.DUMMYFUNCTION("GOOGLETRANSLATE(B17282,""id"",""en"")"),"['Network', 'ugly', 'price', 'expensive', 'lazy', 'contents', 'quota', 'mending', 'replace', '']")</f>
        <v>['Network', 'ugly', 'price', 'expensive', 'lazy', 'contents', 'quota', 'mending', 'replace', '']</v>
      </c>
      <c r="D17282" s="3">
        <v>1.0</v>
      </c>
    </row>
    <row r="17283" ht="15.75" customHeight="1">
      <c r="A17283" s="1">
        <v>18371.0</v>
      </c>
      <c r="B17283" s="3" t="s">
        <v>16389</v>
      </c>
      <c r="C17283" s="3" t="str">
        <f>IFERROR(__xludf.DUMMYFUNCTION("GOOGLETRANSLATE(B17283,""id"",""en"")"),"['Application', 'opened', 'already', 'a week', 'reset', 'download', 'reinstall', 'Please', 'explanation', ""]")</f>
        <v>['Application', 'opened', 'already', 'a week', 'reset', 'download', 'reinstall', 'Please', 'explanation', "]</v>
      </c>
      <c r="D17283" s="3">
        <v>1.0</v>
      </c>
    </row>
    <row r="17284" ht="15.75" customHeight="1">
      <c r="A17284" s="1">
        <v>18372.0</v>
      </c>
      <c r="B17284" s="3" t="s">
        <v>16390</v>
      </c>
      <c r="C17284" s="3" t="str">
        <f>IFERROR(__xludf.DUMMYFUNCTION("GOOGLETRANSLATE(B17284,""id"",""en"")"),"['multiply', 'promo']")</f>
        <v>['multiply', 'promo']</v>
      </c>
      <c r="D17284" s="3">
        <v>3.0</v>
      </c>
    </row>
    <row r="17285" ht="15.75" customHeight="1">
      <c r="A17285" s="1">
        <v>18373.0</v>
      </c>
      <c r="B17285" s="3" t="s">
        <v>16391</v>
      </c>
      <c r="C17285" s="3" t="str">
        <f>IFERROR(__xludf.DUMMYFUNCTION("GOOGLETRANSLATE(B17285,""id"",""en"")"),"['Apps', 'Dissed', 'opened', 'Successful', 'Download', 'Emang', 'Telomsel', 'Price', 'Expensive', 'Gajelas']")</f>
        <v>['Apps', 'Dissed', 'opened', 'Successful', 'Download', 'Emang', 'Telomsel', 'Price', 'Expensive', 'Gajelas']</v>
      </c>
      <c r="D17285" s="3">
        <v>1.0</v>
      </c>
    </row>
    <row r="17286" ht="15.75" customHeight="1">
      <c r="A17286" s="1">
        <v>18374.0</v>
      </c>
      <c r="B17286" s="3" t="s">
        <v>16392</v>
      </c>
      <c r="C17286" s="3" t="str">
        <f>IFERROR(__xludf.DUMMYFUNCTION("GOOGLETRANSLATE(B17286,""id"",""en"")"),"['Abis', 'update', 'opened', 'Ryesel', 'really', 'screen', 'white', 'fix']")</f>
        <v>['Abis', 'update', 'opened', 'Ryesel', 'really', 'screen', 'white', 'fix']</v>
      </c>
      <c r="D17286" s="3">
        <v>1.0</v>
      </c>
    </row>
    <row r="17287" ht="15.75" customHeight="1">
      <c r="A17287" s="1">
        <v>18375.0</v>
      </c>
      <c r="B17287" s="3" t="s">
        <v>16393</v>
      </c>
      <c r="C17287" s="3" t="str">
        <f>IFERROR(__xludf.DUMMYFUNCTION("GOOGLETRANSLATE(B17287,""id"",""en"")"),"['Network', 'good', 'next door', 'expensive', 'baget', 'package', 'package', 'please', 'tolooooooong', 'baget', 'really', 'tolooooong', ' really ',' made ',' lock ',' pulse ',' really ',' pulses', 'kerotot', 'gara', 'mode', 'lock', 'pulse', 'forget', 'rep"&amp;"lace' , 'SIM', 'Card', 'live', 'data', 'Bentar', 'pulses', 'already', 'lost', 'really', ""]")</f>
        <v>['Network', 'good', 'next door', 'expensive', 'baget', 'package', 'package', 'please', 'tolooooooong', 'baget', 'really', 'tolooooong', ' really ',' made ',' lock ',' pulse ',' really ',' pulses', 'kerotot', 'gara', 'mode', 'lock', 'pulse', 'forget', 'replace' , 'SIM', 'Card', 'live', 'data', 'Bentar', 'pulses', 'already', 'lost', 'really', "]</v>
      </c>
      <c r="D17287" s="3">
        <v>4.0</v>
      </c>
    </row>
    <row r="17288" ht="15.75" customHeight="1">
      <c r="A17288" s="1">
        <v>18376.0</v>
      </c>
      <c r="B17288" s="3" t="s">
        <v>4464</v>
      </c>
      <c r="C17288" s="3" t="str">
        <f>IFERROR(__xludf.DUMMYFUNCTION("GOOGLETRANSLATE(B17288,""id"",""en"")"),"['Good', 'satisfying']")</f>
        <v>['Good', 'satisfying']</v>
      </c>
      <c r="D17288" s="3">
        <v>4.0</v>
      </c>
    </row>
    <row r="17289" ht="15.75" customHeight="1">
      <c r="A17289" s="1">
        <v>18377.0</v>
      </c>
      <c r="B17289" s="3" t="s">
        <v>16394</v>
      </c>
      <c r="C17289" s="3" t="str">
        <f>IFERROR(__xludf.DUMMYFUNCTION("GOOGLETRANSLATE(B17289,""id"",""en"")"),"['habit', 'package', 'data', 'out', 'quota', 'slow', 'pdhl', 'already', 'buy', 'yesterday', 'add', 'quota', ' Jir ']")</f>
        <v>['habit', 'package', 'data', 'out', 'quota', 'slow', 'pdhl', 'already', 'buy', 'yesterday', 'add', 'quota', ' Jir ']</v>
      </c>
      <c r="D17289" s="3">
        <v>2.0</v>
      </c>
    </row>
    <row r="17290" ht="15.75" customHeight="1">
      <c r="A17290" s="1">
        <v>18378.0</v>
      </c>
      <c r="B17290" s="3" t="s">
        <v>16395</v>
      </c>
      <c r="C17290" s="3" t="str">
        <f>IFERROR(__xludf.DUMMYFUNCTION("GOOGLETRANSLATE(B17290,""id"",""en"")"),"['', 'package', 'kebagi', 'apk', 'expensive', 'mah', 'provider', 'belongs', 'person', 'foreign']")</f>
        <v>['', 'package', 'kebagi', 'apk', 'expensive', 'mah', 'provider', 'belongs', 'person', 'foreign']</v>
      </c>
      <c r="D17290" s="3">
        <v>1.0</v>
      </c>
    </row>
    <row r="17291" ht="15.75" customHeight="1">
      <c r="A17291" s="1">
        <v>18381.0</v>
      </c>
      <c r="B17291" s="3" t="s">
        <v>16396</v>
      </c>
      <c r="C17291" s="3" t="str">
        <f>IFERROR(__xludf.DUMMYFUNCTION("GOOGLETRANSLATE(B17291,""id"",""en"")"),"['Current', 'Jaya', 'Nemakai', 'Telkomsel', 'siippp', 'like', 'please', 'keep', 'Increase', 'subscribe', 'tens',' loyal ',' Telkomsel ']")</f>
        <v>['Current', 'Jaya', 'Nemakai', 'Telkomsel', 'siippp', 'like', 'please', 'keep', 'Increase', 'subscribe', 'tens',' loyal ',' Telkomsel ']</v>
      </c>
      <c r="D17291" s="3">
        <v>5.0</v>
      </c>
    </row>
    <row r="17292" ht="15.75" customHeight="1">
      <c r="A17292" s="1">
        <v>18382.0</v>
      </c>
      <c r="B17292" s="3" t="s">
        <v>92</v>
      </c>
      <c r="C17292" s="3" t="str">
        <f>IFERROR(__xludf.DUMMYFUNCTION("GOOGLETRANSLATE(B17292,""id"",""en"")"),"['Application', 'Open']")</f>
        <v>['Application', 'Open']</v>
      </c>
      <c r="D17292" s="3">
        <v>2.0</v>
      </c>
    </row>
    <row r="17293" ht="15.75" customHeight="1">
      <c r="A17293" s="1">
        <v>18383.0</v>
      </c>
      <c r="B17293" s="3" t="s">
        <v>16397</v>
      </c>
      <c r="C17293" s="3" t="str">
        <f>IFERROR(__xludf.DUMMYFUNCTION("GOOGLETRANSLATE(B17293,""id"",""en"")"),"['already', 'contents', 'because' yesterday ',' expensive ',' bang ',' quota ',' cheap ',' emng ',' cage ',' Telkomsel ',' right ',' ']")</f>
        <v>['already', 'contents', 'because' yesterday ',' expensive ',' bang ',' quota ',' cheap ',' emng ',' cage ',' Telkomsel ',' right ',' ']</v>
      </c>
      <c r="D17293" s="3">
        <v>5.0</v>
      </c>
    </row>
    <row r="17294" ht="15.75" customHeight="1">
      <c r="A17294" s="1">
        <v>18384.0</v>
      </c>
      <c r="B17294" s="3" t="s">
        <v>4061</v>
      </c>
      <c r="C17294" s="3" t="str">
        <f>IFERROR(__xludf.DUMMYFUNCTION("GOOGLETRANSLATE(B17294,""id"",""en"")"),"['Package', 'Call', 'expensive']")</f>
        <v>['Package', 'Call', 'expensive']</v>
      </c>
      <c r="D17294" s="3">
        <v>1.0</v>
      </c>
    </row>
    <row r="17295" ht="15.75" customHeight="1">
      <c r="A17295" s="1">
        <v>18385.0</v>
      </c>
      <c r="B17295" s="3" t="s">
        <v>3087</v>
      </c>
      <c r="C17295" s="3" t="str">
        <f>IFERROR(__xludf.DUMMYFUNCTION("GOOGLETRANSLATE(B17295,""id"",""en"")"),"['easy', 'access', '']")</f>
        <v>['easy', 'access', '']</v>
      </c>
      <c r="D17295" s="3">
        <v>5.0</v>
      </c>
    </row>
    <row r="17296" ht="15.75" customHeight="1">
      <c r="A17296" s="1">
        <v>18386.0</v>
      </c>
      <c r="B17296" s="3" t="s">
        <v>16398</v>
      </c>
      <c r="C17296" s="3" t="str">
        <f>IFERROR(__xludf.DUMMYFUNCTION("GOOGLETRANSLATE(B17296,""id"",""en"")"),"['The APK', 'opened', 'Yesterday', 'opened', 'TSL', 'weird']")</f>
        <v>['The APK', 'opened', 'Yesterday', 'opened', 'TSL', 'weird']</v>
      </c>
      <c r="D17296" s="3">
        <v>1.0</v>
      </c>
    </row>
    <row r="17297" ht="15.75" customHeight="1">
      <c r="A17297" s="1">
        <v>18387.0</v>
      </c>
      <c r="B17297" s="3" t="s">
        <v>16399</v>
      </c>
      <c r="C17297" s="3" t="str">
        <f>IFERROR(__xludf.DUMMYFUNCTION("GOOGLETRANSLATE(B17297,""id"",""en"")"),"['', 'opened', 'Application', 'Sya', 'UDH', 'Delete', 'Install', 'Delete', 'Install', 'Huhhhhh']")</f>
        <v>['', 'opened', 'Application', 'Sya', 'UDH', 'Delete', 'Install', 'Delete', 'Install', 'Huhhhhh']</v>
      </c>
      <c r="D17297" s="3">
        <v>1.0</v>
      </c>
    </row>
    <row r="17298" ht="15.75" customHeight="1">
      <c r="A17298" s="1">
        <v>18388.0</v>
      </c>
      <c r="B17298" s="3" t="s">
        <v>619</v>
      </c>
      <c r="C17298" s="3" t="str">
        <f>IFERROR(__xludf.DUMMYFUNCTION("GOOGLETRANSLATE(B17298,""id"",""en"")"),"['Good', 'help']")</f>
        <v>['Good', 'help']</v>
      </c>
      <c r="D17298" s="3">
        <v>4.0</v>
      </c>
    </row>
    <row r="17299" ht="15.75" customHeight="1">
      <c r="A17299" s="1">
        <v>18389.0</v>
      </c>
      <c r="B17299" s="3" t="s">
        <v>16400</v>
      </c>
      <c r="C17299" s="3" t="str">
        <f>IFERROR(__xludf.DUMMYFUNCTION("GOOGLETRANSLATE(B17299,""id"",""en"")"),"['is', 'PublicSeta', 'Entity', 'Info Isakun']")</f>
        <v>['is', 'PublicSeta', 'Entity', 'Info Isakun']</v>
      </c>
      <c r="D17299" s="3">
        <v>5.0</v>
      </c>
    </row>
    <row r="17300" ht="15.75" customHeight="1">
      <c r="A17300" s="1">
        <v>18390.0</v>
      </c>
      <c r="B17300" s="3" t="s">
        <v>16401</v>
      </c>
      <c r="C17300" s="3" t="str">
        <f>IFERROR(__xludf.DUMMYFUNCTION("GOOGLETRANSLATE(B17300,""id"",""en"")"),"['Thnks',' Telkomsel ',' wifi ',' dead ',' signal ',' good ',' contents', 'reset', 'perudis',' alsoaa ',' pokknya ',' ter ',' ']")</f>
        <v>['Thnks',' Telkomsel ',' wifi ',' dead ',' signal ',' good ',' contents', 'reset', 'perudis',' alsoaa ',' pokknya ',' ter ',' ']</v>
      </c>
      <c r="D17300" s="3">
        <v>4.0</v>
      </c>
    </row>
    <row r="17301" ht="15.75" customHeight="1">
      <c r="A17301" s="1">
        <v>18391.0</v>
      </c>
      <c r="B17301" s="3" t="s">
        <v>16402</v>
      </c>
      <c r="C17301" s="3" t="str">
        <f>IFERROR(__xludf.DUMMYFUNCTION("GOOGLETRANSLATE(B17301,""id"",""en"")"),"['Steady', 'fast', 'response', 'press', 'NLPN', 'direct', '']")</f>
        <v>['Steady', 'fast', 'response', 'press', 'NLPN', 'direct', '']</v>
      </c>
      <c r="D17301" s="3">
        <v>4.0</v>
      </c>
    </row>
    <row r="17302" ht="15.75" customHeight="1">
      <c r="A17302" s="1">
        <v>18392.0</v>
      </c>
      <c r="B17302" s="3" t="s">
        <v>16403</v>
      </c>
      <c r="C17302" s="3" t="str">
        <f>IFERROR(__xludf.DUMMYFUNCTION("GOOGLETRANSLATE(B17302,""id"",""en"")"),"['Telkomsel', 'HRS', 'promotion', 'bonus', 'customer']")</f>
        <v>['Telkomsel', 'HRS', 'promotion', 'bonus', 'customer']</v>
      </c>
      <c r="D17302" s="3">
        <v>5.0</v>
      </c>
    </row>
    <row r="17303" ht="15.75" customHeight="1">
      <c r="A17303" s="1">
        <v>18393.0</v>
      </c>
      <c r="B17303" s="3" t="s">
        <v>16404</v>
      </c>
      <c r="C17303" s="3" t="str">
        <f>IFERROR(__xludf.DUMMYFUNCTION("GOOGLETRANSLATE(B17303,""id"",""en"")"),"['application', 'contents', 'diamond', 'game', 'min', 'download', 'application', 'Telkomsel', 'min']")</f>
        <v>['application', 'contents', 'diamond', 'game', 'min', 'download', 'application', 'Telkomsel', 'min']</v>
      </c>
      <c r="D17303" s="3">
        <v>4.0</v>
      </c>
    </row>
    <row r="17304" ht="15.75" customHeight="1">
      <c r="A17304" s="1">
        <v>18394.0</v>
      </c>
      <c r="B17304" s="3" t="s">
        <v>16405</v>
      </c>
      <c r="C17304" s="3" t="str">
        <f>IFERROR(__xludf.DUMMYFUNCTION("GOOGLETRANSLATE(B17304,""id"",""en"")"),"['PKE', 'Application', 'Credit', 'Cut "",' Cloudmax ',' PDHL ',' PRNH ',' Register ',' Cloudmax ',' Non ',' Activein ',' HRS ',' Download ',' Application ',' UDH ',' Download ',' Sign ',' Non ',' Believe ',' make it difficult ',' HRS ',' SMS ']")</f>
        <v>['PKE', 'Application', 'Credit', 'Cut ",' Cloudmax ',' PDHL ',' PRNH ',' Register ',' Cloudmax ',' Non ',' Activein ',' HRS ',' Download ',' Application ',' UDH ',' Download ',' Sign ',' Non ',' Believe ',' make it difficult ',' HRS ',' SMS ']</v>
      </c>
      <c r="D17304" s="3">
        <v>1.0</v>
      </c>
    </row>
    <row r="17305" ht="15.75" customHeight="1">
      <c r="A17305" s="1">
        <v>18395.0</v>
      </c>
      <c r="B17305" s="3" t="s">
        <v>16406</v>
      </c>
      <c r="C17305" s="3" t="str">
        <f>IFERROR(__xludf.DUMMYFUNCTION("GOOGLETRANSLATE(B17305,""id"",""en"")"),"['Updet', 'White']")</f>
        <v>['Updet', 'White']</v>
      </c>
      <c r="D17305" s="3">
        <v>5.0</v>
      </c>
    </row>
    <row r="17306" ht="15.75" customHeight="1">
      <c r="A17306" s="1">
        <v>18396.0</v>
      </c>
      <c r="B17306" s="3" t="s">
        <v>16407</v>
      </c>
      <c r="C17306" s="3" t="str">
        <f>IFERROR(__xludf.DUMMYFUNCTION("GOOGLETRANSLATE(B17306,""id"",""en"")"),"['Poodanan', 'Grapari', 'help']")</f>
        <v>['Poodanan', 'Grapari', 'help']</v>
      </c>
      <c r="D17306" s="3">
        <v>5.0</v>
      </c>
    </row>
    <row r="17307" ht="15.75" customHeight="1">
      <c r="A17307" s="1">
        <v>18397.0</v>
      </c>
      <c r="B17307" s="3" t="s">
        <v>16408</v>
      </c>
      <c r="C17307" s="3" t="str">
        <f>IFERROR(__xludf.DUMMYFUNCTION("GOOGLETRANSLATE(B17307,""id"",""en"")"),"['', 'Open', 'apk', 'Telkomsel', 'knp', 'look', 'white', 'he mean', ""]")</f>
        <v>['', 'Open', 'apk', 'Telkomsel', 'knp', 'look', 'white', 'he mean', "]</v>
      </c>
      <c r="D17307" s="3">
        <v>1.0</v>
      </c>
    </row>
    <row r="17308" ht="15.75" customHeight="1">
      <c r="A17308" s="1">
        <v>18398.0</v>
      </c>
      <c r="B17308" s="3" t="s">
        <v>16409</v>
      </c>
      <c r="C17308" s="3" t="str">
        <f>IFERROR(__xludf.DUMMYFUNCTION("GOOGLETRANSLATE(B17308,""id"",""en"")"),"['APK', 'Loading', 'Try', 'Install', 'reset', 'normal', 'quality', 'signal', 'Telkomsel', 'good', 'please', 'fix']")</f>
        <v>['APK', 'Loading', 'Try', 'Install', 'reset', 'normal', 'quality', 'signal', 'Telkomsel', 'good', 'please', 'fix']</v>
      </c>
      <c r="D17308" s="3">
        <v>1.0</v>
      </c>
    </row>
    <row r="17309" ht="15.75" customHeight="1">
      <c r="A17309" s="1">
        <v>18399.0</v>
      </c>
      <c r="B17309" s="3" t="s">
        <v>16410</v>
      </c>
      <c r="C17309" s="3" t="str">
        <f>IFERROR(__xludf.DUMMYFUNCTION("GOOGLETRANSLATE(B17309,""id"",""en"")"),"['Not bad', 'stable', 'bonus']")</f>
        <v>['Not bad', 'stable', 'bonus']</v>
      </c>
      <c r="D17309" s="3">
        <v>3.0</v>
      </c>
    </row>
    <row r="17310" ht="15.75" customHeight="1">
      <c r="A17310" s="1">
        <v>18400.0</v>
      </c>
      <c r="B17310" s="3" t="s">
        <v>13932</v>
      </c>
      <c r="C17310" s="3" t="str">
        <f>IFERROR(__xludf.DUMMYFUNCTION("GOOGLETRANSLATE(B17310,""id"",""en"")"),"['hope', 'package', 'cheap']")</f>
        <v>['hope', 'package', 'cheap']</v>
      </c>
      <c r="D17310" s="3">
        <v>5.0</v>
      </c>
    </row>
    <row r="17311" ht="15.75" customHeight="1">
      <c r="A17311" s="1">
        <v>18401.0</v>
      </c>
      <c r="B17311" s="3" t="s">
        <v>16411</v>
      </c>
      <c r="C17311" s="3" t="str">
        <f>IFERROR(__xludf.DUMMYFUNCTION("GOOGLETRANSLATE(B17311,""id"",""en"")"),"['already', 'Fix', 'sympathy', 'signal', 'worst', 'number', 'diindo']")</f>
        <v>['already', 'Fix', 'sympathy', 'signal', 'worst', 'number', 'diindo']</v>
      </c>
      <c r="D17311" s="3">
        <v>1.0</v>
      </c>
    </row>
    <row r="17312" ht="15.75" customHeight="1">
      <c r="A17312" s="1">
        <v>18402.0</v>
      </c>
      <c r="B17312" s="3" t="s">
        <v>16412</v>
      </c>
      <c r="C17312" s="3" t="str">
        <f>IFERROR(__xludf.DUMMYFUNCTION("GOOGLETRANSLATE(B17312,""id"",""en"")"),"['The network', 'slow', 'ilang', 'ilang', '']")</f>
        <v>['The network', 'slow', 'ilang', 'ilang', '']</v>
      </c>
      <c r="D17312" s="3">
        <v>3.0</v>
      </c>
    </row>
    <row r="17313" ht="15.75" customHeight="1">
      <c r="A17313" s="1">
        <v>18403.0</v>
      </c>
      <c r="B17313" s="3" t="s">
        <v>16413</v>
      </c>
      <c r="C17313" s="3" t="str">
        <f>IFERROR(__xludf.DUMMYFUNCTION("GOOGLETRANSLATE(B17313,""id"",""en"")"),"['Hi', 'Telkom', 'ask', 'Network', 'Telkom', 'Good', 'yaa', ""]")</f>
        <v>['Hi', 'Telkom', 'ask', 'Network', 'Telkom', 'Good', 'yaa', "]</v>
      </c>
      <c r="D17313" s="3">
        <v>3.0</v>
      </c>
    </row>
    <row r="17314" ht="15.75" customHeight="1">
      <c r="A17314" s="1">
        <v>18404.0</v>
      </c>
      <c r="B17314" s="3" t="s">
        <v>16414</v>
      </c>
      <c r="C17314" s="3" t="str">
        <f>IFERROR(__xludf.DUMMYFUNCTION("GOOGLETRANSLATE(B17314,""id"",""en"")"),"['updated', 'slow', 'opening']")</f>
        <v>['updated', 'slow', 'opening']</v>
      </c>
      <c r="D17314" s="3">
        <v>2.0</v>
      </c>
    </row>
    <row r="17315" ht="15.75" customHeight="1">
      <c r="A17315" s="1">
        <v>18405.0</v>
      </c>
      <c r="B17315" s="3" t="s">
        <v>16415</v>
      </c>
      <c r="C17315" s="3" t="str">
        <f>IFERROR(__xludf.DUMMYFUNCTION("GOOGLETRANSLATE(B17315,""id"",""en"")"),"['Good', 'signal', 'strong', 'package', 'cheap', 'mainly', 'affordable', 'circles', 'down', 'trims', 'Telkomsel', '']")</f>
        <v>['Good', 'signal', 'strong', 'package', 'cheap', 'mainly', 'affordable', 'circles', 'down', 'trims', 'Telkomsel', '']</v>
      </c>
      <c r="D17315" s="3">
        <v>5.0</v>
      </c>
    </row>
    <row r="17316" ht="15.75" customHeight="1">
      <c r="A17316" s="1">
        <v>18406.0</v>
      </c>
      <c r="B17316" s="3" t="s">
        <v>16416</v>
      </c>
      <c r="C17316" s="3" t="str">
        <f>IFERROR(__xludf.DUMMYFUNCTION("GOOGLETRANSLATE(B17316,""id"",""en"")"),"['network', 'Semankin', 'mess', 'slow', 'download', 'Telkomsel', 'open', '']")</f>
        <v>['network', 'Semankin', 'mess', 'slow', 'download', 'Telkomsel', 'open', '']</v>
      </c>
      <c r="D17316" s="3">
        <v>1.0</v>
      </c>
    </row>
    <row r="17317" ht="15.75" customHeight="1">
      <c r="A17317" s="1">
        <v>18407.0</v>
      </c>
      <c r="B17317" s="3" t="s">
        <v>16417</v>
      </c>
      <c r="C17317" s="3" t="str">
        <f>IFERROR(__xludf.DUMMYFUNCTION("GOOGLETRANSLATE(B17317,""id"",""en"")"),"['Please', 'Help', 'APK', 'White', 'Screen', 'Package', 'Out', 'Gabisa', 'Figure', 'Lawas',' Lawas', 'Please', ' fast ',' repaired ']")</f>
        <v>['Please', 'Help', 'APK', 'White', 'Screen', 'Package', 'Out', 'Gabisa', 'Figure', 'Lawas',' Lawas', 'Please', ' fast ',' repaired ']</v>
      </c>
      <c r="D17317" s="3">
        <v>1.0</v>
      </c>
    </row>
    <row r="17318" ht="15.75" customHeight="1">
      <c r="A17318" s="1">
        <v>18408.0</v>
      </c>
      <c r="B17318" s="3" t="s">
        <v>16418</v>
      </c>
      <c r="C17318" s="3" t="str">
        <f>IFERROR(__xludf.DUMMYFUNCTION("GOOGLETRANSLATE(B17318,""id"",""en"")"),"['easy', 'choice', 'package', 'data', '']")</f>
        <v>['easy', 'choice', 'package', 'data', '']</v>
      </c>
      <c r="D17318" s="3">
        <v>5.0</v>
      </c>
    </row>
    <row r="17319" ht="15.75" customHeight="1">
      <c r="A17319" s="1">
        <v>18409.0</v>
      </c>
      <c r="B17319" s="3" t="s">
        <v>2023</v>
      </c>
      <c r="C17319" s="3" t="str">
        <f>IFERROR(__xludf.DUMMYFUNCTION("GOOGLETRANSLATE(B17319,""id"",""en"")"),"['Open', 'The application', '']")</f>
        <v>['Open', 'The application', '']</v>
      </c>
      <c r="D17319" s="3">
        <v>3.0</v>
      </c>
    </row>
    <row r="17320" ht="15.75" customHeight="1">
      <c r="A17320" s="1">
        <v>18410.0</v>
      </c>
      <c r="B17320" s="3" t="s">
        <v>5074</v>
      </c>
      <c r="C17320" s="3" t="str">
        <f>IFERROR(__xludf.DUMMYFUNCTION("GOOGLETRANSLATE(B17320,""id"",""en"")"),"['Telkomsel', 'Open', '']")</f>
        <v>['Telkomsel', 'Open', '']</v>
      </c>
      <c r="D17320" s="3">
        <v>5.0</v>
      </c>
    </row>
    <row r="17321" ht="15.75" customHeight="1">
      <c r="A17321" s="1">
        <v>18411.0</v>
      </c>
      <c r="B17321" s="3" t="s">
        <v>16419</v>
      </c>
      <c r="C17321" s="3" t="str">
        <f>IFERROR(__xludf.DUMMYFUNCTION("GOOGLETRANSLATE(B17321,""id"",""en"")"),"['For days', 'apk', 'error', 'knpa', 'blm', 'change', 'please', 'cpt', 'repair']")</f>
        <v>['For days', 'apk', 'error', 'knpa', 'blm', 'change', 'please', 'cpt', 'repair']</v>
      </c>
      <c r="D17321" s="3">
        <v>1.0</v>
      </c>
    </row>
    <row r="17322" ht="15.75" customHeight="1">
      <c r="A17322" s="1">
        <v>18412.0</v>
      </c>
      <c r="B17322" s="3" t="s">
        <v>16420</v>
      </c>
      <c r="C17322" s="3" t="str">
        <f>IFERROR(__xludf.DUMMYFUNCTION("GOOGLETRANSLATE(B17322,""id"",""en"")"),"['Min', 'entry', 'The application', 'Screen', 'White', 'Wait', 'Manage', 'Enter', 'Enter', 'Please', 'repair', 'TPI', ' fluent']")</f>
        <v>['Min', 'entry', 'The application', 'Screen', 'White', 'Wait', 'Manage', 'Enter', 'Enter', 'Please', 'repair', 'TPI', ' fluent']</v>
      </c>
      <c r="D17322" s="3">
        <v>1.0</v>
      </c>
    </row>
    <row r="17323" ht="15.75" customHeight="1">
      <c r="A17323" s="1">
        <v>18414.0</v>
      </c>
      <c r="B17323" s="3" t="s">
        <v>16421</v>
      </c>
      <c r="C17323" s="3" t="str">
        <f>IFERROR(__xludf.DUMMYFUNCTION("GOOGLETRANSLATE(B17323,""id"",""en"")"),"['Parahhh', 'Sihh', 'loss',' contents', 'pulse', 'funds',' UDH ',' KPOOT ',' Credit ',' entered ',' bgtu ',' yaa ',' TRYTA ',' KRJ ',' System ',' Switch ',' Other ']")</f>
        <v>['Parahhh', 'Sihh', 'loss',' contents', 'pulse', 'funds',' UDH ',' KPOOT ',' Credit ',' entered ',' bgtu ',' yaa ',' TRYTA ',' KRJ ',' System ',' Switch ',' Other ']</v>
      </c>
      <c r="D17323" s="3">
        <v>1.0</v>
      </c>
    </row>
    <row r="17324" ht="15.75" customHeight="1">
      <c r="A17324" s="1">
        <v>18415.0</v>
      </c>
      <c r="B17324" s="3" t="s">
        <v>16422</v>
      </c>
      <c r="C17324" s="3" t="str">
        <f>IFERROR(__xludf.DUMMYFUNCTION("GOOGLETRANSLATE(B17324,""id"",""en"")"),"['Please', 'Sorry', 'Uninstall', 'Open', 'appears',' Screen ',' White ',' Customer ',' Update ',' date ',' Kayak ',' Ngeblank ',' telephone ',' operator ',' told ',' uninstall ',' installed ',' result ',' beg ',' fix ',' system ',' customer ',' disappoint"&amp;"ed ',' thank ',' love ' , '']")</f>
        <v>['Please', 'Sorry', 'Uninstall', 'Open', 'appears',' Screen ',' White ',' Customer ',' Update ',' date ',' Kayak ',' Ngeblank ',' telephone ',' operator ',' told ',' uninstall ',' installed ',' result ',' beg ',' fix ',' system ',' customer ',' disappointed ',' thank ',' love ' , '']</v>
      </c>
      <c r="D17324" s="3">
        <v>2.0</v>
      </c>
    </row>
    <row r="17325" ht="15.75" customHeight="1">
      <c r="A17325" s="1">
        <v>18416.0</v>
      </c>
      <c r="B17325" s="3" t="s">
        <v>16423</v>
      </c>
      <c r="C17325" s="3" t="str">
        <f>IFERROR(__xludf.DUMMYFUNCTION("GOOGLETRANSLATE(B17325,""id"",""en"")"),"['Application', 'bad', 'open', 'apk', 'screen', 'white', 'trussss', 'waste', 'pulses', ""]")</f>
        <v>['Application', 'bad', 'open', 'apk', 'screen', 'white', 'trussss', 'waste', 'pulses', "]</v>
      </c>
      <c r="D17325" s="3">
        <v>1.0</v>
      </c>
    </row>
    <row r="17326" ht="15.75" customHeight="1">
      <c r="A17326" s="1">
        <v>18417.0</v>
      </c>
      <c r="B17326" s="3" t="s">
        <v>16424</v>
      </c>
      <c r="C17326" s="3" t="str">
        <f>IFERROR(__xludf.DUMMYFUNCTION("GOOGLETRANSLATE(B17326,""id"",""en"")"),"['Not bad', 'check', 'quota', 'detail']")</f>
        <v>['Not bad', 'check', 'quota', 'detail']</v>
      </c>
      <c r="D17326" s="3">
        <v>4.0</v>
      </c>
    </row>
    <row r="17327" ht="15.75" customHeight="1">
      <c r="A17327" s="1">
        <v>18418.0</v>
      </c>
      <c r="B17327" s="3" t="s">
        <v>16425</v>
      </c>
      <c r="C17327" s="3" t="str">
        <f>IFERROR(__xludf.DUMMYFUNCTION("GOOGLETRANSLATE(B17327,""id"",""en"")"),"['The network', 'Benerin', 'Paketannya', 'Mahalin', 'Paraahhhh', ""]")</f>
        <v>['The network', 'Benerin', 'Paketannya', 'Mahalin', 'Paraahhhh', "]</v>
      </c>
      <c r="D17327" s="3">
        <v>1.0</v>
      </c>
    </row>
    <row r="17328" ht="15.75" customHeight="1">
      <c r="A17328" s="1">
        <v>18419.0</v>
      </c>
      <c r="B17328" s="3" t="s">
        <v>16426</v>
      </c>
      <c r="C17328" s="3" t="str">
        <f>IFERROR(__xludf.DUMMYFUNCTION("GOOGLETRANSLATE(B17328,""id"",""en"")"),"['Syaa', 'Open', 'Direct', 'White', 'Screen', 'please', 'repay', 'bug']")</f>
        <v>['Syaa', 'Open', 'Direct', 'White', 'Screen', 'please', 'repay', 'bug']</v>
      </c>
      <c r="D17328" s="3">
        <v>1.0</v>
      </c>
    </row>
    <row r="17329" ht="15.75" customHeight="1">
      <c r="A17329" s="1">
        <v>18420.0</v>
      </c>
      <c r="B17329" s="3" t="s">
        <v>16427</v>
      </c>
      <c r="C17329" s="3" t="str">
        <f>IFERROR(__xludf.DUMMYFUNCTION("GOOGLETRANSLATE(B17329,""id"",""en"")"),"['Huftt', 'signal', 'bad', 'village', 'kota', 'satisfying', 'bad', 'network', 'ugly', 'network', 'next door', 'Telkomsel', ' Changes', 'Abis',' buy ',' quota ',' ugly ',' bnyk ',' deficiencies', 'bad', 'net', 'nya', 'repair', 'told', 'twitter' , '']")</f>
        <v>['Huftt', 'signal', 'bad', 'village', 'kota', 'satisfying', 'bad', 'network', 'ugly', 'network', 'next door', 'Telkomsel', ' Changes', 'Abis',' buy ',' quota ',' ugly ',' bnyk ',' deficiencies', 'bad', 'net', 'nya', 'repair', 'told', 'twitter' , '']</v>
      </c>
      <c r="D17329" s="3">
        <v>1.0</v>
      </c>
    </row>
    <row r="17330" ht="15.75" customHeight="1">
      <c r="A17330" s="1">
        <v>18421.0</v>
      </c>
      <c r="B17330" s="3" t="s">
        <v>16428</v>
      </c>
      <c r="C17330" s="3" t="str">
        <f>IFERROR(__xludf.DUMMYFUNCTION("GOOGLETRANSLATE(B17330,""id"",""en"")"),"['My APK', 'Yesterday', 'Error', 'already', 'Uninstall', 'reset', 'Tetep', 'Telkomsel', 'Famous',' Good ',' The Network ',' Expensive ',' APK ',' Lemot ',' really ',' my APK ']")</f>
        <v>['My APK', 'Yesterday', 'Error', 'already', 'Uninstall', 'reset', 'Tetep', 'Telkomsel', 'Famous',' Good ',' The Network ',' Expensive ',' APK ',' Lemot ',' really ',' my APK ']</v>
      </c>
      <c r="D17330" s="3">
        <v>1.0</v>
      </c>
    </row>
    <row r="17331" ht="15.75" customHeight="1">
      <c r="A17331" s="1">
        <v>18422.0</v>
      </c>
      <c r="B17331" s="3" t="s">
        <v>16429</v>
      </c>
      <c r="C17331" s="3" t="str">
        <f>IFERROR(__xludf.DUMMYFUNCTION("GOOGLETRANSLATE(B17331,""id"",""en"")"),"['application', 'gabisa', 'open', 'appearance', 'screen', 'white', 'doang', 'what', '']")</f>
        <v>['application', 'gabisa', 'open', 'appearance', 'screen', 'white', 'doang', 'what', '']</v>
      </c>
      <c r="D17331" s="3">
        <v>1.0</v>
      </c>
    </row>
    <row r="17332" ht="15.75" customHeight="1">
      <c r="A17332" s="1">
        <v>18423.0</v>
      </c>
      <c r="B17332" s="3" t="s">
        <v>16430</v>
      </c>
      <c r="C17332" s="3" t="str">
        <f>IFERROR(__xludf.DUMMYFUNCTION("GOOGLETRANSLATE(B17332,""id"",""en"")"),"['against']")</f>
        <v>['against']</v>
      </c>
      <c r="D17332" s="3">
        <v>5.0</v>
      </c>
    </row>
    <row r="17333" ht="15.75" customHeight="1">
      <c r="A17333" s="1">
        <v>18424.0</v>
      </c>
      <c r="B17333" s="3" t="s">
        <v>16431</v>
      </c>
      <c r="C17333" s="3" t="str">
        <f>IFERROR(__xludf.DUMMYFUNCTION("GOOGLETRANSLATE(B17333,""id"",""en"")"),"['Telkomsel', 'Capation', 'Network', 'APK', 'Gajelas',' APK ',' right ',' enter ',' screen ',' white ',' doang ',' gabisa ',' Enter ',' already ',' Wait ',' really ',' Please ',' repaired ',' Gini ',' Change ',' Card ',' Ajadeh ', ""]")</f>
        <v>['Telkomsel', 'Capation', 'Network', 'APK', 'Gajelas',' APK ',' right ',' enter ',' screen ',' white ',' doang ',' gabisa ',' Enter ',' already ',' Wait ',' really ',' Please ',' repaired ',' Gini ',' Change ',' Card ',' Ajadeh ', "]</v>
      </c>
      <c r="D17333" s="3">
        <v>3.0</v>
      </c>
    </row>
    <row r="17334" ht="15.75" customHeight="1">
      <c r="A17334" s="1">
        <v>18425.0</v>
      </c>
      <c r="B17334" s="3" t="s">
        <v>16432</v>
      </c>
      <c r="C17334" s="3" t="str">
        <f>IFERROR(__xludf.DUMMYFUNCTION("GOOGLETRANSLATE(B17334,""id"",""en"")"),"['Sympathy', 'Bankek', 'Signal', 'Wonoayu', 'Sidoarjo', 'Java', 'East']")</f>
        <v>['Sympathy', 'Bankek', 'Signal', 'Wonoayu', 'Sidoarjo', 'Java', 'East']</v>
      </c>
      <c r="D17334" s="3">
        <v>1.0</v>
      </c>
    </row>
    <row r="17335" ht="15.75" customHeight="1">
      <c r="A17335" s="1">
        <v>18426.0</v>
      </c>
      <c r="B17335" s="3" t="s">
        <v>16433</v>
      </c>
      <c r="C17335" s="3" t="str">
        <f>IFERROR(__xludf.DUMMYFUNCTION("GOOGLETRANSLATE(B17335,""id"",""en"")"),"['', 'Update', 'Good', 'Severe', 'APK', 'Open', 'Screen', 'White', 'Tlong', 'Fix', ""]")</f>
        <v>['', 'Update', 'Good', 'Severe', 'APK', 'Open', 'Screen', 'White', 'Tlong', 'Fix', "]</v>
      </c>
      <c r="D17335" s="3">
        <v>1.0</v>
      </c>
    </row>
    <row r="17336" ht="15.75" customHeight="1">
      <c r="A17336" s="1">
        <v>18427.0</v>
      </c>
      <c r="B17336" s="3" t="s">
        <v>16434</v>
      </c>
      <c r="C17336" s="3" t="str">
        <f>IFERROR(__xludf.DUMMYFUNCTION("GOOGLETRANSLATE(B17336,""id"",""en"")"),"['Help', 'mantapp']")</f>
        <v>['Help', 'mantapp']</v>
      </c>
      <c r="D17336" s="3">
        <v>5.0</v>
      </c>
    </row>
    <row r="17337" ht="15.75" customHeight="1">
      <c r="A17337" s="1">
        <v>18428.0</v>
      </c>
      <c r="B17337" s="3" t="s">
        <v>16435</v>
      </c>
      <c r="C17337" s="3" t="str">
        <f>IFERROR(__xludf.DUMMYFUNCTION("GOOGLETRANSLATE(B17337,""id"",""en"")"),"['', 'Severe', 'Application', 'Ngeblank', 'White', 'Open', 'Duuh', 'Severe', ""]")</f>
        <v>['', 'Severe', 'Application', 'Ngeblank', 'White', 'Open', 'Duuh', 'Severe', "]</v>
      </c>
      <c r="D17337" s="3">
        <v>1.0</v>
      </c>
    </row>
    <row r="17338" ht="15.75" customHeight="1">
      <c r="A17338" s="1">
        <v>18429.0</v>
      </c>
      <c r="B17338" s="3" t="s">
        <v>16436</v>
      </c>
      <c r="C17338" s="3" t="str">
        <f>IFERROR(__xludf.DUMMYFUNCTION("GOOGLETRANSLATE(B17338,""id"",""en"")"),"['Promo', 'combo', 'saktinya']")</f>
        <v>['Promo', 'combo', 'saktinya']</v>
      </c>
      <c r="D17338" s="3">
        <v>5.0</v>
      </c>
    </row>
    <row r="17339" ht="15.75" customHeight="1">
      <c r="A17339" s="1">
        <v>18430.0</v>
      </c>
      <c r="B17339" s="3" t="s">
        <v>16437</v>
      </c>
      <c r="C17339" s="3" t="str">
        <f>IFERROR(__xludf.DUMMYFUNCTION("GOOGLETRANSLATE(B17339,""id"",""en"")"),"['Telkomsel', 'Error', 'How', 'Opened', 'Please', 'Benerin']")</f>
        <v>['Telkomsel', 'Error', 'How', 'Opened', 'Please', 'Benerin']</v>
      </c>
      <c r="D17339" s="3">
        <v>1.0</v>
      </c>
    </row>
    <row r="17340" ht="15.75" customHeight="1">
      <c r="A17340" s="1">
        <v>18431.0</v>
      </c>
      <c r="B17340" s="3" t="s">
        <v>15581</v>
      </c>
      <c r="C17340" s="3" t="str">
        <f>IFERROR(__xludf.DUMMYFUNCTION("GOOGLETRANSLATE(B17340,""id"",""en"")"),"['Provider']")</f>
        <v>['Provider']</v>
      </c>
      <c r="D17340" s="3">
        <v>5.0</v>
      </c>
    </row>
    <row r="17341" ht="15.75" customHeight="1">
      <c r="A17341" s="1">
        <v>18432.0</v>
      </c>
      <c r="B17341" s="3" t="s">
        <v>16438</v>
      </c>
      <c r="C17341" s="3" t="str">
        <f>IFERROR(__xludf.DUMMYFUNCTION("GOOGLETRANSLATE(B17341,""id"",""en"")"),"['Quota', 'Combo', 'Sakti', 'Lost', 'buy']")</f>
        <v>['Quota', 'Combo', 'Sakti', 'Lost', 'buy']</v>
      </c>
      <c r="D17341" s="3">
        <v>2.0</v>
      </c>
    </row>
    <row r="17342" ht="15.75" customHeight="1">
      <c r="A17342" s="1">
        <v>18433.0</v>
      </c>
      <c r="B17342" s="3" t="s">
        <v>16439</v>
      </c>
      <c r="C17342" s="3" t="str">
        <f>IFERROR(__xludf.DUMMYFUNCTION("GOOGLETRANSLATE(B17342,""id"",""en"")"),"['APK', 'check', 'quota', 'lwat', 'dial', 'right', 'check', 'lwat', 'apk', 'appear', 'dpat', 'load', ' Page ',' Sorry ',' Error ',' System ',' ']")</f>
        <v>['APK', 'check', 'quota', 'lwat', 'dial', 'right', 'check', 'lwat', 'apk', 'appear', 'dpat', 'load', ' Page ',' Sorry ',' Error ',' System ',' ']</v>
      </c>
      <c r="D17342" s="3">
        <v>1.0</v>
      </c>
    </row>
    <row r="17343" ht="15.75" customHeight="1">
      <c r="A17343" s="1">
        <v>18434.0</v>
      </c>
      <c r="B17343" s="3" t="s">
        <v>16440</v>
      </c>
      <c r="C17343" s="3" t="str">
        <f>IFERROR(__xludf.DUMMYFUNCTION("GOOGLETRANSLATE(B17343,""id"",""en"")"),"['hope', 'gift', 'car', 'aminn']")</f>
        <v>['hope', 'gift', 'car', 'aminn']</v>
      </c>
      <c r="D17343" s="3">
        <v>4.0</v>
      </c>
    </row>
    <row r="17344" ht="15.75" customHeight="1">
      <c r="A17344" s="1">
        <v>18435.0</v>
      </c>
      <c r="B17344" s="3" t="s">
        <v>10422</v>
      </c>
      <c r="C17344" s="3" t="str">
        <f>IFERROR(__xludf.DUMMYFUNCTION("GOOGLETRANSLATE(B17344,""id"",""en"")"),"['useful']")</f>
        <v>['useful']</v>
      </c>
      <c r="D17344" s="3">
        <v>5.0</v>
      </c>
    </row>
    <row r="17345" ht="15.75" customHeight="1">
      <c r="A17345" s="1">
        <v>18436.0</v>
      </c>
      <c r="B17345" s="3" t="s">
        <v>16441</v>
      </c>
      <c r="C17345" s="3" t="str">
        <f>IFERROR(__xludf.DUMMYFUNCTION("GOOGLETRANSLATE(B17345,""id"",""en"")"),"['', 'Telkomsel', 'access', 'knpa', ""]")</f>
        <v>['', 'Telkomsel', 'access', 'knpa', "]</v>
      </c>
      <c r="D17345" s="3">
        <v>1.0</v>
      </c>
    </row>
    <row r="17346" ht="15.75" customHeight="1">
      <c r="A17346" s="1">
        <v>18437.0</v>
      </c>
      <c r="B17346" s="3" t="s">
        <v>16442</v>
      </c>
      <c r="C17346" s="3" t="str">
        <f>IFERROR(__xludf.DUMMYFUNCTION("GOOGLETRANSLATE(B17346,""id"",""en"")"),"['Love', 'quota', 'free', 'Lahh']")</f>
        <v>['Love', 'quota', 'free', 'Lahh']</v>
      </c>
      <c r="D17346" s="3">
        <v>5.0</v>
      </c>
    </row>
    <row r="17347" ht="15.75" customHeight="1">
      <c r="A17347" s="1">
        <v>18438.0</v>
      </c>
      <c r="B17347" s="3" t="s">
        <v>16443</v>
      </c>
      <c r="C17347" s="3" t="str">
        <f>IFERROR(__xludf.DUMMYFUNCTION("GOOGLETRANSLATE(B17347,""id"",""en"")"),"['waah', 'severe', 'signal', 'December', 'Death', 'signal', 'Telkomsel']")</f>
        <v>['waah', 'severe', 'signal', 'December', 'Death', 'signal', 'Telkomsel']</v>
      </c>
      <c r="D17347" s="3">
        <v>4.0</v>
      </c>
    </row>
    <row r="17348" ht="15.75" customHeight="1">
      <c r="A17348" s="1">
        <v>18440.0</v>
      </c>
      <c r="B17348" s="3" t="s">
        <v>16444</v>
      </c>
      <c r="C17348" s="3" t="str">
        <f>IFERROR(__xludf.DUMMYFUNCTION("GOOGLETRANSLATE(B17348,""id"",""en"")"),"['Information', 'Telkomsel', 'price', 'complete']")</f>
        <v>['Information', 'Telkomsel', 'price', 'complete']</v>
      </c>
      <c r="D17348" s="3">
        <v>5.0</v>
      </c>
    </row>
    <row r="17349" ht="15.75" customHeight="1">
      <c r="A17349" s="1">
        <v>18441.0</v>
      </c>
      <c r="B17349" s="3" t="s">
        <v>16445</v>
      </c>
      <c r="C17349" s="3" t="str">
        <f>IFERROR(__xludf.DUMMYFUNCTION("GOOGLETRANSLATE(B17349,""id"",""en"")"),"['updated', 'APK', 'opened', 'screen', 'white']")</f>
        <v>['updated', 'APK', 'opened', 'screen', 'white']</v>
      </c>
      <c r="D17349" s="3">
        <v>2.0</v>
      </c>
    </row>
    <row r="17350" ht="15.75" customHeight="1">
      <c r="A17350" s="1">
        <v>18442.0</v>
      </c>
      <c r="B17350" s="3" t="s">
        <v>16446</v>
      </c>
      <c r="C17350" s="3" t="str">
        <f>IFERROR(__xludf.DUMMYFUNCTION("GOOGLETRANSLATE(B17350,""id"",""en"")"),"['cave', 'ugly', 'how', 'knp', 'application', 'NGK', 'Bukak', '']")</f>
        <v>['cave', 'ugly', 'how', 'knp', 'application', 'NGK', 'Bukak', '']</v>
      </c>
      <c r="D17350" s="3">
        <v>1.0</v>
      </c>
    </row>
    <row r="17351" ht="15.75" customHeight="1">
      <c r="A17351" s="1">
        <v>18443.0</v>
      </c>
      <c r="B17351" s="3" t="s">
        <v>16447</v>
      </c>
      <c r="C17351" s="3" t="str">
        <f>IFERROR(__xludf.DUMMYFUNCTION("GOOGLETRANSLATE(B17351,""id"",""en"")"),"['', 'LMA', 'Application', 'Telkomsel', 'Points', 'BLI', 'Lottery', 'Points', '']")</f>
        <v>['', 'LMA', 'Application', 'Telkomsel', 'Points', 'BLI', 'Lottery', 'Points', '']</v>
      </c>
      <c r="D17351" s="3">
        <v>5.0</v>
      </c>
    </row>
    <row r="17352" ht="15.75" customHeight="1">
      <c r="A17352" s="1">
        <v>18444.0</v>
      </c>
      <c r="B17352" s="3" t="s">
        <v>16448</v>
      </c>
      <c r="C17352" s="3" t="str">
        <f>IFERROR(__xludf.DUMMYFUNCTION("GOOGLETRANSLATE(B17352,""id"",""en"")"),"['APL', 'Telkomsel', 'opened', '']")</f>
        <v>['APL', 'Telkomsel', 'opened', '']</v>
      </c>
      <c r="D17352" s="3">
        <v>2.0</v>
      </c>
    </row>
    <row r="17353" ht="15.75" customHeight="1">
      <c r="A17353" s="1">
        <v>18445.0</v>
      </c>
      <c r="B17353" s="3" t="s">
        <v>16449</v>
      </c>
      <c r="C17353" s="3" t="str">
        <f>IFERROR(__xludf.DUMMYFUNCTION("GOOGLETRANSLATE(B17353,""id"",""en"")"),"['the simple Life']")</f>
        <v>['the simple Life']</v>
      </c>
      <c r="D17353" s="3">
        <v>5.0</v>
      </c>
    </row>
    <row r="17354" ht="15.75" customHeight="1">
      <c r="A17354" s="1">
        <v>18446.0</v>
      </c>
      <c r="B17354" s="3" t="s">
        <v>16450</v>
      </c>
      <c r="C17354" s="3" t="str">
        <f>IFERROR(__xludf.DUMMYFUNCTION("GOOGLETRANSLATE(B17354,""id"",""en"")"),"['Signal', 'BERIK', 'price', 'expensive', 'MGEGAME', 'SRING', 'LAG', 'UDH', 'PKUEN', 'KUSU', 'GAME', 'TTP', ' Ngellag ',' like ',' PKE ',' Indosat ']")</f>
        <v>['Signal', 'BERIK', 'price', 'expensive', 'MGEGAME', 'SRING', 'LAG', 'UDH', 'PKUEN', 'KUSU', 'GAME', 'TTP', ' Ngellag ',' like ',' PKE ',' Indosat ']</v>
      </c>
      <c r="D17354" s="3">
        <v>1.0</v>
      </c>
    </row>
    <row r="17355" ht="15.75" customHeight="1">
      <c r="A17355" s="1">
        <v>18447.0</v>
      </c>
      <c r="B17355" s="3" t="s">
        <v>16451</v>
      </c>
      <c r="C17355" s="3" t="str">
        <f>IFERROR(__xludf.DUMMYFUNCTION("GOOGLETRANSLATE(B17355,""id"",""en"")"),"['buy', 'package', 'maxstrem', 'already', 'downlod', 'apk', 'maxstrem', 'quota', 'maxstrem', 'take', 'knpa', 'quota', ' main ',' take ',' idiot ',' users', 'Telkomsel', 'deliberate', 'think', 'deh', 'watch', 'mxstrem']")</f>
        <v>['buy', 'package', 'maxstrem', 'already', 'downlod', 'apk', 'maxstrem', 'quota', 'maxstrem', 'take', 'knpa', 'quota', ' main ',' take ',' idiot ',' users', 'Telkomsel', 'deliberate', 'think', 'deh', 'watch', 'mxstrem']</v>
      </c>
      <c r="D17355" s="3">
        <v>1.0</v>
      </c>
    </row>
    <row r="17356" ht="15.75" customHeight="1">
      <c r="A17356" s="1">
        <v>18448.0</v>
      </c>
      <c r="B17356" s="3" t="s">
        <v>16452</v>
      </c>
      <c r="C17356" s="3" t="str">
        <f>IFERROR(__xludf.DUMMYFUNCTION("GOOGLETRANSLATE(B17356,""id"",""en"")"),"['Open', 'Application', 'MyTelkomsel', 'White', 'just', 'screen', 'Loading', 'Network', 'Good']")</f>
        <v>['Open', 'Application', 'MyTelkomsel', 'White', 'just', 'screen', 'Loading', 'Network', 'Good']</v>
      </c>
      <c r="D17356" s="3">
        <v>1.0</v>
      </c>
    </row>
    <row r="17357" ht="15.75" customHeight="1">
      <c r="A17357" s="1">
        <v>18449.0</v>
      </c>
      <c r="B17357" s="3" t="s">
        <v>16453</v>
      </c>
      <c r="C17357" s="3" t="str">
        <f>IFERROR(__xludf.DUMMYFUNCTION("GOOGLETRANSLATE(B17357,""id"",""en"")"),"['right', 'play', 'game', 'signal', 'lag', 'padaha', 'smooth', 'tired', 'gini']")</f>
        <v>['right', 'play', 'game', 'signal', 'lag', 'padaha', 'smooth', 'tired', 'gini']</v>
      </c>
      <c r="D17357" s="3">
        <v>1.0</v>
      </c>
    </row>
    <row r="17358" ht="15.75" customHeight="1">
      <c r="A17358" s="1">
        <v>18450.0</v>
      </c>
      <c r="B17358" s="3" t="s">
        <v>16454</v>
      </c>
      <c r="C17358" s="3" t="str">
        <f>IFERROR(__xludf.DUMMYFUNCTION("GOOGLETRANSLATE(B17358,""id"",""en"")"),"['battered', 'APK', 'MyTelkomsel', 'Disruption', 'Mulu', 'Open', 'APK', 'Transaction', 'already', 'expensive', 'package', 'battered', ' APK ',' MyTelkomsel ',' Signal ',' Good ',' APK ',' Difficult ',' Opened ',' ']")</f>
        <v>['battered', 'APK', 'MyTelkomsel', 'Disruption', 'Mulu', 'Open', 'APK', 'Transaction', 'already', 'expensive', 'package', 'battered', ' APK ',' MyTelkomsel ',' Signal ',' Good ',' APK ',' Difficult ',' Opened ',' ']</v>
      </c>
      <c r="D17358" s="3">
        <v>1.0</v>
      </c>
    </row>
    <row r="17359" ht="15.75" customHeight="1">
      <c r="A17359" s="1">
        <v>18451.0</v>
      </c>
      <c r="B17359" s="3" t="s">
        <v>16455</v>
      </c>
      <c r="C17359" s="3" t="str">
        <f>IFERROR(__xludf.DUMMYFUNCTION("GOOGLETRANSLATE(B17359,""id"",""en"")"),"['balance', 'already', 'cut', 'package', 'internet', 'enter']")</f>
        <v>['balance', 'already', 'cut', 'package', 'internet', 'enter']</v>
      </c>
      <c r="D17359" s="3">
        <v>1.0</v>
      </c>
    </row>
    <row r="17360" ht="15.75" customHeight="1">
      <c r="A17360" s="1">
        <v>18452.0</v>
      </c>
      <c r="B17360" s="3" t="s">
        <v>16456</v>
      </c>
      <c r="C17360" s="3" t="str">
        <f>IFERROR(__xludf.DUMMYFUNCTION("GOOGLETRANSLATE(B17360,""id"",""en"")"),"['Cost', 'piece', 'transfer', 'pulses', 'expensive', 'thousand', 'piece', 'pulse', 'pulse', 'operator', ""]")</f>
        <v>['Cost', 'piece', 'transfer', 'pulses', 'expensive', 'thousand', 'piece', 'pulse', 'pulse', 'operator', "]</v>
      </c>
      <c r="D17360" s="3">
        <v>1.0</v>
      </c>
    </row>
    <row r="17361" ht="15.75" customHeight="1">
      <c r="A17361" s="1">
        <v>18453.0</v>
      </c>
      <c r="B17361" s="3" t="s">
        <v>16457</v>
      </c>
      <c r="C17361" s="3" t="str">
        <f>IFERROR(__xludf.DUMMYFUNCTION("GOOGLETRANSLATE(B17361,""id"",""en"")"),"['opened', 'application', 'renewal', 'newest']")</f>
        <v>['opened', 'application', 'renewal', 'newest']</v>
      </c>
      <c r="D17361" s="3">
        <v>1.0</v>
      </c>
    </row>
    <row r="17362" ht="15.75" customHeight="1">
      <c r="A17362" s="1">
        <v>18455.0</v>
      </c>
      <c r="B17362" s="3" t="s">
        <v>8648</v>
      </c>
      <c r="C17362" s="3" t="str">
        <f>IFERROR(__xludf.DUMMYFUNCTION("GOOGLETRANSLATE(B17362,""id"",""en"")"),"['Knp', 'application', 'opened', '']")</f>
        <v>['Knp', 'application', 'opened', '']</v>
      </c>
      <c r="D17362" s="3">
        <v>1.0</v>
      </c>
    </row>
    <row r="17363" ht="15.75" customHeight="1">
      <c r="A17363" s="1">
        <v>18456.0</v>
      </c>
      <c r="B17363" s="3" t="s">
        <v>16458</v>
      </c>
      <c r="C17363" s="3" t="str">
        <f>IFERROR(__xludf.DUMMYFUNCTION("GOOGLETRANSLATE(B17363,""id"",""en"")"),"['Please', 'Note', 'Sunday', 'open', 'MyTelkomsel', 'White', 'Screen', 'repaired', ""]")</f>
        <v>['Please', 'Note', 'Sunday', 'open', 'MyTelkomsel', 'White', 'Screen', 'repaired', "]</v>
      </c>
      <c r="D17363" s="3">
        <v>1.0</v>
      </c>
    </row>
    <row r="17364" ht="15.75" customHeight="1">
      <c r="A17364" s="1">
        <v>18457.0</v>
      </c>
      <c r="B17364" s="3" t="s">
        <v>16459</v>
      </c>
      <c r="C17364" s="3" t="str">
        <f>IFERROR(__xludf.DUMMYFUNCTION("GOOGLETRANSLATE(B17364,""id"",""en"")"),"['swearhh', 'difficult', 'application', 'buy', 'package', 'open', 'the application', 'difficult', 'biiiangetttt', 'how', 'buy', 'package', ' Application ',' Open ']")</f>
        <v>['swearhh', 'difficult', 'application', 'buy', 'package', 'open', 'the application', 'difficult', 'biiiangetttt', 'how', 'buy', 'package', ' Application ',' Open ']</v>
      </c>
      <c r="D17364" s="3">
        <v>1.0</v>
      </c>
    </row>
    <row r="17365" ht="15.75" customHeight="1">
      <c r="A17365" s="1">
        <v>18458.0</v>
      </c>
      <c r="B17365" s="3" t="s">
        <v>16460</v>
      </c>
      <c r="C17365" s="3" t="str">
        <f>IFERROR(__xludf.DUMMYFUNCTION("GOOGLETRANSLATE(B17365,""id"",""en"")"),"['Hello', 'Telkomsel', 'Asked', 'just', 'white', 'screen', 'tried', 'Uninstall', 'TIME', 'Try', 'Delete', 'Chace']")</f>
        <v>['Hello', 'Telkomsel', 'Asked', 'just', 'white', 'screen', 'tried', 'Uninstall', 'TIME', 'Try', 'Delete', 'Chace']</v>
      </c>
      <c r="D17365" s="3">
        <v>1.0</v>
      </c>
    </row>
    <row r="17366" ht="15.75" customHeight="1">
      <c r="A17366" s="1">
        <v>18459.0</v>
      </c>
      <c r="B17366" s="3" t="s">
        <v>16461</v>
      </c>
      <c r="C17366" s="3" t="str">
        <f>IFERROR(__xludf.DUMMYFUNCTION("GOOGLETRANSLATE(B17366,""id"",""en"")"),"['Install', 'Android', 'Thank you', 'Response']")</f>
        <v>['Install', 'Android', 'Thank you', 'Response']</v>
      </c>
      <c r="D17366" s="3">
        <v>5.0</v>
      </c>
    </row>
    <row r="17367" ht="15.75" customHeight="1">
      <c r="A17367" s="1">
        <v>18460.0</v>
      </c>
      <c r="B17367" s="3" t="s">
        <v>16462</v>
      </c>
      <c r="C17367" s="3" t="str">
        <f>IFERROR(__xludf.DUMMYFUNCTION("GOOGLETRANSLATE(B17367,""id"",""en"")"),"['steady', 'coy']")</f>
        <v>['steady', 'coy']</v>
      </c>
      <c r="D17367" s="3">
        <v>5.0</v>
      </c>
    </row>
    <row r="17368" ht="15.75" customHeight="1">
      <c r="A17368" s="1">
        <v>18461.0</v>
      </c>
      <c r="B17368" s="3" t="s">
        <v>16463</v>
      </c>
      <c r="C17368" s="3" t="str">
        <f>IFERROR(__xludf.DUMMYFUNCTION("GOOGLETRANSLATE(B17368,""id"",""en"")"),"['The application', 'no', 'open', 'update']")</f>
        <v>['The application', 'no', 'open', 'update']</v>
      </c>
      <c r="D17368" s="3">
        <v>1.0</v>
      </c>
    </row>
    <row r="17369" ht="15.75" customHeight="1">
      <c r="A17369" s="1">
        <v>18463.0</v>
      </c>
      <c r="B17369" s="3" t="s">
        <v>16464</v>
      </c>
      <c r="C17369" s="3" t="str">
        <f>IFERROR(__xludf.DUMMYFUNCTION("GOOGLETRANSLATE(B17369,""id"",""en"")"),"['application', 'open', 'please', 'info', ""]")</f>
        <v>['application', 'open', 'please', 'info', "]</v>
      </c>
      <c r="D17369" s="3">
        <v>1.0</v>
      </c>
    </row>
    <row r="17370" ht="15.75" customHeight="1">
      <c r="A17370" s="1">
        <v>18464.0</v>
      </c>
      <c r="B17370" s="3" t="s">
        <v>16465</v>
      </c>
      <c r="C17370" s="3" t="str">
        <f>IFERROR(__xludf.DUMMYFUNCTION("GOOGLETRANSLATE(B17370,""id"",""en"")"),"['sayah', 'happy', 'already', 'use', 'card', 'telkomsel', 'bely', 'pormonya']")</f>
        <v>['sayah', 'happy', 'already', 'use', 'card', 'telkomsel', 'bely', 'pormonya']</v>
      </c>
      <c r="D17370" s="3">
        <v>5.0</v>
      </c>
    </row>
    <row r="17371" ht="15.75" customHeight="1">
      <c r="A17371" s="1">
        <v>18465.0</v>
      </c>
      <c r="B17371" s="3" t="s">
        <v>16466</v>
      </c>
      <c r="C17371" s="3" t="str">
        <f>IFERROR(__xludf.DUMMYFUNCTION("GOOGLETRANSLATE(B17371,""id"",""en"")"),"['Signal', 'steady', 'Ngegame', 'Joss', 'Lahh', '']")</f>
        <v>['Signal', 'steady', 'Ngegame', 'Joss', 'Lahh', '']</v>
      </c>
      <c r="D17371" s="3">
        <v>5.0</v>
      </c>
    </row>
    <row r="17372" ht="15.75" customHeight="1">
      <c r="A17372" s="1">
        <v>18466.0</v>
      </c>
      <c r="B17372" s="3" t="s">
        <v>16467</v>
      </c>
      <c r="C17372" s="3" t="str">
        <f>IFERROR(__xludf.DUMMYFUNCTION("GOOGLETRANSLATE(B17372,""id"",""en"")"),"['out', 'renewal', 'access', 'strange', '']")</f>
        <v>['out', 'renewal', 'access', 'strange', '']</v>
      </c>
      <c r="D17372" s="3">
        <v>1.0</v>
      </c>
    </row>
    <row r="17373" ht="15.75" customHeight="1">
      <c r="A17373" s="1">
        <v>18467.0</v>
      </c>
      <c r="B17373" s="3" t="s">
        <v>16468</v>
      </c>
      <c r="C17373" s="3" t="str">
        <f>IFERROR(__xludf.DUMMYFUNCTION("GOOGLETRANSLATE(B17373,""id"",""en"")"),"['App', 'Telkomsel', 'Tuker', 'Points',' Quota ',' Must ',' Nambah ',' Money ',' Ngadin ',' Gift ',' Have ',' Claim ',' Check ',' Must ',' pulse ',' Hadeuhh ',' name ',' claim ',' open ',' application ',' a little ',' money ',' sincere ',' nge ',' gift ' "&amp;", 'Customer', 'looks',' Mayak ',' Customer ',' BLM ',' LGI ',' HRGA ',' expensive ',' Network ',' Threat ',' Bener ',' Heague ',' ']")</f>
        <v>['App', 'Telkomsel', 'Tuker', 'Points',' Quota ',' Must ',' Nambah ',' Money ',' Ngadin ',' Gift ',' Have ',' Claim ',' Check ',' Must ',' pulse ',' Hadeuhh ',' name ',' claim ',' open ',' application ',' a little ',' money ',' sincere ',' nge ',' gift ' , 'Customer', 'looks',' Mayak ',' Customer ',' BLM ',' LGI ',' HRGA ',' expensive ',' Network ',' Threat ',' Bener ',' Heague ',' ']</v>
      </c>
      <c r="D17373" s="3">
        <v>1.0</v>
      </c>
    </row>
    <row r="17374" ht="15.75" customHeight="1">
      <c r="A17374" s="1">
        <v>18468.0</v>
      </c>
      <c r="B17374" s="3" t="s">
        <v>16469</v>
      </c>
      <c r="C17374" s="3" t="str">
        <f>IFERROR(__xludf.DUMMYFUNCTION("GOOGLETRANSLATE(B17374,""id"",""en"")"),"['Price', 'Doang', 'expensive', 'signal', 'ugly']")</f>
        <v>['Price', 'Doang', 'expensive', 'signal', 'ugly']</v>
      </c>
      <c r="D17374" s="3">
        <v>1.0</v>
      </c>
    </row>
    <row r="17375" ht="15.75" customHeight="1">
      <c r="A17375" s="1">
        <v>18469.0</v>
      </c>
      <c r="B17375" s="3" t="s">
        <v>16470</v>
      </c>
      <c r="C17375" s="3" t="str">
        <f>IFERROR(__xludf.DUMMYFUNCTION("GOOGLETRANSLATE(B17375,""id"",""en"")"),"['fast', 'process', 'Bali', 'package', 'pulse', 'signal', 'stable', ""]")</f>
        <v>['fast', 'process', 'Bali', 'package', 'pulse', 'signal', 'stable', "]</v>
      </c>
      <c r="D17375" s="3">
        <v>5.0</v>
      </c>
    </row>
    <row r="17376" ht="15.75" customHeight="1">
      <c r="A17376" s="1">
        <v>18470.0</v>
      </c>
      <c r="B17376" s="3" t="s">
        <v>16471</v>
      </c>
      <c r="C17376" s="3" t="str">
        <f>IFERROR(__xludf.DUMMYFUNCTION("GOOGLETRANSLATE(B17376,""id"",""en"")"),"['as soon as',' operator ',' at the same time ',' cave ',' comfortable ',' ama ',' package ',' data ',' cheap ',' price ',' enjoyed ',' ehmalah ',' Missing ',' Package ',' Cheap ',' Cave ',' Pindaah ',' Oerator ',' Cheap ',' ']")</f>
        <v>['as soon as',' operator ',' at the same time ',' cave ',' comfortable ',' ama ',' package ',' data ',' cheap ',' price ',' enjoyed ',' ehmalah ',' Missing ',' Package ',' Cheap ',' Cave ',' Pindaah ',' Oerator ',' Cheap ',' ']</v>
      </c>
      <c r="D17376" s="3">
        <v>1.0</v>
      </c>
    </row>
    <row r="17377" ht="15.75" customHeight="1">
      <c r="A17377" s="1">
        <v>18471.0</v>
      </c>
      <c r="B17377" s="3" t="s">
        <v>16472</v>
      </c>
      <c r="C17377" s="3" t="str">
        <f>IFERROR(__xludf.DUMMYFUNCTION("GOOGLETRANSLATE(B17377,""id"",""en"")"),"['card', 'idiot', 'signal', 'ugly', 'price', 'expensive']")</f>
        <v>['card', 'idiot', 'signal', 'ugly', 'price', 'expensive']</v>
      </c>
      <c r="D17377" s="3">
        <v>1.0</v>
      </c>
    </row>
    <row r="17378" ht="15.75" customHeight="1">
      <c r="A17378" s="1">
        <v>18472.0</v>
      </c>
      <c r="B17378" s="3" t="s">
        <v>16473</v>
      </c>
      <c r="C17378" s="3" t="str">
        <f>IFERROR(__xludf.DUMMYFUNCTION("GOOGLETRANSLATE(B17378,""id"",""en"")"),"['Please', 'APK', 'blank', 'white', 'doang', 'woi']")</f>
        <v>['Please', 'APK', 'blank', 'white', 'doang', 'woi']</v>
      </c>
      <c r="D17378" s="3">
        <v>1.0</v>
      </c>
    </row>
    <row r="17379" ht="15.75" customHeight="1">
      <c r="A17379" s="1">
        <v>18473.0</v>
      </c>
      <c r="B17379" s="3" t="s">
        <v>16474</v>
      </c>
      <c r="C17379" s="3" t="str">
        <f>IFERROR(__xludf.DUMMYFUNCTION("GOOGLETRANSLATE(B17379,""id"",""en"")"),"['Pay', 'package', 'data', 'expensive', 'quality', 'network', 'bad', 'detrimental', 'user', 'please', 'noticed', ' ',' Murah ',' complaints', 'consumers',' region ',' Aceh ',' East ',' bad ',' quality ',' signal ',' region ',' Peudawa ', ""]")</f>
        <v>['Pay', 'package', 'data', 'expensive', 'quality', 'network', 'bad', 'detrimental', 'user', 'please', 'noticed', ' ',' Murah ',' complaints', 'consumers',' region ',' Aceh ',' East ',' bad ',' quality ',' signal ',' region ',' Peudawa ', "]</v>
      </c>
      <c r="D17379" s="3">
        <v>1.0</v>
      </c>
    </row>
    <row r="17380" ht="15.75" customHeight="1">
      <c r="A17380" s="1">
        <v>18474.0</v>
      </c>
      <c r="B17380" s="3" t="s">
        <v>16475</v>
      </c>
      <c r="C17380" s="3" t="str">
        <f>IFERROR(__xludf.DUMMYFUNCTION("GOOGLETRANSLATE(B17380,""id"",""en"")"),"['cave', 'already', 'sincerely', 'what's up', 'pity']")</f>
        <v>['cave', 'already', 'sincerely', 'what's up', 'pity']</v>
      </c>
      <c r="D17380" s="3">
        <v>2.0</v>
      </c>
    </row>
    <row r="17381" ht="15.75" customHeight="1">
      <c r="A17381" s="1">
        <v>18475.0</v>
      </c>
      <c r="B17381" s="3" t="s">
        <v>16476</v>
      </c>
      <c r="C17381" s="3" t="str">
        <f>IFERROR(__xludf.DUMMYFUNCTION("GOOGLETRANSLATE(B17381,""id"",""en"")"),"['network', 'Tsel', 'Kek', 'dog', 'pig', '']")</f>
        <v>['network', 'Tsel', 'Kek', 'dog', 'pig', '']</v>
      </c>
      <c r="D17381" s="3">
        <v>1.0</v>
      </c>
    </row>
    <row r="17382" ht="15.75" customHeight="1">
      <c r="A17382" s="1">
        <v>18476.0</v>
      </c>
      <c r="B17382" s="3" t="s">
        <v>16477</v>
      </c>
      <c r="C17382" s="3" t="str">
        <f>IFERROR(__xludf.DUMMYFUNCTION("GOOGLETRANSLATE(B17382,""id"",""en"")"),"['Open', 'Samsung']")</f>
        <v>['Open', 'Samsung']</v>
      </c>
      <c r="D17382" s="3">
        <v>1.0</v>
      </c>
    </row>
    <row r="17383" ht="15.75" customHeight="1">
      <c r="A17383" s="1">
        <v>18477.0</v>
      </c>
      <c r="B17383" s="3" t="s">
        <v>16478</v>
      </c>
      <c r="C17383" s="3" t="str">
        <f>IFERROR(__xludf.DUMMYFUNCTION("GOOGLETRANSLATE(B17383,""id"",""en"")"),"['Appliation', 'Rada', 'Difficult', 'Enter', 'Details', 'Try', 'Try', ""]")</f>
        <v>['Appliation', 'Rada', 'Difficult', 'Enter', 'Details', 'Try', 'Try', "]</v>
      </c>
      <c r="D17383" s="3">
        <v>3.0</v>
      </c>
    </row>
    <row r="17384" ht="15.75" customHeight="1">
      <c r="A17384" s="1">
        <v>18478.0</v>
      </c>
      <c r="B17384" s="3" t="s">
        <v>16479</v>
      </c>
      <c r="C17384" s="3" t="str">
        <f>IFERROR(__xludf.DUMMYFUNCTION("GOOGLETRANSLATE(B17384,""id"",""en"")"),"['price', 'package', 'internet', 'expensive', 'quality', 'signal', 'bad', 'Javanese', 'west', 'because', 'mah', ' Change ',' HandPhone ',' Disappointed ',' ']")</f>
        <v>['price', 'package', 'internet', 'expensive', 'quality', 'signal', 'bad', 'Javanese', 'west', 'because', 'mah', ' Change ',' HandPhone ',' Disappointed ',' ']</v>
      </c>
      <c r="D17384" s="3">
        <v>1.0</v>
      </c>
    </row>
    <row r="17385" ht="15.75" customHeight="1">
      <c r="A17385" s="1">
        <v>18479.0</v>
      </c>
      <c r="B17385" s="3" t="s">
        <v>16480</v>
      </c>
      <c r="C17385" s="3" t="str">
        <f>IFERROR(__xludf.DUMMYFUNCTION("GOOGLETRANSLATE(B17385,""id"",""en"")"),"['signal', 'Telkomsel', 'rich', 'horse']")</f>
        <v>['signal', 'Telkomsel', 'rich', 'horse']</v>
      </c>
      <c r="D17385" s="3">
        <v>1.0</v>
      </c>
    </row>
    <row r="17386" ht="15.75" customHeight="1">
      <c r="A17386" s="1">
        <v>18480.0</v>
      </c>
      <c r="B17386" s="3" t="s">
        <v>16481</v>
      </c>
      <c r="C17386" s="3" t="str">
        <f>IFERROR(__xludf.DUMMYFUNCTION("GOOGLETRANSLATE(B17386,""id"",""en"")"),"['Application', 'Telkomsel', 'Error', 'screen', 'white', 'appears', 'please', 'help', ""]")</f>
        <v>['Application', 'Telkomsel', 'Error', 'screen', 'white', 'appears', 'please', 'help', "]</v>
      </c>
      <c r="D17386" s="3">
        <v>1.0</v>
      </c>
    </row>
    <row r="17387" ht="15.75" customHeight="1">
      <c r="A17387" s="1">
        <v>18481.0</v>
      </c>
      <c r="B17387" s="3" t="s">
        <v>16482</v>
      </c>
      <c r="C17387" s="3" t="str">
        <f>IFERROR(__xludf.DUMMYFUNCTION("GOOGLETRANSLATE(B17387,""id"",""en"")"),"['Please', 'repaired', 'mind', 'Appliced', 'White', 'Screen', 'Dihp']")</f>
        <v>['Please', 'repaired', 'mind', 'Appliced', 'White', 'Screen', 'Dihp']</v>
      </c>
      <c r="D17387" s="3">
        <v>2.0</v>
      </c>
    </row>
    <row r="17388" ht="15.75" customHeight="1">
      <c r="A17388" s="1">
        <v>18482.0</v>
      </c>
      <c r="B17388" s="3" t="s">
        <v>16483</v>
      </c>
      <c r="C17388" s="3" t="str">
        <f>IFERROR(__xludf.DUMMYFUNCTION("GOOGLETRANSLATE(B17388,""id"",""en"")"),"['Severe', 'knpa', 'severe', 'access',' entry ',' network ',' good ',' update ',' fulfilled ',' Mangkin ',' slow ',' really ',' RAM ',' Lemot ',' Service ',' Good ',' Response ',' Aflication ',' Loading ',' Luminated ',' Error ', ""]")</f>
        <v>['Severe', 'knpa', 'severe', 'access',' entry ',' network ',' good ',' update ',' fulfilled ',' Mangkin ',' slow ',' really ',' RAM ',' Lemot ',' Service ',' Good ',' Response ',' Aflication ',' Loading ',' Luminated ',' Error ', "]</v>
      </c>
      <c r="D17388" s="3">
        <v>1.0</v>
      </c>
    </row>
    <row r="17389" ht="15.75" customHeight="1">
      <c r="A17389" s="1">
        <v>18484.0</v>
      </c>
      <c r="B17389" s="3" t="s">
        <v>16484</v>
      </c>
      <c r="C17389" s="3" t="str">
        <f>IFERROR(__xludf.DUMMYFUNCTION("GOOGLETRANSLATE(B17389,""id"",""en"")"),"['disruption', 'buy', 'package', 'level', 'disorder', 'gini', 'Please', 'review']")</f>
        <v>['disruption', 'buy', 'package', 'level', 'disorder', 'gini', 'Please', 'review']</v>
      </c>
      <c r="D17389" s="3">
        <v>1.0</v>
      </c>
    </row>
    <row r="17390" ht="15.75" customHeight="1">
      <c r="A17390" s="1">
        <v>18485.0</v>
      </c>
      <c r="B17390" s="3" t="s">
        <v>16485</v>
      </c>
      <c r="C17390" s="3" t="str">
        <f>IFERROR(__xludf.DUMMYFUNCTION("GOOGLETRANSLATE(B17390,""id"",""en"")"),"['Her net', 'ugly', 'really', 'oath', 'kirain', 'price', 'that way', 'big', 'good', 'please', 'price', 'ride', ' Quality ',' Network ',' Please ',' Fix ',' Can ',' Buy ',' Hundreds', 'Ngeeleg', 'Please', 'Fix', '']")</f>
        <v>['Her net', 'ugly', 'really', 'oath', 'kirain', 'price', 'that way', 'big', 'good', 'please', 'price', 'ride', ' Quality ',' Network ',' Please ',' Fix ',' Can ',' Buy ',' Hundreds', 'Ngeeleg', 'Please', 'Fix', '']</v>
      </c>
      <c r="D17390" s="3">
        <v>1.0</v>
      </c>
    </row>
    <row r="17391" ht="15.75" customHeight="1">
      <c r="A17391" s="1">
        <v>18486.0</v>
      </c>
      <c r="B17391" s="3" t="s">
        <v>16486</v>
      </c>
      <c r="C17391" s="3" t="str">
        <f>IFERROR(__xludf.DUMMYFUNCTION("GOOGLETRANSLATE(B17391,""id"",""en"")"),"['Sorry', 'love', 'star', 'emang', 'canker', 'download', 'application', 'makes it easy', 'monitor', 'remaining', 'quota', 'pulse', ' Fill ',' reset ',' How ',' makes it easy ',' opened ',' Basti ',' screen ',' white ',' appears', 'please', 'really', 'righ"&amp;"t', 'right' , 'Lined', 'already', 'use', 'Telkomsel', 'here', 'Down', 'Performance', 'Want', 'Allah', ""]")</f>
        <v>['Sorry', 'love', 'star', 'emang', 'canker', 'download', 'application', 'makes it easy', 'monitor', 'remaining', 'quota', 'pulse', ' Fill ',' reset ',' How ',' makes it easy ',' opened ',' Basti ',' screen ',' white ',' appears', 'please', 'really', 'right', 'right' , 'Lined', 'already', 'use', 'Telkomsel', 'here', 'Down', 'Performance', 'Want', 'Allah', "]</v>
      </c>
      <c r="D17391" s="3">
        <v>1.0</v>
      </c>
    </row>
    <row r="17392" ht="15.75" customHeight="1">
      <c r="A17392" s="1">
        <v>18487.0</v>
      </c>
      <c r="B17392" s="3" t="s">
        <v>16487</v>
      </c>
      <c r="C17392" s="3" t="str">
        <f>IFERROR(__xludf.DUMMYFUNCTION("GOOGLETRANSLATE(B17392,""id"",""en"")"),"['Network', 'stable', 'network', 'internet', 'lost', 'emotion', 'please', 'network', 'top', 'dlu', 'deh', 'lose', ' Operators', 'better', 'moved', 'operators',' Sepe ',' Bye ',' Bye ',' Telkomsel ']")</f>
        <v>['Network', 'stable', 'network', 'internet', 'lost', 'emotion', 'please', 'network', 'top', 'dlu', 'deh', 'lose', ' Operators', 'better', 'moved', 'operators',' Sepe ',' Bye ',' Bye ',' Telkomsel ']</v>
      </c>
      <c r="D17392" s="3">
        <v>1.0</v>
      </c>
    </row>
    <row r="17393" ht="15.75" customHeight="1">
      <c r="A17393" s="1">
        <v>18488.0</v>
      </c>
      <c r="B17393" s="3" t="s">
        <v>16488</v>
      </c>
      <c r="C17393" s="3" t="str">
        <f>IFERROR(__xludf.DUMMYFUNCTION("GOOGLETRANSLATE(B17393,""id"",""en"")"),"['right', 'open', 'apk', 'mytelkomsel', 'screen', 'white', 'color', 'mending', 'screen', 'tancep', 'apk', 'mytelkomsel', ' easy ',' complete ',' complete ',' color ',' white ',' screen ',' ']")</f>
        <v>['right', 'open', 'apk', 'mytelkomsel', 'screen', 'white', 'color', 'mending', 'screen', 'tancep', 'apk', 'mytelkomsel', ' easy ',' complete ',' complete ',' color ',' white ',' screen ',' ']</v>
      </c>
      <c r="D17393" s="3">
        <v>1.0</v>
      </c>
    </row>
    <row r="17394" ht="15.75" customHeight="1">
      <c r="A17394" s="1">
        <v>18489.0</v>
      </c>
      <c r="B17394" s="3" t="s">
        <v>16489</v>
      </c>
      <c r="C17394" s="3" t="str">
        <f>IFERROR(__xludf.DUMMYFUNCTION("GOOGLETRANSLATE(B17394,""id"",""en"")"),"['application', 'whitescreen', 'rich', 'user', 'already', 'already', 'buy', 'pulse', 'put together', 'pulse', 'cheek', 'buy', ' Credit ',' Afraid ',' Cut ',' Pekah ',' Network ',' Indosat ',' Maketin ',' Want ',' Cheap ',' Credit ',' Out ',' Paketan ',' C"&amp;"an ' , 'payaaahhhh', '']")</f>
        <v>['application', 'whitescreen', 'rich', 'user', 'already', 'already', 'buy', 'pulse', 'put together', 'pulse', 'cheek', 'buy', ' Credit ',' Afraid ',' Cut ',' Pekah ',' Network ',' Indosat ',' Maketin ',' Want ',' Cheap ',' Credit ',' Out ',' Paketan ',' Can ' , 'payaaahhhh', '']</v>
      </c>
      <c r="D17394" s="3">
        <v>1.0</v>
      </c>
    </row>
    <row r="17395" ht="15.75" customHeight="1">
      <c r="A17395" s="1">
        <v>18491.0</v>
      </c>
      <c r="B17395" s="3" t="s">
        <v>16490</v>
      </c>
      <c r="C17395" s="3" t="str">
        <f>IFERROR(__xludf.DUMMYFUNCTION("GOOGLETRANSLATE(B17395,""id"",""en"")"),"['Abis', 'upgraded', 'Telkomsel', 'opened', 'please', 'given', 'solution']")</f>
        <v>['Abis', 'upgraded', 'Telkomsel', 'opened', 'please', 'given', 'solution']</v>
      </c>
      <c r="D17395" s="3">
        <v>4.0</v>
      </c>
    </row>
    <row r="17396" ht="15.75" customHeight="1">
      <c r="A17396" s="1">
        <v>18492.0</v>
      </c>
      <c r="B17396" s="3" t="s">
        <v>12512</v>
      </c>
      <c r="C17396" s="3" t="str">
        <f>IFERROR(__xludf.DUMMYFUNCTION("GOOGLETRANSLATE(B17396,""id"",""en"")"),"['transaction', 'easy']")</f>
        <v>['transaction', 'easy']</v>
      </c>
      <c r="D17396" s="3">
        <v>5.0</v>
      </c>
    </row>
    <row r="17397" ht="15.75" customHeight="1">
      <c r="A17397" s="1">
        <v>18493.0</v>
      </c>
      <c r="B17397" s="3" t="s">
        <v>16491</v>
      </c>
      <c r="C17397" s="3" t="str">
        <f>IFERROR(__xludf.DUMMYFUNCTION("GOOGLETRANSLATE(B17397,""id"",""en"")"),"['', 'Telkomsel', 'Best', '']")</f>
        <v>['', 'Telkomsel', 'Best', '']</v>
      </c>
      <c r="D17397" s="3">
        <v>5.0</v>
      </c>
    </row>
    <row r="17398" ht="15.75" customHeight="1">
      <c r="A17398" s="1">
        <v>18494.0</v>
      </c>
      <c r="B17398" s="3" t="s">
        <v>16492</v>
      </c>
      <c r="C17398" s="3" t="str">
        <f>IFERROR(__xludf.DUMMYFUNCTION("GOOGLETRANSLATE(B17398,""id"",""en"")"),"['Area', 'city', 'Solok', 'Telkomsel', 'ugly', 'how', 'boss',' kayak ',' gini ',' card ',' Telkomsel ',' like ',' Gini ',' Network ',' ']")</f>
        <v>['Area', 'city', 'Solok', 'Telkomsel', 'ugly', 'how', 'boss',' kayak ',' gini ',' card ',' Telkomsel ',' like ',' Gini ',' Network ',' ']</v>
      </c>
      <c r="D17398" s="3">
        <v>5.0</v>
      </c>
    </row>
    <row r="17399" ht="15.75" customHeight="1">
      <c r="A17399" s="1">
        <v>18495.0</v>
      </c>
      <c r="B17399" s="3" t="s">
        <v>16493</v>
      </c>
      <c r="C17399" s="3" t="str">
        <f>IFERROR(__xludf.DUMMYFUNCTION("GOOGLETRANSLATE(B17399,""id"",""en"")"),"['Telkomsel', 'Realme', 'no', 'go', 'many', 'times', 'no']")</f>
        <v>['Telkomsel', 'Realme', 'no', 'go', 'many', 'times', 'no']</v>
      </c>
      <c r="D17399" s="3">
        <v>3.0</v>
      </c>
    </row>
    <row r="17400" ht="15.75" customHeight="1">
      <c r="A17400" s="1">
        <v>18496.0</v>
      </c>
      <c r="B17400" s="3" t="s">
        <v>16494</v>
      </c>
      <c r="C17400" s="3" t="str">
        <f>IFERROR(__xludf.DUMMYFUNCTION("GOOGLETRANSLATE(B17400,""id"",""en"")"),"['Application', 'Ngeblank', 'Android', 'Ngga', 'The Application', '']")</f>
        <v>['Application', 'Ngeblank', 'Android', 'Ngga', 'The Application', '']</v>
      </c>
      <c r="D17400" s="3">
        <v>1.0</v>
      </c>
    </row>
    <row r="17401" ht="15.75" customHeight="1">
      <c r="A17401" s="1">
        <v>18497.0</v>
      </c>
      <c r="B17401" s="3" t="s">
        <v>16495</v>
      </c>
      <c r="C17401" s="3" t="str">
        <f>IFERROR(__xludf.DUMMYFUNCTION("GOOGLETRANSLATE(B17401,""id"",""en"")"),"['pulse', 'ilang', 'please', 'explained', ""]")</f>
        <v>['pulse', 'ilang', 'please', 'explained', "]</v>
      </c>
      <c r="D17401" s="3">
        <v>1.0</v>
      </c>
    </row>
    <row r="17402" ht="15.75" customHeight="1">
      <c r="A17402" s="1">
        <v>18498.0</v>
      </c>
      <c r="B17402" s="3" t="s">
        <v>16496</v>
      </c>
      <c r="C17402" s="3" t="str">
        <f>IFERROR(__xludf.DUMMYFUNCTION("GOOGLETRANSLATE(B17402,""id"",""en"")"),"['Data', 'Indosat', 'get', 'SMS', 'TLKELS', 'access',' Internet ',' non 'rates,' non ',' stress', 'TLKELS', ' Credit ',' my ',' abisss', 'application', 'slow', 'gabisa', 'opened', 'disappointed', 'Telkomsel', 'dilapidated']")</f>
        <v>['Data', 'Indosat', 'get', 'SMS', 'TLKELS', 'access',' Internet ',' non 'rates,' non ',' stress', 'TLKELS', ' Credit ',' my ',' abisss', 'application', 'slow', 'gabisa', 'opened', 'disappointed', 'Telkomsel', 'dilapidated']</v>
      </c>
      <c r="D17402" s="3">
        <v>1.0</v>
      </c>
    </row>
    <row r="17403" ht="15.75" customHeight="1">
      <c r="A17403" s="1">
        <v>18499.0</v>
      </c>
      <c r="B17403" s="3" t="s">
        <v>16497</v>
      </c>
      <c r="C17403" s="3" t="str">
        <f>IFERROR(__xludf.DUMMYFUNCTION("GOOGLETRANSLATE(B17403,""id"",""en"")"),"['choice', 'package', 'price', 'interesting', 'home', '']")</f>
        <v>['choice', 'package', 'price', 'interesting', 'home', '']</v>
      </c>
      <c r="D17403" s="3">
        <v>5.0</v>
      </c>
    </row>
    <row r="17404" ht="15.75" customHeight="1">
      <c r="A17404" s="1">
        <v>18500.0</v>
      </c>
      <c r="B17404" s="3" t="s">
        <v>16498</v>
      </c>
      <c r="C17404" s="3" t="str">
        <f>IFERROR(__xludf.DUMMYFUNCTION("GOOGLETRANSLATE(B17404,""id"",""en"")"),"['Mantab', 'Sometimes', 'lag']")</f>
        <v>['Mantab', 'Sometimes', 'lag']</v>
      </c>
      <c r="D17404" s="3">
        <v>4.0</v>
      </c>
    </row>
    <row r="17405" ht="15.75" customHeight="1">
      <c r="A17405" s="1">
        <v>18501.0</v>
      </c>
      <c r="B17405" s="3" t="s">
        <v>16499</v>
      </c>
      <c r="C17405" s="3" t="str">
        <f>IFERROR(__xludf.DUMMYFUNCTION("GOOGLETRANSLATE(B17405,""id"",""en"")"),"['price', 'quality', 'network', 'garbage']")</f>
        <v>['price', 'quality', 'network', 'garbage']</v>
      </c>
      <c r="D17405" s="3">
        <v>1.0</v>
      </c>
    </row>
    <row r="17406" ht="15.75" customHeight="1">
      <c r="A17406" s="1">
        <v>18502.0</v>
      </c>
      <c r="B17406" s="3" t="s">
        <v>16500</v>
      </c>
      <c r="C17406" s="3" t="str">
        <f>IFERROR(__xludf.DUMMYFUNCTION("GOOGLETRANSLATE(B17406,""id"",""en"")"),"['After', 'update', 'application', 'appears',' light ',' white ',' screen ',' beg ',' authorized ',' fix ',' bug ',' customer ',' mind ',' thank ',' love ']")</f>
        <v>['After', 'update', 'application', 'appears',' light ',' white ',' screen ',' beg ',' authorized ',' fix ',' bug ',' customer ',' mind ',' thank ',' love ']</v>
      </c>
      <c r="D17406" s="3">
        <v>1.0</v>
      </c>
    </row>
    <row r="17407" ht="15.75" customHeight="1">
      <c r="A17407" s="1">
        <v>18503.0</v>
      </c>
      <c r="B17407" s="3" t="s">
        <v>16501</v>
      </c>
      <c r="C17407" s="3" t="str">
        <f>IFERROR(__xludf.DUMMYFUNCTION("GOOGLETRANSLATE(B17407,""id"",""en"")"),"['Telkomsel', 'Perharu', 'Open', 'Please', 'Telkomsel', 'Fix']")</f>
        <v>['Telkomsel', 'Perharu', 'Open', 'Please', 'Telkomsel', 'Fix']</v>
      </c>
      <c r="D17407" s="3">
        <v>2.0</v>
      </c>
    </row>
    <row r="17408" ht="15.75" customHeight="1">
      <c r="A17408" s="1">
        <v>18504.0</v>
      </c>
      <c r="B17408" s="3" t="s">
        <v>16502</v>
      </c>
      <c r="C17408" s="3" t="str">
        <f>IFERROR(__xludf.DUMMYFUNCTION("GOOGLETRANSLATE(B17408,""id"",""en"")"),"['It's easy', 'buy', 'package', 'data']")</f>
        <v>['It's easy', 'buy', 'package', 'data']</v>
      </c>
      <c r="D17408" s="3">
        <v>5.0</v>
      </c>
    </row>
    <row r="17409" ht="15.75" customHeight="1">
      <c r="A17409" s="1">
        <v>18505.0</v>
      </c>
      <c r="B17409" s="3" t="s">
        <v>16503</v>
      </c>
      <c r="C17409" s="3" t="str">
        <f>IFERROR(__xludf.DUMMYFUNCTION("GOOGLETRANSLATE(B17409,""id"",""en"")"),"['', 'usage', 'promo', 'cheap', 'member', 'gold', 'basically', 'Telkomsel', 'stingy', ""]")</f>
        <v>['', 'usage', 'promo', 'cheap', 'member', 'gold', 'basically', 'Telkomsel', 'stingy', "]</v>
      </c>
      <c r="D17409" s="3">
        <v>2.0</v>
      </c>
    </row>
    <row r="17410" ht="15.75" customHeight="1">
      <c r="A17410" s="1">
        <v>18506.0</v>
      </c>
      <c r="B17410" s="3" t="s">
        <v>16504</v>
      </c>
      <c r="C17410" s="3" t="str">
        <f>IFERROR(__xludf.DUMMYFUNCTION("GOOGLETRANSLATE(B17410,""id"",""en"")"),"['', 'Telkonsek', 'makes it easy', 'Lamcar', 'communication', 'affairs', 'can', 'resolved', 'easy', 'fast']")</f>
        <v>['', 'Telkonsek', 'makes it easy', 'Lamcar', 'communication', 'affairs', 'can', 'resolved', 'easy', 'fast']</v>
      </c>
      <c r="D17410" s="3">
        <v>5.0</v>
      </c>
    </row>
    <row r="17411" ht="15.75" customHeight="1">
      <c r="A17411" s="1">
        <v>18507.0</v>
      </c>
      <c r="B17411" s="3" t="s">
        <v>16505</v>
      </c>
      <c r="C17411" s="3" t="str">
        <f>IFERROR(__xludf.DUMMYFUNCTION("GOOGLETRANSLATE(B17411,""id"",""en"")"),"['Service', 'bad', 'response']")</f>
        <v>['Service', 'bad', 'response']</v>
      </c>
      <c r="D17411" s="3">
        <v>1.0</v>
      </c>
    </row>
    <row r="17412" ht="15.75" customHeight="1">
      <c r="A17412" s="1">
        <v>18508.0</v>
      </c>
      <c r="B17412" s="3" t="s">
        <v>16506</v>
      </c>
      <c r="C17412" s="3" t="str">
        <f>IFERROR(__xludf.DUMMYFUNCTION("GOOGLETRANSLATE(B17412,""id"",""en"")"),"['update', 'jdi', 'open', 'already', 'hps', 'then', 'download', 'ulng', 'already', 'tetep', 'open', '']")</f>
        <v>['update', 'jdi', 'open', 'already', 'hps', 'then', 'download', 'ulng', 'already', 'tetep', 'open', '']</v>
      </c>
      <c r="D17412" s="3">
        <v>1.0</v>
      </c>
    </row>
    <row r="17413" ht="15.75" customHeight="1">
      <c r="A17413" s="1">
        <v>18509.0</v>
      </c>
      <c r="B17413" s="3" t="s">
        <v>16507</v>
      </c>
      <c r="C17413" s="3" t="str">
        <f>IFERROR(__xludf.DUMMYFUNCTION("GOOGLETRANSLATE(B17413,""id"",""en"")"),"['price', 'according to', 'quality', 'network', 'level', 'keborosan', 'gini', 'telkomsel', 'slow', 'really', 'sometimes',' missing ',' Pulak ',' signal ',' ']")</f>
        <v>['price', 'according to', 'quality', 'network', 'level', 'keborosan', 'gini', 'telkomsel', 'slow', 'really', 'sometimes',' missing ',' Pulak ',' signal ',' ']</v>
      </c>
      <c r="D17413" s="3">
        <v>1.0</v>
      </c>
    </row>
    <row r="17414" ht="15.75" customHeight="1">
      <c r="A17414" s="1">
        <v>18511.0</v>
      </c>
      <c r="B17414" s="3" t="s">
        <v>16508</v>
      </c>
      <c r="C17414" s="3" t="str">
        <f>IFERROR(__xludf.DUMMYFUNCTION("GOOGLETRANSLATE(B17414,""id"",""en"")"),"['network', 'stable', 'type', 'apk', 'help', 'check', 'quota']")</f>
        <v>['network', 'stable', 'type', 'apk', 'help', 'check', 'quota']</v>
      </c>
      <c r="D17414" s="3">
        <v>5.0</v>
      </c>
    </row>
    <row r="17415" ht="15.75" customHeight="1">
      <c r="A17415" s="1">
        <v>18512.0</v>
      </c>
      <c r="B17415" s="3" t="s">
        <v>13834</v>
      </c>
      <c r="C17415" s="3" t="str">
        <f>IFERROR(__xludf.DUMMYFUNCTION("GOOGLETRANSLATE(B17415,""id"",""en"")"),"['', 'Open', 'application', '']")</f>
        <v>['', 'Open', 'application', '']</v>
      </c>
      <c r="D17415" s="3">
        <v>3.0</v>
      </c>
    </row>
    <row r="17416" ht="15.75" customHeight="1">
      <c r="A17416" s="1">
        <v>18513.0</v>
      </c>
      <c r="B17416" s="3" t="s">
        <v>16509</v>
      </c>
      <c r="C17416" s="3" t="str">
        <f>IFERROR(__xludf.DUMMYFUNCTION("GOOGLETRANSLATE(B17416,""id"",""en"")"),"['Point', 'no', 'exchange', 'no', 'Language', 'Indonesian', '']")</f>
        <v>['Point', 'no', 'exchange', 'no', 'Language', 'Indonesian', '']</v>
      </c>
      <c r="D17416" s="3">
        <v>5.0</v>
      </c>
    </row>
    <row r="17417" ht="15.75" customHeight="1">
      <c r="A17417" s="1">
        <v>18514.0</v>
      </c>
      <c r="B17417" s="3" t="s">
        <v>16510</v>
      </c>
      <c r="C17417" s="3" t="str">
        <f>IFERROR(__xludf.DUMMYFUNCTION("GOOGLETRANSLATE(B17417,""id"",""en"")"),"['expensive', 'quota', '']")</f>
        <v>['expensive', 'quota', '']</v>
      </c>
      <c r="D17417" s="3">
        <v>1.0</v>
      </c>
    </row>
    <row r="17418" ht="15.75" customHeight="1">
      <c r="A17418" s="1">
        <v>18515.0</v>
      </c>
      <c r="B17418" s="3" t="s">
        <v>16511</v>
      </c>
      <c r="C17418" s="3" t="str">
        <f>IFERROR(__xludf.DUMMYFUNCTION("GOOGLETRANSLATE(B17418,""id"",""en"")"),"['The application', 'Times', 'Install', 'reset', 'White', 'Screen', 'Please', 'Fix']")</f>
        <v>['The application', 'Times', 'Install', 'reset', 'White', 'Screen', 'Please', 'Fix']</v>
      </c>
      <c r="D17418" s="3">
        <v>1.0</v>
      </c>
    </row>
    <row r="17419" ht="15.75" customHeight="1">
      <c r="A17419" s="1">
        <v>18516.0</v>
      </c>
      <c r="B17419" s="3" t="s">
        <v>16512</v>
      </c>
      <c r="C17419" s="3" t="str">
        <f>IFERROR(__xludf.DUMMYFUNCTION("GOOGLETRANSLATE(B17419,""id"",""en"")"),"['Update', 'No', 'Open', 'Sorry', 'Collapin', 'Star']")</f>
        <v>['Update', 'No', 'Open', 'Sorry', 'Collapin', 'Star']</v>
      </c>
      <c r="D17419" s="3">
        <v>1.0</v>
      </c>
    </row>
    <row r="17420" ht="15.75" customHeight="1">
      <c r="A17420" s="1">
        <v>18517.0</v>
      </c>
      <c r="B17420" s="3" t="s">
        <v>16513</v>
      </c>
      <c r="C17420" s="3" t="str">
        <f>IFERROR(__xludf.DUMMYFUNCTION("GOOGLETRANSLATE(B17420,""id"",""en"")"),"['Bad', 'Telkomsel', 'how', 'sell', 'fix']")</f>
        <v>['Bad', 'Telkomsel', 'how', 'sell', 'fix']</v>
      </c>
      <c r="D17420" s="3">
        <v>1.0</v>
      </c>
    </row>
    <row r="17421" ht="15.75" customHeight="1">
      <c r="A17421" s="1">
        <v>18518.0</v>
      </c>
      <c r="B17421" s="3" t="s">
        <v>16514</v>
      </c>
      <c r="C17421" s="3" t="str">
        <f>IFERROR(__xludf.DUMMYFUNCTION("GOOGLETRANSLATE(B17421,""id"",""en"")"),"['Simcard', 'Kimak', 'You', 'Points',' Gausah ',' Credit ',' Rich ',' How ',' Already ',' Package ',' Expensive ',' Points', ' Reedem ',' pulse ',' and then ',' results', 'he redem', 'lazy', 'times']")</f>
        <v>['Simcard', 'Kimak', 'You', 'Points',' Gausah ',' Credit ',' Rich ',' How ',' Already ',' Package ',' Expensive ',' Points', ' Reedem ',' pulse ',' and then ',' results', 'he redem', 'lazy', 'times']</v>
      </c>
      <c r="D17421" s="3">
        <v>1.0</v>
      </c>
    </row>
    <row r="17422" ht="15.75" customHeight="1">
      <c r="A17422" s="1">
        <v>18519.0</v>
      </c>
      <c r="B17422" s="3" t="s">
        <v>16515</v>
      </c>
      <c r="C17422" s="3" t="str">
        <f>IFERROR(__xludf.DUMMYFUNCTION("GOOGLETRANSLATE(B17422,""id"",""en"")"),"['Good', 'easy', '']")</f>
        <v>['Good', 'easy', '']</v>
      </c>
      <c r="D17422" s="3">
        <v>5.0</v>
      </c>
    </row>
    <row r="17423" ht="15.75" customHeight="1">
      <c r="A17423" s="1">
        <v>18520.0</v>
      </c>
      <c r="B17423" s="3" t="s">
        <v>16516</v>
      </c>
      <c r="C17423" s="3" t="str">
        <f>IFERROR(__xludf.DUMMYFUNCTION("GOOGLETRANSLATE(B17423,""id"",""en"")"),"['easy', 'good']")</f>
        <v>['easy', 'good']</v>
      </c>
      <c r="D17423" s="3">
        <v>5.0</v>
      </c>
    </row>
    <row r="17424" ht="15.75" customHeight="1">
      <c r="A17424" s="1">
        <v>18521.0</v>
      </c>
      <c r="B17424" s="3" t="s">
        <v>16517</v>
      </c>
      <c r="C17424" s="3" t="str">
        <f>IFERROR(__xludf.DUMMYFUNCTION("GOOGLETRANSLATE(B17424,""id"",""en"")"),"['signal', 'slow', 'package', 'combo', 'saktinya', 'disappear', 'package', 'expensive', 'slow', 'forgiveness',' pokonya ',' disappointed ',' ',' as a result ',' replace ',' provider ',' ']")</f>
        <v>['signal', 'slow', 'package', 'combo', 'saktinya', 'disappear', 'package', 'expensive', 'slow', 'forgiveness',' pokonya ',' disappointed ',' ',' as a result ',' replace ',' provider ',' ']</v>
      </c>
      <c r="D17424" s="3">
        <v>1.0</v>
      </c>
    </row>
    <row r="17425" ht="15.75" customHeight="1">
      <c r="A17425" s="1">
        <v>18522.0</v>
      </c>
      <c r="B17425" s="3" t="s">
        <v>16518</v>
      </c>
      <c r="C17425" s="3" t="str">
        <f>IFERROR(__xludf.DUMMYFUNCTION("GOOGLETRANSLATE(B17425,""id"",""en"")"),"['Ask', 'Min', 'Open', 'Telkomsel', 'Loading', 'Enter', 'fast', 'update', 'enter', ""]")</f>
        <v>['Ask', 'Min', 'Open', 'Telkomsel', 'Loading', 'Enter', 'fast', 'update', 'enter', "]</v>
      </c>
      <c r="D17425" s="3">
        <v>3.0</v>
      </c>
    </row>
    <row r="17426" ht="15.75" customHeight="1">
      <c r="A17426" s="1">
        <v>18523.0</v>
      </c>
      <c r="B17426" s="3" t="s">
        <v>16519</v>
      </c>
      <c r="C17426" s="3" t="str">
        <f>IFERROR(__xludf.DUMMYFUNCTION("GOOGLETRANSLATE(B17426,""id"",""en"")"),"['Please', 'help', 'card', 'enter', 'promo', 'quota', 'month', 'contents', 'pulse', ""]")</f>
        <v>['Please', 'help', 'card', 'enter', 'promo', 'quota', 'month', 'contents', 'pulse', "]</v>
      </c>
      <c r="D17426" s="3">
        <v>3.0</v>
      </c>
    </row>
    <row r="17427" ht="15.75" customHeight="1">
      <c r="A17427" s="1">
        <v>18524.0</v>
      </c>
      <c r="B17427" s="3" t="s">
        <v>16520</v>
      </c>
      <c r="C17427" s="3" t="str">
        <f>IFERROR(__xludf.DUMMYFUNCTION("GOOGLETRANSLATE(B17427,""id"",""en"")"),"['Really', 'Cheering up', 'PDAVY', 'already', 'Telkomsel', 'lbih', 'th', 'Napa', 'Telkomsel', 'lie', 'then', 'APK', ' JLEK ',' Network ',' apk ',' tidk ',' open ',' already ',' update ',' brapa ',' kbuka ',' price ',' crazy ',' expensive ',' please ' , 'M"&amp;"in', 'his present', 'Increase', 'complain', 'Customer', 'Fix', '']")</f>
        <v>['Really', 'Cheering up', 'PDAVY', 'already', 'Telkomsel', 'lbih', 'th', 'Napa', 'Telkomsel', 'lie', 'then', 'APK', ' JLEK ',' Network ',' apk ',' tidk ',' open ',' already ',' update ',' brapa ',' kbuka ',' price ',' crazy ',' expensive ',' please ' , 'Min', 'his present', 'Increase', 'complain', 'Customer', 'Fix', '']</v>
      </c>
      <c r="D17427" s="3">
        <v>1.0</v>
      </c>
    </row>
    <row r="17428" ht="15.75" customHeight="1">
      <c r="A17428" s="1">
        <v>18525.0</v>
      </c>
      <c r="B17428" s="3" t="s">
        <v>16521</v>
      </c>
      <c r="C17428" s="3" t="str">
        <f>IFERROR(__xludf.DUMMYFUNCTION("GOOGLETRANSLATE(B17428,""id"",""en"")"),"['APK', 'Forced', 'Update', 'UDH', 'Update', 'APK', 'Open', 'APK', 'Hello', 'Telkomsel', 'Please', ""]")</f>
        <v>['APK', 'Forced', 'Update', 'UDH', 'Update', 'APK', 'Open', 'APK', 'Hello', 'Telkomsel', 'Please', "]</v>
      </c>
      <c r="D17428" s="3">
        <v>1.0</v>
      </c>
    </row>
    <row r="17429" ht="15.75" customHeight="1">
      <c r="A17429" s="1">
        <v>18526.0</v>
      </c>
      <c r="B17429" s="3" t="s">
        <v>16522</v>
      </c>
      <c r="C17429" s="3" t="str">
        <f>IFERROR(__xludf.DUMMYFUNCTION("GOOGLETRANSLATE(B17429,""id"",""en"")"),"['Knpa', 'go']")</f>
        <v>['Knpa', 'go']</v>
      </c>
      <c r="D17429" s="3">
        <v>5.0</v>
      </c>
    </row>
    <row r="17430" ht="15.75" customHeight="1">
      <c r="A17430" s="1">
        <v>18527.0</v>
      </c>
      <c r="B17430" s="3" t="s">
        <v>16523</v>
      </c>
      <c r="C17430" s="3" t="str">
        <f>IFERROR(__xludf.DUMMYFUNCTION("GOOGLETRANSLATE(B17430,""id"",""en"")"),"['Excuse', 'Telkomsel', 'Afternoon', 'buy', 'pulses',' Rupiah ',' buy ',' quota ',' lap ',' WhatsApp ',' quota ',' enter ',' pulses', 'truncated', 'test', 'whatsapp', 'pulse', 'truncated', 'out', 'please', 'response']")</f>
        <v>['Excuse', 'Telkomsel', 'Afternoon', 'buy', 'pulses',' Rupiah ',' buy ',' quota ',' lap ',' WhatsApp ',' quota ',' enter ',' pulses', 'truncated', 'test', 'whatsapp', 'pulse', 'truncated', 'out', 'please', 'response']</v>
      </c>
      <c r="D17430" s="3">
        <v>5.0</v>
      </c>
    </row>
    <row r="17431" ht="15.75" customHeight="1">
      <c r="A17431" s="1">
        <v>18528.0</v>
      </c>
      <c r="B17431" s="3" t="s">
        <v>16524</v>
      </c>
      <c r="C17431" s="3" t="str">
        <f>IFERROR(__xludf.DUMMYFUNCTION("GOOGLETRANSLATE(B17431,""id"",""en"")"),"['Severe', 'card', 'high school', 'package', 'expensive', 'signal', 'severe', '']")</f>
        <v>['Severe', 'card', 'high school', 'package', 'expensive', 'signal', 'severe', '']</v>
      </c>
      <c r="D17431" s="3">
        <v>1.0</v>
      </c>
    </row>
    <row r="17432" ht="15.75" customHeight="1">
      <c r="A17432" s="1">
        <v>18529.0</v>
      </c>
      <c r="B17432" s="3" t="s">
        <v>1167</v>
      </c>
      <c r="C17432" s="3" t="str">
        <f>IFERROR(__xludf.DUMMYFUNCTION("GOOGLETRANSLATE(B17432,""id"",""en"")"),"['help']")</f>
        <v>['help']</v>
      </c>
      <c r="D17432" s="3">
        <v>5.0</v>
      </c>
    </row>
    <row r="17433" ht="15.75" customHeight="1">
      <c r="A17433" s="1">
        <v>18530.0</v>
      </c>
      <c r="B17433" s="3" t="s">
        <v>3903</v>
      </c>
      <c r="C17433" s="3" t="str">
        <f>IFERROR(__xludf.DUMMYFUNCTION("GOOGLETRANSLATE(B17433,""id"",""en"")"),"['Application', '']")</f>
        <v>['Application', '']</v>
      </c>
      <c r="D17433" s="3">
        <v>1.0</v>
      </c>
    </row>
    <row r="17434" ht="15.75" customHeight="1">
      <c r="A17434" s="1">
        <v>18531.0</v>
      </c>
      <c r="B17434" s="3" t="s">
        <v>16525</v>
      </c>
      <c r="C17434" s="3" t="str">
        <f>IFERROR(__xludf.DUMMYFUNCTION("GOOGLETRANSLATE(B17434,""id"",""en"")"),"['Severe', 'package', 'dropped', 'quota', 'game', 'quota', 'quota', 'dipake', 'TPI', 'Benerin', 'Telkomsel', 'Disright', ' ']")</f>
        <v>['Severe', 'package', 'dropped', 'quota', 'game', 'quota', 'quota', 'dipake', 'TPI', 'Benerin', 'Telkomsel', 'Disright', ' ']</v>
      </c>
      <c r="D17434" s="3">
        <v>1.0</v>
      </c>
    </row>
    <row r="17435" ht="15.75" customHeight="1">
      <c r="A17435" s="1">
        <v>18532.0</v>
      </c>
      <c r="B17435" s="3" t="s">
        <v>16526</v>
      </c>
      <c r="C17435" s="3" t="str">
        <f>IFERROR(__xludf.DUMMYFUNCTION("GOOGLETRANSLATE(B17435,""id"",""en"")"),"['update', 'look', 'white', 'how', '']")</f>
        <v>['update', 'look', 'white', 'how', '']</v>
      </c>
      <c r="D17435" s="3">
        <v>1.0</v>
      </c>
    </row>
    <row r="17436" ht="15.75" customHeight="1">
      <c r="A17436" s="1">
        <v>18533.0</v>
      </c>
      <c r="B17436" s="3" t="s">
        <v>16527</v>
      </c>
      <c r="C17436" s="3" t="str">
        <f>IFERROR(__xludf.DUMMYFUNCTION("GOOGLETRANSLATE(B17436,""id"",""en"")"),"['oath', 'lie', 'cave', 'get', 'package', 'GB', 'already', 'cave', 'content', 'because', 'cave', 'journey', ' right ',' already ',' succeed ',' transaction ',' package ',' no ',' cok ',' kok ',' pulse ',' cave ',' sumps', 'price', 'cave' , 'Need', 'packag"&amp;"e', 'because', 'cave', 'road', 'ngehat', 'really', 'honest', 'disappointed', 'Telkomsel', ""]")</f>
        <v>['oath', 'lie', 'cave', 'get', 'package', 'GB', 'already', 'cave', 'content', 'because', 'cave', 'journey', ' right ',' already ',' succeed ',' transaction ',' package ',' no ',' cok ',' kok ',' pulse ',' cave ',' sumps', 'price', 'cave' , 'Need', 'package', 'because', 'cave', 'road', 'ngehat', 'really', 'honest', 'disappointed', 'Telkomsel', "]</v>
      </c>
      <c r="D17436" s="3">
        <v>1.0</v>
      </c>
    </row>
    <row r="17437" ht="15.75" customHeight="1">
      <c r="A17437" s="1">
        <v>18534.0</v>
      </c>
      <c r="B17437" s="3" t="s">
        <v>16528</v>
      </c>
      <c r="C17437" s="3" t="str">
        <f>IFERROR(__xludf.DUMMYFUNCTION("GOOGLETRANSLATE(B17437,""id"",""en"")"),"['Please', 'Fix', 'The Network', 'Buy', 'Quota', 'Game', 'Max', 'Kepakai', 'Gegara', 'Signal', 'Login', 'Game', ' Signal ',' Changed ',' Naturally ', ""]")</f>
        <v>['Please', 'Fix', 'The Network', 'Buy', 'Quota', 'Game', 'Max', 'Kepakai', 'Gegara', 'Signal', 'Login', 'Game', ' Signal ',' Changed ',' Naturally ', "]</v>
      </c>
      <c r="D17437" s="3">
        <v>2.0</v>
      </c>
    </row>
    <row r="17438" ht="15.75" customHeight="1">
      <c r="A17438" s="1">
        <v>18535.0</v>
      </c>
      <c r="B17438" s="3" t="s">
        <v>16529</v>
      </c>
      <c r="C17438" s="3" t="str">
        <f>IFERROR(__xludf.DUMMYFUNCTION("GOOGLETRANSLATE(B17438,""id"",""en"")"),"['Paketan', 'expensive', 'signal', 'ngelag', 'ngelag', 'rich', 'dipepay']")</f>
        <v>['Paketan', 'expensive', 'signal', 'ngelag', 'ngelag', 'rich', 'dipepay']</v>
      </c>
      <c r="D17438" s="3">
        <v>1.0</v>
      </c>
    </row>
    <row r="17439" ht="15.75" customHeight="1">
      <c r="A17439" s="1">
        <v>18537.0</v>
      </c>
      <c r="B17439" s="3" t="s">
        <v>16530</v>
      </c>
      <c r="C17439" s="3" t="str">
        <f>IFERROR(__xludf.DUMMYFUNCTION("GOOGLETRANSLATE(B17439,""id"",""en"")"),"['Telkomsel', 'Quality', 'Internet', 'Signal', 'Phone', 'Rates',' Packages', 'Phone', 'Internet', 'Satisfying', 'Anyway', 'Telkomsel', ' There is no ',' match ']")</f>
        <v>['Telkomsel', 'Quality', 'Internet', 'Signal', 'Phone', 'Rates',' Packages', 'Phone', 'Internet', 'Satisfying', 'Anyway', 'Telkomsel', ' There is no ',' match ']</v>
      </c>
      <c r="D17439" s="3">
        <v>5.0</v>
      </c>
    </row>
    <row r="17440" ht="15.75" customHeight="1">
      <c r="A17440" s="1">
        <v>18538.0</v>
      </c>
      <c r="B17440" s="3" t="s">
        <v>16531</v>
      </c>
      <c r="C17440" s="3" t="str">
        <f>IFERROR(__xludf.DUMMYFUNCTION("GOOGLETRANSLATE(B17440,""id"",""en"")"),"['', 'Tekomsel', 'application', 'open', 'please', 'fix', 'smooth', 'fast', 'response', 'yaaaa']")</f>
        <v>['', 'Tekomsel', 'application', 'open', 'please', 'fix', 'smooth', 'fast', 'response', 'yaaaa']</v>
      </c>
      <c r="D17440" s="3">
        <v>2.0</v>
      </c>
    </row>
    <row r="17441" ht="15.75" customHeight="1">
      <c r="A17441" s="1">
        <v>18539.0</v>
      </c>
      <c r="B17441" s="3" t="s">
        <v>16532</v>
      </c>
      <c r="C17441" s="3" t="str">
        <f>IFERROR(__xludf.DUMMYFUNCTION("GOOGLETRANSLATE(B17441,""id"",""en"")"),"['Network', 'Jakarta', 'Center', 'gini']")</f>
        <v>['Network', 'Jakarta', 'Center', 'gini']</v>
      </c>
      <c r="D17441" s="3">
        <v>1.0</v>
      </c>
    </row>
    <row r="17442" ht="15.75" customHeight="1">
      <c r="A17442" s="1">
        <v>18540.0</v>
      </c>
      <c r="B17442" s="3" t="s">
        <v>16533</v>
      </c>
      <c r="C17442" s="3" t="str">
        <f>IFERROR(__xludf.DUMMYFUNCTION("GOOGLETRANSLATE(B17442,""id"",""en"")"),"['pulse', 'chick', 'internet', 'use', 'provider', 'SIM', 'strange', 'credit', 'Telkomsel', 'used', 'emang', 'Telkomsel', ' Provider ',' hilarious']")</f>
        <v>['pulse', 'chick', 'internet', 'use', 'provider', 'SIM', 'strange', 'credit', 'Telkomsel', 'used', 'emang', 'Telkomsel', ' Provider ',' hilarious']</v>
      </c>
      <c r="D17442" s="3">
        <v>1.0</v>
      </c>
    </row>
    <row r="17443" ht="15.75" customHeight="1">
      <c r="A17443" s="1">
        <v>18541.0</v>
      </c>
      <c r="B17443" s="3" t="s">
        <v>16534</v>
      </c>
      <c r="C17443" s="3" t="str">
        <f>IFERROR(__xludf.DUMMYFUNCTION("GOOGLETRANSLATE(B17443,""id"",""en"")"),"['min', 'right', 'open', 'my apk', 'appears', 'screen', 'white', 'Please', 'help']")</f>
        <v>['min', 'right', 'open', 'my apk', 'appears', 'screen', 'white', 'Please', 'help']</v>
      </c>
      <c r="D17443" s="3">
        <v>1.0</v>
      </c>
    </row>
    <row r="17444" ht="15.75" customHeight="1">
      <c r="A17444" s="1">
        <v>18542.0</v>
      </c>
      <c r="B17444" s="3" t="s">
        <v>16535</v>
      </c>
      <c r="C17444" s="3" t="str">
        <f>IFERROR(__xludf.DUMMYFUNCTION("GOOGLETRANSLATE(B17444,""id"",""en"")"),"['quota', 'watch', 'youtube', 'tick', 'tok', 'fraud']")</f>
        <v>['quota', 'watch', 'youtube', 'tick', 'tok', 'fraud']</v>
      </c>
      <c r="D17444" s="3">
        <v>1.0</v>
      </c>
    </row>
    <row r="17445" ht="15.75" customHeight="1">
      <c r="A17445" s="1">
        <v>18543.0</v>
      </c>
      <c r="B17445" s="3" t="s">
        <v>16536</v>
      </c>
      <c r="C17445" s="3" t="str">
        <f>IFERROR(__xludf.DUMMYFUNCTION("GOOGLETRANSLATE(B17445,""id"",""en"")"),"['oath', 'dilapidated', 'Telkomsel', 'buy', 'package', 'hundreds',' hundred ',' thousand ',' package ',' quota ',' lap ',' chat ',' Veronika ',' Submit ',' Complaints', 'Loading', '']")</f>
        <v>['oath', 'dilapidated', 'Telkomsel', 'buy', 'package', 'hundreds',' hundred ',' thousand ',' package ',' quota ',' lap ',' chat ',' Veronika ',' Submit ',' Complaints', 'Loading', '']</v>
      </c>
      <c r="D17445" s="3">
        <v>1.0</v>
      </c>
    </row>
    <row r="17446" ht="15.75" customHeight="1">
      <c r="A17446" s="1">
        <v>18544.0</v>
      </c>
      <c r="B17446" s="3" t="s">
        <v>16537</v>
      </c>
      <c r="C17446" s="3" t="str">
        <f>IFERROR(__xludf.DUMMYFUNCTION("GOOGLETRANSLATE(B17446,""id"",""en"")"),"['Application', 'Bad', 'DIRTAL', 'LOVED']")</f>
        <v>['Application', 'Bad', 'DIRTAL', 'LOVED']</v>
      </c>
      <c r="D17446" s="3">
        <v>1.0</v>
      </c>
    </row>
    <row r="17447" ht="15.75" customHeight="1">
      <c r="A17447" s="1">
        <v>18545.0</v>
      </c>
      <c r="B17447" s="3" t="s">
        <v>16538</v>
      </c>
      <c r="C17447" s="3" t="str">
        <f>IFERROR(__xludf.DUMMYFUNCTION("GOOGLETRANSLATE(B17447,""id"",""en"")"),"['Help', 'Access', 'Internet', 'Application', 'Telkomsel']")</f>
        <v>['Help', 'Access', 'Internet', 'Application', 'Telkomsel']</v>
      </c>
      <c r="D17447" s="3">
        <v>5.0</v>
      </c>
    </row>
    <row r="17448" ht="15.75" customHeight="1">
      <c r="A17448" s="1">
        <v>18546.0</v>
      </c>
      <c r="B17448" s="3" t="s">
        <v>16539</v>
      </c>
      <c r="C17448" s="3" t="str">
        <f>IFERROR(__xludf.DUMMYFUNCTION("GOOGLETRANSLATE(B17448,""id"",""en"")"),"['Good', 'cheap', 'tasty', 'ribet']")</f>
        <v>['Good', 'cheap', 'tasty', 'ribet']</v>
      </c>
      <c r="D17448" s="3">
        <v>5.0</v>
      </c>
    </row>
    <row r="17449" ht="15.75" customHeight="1">
      <c r="A17449" s="1">
        <v>18547.0</v>
      </c>
      <c r="B17449" s="3" t="s">
        <v>16540</v>
      </c>
      <c r="C17449" s="3" t="str">
        <f>IFERROR(__xludf.DUMMYFUNCTION("GOOGLETRANSLATE(B17449,""id"",""en"")"),"['Stuck', 'screen', 'white']")</f>
        <v>['Stuck', 'screen', 'white']</v>
      </c>
      <c r="D17449" s="3">
        <v>1.0</v>
      </c>
    </row>
    <row r="17450" ht="15.75" customHeight="1">
      <c r="A17450" s="1">
        <v>18548.0</v>
      </c>
      <c r="B17450" s="3" t="s">
        <v>16541</v>
      </c>
      <c r="C17450" s="3" t="str">
        <f>IFERROR(__xludf.DUMMYFUNCTION("GOOGLETRANSLATE(B17450,""id"",""en"")"),"['assalamu', 'alaikum', 'sympathy', 'like', 'signal', 'super', 'good', 'smooth', 'update', 'application', 'mytelkomsel', 'open', ' Please ',' Fix ',' GMN ',' Remnant ',' Quota ',' Etc. ', ""]")</f>
        <v>['assalamu', 'alaikum', 'sympathy', 'like', 'signal', 'super', 'good', 'smooth', 'update', 'application', 'mytelkomsel', 'open', ' Please ',' Fix ',' GMN ',' Remnant ',' Quota ',' Etc. ', "]</v>
      </c>
      <c r="D17450" s="3">
        <v>1.0</v>
      </c>
    </row>
    <row r="17451" ht="15.75" customHeight="1">
      <c r="A17451" s="1">
        <v>18549.0</v>
      </c>
      <c r="B17451" s="3" t="s">
        <v>16542</v>
      </c>
      <c r="C17451" s="3" t="str">
        <f>IFERROR(__xludf.DUMMYFUNCTION("GOOGLETRANSLATE(B17451,""id"",""en"")"),"['Thank you', 'Helpful', '']")</f>
        <v>['Thank you', 'Helpful', '']</v>
      </c>
      <c r="D17451" s="3">
        <v>5.0</v>
      </c>
    </row>
    <row r="17452" ht="15.75" customHeight="1">
      <c r="A17452" s="1">
        <v>18550.0</v>
      </c>
      <c r="B17452" s="3" t="s">
        <v>16543</v>
      </c>
      <c r="C17452" s="3" t="str">
        <f>IFERROR(__xludf.DUMMYFUNCTION("GOOGLETRANSLATE(B17452,""id"",""en"")"),"['Cook', 'good', 'please', 'quota', 'tuker', 'point', 'pulse', 'kalonpoint', 'point', 'delicious']")</f>
        <v>['Cook', 'good', 'please', 'quota', 'tuker', 'point', 'pulse', 'kalonpoint', 'point', 'delicious']</v>
      </c>
      <c r="D17452" s="3">
        <v>5.0</v>
      </c>
    </row>
    <row r="17453" ht="15.75" customHeight="1">
      <c r="A17453" s="1">
        <v>18551.0</v>
      </c>
      <c r="B17453" s="3" t="s">
        <v>16544</v>
      </c>
      <c r="C17453" s="3" t="str">
        <f>IFERROR(__xludf.DUMMYFUNCTION("GOOGLETRANSLATE(B17453,""id"",""en"")"),"['Fix', 'stake', 'color', 'white']")</f>
        <v>['Fix', 'stake', 'color', 'white']</v>
      </c>
      <c r="D17453" s="3">
        <v>1.0</v>
      </c>
    </row>
    <row r="17454" ht="15.75" customHeight="1">
      <c r="A17454" s="1">
        <v>18552.0</v>
      </c>
      <c r="B17454" s="3" t="s">
        <v>16545</v>
      </c>
      <c r="C17454" s="3" t="str">
        <f>IFERROR(__xludf.DUMMYFUNCTION("GOOGLETRANSLATE(B17454,""id"",""en"")"),"['mantaf', 'disappointed', 'online', 'practical']")</f>
        <v>['mantaf', 'disappointed', 'online', 'practical']</v>
      </c>
      <c r="D17454" s="3">
        <v>5.0</v>
      </c>
    </row>
    <row r="17455" ht="15.75" customHeight="1">
      <c r="A17455" s="1">
        <v>18553.0</v>
      </c>
      <c r="B17455" s="3" t="s">
        <v>6120</v>
      </c>
      <c r="C17455" s="3" t="str">
        <f>IFERROR(__xludf.DUMMYFUNCTION("GOOGLETRANSLATE(B17455,""id"",""en"")"),"['signal', 'good']")</f>
        <v>['signal', 'good']</v>
      </c>
      <c r="D17455" s="3">
        <v>3.0</v>
      </c>
    </row>
    <row r="17456" ht="15.75" customHeight="1">
      <c r="A17456" s="1">
        <v>18554.0</v>
      </c>
      <c r="B17456" s="3" t="s">
        <v>16546</v>
      </c>
      <c r="C17456" s="3" t="str">
        <f>IFERROR(__xludf.DUMMYFUNCTION("GOOGLETRANSLATE(B17456,""id"",""en"")"),"['Delete', 'Package', 'how', 'boss']")</f>
        <v>['Delete', 'Package', 'how', 'boss']</v>
      </c>
      <c r="D17456" s="3">
        <v>1.0</v>
      </c>
    </row>
    <row r="17457" ht="15.75" customHeight="1">
      <c r="A17457" s="1">
        <v>18555.0</v>
      </c>
      <c r="B17457" s="3" t="s">
        <v>16547</v>
      </c>
      <c r="C17457" s="3" t="str">
        <f>IFERROR(__xludf.DUMMYFUNCTION("GOOGLETRANSLATE(B17457,""id"",""en"")"),"['update', 'the application', 'update', 'the application', 'right', 'opened', 'appears',' screen ',' white ',' uninstall ',' trs', 'install', ' reset ',' please ',' applicationx ',' repaired ',' as soon as possible, 'users', 'Telkomsel', 'contents', 'plsa"&amp;"', 'package', 'data', 'application', '']")</f>
        <v>['update', 'the application', 'update', 'the application', 'right', 'opened', 'appears',' screen ',' white ',' uninstall ',' trs', 'install', ' reset ',' please ',' applicationx ',' repaired ',' as soon as possible, 'users', 'Telkomsel', 'contents', 'plsa', 'package', 'data', 'application', '']</v>
      </c>
      <c r="D17457" s="3">
        <v>1.0</v>
      </c>
    </row>
    <row r="17458" ht="15.75" customHeight="1">
      <c r="A17458" s="1">
        <v>18556.0</v>
      </c>
      <c r="B17458" s="3" t="s">
        <v>16548</v>
      </c>
      <c r="C17458" s="3" t="str">
        <f>IFERROR(__xludf.DUMMYFUNCTION("GOOGLETRANSLATE(B17458,""id"",""en"")"),"['quota', 'turning back', 'buy', 'expensive', 'squeezed']")</f>
        <v>['quota', 'turning back', 'buy', 'expensive', 'squeezed']</v>
      </c>
      <c r="D17458" s="3">
        <v>1.0</v>
      </c>
    </row>
    <row r="17459" ht="15.75" customHeight="1">
      <c r="A17459" s="1">
        <v>18557.0</v>
      </c>
      <c r="B17459" s="3" t="s">
        <v>16549</v>
      </c>
      <c r="C17459" s="3" t="str">
        <f>IFERROR(__xludf.DUMMYFUNCTION("GOOGLETRANSLATE(B17459,""id"",""en"")"),"['Quality', 'Signal', 'Telkomsel', 'Bad', 'Expensive', 'Embed', 'Embel', '']")</f>
        <v>['Quality', 'Signal', 'Telkomsel', 'Bad', 'Expensive', 'Embed', 'Embel', '']</v>
      </c>
      <c r="D17459" s="3">
        <v>1.0</v>
      </c>
    </row>
    <row r="17460" ht="15.75" customHeight="1">
      <c r="A17460" s="1">
        <v>18558.0</v>
      </c>
      <c r="B17460" s="3" t="s">
        <v>16550</v>
      </c>
      <c r="C17460" s="3" t="str">
        <f>IFERROR(__xludf.DUMMYFUNCTION("GOOGLETRANSLATE(B17460,""id"",""en"")"),"['network', 'Telkomsel', 'ugly', 'changed', 'star', 'loss']")</f>
        <v>['network', 'Telkomsel', 'ugly', 'changed', 'star', 'loss']</v>
      </c>
      <c r="D17460" s="3">
        <v>1.0</v>
      </c>
    </row>
    <row r="17461" ht="15.75" customHeight="1">
      <c r="A17461" s="1">
        <v>18559.0</v>
      </c>
      <c r="B17461" s="3" t="s">
        <v>16551</v>
      </c>
      <c r="C17461" s="3" t="str">
        <f>IFERROR(__xludf.DUMMYFUNCTION("GOOGLETRANSLATE(B17461,""id"",""en"")"),"['Woy', 'update', 'opened', '']")</f>
        <v>['Woy', 'update', 'opened', '']</v>
      </c>
      <c r="D17461" s="3">
        <v>1.0</v>
      </c>
    </row>
    <row r="17462" ht="15.75" customHeight="1">
      <c r="A17462" s="1">
        <v>18560.0</v>
      </c>
      <c r="B17462" s="3" t="s">
        <v>16552</v>
      </c>
      <c r="C17462" s="3" t="str">
        <f>IFERROR(__xludf.DUMMYFUNCTION("GOOGLETRANSLATE(B17462,""id"",""en"")"),"['Telkomsel', 'according to', 'hope', 'network', 'slow', 'price', 'koata', 'internet', 'expensive', '']")</f>
        <v>['Telkomsel', 'according to', 'hope', 'network', 'slow', 'price', 'koata', 'internet', 'expensive', '']</v>
      </c>
      <c r="D17462" s="3">
        <v>1.0</v>
      </c>
    </row>
    <row r="17463" ht="15.75" customHeight="1">
      <c r="A17463" s="1">
        <v>18561.0</v>
      </c>
      <c r="B17463" s="3" t="s">
        <v>16553</v>
      </c>
      <c r="C17463" s="3" t="str">
        <f>IFERROR(__xludf.DUMMYFUNCTION("GOOGLETRANSLATE(B17463,""id"",""en"")"),"['network', 'Telkomsel', 'as beautiful as', 'price', 'package', 'expensive', 'suits', 'pandemic']")</f>
        <v>['network', 'Telkomsel', 'as beautiful as', 'price', 'package', 'expensive', 'suits', 'pandemic']</v>
      </c>
      <c r="D17463" s="3">
        <v>1.0</v>
      </c>
    </row>
    <row r="17464" ht="15.75" customHeight="1">
      <c r="A17464" s="1">
        <v>18562.0</v>
      </c>
      <c r="B17464" s="3" t="s">
        <v>16554</v>
      </c>
      <c r="C17464" s="3" t="str">
        <f>IFERROR(__xludf.DUMMYFUNCTION("GOOGLETRANSLATE(B17464,""id"",""en"")"),"['Increase', 'bonus', 'kouta', 'free']")</f>
        <v>['Increase', 'bonus', 'kouta', 'free']</v>
      </c>
      <c r="D17464" s="3">
        <v>5.0</v>
      </c>
    </row>
    <row r="17465" ht="15.75" customHeight="1">
      <c r="A17465" s="1">
        <v>18563.0</v>
      </c>
      <c r="B17465" s="3" t="s">
        <v>2198</v>
      </c>
      <c r="C17465" s="3" t="str">
        <f>IFERROR(__xludf.DUMMYFUNCTION("GOOGLETRANSLATE(B17465,""id"",""en"")"),"['easy', 'use']")</f>
        <v>['easy', 'use']</v>
      </c>
      <c r="D17465" s="3">
        <v>5.0</v>
      </c>
    </row>
    <row r="17466" ht="15.75" customHeight="1">
      <c r="A17466" s="1">
        <v>18564.0</v>
      </c>
      <c r="B17466" s="3" t="s">
        <v>16555</v>
      </c>
      <c r="C17466" s="3" t="str">
        <f>IFERROR(__xludf.DUMMYFUNCTION("GOOGLETRANSLATE(B17466,""id"",""en"")"),"['Telkomsel', 'network', 'slow', 'product', 'country', 'satisfying', 'masyrakat', 'product', 'fail', '']")</f>
        <v>['Telkomsel', 'network', 'slow', 'product', 'country', 'satisfying', 'masyrakat', 'product', 'fail', '']</v>
      </c>
      <c r="D17466" s="3">
        <v>1.0</v>
      </c>
    </row>
    <row r="17467" ht="15.75" customHeight="1">
      <c r="A17467" s="1">
        <v>18566.0</v>
      </c>
      <c r="B17467" s="3" t="s">
        <v>16556</v>
      </c>
      <c r="C17467" s="3" t="str">
        <f>IFERROR(__xludf.DUMMYFUNCTION("GOOGLETRANSLATE(B17467,""id"",""en"")"),"['Lemot', 'internet', 'hooked', 'sin', 'Telkomsel']")</f>
        <v>['Lemot', 'internet', 'hooked', 'sin', 'Telkomsel']</v>
      </c>
      <c r="D17467" s="3">
        <v>1.0</v>
      </c>
    </row>
    <row r="17468" ht="15.75" customHeight="1">
      <c r="A17468" s="1">
        <v>18567.0</v>
      </c>
      <c r="B17468" s="3" t="s">
        <v>16557</v>
      </c>
      <c r="C17468" s="3" t="str">
        <f>IFERROR(__xludf.DUMMYFUNCTION("GOOGLETRANSLATE(B17468,""id"",""en"")"),"['network', 'biggest', 'Indonesia', 'price', 'expensive', 'quality', 'service', 'network', 'according to', 'price', 'good', 'job', ' Telkomsel ']")</f>
        <v>['network', 'biggest', 'Indonesia', 'price', 'expensive', 'quality', 'service', 'network', 'according to', 'price', 'good', 'job', ' Telkomsel ']</v>
      </c>
      <c r="D17468" s="3">
        <v>1.0</v>
      </c>
    </row>
    <row r="17469" ht="15.75" customHeight="1">
      <c r="A17469" s="1">
        <v>18568.0</v>
      </c>
      <c r="B17469" s="3" t="s">
        <v>16558</v>
      </c>
      <c r="C17469" s="3" t="str">
        <f>IFERROR(__xludf.DUMMYFUNCTION("GOOGLETRANSLATE(B17469,""id"",""en"")"),"['opened', 'stuck', 'screen', 'white', 'already', 'install', 'reset', 'many', 'times',' tetep ',' gabisa ',' ngeChat ',' Twitter ',' Telkomsel ',' yaaa ',' please ',' repaired ',' ']")</f>
        <v>['opened', 'stuck', 'screen', 'white', 'already', 'install', 'reset', 'many', 'times',' tetep ',' gabisa ',' ngeChat ',' Twitter ',' Telkomsel ',' yaaa ',' please ',' repaired ',' ']</v>
      </c>
      <c r="D17469" s="3">
        <v>1.0</v>
      </c>
    </row>
    <row r="17470" ht="15.75" customHeight="1">
      <c r="A17470" s="1">
        <v>18569.0</v>
      </c>
      <c r="B17470" s="3" t="s">
        <v>16559</v>
      </c>
      <c r="C17470" s="3" t="str">
        <f>IFERROR(__xludf.DUMMYFUNCTION("GOOGLETRANSLATE(B17470,""id"",""en"")"),"['Network', 'Benerian', 'Ngeselin', 'Bngt']")</f>
        <v>['Network', 'Benerian', 'Ngeselin', 'Bngt']</v>
      </c>
      <c r="D17470" s="3">
        <v>1.0</v>
      </c>
    </row>
    <row r="17471" ht="15.75" customHeight="1">
      <c r="A17471" s="1">
        <v>18570.0</v>
      </c>
      <c r="B17471" s="3" t="s">
        <v>16560</v>
      </c>
      <c r="C17471" s="3" t="str">
        <f>IFERROR(__xludf.DUMMYFUNCTION("GOOGLETRANSLATE(B17471,""id"",""en"")"),"['Leet', 'stable']")</f>
        <v>['Leet', 'stable']</v>
      </c>
      <c r="D17471" s="3">
        <v>1.0</v>
      </c>
    </row>
    <row r="17472" ht="15.75" customHeight="1">
      <c r="A17472" s="1">
        <v>18571.0</v>
      </c>
      <c r="B17472" s="3" t="s">
        <v>16561</v>
      </c>
      <c r="C17472" s="3" t="str">
        <f>IFERROR(__xludf.DUMMYFUNCTION("GOOGLETRANSLATE(B17472,""id"",""en"")"),"['Update', 'Application', 'Appear', 'Menu']")</f>
        <v>['Update', 'Application', 'Appear', 'Menu']</v>
      </c>
      <c r="D17472" s="3">
        <v>5.0</v>
      </c>
    </row>
    <row r="17473" ht="15.75" customHeight="1">
      <c r="A17473" s="1">
        <v>18572.0</v>
      </c>
      <c r="B17473" s="3" t="s">
        <v>16562</v>
      </c>
      <c r="C17473" s="3" t="str">
        <f>IFERROR(__xludf.DUMMYFUNCTION("GOOGLETRANSLATE(B17473,""id"",""en"")"),"['APK', 'idiot', 'update', 'broken', '']")</f>
        <v>['APK', 'idiot', 'update', 'broken', '']</v>
      </c>
      <c r="D17473" s="3">
        <v>1.0</v>
      </c>
    </row>
    <row r="17474" ht="15.75" customHeight="1">
      <c r="A17474" s="1">
        <v>18573.0</v>
      </c>
      <c r="B17474" s="3" t="s">
        <v>16563</v>
      </c>
      <c r="C17474" s="3" t="str">
        <f>IFERROR(__xludf.DUMMYFUNCTION("GOOGLETRANSLATE(B17474,""id"",""en"")"),"['Telkomsel', 'normal']")</f>
        <v>['Telkomsel', 'normal']</v>
      </c>
      <c r="D17474" s="3">
        <v>5.0</v>
      </c>
    </row>
    <row r="17475" ht="15.75" customHeight="1">
      <c r="A17475" s="1">
        <v>18574.0</v>
      </c>
      <c r="B17475" s="3" t="s">
        <v>16564</v>
      </c>
      <c r="C17475" s="3" t="str">
        <f>IFERROR(__xludf.DUMMYFUNCTION("GOOGLETRANSLATE(B17475,""id"",""en"")"),"['Severe', 'really', 'slow', 'stable', 'really', 'overcome', 'pay', 'free', 'GB', 'TPI', 'garbage', 'Gini', ' Open ',' Tiktok ',' Muter ',' Video ',' Ngegame ',' KB ',' second ',' base ',' pulp ',' quota ',' expensive ',' Speed ​​',' pulp ' ]")</f>
        <v>['Severe', 'really', 'slow', 'stable', 'really', 'overcome', 'pay', 'free', 'GB', 'TPI', 'garbage', 'Gini', ' Open ',' Tiktok ',' Muter ',' Video ',' Ngegame ',' KB ',' second ',' base ',' pulp ',' quota ',' expensive ',' Speed ​​',' pulp ' ]</v>
      </c>
      <c r="D17475" s="3">
        <v>1.0</v>
      </c>
    </row>
    <row r="17476" ht="15.75" customHeight="1">
      <c r="A17476" s="1">
        <v>18575.0</v>
      </c>
      <c r="B17476" s="3" t="s">
        <v>4546</v>
      </c>
      <c r="C17476" s="3" t="str">
        <f>IFERROR(__xludf.DUMMYFUNCTION("GOOGLETRANSLATE(B17476,""id"",""en"")"),"['satisfied']")</f>
        <v>['satisfied']</v>
      </c>
      <c r="D17476" s="3">
        <v>5.0</v>
      </c>
    </row>
    <row r="17477" ht="15.75" customHeight="1">
      <c r="A17477" s="1">
        <v>18576.0</v>
      </c>
      <c r="B17477" s="3" t="s">
        <v>16565</v>
      </c>
      <c r="C17477" s="3" t="str">
        <f>IFERROR(__xludf.DUMMYFUNCTION("GOOGLETRANSLATE(B17477,""id"",""en"")"),"['aseeeemmmm', 'date', 'October', 'complaint', 'network', 'telkom', 'severe', 'really', 'clarity', 'redundant', 'quota', 'GB', ' She ',' a month ',' Rich ',' Gini ',' Abis', 'Telkomsel', 'Moving', 'Provider', 'Edit', 'Fix', 'Move', 'Provider', 'Telkomsel'"&amp;" , '']")</f>
        <v>['aseeeemmmm', 'date', 'October', 'complaint', 'network', 'telkom', 'severe', 'really', 'clarity', 'redundant', 'quota', 'GB', ' She ',' a month ',' Rich ',' Gini ',' Abis', 'Telkomsel', 'Moving', 'Provider', 'Edit', 'Fix', 'Move', 'Provider', 'Telkomsel' , '']</v>
      </c>
      <c r="D17477" s="3">
        <v>1.0</v>
      </c>
    </row>
    <row r="17478" ht="15.75" customHeight="1">
      <c r="A17478" s="1">
        <v>18577.0</v>
      </c>
      <c r="B17478" s="3" t="s">
        <v>16566</v>
      </c>
      <c r="C17478" s="3" t="str">
        <f>IFERROR(__xludf.DUMMYFUNCTION("GOOGLETRANSLATE(B17478,""id"",""en"")"),"['good luck', '']")</f>
        <v>['good luck', '']</v>
      </c>
      <c r="D17478" s="3">
        <v>5.0</v>
      </c>
    </row>
    <row r="17479" ht="15.75" customHeight="1">
      <c r="A17479" s="1">
        <v>18579.0</v>
      </c>
      <c r="B17479" s="3" t="s">
        <v>16567</v>
      </c>
      <c r="C17479" s="3" t="str">
        <f>IFERROR(__xludf.DUMMYFUNCTION("GOOGLETRANSLATE(B17479,""id"",""en"")"),"['Open', 'Application', 'Estal', 'Screen', 'Doang', 'Color', 'White']")</f>
        <v>['Open', 'Application', 'Estal', 'Screen', 'Doang', 'Color', 'White']</v>
      </c>
      <c r="D17479" s="3">
        <v>1.0</v>
      </c>
    </row>
    <row r="17480" ht="15.75" customHeight="1">
      <c r="A17480" s="1">
        <v>18580.0</v>
      </c>
      <c r="B17480" s="3" t="s">
        <v>16568</v>
      </c>
      <c r="C17480" s="3" t="str">
        <f>IFERROR(__xludf.DUMMYFUNCTION("GOOGLETRANSLATE(B17480,""id"",""en"")"),"['Telkomsel', 'Sousal', 'rotten', 'Tetep', 'Lola', 'Severe']")</f>
        <v>['Telkomsel', 'Sousal', 'rotten', 'Tetep', 'Lola', 'Severe']</v>
      </c>
      <c r="D17480" s="3">
        <v>3.0</v>
      </c>
    </row>
    <row r="17481" ht="15.75" customHeight="1">
      <c r="A17481" s="1">
        <v>18581.0</v>
      </c>
      <c r="B17481" s="3" t="s">
        <v>16569</v>
      </c>
      <c r="C17481" s="3" t="str">
        <f>IFERROR(__xludf.DUMMYFUNCTION("GOOGLETRANSLATE(B17481,""id"",""en"")"),"['steady', 'min', 'hope', 'promo', 'cheap', '']")</f>
        <v>['steady', 'min', 'hope', 'promo', 'cheap', '']</v>
      </c>
      <c r="D17481" s="3">
        <v>5.0</v>
      </c>
    </row>
    <row r="17482" ht="15.75" customHeight="1">
      <c r="A17482" s="1">
        <v>18582.0</v>
      </c>
      <c r="B17482" s="3" t="s">
        <v>16570</v>
      </c>
      <c r="C17482" s="3" t="str">
        <f>IFERROR(__xludf.DUMMYFUNCTION("GOOGLETRANSLATE(B17482,""id"",""en"")"),"['update', 'blank', 'white', 'kaga', 'open', 'mending', 'kaga', 'update', 'kyk', 'ginih']")</f>
        <v>['update', 'blank', 'white', 'kaga', 'open', 'mending', 'kaga', 'update', 'kyk', 'ginih']</v>
      </c>
      <c r="D17482" s="3">
        <v>1.0</v>
      </c>
    </row>
    <row r="17483" ht="15.75" customHeight="1">
      <c r="A17483" s="1">
        <v>18583.0</v>
      </c>
      <c r="B17483" s="3" t="s">
        <v>16571</v>
      </c>
      <c r="C17483" s="3" t="str">
        <f>IFERROR(__xludf.DUMMYFUNCTION("GOOGLETRANSLATE(B17483,""id"",""en"")"),"['Package', 'Gamax', 'Taken', 'Main', 'Game', 'No']")</f>
        <v>['Package', 'Gamax', 'Taken', 'Main', 'Game', 'No']</v>
      </c>
      <c r="D17483" s="3">
        <v>1.0</v>
      </c>
    </row>
    <row r="17484" ht="15.75" customHeight="1">
      <c r="A17484" s="1">
        <v>18584.0</v>
      </c>
      <c r="B17484" s="3" t="s">
        <v>16572</v>
      </c>
      <c r="C17484" s="3" t="str">
        <f>IFERROR(__xludf.DUMMYFUNCTION("GOOGLETRANSLATE(B17484,""id"",""en"")"),"['Main', 'game', 'signal', 'ugly', 'signal', 'good', 'told', 'wasteful', ""]")</f>
        <v>['Main', 'game', 'signal', 'ugly', 'signal', 'good', 'told', 'wasteful', "]</v>
      </c>
      <c r="D17484" s="3">
        <v>1.0</v>
      </c>
    </row>
    <row r="17485" ht="15.75" customHeight="1">
      <c r="A17485" s="1">
        <v>18585.0</v>
      </c>
      <c r="B17485" s="3" t="s">
        <v>16573</v>
      </c>
      <c r="C17485" s="3" t="str">
        <f>IFERROR(__xludf.DUMMYFUNCTION("GOOGLETRANSLATE(B17485,""id"",""en"")"),"['Buy', 'quota', 'application']")</f>
        <v>['Buy', 'quota', 'application']</v>
      </c>
      <c r="D17485" s="3">
        <v>1.0</v>
      </c>
    </row>
    <row r="17486" ht="15.75" customHeight="1">
      <c r="A17486" s="1">
        <v>18586.0</v>
      </c>
      <c r="B17486" s="3" t="s">
        <v>16574</v>
      </c>
      <c r="C17486" s="3" t="str">
        <f>IFERROR(__xludf.DUMMYFUNCTION("GOOGLETRANSLATE(B17486,""id"",""en"")"),"['Tens', 'Taun', 'standing', 'Solution', 'Signal', 'Good', 'evenly', 'zero', 'Telkomsel', ""]")</f>
        <v>['Tens', 'Taun', 'standing', 'Solution', 'Signal', 'Good', 'evenly', 'zero', 'Telkomsel', "]</v>
      </c>
      <c r="D17486" s="3">
        <v>1.0</v>
      </c>
    </row>
    <row r="17487" ht="15.75" customHeight="1">
      <c r="A17487" s="1">
        <v>18587.0</v>
      </c>
      <c r="B17487" s="3" t="s">
        <v>16575</v>
      </c>
      <c r="C17487" s="3" t="str">
        <f>IFERROR(__xludf.DUMMYFUNCTION("GOOGLETRANSLATE(B17487,""id"",""en"")"),"['opened', 'pay', 'package', 'quota', 'right', 'update', 'how', 'please', 'assisted', ""]")</f>
        <v>['opened', 'pay', 'package', 'quota', 'right', 'update', 'how', 'please', 'assisted', "]</v>
      </c>
      <c r="D17487" s="3">
        <v>2.0</v>
      </c>
    </row>
    <row r="17488" ht="15.75" customHeight="1">
      <c r="A17488" s="1">
        <v>18588.0</v>
      </c>
      <c r="B17488" s="3" t="s">
        <v>16576</v>
      </c>
      <c r="C17488" s="3" t="str">
        <f>IFERROR(__xludf.DUMMYFUNCTION("GOOGLETRANSLATE(B17488,""id"",""en"")"),"['Log', 'open', 'application', '']")</f>
        <v>['Log', 'open', 'application', '']</v>
      </c>
      <c r="D17488" s="3">
        <v>1.0</v>
      </c>
    </row>
    <row r="17489" ht="15.75" customHeight="1">
      <c r="A17489" s="1">
        <v>18589.0</v>
      </c>
      <c r="B17489" s="3" t="s">
        <v>16577</v>
      </c>
      <c r="C17489" s="3" t="str">
        <f>IFERROR(__xludf.DUMMYFUNCTION("GOOGLETRANSLATE(B17489,""id"",""en"")"),"['Disappointed', 'buy', 'package', 'sympathy', 'times', 'signal', 'jeleeeeeeereekkkkkkkkkkkkkkkkkkkkkkkkkkkkk']")</f>
        <v>['Disappointed', 'buy', 'package', 'sympathy', 'times', 'signal', 'jeleeeeeeereekkkkkkkkkkkkkkkkkkkkkkkkkkkkk']</v>
      </c>
      <c r="D17489" s="3">
        <v>1.0</v>
      </c>
    </row>
    <row r="17490" ht="15.75" customHeight="1">
      <c r="A17490" s="1">
        <v>18590.0</v>
      </c>
      <c r="B17490" s="3" t="s">
        <v>16578</v>
      </c>
      <c r="C17490" s="3" t="str">
        <f>IFERROR(__xludf.DUMMYFUNCTION("GOOGLETRANSLATE(B17490,""id"",""en"")"),"['Stuck', 'screen', 'white', 'difficult', 'checked', 'quota']")</f>
        <v>['Stuck', 'screen', 'white', 'difficult', 'checked', 'quota']</v>
      </c>
      <c r="D17490" s="3">
        <v>1.0</v>
      </c>
    </row>
    <row r="17491" ht="15.75" customHeight="1">
      <c r="A17491" s="1">
        <v>18591.0</v>
      </c>
      <c r="B17491" s="3" t="s">
        <v>16579</v>
      </c>
      <c r="C17491" s="3" t="str">
        <f>IFERROR(__xludf.DUMMYFUNCTION("GOOGLETRANSLATE(B17491,""id"",""en"")"),"['night', 'yahh', 'already', 'charging', 'Vocer', 'Kouta', 'Please', 'repaired', 'Cape', 'paced', 'Mandir', 'counter', ' Prices', 'qualitys',' knpa ',' error ',' keep ',' please ',' repaired ',' ']")</f>
        <v>['night', 'yahh', 'already', 'charging', 'Vocer', 'Kouta', 'Please', 'repaired', 'Cape', 'paced', 'Mandir', 'counter', ' Prices', 'qualitys',' knpa ',' error ',' keep ',' please ',' repaired ',' ']</v>
      </c>
      <c r="D17491" s="3">
        <v>1.0</v>
      </c>
    </row>
    <row r="17492" ht="15.75" customHeight="1">
      <c r="A17492" s="1">
        <v>18592.0</v>
      </c>
      <c r="B17492" s="3" t="s">
        <v>16580</v>
      </c>
      <c r="C17492" s="3" t="str">
        <f>IFERROR(__xludf.DUMMYFUNCTION("GOOGLETRANSLATE(B17492,""id"",""en"")"),"['Application', 'Telkomsel', 'Error', 'Open', 'The Application']")</f>
        <v>['Application', 'Telkomsel', 'Error', 'Open', 'The Application']</v>
      </c>
      <c r="D17492" s="3">
        <v>1.0</v>
      </c>
    </row>
    <row r="17493" ht="15.75" customHeight="1">
      <c r="A17493" s="1">
        <v>18593.0</v>
      </c>
      <c r="B17493" s="3" t="s">
        <v>16581</v>
      </c>
      <c r="C17493" s="3" t="str">
        <f>IFERROR(__xludf.DUMMYFUNCTION("GOOGLETRANSLATE(B17493,""id"",""en"")"),"['', 'Thun', 'loyal', 'tekomsel', ""]")</f>
        <v>['', 'Thun', 'loyal', 'tekomsel', "]</v>
      </c>
      <c r="D17493" s="3">
        <v>5.0</v>
      </c>
    </row>
    <row r="17494" ht="15.75" customHeight="1">
      <c r="A17494" s="1">
        <v>18594.0</v>
      </c>
      <c r="B17494" s="3" t="s">
        <v>16582</v>
      </c>
      <c r="C17494" s="3" t="str">
        <f>IFERROR(__xludf.DUMMYFUNCTION("GOOGLETRANSLATE(B17494,""id"",""en"")"),"['Network', 'bad', 'play', 'game', 'buy', 'package', 'game', 'silver', 'ping', 'red', 'difficult', 'login', ' Game ',' buy ',' Package ',' YouTube ',' Unlimited ',' Week ',' Difficult ',' Video ',' YouTube ',' Kebuka ', ""]")</f>
        <v>['Network', 'bad', 'play', 'game', 'buy', 'package', 'game', 'silver', 'ping', 'red', 'difficult', 'login', ' Game ',' buy ',' Package ',' YouTube ',' Unlimited ',' Week ',' Difficult ',' Video ',' YouTube ',' Kebuka ', "]</v>
      </c>
      <c r="D17494" s="3">
        <v>3.0</v>
      </c>
    </row>
    <row r="17495" ht="15.75" customHeight="1">
      <c r="A17495" s="1">
        <v>18595.0</v>
      </c>
      <c r="B17495" s="3" t="s">
        <v>16583</v>
      </c>
      <c r="C17495" s="3" t="str">
        <f>IFERROR(__xludf.DUMMYFUNCTION("GOOGLETRANSLATE(B17495,""id"",""en"")"),"['Perfect', 'because', 'fill', 'package', 'pulse', 'buy', 'package', 'data', 'sorry', 'error', 'system', 'beg', ' reset ',' Minutes', 'Satisfied', 'Liat', 'Telkomsel', 'Love', 'Bintang', 'Bener', 'Disappointed']")</f>
        <v>['Perfect', 'because', 'fill', 'package', 'pulse', 'buy', 'package', 'data', 'sorry', 'error', 'system', 'beg', ' reset ',' Minutes', 'Satisfied', 'Liat', 'Telkomsel', 'Love', 'Bintang', 'Bener', 'Disappointed']</v>
      </c>
      <c r="D17495" s="3">
        <v>1.0</v>
      </c>
    </row>
    <row r="17496" ht="15.75" customHeight="1">
      <c r="A17496" s="1">
        <v>18596.0</v>
      </c>
      <c r="B17496" s="3" t="s">
        <v>16584</v>
      </c>
      <c r="C17496" s="3" t="str">
        <f>IFERROR(__xludf.DUMMYFUNCTION("GOOGLETRANSLATE(B17496,""id"",""en"")"),"['Updated', 'Stuck', 'White', 'Screen', 'Please', 'Response', '']")</f>
        <v>['Updated', 'Stuck', 'White', 'Screen', 'Please', 'Response', '']</v>
      </c>
      <c r="D17496" s="3">
        <v>1.0</v>
      </c>
    </row>
    <row r="17497" ht="15.75" customHeight="1">
      <c r="A17497" s="1">
        <v>18597.0</v>
      </c>
      <c r="B17497" s="3" t="s">
        <v>16585</v>
      </c>
      <c r="C17497" s="3" t="str">
        <f>IFERROR(__xludf.DUMMYFUNCTION("GOOGLETRANSLATE(B17497,""id"",""en"")"),"['Application', 'Telkomsel', 'Good', '']")</f>
        <v>['Application', 'Telkomsel', 'Good', '']</v>
      </c>
      <c r="D17497" s="3">
        <v>5.0</v>
      </c>
    </row>
    <row r="17498" ht="15.75" customHeight="1">
      <c r="A17498" s="1">
        <v>18598.0</v>
      </c>
      <c r="B17498" s="3" t="s">
        <v>16586</v>
      </c>
      <c r="C17498" s="3" t="str">
        <f>IFERROR(__xludf.DUMMYFUNCTION("GOOGLETRANSLATE(B17498,""id"",""en"")"),"['min', 'say', 'YHA', 'Min', 'knapa', 'network', 'sympathy', 'setabilia', 'play', 'game', 'refund', 'package', ' sympathy ',' refuge ',' unlimited ',' kagak ',' network ',' please ',' min ',' satisfaction ',' gave ',' benchmark ',' price ',' expensive ','"&amp;" buy ' , 'Package', 'pity', 'your customer', 'Tipu', 'Behind', 'price', 'expensive', 'satisfaction', 'customer', ""]")</f>
        <v>['min', 'say', 'YHA', 'Min', 'knapa', 'network', 'sympathy', 'setabilia', 'play', 'game', 'refund', 'package', ' sympathy ',' refuge ',' unlimited ',' kagak ',' network ',' please ',' min ',' satisfaction ',' gave ',' benchmark ',' price ',' expensive ',' buy ' , 'Package', 'pity', 'your customer', 'Tipu', 'Behind', 'price', 'expensive', 'satisfaction', 'customer', "]</v>
      </c>
      <c r="D17498" s="3">
        <v>1.0</v>
      </c>
    </row>
    <row r="17499" ht="15.75" customHeight="1">
      <c r="A17499" s="1">
        <v>18599.0</v>
      </c>
      <c r="B17499" s="3" t="s">
        <v>16587</v>
      </c>
      <c r="C17499" s="3" t="str">
        <f>IFERROR(__xludf.DUMMYFUNCTION("GOOGLETRANSLATE(B17499,""id"",""en"")"),"['BERES', 'Network', 'Telkomsel']")</f>
        <v>['BERES', 'Network', 'Telkomsel']</v>
      </c>
      <c r="D17499" s="3">
        <v>1.0</v>
      </c>
    </row>
    <row r="17500" ht="15.75" customHeight="1">
      <c r="A17500" s="1">
        <v>18600.0</v>
      </c>
      <c r="B17500" s="3" t="s">
        <v>6741</v>
      </c>
      <c r="C17500" s="3" t="str">
        <f>IFERROR(__xludf.DUMMYFUNCTION("GOOGLETRANSLATE(B17500,""id"",""en"")"),"['bad network']")</f>
        <v>['bad network']</v>
      </c>
      <c r="D17500" s="3">
        <v>1.0</v>
      </c>
    </row>
    <row r="17501" ht="15.75" customHeight="1">
      <c r="A17501" s="1">
        <v>18601.0</v>
      </c>
      <c r="B17501" s="3" t="s">
        <v>16588</v>
      </c>
      <c r="C17501" s="3" t="str">
        <f>IFERROR(__xludf.DUMMYFUNCTION("GOOGLETRANSLATE(B17501,""id"",""en"")"),"['gave', 'star', 'piece', 'because', 'apk', 'disappointing', 'confusing', 'consumer', '']")</f>
        <v>['gave', 'star', 'piece', 'because', 'apk', 'disappointing', 'confusing', 'consumer', '']</v>
      </c>
      <c r="D17501" s="3">
        <v>1.0</v>
      </c>
    </row>
    <row r="17502" ht="15.75" customHeight="1">
      <c r="A17502" s="1">
        <v>18602.0</v>
      </c>
      <c r="B17502" s="3" t="s">
        <v>16589</v>
      </c>
      <c r="C17502" s="3" t="str">
        <f>IFERROR(__xludf.DUMMYFUNCTION("GOOGLETRANSLATE(B17502,""id"",""en"")"),"['Telkomsel', 'Severe', 'really', 'network', 'garbage', '']")</f>
        <v>['Telkomsel', 'Severe', 'really', 'network', 'garbage', '']</v>
      </c>
      <c r="D17502" s="3">
        <v>1.0</v>
      </c>
    </row>
    <row r="17503" ht="15.75" customHeight="1">
      <c r="A17503" s="1">
        <v>18603.0</v>
      </c>
      <c r="B17503" s="3" t="s">
        <v>16590</v>
      </c>
      <c r="C17503" s="3" t="str">
        <f>IFERROR(__xludf.DUMMYFUNCTION("GOOGLETRANSLATE(B17503,""id"",""en"")"),"['', 'Telkomsel', 'opened', 'please', 'repair']")</f>
        <v>['', 'Telkomsel', 'opened', 'please', 'repair']</v>
      </c>
      <c r="D17503" s="3">
        <v>1.0</v>
      </c>
    </row>
    <row r="17504" ht="15.75" customHeight="1">
      <c r="A17504" s="1">
        <v>18604.0</v>
      </c>
      <c r="B17504" s="3" t="s">
        <v>16591</v>
      </c>
      <c r="C17504" s="3" t="str">
        <f>IFERROR(__xludf.DUMMYFUNCTION("GOOGLETRANSLATE(B17504,""id"",""en"")"),"['', 'Telkomsel', 'name', 'circles',' Indonesia ',' signal ',' slow ',' name ',' MyTelkomsel ',' limit ',' package ',' expensive ',' tower ',' wake up ',' minimal ',' ngentod ']")</f>
        <v>['', 'Telkomsel', 'name', 'circles',' Indonesia ',' signal ',' slow ',' name ',' MyTelkomsel ',' limit ',' package ',' expensive ',' tower ',' wake up ',' minimal ',' ngentod ']</v>
      </c>
      <c r="D17504" s="3">
        <v>1.0</v>
      </c>
    </row>
    <row r="17505" ht="15.75" customHeight="1">
      <c r="A17505" s="1">
        <v>18605.0</v>
      </c>
      <c r="B17505" s="3" t="s">
        <v>2929</v>
      </c>
      <c r="C17505" s="3" t="str">
        <f>IFERROR(__xludf.DUMMYFUNCTION("GOOGLETRANSLATE(B17505,""id"",""en"")"),"['Update', 'opened', '']")</f>
        <v>['Update', 'opened', '']</v>
      </c>
      <c r="D17505" s="3">
        <v>1.0</v>
      </c>
    </row>
    <row r="17506" ht="15.75" customHeight="1">
      <c r="A17506" s="1">
        <v>18606.0</v>
      </c>
      <c r="B17506" s="3" t="s">
        <v>16592</v>
      </c>
      <c r="C17506" s="3" t="str">
        <f>IFERROR(__xludf.DUMMYFUNCTION("GOOGLETRANSLATE(B17506,""id"",""en"")"),"['apk', 'Telokomsel', 'buy', 'pulse', 'discount', 'apk', 'next door', 'cheap', 'please', 'fix', 'complicated']")</f>
        <v>['apk', 'Telokomsel', 'buy', 'pulse', 'discount', 'apk', 'next door', 'cheap', 'please', 'fix', 'complicated']</v>
      </c>
      <c r="D17506" s="3">
        <v>3.0</v>
      </c>
    </row>
    <row r="17507" ht="15.75" customHeight="1">
      <c r="A17507" s="1">
        <v>18607.0</v>
      </c>
      <c r="B17507" s="3" t="s">
        <v>16593</v>
      </c>
      <c r="C17507" s="3" t="str">
        <f>IFERROR(__xludf.DUMMYFUNCTION("GOOGLETRANSLATE(B17507,""id"",""en"")"),"['hope', 'gift', 'Allah', ""]")</f>
        <v>['hope', 'gift', 'Allah', "]</v>
      </c>
      <c r="D17507" s="3">
        <v>5.0</v>
      </c>
    </row>
    <row r="17508" ht="15.75" customHeight="1">
      <c r="A17508" s="1">
        <v>18608.0</v>
      </c>
      <c r="B17508" s="3" t="s">
        <v>16594</v>
      </c>
      <c r="C17508" s="3" t="str">
        <f>IFERROR(__xludf.DUMMYFUNCTION("GOOGLETRANSLATE(B17508,""id"",""en"")"),"['Update', 'Application', 'Error', 'White', 'Screen', 'then', 'Must', 'Wow', 'That's', 'Genesis', ""]")</f>
        <v>['Update', 'Application', 'Error', 'White', 'Screen', 'then', 'Must', 'Wow', 'That's', 'Genesis', "]</v>
      </c>
      <c r="D17508" s="3">
        <v>1.0</v>
      </c>
    </row>
    <row r="17509" ht="15.75" customHeight="1">
      <c r="A17509" s="1">
        <v>18610.0</v>
      </c>
      <c r="B17509" s="3" t="s">
        <v>16595</v>
      </c>
      <c r="C17509" s="3" t="str">
        <f>IFERROR(__xludf.DUMMYFUNCTION("GOOGLETRANSLATE(B17509,""id"",""en"")"),"['Use', 'Telkomsel', 'Good']")</f>
        <v>['Use', 'Telkomsel', 'Good']</v>
      </c>
      <c r="D17509" s="3">
        <v>5.0</v>
      </c>
    </row>
    <row r="17510" ht="15.75" customHeight="1">
      <c r="A17510" s="1">
        <v>18611.0</v>
      </c>
      <c r="B17510" s="3" t="s">
        <v>16596</v>
      </c>
      <c r="C17510" s="3" t="str">
        <f>IFERROR(__xludf.DUMMYFUNCTION("GOOGLETRANSLATE(B17510,""id"",""en"")"),"['easy', 'cheap', 'fast']")</f>
        <v>['easy', 'cheap', 'fast']</v>
      </c>
      <c r="D17510" s="3">
        <v>4.0</v>
      </c>
    </row>
    <row r="17511" ht="15.75" customHeight="1">
      <c r="A17511" s="1">
        <v>18612.0</v>
      </c>
      <c r="B17511" s="3" t="s">
        <v>16597</v>
      </c>
      <c r="C17511" s="3" t="str">
        <f>IFERROR(__xludf.DUMMYFUNCTION("GOOGLETRANSLATE(B17511,""id"",""en"")"),"['If', 'star', 'zero', 'cave', 'love', 'star', 'zero', 'the network', 'changed', 'change', 'good', 'ugly', ' Really ',' Direct ',' Nastyl ',' Expensive ',' Gamers', 'Ribet', 'Her Affairs',' Emotion ',' Ajah ', ""]")</f>
        <v>['If', 'star', 'zero', 'cave', 'love', 'star', 'zero', 'the network', 'changed', 'change', 'good', 'ugly', ' Really ',' Direct ',' Nastyl ',' Expensive ',' Gamers', 'Ribet', 'Her Affairs',' Emotion ',' Ajah ', "]</v>
      </c>
      <c r="D17511" s="3">
        <v>1.0</v>
      </c>
    </row>
    <row r="17512" ht="15.75" customHeight="1">
      <c r="A17512" s="1">
        <v>18613.0</v>
      </c>
      <c r="B17512" s="3" t="s">
        <v>16598</v>
      </c>
      <c r="C17512" s="3" t="str">
        <f>IFERROR(__xludf.DUMMYFUNCTION("GOOGLETRANSLATE(B17512,""id"",""en"")"),"['Hello', 'defoloper', 'buy', 'quota', 'gamemax', 'cook', 'quota', 'cook', 'diamon', 'no', 'entered', 'please', ' Defolper ',' Aiki ',' trimakasih ',' concern ',' ']")</f>
        <v>['Hello', 'defoloper', 'buy', 'quota', 'gamemax', 'cook', 'quota', 'cook', 'diamon', 'no', 'entered', 'please', ' Defolper ',' Aiki ',' trimakasih ',' concern ',' ']</v>
      </c>
      <c r="D17512" s="3">
        <v>2.0</v>
      </c>
    </row>
    <row r="17513" ht="15.75" customHeight="1">
      <c r="A17513" s="1">
        <v>18614.0</v>
      </c>
      <c r="B17513" s="3" t="s">
        <v>16599</v>
      </c>
      <c r="C17513" s="3" t="str">
        <f>IFERROR(__xludf.DUMMYFUNCTION("GOOGLETRANSLATE(B17513,""id"",""en"")"),"['repay', 'napa', 'woii', 'netting', 'loss',' buy ',' expensive ',' expensive ',' TPI ',' quality ',' kyk ',' gini ',' open ',' slim ',' padahl ',' bought ',' open ',' yover ',' jugk ',' so ',' gmn ',' Telkomsel ',' ugly ']")</f>
        <v>['repay', 'napa', 'woii', 'netting', 'loss',' buy ',' expensive ',' expensive ',' TPI ',' quality ',' kyk ',' gini ',' open ',' slim ',' padahl ',' bought ',' open ',' yover ',' jugk ',' so ',' gmn ',' Telkomsel ',' ugly ']</v>
      </c>
      <c r="D17513" s="3">
        <v>1.0</v>
      </c>
    </row>
    <row r="17514" ht="15.75" customHeight="1">
      <c r="A17514" s="1">
        <v>18615.0</v>
      </c>
      <c r="B17514" s="3" t="s">
        <v>16600</v>
      </c>
      <c r="C17514" s="3" t="str">
        <f>IFERROR(__xludf.DUMMYFUNCTION("GOOGLETRANSLATE(B17514,""id"",""en"")"),"['Uninstall', 'open', 'app', 'screen', 'white', 'doang', 'wifi', 'msh', 'gtu', 'udh', 'networkny', 'chaotic']")</f>
        <v>['Uninstall', 'open', 'app', 'screen', 'white', 'doang', 'wifi', 'msh', 'gtu', 'udh', 'networkny', 'chaotic']</v>
      </c>
      <c r="D17514" s="3">
        <v>1.0</v>
      </c>
    </row>
    <row r="17515" ht="15.75" customHeight="1">
      <c r="A17515" s="1">
        <v>18616.0</v>
      </c>
      <c r="B17515" s="3" t="s">
        <v>16601</v>
      </c>
      <c r="C17515" s="3" t="str">
        <f>IFERROR(__xludf.DUMMYFUNCTION("GOOGLETRANSLATE(B17515,""id"",""en"")"),"['signal', 'Pea', 'Geh', 'Goblokk', 'Telkomsel', 'Apus', 'Aya', 'Apus', 'JARINAGN']")</f>
        <v>['signal', 'Pea', 'Geh', 'Goblokk', 'Telkomsel', 'Apus', 'Aya', 'Apus', 'JARINAGN']</v>
      </c>
      <c r="D17515" s="3">
        <v>1.0</v>
      </c>
    </row>
    <row r="17516" ht="15.75" customHeight="1">
      <c r="A17516" s="1">
        <v>18617.0</v>
      </c>
      <c r="B17516" s="3" t="s">
        <v>651</v>
      </c>
      <c r="C17516" s="3" t="str">
        <f>IFERROR(__xludf.DUMMYFUNCTION("GOOGLETRANSLATE(B17516,""id"",""en"")"),"['Network', 'stable']")</f>
        <v>['Network', 'stable']</v>
      </c>
      <c r="D17516" s="3">
        <v>1.0</v>
      </c>
    </row>
    <row r="17517" ht="15.75" customHeight="1">
      <c r="A17517" s="1">
        <v>18618.0</v>
      </c>
      <c r="B17517" s="3" t="s">
        <v>16602</v>
      </c>
      <c r="C17517" s="3" t="str">
        <f>IFERROR(__xludf.DUMMYFUNCTION("GOOGLETRANSLATE(B17517,""id"",""en"")"),"['Combonya', 'enhanced', 'big one', 'slow']")</f>
        <v>['Combonya', 'enhanced', 'big one', 'slow']</v>
      </c>
      <c r="D17517" s="3">
        <v>5.0</v>
      </c>
    </row>
    <row r="17518" ht="15.75" customHeight="1">
      <c r="A17518" s="1">
        <v>18619.0</v>
      </c>
      <c r="B17518" s="3" t="s">
        <v>16603</v>
      </c>
      <c r="C17518" s="3" t="str">
        <f>IFERROR(__xludf.DUMMYFUNCTION("GOOGLETRANSLATE(B17518,""id"",""en"")"),"['Watakak', 'man']")</f>
        <v>['Watakak', 'man']</v>
      </c>
      <c r="D17518" s="3">
        <v>2.0</v>
      </c>
    </row>
    <row r="17519" ht="15.75" customHeight="1">
      <c r="A17519" s="1">
        <v>18620.0</v>
      </c>
      <c r="B17519" s="3" t="s">
        <v>16604</v>
      </c>
      <c r="C17519" s="3" t="str">
        <f>IFERROR(__xludf.DUMMYFUNCTION("GOOGLETRANSLATE(B17519,""id"",""en"")"),"['Telkomsel', 'signal', 'Drop', 'night', 'hope', 'Telkomsel', 'follow up', 'Telkomsel', 'forward', 'greetings', 'bangka', 'belitung']")</f>
        <v>['Telkomsel', 'signal', 'Drop', 'night', 'hope', 'Telkomsel', 'follow up', 'Telkomsel', 'forward', 'greetings', 'bangka', 'belitung']</v>
      </c>
      <c r="D17519" s="3">
        <v>2.0</v>
      </c>
    </row>
    <row r="17520" ht="15.75" customHeight="1">
      <c r="A17520" s="1">
        <v>18621.0</v>
      </c>
      <c r="B17520" s="3" t="s">
        <v>16605</v>
      </c>
      <c r="C17520" s="3" t="str">
        <f>IFERROR(__xludf.DUMMYFUNCTION("GOOGLETRANSLATE(B17520,""id"",""en"")"),"['Sinyal', 'Severe', 'Clock', 'Open', 'Yutube', 'Difficult', 'Bngt', 'Region', 'Market', 'Serpong']")</f>
        <v>['Sinyal', 'Severe', 'Clock', 'Open', 'Yutube', 'Difficult', 'Bngt', 'Region', 'Market', 'Serpong']</v>
      </c>
      <c r="D17520" s="3">
        <v>1.0</v>
      </c>
    </row>
    <row r="17521" ht="15.75" customHeight="1">
      <c r="A17521" s="1">
        <v>18622.0</v>
      </c>
      <c r="B17521" s="3" t="s">
        <v>16606</v>
      </c>
      <c r="C17521" s="3" t="str">
        <f>IFERROR(__xludf.DUMMYFUNCTION("GOOGLETRANSLATE(B17521,""id"",""en"")"),"['Liat', 'Review', 'Downloaded', 'App', 'Error', 'Mulu', 'Money', 'Customer', 'App', 'Error', 'WES', ' Ajah ',' skali ',' use ',' normal ',' usage ',' blank ',' white ',' until ',' replace ',' provider ',' calm ',' abid ', ""]")</f>
        <v>['Liat', 'Review', 'Downloaded', 'App', 'Error', 'Mulu', 'Money', 'Customer', 'App', 'Error', 'WES', ' Ajah ',' skali ',' use ',' normal ',' usage ',' blank ',' white ',' until ',' replace ',' provider ',' calm ',' abid ', "]</v>
      </c>
      <c r="D17521" s="3">
        <v>1.0</v>
      </c>
    </row>
    <row r="17522" ht="15.75" customHeight="1">
      <c r="A17522" s="1">
        <v>18623.0</v>
      </c>
      <c r="B17522" s="3" t="s">
        <v>16607</v>
      </c>
      <c r="C17522" s="3" t="str">
        <f>IFERROR(__xludf.DUMMYFUNCTION("GOOGLETRANSLATE(B17522,""id"",""en"")"),"['application', 'opened', 'updated', 'application', 'secure', 'download', 'install', 'reset', 'influential', 'please', 'explanation', 'so', ' ']")</f>
        <v>['application', 'opened', 'updated', 'application', 'secure', 'download', 'install', 'reset', 'influential', 'please', 'explanation', 'so', ' ']</v>
      </c>
      <c r="D17522" s="3">
        <v>1.0</v>
      </c>
    </row>
    <row r="17523" ht="15.75" customHeight="1">
      <c r="A17523" s="1">
        <v>18624.0</v>
      </c>
      <c r="B17523" s="3" t="s">
        <v>16608</v>
      </c>
      <c r="C17523" s="3" t="str">
        <f>IFERROR(__xludf.DUMMYFUNCTION("GOOGLETRANSLATE(B17523,""id"",""en"")"),"['emotion', 'signal', 'ilang', 'Terooos',' morning ',' sampek ',' malem ',' fix ',' garbage ',' expensive ',' signal ',' garbage ',' Ryesel ',' card ']")</f>
        <v>['emotion', 'signal', 'ilang', 'Terooos',' morning ',' sampek ',' malem ',' fix ',' garbage ',' expensive ',' signal ',' garbage ',' Ryesel ',' card ']</v>
      </c>
      <c r="D17523" s="3">
        <v>1.0</v>
      </c>
    </row>
    <row r="17524" ht="15.75" customHeight="1">
      <c r="A17524" s="1">
        <v>18626.0</v>
      </c>
      <c r="B17524" s="3" t="s">
        <v>16609</v>
      </c>
      <c r="C17524" s="3" t="str">
        <f>IFERROR(__xludf.DUMMYFUNCTION("GOOGLETRANSLATE(B17524,""id"",""en"")"),"['Update', 'Nge', 'Stack', 'White', 'Screen', 'Rich', 'Gini', 'Min', 'Disappointed', 'Very']")</f>
        <v>['Update', 'Nge', 'Stack', 'White', 'Screen', 'Rich', 'Gini', 'Min', 'Disappointed', 'Very']</v>
      </c>
      <c r="D17524" s="3">
        <v>1.0</v>
      </c>
    </row>
    <row r="17525" ht="15.75" customHeight="1">
      <c r="A17525" s="1">
        <v>18627.0</v>
      </c>
      <c r="B17525" s="3" t="s">
        <v>16610</v>
      </c>
      <c r="C17525" s="3" t="str">
        <f>IFERROR(__xludf.DUMMYFUNCTION("GOOGLETRANSLATE(B17525,""id"",""en"")"),"['The application', 'good', 'easy', 'check', 'quota', 'network', 'area', 'smooth', 'hope', 'good', 'network', ""]")</f>
        <v>['The application', 'good', 'easy', 'check', 'quota', 'network', 'area', 'smooth', 'hope', 'good', 'network', "]</v>
      </c>
      <c r="D17525" s="3">
        <v>5.0</v>
      </c>
    </row>
    <row r="17526" ht="15.75" customHeight="1">
      <c r="A17526" s="1">
        <v>18628.0</v>
      </c>
      <c r="B17526" s="3" t="s">
        <v>16611</v>
      </c>
      <c r="C17526" s="3" t="str">
        <f>IFERROR(__xludf.DUMMYFUNCTION("GOOGLETRANSLATE(B17526,""id"",""en"")"),"['APP', 'AFDOL', 'Pronika', 'Serve', 'Complete', 'App', 'Sleigh', 'Complete', 'Dlam', 'App', 'Really', 'Disappointing', ' ']")</f>
        <v>['APP', 'AFDOL', 'Pronika', 'Serve', 'Complete', 'App', 'Sleigh', 'Complete', 'Dlam', 'App', 'Really', 'Disappointing', ' ']</v>
      </c>
      <c r="D17526" s="3">
        <v>1.0</v>
      </c>
    </row>
    <row r="17527" ht="15.75" customHeight="1">
      <c r="A17527" s="1">
        <v>18629.0</v>
      </c>
      <c r="B17527" s="3" t="s">
        <v>16612</v>
      </c>
      <c r="C17527" s="3" t="str">
        <f>IFERROR(__xludf.DUMMYFUNCTION("GOOGLETRANSLATE(B17527,""id"",""en"")"),"['expensive', 'proud', 'network']")</f>
        <v>['expensive', 'proud', 'network']</v>
      </c>
      <c r="D17527" s="3">
        <v>1.0</v>
      </c>
    </row>
    <row r="17528" ht="15.75" customHeight="1">
      <c r="A17528" s="1">
        <v>18630.0</v>
      </c>
      <c r="B17528" s="3" t="s">
        <v>16613</v>
      </c>
      <c r="C17528" s="3" t="str">
        <f>IFERROR(__xludf.DUMMYFUNCTION("GOOGLETRANSLATE(B17528,""id"",""en"")"),"['Yesterday', 'buy', 'package', 'smaulloop', 'a week', 'used', 'minutes', 'already', 'used', 'love', 'star', ""]")</f>
        <v>['Yesterday', 'buy', 'package', 'smaulloop', 'a week', 'used', 'minutes', 'already', 'used', 'love', 'star', "]</v>
      </c>
      <c r="D17528" s="3">
        <v>4.0</v>
      </c>
    </row>
    <row r="17529" ht="15.75" customHeight="1">
      <c r="A17529" s="1">
        <v>18631.0</v>
      </c>
      <c r="B17529" s="3" t="s">
        <v>16614</v>
      </c>
      <c r="C17529" s="3" t="str">
        <f>IFERROR(__xludf.DUMMYFUNCTION("GOOGLETRANSLATE(B17529,""id"",""en"")"),"['Good', 'Woii', 'Network', 'night', 'network', 'stable']")</f>
        <v>['Good', 'Woii', 'Network', 'night', 'network', 'stable']</v>
      </c>
      <c r="D17529" s="3">
        <v>1.0</v>
      </c>
    </row>
    <row r="17530" ht="15.75" customHeight="1">
      <c r="A17530" s="1">
        <v>18632.0</v>
      </c>
      <c r="B17530" s="3" t="s">
        <v>16615</v>
      </c>
      <c r="C17530" s="3" t="str">
        <f>IFERROR(__xludf.DUMMYFUNCTION("GOOGLETRANSLATE(B17530,""id"",""en"")"),"['disappointing', 'pulse', 'entry', 'thousand', 'lost', 'replaced', 'package', 'antah', 'crowded', 'disappointing', 'meal', 'pulses']")</f>
        <v>['disappointing', 'pulse', 'entry', 'thousand', 'lost', 'replaced', 'package', 'antah', 'crowded', 'disappointing', 'meal', 'pulses']</v>
      </c>
      <c r="D17530" s="3">
        <v>1.0</v>
      </c>
    </row>
    <row r="17531" ht="15.75" customHeight="1">
      <c r="A17531" s="1">
        <v>18633.0</v>
      </c>
      <c r="B17531" s="3" t="s">
        <v>16616</v>
      </c>
      <c r="C17531" s="3" t="str">
        <f>IFERROR(__xludf.DUMMYFUNCTION("GOOGLETRANSLATE(B17531,""id"",""en"")"),"['signal', 'kek', 'dog', 'gosa', 'expensive', 'pantek', 'pig', ""]")</f>
        <v>['signal', 'kek', 'dog', 'gosa', 'expensive', 'pantek', 'pig', "]</v>
      </c>
      <c r="D17531" s="3">
        <v>2.0</v>
      </c>
    </row>
    <row r="17532" ht="15.75" customHeight="1">
      <c r="A17532" s="1">
        <v>18634.0</v>
      </c>
      <c r="B17532" s="3" t="s">
        <v>16617</v>
      </c>
      <c r="C17532" s="3" t="str">
        <f>IFERROR(__xludf.DUMMYFUNCTION("GOOGLETRANSLATE(B17532,""id"",""en"")"),"['Package', 'cheap', 'choose', 'love', 'already', 'update', 'white', 'screen', 'benerin', 'coii']")</f>
        <v>['Package', 'cheap', 'choose', 'love', 'already', 'update', 'white', 'screen', 'benerin', 'coii']</v>
      </c>
      <c r="D17532" s="3">
        <v>1.0</v>
      </c>
    </row>
    <row r="17533" ht="15.75" customHeight="1">
      <c r="A17533" s="1">
        <v>18635.0</v>
      </c>
      <c r="B17533" s="3" t="s">
        <v>16618</v>
      </c>
      <c r="C17533" s="3" t="str">
        <f>IFERROR(__xludf.DUMMYFUNCTION("GOOGLETRANSLATE(B17533,""id"",""en"")"),"['Kenpa', 'Application', 'Fill', 'Credit', 'Tidk', 'Enter', 'PDAVY', 'Sudh', 'Success',' Balance ',' Cut ',' Please ',' informasiny, 'buy', 'package', 'tip', 'solusiny', 'donk']")</f>
        <v>['Kenpa', 'Application', 'Fill', 'Credit', 'Tidk', 'Enter', 'PDAVY', 'Sudh', 'Success',' Balance ',' Cut ',' Please ',' informasiny, 'buy', 'package', 'tip', 'solusiny', 'donk']</v>
      </c>
      <c r="D17533" s="3">
        <v>5.0</v>
      </c>
    </row>
    <row r="17534" ht="15.75" customHeight="1">
      <c r="A17534" s="1">
        <v>18636.0</v>
      </c>
      <c r="B17534" s="3" t="s">
        <v>3844</v>
      </c>
      <c r="C17534" s="3" t="str">
        <f>IFERROR(__xludf.DUMMYFUNCTION("GOOGLETRANSLATE(B17534,""id"",""en"")"),"['', 'Open', 'Application']")</f>
        <v>['', 'Open', 'Application']</v>
      </c>
      <c r="D17534" s="3">
        <v>2.0</v>
      </c>
    </row>
    <row r="17535" ht="15.75" customHeight="1">
      <c r="A17535" s="1">
        <v>18637.0</v>
      </c>
      <c r="B17535" s="3" t="s">
        <v>16619</v>
      </c>
      <c r="C17535" s="3" t="str">
        <f>IFERROR(__xludf.DUMMYFUNCTION("GOOGLETRANSLATE(B17535,""id"",""en"")"),"['updated', 'Android', 'MyTelkomsel', 'updated', 'Error', 'Road', 'Ver', 'Times',' Enter ',' Prog ',' Notif ',' updated ',' version ',' please ',' repaired ',' MyTelkomsel ',' Ver ',' newest ',' road ',' android ',' ']")</f>
        <v>['updated', 'Android', 'MyTelkomsel', 'updated', 'Error', 'Road', 'Ver', 'Times',' Enter ',' Prog ',' Notif ',' updated ',' version ',' please ',' repaired ',' MyTelkomsel ',' Ver ',' newest ',' road ',' android ',' ']</v>
      </c>
      <c r="D17535" s="3">
        <v>5.0</v>
      </c>
    </row>
    <row r="17536" ht="15.75" customHeight="1">
      <c r="A17536" s="1">
        <v>18638.0</v>
      </c>
      <c r="B17536" s="3" t="s">
        <v>16620</v>
      </c>
      <c r="C17536" s="3" t="str">
        <f>IFERROR(__xludf.DUMMYFUNCTION("GOOGLETRANSLATE(B17536,""id"",""en"")"),"['buy', 'pulse', 'enter', 'kyk', 'card', 'udh', 'scorched', 'call', 'confused', 'I think', 'blm', 'scorch', ' Because ',' Called ']")</f>
        <v>['buy', 'pulse', 'enter', 'kyk', 'card', 'udh', 'scorched', 'call', 'confused', 'I think', 'blm', 'scorch', ' Because ',' Called ']</v>
      </c>
      <c r="D17536" s="3">
        <v>1.0</v>
      </c>
    </row>
    <row r="17537" ht="15.75" customHeight="1">
      <c r="A17537" s="1">
        <v>18639.0</v>
      </c>
      <c r="B17537" s="3" t="s">
        <v>16621</v>
      </c>
      <c r="C17537" s="3" t="str">
        <f>IFERROR(__xludf.DUMMYFUNCTION("GOOGLETRANSLATE(B17537,""id"",""en"")"),"['', 'strong', 'signal', 'area', 'Mudal', 'sari', 'harjo', 'ngaglik', 'sleman']")</f>
        <v>['', 'strong', 'signal', 'area', 'Mudal', 'sari', 'harjo', 'ngaglik', 'sleman']</v>
      </c>
      <c r="D17537" s="3">
        <v>5.0</v>
      </c>
    </row>
    <row r="17538" ht="15.75" customHeight="1">
      <c r="A17538" s="1">
        <v>18640.0</v>
      </c>
      <c r="B17538" s="3" t="s">
        <v>16622</v>
      </c>
      <c r="C17538" s="3" t="str">
        <f>IFERROR(__xludf.DUMMYFUNCTION("GOOGLETRANSLATE(B17538,""id"",""en"")"),"['Please', 'DiGorna', 'Malang', 'South', 'Dperreading', 'Sinyal']")</f>
        <v>['Please', 'DiGorna', 'Malang', 'South', 'Dperreading', 'Sinyal']</v>
      </c>
      <c r="D17538" s="3">
        <v>5.0</v>
      </c>
    </row>
    <row r="17539" ht="15.75" customHeight="1">
      <c r="A17539" s="1">
        <v>18641.0</v>
      </c>
      <c r="B17539" s="3" t="s">
        <v>16623</v>
      </c>
      <c r="C17539" s="3" t="str">
        <f>IFERROR(__xludf.DUMMYFUNCTION("GOOGLETRANSLATE(B17539,""id"",""en"")"),"['heavy', 'gave', 'star', 'klw', 'network', 'bad', 'expensive', 'forgiveness',' according to ',' expensive ',' network ',' slow ',' upset ',' make ',' telkomsel ',' kesalllllllllllllllllllll ']")</f>
        <v>['heavy', 'gave', 'star', 'klw', 'network', 'bad', 'expensive', 'forgiveness',' according to ',' expensive ',' network ',' slow ',' upset ',' make ',' telkomsel ',' kesalllllllllllllllllllll ']</v>
      </c>
      <c r="D17539" s="3">
        <v>1.0</v>
      </c>
    </row>
    <row r="17540" ht="15.75" customHeight="1">
      <c r="A17540" s="1">
        <v>18642.0</v>
      </c>
      <c r="B17540" s="3" t="s">
        <v>16624</v>
      </c>
      <c r="C17540" s="3" t="str">
        <f>IFERROR(__xludf.DUMMYFUNCTION("GOOGLETRANSLATE(B17540,""id"",""en"")"),"['difficult', 'open', 'Telkomsel', 'application', 'please', 'explanation', 'solution', ""]")</f>
        <v>['difficult', 'open', 'Telkomsel', 'application', 'please', 'explanation', 'solution', "]</v>
      </c>
      <c r="D17540" s="3">
        <v>5.0</v>
      </c>
    </row>
    <row r="17541" ht="15.75" customHeight="1">
      <c r="A17541" s="1">
        <v>18643.0</v>
      </c>
      <c r="B17541" s="3" t="s">
        <v>16625</v>
      </c>
      <c r="C17541" s="3" t="str">
        <f>IFERROR(__xludf.DUMMYFUNCTION("GOOGLETRANSLATE(B17541,""id"",""en"")"),"['Good', 'BGD', 'SKR', 'Kereen']")</f>
        <v>['Good', 'BGD', 'SKR', 'Kereen']</v>
      </c>
      <c r="D17541" s="3">
        <v>5.0</v>
      </c>
    </row>
    <row r="17542" ht="15.75" customHeight="1">
      <c r="A17542" s="1">
        <v>18644.0</v>
      </c>
      <c r="B17542" s="3" t="s">
        <v>16626</v>
      </c>
      <c r="C17542" s="3" t="str">
        <f>IFERROR(__xludf.DUMMYFUNCTION("GOOGLETRANSLATE(B17542,""id"",""en"")"),"['Opened', 'Delete', 'Blum', 'Update']")</f>
        <v>['Opened', 'Delete', 'Blum', 'Update']</v>
      </c>
      <c r="D17542" s="3">
        <v>1.0</v>
      </c>
    </row>
    <row r="17543" ht="15.75" customHeight="1">
      <c r="A17543" s="1">
        <v>18645.0</v>
      </c>
      <c r="B17543" s="3" t="s">
        <v>16627</v>
      </c>
      <c r="C17543" s="3" t="str">
        <f>IFERROR(__xludf.DUMMYFUNCTION("GOOGLETRANSLATE(B17543,""id"",""en"")"),"['satisfying', 'customer', 'service', 'digital', '']")</f>
        <v>['satisfying', 'customer', 'service', 'digital', '']</v>
      </c>
      <c r="D17543" s="3">
        <v>5.0</v>
      </c>
    </row>
    <row r="17544" ht="15.75" customHeight="1">
      <c r="A17544" s="1">
        <v>18646.0</v>
      </c>
      <c r="B17544" s="3" t="s">
        <v>16628</v>
      </c>
      <c r="C17544" s="3" t="str">
        <f>IFERROR(__xludf.DUMMYFUNCTION("GOOGLETRANSLATE(B17544,""id"",""en"")"),"['Satisfied', 'discount']")</f>
        <v>['Satisfied', 'discount']</v>
      </c>
      <c r="D17544" s="3">
        <v>5.0</v>
      </c>
    </row>
    <row r="17545" ht="15.75" customHeight="1">
      <c r="A17545" s="1">
        <v>18647.0</v>
      </c>
      <c r="B17545" s="3" t="s">
        <v>16629</v>
      </c>
      <c r="C17545" s="3" t="str">
        <f>IFERROR(__xludf.DUMMYFUNCTION("GOOGLETRANSLATE(B17545,""id"",""en"")"),"['price', 'elite', 'network', 'stingy', '']")</f>
        <v>['price', 'elite', 'network', 'stingy', '']</v>
      </c>
      <c r="D17545" s="3">
        <v>1.0</v>
      </c>
    </row>
    <row r="17546" ht="15.75" customHeight="1">
      <c r="A17546" s="1">
        <v>18648.0</v>
      </c>
      <c r="B17546" s="3" t="s">
        <v>16630</v>
      </c>
      <c r="C17546" s="3" t="str">
        <f>IFERROR(__xludf.DUMMYFUNCTION("GOOGLETRANSLATE(B17546,""id"",""en"")"),"['', 'star', 'expensive', 'Telkomsel', 'love', 'star', '']")</f>
        <v>['', 'star', 'expensive', 'Telkomsel', 'love', 'star', '']</v>
      </c>
      <c r="D17546" s="3">
        <v>3.0</v>
      </c>
    </row>
    <row r="17547" ht="15.75" customHeight="1">
      <c r="A17547" s="1">
        <v>18649.0</v>
      </c>
      <c r="B17547" s="3" t="s">
        <v>16631</v>
      </c>
      <c r="C17547" s="3" t="str">
        <f>IFERROR(__xludf.DUMMYFUNCTION("GOOGLETRANSLATE(B17547,""id"",""en"")"),"['network', 'slow', 'please', 'strengthen', 'mita', 'update', ""]")</f>
        <v>['network', 'slow', 'please', 'strengthen', 'mita', 'update', "]</v>
      </c>
      <c r="D17547" s="3">
        <v>1.0</v>
      </c>
    </row>
    <row r="17548" ht="15.75" customHeight="1">
      <c r="A17548" s="1">
        <v>18650.0</v>
      </c>
      <c r="B17548" s="3" t="s">
        <v>16632</v>
      </c>
      <c r="C17548" s="3" t="str">
        <f>IFERROR(__xludf.DUMMYFUNCTION("GOOGLETRANSLATE(B17548,""id"",""en"")"),"['Woy', 'Oprator', 'Telkomsel', 'What', 'Ngatasin', 'Network', 'Price', 'Package', 'Mahalin', 'Giriri', 'Network', 'Rich', ' Tay ',' how ',' Ngatasin ',' Mending ',' Closed ',' Peromo ',' Tay ',' Elo ',' Emerging ',' Network ',' Elo ',' Fix ' , 'goat']")</f>
        <v>['Woy', 'Oprator', 'Telkomsel', 'What', 'Ngatasin', 'Network', 'Price', 'Package', 'Mahalin', 'Giriri', 'Network', 'Rich', ' Tay ',' how ',' Ngatasin ',' Mending ',' Closed ',' Peromo ',' Tay ',' Elo ',' Emerging ',' Network ',' Elo ',' Fix ' , 'goat']</v>
      </c>
      <c r="D17548" s="3">
        <v>1.0</v>
      </c>
    </row>
    <row r="17549" ht="15.75" customHeight="1">
      <c r="A17549" s="1">
        <v>18651.0</v>
      </c>
      <c r="B17549" s="3" t="s">
        <v>16633</v>
      </c>
      <c r="C17549" s="3" t="str">
        <f>IFERROR(__xludf.DUMMYFUNCTION("GOOGLETRANSLATE(B17549,""id"",""en"")"),"['Telkomsel', 'network', 'bad', 'good', 'jagan', 'use', 'card', 'Telkomsel', 'regret']")</f>
        <v>['Telkomsel', 'network', 'bad', 'good', 'jagan', 'use', 'card', 'Telkomsel', 'regret']</v>
      </c>
      <c r="D17549" s="3">
        <v>1.0</v>
      </c>
    </row>
    <row r="17550" ht="15.75" customHeight="1">
      <c r="A17550" s="1">
        <v>18652.0</v>
      </c>
      <c r="B17550" s="3" t="s">
        <v>16634</v>
      </c>
      <c r="C17550" s="3" t="str">
        <f>IFERROR(__xludf.DUMMYFUNCTION("GOOGLETRANSLATE(B17550,""id"",""en"")"),"['', 'star', 'Forever', 'complain', 'waste', 'energy', 'after all', 'solution', 'made', 'complicated', 'told', 'told', 'contact' ', 'contact', '']")</f>
        <v>['', 'star', 'Forever', 'complain', 'waste', 'energy', 'after all', 'solution', 'made', 'complicated', 'told', 'told', 'contact' ', 'contact', '']</v>
      </c>
      <c r="D17550" s="3">
        <v>1.0</v>
      </c>
    </row>
    <row r="17551" ht="15.75" customHeight="1">
      <c r="A17551" s="1">
        <v>18653.0</v>
      </c>
      <c r="B17551" s="3" t="s">
        <v>16635</v>
      </c>
      <c r="C17551" s="3" t="str">
        <f>IFERROR(__xludf.DUMMYFUNCTION("GOOGLETRANSLATE(B17551,""id"",""en"")"),"['JDI', 'opened', 'APK']")</f>
        <v>['JDI', 'opened', 'APK']</v>
      </c>
      <c r="D17551" s="3">
        <v>1.0</v>
      </c>
    </row>
    <row r="17552" ht="15.75" customHeight="1">
      <c r="A17552" s="1">
        <v>18654.0</v>
      </c>
      <c r="B17552" s="3" t="s">
        <v>16636</v>
      </c>
      <c r="C17552" s="3" t="str">
        <f>IFERROR(__xludf.DUMMYFUNCTION("GOOGLETRANSLATE(B17552,""id"",""en"")"),"['Help', 'makes it easy', 'users']")</f>
        <v>['Help', 'makes it easy', 'users']</v>
      </c>
      <c r="D17552" s="3">
        <v>5.0</v>
      </c>
    </row>
    <row r="17553" ht="15.75" customHeight="1">
      <c r="A17553" s="1">
        <v>18655.0</v>
      </c>
      <c r="B17553" s="3" t="s">
        <v>16637</v>
      </c>
      <c r="C17553" s="3" t="str">
        <f>IFERROR(__xludf.DUMMYFUNCTION("GOOGLETRANSLATE(B17553,""id"",""en"")"),"['Out', 'update', 'kbuka', 'error', ""]")</f>
        <v>['Out', 'update', 'kbuka', 'error', "]</v>
      </c>
      <c r="D17553" s="3">
        <v>1.0</v>
      </c>
    </row>
    <row r="17554" ht="15.75" customHeight="1">
      <c r="A17554" s="1">
        <v>18656.0</v>
      </c>
      <c r="B17554" s="3" t="s">
        <v>16638</v>
      </c>
      <c r="C17554" s="3" t="str">
        <f>IFERROR(__xludf.DUMMYFUNCTION("GOOGLETRANSLATE(B17554,""id"",""en"")"),"['', 'down', 'star', 'Yesterday', 'the application', 'problematic', 'blank', 'white', 'doang', 'right', 'open', 'complain', 'complaint ', the' solution ',' disappointed ',' response ',' slow ',' really ']")</f>
        <v>['', 'down', 'star', 'Yesterday', 'the application', 'problematic', 'blank', 'white', 'doang', 'right', 'open', 'complain', 'complaint ', the' solution ',' disappointed ',' response ',' slow ',' really ']</v>
      </c>
      <c r="D17554" s="3">
        <v>1.0</v>
      </c>
    </row>
    <row r="17555" ht="15.75" customHeight="1">
      <c r="A17555" s="1">
        <v>18657.0</v>
      </c>
      <c r="B17555" s="3" t="s">
        <v>16639</v>
      </c>
      <c r="C17555" s="3" t="str">
        <f>IFERROR(__xludf.DUMMYFUNCTION("GOOGLETRANSLATE(B17555,""id"",""en"")"),"['Easy', 'Sahah', 'quota', 'internet', 'pulses', '']")</f>
        <v>['Easy', 'Sahah', 'quota', 'internet', 'pulses', '']</v>
      </c>
      <c r="D17555" s="3">
        <v>4.0</v>
      </c>
    </row>
    <row r="17556" ht="15.75" customHeight="1">
      <c r="A17556" s="1">
        <v>18658.0</v>
      </c>
      <c r="B17556" s="3" t="s">
        <v>16640</v>
      </c>
      <c r="C17556" s="3" t="str">
        <f>IFERROR(__xludf.DUMMYFUNCTION("GOOGLETRANSLATE(B17556,""id"",""en"")"),"['Telkomsel', 'Leet', 'Ngilak', 'oath', 'buy', 'Telkomsel', 'Blood']")</f>
        <v>['Telkomsel', 'Leet', 'Ngilak', 'oath', 'buy', 'Telkomsel', 'Blood']</v>
      </c>
      <c r="D17556" s="3">
        <v>1.0</v>
      </c>
    </row>
    <row r="17557" ht="15.75" customHeight="1">
      <c r="A17557" s="1">
        <v>18659.0</v>
      </c>
      <c r="B17557" s="3" t="s">
        <v>16641</v>
      </c>
      <c r="C17557" s="3" t="str">
        <f>IFERROR(__xludf.DUMMYFUNCTION("GOOGLETRANSLATE(B17557,""id"",""en"")"),"['Network', 'travah', 'Telkomsel', 'regret', 'bnget', 'use', 'expensive', 'network', 'stable']")</f>
        <v>['Network', 'travah', 'Telkomsel', 'regret', 'bnget', 'use', 'expensive', 'network', 'stable']</v>
      </c>
      <c r="D17557" s="3">
        <v>1.0</v>
      </c>
    </row>
    <row r="17558" ht="15.75" customHeight="1">
      <c r="A17558" s="1">
        <v>18660.0</v>
      </c>
      <c r="B17558" s="3" t="s">
        <v>16642</v>
      </c>
      <c r="C17558" s="3" t="str">
        <f>IFERROR(__xludf.DUMMYFUNCTION("GOOGLETRANSLATE(B17558,""id"",""en"")"),"['Fix', 'network', 'price', 'package', 'expensive', 'network', 'slow', 'provider', 'respond', 'province', 'bengkulu', 'kelurahan', ' earth ',' ayu ',' fix ',' star ']")</f>
        <v>['Fix', 'network', 'price', 'package', 'expensive', 'network', 'slow', 'provider', 'respond', 'province', 'bengkulu', 'kelurahan', ' earth ',' ayu ',' fix ',' star ']</v>
      </c>
      <c r="D17558" s="3">
        <v>1.0</v>
      </c>
    </row>
    <row r="17559" ht="15.75" customHeight="1">
      <c r="A17559" s="1">
        <v>18661.0</v>
      </c>
      <c r="B17559" s="3" t="s">
        <v>16643</v>
      </c>
      <c r="C17559" s="3" t="str">
        <f>IFERROR(__xludf.DUMMYFUNCTION("GOOGLETRANSLATE(B17559,""id"",""en"")"),"['Telkomsel', 'Network', 'Bad', 'price', 'Paketan', 'MAYAL', 'BANGUNAN', 'Signal', 'Network', 'Worth', 'Sometimes',' pulses', ' Reduced ',' transaction ',' Kekeake ',' anything ']")</f>
        <v>['Telkomsel', 'Network', 'Bad', 'price', 'Paketan', 'MAYAL', 'BANGUNAN', 'Signal', 'Network', 'Worth', 'Sometimes',' pulses', ' Reduced ',' transaction ',' Kekeake ',' anything ']</v>
      </c>
      <c r="D17559" s="3">
        <v>1.0</v>
      </c>
    </row>
    <row r="17560" ht="15.75" customHeight="1">
      <c r="A17560" s="1">
        <v>18662.0</v>
      </c>
      <c r="B17560" s="3" t="s">
        <v>16644</v>
      </c>
      <c r="C17560" s="3" t="str">
        <f>IFERROR(__xludf.DUMMYFUNCTION("GOOGLETRANSLATE(B17560,""id"",""en"")"),"['Network', 'Kayak', 'Basic', 'Sea', 'Leet', 'City']")</f>
        <v>['Network', 'Kayak', 'Basic', 'Sea', 'Leet', 'City']</v>
      </c>
      <c r="D17560" s="3">
        <v>1.0</v>
      </c>
    </row>
    <row r="17561" ht="15.75" customHeight="1">
      <c r="A17561" s="1">
        <v>18663.0</v>
      </c>
      <c r="B17561" s="3" t="s">
        <v>16645</v>
      </c>
      <c r="C17561" s="3" t="str">
        <f>IFERROR(__xludf.DUMMYFUNCTION("GOOGLETRANSLATE(B17561,""id"",""en"")"),"['happy', 'use', 'Telkomsel', 'signal']")</f>
        <v>['happy', 'use', 'Telkomsel', 'signal']</v>
      </c>
      <c r="D17561" s="3">
        <v>5.0</v>
      </c>
    </row>
    <row r="17562" ht="15.75" customHeight="1">
      <c r="A17562" s="1">
        <v>18664.0</v>
      </c>
      <c r="B17562" s="3" t="s">
        <v>16646</v>
      </c>
      <c r="C17562" s="3" t="str">
        <f>IFERROR(__xludf.DUMMYFUNCTION("GOOGLETRANSLATE(B17562,""id"",""en"")"),"['Knp', 'Application', 'Bug', 'Maketin']")</f>
        <v>['Knp', 'Application', 'Bug', 'Maketin']</v>
      </c>
      <c r="D17562" s="3">
        <v>2.0</v>
      </c>
    </row>
    <row r="17563" ht="15.75" customHeight="1">
      <c r="A17563" s="1">
        <v>18665.0</v>
      </c>
      <c r="B17563" s="3" t="s">
        <v>16647</v>
      </c>
      <c r="C17563" s="3" t="str">
        <f>IFERROR(__xludf.DUMMYFUNCTION("GOOGLETRANSLATE(B17563,""id"",""en"")"),"['network', 'okay', 'legitimate', 'legitimate', 'love', 'quota', 'mubajir', 'ngepain', 'hrus', 'ksih', ""]")</f>
        <v>['network', 'okay', 'legitimate', 'legitimate', 'love', 'quota', 'mubajir', 'ngepain', 'hrus', 'ksih', "]</v>
      </c>
      <c r="D17563" s="3">
        <v>5.0</v>
      </c>
    </row>
    <row r="17564" ht="15.75" customHeight="1">
      <c r="A17564" s="1">
        <v>18666.0</v>
      </c>
      <c r="B17564" s="3" t="s">
        <v>16648</v>
      </c>
      <c r="C17564" s="3" t="str">
        <f>IFERROR(__xludf.DUMMYFUNCTION("GOOGLETRANSLATE(B17564,""id"",""en"")"),"['slow', 'pulse', 'I', 'Abis', 'Litu', 'sympathy', 'disappointing', '']")</f>
        <v>['slow', 'pulse', 'I', 'Abis', 'Litu', 'sympathy', 'disappointing', '']</v>
      </c>
      <c r="D17564" s="3">
        <v>1.0</v>
      </c>
    </row>
    <row r="17565" ht="15.75" customHeight="1">
      <c r="A17565" s="1">
        <v>18667.0</v>
      </c>
      <c r="B17565" s="3" t="s">
        <v>16649</v>
      </c>
      <c r="C17565" s="3" t="str">
        <f>IFERROR(__xludf.DUMMYFUNCTION("GOOGLETRANSLATE(B17565,""id"",""en"")"),"['KNPA', 'APK', 'open', 'yahh', 'just', 'White', 'Screen', 'Benerin', 'belli', 'package', 'kouta', 'run out', ' already ',' content ',' pulse ']")</f>
        <v>['KNPA', 'APK', 'open', 'yahh', 'just', 'White', 'Screen', 'Benerin', 'belli', 'package', 'kouta', 'run out', ' already ',' content ',' pulse ']</v>
      </c>
      <c r="D17565" s="3">
        <v>5.0</v>
      </c>
    </row>
    <row r="17566" ht="15.75" customHeight="1">
      <c r="A17566" s="1">
        <v>18668.0</v>
      </c>
      <c r="B17566" s="3" t="s">
        <v>16650</v>
      </c>
      <c r="C17566" s="3" t="str">
        <f>IFERROR(__xludf.DUMMYFUNCTION("GOOGLETRANSLATE(B17566,""id"",""en"")"),"['Update', 'Open', '']")</f>
        <v>['Update', 'Open', '']</v>
      </c>
      <c r="D17566" s="3">
        <v>2.0</v>
      </c>
    </row>
    <row r="17567" ht="15.75" customHeight="1">
      <c r="A17567" s="1">
        <v>18669.0</v>
      </c>
      <c r="B17567" s="3" t="s">
        <v>16651</v>
      </c>
      <c r="C17567" s="3" t="str">
        <f>IFERROR(__xludf.DUMMYFUNCTION("GOOGLETRANSLATE(B17567,""id"",""en"")"),"['updated', 'error', 'blank', 'lagging', 'signal', 'lose', 'mysf']")</f>
        <v>['updated', 'error', 'blank', 'lagging', 'signal', 'lose', 'mysf']</v>
      </c>
      <c r="D17567" s="3">
        <v>2.0</v>
      </c>
    </row>
    <row r="17568" ht="15.75" customHeight="1">
      <c r="A17568" s="1">
        <v>18670.0</v>
      </c>
      <c r="B17568" s="3" t="s">
        <v>16652</v>
      </c>
      <c r="C17568" s="3" t="str">
        <f>IFERROR(__xludf.DUMMYFUNCTION("GOOGLETRANSLATE(B17568,""id"",""en"")"),"['updated', 'no', 'opened', 'Severe', 'really', 'Sueee', '']")</f>
        <v>['updated', 'no', 'opened', 'Severe', 'really', 'Sueee', '']</v>
      </c>
      <c r="D17568" s="3">
        <v>1.0</v>
      </c>
    </row>
    <row r="17569" ht="15.75" customHeight="1">
      <c r="A17569" s="1">
        <v>18671.0</v>
      </c>
      <c r="B17569" s="3" t="s">
        <v>16653</v>
      </c>
      <c r="C17569" s="3" t="str">
        <f>IFERROR(__xludf.DUMMYFUNCTION("GOOGLETRANSLATE(B17569,""id"",""en"")"),"['Out', 'update', 'until', 'Install', 'reset', 'right', 'open', 'just', 'blank', 'white', 'do "",' please ',' Fix ',' mkshh ',' ']")</f>
        <v>['Out', 'update', 'until', 'Install', 'reset', 'right', 'open', 'just', 'blank', 'white', 'do ",' please ',' Fix ',' mkshh ',' ']</v>
      </c>
      <c r="D17569" s="3">
        <v>1.0</v>
      </c>
    </row>
    <row r="17570" ht="15.75" customHeight="1">
      <c r="A17570" s="1">
        <v>18672.0</v>
      </c>
      <c r="B17570" s="3" t="s">
        <v>16654</v>
      </c>
      <c r="C17570" s="3" t="str">
        <f>IFERROR(__xludf.DUMMYFUNCTION("GOOGLETRANSLATE(B17570,""id"",""en"")"),"['like', 'use', 'application', 'Telkomsel', 'Karna', 'easy']")</f>
        <v>['like', 'use', 'application', 'Telkomsel', 'Karna', 'easy']</v>
      </c>
      <c r="D17570" s="3">
        <v>3.0</v>
      </c>
    </row>
    <row r="17571" ht="15.75" customHeight="1">
      <c r="A17571" s="1">
        <v>18673.0</v>
      </c>
      <c r="B17571" s="3" t="s">
        <v>16655</v>
      </c>
      <c r="C17571" s="3" t="str">
        <f>IFERROR(__xludf.DUMMYFUNCTION("GOOGLETRANSLATE(B17571,""id"",""en"")"),"['Price', 'Price']")</f>
        <v>['Price', 'Price']</v>
      </c>
      <c r="D17571" s="3">
        <v>1.0</v>
      </c>
    </row>
    <row r="17572" ht="15.75" customHeight="1">
      <c r="A17572" s="1">
        <v>18674.0</v>
      </c>
      <c r="B17572" s="3" t="s">
        <v>16656</v>
      </c>
      <c r="C17572" s="3" t="str">
        <f>IFERROR(__xludf.DUMMYFUNCTION("GOOGLETRANSLATE(B17572,""id"",""en"")"),"['Network', 'Telkomsel', 'disappointing', '']")</f>
        <v>['Network', 'Telkomsel', 'disappointing', '']</v>
      </c>
      <c r="D17572" s="3">
        <v>1.0</v>
      </c>
    </row>
    <row r="17573" ht="15.75" customHeight="1">
      <c r="A17573" s="1">
        <v>18675.0</v>
      </c>
      <c r="B17573" s="3" t="s">
        <v>1152</v>
      </c>
      <c r="C17573" s="3" t="str">
        <f>IFERROR(__xludf.DUMMYFUNCTION("GOOGLETRANSLATE(B17573,""id"",""en"")"),"['memalankn']")</f>
        <v>['memalankn']</v>
      </c>
      <c r="D17573" s="3">
        <v>5.0</v>
      </c>
    </row>
    <row r="17574" ht="15.75" customHeight="1">
      <c r="A17574" s="1">
        <v>18676.0</v>
      </c>
      <c r="B17574" s="3" t="s">
        <v>16657</v>
      </c>
      <c r="C17574" s="3" t="str">
        <f>IFERROR(__xludf.DUMMYFUNCTION("GOOGLETRANSLATE(B17574,""id"",""en"")"),"['update', 'the latest', 'good', 'bad', 'application', 'open', 'crash', 'like', ""]")</f>
        <v>['update', 'the latest', 'good', 'bad', 'application', 'open', 'crash', 'like', "]</v>
      </c>
      <c r="D17574" s="3">
        <v>1.0</v>
      </c>
    </row>
    <row r="17575" ht="15.75" customHeight="1">
      <c r="A17575" s="1">
        <v>18677.0</v>
      </c>
      <c r="B17575" s="3" t="s">
        <v>16658</v>
      </c>
      <c r="C17575" s="3" t="str">
        <f>IFERROR(__xludf.DUMMYFUNCTION("GOOGLETRANSLATE(B17575,""id"",""en"")"),"['Network', 'bodies', 'disorder', 'Mending', 'Move', 'Site']")</f>
        <v>['Network', 'bodies', 'disorder', 'Mending', 'Move', 'Site']</v>
      </c>
      <c r="D17575" s="3">
        <v>1.0</v>
      </c>
    </row>
    <row r="17576" ht="15.75" customHeight="1">
      <c r="A17576" s="1">
        <v>18679.0</v>
      </c>
      <c r="B17576" s="3" t="s">
        <v>16659</v>
      </c>
      <c r="C17576" s="3" t="str">
        <f>IFERROR(__xludf.DUMMYFUNCTION("GOOGLETRANSLATE(B17576,""id"",""en"")"),"['sinya', 'ugly', 'sik']")</f>
        <v>['sinya', 'ugly', 'sik']</v>
      </c>
      <c r="D17576" s="3">
        <v>1.0</v>
      </c>
    </row>
    <row r="17577" ht="15.75" customHeight="1">
      <c r="A17577" s="1">
        <v>18680.0</v>
      </c>
      <c r="B17577" s="3" t="s">
        <v>16660</v>
      </c>
      <c r="C17577" s="3" t="str">
        <f>IFERROR(__xludf.DUMMYFUNCTION("GOOGLETRANSLATE(B17577,""id"",""en"")"),"['Telkomsel', 'thank', 'love', 'program', 'product', 'interesting', 'available', 'APP', '']")</f>
        <v>['Telkomsel', 'thank', 'love', 'program', 'product', 'interesting', 'available', 'APP', '']</v>
      </c>
      <c r="D17577" s="3">
        <v>3.0</v>
      </c>
    </row>
    <row r="17578" ht="15.75" customHeight="1">
      <c r="A17578" s="1">
        <v>18682.0</v>
      </c>
      <c r="B17578" s="3" t="s">
        <v>16661</v>
      </c>
      <c r="C17578" s="3" t="str">
        <f>IFERROR(__xludf.DUMMYFUNCTION("GOOGLETRANSLATE(B17578,""id"",""en"")"),"['Baguss', 'The application']")</f>
        <v>['Baguss', 'The application']</v>
      </c>
      <c r="D17578" s="3">
        <v>3.0</v>
      </c>
    </row>
    <row r="17579" ht="15.75" customHeight="1">
      <c r="A17579" s="1">
        <v>18683.0</v>
      </c>
      <c r="B17579" s="3" t="s">
        <v>16662</v>
      </c>
      <c r="C17579" s="3" t="str">
        <f>IFERROR(__xludf.DUMMYFUNCTION("GOOGLETRANSLATE(B17579,""id"",""en"")"),"['like', 'really', 'program', 'telkomselpoin']")</f>
        <v>['like', 'really', 'program', 'telkomselpoin']</v>
      </c>
      <c r="D17579" s="3">
        <v>5.0</v>
      </c>
    </row>
    <row r="17580" ht="15.75" customHeight="1">
      <c r="A17580" s="1">
        <v>18684.0</v>
      </c>
      <c r="B17580" s="3" t="s">
        <v>16663</v>
      </c>
      <c r="C17580" s="3" t="str">
        <f>IFERROR(__xludf.DUMMYFUNCTION("GOOGLETRANSLATE(B17580,""id"",""en"")"),"['Steady', 'Service', 'Telkomsel', 'Disappointing', 'Continue', 'Hopefully', 'Jaya', 'On the Breast', '']")</f>
        <v>['Steady', 'Service', 'Telkomsel', 'Disappointing', 'Continue', 'Hopefully', 'Jaya', 'On the Breast', '']</v>
      </c>
      <c r="D17580" s="3">
        <v>5.0</v>
      </c>
    </row>
    <row r="17581" ht="15.75" customHeight="1">
      <c r="A17581" s="1">
        <v>18685.0</v>
      </c>
      <c r="B17581" s="3" t="s">
        <v>16664</v>
      </c>
      <c r="C17581" s="3" t="str">
        <f>IFERROR(__xludf.DUMMYFUNCTION("GOOGLETRANSLATE(B17581,""id"",""en"")"),"['Perfect', 'application', 'Telkomsel', 'already', 'said', 'Bagus', 'really', '']")</f>
        <v>['Perfect', 'application', 'Telkomsel', 'already', 'said', 'Bagus', 'really', '']</v>
      </c>
      <c r="D17581" s="3">
        <v>5.0</v>
      </c>
    </row>
    <row r="17582" ht="15.75" customHeight="1">
      <c r="A17582" s="1">
        <v>18686.0</v>
      </c>
      <c r="B17582" s="3" t="s">
        <v>16665</v>
      </c>
      <c r="C17582" s="3" t="str">
        <f>IFERROR(__xludf.DUMMYFUNCTION("GOOGLETRANSLATE(B17582,""id"",""en"")"),"['signal', 'please', 'repaired', 'area', 'village']")</f>
        <v>['signal', 'please', 'repaired', 'area', 'village']</v>
      </c>
      <c r="D17582" s="3">
        <v>4.0</v>
      </c>
    </row>
    <row r="17583" ht="15.75" customHeight="1">
      <c r="A17583" s="1">
        <v>18687.0</v>
      </c>
      <c r="B17583" s="3" t="s">
        <v>16666</v>
      </c>
      <c r="C17583" s="3" t="str">
        <f>IFERROR(__xludf.DUMMYFUNCTION("GOOGLETRANSLATE(B17583,""id"",""en"")"),"['The screen', 'White', '']")</f>
        <v>['The screen', 'White', '']</v>
      </c>
      <c r="D17583" s="3">
        <v>1.0</v>
      </c>
    </row>
    <row r="17584" ht="15.75" customHeight="1">
      <c r="A17584" s="1">
        <v>18688.0</v>
      </c>
      <c r="B17584" s="3" t="s">
        <v>16667</v>
      </c>
      <c r="C17584" s="3" t="str">
        <f>IFERROR(__xludf.DUMMYFUNCTION("GOOGLETRANSLATE(B17584,""id"",""en"")"),"['special', 'island', 'Java', 'in the area', 'good', 'Sometimes',' bad ',' provider ',' signal ',' Telkomsel ',' bad ',' repair ',' ']")</f>
        <v>['special', 'island', 'Java', 'in the area', 'good', 'Sometimes',' bad ',' provider ',' signal ',' Telkomsel ',' bad ',' repair ',' ']</v>
      </c>
      <c r="D17584" s="3">
        <v>4.0</v>
      </c>
    </row>
    <row r="17585" ht="15.75" customHeight="1">
      <c r="A17585" s="1">
        <v>18689.0</v>
      </c>
      <c r="B17585" s="3" t="s">
        <v>16668</v>
      </c>
      <c r="C17585" s="3" t="str">
        <f>IFERROR(__xludf.DUMMYFUNCTION("GOOGLETRANSLATE(B17585,""id"",""en"")"),"['expensive', 'mahhal', 'package', 'nyah']")</f>
        <v>['expensive', 'mahhal', 'package', 'nyah']</v>
      </c>
      <c r="D17585" s="3">
        <v>5.0</v>
      </c>
    </row>
    <row r="17586" ht="15.75" customHeight="1">
      <c r="A17586" s="1">
        <v>18690.0</v>
      </c>
      <c r="B17586" s="3" t="s">
        <v>16669</v>
      </c>
      <c r="C17586" s="3" t="str">
        <f>IFERROR(__xludf.DUMMYFUNCTION("GOOGLETRANSLATE(B17586,""id"",""en"")"),"['Telkomsel', 'package', 'expensive', 'network', 'ugly', 'really', 'severe', 'really']")</f>
        <v>['Telkomsel', 'package', 'expensive', 'network', 'ugly', 'really', 'severe', 'really']</v>
      </c>
      <c r="D17586" s="3">
        <v>3.0</v>
      </c>
    </row>
    <row r="17587" ht="15.75" customHeight="1">
      <c r="A17587" s="1">
        <v>18691.0</v>
      </c>
      <c r="B17587" s="3" t="s">
        <v>16670</v>
      </c>
      <c r="C17587" s="3" t="str">
        <f>IFERROR(__xludf.DUMMYFUNCTION("GOOGLETRANSLATE(B17587,""id"",""en"")"),"['Severe', 'opened', 'The application', '']")</f>
        <v>['Severe', 'opened', 'The application', '']</v>
      </c>
      <c r="D17587" s="3">
        <v>1.0</v>
      </c>
    </row>
    <row r="17588" ht="15.75" customHeight="1">
      <c r="A17588" s="1">
        <v>18692.0</v>
      </c>
      <c r="B17588" s="3" t="s">
        <v>16671</v>
      </c>
      <c r="C17588" s="3" t="str">
        <f>IFERROR(__xludf.DUMMYFUNCTION("GOOGLETRANSLATE(B17588,""id"",""en"")"),"['Network', 'BURIK', 'PAKEK', 'Telkomsel']")</f>
        <v>['Network', 'BURIK', 'PAKEK', 'Telkomsel']</v>
      </c>
      <c r="D17588" s="3">
        <v>1.0</v>
      </c>
    </row>
    <row r="17589" ht="15.75" customHeight="1">
      <c r="A17589" s="1">
        <v>18693.0</v>
      </c>
      <c r="B17589" s="3" t="s">
        <v>16672</v>
      </c>
      <c r="C17589" s="3" t="str">
        <f>IFERROR(__xludf.DUMMYFUNCTION("GOOGLETRANSLATE(B17589,""id"",""en"")"),"['Gymna', 'BLI', 'PKET', 'Telkosmel', 'Posts',' Unlimited ',' Abis', 'Paaket', 'High School', 'Boong', 'Package', 'BLI', ' Expensive ',' ']")</f>
        <v>['Gymna', 'BLI', 'PKET', 'Telkosmel', 'Posts',' Unlimited ',' Abis', 'Paaket', 'High School', 'Boong', 'Package', 'BLI', ' Expensive ',' ']</v>
      </c>
      <c r="D17589" s="3">
        <v>3.0</v>
      </c>
    </row>
    <row r="17590" ht="15.75" customHeight="1">
      <c r="A17590" s="1">
        <v>18694.0</v>
      </c>
      <c r="B17590" s="3" t="s">
        <v>16673</v>
      </c>
      <c r="C17590" s="3" t="str">
        <f>IFERROR(__xludf.DUMMYFUNCTION("GOOGLETRANSLATE(B17590,""id"",""en"")"),"['Bangus', 'signal', 'full']")</f>
        <v>['Bangus', 'signal', 'full']</v>
      </c>
      <c r="D17590" s="3">
        <v>4.0</v>
      </c>
    </row>
    <row r="17591" ht="15.75" customHeight="1">
      <c r="A17591" s="1">
        <v>18695.0</v>
      </c>
      <c r="B17591" s="3" t="s">
        <v>16674</v>
      </c>
      <c r="C17591" s="3" t="str">
        <f>IFERROR(__xludf.DUMMYFUNCTION("GOOGLETRANSLATE(B17591,""id"",""en"")"),"['Meyenat', 'SAGAT', 'Help']")</f>
        <v>['Meyenat', 'SAGAT', 'Help']</v>
      </c>
      <c r="D17591" s="3">
        <v>5.0</v>
      </c>
    </row>
    <row r="17592" ht="15.75" customHeight="1">
      <c r="A17592" s="1">
        <v>18696.0</v>
      </c>
      <c r="B17592" s="3" t="s">
        <v>16675</v>
      </c>
      <c r="C17592" s="3" t="str">
        <f>IFERROR(__xludf.DUMMYFUNCTION("GOOGLETRANSLATE(B17592,""id"",""en"")"),"['Application', 'Effective']")</f>
        <v>['Application', 'Effective']</v>
      </c>
      <c r="D17592" s="3">
        <v>5.0</v>
      </c>
    </row>
    <row r="17593" ht="15.75" customHeight="1">
      <c r="A17593" s="1">
        <v>18697.0</v>
      </c>
      <c r="B17593" s="3" t="s">
        <v>16676</v>
      </c>
      <c r="C17593" s="3" t="str">
        <f>IFERROR(__xludf.DUMMYFUNCTION("GOOGLETRANSLATE(B17593,""id"",""en"")"),"['The network', 'consistent', 'invasion', 'lines', ""]")</f>
        <v>['The network', 'consistent', 'invasion', 'lines', "]</v>
      </c>
      <c r="D17593" s="3">
        <v>1.0</v>
      </c>
    </row>
    <row r="17594" ht="15.75" customHeight="1">
      <c r="A17594" s="1">
        <v>18698.0</v>
      </c>
      <c r="B17594" s="3" t="s">
        <v>16677</v>
      </c>
      <c r="C17594" s="3" t="str">
        <f>IFERROR(__xludf.DUMMYFUNCTION("GOOGLETRANSLATE(B17594,""id"",""en"")"),"['Please', 'Sorry', 'Love', 'Star', 'Ngelag', 'Main', 'Game', 'MLBB']")</f>
        <v>['Please', 'Sorry', 'Love', 'Star', 'Ngelag', 'Main', 'Game', 'MLBB']</v>
      </c>
      <c r="D17594" s="3">
        <v>1.0</v>
      </c>
    </row>
    <row r="17595" ht="15.75" customHeight="1">
      <c r="A17595" s="1">
        <v>18699.0</v>
      </c>
      <c r="B17595" s="3" t="s">
        <v>16678</v>
      </c>
      <c r="C17595" s="3" t="str">
        <f>IFERROR(__xludf.DUMMYFUNCTION("GOOGLETRANSLATE(B17595,""id"",""en"")"),"['Ngeblang', 'White', 'for', 'Close', 'Fix', '']")</f>
        <v>['Ngeblang', 'White', 'for', 'Close', 'Fix', '']</v>
      </c>
      <c r="D17595" s="3">
        <v>1.0</v>
      </c>
    </row>
    <row r="17596" ht="15.75" customHeight="1">
      <c r="A17596" s="1">
        <v>18700.0</v>
      </c>
      <c r="B17596" s="3" t="s">
        <v>16679</v>
      </c>
      <c r="C17596" s="3" t="str">
        <f>IFERROR(__xludf.DUMMYFUNCTION("GOOGLETRANSLATE(B17596,""id"",""en"")"),"['Update', 'Direct', 'Error', 'Waduhh', 'Telkomsel']")</f>
        <v>['Update', 'Direct', 'Error', 'Waduhh', 'Telkomsel']</v>
      </c>
      <c r="D17596" s="3">
        <v>1.0</v>
      </c>
    </row>
    <row r="17597" ht="15.75" customHeight="1">
      <c r="A17597" s="1">
        <v>18701.0</v>
      </c>
      <c r="B17597" s="3" t="s">
        <v>16680</v>
      </c>
      <c r="C17597" s="3" t="str">
        <f>IFERROR(__xludf.DUMMYFUNCTION("GOOGLETRANSLATE(B17597,""id"",""en"")"),"['The application', 'opened', 'buy', 'package']")</f>
        <v>['The application', 'opened', 'buy', 'package']</v>
      </c>
      <c r="D17597" s="3">
        <v>5.0</v>
      </c>
    </row>
    <row r="17598" ht="15.75" customHeight="1">
      <c r="A17598" s="1">
        <v>18702.0</v>
      </c>
      <c r="B17598" s="3" t="s">
        <v>16681</v>
      </c>
      <c r="C17598" s="3" t="str">
        <f>IFERROR(__xludf.DUMMYFUNCTION("GOOGLETRANSLATE(B17598,""id"",""en"")"),"['jammed', 'yaa', 'screen', 'white', 'doang']")</f>
        <v>['jammed', 'yaa', 'screen', 'white', 'doang']</v>
      </c>
      <c r="D17598" s="3">
        <v>1.0</v>
      </c>
    </row>
    <row r="17599" ht="15.75" customHeight="1">
      <c r="A17599" s="1">
        <v>18703.0</v>
      </c>
      <c r="B17599" s="3" t="s">
        <v>16682</v>
      </c>
      <c r="C17599" s="3" t="str">
        <f>IFERROR(__xludf.DUMMYFUNCTION("GOOGLETRANSLATE(B17599,""id"",""en"")"),"['signal', 'good', 'really', 'choice', 'quota', '']")</f>
        <v>['signal', 'good', 'really', 'choice', 'quota', '']</v>
      </c>
      <c r="D17599" s="3">
        <v>5.0</v>
      </c>
    </row>
    <row r="17600" ht="15.75" customHeight="1">
      <c r="A17600" s="1">
        <v>18704.0</v>
      </c>
      <c r="B17600" s="3" t="s">
        <v>16683</v>
      </c>
      <c r="C17600" s="3" t="str">
        <f>IFERROR(__xludf.DUMMYFUNCTION("GOOGLETRANSLATE(B17600,""id"",""en"")"),"['Application', 'Recommended', 'right', 'update', 'difficult', 'open']")</f>
        <v>['Application', 'Recommended', 'right', 'update', 'difficult', 'open']</v>
      </c>
      <c r="D17600" s="3">
        <v>1.0</v>
      </c>
    </row>
    <row r="17601" ht="15.75" customHeight="1">
      <c r="A17601" s="1">
        <v>18705.0</v>
      </c>
      <c r="B17601" s="3" t="s">
        <v>16684</v>
      </c>
      <c r="C17601" s="3" t="str">
        <f>IFERROR(__xludf.DUMMYFUNCTION("GOOGLETRANSLATE(B17601,""id"",""en"")"),"['No', 'enter', 'already', 'update']")</f>
        <v>['No', 'enter', 'already', 'update']</v>
      </c>
      <c r="D17601" s="3">
        <v>5.0</v>
      </c>
    </row>
    <row r="17602" ht="15.75" customHeight="1">
      <c r="A17602" s="1">
        <v>18706.0</v>
      </c>
      <c r="B17602" s="3" t="s">
        <v>16685</v>
      </c>
      <c r="C17602" s="3" t="str">
        <f>IFERROR(__xludf.DUMMYFUNCTION("GOOGLETRANSLATE(B17602,""id"",""en"")"),"['Comfortable', 'use', 'Telkimsel']")</f>
        <v>['Comfortable', 'use', 'Telkimsel']</v>
      </c>
      <c r="D17602" s="3">
        <v>5.0</v>
      </c>
    </row>
    <row r="17603" ht="15.75" customHeight="1">
      <c r="A17603" s="1">
        <v>18707.0</v>
      </c>
      <c r="B17603" s="3" t="s">
        <v>16686</v>
      </c>
      <c r="C17603" s="3" t="str">
        <f>IFERROR(__xludf.DUMMYFUNCTION("GOOGLETRANSLATE(B17603,""id"",""en"")"),"['Logout', 'automatic', 'application', 'monitor', 'number', 'different', 'complicated', 'really', 'verification', 'number', 'practical', 'Please', ' Assisted ',' Search ',' solution ',' make it easy ',' user ',' ']")</f>
        <v>['Logout', 'automatic', 'application', 'monitor', 'number', 'different', 'complicated', 'really', 'verification', 'number', 'practical', 'Please', ' Assisted ',' Search ',' solution ',' make it easy ',' user ',' ']</v>
      </c>
      <c r="D17603" s="3">
        <v>1.0</v>
      </c>
    </row>
    <row r="17604" ht="15.75" customHeight="1">
      <c r="A17604" s="1">
        <v>18708.0</v>
      </c>
      <c r="B17604" s="3" t="s">
        <v>16687</v>
      </c>
      <c r="C17604" s="3" t="str">
        <f>IFERROR(__xludf.DUMMYFUNCTION("GOOGLETRANSLATE(B17604,""id"",""en"")"),"['', 'Telkomsel', 'go', 'how', ""]")</f>
        <v>['', 'Telkomsel', 'go', 'how', "]</v>
      </c>
      <c r="D17604" s="3">
        <v>3.0</v>
      </c>
    </row>
    <row r="17605" ht="15.75" customHeight="1">
      <c r="A17605" s="1">
        <v>18709.0</v>
      </c>
      <c r="B17605" s="3" t="s">
        <v>16688</v>
      </c>
      <c r="C17605" s="3" t="str">
        <f>IFERROR(__xludf.DUMMYFUNCTION("GOOGLETRANSLATE(B17605,""id"",""en"")"),"['Telkomsel', 'Network', 'Bad', 'Fix', 'Connection', 'Internet', 'Play', 'Game', 'Online', 'Severe', 'Network']")</f>
        <v>['Telkomsel', 'Network', 'Bad', 'Fix', 'Connection', 'Internet', 'Play', 'Game', 'Online', 'Severe', 'Network']</v>
      </c>
      <c r="D17605" s="3">
        <v>2.0</v>
      </c>
    </row>
    <row r="17606" ht="15.75" customHeight="1">
      <c r="A17606" s="1">
        <v>18710.0</v>
      </c>
      <c r="B17606" s="3" t="s">
        <v>16689</v>
      </c>
      <c r="C17606" s="3" t="str">
        <f>IFERROR(__xludf.DUMMYFUNCTION("GOOGLETRANSLATE(B17606,""id"",""en"")"),"['Full', 'Points', 'already', 'exchanged', 'pulse', 'quota', 'throng', ""]")</f>
        <v>['Full', 'Points', 'already', 'exchanged', 'pulse', 'quota', 'throng', "]</v>
      </c>
      <c r="D17606" s="3">
        <v>4.0</v>
      </c>
    </row>
    <row r="17607" ht="15.75" customHeight="1">
      <c r="A17607" s="1">
        <v>18711.0</v>
      </c>
      <c r="B17607" s="3" t="s">
        <v>16690</v>
      </c>
      <c r="C17607" s="3" t="str">
        <f>IFERROR(__xludf.DUMMYFUNCTION("GOOGLETRANSLATE(B17607,""id"",""en"")"),"['easy', 'mantul', 'pokoe']")</f>
        <v>['easy', 'mantul', 'pokoe']</v>
      </c>
      <c r="D17607" s="3">
        <v>5.0</v>
      </c>
    </row>
    <row r="17608" ht="15.75" customHeight="1">
      <c r="A17608" s="1">
        <v>18712.0</v>
      </c>
      <c r="B17608" s="3" t="s">
        <v>16691</v>
      </c>
      <c r="C17608" s="3" t="str">
        <f>IFERROR(__xludf.DUMMYFUNCTION("GOOGLETRANSLATE(B17608,""id"",""en"")"),"['Disappointed', 'PEROMO', 'PAS', 'DAPTAR', 'Peroomo', 'Missing', 'Moving', 'Indosat', 'Indosat', ""]")</f>
        <v>['Disappointed', 'PEROMO', 'PAS', 'DAPTAR', 'Peroomo', 'Missing', 'Moving', 'Indosat', 'Indosat', "]</v>
      </c>
      <c r="D17608" s="3">
        <v>1.0</v>
      </c>
    </row>
    <row r="17609" ht="15.75" customHeight="1">
      <c r="A17609" s="1">
        <v>18713.0</v>
      </c>
      <c r="B17609" s="3" t="s">
        <v>16692</v>
      </c>
      <c r="C17609" s="3" t="str">
        <f>IFERROR(__xludf.DUMMYFUNCTION("GOOGLETRANSLATE(B17609,""id"",""en"")"),"['Network', 'Telkomsel', 'LAG', 'lag', 'broken', 'already', 'that's',' may ',' Lemottt ',' stable ',' network ',' slow ',' Pulan ',' price ',' package ',' expensive ',' tolon ',' Telkomsel ',' fix ']")</f>
        <v>['Network', 'Telkomsel', 'LAG', 'lag', 'broken', 'already', 'that's',' may ',' Lemottt ',' stable ',' network ',' slow ',' Pulan ',' price ',' package ',' expensive ',' tolon ',' Telkomsel ',' fix ']</v>
      </c>
      <c r="D17609" s="3">
        <v>1.0</v>
      </c>
    </row>
    <row r="17610" ht="15.75" customHeight="1">
      <c r="A17610" s="1">
        <v>18714.0</v>
      </c>
      <c r="B17610" s="3" t="s">
        <v>16693</v>
      </c>
      <c r="C17610" s="3" t="str">
        <f>IFERROR(__xludf.DUMMYFUNCTION("GOOGLETRANSLATE(B17610,""id"",""en"")"),"['Network', 'ugly', 'signal', 'full', 'customer', 'service', 'slow', 'handle', 'reasons',' disorder ',' repair ',' trus', ' reason', '']")</f>
        <v>['Network', 'ugly', 'signal', 'full', 'customer', 'service', 'slow', 'handle', 'reasons',' disorder ',' repair ',' trus', ' reason', '']</v>
      </c>
      <c r="D17610" s="3">
        <v>1.0</v>
      </c>
    </row>
    <row r="17611" ht="15.75" customHeight="1">
      <c r="A17611" s="1">
        <v>18715.0</v>
      </c>
      <c r="B17611" s="3" t="s">
        <v>16694</v>
      </c>
      <c r="C17611" s="3" t="str">
        <f>IFERROR(__xludf.DUMMYFUNCTION("GOOGLETRANSLATE(B17611,""id"",""en"")"),"['Good', 'Good', 'Good']")</f>
        <v>['Good', 'Good', 'Good']</v>
      </c>
      <c r="D17611" s="3">
        <v>5.0</v>
      </c>
    </row>
    <row r="17612" ht="15.75" customHeight="1">
      <c r="A17612" s="1">
        <v>18716.0</v>
      </c>
      <c r="B17612" s="3" t="s">
        <v>16695</v>
      </c>
      <c r="C17612" s="3" t="str">
        <f>IFERROR(__xludf.DUMMYFUNCTION("GOOGLETRANSLATE(B17612,""id"",""en"")"),"['', 'friendly']")</f>
        <v>['', 'friendly']</v>
      </c>
      <c r="D17612" s="3">
        <v>5.0</v>
      </c>
    </row>
    <row r="17613" ht="15.75" customHeight="1">
      <c r="A17613" s="1">
        <v>18717.0</v>
      </c>
      <c r="B17613" s="3" t="s">
        <v>16696</v>
      </c>
      <c r="C17613" s="3" t="str">
        <f>IFERROR(__xludf.DUMMYFUNCTION("GOOGLETRANSLATE(B17613,""id"",""en"")"),"['Open', 'White', 'all', 'hadeuh', 'smpe', 'uninstall', 'pdahal', 'sya', 'need', 'apk', 'udh', 'rich', ' Gnii ',' Whitecase ',' Woyyyyy ',' Gmna ',' Cht ',' CHt ',' SMA ',' Tele ',' Bls', 'Dri', 'Telkomsel', 'Gmna', 'Sihh' ]")</f>
        <v>['Open', 'White', 'all', 'hadeuh', 'smpe', 'uninstall', 'pdahal', 'sya', 'need', 'apk', 'udh', 'rich', ' Gnii ',' Whitecase ',' Woyyyyy ',' Gmna ',' Cht ',' CHt ',' SMA ',' Tele ',' Bls', 'Dri', 'Telkomsel', 'Gmna', 'Sihh' ]</v>
      </c>
      <c r="D17613" s="3">
        <v>1.0</v>
      </c>
    </row>
    <row r="17614" ht="15.75" customHeight="1">
      <c r="A17614" s="1">
        <v>18718.0</v>
      </c>
      <c r="B17614" s="3" t="s">
        <v>16697</v>
      </c>
      <c r="C17614" s="3" t="str">
        <f>IFERROR(__xludf.DUMMYFUNCTION("GOOGLETRANSLATE(B17614,""id"",""en"")"),"['TRMA', 'KSH', 'process', 'fast']")</f>
        <v>['TRMA', 'KSH', 'process', 'fast']</v>
      </c>
      <c r="D17614" s="3">
        <v>4.0</v>
      </c>
    </row>
    <row r="17615" ht="15.75" customHeight="1">
      <c r="A17615" s="1">
        <v>18719.0</v>
      </c>
      <c r="B17615" s="3" t="s">
        <v>16698</v>
      </c>
      <c r="C17615" s="3" t="str">
        <f>IFERROR(__xludf.DUMMYFUNCTION("GOOGLETRANSLATE(B17615,""id"",""en"")"),"['fog', 'Telkomsel', 'White', 'plain', 'writeansanye']")</f>
        <v>['fog', 'Telkomsel', 'White', 'plain', 'writeansanye']</v>
      </c>
      <c r="D17615" s="3">
        <v>1.0</v>
      </c>
    </row>
    <row r="17616" ht="15.75" customHeight="1">
      <c r="A17616" s="1">
        <v>18720.0</v>
      </c>
      <c r="B17616" s="3" t="s">
        <v>16699</v>
      </c>
      <c r="C17616" s="3" t="str">
        <f>IFERROR(__xludf.DUMMYFUNCTION("GOOGLETRANSLATE(B17616,""id"",""en"")"),"['Hadehhhh', 'pulse', 'main', 'UDH', 'She', 'bru', 'dpat', 'sms',' notification ',' pulse ',' package ',' run out ',' Super ',' expensive ',' network ']")</f>
        <v>['Hadehhhh', 'pulse', 'main', 'UDH', 'She', 'bru', 'dpat', 'sms',' notification ',' pulse ',' package ',' run out ',' Super ',' expensive ',' network ']</v>
      </c>
      <c r="D17616" s="3">
        <v>1.0</v>
      </c>
    </row>
    <row r="17617" ht="15.75" customHeight="1">
      <c r="A17617" s="1">
        <v>18721.0</v>
      </c>
      <c r="B17617" s="3" t="s">
        <v>16700</v>
      </c>
      <c r="C17617" s="3" t="str">
        <f>IFERROR(__xludf.DUMMYFUNCTION("GOOGLETRANSLATE(B17617,""id"",""en"")"),"['', 'obviously', 'pig', 'cave', 'buy', 'PSA', 'thousand', 'entry', 'thousandu', 'ngntoddddd', 'sucked', 'money', 'DOANGGG ',' pigiii ']")</f>
        <v>['', 'obviously', 'pig', 'cave', 'buy', 'PSA', 'thousand', 'entry', 'thousandu', 'ngntoddddd', 'sucked', 'money', 'DOANGGG ',' pigiii ']</v>
      </c>
      <c r="D17617" s="3">
        <v>1.0</v>
      </c>
    </row>
    <row r="17618" ht="15.75" customHeight="1">
      <c r="A17618" s="1">
        <v>18723.0</v>
      </c>
      <c r="B17618" s="3" t="s">
        <v>16701</v>
      </c>
      <c r="C17618" s="3" t="str">
        <f>IFERROR(__xludf.DUMMYFUNCTION("GOOGLETRANSLATE(B17618,""id"",""en"")"),"['Transfer', 'pulse', 'piece', 'already', 'normal']")</f>
        <v>['Transfer', 'pulse', 'piece', 'already', 'normal']</v>
      </c>
      <c r="D17618" s="3">
        <v>1.0</v>
      </c>
    </row>
    <row r="17619" ht="15.75" customHeight="1">
      <c r="A17619" s="1">
        <v>18724.0</v>
      </c>
      <c r="B17619" s="3" t="s">
        <v>16702</v>
      </c>
      <c r="C17619" s="3" t="str">
        <f>IFERROR(__xludf.DUMMYFUNCTION("GOOGLETRANSLATE(B17619,""id"",""en"")"),"['', 'Pay', 'Past', 'Naturally', 'Quota', 'Out', 'Tel', 'OPrator']")</f>
        <v>['', 'Pay', 'Past', 'Naturally', 'Quota', 'Out', 'Tel', 'OPrator']</v>
      </c>
      <c r="D17619" s="3">
        <v>3.0</v>
      </c>
    </row>
    <row r="17620" ht="15.75" customHeight="1">
      <c r="A17620" s="1">
        <v>18725.0</v>
      </c>
      <c r="B17620" s="3" t="s">
        <v>16703</v>
      </c>
      <c r="C17620" s="3" t="str">
        <f>IFERROR(__xludf.DUMMYFUNCTION("GOOGLETRANSLATE(B17620,""id"",""en"")"),"['application', 'open', 'smenjak', 'update', 'nga', 'open', 'delete', 'sdah', 'lost', 'combo', 'sakti', 'skarang', ' Application ',' Nga ',' Open ',' ']")</f>
        <v>['application', 'open', 'smenjak', 'update', 'nga', 'open', 'delete', 'sdah', 'lost', 'combo', 'sakti', 'skarang', ' Application ',' Nga ',' Open ',' ']</v>
      </c>
      <c r="D17620" s="3">
        <v>1.0</v>
      </c>
    </row>
    <row r="17621" ht="15.75" customHeight="1">
      <c r="A17621" s="1">
        <v>18726.0</v>
      </c>
      <c r="B17621" s="3" t="s">
        <v>16704</v>
      </c>
      <c r="C17621" s="3" t="str">
        <f>IFERROR(__xludf.DUMMYFUNCTION("GOOGLETRANSLATE(B17621,""id"",""en"")"),"['Update', 'knapa', 'MyTelkomsel', 'Open', '']")</f>
        <v>['Update', 'knapa', 'MyTelkomsel', 'Open', '']</v>
      </c>
      <c r="D17621" s="3">
        <v>5.0</v>
      </c>
    </row>
    <row r="17622" ht="15.75" customHeight="1">
      <c r="A17622" s="1">
        <v>18727.0</v>
      </c>
      <c r="B17622" s="3" t="s">
        <v>16705</v>
      </c>
      <c r="C17622" s="3" t="str">
        <f>IFERROR(__xludf.DUMMYFUNCTION("GOOGLETRANSLATE(B17622,""id"",""en"")"),"['Telkomsel', 'internet', 'Qncur', 'quota', 'expensive', 'severe', 'yes']")</f>
        <v>['Telkomsel', 'internet', 'Qncur', 'quota', 'expensive', 'severe', 'yes']</v>
      </c>
      <c r="D17622" s="3">
        <v>1.0</v>
      </c>
    </row>
    <row r="17623" ht="15.75" customHeight="1">
      <c r="A17623" s="1">
        <v>18728.0</v>
      </c>
      <c r="B17623" s="3" t="s">
        <v>16706</v>
      </c>
      <c r="C17623" s="3" t="str">
        <f>IFERROR(__xludf.DUMMYFUNCTION("GOOGLETRANSLATE(B17623,""id"",""en"")"),"['Provider', 'Ter', 'Worth', 'Expensive', 'Price', 'Quality', 'Sousal', 'Cepet', 'Translucent', 'Mbps', 'Mesh', ""]")</f>
        <v>['Provider', 'Ter', 'Worth', 'Expensive', 'Price', 'Quality', 'Sousal', 'Cepet', 'Translucent', 'Mbps', 'Mesh', "]</v>
      </c>
      <c r="D17623" s="3">
        <v>5.0</v>
      </c>
    </row>
    <row r="17624" ht="15.75" customHeight="1">
      <c r="A17624" s="1">
        <v>18729.0</v>
      </c>
      <c r="B17624" s="3" t="s">
        <v>16707</v>
      </c>
      <c r="C17624" s="3" t="str">
        <f>IFERROR(__xludf.DUMMYFUNCTION("GOOGLETRANSLATE(B17624,""id"",""en"")"),"['quota', 'internet', 'replace', 'card', 'operator', '']")</f>
        <v>['quota', 'internet', 'replace', 'card', 'operator', '']</v>
      </c>
      <c r="D17624" s="3">
        <v>1.0</v>
      </c>
    </row>
    <row r="17625" ht="15.75" customHeight="1">
      <c r="A17625" s="1">
        <v>18730.0</v>
      </c>
      <c r="B17625" s="3" t="s">
        <v>16708</v>
      </c>
      <c r="C17625" s="3" t="str">
        <f>IFERROR(__xludf.DUMMYFUNCTION("GOOGLETRANSLATE(B17625,""id"",""en"")"),"['mantaapp', 'application', 'easy', 'buy', 'pulse', 'buy', 'quota', 'app']")</f>
        <v>['mantaapp', 'application', 'easy', 'buy', 'pulse', 'buy', 'quota', 'app']</v>
      </c>
      <c r="D17625" s="3">
        <v>5.0</v>
      </c>
    </row>
    <row r="17626" ht="15.75" customHeight="1">
      <c r="A17626" s="1">
        <v>18731.0</v>
      </c>
      <c r="B17626" s="3" t="s">
        <v>16709</v>
      </c>
      <c r="C17626" s="3" t="str">
        <f>IFERROR(__xludf.DUMMYFUNCTION("GOOGLETRANSLATE(B17626,""id"",""en"")"),"['Signal', 'Good', 'Telkomsel', 'Knp', 'Decreases', 'Hopefully', 'Enhanced', 'SPT', '']")</f>
        <v>['Signal', 'Good', 'Telkomsel', 'Knp', 'Decreases', 'Hopefully', 'Enhanced', 'SPT', '']</v>
      </c>
      <c r="D17626" s="3">
        <v>5.0</v>
      </c>
    </row>
    <row r="17627" ht="15.75" customHeight="1">
      <c r="A17627" s="1">
        <v>18732.0</v>
      </c>
      <c r="B17627" s="3" t="s">
        <v>16710</v>
      </c>
      <c r="C17627" s="3" t="str">
        <f>IFERROR(__xludf.DUMMYFUNCTION("GOOGLETRANSLATE(B17627,""id"",""en"")"),"['Disappointed', 'really', 'MyTelkomsel', 'just', 'update', 'then', 'application', 'open', 'ngak', 'color', 'white', 'regret', ' Update ',' Please ',' Benerrin ',' Use ',' Disappointed ']")</f>
        <v>['Disappointed', 'really', 'MyTelkomsel', 'just', 'update', 'then', 'application', 'open', 'ngak', 'color', 'white', 'regret', ' Update ',' Please ',' Benerrin ',' Use ',' Disappointed ']</v>
      </c>
      <c r="D17627" s="3">
        <v>1.0</v>
      </c>
    </row>
    <row r="17628" ht="15.75" customHeight="1">
      <c r="A17628" s="1">
        <v>18733.0</v>
      </c>
      <c r="B17628" s="3" t="s">
        <v>16711</v>
      </c>
      <c r="C17628" s="3" t="str">
        <f>IFERROR(__xludf.DUMMYFUNCTION("GOOGLETRANSLATE(B17628,""id"",""en"")"),"['user', 'loyal', 'telkosel', 'like', 'Telkomsel', 'because', 'network', 'good', 'slow']")</f>
        <v>['user', 'loyal', 'telkosel', 'like', 'Telkomsel', 'because', 'network', 'good', 'slow']</v>
      </c>
      <c r="D17628" s="3">
        <v>5.0</v>
      </c>
    </row>
    <row r="17629" ht="15.75" customHeight="1">
      <c r="A17629" s="1">
        <v>18734.0</v>
      </c>
      <c r="B17629" s="3" t="s">
        <v>16712</v>
      </c>
      <c r="C17629" s="3" t="str">
        <f>IFERROR(__xludf.DUMMYFUNCTION("GOOGLETRANSLATE(B17629,""id"",""en"")"),"['Telkomsel', 'AJG', 'buy', 'expensive', 'expensive', 'price', 'according to', 'quality', 'network', 'its network', 'bad', ""]")</f>
        <v>['Telkomsel', 'AJG', 'buy', 'expensive', 'expensive', 'price', 'according to', 'quality', 'network', 'its network', 'bad', "]</v>
      </c>
      <c r="D17629" s="3">
        <v>1.0</v>
      </c>
    </row>
    <row r="17630" ht="15.75" customHeight="1">
      <c r="A17630" s="1">
        <v>18735.0</v>
      </c>
      <c r="B17630" s="3" t="s">
        <v>16713</v>
      </c>
      <c r="C17630" s="3" t="str">
        <f>IFERROR(__xludf.DUMMYFUNCTION("GOOGLETRANSLATE(B17630,""id"",""en"")"),"['use', 'card', 'Telkomsel', 'data', 'anywhere', 'ngeleg', ""]")</f>
        <v>['use', 'card', 'Telkomsel', 'data', 'anywhere', 'ngeleg', "]</v>
      </c>
      <c r="D17630" s="3">
        <v>1.0</v>
      </c>
    </row>
    <row r="17631" ht="15.75" customHeight="1">
      <c r="A17631" s="1">
        <v>18736.0</v>
      </c>
      <c r="B17631" s="3" t="s">
        <v>16714</v>
      </c>
      <c r="C17631" s="3" t="str">
        <f>IFERROR(__xludf.DUMMYFUNCTION("GOOGLETRANSLATE(B17631,""id"",""en"")"),"['Helpful', 'Good']")</f>
        <v>['Helpful', 'Good']</v>
      </c>
      <c r="D17631" s="3">
        <v>5.0</v>
      </c>
    </row>
    <row r="17632" ht="15.75" customHeight="1">
      <c r="A17632" s="1">
        <v>18737.0</v>
      </c>
      <c r="B17632" s="3" t="s">
        <v>16715</v>
      </c>
      <c r="C17632" s="3" t="str">
        <f>IFERROR(__xludf.DUMMYFUNCTION("GOOGLETRANSLATE(B17632,""id"",""en"")"),"['Serasa', 'Tipu']")</f>
        <v>['Serasa', 'Tipu']</v>
      </c>
      <c r="D17632" s="3">
        <v>1.0</v>
      </c>
    </row>
    <row r="17633" ht="15.75" customHeight="1">
      <c r="A17633" s="1">
        <v>18739.0</v>
      </c>
      <c r="B17633" s="3" t="s">
        <v>16716</v>
      </c>
      <c r="C17633" s="3" t="str">
        <f>IFERROR(__xludf.DUMMYFUNCTION("GOOGLETRANSLATE(B17633,""id"",""en"")"),"['Okay', 'package', 'cheap']")</f>
        <v>['Okay', 'package', 'cheap']</v>
      </c>
      <c r="D17633" s="3">
        <v>5.0</v>
      </c>
    </row>
    <row r="17634" ht="15.75" customHeight="1">
      <c r="A17634" s="1">
        <v>18740.0</v>
      </c>
      <c r="B17634" s="3" t="s">
        <v>16717</v>
      </c>
      <c r="C17634" s="3" t="str">
        <f>IFERROR(__xludf.DUMMYFUNCTION("GOOGLETRANSLATE(B17634,""id"",""en"")"),"['price', 'expensive', 'connection', 'slow', 'disappointed', 'operator', 'telkomsel', 'play', 'game', 'online', 'experience', 'slow', ' Severe ',' requested ',' repaired ',' problem ']")</f>
        <v>['price', 'expensive', 'connection', 'slow', 'disappointed', 'operator', 'telkomsel', 'play', 'game', 'online', 'experience', 'slow', ' Severe ',' requested ',' repaired ',' problem ']</v>
      </c>
      <c r="D17634" s="3">
        <v>1.0</v>
      </c>
    </row>
    <row r="17635" ht="15.75" customHeight="1">
      <c r="A17635" s="1">
        <v>18741.0</v>
      </c>
      <c r="B17635" s="3" t="s">
        <v>16718</v>
      </c>
      <c r="C17635" s="3" t="str">
        <f>IFERROR(__xludf.DUMMYFUNCTION("GOOGLETRANSLATE(B17635,""id"",""en"")"),"['The application', 'broken', 'how', 'gabisa', 'open', 'already', 'uninstall', 'then', 'install', 'reset', 'ttp', ""]")</f>
        <v>['The application', 'broken', 'how', 'gabisa', 'open', 'already', 'uninstall', 'then', 'install', 'reset', 'ttp', "]</v>
      </c>
      <c r="D17635" s="3">
        <v>1.0</v>
      </c>
    </row>
    <row r="17636" ht="15.75" customHeight="1">
      <c r="A17636" s="1">
        <v>18742.0</v>
      </c>
      <c r="B17636" s="3" t="s">
        <v>16719</v>
      </c>
      <c r="C17636" s="3" t="str">
        <f>IFERROR(__xludf.DUMMYFUNCTION("GOOGLETRANSLATE(B17636,""id"",""en"")"),"['Enter', 'MyTelkomsel', 'Please', 'Help', '']")</f>
        <v>['Enter', 'MyTelkomsel', 'Please', 'Help', '']</v>
      </c>
      <c r="D17636" s="3">
        <v>5.0</v>
      </c>
    </row>
    <row r="17637" ht="15.75" customHeight="1">
      <c r="A17637" s="1">
        <v>18743.0</v>
      </c>
      <c r="B17637" s="3" t="s">
        <v>16720</v>
      </c>
      <c r="C17637" s="3" t="str">
        <f>IFERROR(__xludf.DUMMYFUNCTION("GOOGLETRANSLATE(B17637,""id"",""en"")"),"['Please', 'multiply', 'promo']")</f>
        <v>['Please', 'multiply', 'promo']</v>
      </c>
      <c r="D17637" s="3">
        <v>5.0</v>
      </c>
    </row>
    <row r="17638" ht="15.75" customHeight="1">
      <c r="A17638" s="1">
        <v>18745.0</v>
      </c>
      <c r="B17638" s="3" t="s">
        <v>16721</v>
      </c>
      <c r="C17638" s="3" t="str">
        <f>IFERROR(__xludf.DUMMYFUNCTION("GOOGLETRANSLATE(B17638,""id"",""en"")"),"['White', 'Scren', 'Gaesss',' Think ',' APK ',' Stale ',' Delet ',' Download ',' Ajah ',' Ngelag ',' White ',' Screen ',' Ikihhh ',' only ',' Normal ',' Ajah ']")</f>
        <v>['White', 'Scren', 'Gaesss',' Think ',' APK ',' Stale ',' Delet ',' Download ',' Ajah ',' Ngelag ',' White ',' Screen ',' Ikihhh ',' only ',' Normal ',' Ajah ']</v>
      </c>
      <c r="D17638" s="3">
        <v>5.0</v>
      </c>
    </row>
    <row r="17639" ht="15.75" customHeight="1">
      <c r="A17639" s="1">
        <v>18746.0</v>
      </c>
      <c r="B17639" s="3" t="s">
        <v>16722</v>
      </c>
      <c r="C17639" s="3" t="str">
        <f>IFERROR(__xludf.DUMMYFUNCTION("GOOGLETRANSLATE(B17639,""id"",""en"")"),"['Signal', 'Telkomsel', 'Slow', 'Kek', 'Gini', 'Ryesel', 'I', 'Buy', 'Card', ""]")</f>
        <v>['Signal', 'Telkomsel', 'Slow', 'Kek', 'Gini', 'Ryesel', 'I', 'Buy', 'Card', "]</v>
      </c>
      <c r="D17639" s="3">
        <v>1.0</v>
      </c>
    </row>
    <row r="17640" ht="15.75" customHeight="1">
      <c r="A17640" s="1">
        <v>18747.0</v>
      </c>
      <c r="B17640" s="3" t="s">
        <v>16723</v>
      </c>
      <c r="C17640" s="3" t="str">
        <f>IFERROR(__xludf.DUMMYFUNCTION("GOOGLETRANSLATE(B17640,""id"",""en"")"),"['fraud', 'package', 'data']")</f>
        <v>['fraud', 'package', 'data']</v>
      </c>
      <c r="D17640" s="3">
        <v>1.0</v>
      </c>
    </row>
    <row r="17641" ht="15.75" customHeight="1">
      <c r="A17641" s="1">
        <v>18748.0</v>
      </c>
      <c r="B17641" s="3" t="s">
        <v>16724</v>
      </c>
      <c r="C17641" s="3" t="str">
        <f>IFERROR(__xludf.DUMMYFUNCTION("GOOGLETRANSLATE(B17641,""id"",""en"")"),"['', 'broh', 'easy', 'buy', 'pulses', 'cape', 'cape', 'road']")</f>
        <v>['', 'broh', 'easy', 'buy', 'pulses', 'cape', 'cape', 'road']</v>
      </c>
      <c r="D17641" s="3">
        <v>5.0</v>
      </c>
    </row>
    <row r="17642" ht="15.75" customHeight="1">
      <c r="A17642" s="1">
        <v>18749.0</v>
      </c>
      <c r="B17642" s="3" t="s">
        <v>16725</v>
      </c>
      <c r="C17642" s="3" t="str">
        <f>IFERROR(__xludf.DUMMYFUNCTION("GOOGLETRANSLATE(B17642,""id"",""en"")"),"['updated', 'opened', 'Application', '']")</f>
        <v>['updated', 'opened', 'Application', '']</v>
      </c>
      <c r="D17642" s="3">
        <v>1.0</v>
      </c>
    </row>
    <row r="17643" ht="15.75" customHeight="1">
      <c r="A17643" s="1">
        <v>18750.0</v>
      </c>
      <c r="B17643" s="3" t="s">
        <v>16726</v>
      </c>
      <c r="C17643" s="3" t="str">
        <f>IFERROR(__xludf.DUMMYFUNCTION("GOOGLETRANSLATE(B17643,""id"",""en"")"),"['', 'told', 'update', 'update', 'MyTelkomsel', 'Open', '']")</f>
        <v>['', 'told', 'update', 'update', 'MyTelkomsel', 'Open', '']</v>
      </c>
      <c r="D17643" s="3">
        <v>3.0</v>
      </c>
    </row>
    <row r="17644" ht="15.75" customHeight="1">
      <c r="A17644" s="1">
        <v>18751.0</v>
      </c>
      <c r="B17644" s="3" t="s">
        <v>16727</v>
      </c>
      <c r="C17644" s="3" t="str">
        <f>IFERROR(__xludf.DUMMYFUNCTION("GOOGLETRANSLATE(B17644,""id"",""en"")"),"['Fun', 'satisfying']")</f>
        <v>['Fun', 'satisfying']</v>
      </c>
      <c r="D17644" s="3">
        <v>5.0</v>
      </c>
    </row>
    <row r="17645" ht="15.75" customHeight="1">
      <c r="A17645" s="1">
        <v>18752.0</v>
      </c>
      <c r="B17645" s="3" t="s">
        <v>16728</v>
      </c>
      <c r="C17645" s="3" t="str">
        <f>IFERROR(__xludf.DUMMYFUNCTION("GOOGLETRANSLATE(B17645,""id"",""en"")"),"['Try', 'check', 'pulse', 'buy', 'quota', 'pakek', 'internet', 'sumps']")</f>
        <v>['Try', 'check', 'pulse', 'buy', 'quota', 'pakek', 'internet', 'sumps']</v>
      </c>
      <c r="D17645" s="3">
        <v>1.0</v>
      </c>
    </row>
    <row r="17646" ht="15.75" customHeight="1">
      <c r="A17646" s="1">
        <v>18753.0</v>
      </c>
      <c r="B17646" s="3" t="s">
        <v>16729</v>
      </c>
      <c r="C17646" s="3" t="str">
        <f>IFERROR(__xludf.DUMMYFUNCTION("GOOGLETRANSLATE(B17646,""id"",""en"")"),"['Kombo', 'Wow', '']")</f>
        <v>['Kombo', 'Wow', '']</v>
      </c>
      <c r="D17646" s="3">
        <v>4.0</v>
      </c>
    </row>
    <row r="17647" ht="15.75" customHeight="1">
      <c r="A17647" s="1">
        <v>18754.0</v>
      </c>
      <c r="B17647" s="3" t="s">
        <v>16730</v>
      </c>
      <c r="C17647" s="3" t="str">
        <f>IFERROR(__xludf.DUMMYFUNCTION("GOOGLETRANSLATE(B17647,""id"",""en"")"),"['Bonus', 'SMS', 'PRLU', 'Needed', 'Kbeyakan', 'Kouta', 'internet']")</f>
        <v>['Bonus', 'SMS', 'PRLU', 'Needed', 'Kbeyakan', 'Kouta', 'internet']</v>
      </c>
      <c r="D17647" s="3">
        <v>5.0</v>
      </c>
    </row>
    <row r="17648" ht="15.75" customHeight="1">
      <c r="A17648" s="1">
        <v>18756.0</v>
      </c>
      <c r="B17648" s="3" t="s">
        <v>16731</v>
      </c>
      <c r="C17648" s="3" t="str">
        <f>IFERROR(__xludf.DUMMYFUNCTION("GOOGLETRANSLATE(B17648,""id"",""en"")"),"['Badkkk', 'slow', 'open', 'application', 'difficult', 'until', 'apus',' donload ',' apus', 'donload', 'ttap', 'difficult', ' error', '']")</f>
        <v>['Badkkk', 'slow', 'open', 'application', 'difficult', 'until', 'apus',' donload ',' apus', 'donload', 'ttap', 'difficult', ' error', '']</v>
      </c>
      <c r="D17648" s="3">
        <v>1.0</v>
      </c>
    </row>
    <row r="17649" ht="15.75" customHeight="1">
      <c r="A17649" s="1">
        <v>18757.0</v>
      </c>
      <c r="B17649" s="3" t="s">
        <v>16732</v>
      </c>
      <c r="C17649" s="3" t="str">
        <f>IFERROR(__xludf.DUMMYFUNCTION("GOOGLETRANSLATE(B17649,""id"",""en"")"),"['Points',' Scorched ',' Exchange ',' Yesterday ',' Buy ',' Package ',' Plus', 'Disney', 'Hot', 'Star', 'Use', 'Out', ' Update ',' Enter ',' Telkomsel ',' Severe ',' really ',' ']")</f>
        <v>['Points',' Scorched ',' Exchange ',' Yesterday ',' Buy ',' Package ',' Plus', 'Disney', 'Hot', 'Star', 'Use', 'Out', ' Update ',' Enter ',' Telkomsel ',' Severe ',' really ',' ']</v>
      </c>
      <c r="D17649" s="3">
        <v>1.0</v>
      </c>
    </row>
    <row r="17650" ht="15.75" customHeight="1">
      <c r="A17650" s="1">
        <v>18758.0</v>
      </c>
      <c r="B17650" s="3" t="s">
        <v>16733</v>
      </c>
      <c r="C17650" s="3" t="str">
        <f>IFERROR(__xludf.DUMMYFUNCTION("GOOGLETRANSLATE(B17650,""id"",""en"")"),"['update', 'intention', 'love', 'comfortable', 'customer', 'take', 'fortunate', 'ajaa', ""]")</f>
        <v>['update', 'intention', 'love', 'comfortable', 'customer', 'take', 'fortunate', 'ajaa', "]</v>
      </c>
      <c r="D17650" s="3">
        <v>1.0</v>
      </c>
    </row>
    <row r="17651" ht="15.75" customHeight="1">
      <c r="A17651" s="1">
        <v>18759.0</v>
      </c>
      <c r="B17651" s="3" t="s">
        <v>16734</v>
      </c>
      <c r="C17651" s="3" t="str">
        <f>IFERROR(__xludf.DUMMYFUNCTION("GOOGLETRANSLATE(B17651,""id"",""en"")"),"['application', 'opened', 'responds', 'overcome it', '']")</f>
        <v>['application', 'opened', 'responds', 'overcome it', '']</v>
      </c>
      <c r="D17651" s="3">
        <v>5.0</v>
      </c>
    </row>
    <row r="17652" ht="15.75" customHeight="1">
      <c r="A17652" s="1">
        <v>18760.0</v>
      </c>
      <c r="B17652" s="3" t="s">
        <v>16735</v>
      </c>
      <c r="C17652" s="3" t="str">
        <f>IFERROR(__xludf.DUMMYFUNCTION("GOOGLETRANSLATE(B17652,""id"",""en"")"),"['please', 'Telkomsel', 'network', 'mode', 'optimized', 'access',' sosmed ',' related ',' network ',' internet ',' easy ',' fast ',' Play ',' Game ',' Like ',' Drop ',' The Network ',' Thank you ',' Please ',' Wonused ',' ']")</f>
        <v>['please', 'Telkomsel', 'network', 'mode', 'optimized', 'access',' sosmed ',' related ',' network ',' internet ',' easy ',' fast ',' Play ',' Game ',' Like ',' Drop ',' The Network ',' Thank you ',' Please ',' Wonused ',' ']</v>
      </c>
      <c r="D17652" s="3">
        <v>1.0</v>
      </c>
    </row>
    <row r="17653" ht="15.75" customHeight="1">
      <c r="A17653" s="1">
        <v>18761.0</v>
      </c>
      <c r="B17653" s="3" t="s">
        <v>16736</v>
      </c>
      <c r="C17653" s="3" t="str">
        <f>IFERROR(__xludf.DUMMYFUNCTION("GOOGLETRANSLATE(B17653,""id"",""en"")"),"['multiply', 'promo', 'interesting', 'customer', 'success', 'trs', 'telkomsel']")</f>
        <v>['multiply', 'promo', 'interesting', 'customer', 'success', 'trs', 'telkomsel']</v>
      </c>
      <c r="D17653" s="3">
        <v>5.0</v>
      </c>
    </row>
    <row r="17654" ht="15.75" customHeight="1">
      <c r="A17654" s="1">
        <v>18762.0</v>
      </c>
      <c r="B17654" s="3" t="s">
        <v>16737</v>
      </c>
      <c r="C17654" s="3" t="str">
        <f>IFERROR(__xludf.DUMMYFUNCTION("GOOGLETRANSLATE(B17654,""id"",""en"")"),"['Baguus', 'Top', 'Markotop']")</f>
        <v>['Baguus', 'Top', 'Markotop']</v>
      </c>
      <c r="D17654" s="3">
        <v>5.0</v>
      </c>
    </row>
    <row r="17655" ht="15.75" customHeight="1">
      <c r="A17655" s="1">
        <v>18763.0</v>
      </c>
      <c r="B17655" s="3" t="s">
        <v>16738</v>
      </c>
      <c r="C17655" s="3" t="str">
        <f>IFERROR(__xludf.DUMMYFUNCTION("GOOGLETRANSLATE(B17655,""id"",""en"")"),"['Card', 'Temkomsel', 'Pro', 'Jambi', 'Bagus',' Please ',' Performed ',' Good ',' User ',' Card ',' Telkomsel ',' Equal ',' At Atmon ',' Thank you ']")</f>
        <v>['Card', 'Temkomsel', 'Pro', 'Jambi', 'Bagus',' Please ',' Performed ',' Good ',' User ',' Card ',' Telkomsel ',' Equal ',' At Atmon ',' Thank you ']</v>
      </c>
      <c r="D17655" s="3">
        <v>2.0</v>
      </c>
    </row>
    <row r="17656" ht="15.75" customHeight="1">
      <c r="A17656" s="1">
        <v>18764.0</v>
      </c>
      <c r="B17656" s="3" t="s">
        <v>16739</v>
      </c>
      <c r="C17656" s="3" t="str">
        <f>IFERROR(__xludf.DUMMYFUNCTION("GOOGLETRANSLATE(B17656,""id"",""en"")"),"['Telkom', 'knotlll', 'ngelagg', 'sinyallnya']")</f>
        <v>['Telkom', 'knotlll', 'ngelagg', 'sinyallnya']</v>
      </c>
      <c r="D17656" s="3">
        <v>1.0</v>
      </c>
    </row>
    <row r="17657" ht="15.75" customHeight="1">
      <c r="A17657" s="1">
        <v>18765.0</v>
      </c>
      <c r="B17657" s="3" t="s">
        <v>16740</v>
      </c>
      <c r="C17657" s="3" t="str">
        <f>IFERROR(__xludf.DUMMYFUNCTION("GOOGLETRANSLATE(B17657,""id"",""en"")"),"['Telkomsel', 'Region', 'Maluku', 'southeast', 'signal', 'destroyed', 'Telkomsel', 'good', 'ugly', 'signal', 'Where', 'Enjoy', ' Enjoy ',' good ',' destroyed ',' ugly ',' ugly ',' disappointed ',' service ',' Telkomsel ',' ']")</f>
        <v>['Telkomsel', 'Region', 'Maluku', 'southeast', 'signal', 'destroyed', 'Telkomsel', 'good', 'ugly', 'signal', 'Where', 'Enjoy', ' Enjoy ',' good ',' destroyed ',' ugly ',' ugly ',' disappointed ',' service ',' Telkomsel ',' ']</v>
      </c>
      <c r="D17657" s="3">
        <v>1.0</v>
      </c>
    </row>
    <row r="17658" ht="15.75" customHeight="1">
      <c r="A17658" s="1">
        <v>18766.0</v>
      </c>
      <c r="B17658" s="3" t="s">
        <v>16741</v>
      </c>
      <c r="C17658" s="3" t="str">
        <f>IFERROR(__xludf.DUMMYFUNCTION("GOOGLETRANSLATE(B17658,""id"",""en"")"),"['Mantab', 'Mambanti', 'easy']")</f>
        <v>['Mantab', 'Mambanti', 'easy']</v>
      </c>
      <c r="D17658" s="3">
        <v>5.0</v>
      </c>
    </row>
    <row r="17659" ht="15.75" customHeight="1">
      <c r="A17659" s="1">
        <v>18767.0</v>
      </c>
      <c r="B17659" s="3" t="s">
        <v>1543</v>
      </c>
      <c r="C17659" s="3" t="str">
        <f>IFERROR(__xludf.DUMMYFUNCTION("GOOGLETRANSLATE(B17659,""id"",""en"")"),"['Telkomsel', 'Open']")</f>
        <v>['Telkomsel', 'Open']</v>
      </c>
      <c r="D17659" s="3">
        <v>5.0</v>
      </c>
    </row>
    <row r="17660" ht="15.75" customHeight="1">
      <c r="A17660" s="1">
        <v>18768.0</v>
      </c>
      <c r="B17660" s="3" t="s">
        <v>16742</v>
      </c>
      <c r="C17660" s="3" t="str">
        <f>IFERROR(__xludf.DUMMYFUNCTION("GOOGLETRANSLATE(B17660,""id"",""en"")"),"['Bulom', 'Win', 'undiannn']")</f>
        <v>['Bulom', 'Win', 'undiannn']</v>
      </c>
      <c r="D17660" s="3">
        <v>5.0</v>
      </c>
    </row>
    <row r="17661" ht="15.75" customHeight="1">
      <c r="A17661" s="1">
        <v>18769.0</v>
      </c>
      <c r="B17661" s="3" t="s">
        <v>16743</v>
      </c>
      <c r="C17661" s="3" t="str">
        <f>IFERROR(__xludf.DUMMYFUNCTION("GOOGLETRANSLATE(B17661,""id"",""en"")"),"['Morning', 'Telkomsel', 'opened', '']")</f>
        <v>['Morning', 'Telkomsel', 'opened', '']</v>
      </c>
      <c r="D17661" s="3">
        <v>5.0</v>
      </c>
    </row>
    <row r="17662" ht="15.75" customHeight="1">
      <c r="A17662" s="1">
        <v>18770.0</v>
      </c>
      <c r="B17662" s="3" t="s">
        <v>16744</v>
      </c>
      <c r="C17662" s="3" t="str">
        <f>IFERROR(__xludf.DUMMYFUNCTION("GOOGLETRANSLATE(B17662,""id"",""en"")"),"['stay', 'price', 'package', 'fix', 'according to', 'contents', 'wallet', ""]")</f>
        <v>['stay', 'price', 'package', 'fix', 'according to', 'contents', 'wallet', "]</v>
      </c>
      <c r="D17662" s="3">
        <v>4.0</v>
      </c>
    </row>
    <row r="17663" ht="15.75" customHeight="1">
      <c r="A17663" s="1">
        <v>18771.0</v>
      </c>
      <c r="B17663" s="3" t="s">
        <v>16745</v>
      </c>
      <c r="C17663" s="3" t="str">
        <f>IFERROR(__xludf.DUMMYFUNCTION("GOOGLETRANSLATE(B17663,""id"",""en"")"),"['Satisfied', 'Hopefully', 'Appl', 'Fun', 'Customer', 'Telkomsel']")</f>
        <v>['Satisfied', 'Hopefully', 'Appl', 'Fun', 'Customer', 'Telkomsel']</v>
      </c>
      <c r="D17663" s="3">
        <v>4.0</v>
      </c>
    </row>
    <row r="17664" ht="15.75" customHeight="1">
      <c r="A17664" s="1">
        <v>18772.0</v>
      </c>
      <c r="B17664" s="3" t="s">
        <v>16746</v>
      </c>
      <c r="C17664" s="3" t="str">
        <f>IFERROR(__xludf.DUMMYFUNCTION("GOOGLETRANSLATE(B17664,""id"",""en"")"),"['Sya', 'Dri', 'Yesterday', 'Open', 'APK', 'Screen', 'White']")</f>
        <v>['Sya', 'Dri', 'Yesterday', 'Open', 'APK', 'Screen', 'White']</v>
      </c>
      <c r="D17664" s="3">
        <v>2.0</v>
      </c>
    </row>
    <row r="17665" ht="15.75" customHeight="1">
      <c r="A17665" s="1">
        <v>18773.0</v>
      </c>
      <c r="B17665" s="3" t="s">
        <v>16747</v>
      </c>
      <c r="C17665" s="3" t="str">
        <f>IFERROR(__xludf.DUMMYFUNCTION("GOOGLETRANSLATE(B17665,""id"",""en"")"),"['APL', 'BURIK', 'BSA', 'Login', 'Package', 'Expensive', 'Please', 'Fix', '']")</f>
        <v>['APL', 'BURIK', 'BSA', 'Login', 'Package', 'Expensive', 'Please', 'Fix', '']</v>
      </c>
      <c r="D17665" s="3">
        <v>1.0</v>
      </c>
    </row>
    <row r="17666" ht="15.75" customHeight="1">
      <c r="A17666" s="1">
        <v>18774.0</v>
      </c>
      <c r="B17666" s="3" t="s">
        <v>16748</v>
      </c>
      <c r="C17666" s="3" t="str">
        <f>IFERROR(__xludf.DUMMYFUNCTION("GOOGLETRANSLATE(B17666,""id"",""en"")"),"['signal', 'network', 'slow', 'reason', 'cable', 'sea', 'break up', 'disappointing', 'really', ""]")</f>
        <v>['signal', 'network', 'slow', 'reason', 'cable', 'sea', 'break up', 'disappointing', 'really', "]</v>
      </c>
      <c r="D17666" s="3">
        <v>1.0</v>
      </c>
    </row>
    <row r="17667" ht="15.75" customHeight="1">
      <c r="A17667" s="1">
        <v>18775.0</v>
      </c>
      <c r="B17667" s="3" t="s">
        <v>16749</v>
      </c>
      <c r="C17667" s="3" t="str">
        <f>IFERROR(__xludf.DUMMYFUNCTION("GOOGLETRANSLATE(B17667,""id"",""en"")"),"['Recommended', 'find', 'Meaning', 'promo', 'interesting', 'Telkomsel']")</f>
        <v>['Recommended', 'find', 'Meaning', 'promo', 'interesting', 'Telkomsel']</v>
      </c>
      <c r="D17667" s="3">
        <v>5.0</v>
      </c>
    </row>
    <row r="17668" ht="15.75" customHeight="1">
      <c r="A17668" s="1">
        <v>18776.0</v>
      </c>
      <c r="B17668" s="3" t="s">
        <v>16750</v>
      </c>
      <c r="C17668" s="3" t="str">
        <f>IFERROR(__xludf.DUMMYFUNCTION("GOOGLETRANSLATE(B17668,""id"",""en"")"),"['network', 'Telkomsel', 'emotions', 'buy', 'package', 'expensive', 'expensive', 'network', 'toxic', 'want', 'switch', 'operator']")</f>
        <v>['network', 'Telkomsel', 'emotions', 'buy', 'package', 'expensive', 'expensive', 'network', 'toxic', 'want', 'switch', 'operator']</v>
      </c>
      <c r="D17668" s="3">
        <v>1.0</v>
      </c>
    </row>
    <row r="17669" ht="15.75" customHeight="1">
      <c r="A17669" s="1">
        <v>18777.0</v>
      </c>
      <c r="B17669" s="3" t="s">
        <v>16751</v>
      </c>
      <c r="C17669" s="3" t="str">
        <f>IFERROR(__xludf.DUMMYFUNCTION("GOOGLETRANSLATE(B17669,""id"",""en"")"),"['signal', 'good', 'beg', 'repaired', 'package', 'expensive']")</f>
        <v>['signal', 'good', 'beg', 'repaired', 'package', 'expensive']</v>
      </c>
      <c r="D17669" s="3">
        <v>2.0</v>
      </c>
    </row>
    <row r="17670" ht="15.75" customHeight="1">
      <c r="A17670" s="1">
        <v>18778.0</v>
      </c>
      <c r="B17670" s="3" t="s">
        <v>16752</v>
      </c>
      <c r="C17670" s="3" t="str">
        <f>IFERROR(__xludf.DUMMYFUNCTION("GOOGLETRANSLATE(B17670,""id"",""en"")"),"['Cost', 'Package', 'Data', 'Customize', 'Service', 'Hayolah', 'Telkomsel', 'Change', 'Promo', 'Paketan', 'Friendly', 'Pouch', ' Lost ',' Ama ',' neighbor ',' Next ']")</f>
        <v>['Cost', 'Package', 'Data', 'Customize', 'Service', 'Hayolah', 'Telkomsel', 'Change', 'Promo', 'Paketan', 'Friendly', 'Pouch', ' Lost ',' Ama ',' neighbor ',' Next ']</v>
      </c>
      <c r="D17670" s="3">
        <v>1.0</v>
      </c>
    </row>
    <row r="17671" ht="15.75" customHeight="1">
      <c r="A17671" s="1">
        <v>18779.0</v>
      </c>
      <c r="B17671" s="3" t="s">
        <v>16753</v>
      </c>
      <c r="C17671" s="3" t="str">
        <f>IFERROR(__xludf.DUMMYFUNCTION("GOOGLETRANSLATE(B17671,""id"",""en"")"),"['It's easy', 'charging', 'quota', 'internet']")</f>
        <v>['It's easy', 'charging', 'quota', 'internet']</v>
      </c>
      <c r="D17671" s="3">
        <v>4.0</v>
      </c>
    </row>
    <row r="17672" ht="15.75" customHeight="1">
      <c r="A17672" s="1">
        <v>18780.0</v>
      </c>
      <c r="B17672" s="3" t="s">
        <v>16754</v>
      </c>
      <c r="C17672" s="3" t="str">
        <f>IFERROR(__xludf.DUMMYFUNCTION("GOOGLETRANSLATE(B17672,""id"",""en"")"),"['user', 'friendly', 'points', 'help', 'hope', 'gift', 'merchandise', 'interesting', ""]")</f>
        <v>['user', 'friendly', 'points', 'help', 'hope', 'gift', 'merchandise', 'interesting', "]</v>
      </c>
      <c r="D17672" s="3">
        <v>5.0</v>
      </c>
    </row>
    <row r="17673" ht="15.75" customHeight="1">
      <c r="A17673" s="1">
        <v>18781.0</v>
      </c>
      <c r="B17673" s="3" t="s">
        <v>16755</v>
      </c>
      <c r="C17673" s="3" t="str">
        <f>IFERROR(__xludf.DUMMYFUNCTION("GOOGLETRANSLATE(B17673,""id"",""en"")"),"['Login', 'blank', 'Putit']")</f>
        <v>['Login', 'blank', 'Putit']</v>
      </c>
      <c r="D17673" s="3">
        <v>1.0</v>
      </c>
    </row>
    <row r="17674" ht="15.75" customHeight="1">
      <c r="A17674" s="1">
        <v>18782.0</v>
      </c>
      <c r="B17674" s="3" t="s">
        <v>16756</v>
      </c>
      <c r="C17674" s="3" t="str">
        <f>IFERROR(__xludf.DUMMYFUNCTION("GOOGLETRANSLATE(B17674,""id"",""en"")"),"['Information', 'Points',' Leak ',' Min ',' Krna ',' Experience ',' Times', 'TLP', 'Oelh', 'know', 'offer', 'exchange', ' Points', 'Telkomsel', 'tip', 'cheats',' lucky ',' wary ']")</f>
        <v>['Information', 'Points',' Leak ',' Min ',' Krna ',' Experience ',' Times', 'TLP', 'Oelh', 'know', 'offer', 'exchange', ' Points', 'Telkomsel', 'tip', 'cheats',' lucky ',' wary ']</v>
      </c>
      <c r="D17674" s="3">
        <v>5.0</v>
      </c>
    </row>
    <row r="17675" ht="15.75" customHeight="1">
      <c r="A17675" s="1">
        <v>18783.0</v>
      </c>
      <c r="B17675" s="3" t="s">
        <v>16757</v>
      </c>
      <c r="C17675" s="3" t="str">
        <f>IFERROR(__xludf.DUMMYFUNCTION("GOOGLETRANSLATE(B17675,""id"",""en"")"),"['charging', 'pulse', 'tetely', 'easy', 'tmpt', 'filler', 'alpharmt']")</f>
        <v>['charging', 'pulse', 'tetely', 'easy', 'tmpt', 'filler', 'alpharmt']</v>
      </c>
      <c r="D17675" s="3">
        <v>4.0</v>
      </c>
    </row>
    <row r="17676" ht="15.75" customHeight="1">
      <c r="A17676" s="1">
        <v>18785.0</v>
      </c>
      <c r="B17676" s="3" t="s">
        <v>16758</v>
      </c>
      <c r="C17676" s="3" t="str">
        <f>IFERROR(__xludf.DUMMYFUNCTION("GOOGLETRANSLATE(B17676,""id"",""en"")"),"['Bad', 'Apps',' APK ',' Accessible ',' Uninstall ',' Install ',' Access', 'APK', 'Space', 'RAM', 'Memory', 'APK', ' Troubled ',' ']")</f>
        <v>['Bad', 'Apps',' APK ',' Accessible ',' Uninstall ',' Install ',' Access', 'APK', 'Space', 'RAM', 'Memory', 'APK', ' Troubled ',' ']</v>
      </c>
      <c r="D17676" s="3">
        <v>1.0</v>
      </c>
    </row>
    <row r="17677" ht="15.75" customHeight="1">
      <c r="A17677" s="1">
        <v>18786.0</v>
      </c>
      <c r="B17677" s="3" t="s">
        <v>16759</v>
      </c>
      <c r="C17677" s="3" t="str">
        <f>IFERROR(__xludf.DUMMYFUNCTION("GOOGLETRANSLATE(B17677,""id"",""en"")"),"['HR', 'Application', '']")</f>
        <v>['HR', 'Application', '']</v>
      </c>
      <c r="D17677" s="3">
        <v>1.0</v>
      </c>
    </row>
    <row r="17678" ht="15.75" customHeight="1">
      <c r="A17678" s="1">
        <v>18787.0</v>
      </c>
      <c r="B17678" s="3" t="s">
        <v>16760</v>
      </c>
      <c r="C17678" s="3" t="str">
        <f>IFERROR(__xludf.DUMMYFUNCTION("GOOGLETRANSLATE(B17678,""id"",""en"")"),"['Abis',' update ',' application ',' open ',' uninstall ',' reinstall ',' ttp ',' GBS ',' open ',' min ',' tlong ',' sran ',' GMN ',' Open ',' ']")</f>
        <v>['Abis',' update ',' application ',' open ',' uninstall ',' reinstall ',' ttp ',' GBS ',' open ',' min ',' tlong ',' sran ',' GMN ',' Open ',' ']</v>
      </c>
      <c r="D17678" s="3">
        <v>5.0</v>
      </c>
    </row>
    <row r="17679" ht="15.75" customHeight="1">
      <c r="A17679" s="1">
        <v>18788.0</v>
      </c>
      <c r="B17679" s="3" t="s">
        <v>16761</v>
      </c>
      <c r="C17679" s="3" t="str">
        <f>IFERROR(__xludf.DUMMYFUNCTION("GOOGLETRANSLATE(B17679,""id"",""en"")"),"['Detailed', 'product']")</f>
        <v>['Detailed', 'product']</v>
      </c>
      <c r="D17679" s="3">
        <v>5.0</v>
      </c>
    </row>
    <row r="17680" ht="15.75" customHeight="1">
      <c r="A17680" s="1">
        <v>18789.0</v>
      </c>
      <c r="B17680" s="3" t="s">
        <v>16762</v>
      </c>
      <c r="C17680" s="3" t="str">
        <f>IFERROR(__xludf.DUMMYFUNCTION("GOOGLETRANSLATE(B17680,""id"",""en"")"),"['Steady', 'Telkomsel', 'Price', '']")</f>
        <v>['Steady', 'Telkomsel', 'Price', '']</v>
      </c>
      <c r="D17680" s="3">
        <v>5.0</v>
      </c>
    </row>
    <row r="17681" ht="15.75" customHeight="1">
      <c r="A17681" s="1">
        <v>18790.0</v>
      </c>
      <c r="B17681" s="3" t="s">
        <v>16763</v>
      </c>
      <c r="C17681" s="3" t="str">
        <f>IFERROR(__xludf.DUMMYFUNCTION("GOOGLETRANSLATE(B17681,""id"",""en"")"),"['Since', 'Dinupdate', 'APK', 'Open', 'Blank', 'Mulu']")</f>
        <v>['Since', 'Dinupdate', 'APK', 'Open', 'Blank', 'Mulu']</v>
      </c>
      <c r="D17681" s="3">
        <v>1.0</v>
      </c>
    </row>
    <row r="17682" ht="15.75" customHeight="1">
      <c r="A17682" s="1">
        <v>18791.0</v>
      </c>
      <c r="B17682" s="3" t="s">
        <v>16764</v>
      </c>
      <c r="C17682" s="3" t="str">
        <f>IFERROR(__xludf.DUMMYFUNCTION("GOOGLETRANSLATE(B17682,""id"",""en"")"),"['Knpaa', 'Telkomsel', 'Login', 'Please', 'Help', 'Developer']")</f>
        <v>['Knpaa', 'Telkomsel', 'Login', 'Please', 'Help', 'Developer']</v>
      </c>
      <c r="D17682" s="3">
        <v>5.0</v>
      </c>
    </row>
    <row r="17683" ht="15.75" customHeight="1">
      <c r="A17683" s="1">
        <v>18792.0</v>
      </c>
      <c r="B17683" s="3" t="s">
        <v>16765</v>
      </c>
      <c r="C17683" s="3" t="str">
        <f>IFERROR(__xludf.DUMMYFUNCTION("GOOGLETRANSLATE(B17683,""id"",""en"")"),"['Network', 'ugly', 'loading', 'severe', 'quota', 'expensive', 'comparable', 'network', 'Please', 'fix']")</f>
        <v>['Network', 'ugly', 'loading', 'severe', 'quota', 'expensive', 'comparable', 'network', 'Please', 'fix']</v>
      </c>
      <c r="D17683" s="3">
        <v>1.0</v>
      </c>
    </row>
    <row r="17684" ht="15.75" customHeight="1">
      <c r="A17684" s="1">
        <v>18793.0</v>
      </c>
      <c r="B17684" s="3" t="s">
        <v>16766</v>
      </c>
      <c r="C17684" s="3" t="str">
        <f>IFERROR(__xludf.DUMMYFUNCTION("GOOGLETRANSLATE(B17684,""id"",""en"")"),"['opened', 'Yesterday', 'update', 'date', 'des', ""]")</f>
        <v>['opened', 'Yesterday', 'update', 'date', 'des', "]</v>
      </c>
      <c r="D17684" s="3">
        <v>1.0</v>
      </c>
    </row>
    <row r="17685" ht="15.75" customHeight="1">
      <c r="A17685" s="1">
        <v>18794.0</v>
      </c>
      <c r="B17685" s="3" t="s">
        <v>16767</v>
      </c>
      <c r="C17685" s="3" t="str">
        <f>IFERROR(__xludf.DUMMYFUNCTION("GOOGLETRANSLATE(B17685,""id"",""en"")"),"['Panyesan', 'application', 'rotten', 'cook', 'downloadd', 'enter', 'the application', ""]")</f>
        <v>['Panyesan', 'application', 'rotten', 'cook', 'downloadd', 'enter', 'the application', "]</v>
      </c>
      <c r="D17685" s="3">
        <v>1.0</v>
      </c>
    </row>
    <row r="17686" ht="15.75" customHeight="1">
      <c r="A17686" s="1">
        <v>18795.0</v>
      </c>
      <c r="B17686" s="3" t="s">
        <v>16768</v>
      </c>
      <c r="C17686" s="3" t="str">
        <f>IFERROR(__xludf.DUMMYFUNCTION("GOOGLETRANSLATE(B17686,""id"",""en"")"),"['Sorry', 'Telkomsel', 'right', 'enter', 'color', 'white', 'already', 'uninstall', 'download', 'color', 'PTIN', 'Please', ' help']")</f>
        <v>['Sorry', 'Telkomsel', 'right', 'enter', 'color', 'white', 'already', 'uninstall', 'download', 'color', 'PTIN', 'Please', ' help']</v>
      </c>
      <c r="D17686" s="3">
        <v>2.0</v>
      </c>
    </row>
    <row r="17687" ht="15.75" customHeight="1">
      <c r="A17687" s="1">
        <v>18796.0</v>
      </c>
      <c r="B17687" s="3" t="s">
        <v>16769</v>
      </c>
      <c r="C17687" s="3" t="str">
        <f>IFERROR(__xludf.DUMMYFUNCTION("GOOGLETRANSLATE(B17687,""id"",""en"")"),"['Telkomsel', 'cheapest', 'reach', 'broad']")</f>
        <v>['Telkomsel', 'cheapest', 'reach', 'broad']</v>
      </c>
      <c r="D17687" s="3">
        <v>5.0</v>
      </c>
    </row>
    <row r="17688" ht="15.75" customHeight="1">
      <c r="A17688" s="1">
        <v>18798.0</v>
      </c>
      <c r="B17688" s="3" t="s">
        <v>16770</v>
      </c>
      <c r="C17688" s="3" t="str">
        <f>IFERROR(__xludf.DUMMYFUNCTION("GOOGLETRANSLATE(B17688,""id"",""en"")"),"['Try', 'Time', '']")</f>
        <v>['Try', 'Time', '']</v>
      </c>
      <c r="D17688" s="3">
        <v>3.0</v>
      </c>
    </row>
    <row r="17689" ht="15.75" customHeight="1">
      <c r="A17689" s="1">
        <v>18799.0</v>
      </c>
      <c r="B17689" s="3" t="s">
        <v>16771</v>
      </c>
      <c r="C17689" s="3" t="str">
        <f>IFERROR(__xludf.DUMMYFUNCTION("GOOGLETRANSLATE(B17689,""id"",""en"")"),"['Woy', 'expensive', 'Kambang', 'Emporting', 'Bandar', 'update', 'discount', 'please', 'repair', 'thank', 'love', ""]")</f>
        <v>['Woy', 'expensive', 'Kambang', 'Emporting', 'Bandar', 'update', 'discount', 'please', 'repair', 'thank', 'love', "]</v>
      </c>
      <c r="D17689" s="3">
        <v>2.0</v>
      </c>
    </row>
    <row r="17690" ht="15.75" customHeight="1">
      <c r="A17690" s="1">
        <v>18800.0</v>
      </c>
      <c r="B17690" s="3" t="s">
        <v>16772</v>
      </c>
      <c r="C17690" s="3" t="str">
        <f>IFERROR(__xludf.DUMMYFUNCTION("GOOGLETRANSLATE(B17690,""id"",""en"")"),"['Think', 'Good', 'right']")</f>
        <v>['Think', 'Good', 'right']</v>
      </c>
      <c r="D17690" s="3">
        <v>4.0</v>
      </c>
    </row>
    <row r="17691" ht="15.75" customHeight="1">
      <c r="A17691" s="1">
        <v>18801.0</v>
      </c>
      <c r="B17691" s="3" t="s">
        <v>16773</v>
      </c>
      <c r="C17691" s="3" t="str">
        <f>IFERROR(__xludf.DUMMYFUNCTION("GOOGLETRANSLATE(B17691,""id"",""en"")"),"['signal', 'slow', 'sell', 'expensive', 'nge', 'base', 'card', 'expensive', 'doang', 'signal', 'slow', 'nutmeg', ' you']")</f>
        <v>['signal', 'slow', 'sell', 'expensive', 'nge', 'base', 'card', 'expensive', 'doang', 'signal', 'slow', 'nutmeg', ' you']</v>
      </c>
      <c r="D17691" s="3">
        <v>1.0</v>
      </c>
    </row>
    <row r="17692" ht="15.75" customHeight="1">
      <c r="A17692" s="1">
        <v>18802.0</v>
      </c>
      <c r="B17692" s="3" t="s">
        <v>16774</v>
      </c>
      <c r="C17692" s="3" t="str">
        <f>IFERROR(__xludf.DUMMYFUNCTION("GOOGLETRANSLATE(B17692,""id"",""en"")"),"['Love', 'pulse']")</f>
        <v>['Love', 'pulse']</v>
      </c>
      <c r="D17692" s="3">
        <v>5.0</v>
      </c>
    </row>
    <row r="17693" ht="15.75" customHeight="1">
      <c r="A17693" s="1">
        <v>18803.0</v>
      </c>
      <c r="B17693" s="3" t="s">
        <v>16775</v>
      </c>
      <c r="C17693" s="3" t="str">
        <f>IFERROR(__xludf.DUMMYFUNCTION("GOOGLETRANSLATE(B17693,""id"",""en"")"),"['Application', 'Best', 'Playstore']")</f>
        <v>['Application', 'Best', 'Playstore']</v>
      </c>
      <c r="D17693" s="3">
        <v>5.0</v>
      </c>
    </row>
    <row r="17694" ht="15.75" customHeight="1">
      <c r="A17694" s="1">
        <v>18804.0</v>
      </c>
      <c r="B17694" s="3" t="s">
        <v>16776</v>
      </c>
      <c r="C17694" s="3" t="str">
        <f>IFERROR(__xludf.DUMMYFUNCTION("GOOGLETRANSLATE(B17694,""id"",""en"")"),"['The application', 'easy', '']")</f>
        <v>['The application', 'easy', '']</v>
      </c>
      <c r="D17694" s="3">
        <v>1.0</v>
      </c>
    </row>
    <row r="17695" ht="15.75" customHeight="1">
      <c r="A17695" s="1">
        <v>18805.0</v>
      </c>
      <c r="B17695" s="3" t="s">
        <v>16777</v>
      </c>
      <c r="C17695" s="3" t="str">
        <f>IFERROR(__xludf.DUMMYFUNCTION("GOOGLETRANSLATE(B17695,""id"",""en"")"),"['Telkomsel', 'opened', 'please', 'help']")</f>
        <v>['Telkomsel', 'opened', 'please', 'help']</v>
      </c>
      <c r="D17695" s="3">
        <v>5.0</v>
      </c>
    </row>
    <row r="17696" ht="15.75" customHeight="1">
      <c r="A17696" s="1">
        <v>18806.0</v>
      </c>
      <c r="B17696" s="3" t="s">
        <v>16778</v>
      </c>
      <c r="C17696" s="3" t="str">
        <f>IFERROR(__xludf.DUMMYFUNCTION("GOOGLETRANSLATE(B17696,""id"",""en"")"),"['Application', 'Hang', 'updated']")</f>
        <v>['Application', 'Hang', 'updated']</v>
      </c>
      <c r="D17696" s="3">
        <v>1.0</v>
      </c>
    </row>
    <row r="17697" ht="15.75" customHeight="1">
      <c r="A17697" s="1">
        <v>18807.0</v>
      </c>
      <c r="B17697" s="3" t="s">
        <v>16779</v>
      </c>
      <c r="C17697" s="3" t="str">
        <f>IFERROR(__xludf.DUMMYFUNCTION("GOOGLETRANSLATE(B17697,""id"",""en"")"),"['signal', 'kek', 'ajng', 'child', 'haram', 'nge', 'game', 'happy', 'blood', 'ajngg', 'ajng']")</f>
        <v>['signal', 'kek', 'ajng', 'child', 'haram', 'nge', 'game', 'happy', 'blood', 'ajngg', 'ajng']</v>
      </c>
      <c r="D17697" s="3">
        <v>1.0</v>
      </c>
    </row>
    <row r="17698" ht="15.75" customHeight="1">
      <c r="A17698" s="1">
        <v>18808.0</v>
      </c>
      <c r="B17698" s="3" t="s">
        <v>16780</v>
      </c>
      <c r="C17698" s="3" t="str">
        <f>IFERROR(__xludf.DUMMYFUNCTION("GOOGLETRANSLATE(B17698,""id"",""en"")"),"['apk', 'Telkomsel', 'screen', 'white', 'network', 'good', 'quota', 'apk', 'walk', 'try', 'uninstall', 'download', ' ']")</f>
        <v>['apk', 'Telkomsel', 'screen', 'white', 'network', 'good', 'quota', 'apk', 'walk', 'try', 'uninstall', 'download', ' ']</v>
      </c>
      <c r="D17698" s="3">
        <v>1.0</v>
      </c>
    </row>
    <row r="17699" ht="15.75" customHeight="1">
      <c r="A17699" s="1">
        <v>18809.0</v>
      </c>
      <c r="B17699" s="3" t="s">
        <v>16781</v>
      </c>
      <c r="C17699" s="3" t="str">
        <f>IFERROR(__xludf.DUMMYFUNCTION("GOOGLETRANSLATE(B17699,""id"",""en"")"),"['updet', 'open']")</f>
        <v>['updet', 'open']</v>
      </c>
      <c r="D17699" s="3">
        <v>1.0</v>
      </c>
    </row>
    <row r="17700" ht="15.75" customHeight="1">
      <c r="A17700" s="1">
        <v>18810.0</v>
      </c>
      <c r="B17700" s="3" t="s">
        <v>16782</v>
      </c>
      <c r="C17700" s="3" t="str">
        <f>IFERROR(__xludf.DUMMYFUNCTION("GOOGLETRANSLATE(B17700,""id"",""en"")"),"['cave', 'suggestion', 'mending', 'operator', 'axis',' deh ',' telkomsel ',' ntar ',' regret ',' kyk ',' cave ',' his house ',' Remote ',' cave ',' suggestion ',' really ',' Telkomsel ',' Network ',' ugly ',' Muluk ',' package ',' data ',' meek ',' cheap "&amp;"',' listen ' , 'network', 'Telkomsel', 'cave', 'udh', 'ngayaan', 'ugly', 'network', 'operator', 'please', 'fix', 'network', 'Telkomsel', ' bad network', '']")</f>
        <v>['cave', 'suggestion', 'mending', 'operator', 'axis',' deh ',' telkomsel ',' ntar ',' regret ',' kyk ',' cave ',' his house ',' Remote ',' cave ',' suggestion ',' really ',' Telkomsel ',' Network ',' ugly ',' Muluk ',' package ',' data ',' meek ',' cheap ',' listen ' , 'network', 'Telkomsel', 'cave', 'udh', 'ngayaan', 'ugly', 'network', 'operator', 'please', 'fix', 'network', 'Telkomsel', ' bad network', '']</v>
      </c>
      <c r="D17700" s="3">
        <v>1.0</v>
      </c>
    </row>
    <row r="17701" ht="15.75" customHeight="1">
      <c r="A17701" s="1">
        <v>18812.0</v>
      </c>
      <c r="B17701" s="3" t="s">
        <v>16783</v>
      </c>
      <c r="C17701" s="3" t="str">
        <f>IFERROR(__xludf.DUMMYFUNCTION("GOOGLETRANSLATE(B17701,""id"",""en"")"),"['SAGAT', 'practical', 'easy', 'steady']")</f>
        <v>['SAGAT', 'practical', 'easy', 'steady']</v>
      </c>
      <c r="D17701" s="3">
        <v>5.0</v>
      </c>
    </row>
    <row r="17702" ht="15.75" customHeight="1">
      <c r="A17702" s="1">
        <v>18813.0</v>
      </c>
      <c r="B17702" s="3" t="s">
        <v>16784</v>
      </c>
      <c r="C17702" s="3" t="str">
        <f>IFERROR(__xludf.DUMMYFUNCTION("GOOGLETRANSLATE(B17702,""id"",""en"")"),"['Since', 'update', 'the application', 'opened', 'please', 'repaired', '']")</f>
        <v>['Since', 'update', 'the application', 'opened', 'please', 'repaired', '']</v>
      </c>
      <c r="D17702" s="3">
        <v>1.0</v>
      </c>
    </row>
    <row r="17703" ht="15.75" customHeight="1">
      <c r="A17703" s="1">
        <v>18815.0</v>
      </c>
      <c r="B17703" s="3" t="s">
        <v>16785</v>
      </c>
      <c r="C17703" s="3" t="str">
        <f>IFERROR(__xludf.DUMMYFUNCTION("GOOGLETRANSLATE(B17703,""id"",""en"")"),"['The application', 'good', 'package', 'promo', 'purchase', 'data']")</f>
        <v>['The application', 'good', 'package', 'promo', 'purchase', 'data']</v>
      </c>
      <c r="D17703" s="3">
        <v>5.0</v>
      </c>
    </row>
    <row r="17704" ht="15.75" customHeight="1">
      <c r="A17704" s="1">
        <v>18816.0</v>
      </c>
      <c r="B17704" s="3" t="s">
        <v>16786</v>
      </c>
      <c r="C17704" s="3" t="str">
        <f>IFERROR(__xludf.DUMMYFUNCTION("GOOGLETRANSLATE(B17704,""id"",""en"")"),"['send', 'gift']")</f>
        <v>['send', 'gift']</v>
      </c>
      <c r="D17704" s="3">
        <v>5.0</v>
      </c>
    </row>
    <row r="17705" ht="15.75" customHeight="1">
      <c r="A17705" s="1">
        <v>18817.0</v>
      </c>
      <c r="B17705" s="3" t="s">
        <v>16787</v>
      </c>
      <c r="C17705" s="3" t="str">
        <f>IFERROR(__xludf.DUMMYFUNCTION("GOOGLETRANSLATE(B17705,""id"",""en"")"),"['Steady', 'connection']")</f>
        <v>['Steady', 'connection']</v>
      </c>
      <c r="D17705" s="3">
        <v>5.0</v>
      </c>
    </row>
    <row r="17706" ht="15.75" customHeight="1">
      <c r="A17706" s="1">
        <v>18818.0</v>
      </c>
      <c r="B17706" s="3" t="s">
        <v>16788</v>
      </c>
      <c r="C17706" s="3" t="str">
        <f>IFERROR(__xludf.DUMMYFUNCTION("GOOGLETRANSLATE(B17706,""id"",""en"")"),"['application', 'make it difficult', 'customer', 'loyal', 'Telkomsel', 'check', 'purchase', 'package', 'data', 'please', 'love', 'price', ' Cheap ',' makes it easy ',' happy ',' Telkomsel ']")</f>
        <v>['application', 'make it difficult', 'customer', 'loyal', 'Telkomsel', 'check', 'purchase', 'package', 'data', 'please', 'love', 'price', ' Cheap ',' makes it easy ',' happy ',' Telkomsel ']</v>
      </c>
      <c r="D17706" s="3">
        <v>1.0</v>
      </c>
    </row>
    <row r="17707" ht="15.75" customHeight="1">
      <c r="A17707" s="1">
        <v>18819.0</v>
      </c>
      <c r="B17707" s="3" t="s">
        <v>16789</v>
      </c>
      <c r="C17707" s="3" t="str">
        <f>IFERROR(__xludf.DUMMYFUNCTION("GOOGLETRANSLATE(B17707,""id"",""en"")"),"['apk', 'Telkomsel', 'ugly', 'HR', 'open', 'yesterday', 'buy', 'pkt', 'quota', 'plsa', 'ilang', 'truncated', ' quota ',' please ',' donk ',' admin ',' telkomsel ',' yaa ',' mandate ',' forfek ',' jga ',' comfort ',' custemer ',' jngan ',' mlh ' , 'Persuli"&amp;"t', '']")</f>
        <v>['apk', 'Telkomsel', 'ugly', 'HR', 'open', 'yesterday', 'buy', 'pkt', 'quota', 'plsa', 'ilang', 'truncated', ' quota ',' please ',' donk ',' admin ',' telkomsel ',' yaa ',' mandate ',' forfek ',' jga ',' comfort ',' custemer ',' jngan ',' mlh ' , 'Persulit', '']</v>
      </c>
      <c r="D17707" s="3">
        <v>1.0</v>
      </c>
    </row>
    <row r="17708" ht="15.75" customHeight="1">
      <c r="A17708" s="1">
        <v>18820.0</v>
      </c>
      <c r="B17708" s="3" t="s">
        <v>16790</v>
      </c>
      <c r="C17708" s="3" t="str">
        <f>IFERROR(__xludf.DUMMYFUNCTION("GOOGLETRANSLATE(B17708,""id"",""en"")"),"['Please', 'Fix', 'Application', 'Update', 'Ngg', 'Open', 'Ngblank', 'White', ""]")</f>
        <v>['Please', 'Fix', 'Application', 'Update', 'Ngg', 'Open', 'Ngblank', 'White', "]</v>
      </c>
      <c r="D17708" s="3">
        <v>1.0</v>
      </c>
    </row>
    <row r="17709" ht="15.75" customHeight="1">
      <c r="A17709" s="1">
        <v>18821.0</v>
      </c>
      <c r="B17709" s="3" t="s">
        <v>16791</v>
      </c>
      <c r="C17709" s="3" t="str">
        <f>IFERROR(__xludf.DUMMYFUNCTION("GOOGLETRANSLATE(B17709,""id"",""en"")"),"['Good', 'TPI', 'Glooms', 'LGI', '']")</f>
        <v>['Good', 'TPI', 'Glooms', 'LGI', '']</v>
      </c>
      <c r="D17709" s="3">
        <v>5.0</v>
      </c>
    </row>
    <row r="17710" ht="15.75" customHeight="1">
      <c r="A17710" s="1">
        <v>18822.0</v>
      </c>
      <c r="B17710" s="3" t="s">
        <v>16792</v>
      </c>
      <c r="C17710" s="3" t="str">
        <f>IFERROR(__xludf.DUMMYFUNCTION("GOOGLETRANSLATE(B17710,""id"",""en"")"),"['signal', 'reach', 'broad', 'price', 'package', 'affordable']")</f>
        <v>['signal', 'reach', 'broad', 'price', 'package', 'affordable']</v>
      </c>
      <c r="D17710" s="3">
        <v>5.0</v>
      </c>
    </row>
    <row r="17711" ht="15.75" customHeight="1">
      <c r="A17711" s="1">
        <v>18823.0</v>
      </c>
      <c r="B17711" s="3" t="s">
        <v>16793</v>
      </c>
      <c r="C17711" s="3" t="str">
        <f>IFERROR(__xludf.DUMMYFUNCTION("GOOGLETRANSLATE(B17711,""id"",""en"")"),"['application', 'opened', 'please', 'operator', 'updated', ""]")</f>
        <v>['application', 'opened', 'please', 'operator', 'updated', "]</v>
      </c>
      <c r="D17711" s="3">
        <v>5.0</v>
      </c>
    </row>
    <row r="17712" ht="15.75" customHeight="1">
      <c r="A17712" s="1">
        <v>18824.0</v>
      </c>
      <c r="B17712" s="3" t="s">
        <v>16794</v>
      </c>
      <c r="C17712" s="3" t="str">
        <f>IFERROR(__xludf.DUMMYFUNCTION("GOOGLETRANSLATE(B17712,""id"",""en"")"),"['application', 'already', 'good', 'please', 'price', 'reduce', 'little', 'aga', 'expensive', ""]")</f>
        <v>['application', 'already', 'good', 'please', 'price', 'reduce', 'little', 'aga', 'expensive', "]</v>
      </c>
      <c r="D17712" s="3">
        <v>5.0</v>
      </c>
    </row>
    <row r="17713" ht="15.75" customHeight="1">
      <c r="A17713" s="1">
        <v>18825.0</v>
      </c>
      <c r="B17713" s="3" t="s">
        <v>16795</v>
      </c>
      <c r="C17713" s="3" t="str">
        <f>IFERROR(__xludf.DUMMYFUNCTION("GOOGLETRANSLATE(B17713,""id"",""en"")"),"['pepek', 'pulse', 'reduced', 'used', '']")</f>
        <v>['pepek', 'pulse', 'reduced', 'used', '']</v>
      </c>
      <c r="D17713" s="3">
        <v>1.0</v>
      </c>
    </row>
    <row r="17714" ht="15.75" customHeight="1">
      <c r="A17714" s="1">
        <v>18826.0</v>
      </c>
      <c r="B17714" s="3" t="s">
        <v>16796</v>
      </c>
      <c r="C17714" s="3" t="str">
        <f>IFERROR(__xludf.DUMMYFUNCTION("GOOGLETRANSLATE(B17714,""id"",""en"")"),"['', 'Unlimitedmax', 'disappointing']")</f>
        <v>['', 'Unlimitedmax', 'disappointing']</v>
      </c>
      <c r="D17714" s="3">
        <v>1.0</v>
      </c>
    </row>
    <row r="17715" ht="15.75" customHeight="1">
      <c r="A17715" s="1">
        <v>18827.0</v>
      </c>
      <c r="B17715" s="3" t="s">
        <v>16797</v>
      </c>
      <c r="C17715" s="3" t="str">
        <f>IFERROR(__xludf.DUMMYFUNCTION("GOOGLETRANSLATE(B17715,""id"",""en"")"),"['White', 'Screen', 'Fix', '']")</f>
        <v>['White', 'Screen', 'Fix', '']</v>
      </c>
      <c r="D17715" s="3">
        <v>1.0</v>
      </c>
    </row>
    <row r="17716" ht="15.75" customHeight="1">
      <c r="A17716" s="1">
        <v>18828.0</v>
      </c>
      <c r="B17716" s="3" t="s">
        <v>16798</v>
      </c>
      <c r="C17716" s="3" t="str">
        <f>IFERROR(__xludf.DUMMYFUNCTION("GOOGLETRANSLATE(B17716,""id"",""en"")"),"['', 'Open', 'The application', 'already', 'reset', 'installation', 'update', 'open', '']")</f>
        <v>['', 'Open', 'The application', 'already', 'reset', 'installation', 'update', 'open', '']</v>
      </c>
      <c r="D17716" s="3">
        <v>2.0</v>
      </c>
    </row>
    <row r="17717" ht="15.75" customHeight="1">
      <c r="A17717" s="1">
        <v>18829.0</v>
      </c>
      <c r="B17717" s="3" t="s">
        <v>7400</v>
      </c>
      <c r="C17717" s="3" t="str">
        <f>IFERROR(__xludf.DUMMYFUNCTION("GOOGLETRANSLATE(B17717,""id"",""en"")"),"['The application', 'opened', '']")</f>
        <v>['The application', 'opened', '']</v>
      </c>
      <c r="D17717" s="3">
        <v>1.0</v>
      </c>
    </row>
    <row r="17718" ht="15.75" customHeight="1">
      <c r="A17718" s="1">
        <v>18830.0</v>
      </c>
      <c r="B17718" s="3" t="s">
        <v>3713</v>
      </c>
      <c r="C17718" s="3" t="str">
        <f>IFERROR(__xludf.DUMMYFUNCTION("GOOGLETRANSLATE(B17718,""id"",""en"")"),"['Steady', 'APK']")</f>
        <v>['Steady', 'APK']</v>
      </c>
      <c r="D17718" s="3">
        <v>4.0</v>
      </c>
    </row>
    <row r="17719" ht="15.75" customHeight="1">
      <c r="A17719" s="1">
        <v>18832.0</v>
      </c>
      <c r="B17719" s="3" t="s">
        <v>16799</v>
      </c>
      <c r="C17719" s="3" t="str">
        <f>IFERROR(__xludf.DUMMYFUNCTION("GOOGLETRANSLATE(B17719,""id"",""en"")"),"['Network', 'extensive', 'limit']")</f>
        <v>['Network', 'extensive', 'limit']</v>
      </c>
      <c r="D17719" s="3">
        <v>5.0</v>
      </c>
    </row>
    <row r="17720" ht="15.75" customHeight="1">
      <c r="A17720" s="1">
        <v>18834.0</v>
      </c>
      <c r="B17720" s="3" t="s">
        <v>16800</v>
      </c>
      <c r="C17720" s="3" t="str">
        <f>IFERROR(__xludf.DUMMYFUNCTION("GOOGLETRANSLATE(B17720,""id"",""en"")"),"['Application', 'Gas', 'Clock', 'night', ""]")</f>
        <v>['Application', 'Gas', 'Clock', 'night', "]</v>
      </c>
      <c r="D17720" s="3">
        <v>1.0</v>
      </c>
    </row>
    <row r="17721" ht="15.75" customHeight="1">
      <c r="A17721" s="1">
        <v>18836.0</v>
      </c>
      <c r="B17721" s="3" t="s">
        <v>16801</v>
      </c>
      <c r="C17721" s="3" t="str">
        <f>IFERROR(__xludf.DUMMYFUNCTION("GOOGLETRANSLATE(B17721,""id"",""en"")"),"['difficult', 'stop', 'package', 'data', 'registered']")</f>
        <v>['difficult', 'stop', 'package', 'data', 'registered']</v>
      </c>
      <c r="D17721" s="3">
        <v>1.0</v>
      </c>
    </row>
    <row r="17722" ht="15.75" customHeight="1">
      <c r="A17722" s="1">
        <v>18837.0</v>
      </c>
      <c r="B17722" s="3" t="s">
        <v>16802</v>
      </c>
      <c r="C17722" s="3" t="str">
        <f>IFERROR(__xludf.DUMMYFUNCTION("GOOGLETRANSLATE(B17722,""id"",""en"")"),"['complicated', 'check', 'quota', 'msk', 'playstore', 'udh', 'download', 'application', 'save', 'please', 'help', ""]")</f>
        <v>['complicated', 'check', 'quota', 'msk', 'playstore', 'udh', 'download', 'application', 'save', 'please', 'help', "]</v>
      </c>
      <c r="D17722" s="3">
        <v>2.0</v>
      </c>
    </row>
    <row r="17723" ht="15.75" customHeight="1">
      <c r="A17723" s="1">
        <v>18838.0</v>
      </c>
      <c r="B17723" s="3" t="s">
        <v>16803</v>
      </c>
      <c r="C17723" s="3" t="str">
        <f>IFERROR(__xludf.DUMMYFUNCTION("GOOGLETRANSLATE(B17723,""id"",""en"")"),"['Good', 'lalot']")</f>
        <v>['Good', 'lalot']</v>
      </c>
      <c r="D17723" s="3">
        <v>5.0</v>
      </c>
    </row>
    <row r="17724" ht="15.75" customHeight="1">
      <c r="A17724" s="1">
        <v>18839.0</v>
      </c>
      <c r="B17724" s="3" t="s">
        <v>16804</v>
      </c>
      <c r="C17724" s="3" t="str">
        <f>IFERROR(__xludf.DUMMYFUNCTION("GOOGLETRANSLATE(B17724,""id"",""en"")"),"['update', 'MyTelkomsel', 'version', 'December', 'updated', 'screenwhite', 'opened', 'used', 'please', 'Developer', 'Dicheck', 'obstacle', ' Forced ',' Downdgrade ',' Version ',' Via ',' APK ',' Official ',' ']")</f>
        <v>['update', 'MyTelkomsel', 'version', 'December', 'updated', 'screenwhite', 'opened', 'used', 'please', 'Developer', 'Dicheck', 'obstacle', ' Forced ',' Downdgrade ',' Version ',' Via ',' APK ',' Official ',' ']</v>
      </c>
      <c r="D17724" s="3">
        <v>3.0</v>
      </c>
    </row>
    <row r="17725" ht="15.75" customHeight="1">
      <c r="A17725" s="1">
        <v>18840.0</v>
      </c>
      <c r="B17725" s="3" t="s">
        <v>16805</v>
      </c>
      <c r="C17725" s="3" t="str">
        <f>IFERROR(__xludf.DUMMYFUNCTION("GOOGLETRANSLATE(B17725,""id"",""en"")"),"['Cool', 'really', 'tired', 'Nyari', 'quota']")</f>
        <v>['Cool', 'really', 'tired', 'Nyari', 'quota']</v>
      </c>
      <c r="D17725" s="3">
        <v>5.0</v>
      </c>
    </row>
    <row r="17726" ht="15.75" customHeight="1">
      <c r="A17726" s="1">
        <v>18841.0</v>
      </c>
      <c r="B17726" s="3" t="s">
        <v>16806</v>
      </c>
      <c r="C17726" s="3" t="str">
        <f>IFERROR(__xludf.DUMMYFUNCTION("GOOGLETRANSLATE(B17726,""id"",""en"")"),"['Kenpa', 'already', 'application', 'Telkomsel', 'open']")</f>
        <v>['Kenpa', 'already', 'application', 'Telkomsel', 'open']</v>
      </c>
      <c r="D17726" s="3">
        <v>1.0</v>
      </c>
    </row>
    <row r="17727" ht="15.75" customHeight="1">
      <c r="A17727" s="1">
        <v>18842.0</v>
      </c>
      <c r="B17727" s="3" t="s">
        <v>16807</v>
      </c>
      <c r="C17727" s="3" t="str">
        <f>IFERROR(__xludf.DUMMYFUNCTION("GOOGLETRANSLATE(B17727,""id"",""en"")"),"['times', 'loss', 'pulse', 'package', 'quota', 'internet', '']")</f>
        <v>['times', 'loss', 'pulse', 'package', 'quota', 'internet', '']</v>
      </c>
      <c r="D17727" s="3">
        <v>1.0</v>
      </c>
    </row>
    <row r="17728" ht="15.75" customHeight="1">
      <c r="A17728" s="1">
        <v>18843.0</v>
      </c>
      <c r="B17728" s="3" t="s">
        <v>16808</v>
      </c>
      <c r="C17728" s="3" t="str">
        <f>IFERROR(__xludf.DUMMYFUNCTION("GOOGLETRANSLATE(B17728,""id"",""en"")"),"['afternoon', 'Tsel', 'The network', 'ugly', 'area', 'Tasik', 'disorder', 'no']")</f>
        <v>['afternoon', 'Tsel', 'The network', 'ugly', 'area', 'Tasik', 'disorder', 'no']</v>
      </c>
      <c r="D17728" s="3">
        <v>3.0</v>
      </c>
    </row>
    <row r="17729" ht="15.75" customHeight="1">
      <c r="A17729" s="1">
        <v>18844.0</v>
      </c>
      <c r="B17729" s="3" t="s">
        <v>16809</v>
      </c>
      <c r="C17729" s="3" t="str">
        <f>IFERROR(__xludf.DUMMYFUNCTION("GOOGLETRANSLATE(B17729,""id"",""en"")"),"['Good', 'emoga', 'quota', 'free', 'wkwkw']")</f>
        <v>['Good', 'emoga', 'quota', 'free', 'wkwkw']</v>
      </c>
      <c r="D17729" s="3">
        <v>5.0</v>
      </c>
    </row>
    <row r="17730" ht="15.75" customHeight="1">
      <c r="A17730" s="1">
        <v>18845.0</v>
      </c>
      <c r="B17730" s="3" t="s">
        <v>1193</v>
      </c>
      <c r="C17730" s="3" t="str">
        <f>IFERROR(__xludf.DUMMYFUNCTION("GOOGLETRANSLATE(B17730,""id"",""en"")"),"['easy', 'purchase', 'package']")</f>
        <v>['easy', 'purchase', 'package']</v>
      </c>
      <c r="D17730" s="3">
        <v>5.0</v>
      </c>
    </row>
    <row r="17731" ht="15.75" customHeight="1">
      <c r="A17731" s="1">
        <v>18846.0</v>
      </c>
      <c r="B17731" s="3" t="s">
        <v>16810</v>
      </c>
      <c r="C17731" s="3" t="str">
        <f>IFERROR(__xludf.DUMMYFUNCTION("GOOGLETRANSLATE(B17731,""id"",""en"")"),"['Good', 'enhanced', 'lgi']")</f>
        <v>['Good', 'enhanced', 'lgi']</v>
      </c>
      <c r="D17731" s="3">
        <v>4.0</v>
      </c>
    </row>
    <row r="17732" ht="15.75" customHeight="1">
      <c r="A17732" s="1">
        <v>18847.0</v>
      </c>
      <c r="B17732" s="3" t="s">
        <v>16811</v>
      </c>
      <c r="C17732" s="3" t="str">
        <f>IFERROR(__xludf.DUMMYFUNCTION("GOOGLETRANSLATE(B17732,""id"",""en"")"),"['Help', 'Tellzhui', 'Pemerakan', 'Info', 'Helpful', 'Forward', 'Telkomsel', ""]")</f>
        <v>['Help', 'Tellzhui', 'Pemerakan', 'Info', 'Helpful', 'Forward', 'Telkomsel', "]</v>
      </c>
      <c r="D17732" s="3">
        <v>5.0</v>
      </c>
    </row>
    <row r="17733" ht="15.75" customHeight="1">
      <c r="A17733" s="1">
        <v>18848.0</v>
      </c>
      <c r="B17733" s="3" t="s">
        <v>16812</v>
      </c>
      <c r="C17733" s="3" t="str">
        <f>IFERROR(__xludf.DUMMYFUNCTION("GOOGLETRANSLATE(B17733,""id"",""en"")"),"['Please', 'Note', 'Telkomsel', 'Service', 'Quality', 'Means', 'Doang', 'Mulu', 'APL', 'Network', 'eak', ""]")</f>
        <v>['Please', 'Note', 'Telkomsel', 'Service', 'Quality', 'Means', 'Doang', 'Mulu', 'APL', 'Network', 'eak', "]</v>
      </c>
      <c r="D17733" s="3">
        <v>1.0</v>
      </c>
    </row>
    <row r="17734" ht="15.75" customHeight="1">
      <c r="A17734" s="1">
        <v>18849.0</v>
      </c>
      <c r="B17734" s="3" t="s">
        <v>16813</v>
      </c>
      <c r="C17734" s="3" t="str">
        <f>IFERROR(__xludf.DUMMYFUNCTION("GOOGLETRANSLATE(B17734,""id"",""en"")"),"['Bintang', 'Review', 'talk', 'Increase', 'service', 'price', 'package', 'expensive', 'net', 'data', 'road', 'run out', ' Fill ',' Quota ',' Severe ',' Telkomsel ',' The Network ',' Bad ']")</f>
        <v>['Bintang', 'Review', 'talk', 'Increase', 'service', 'price', 'package', 'expensive', 'net', 'data', 'road', 'run out', ' Fill ',' Quota ',' Severe ',' Telkomsel ',' The Network ',' Bad ']</v>
      </c>
      <c r="D17734" s="3">
        <v>1.0</v>
      </c>
    </row>
    <row r="17735" ht="15.75" customHeight="1">
      <c r="A17735" s="1">
        <v>18850.0</v>
      </c>
      <c r="B17735" s="3" t="s">
        <v>16814</v>
      </c>
      <c r="C17735" s="3" t="str">
        <f>IFERROR(__xludf.DUMMYFUNCTION("GOOGLETRANSLATE(B17735,""id"",""en"")"),"['apk', 'error', 'tah']")</f>
        <v>['apk', 'error', 'tah']</v>
      </c>
      <c r="D17735" s="3">
        <v>1.0</v>
      </c>
    </row>
    <row r="17736" ht="15.75" customHeight="1">
      <c r="A17736" s="1">
        <v>18851.0</v>
      </c>
      <c r="B17736" s="3" t="s">
        <v>16815</v>
      </c>
      <c r="C17736" s="3" t="str">
        <f>IFERROR(__xludf.DUMMYFUNCTION("GOOGLETRANSLATE(B17736,""id"",""en"")"),"['Please', 'promo', 'multiptenize']")</f>
        <v>['Please', 'promo', 'multiptenize']</v>
      </c>
      <c r="D17736" s="3">
        <v>5.0</v>
      </c>
    </row>
    <row r="17737" ht="15.75" customHeight="1">
      <c r="A17737" s="1">
        <v>18852.0</v>
      </c>
      <c r="B17737" s="3" t="s">
        <v>16816</v>
      </c>
      <c r="C17737" s="3" t="str">
        <f>IFERROR(__xludf.DUMMYFUNCTION("GOOGLETRANSLATE(B17737,""id"",""en"")"),"['Abis', 'update', 'zonk', 'right', 'open', 'application', 'screen', 'white', ""]")</f>
        <v>['Abis', 'update', 'zonk', 'right', 'open', 'application', 'screen', 'white', "]</v>
      </c>
      <c r="D17737" s="3">
        <v>1.0</v>
      </c>
    </row>
    <row r="17738" ht="15.75" customHeight="1">
      <c r="A17738" s="1">
        <v>18853.0</v>
      </c>
      <c r="B17738" s="3" t="s">
        <v>16817</v>
      </c>
      <c r="C17738" s="3" t="str">
        <f>IFERROR(__xludf.DUMMYFUNCTION("GOOGLETRANSLATE(B17738,""id"",""en"")"),"['Good', 'really', 'use', 'Telkomsel', 'sympathy', 'ugly', 'weather', 'cloudy', 'signal', 'browsing', 'slow', 'slow', ' disturbed']")</f>
        <v>['Good', 'really', 'use', 'Telkomsel', 'sympathy', 'ugly', 'weather', 'cloudy', 'signal', 'browsing', 'slow', 'slow', ' disturbed']</v>
      </c>
      <c r="D17738" s="3">
        <v>5.0</v>
      </c>
    </row>
    <row r="17739" ht="15.75" customHeight="1">
      <c r="A17739" s="1">
        <v>18854.0</v>
      </c>
      <c r="B17739" s="3" t="s">
        <v>16818</v>
      </c>
      <c r="C17739" s="3" t="str">
        <f>IFERROR(__xludf.DUMMYFUNCTION("GOOGLETRANSLATE(B17739,""id"",""en"")"),"['times',' application ',' use ',' class', 'Telkomsel', 'rich', 'gini', 'price', 'category', 'expensive', 'complaint', 'friend', ' Friends', 'use', 'Nidak', 'feel', 'hurry', 'recover', 'Telkomsel', 'user', 'use you', '']")</f>
        <v>['times',' application ',' use ',' class', 'Telkomsel', 'rich', 'gini', 'price', 'category', 'expensive', 'complaint', 'friend', ' Friends', 'use', 'Nidak', 'feel', 'hurry', 'recover', 'Telkomsel', 'user', 'use you', '']</v>
      </c>
      <c r="D17739" s="3">
        <v>1.0</v>
      </c>
    </row>
    <row r="17740" ht="15.75" customHeight="1">
      <c r="A17740" s="1">
        <v>18855.0</v>
      </c>
      <c r="B17740" s="3" t="s">
        <v>16819</v>
      </c>
      <c r="C17740" s="3" t="str">
        <f>IFERROR(__xludf.DUMMYFUNCTION("GOOGLETRANSLATE(B17740,""id"",""en"")"),"['Yesterday', 'opened', 'Ngeblank', 'White', 'already', 'Anybody', 'Help', 'Open', 'Ngeblank']")</f>
        <v>['Yesterday', 'opened', 'Ngeblank', 'White', 'already', 'Anybody', 'Help', 'Open', 'Ngeblank']</v>
      </c>
      <c r="D17740" s="3">
        <v>1.0</v>
      </c>
    </row>
    <row r="17741" ht="15.75" customHeight="1">
      <c r="A17741" s="1">
        <v>18856.0</v>
      </c>
      <c r="B17741" s="3" t="s">
        <v>16820</v>
      </c>
      <c r="C17741" s="3" t="str">
        <f>IFERROR(__xludf.DUMMYFUNCTION("GOOGLETRANSLATE(B17741,""id"",""en"")"),"['axles',' slow ',' really ',' kayak ',' Kura ',' package ',' data ',' expensive ',' regret ',' I ',' Telkomsel ',' suggestion ',' I ',' stop ',' buy ',' Package ',' Telkomsel ',' Entar ',' Ereans', '']")</f>
        <v>['axles',' slow ',' really ',' kayak ',' Kura ',' package ',' data ',' expensive ',' regret ',' I ',' Telkomsel ',' suggestion ',' I ',' stop ',' buy ',' Package ',' Telkomsel ',' Entar ',' Ereans', '']</v>
      </c>
      <c r="D17741" s="3">
        <v>1.0</v>
      </c>
    </row>
    <row r="17742" ht="15.75" customHeight="1">
      <c r="A17742" s="1">
        <v>18857.0</v>
      </c>
      <c r="B17742" s="3" t="s">
        <v>16821</v>
      </c>
      <c r="C17742" s="3" t="str">
        <f>IFERROR(__xludf.DUMMYFUNCTION("GOOGLETRANSLATE(B17742,""id"",""en"")"),"['application', 'open', 'paraaah', 'really', '']")</f>
        <v>['application', 'open', 'paraaah', 'really', '']</v>
      </c>
      <c r="D17742" s="3">
        <v>1.0</v>
      </c>
    </row>
    <row r="17743" ht="15.75" customHeight="1">
      <c r="A17743" s="1">
        <v>18858.0</v>
      </c>
      <c r="B17743" s="3" t="s">
        <v>16822</v>
      </c>
      <c r="C17743" s="3" t="str">
        <f>IFERROR(__xludf.DUMMYFUNCTION("GOOGLETRANSLATE(B17743,""id"",""en"")"),"['hope', 'cheap', 'price', '']")</f>
        <v>['hope', 'cheap', 'price', '']</v>
      </c>
      <c r="D17743" s="3">
        <v>4.0</v>
      </c>
    </row>
    <row r="17744" ht="15.75" customHeight="1">
      <c r="A17744" s="1">
        <v>18859.0</v>
      </c>
      <c r="B17744" s="3" t="s">
        <v>16823</v>
      </c>
      <c r="C17744" s="3" t="str">
        <f>IFERROR(__xludf.DUMMYFUNCTION("GOOGLETRANSLATE(B17744,""id"",""en"")"),"['fit', 'package', 'unlimited', 'cheap', 'signal', 'good', 'really', 'quota', 'main', 'run out', 'expensive', 'ugly', ' The network is', 'Mantap', 'Telkomsel', 'Hopefully', 'Didee', 'Move']")</f>
        <v>['fit', 'package', 'unlimited', 'cheap', 'signal', 'good', 'really', 'quota', 'main', 'run out', 'expensive', 'ugly', ' The network is', 'Mantap', 'Telkomsel', 'Hopefully', 'Didee', 'Move']</v>
      </c>
      <c r="D17744" s="3">
        <v>1.0</v>
      </c>
    </row>
    <row r="17745" ht="15.75" customHeight="1">
      <c r="A17745" s="1">
        <v>18860.0</v>
      </c>
      <c r="B17745" s="3" t="s">
        <v>16824</v>
      </c>
      <c r="C17745" s="3" t="str">
        <f>IFERROR(__xludf.DUMMYFUNCTION("GOOGLETRANSLATE(B17745,""id"",""en"")"),"['Telkomsel', 'You', 'Lower', 'Price', 'Quota', 'Smiling', 'Date', 'Old', 'Tampa', 'Thinking', 'Price', 'Quota', ' ']")</f>
        <v>['Telkomsel', 'You', 'Lower', 'Price', 'Quota', 'Smiling', 'Date', 'Old', 'Tampa', 'Thinking', 'Price', 'Quota', ' ']</v>
      </c>
      <c r="D17745" s="3">
        <v>5.0</v>
      </c>
    </row>
    <row r="17746" ht="15.75" customHeight="1">
      <c r="A17746" s="1">
        <v>18861.0</v>
      </c>
      <c r="B17746" s="3" t="s">
        <v>16825</v>
      </c>
      <c r="C17746" s="3" t="str">
        <f>IFERROR(__xludf.DUMMYFUNCTION("GOOGLETRANSLATE(B17746,""id"",""en"")"),"['APK', 'open', 'WITE', 'Screen', 'emngnya', 'my apk', 'error', 'kah', 'please', 'fix', 'good', 'apk', ' ']")</f>
        <v>['APK', 'open', 'WITE', 'Screen', 'emngnya', 'my apk', 'error', 'kah', 'please', 'fix', 'good', 'apk', ' ']</v>
      </c>
      <c r="D17746" s="3">
        <v>5.0</v>
      </c>
    </row>
    <row r="17747" ht="15.75" customHeight="1">
      <c r="A17747" s="1">
        <v>18862.0</v>
      </c>
      <c r="B17747" s="3" t="s">
        <v>16826</v>
      </c>
      <c r="C17747" s="3" t="str">
        <f>IFERROR(__xludf.DUMMYFUNCTION("GOOGLETRANSLATE(B17747,""id"",""en"")"),"['enter', 'APK', '']")</f>
        <v>['enter', 'APK', '']</v>
      </c>
      <c r="D17747" s="3">
        <v>1.0</v>
      </c>
    </row>
    <row r="17748" ht="15.75" customHeight="1">
      <c r="A17748" s="1">
        <v>18863.0</v>
      </c>
      <c r="B17748" s="3" t="s">
        <v>16827</v>
      </c>
      <c r="C17748" s="3" t="str">
        <f>IFERROR(__xludf.DUMMYFUNCTION("GOOGLETRANSLATE(B17748,""id"",""en"")"),"['Add', 'Feature', 'Locking', 'Credit', 'Internet', 'Please', 'Permed', 'Signal', 'ugly']")</f>
        <v>['Add', 'Feature', 'Locking', 'Credit', 'Internet', 'Please', 'Permed', 'Signal', 'ugly']</v>
      </c>
      <c r="D17748" s="3">
        <v>1.0</v>
      </c>
    </row>
    <row r="17749" ht="15.75" customHeight="1">
      <c r="A17749" s="1">
        <v>18864.0</v>
      </c>
      <c r="B17749" s="3" t="s">
        <v>4921</v>
      </c>
      <c r="C17749" s="3" t="str">
        <f>IFERROR(__xludf.DUMMYFUNCTION("GOOGLETRANSLATE(B17749,""id"",""en"")"),"['Open', 'Telkomsel']")</f>
        <v>['Open', 'Telkomsel']</v>
      </c>
      <c r="D17749" s="3">
        <v>1.0</v>
      </c>
    </row>
    <row r="17750" ht="15.75" customHeight="1">
      <c r="A17750" s="1">
        <v>18865.0</v>
      </c>
      <c r="B17750" s="3" t="s">
        <v>16828</v>
      </c>
      <c r="C17750" s="3" t="str">
        <f>IFERROR(__xludf.DUMMYFUNCTION("GOOGLETRANSLATE(B17750,""id"",""en"")"),"['', 'Change', 'review', 'application', 'slow', 'use', 'tab', 'Samsung', 'hot', 'tab', 'sya', 'left', 'space ',' memory ',' pdhl ',' msh ',' bnyk ',' please ',' repaired ',' convenience ',' customer ',' ']")</f>
        <v>['', 'Change', 'review', 'application', 'slow', 'use', 'tab', 'Samsung', 'hot', 'tab', 'sya', 'left', 'space ',' memory ',' pdhl ',' msh ',' bnyk ',' please ',' repaired ',' convenience ',' customer ',' ']</v>
      </c>
      <c r="D17750" s="3">
        <v>3.0</v>
      </c>
    </row>
    <row r="17751" ht="15.75" customHeight="1">
      <c r="A17751" s="1">
        <v>18866.0</v>
      </c>
      <c r="B17751" s="3" t="s">
        <v>16829</v>
      </c>
      <c r="C17751" s="3" t="str">
        <f>IFERROR(__xludf.DUMMYFUNCTION("GOOGLETRANSLATE(B17751,""id"",""en"")"),"['Innsya', 'Allah', 'Barokah', 'Aamiin']")</f>
        <v>['Innsya', 'Allah', 'Barokah', 'Aamiin']</v>
      </c>
      <c r="D17751" s="3">
        <v>5.0</v>
      </c>
    </row>
    <row r="17752" ht="15.75" customHeight="1">
      <c r="A17752" s="1">
        <v>18867.0</v>
      </c>
      <c r="B17752" s="3" t="s">
        <v>16830</v>
      </c>
      <c r="C17752" s="3" t="str">
        <f>IFERROR(__xludf.DUMMYFUNCTION("GOOGLETRANSLATE(B17752,""id"",""en"")"),"['Wooooooyyyyyy', 'App', 'openedaaaaaaaaaaaaaaaaaaaaaaaaaa', 'taiiiiiii', 'update', 'opened', 'the application', 'woooooyyyy']")</f>
        <v>['Wooooooyyyyyy', 'App', 'openedaaaaaaaaaaaaaaaaaaaaaaaaaa', 'taiiiiiii', 'update', 'opened', 'the application', 'woooooyyyy']</v>
      </c>
      <c r="D17752" s="3">
        <v>1.0</v>
      </c>
    </row>
    <row r="17753" ht="15.75" customHeight="1">
      <c r="A17753" s="1">
        <v>18868.0</v>
      </c>
      <c r="B17753" s="3" t="s">
        <v>11802</v>
      </c>
      <c r="C17753" s="3" t="str">
        <f>IFERROR(__xludf.DUMMYFUNCTION("GOOGLETRANSLATE(B17753,""id"",""en"")"),"['Service', 'satisfying']")</f>
        <v>['Service', 'satisfying']</v>
      </c>
      <c r="D17753" s="3">
        <v>5.0</v>
      </c>
    </row>
    <row r="17754" ht="15.75" customHeight="1">
      <c r="A17754" s="1">
        <v>18869.0</v>
      </c>
      <c r="B17754" s="3" t="s">
        <v>16831</v>
      </c>
      <c r="C17754" s="3" t="str">
        <f>IFERROR(__xludf.DUMMYFUNCTION("GOOGLETRANSLATE(B17754,""id"",""en"")"),"['application', 'signal', 'kdg', 'upset', 'stable']")</f>
        <v>['application', 'signal', 'kdg', 'upset', 'stable']</v>
      </c>
      <c r="D17754" s="3">
        <v>4.0</v>
      </c>
    </row>
    <row r="17755" ht="15.75" customHeight="1">
      <c r="A17755" s="1">
        <v>18871.0</v>
      </c>
      <c r="B17755" s="3" t="s">
        <v>16832</v>
      </c>
      <c r="C17755" s="3" t="str">
        <f>IFERROR(__xludf.DUMMYFUNCTION("GOOGLETRANSLATE(B17755,""id"",""en"")"),"['buy', 'package', 'internet', 'notif', 'sorry', 'system', 'busy', 'busy', 'update', 'bgus',' mlh ',' maybe ',' critical']")</f>
        <v>['buy', 'package', 'internet', 'notif', 'sorry', 'system', 'busy', 'busy', 'update', 'bgus',' mlh ',' maybe ',' critical']</v>
      </c>
      <c r="D17755" s="3">
        <v>1.0</v>
      </c>
    </row>
    <row r="17756" ht="15.75" customHeight="1">
      <c r="A17756" s="1">
        <v>18872.0</v>
      </c>
      <c r="B17756" s="3" t="s">
        <v>16833</v>
      </c>
      <c r="C17756" s="3" t="str">
        <f>IFERROR(__xludf.DUMMYFUNCTION("GOOGLETRANSLATE(B17756,""id"",""en"")"),"['Telkomsel', 'updated', 'no', 'open', 'UDH', 'Try', 'Uninstall', 'Install', 'Nidak', 'Open']")</f>
        <v>['Telkomsel', 'updated', 'no', 'open', 'UDH', 'Try', 'Uninstall', 'Install', 'Nidak', 'Open']</v>
      </c>
      <c r="D17756" s="3">
        <v>1.0</v>
      </c>
    </row>
    <row r="17757" ht="15.75" customHeight="1">
      <c r="A17757" s="1">
        <v>18873.0</v>
      </c>
      <c r="B17757" s="3" t="s">
        <v>16834</v>
      </c>
      <c r="C17757" s="3" t="str">
        <f>IFERROR(__xludf.DUMMYFUNCTION("GOOGLETRANSLATE(B17757,""id"",""en"")"),"['Good', 'kasi', 'discount', 'murh', 'yaa']")</f>
        <v>['Good', 'kasi', 'discount', 'murh', 'yaa']</v>
      </c>
      <c r="D17757" s="3">
        <v>5.0</v>
      </c>
    </row>
    <row r="17758" ht="15.75" customHeight="1">
      <c r="A17758" s="1">
        <v>18874.0</v>
      </c>
      <c r="B17758" s="3" t="s">
        <v>16835</v>
      </c>
      <c r="C17758" s="3" t="str">
        <f>IFERROR(__xludf.DUMMYFUNCTION("GOOGLETRANSLATE(B17758,""id"",""en"")"),"['Signal', 'Bener', 'Game', 'Strong', 'LOL', '']")</f>
        <v>['Signal', 'Bener', 'Game', 'Strong', 'LOL', '']</v>
      </c>
      <c r="D17758" s="3">
        <v>1.0</v>
      </c>
    </row>
    <row r="17759" ht="15.75" customHeight="1">
      <c r="A17759" s="1">
        <v>18875.0</v>
      </c>
      <c r="B17759" s="3" t="s">
        <v>16836</v>
      </c>
      <c r="C17759" s="3" t="str">
        <f>IFERROR(__xludf.DUMMYFUNCTION("GOOGLETRANSLATE(B17759,""id"",""en"")"),"['Application', 'No', 'Update', 'Developer', 'GMN', 'Make it', '']")</f>
        <v>['Application', 'No', 'Update', 'Developer', 'GMN', 'Make it', '']</v>
      </c>
      <c r="D17759" s="3">
        <v>1.0</v>
      </c>
    </row>
    <row r="17760" ht="15.75" customHeight="1">
      <c r="A17760" s="1">
        <v>18876.0</v>
      </c>
      <c r="B17760" s="3" t="s">
        <v>16837</v>
      </c>
      <c r="C17760" s="3" t="str">
        <f>IFERROR(__xludf.DUMMYFUNCTION("GOOGLETRANSLATE(B17760,""id"",""en"")"),"['Out', 'update', 'Nga', 'open', 'the application', 'Help']")</f>
        <v>['Out', 'update', 'Nga', 'open', 'the application', 'Help']</v>
      </c>
      <c r="D17760" s="3">
        <v>3.0</v>
      </c>
    </row>
    <row r="17761" ht="15.75" customHeight="1">
      <c r="A17761" s="1">
        <v>18877.0</v>
      </c>
      <c r="B17761" s="3" t="s">
        <v>16838</v>
      </c>
      <c r="C17761" s="3" t="str">
        <f>IFERROR(__xludf.DUMMYFUNCTION("GOOGLETRANSLATE(B17761,""id"",""en"")"),"['update', 'no', 'open', '']")</f>
        <v>['update', 'no', 'open', '']</v>
      </c>
      <c r="D17761" s="3">
        <v>1.0</v>
      </c>
    </row>
    <row r="17762" ht="15.75" customHeight="1">
      <c r="A17762" s="1">
        <v>18878.0</v>
      </c>
      <c r="B17762" s="3" t="s">
        <v>16839</v>
      </c>
      <c r="C17762" s="3" t="str">
        <f>IFERROR(__xludf.DUMMYFUNCTION("GOOGLETRANSLATE(B17762,""id"",""en"")"),"['Enter', 'Telkomsel', 'session', 'how', 'please', 'fix']")</f>
        <v>['Enter', 'Telkomsel', 'session', 'how', 'please', 'fix']</v>
      </c>
      <c r="D17762" s="3">
        <v>1.0</v>
      </c>
    </row>
    <row r="17763" ht="15.75" customHeight="1">
      <c r="A17763" s="1">
        <v>18879.0</v>
      </c>
      <c r="B17763" s="3" t="s">
        <v>16840</v>
      </c>
      <c r="C17763" s="3" t="str">
        <f>IFERROR(__xludf.DUMMYFUNCTION("GOOGLETRANSLATE(B17763,""id"",""en"")"),"['', 'buy', 'package', 'disorder', 'system', 'mulu', 'udh', 'wait', 'for days', ""]")</f>
        <v>['', 'buy', 'package', 'disorder', 'system', 'mulu', 'udh', 'wait', 'for days', "]</v>
      </c>
      <c r="D17763" s="3">
        <v>1.0</v>
      </c>
    </row>
    <row r="17764" ht="15.75" customHeight="1">
      <c r="A17764" s="1">
        <v>18880.0</v>
      </c>
      <c r="B17764" s="3" t="s">
        <v>16841</v>
      </c>
      <c r="C17764" s="3" t="str">
        <f>IFERROR(__xludf.DUMMYFUNCTION("GOOGLETRANSLATE(B17764,""id"",""en"")"),"['Application', 'Open', 'Updete', 'Please', 'Help']")</f>
        <v>['Application', 'Open', 'Updete', 'Please', 'Help']</v>
      </c>
      <c r="D17764" s="3">
        <v>1.0</v>
      </c>
    </row>
    <row r="17765" ht="15.75" customHeight="1">
      <c r="A17765" s="1">
        <v>18881.0</v>
      </c>
      <c r="B17765" s="3" t="s">
        <v>16842</v>
      </c>
      <c r="C17765" s="3" t="str">
        <f>IFERROR(__xludf.DUMMYFUNCTION("GOOGLETRANSLATE(B17765,""id"",""en"")"),"['Try', 'dlu', 'love', 'star', '']")</f>
        <v>['Try', 'dlu', 'love', 'star', '']</v>
      </c>
      <c r="D17765" s="3">
        <v>3.0</v>
      </c>
    </row>
    <row r="17766" ht="15.75" customHeight="1">
      <c r="A17766" s="1">
        <v>18882.0</v>
      </c>
      <c r="B17766" s="3" t="s">
        <v>16843</v>
      </c>
      <c r="C17766" s="3" t="str">
        <f>IFERROR(__xludf.DUMMYFUNCTION("GOOGLETRANSLATE(B17766,""id"",""en"")"),"['Please', 'Help', 'Min', 'Open', 'MyTelkomsel', '']")</f>
        <v>['Please', 'Help', 'Min', 'Open', 'MyTelkomsel', '']</v>
      </c>
      <c r="D17766" s="3">
        <v>1.0</v>
      </c>
    </row>
    <row r="17767" ht="15.75" customHeight="1">
      <c r="A17767" s="1">
        <v>18883.0</v>
      </c>
      <c r="B17767" s="3" t="s">
        <v>16844</v>
      </c>
      <c r="C17767" s="3" t="str">
        <f>IFERROR(__xludf.DUMMYFUNCTION("GOOGLETRANSLATE(B17767,""id"",""en"")"),"['Mustap', 'expensive', 'expensive', 'package', 'internet', 'hehehe']")</f>
        <v>['Mustap', 'expensive', 'expensive', 'package', 'internet', 'hehehe']</v>
      </c>
      <c r="D17767" s="3">
        <v>5.0</v>
      </c>
    </row>
    <row r="17768" ht="15.75" customHeight="1">
      <c r="A17768" s="1">
        <v>18884.0</v>
      </c>
      <c r="B17768" s="3" t="s">
        <v>16845</v>
      </c>
      <c r="C17768" s="3" t="str">
        <f>IFERROR(__xludf.DUMMYFUNCTION("GOOGLETRANSLATE(B17768,""id"",""en"")"),"['', 'Telkomsel', 'worst', 'activation', 'package', 'pulse', 'dysesoooot', 'worst', '']")</f>
        <v>['', 'Telkomsel', 'worst', 'activation', 'package', 'pulse', 'dysesoooot', 'worst', '']</v>
      </c>
      <c r="D17768" s="3">
        <v>1.0</v>
      </c>
    </row>
    <row r="17769" ht="15.75" customHeight="1">
      <c r="A17769" s="1">
        <v>18885.0</v>
      </c>
      <c r="B17769" s="3" t="s">
        <v>16846</v>
      </c>
      <c r="C17769" s="3" t="str">
        <f>IFERROR(__xludf.DUMMYFUNCTION("GOOGLETRANSLATE(B17769,""id"",""en"")"),"['Network', 'Sometimes', 'Leet', '']")</f>
        <v>['Network', 'Sometimes', 'Leet', '']</v>
      </c>
      <c r="D17769" s="3">
        <v>4.0</v>
      </c>
    </row>
    <row r="17770" ht="15.75" customHeight="1">
      <c r="A17770" s="1">
        <v>18886.0</v>
      </c>
      <c r="B17770" s="3" t="s">
        <v>16847</v>
      </c>
      <c r="C17770" s="3" t="str">
        <f>IFERROR(__xludf.DUMMYFUNCTION("GOOGLETRANSLATE(B17770,""id"",""en"")"),"['', 'Provider', 'APL', 'gabisa', 'access',' complaints', 'solution', 'severe', 'gini', 'replace', 'provider', 'regret', 'Memek ',' priority ',' good ',' downhill ',' ']")</f>
        <v>['', 'Provider', 'APL', 'gabisa', 'access',' complaints', 'solution', 'severe', 'gini', 'replace', 'provider', 'regret', 'Memek ',' priority ',' good ',' downhill ',' ']</v>
      </c>
      <c r="D17770" s="3">
        <v>1.0</v>
      </c>
    </row>
    <row r="17771" ht="15.75" customHeight="1">
      <c r="A17771" s="1">
        <v>18887.0</v>
      </c>
      <c r="B17771" s="3" t="s">
        <v>16848</v>
      </c>
      <c r="C17771" s="3" t="str">
        <f>IFERROR(__xludf.DUMMYFUNCTION("GOOGLETRANSLATE(B17771,""id"",""en"")"),"['Hopefully', 'Telkomsel', 'Jaya', 'Facilities', 'Best', 'The wearer', ""]")</f>
        <v>['Hopefully', 'Telkomsel', 'Jaya', 'Facilities', 'Best', 'The wearer', "]</v>
      </c>
      <c r="D17771" s="3">
        <v>5.0</v>
      </c>
    </row>
    <row r="17772" ht="15.75" customHeight="1">
      <c r="A17772" s="1">
        <v>18888.0</v>
      </c>
      <c r="B17772" s="3" t="s">
        <v>16849</v>
      </c>
      <c r="C17772" s="3" t="str">
        <f>IFERROR(__xludf.DUMMYFUNCTION("GOOGLETRANSLATE(B17772,""id"",""en"")"),"['buy', 'package', 'omg', 'quota', 'omg', 'strange', 'omg', 'reduced', 'watch', 'youtube', 'quota', 'internet', ' Reduced ',' Bug ',' Scam ',' ']")</f>
        <v>['buy', 'package', 'omg', 'quota', 'omg', 'strange', 'omg', 'reduced', 'watch', 'youtube', 'quota', 'internet', ' Reduced ',' Bug ',' Scam ',' ']</v>
      </c>
      <c r="D17772" s="3">
        <v>1.0</v>
      </c>
    </row>
    <row r="17773" ht="15.75" customHeight="1">
      <c r="A17773" s="1">
        <v>18889.0</v>
      </c>
      <c r="B17773" s="3" t="s">
        <v>16850</v>
      </c>
      <c r="C17773" s="3" t="str">
        <f>IFERROR(__xludf.DUMMYFUNCTION("GOOGLETRANSLATE(B17773,""id"",""en"")"),"['Network', 'Telkomsel', 'good', 'noon', 'clock', 'night', 'smooth', 'service', 'Telkomsel', 'price', 'expensive']")</f>
        <v>['Network', 'Telkomsel', 'good', 'noon', 'clock', 'night', 'smooth', 'service', 'Telkomsel', 'price', 'expensive']</v>
      </c>
      <c r="D17773" s="3">
        <v>3.0</v>
      </c>
    </row>
    <row r="17774" ht="15.75" customHeight="1">
      <c r="A17774" s="1">
        <v>18891.0</v>
      </c>
      <c r="B17774" s="3" t="s">
        <v>16851</v>
      </c>
      <c r="C17774" s="3" t="str">
        <f>IFERROR(__xludf.DUMMYFUNCTION("GOOGLETRANSLATE(B17774,""id"",""en"")"),"['Steady', 'help', 'obstacles']")</f>
        <v>['Steady', 'help', 'obstacles']</v>
      </c>
      <c r="D17774" s="3">
        <v>3.0</v>
      </c>
    </row>
    <row r="17775" ht="15.75" customHeight="1">
      <c r="A17775" s="1">
        <v>18892.0</v>
      </c>
      <c r="B17775" s="3" t="s">
        <v>16852</v>
      </c>
      <c r="C17775" s="3" t="str">
        <f>IFERROR(__xludf.DUMMYFUNCTION("GOOGLETRANSLATE(B17775,""id"",""en"")"),"['min', 'updete', 'apk', 'no', 'open', 'please', 'fix', 'Samsung', '']")</f>
        <v>['min', 'updete', 'apk', 'no', 'open', 'please', 'fix', 'Samsung', '']</v>
      </c>
      <c r="D17775" s="3">
        <v>1.0</v>
      </c>
    </row>
    <row r="17776" ht="15.75" customHeight="1">
      <c r="A17776" s="1">
        <v>18893.0</v>
      </c>
      <c r="B17776" s="3" t="s">
        <v>16853</v>
      </c>
      <c r="C17776" s="3" t="str">
        <f>IFERROR(__xludf.DUMMYFUNCTION("GOOGLETRANSLATE(B17776,""id"",""en"")"),"['Suggestion', 'Telkomsel', 'Package', 'GameSmax', 'Please', 'Tambain', 'Game', 'Call', 'Duty', 'Mobile', '']")</f>
        <v>['Suggestion', 'Telkomsel', 'Package', 'GameSmax', 'Please', 'Tambain', 'Game', 'Call', 'Duty', 'Mobile', '']</v>
      </c>
      <c r="D17776" s="3">
        <v>5.0</v>
      </c>
    </row>
    <row r="17777" ht="15.75" customHeight="1">
      <c r="A17777" s="1">
        <v>18894.0</v>
      </c>
      <c r="B17777" s="3" t="s">
        <v>16854</v>
      </c>
      <c r="C17777" s="3" t="str">
        <f>IFERROR(__xludf.DUMMYFUNCTION("GOOGLETRANSLATE(B17777,""id"",""en"")"),"['', 'Pay', 'quota', 'expensive', 'signal', 'like', 'rotten', 'answer', 'Telkomsel', 'Gara', 'make', 'disappointing', 'sometimes ',' lag ',' right ',' internet ',' smooth ',' right ',' need ',' really ',' direct ',' down ',' ']")</f>
        <v>['', 'Pay', 'quota', 'expensive', 'signal', 'like', 'rotten', 'answer', 'Telkomsel', 'Gara', 'make', 'disappointing', 'sometimes ',' lag ',' right ',' internet ',' smooth ',' right ',' need ',' really ',' direct ',' down ',' ']</v>
      </c>
      <c r="D17777" s="3">
        <v>1.0</v>
      </c>
    </row>
    <row r="17778" ht="15.75" customHeight="1">
      <c r="A17778" s="1">
        <v>18895.0</v>
      </c>
      <c r="B17778" s="3" t="s">
        <v>16855</v>
      </c>
      <c r="C17778" s="3" t="str">
        <f>IFERROR(__xludf.DUMMYFUNCTION("GOOGLETRANSLATE(B17778,""id"",""en"")"),"['application', 'help', 'info', 'product', 'Telkomsel']")</f>
        <v>['application', 'help', 'info', 'product', 'Telkomsel']</v>
      </c>
      <c r="D17778" s="3">
        <v>5.0</v>
      </c>
    </row>
    <row r="17779" ht="15.75" customHeight="1">
      <c r="A17779" s="1">
        <v>18896.0</v>
      </c>
      <c r="B17779" s="3" t="s">
        <v>16856</v>
      </c>
      <c r="C17779" s="3" t="str">
        <f>IFERROR(__xludf.DUMMYFUNCTION("GOOGLETRANSLATE(B17779,""id"",""en"")"),"['Display', 'Service', 'Good', 'Cool', 'Telkomsel', '']")</f>
        <v>['Display', 'Service', 'Good', 'Cool', 'Telkomsel', '']</v>
      </c>
      <c r="D17779" s="3">
        <v>5.0</v>
      </c>
    </row>
    <row r="17780" ht="15.75" customHeight="1">
      <c r="A17780" s="1">
        <v>18897.0</v>
      </c>
      <c r="B17780" s="3" t="s">
        <v>16857</v>
      </c>
      <c r="C17780" s="3" t="str">
        <f>IFERROR(__xludf.DUMMYFUNCTION("GOOGLETRANSLATE(B17780,""id"",""en"")"),"['', 'Alsan', 'SLL', 'Problem']")</f>
        <v>['', 'Alsan', 'SLL', 'Problem']</v>
      </c>
      <c r="D17780" s="3">
        <v>3.0</v>
      </c>
    </row>
    <row r="17781" ht="15.75" customHeight="1">
      <c r="A17781" s="1">
        <v>18898.0</v>
      </c>
      <c r="B17781" s="3" t="s">
        <v>16858</v>
      </c>
      <c r="C17781" s="3" t="str">
        <f>IFERROR(__xludf.DUMMYFUNCTION("GOOGLETRANSLATE(B17781,""id"",""en"")"),"['making easier', 'buy', 'package', 'etc.', 'Thank you', 'Telkomsel', 'Love', '']")</f>
        <v>['making easier', 'buy', 'package', 'etc.', 'Thank you', 'Telkomsel', 'Love', '']</v>
      </c>
      <c r="D17781" s="3">
        <v>5.0</v>
      </c>
    </row>
    <row r="17782" ht="15.75" customHeight="1">
      <c r="A17782" s="1">
        <v>18899.0</v>
      </c>
      <c r="B17782" s="3" t="s">
        <v>16859</v>
      </c>
      <c r="C17782" s="3" t="str">
        <f>IFERROR(__xludf.DUMMYFUNCTION("GOOGLETRANSLATE(B17782,""id"",""en"")"),"['patient', 'pray']")</f>
        <v>['patient', 'pray']</v>
      </c>
      <c r="D17782" s="3">
        <v>5.0</v>
      </c>
    </row>
    <row r="17783" ht="15.75" customHeight="1">
      <c r="A17783" s="1">
        <v>18900.0</v>
      </c>
      <c r="B17783" s="3" t="s">
        <v>16860</v>
      </c>
      <c r="C17783" s="3" t="str">
        <f>IFERROR(__xludf.DUMMYFUNCTION("GOOGLETRANSLATE(B17783,""id"",""en"")"),"['already', 'application', 'Telkomsel', 'BBR', 'exact', 'forget', 'love', 'star', 'loading', 'good', 'fast', 'transaction', ' package ',' internet ',' buy ',' notice ',' hrs', 'update', 'follow', 'afternoon', 'stlh', 'update', 'open', 'the application', '"&amp;"screen' , 'Colored', 'White', 'Ngeblank', 'Logo', 'Delete', 'Then', 'Download', 'Tetep', 'Opened', '']")</f>
        <v>['already', 'application', 'Telkomsel', 'BBR', 'exact', 'forget', 'love', 'star', 'loading', 'good', 'fast', 'transaction', ' package ',' internet ',' buy ',' notice ',' hrs', 'update', 'follow', 'afternoon', 'stlh', 'update', 'open', 'the application', 'screen' , 'Colored', 'White', 'Ngeblank', 'Logo', 'Delete', 'Then', 'Download', 'Tetep', 'Opened', '']</v>
      </c>
      <c r="D17783" s="3">
        <v>2.0</v>
      </c>
    </row>
    <row r="17784" ht="15.75" customHeight="1">
      <c r="A17784" s="1">
        <v>18901.0</v>
      </c>
      <c r="B17784" s="3" t="s">
        <v>16861</v>
      </c>
      <c r="C17784" s="3" t="str">
        <f>IFERROR(__xludf.DUMMYFUNCTION("GOOGLETRANSLATE(B17784,""id"",""en"")"),"['Not bad', 'open', 'apk', 'color', 'white']")</f>
        <v>['Not bad', 'open', 'apk', 'color', 'white']</v>
      </c>
      <c r="D17784" s="3">
        <v>4.0</v>
      </c>
    </row>
    <row r="17785" ht="15.75" customHeight="1">
      <c r="A17785" s="1">
        <v>18902.0</v>
      </c>
      <c r="B17785" s="3" t="s">
        <v>2929</v>
      </c>
      <c r="C17785" s="3" t="str">
        <f>IFERROR(__xludf.DUMMYFUNCTION("GOOGLETRANSLATE(B17785,""id"",""en"")"),"['Update', 'opened', '']")</f>
        <v>['Update', 'opened', '']</v>
      </c>
      <c r="D17785" s="3">
        <v>1.0</v>
      </c>
    </row>
    <row r="17786" ht="15.75" customHeight="1">
      <c r="A17786" s="1">
        <v>18903.0</v>
      </c>
      <c r="B17786" s="3" t="s">
        <v>16862</v>
      </c>
      <c r="C17786" s="3" t="str">
        <f>IFERROR(__xludf.DUMMYFUNCTION("GOOGLETRANSLATE(B17786,""id"",""en"")"),"['Please', 'complaints', 'response', 'email', 'mesengger', 'complaint', 'response']")</f>
        <v>['Please', 'complaints', 'response', 'email', 'mesengger', 'complaint', 'response']</v>
      </c>
      <c r="D17786" s="3">
        <v>1.0</v>
      </c>
    </row>
    <row r="17787" ht="15.75" customHeight="1">
      <c r="A17787" s="1">
        <v>18904.0</v>
      </c>
      <c r="B17787" s="3" t="s">
        <v>16863</v>
      </c>
      <c r="C17787" s="3" t="str">
        <f>IFERROR(__xludf.DUMMYFUNCTION("GOOGLETRANSLATE(B17787,""id"",""en"")"),"['KOQ', 'Telkomsel', 'MCAM', 'Lakuh', 'The network', 'price', 'expensive', 'network', 'according to', 'slow', ""]")</f>
        <v>['KOQ', 'Telkomsel', 'MCAM', 'Lakuh', 'The network', 'price', 'expensive', 'network', 'according to', 'slow', "]</v>
      </c>
      <c r="D17787" s="3">
        <v>1.0</v>
      </c>
    </row>
    <row r="17788" ht="15.75" customHeight="1">
      <c r="A17788" s="1">
        <v>18905.0</v>
      </c>
      <c r="B17788" s="3" t="s">
        <v>16864</v>
      </c>
      <c r="C17788" s="3" t="str">
        <f>IFERROR(__xludf.DUMMYFUNCTION("GOOGLETRANSLATE(B17788,""id"",""en"")"),"['Open', 'application', 'really', 'Loading']")</f>
        <v>['Open', 'application', 'really', 'Loading']</v>
      </c>
      <c r="D17788" s="3">
        <v>1.0</v>
      </c>
    </row>
    <row r="17789" ht="15.75" customHeight="1">
      <c r="A17789" s="1">
        <v>18906.0</v>
      </c>
      <c r="B17789" s="3" t="s">
        <v>16865</v>
      </c>
      <c r="C17789" s="3" t="str">
        <f>IFERROR(__xludf.DUMMYFUNCTION("GOOGLETRANSLATE(B17789,""id"",""en"")"),"['Access', 'update']")</f>
        <v>['Access', 'update']</v>
      </c>
      <c r="D17789" s="3">
        <v>1.0</v>
      </c>
    </row>
    <row r="17790" ht="15.75" customHeight="1">
      <c r="A17790" s="1">
        <v>18907.0</v>
      </c>
      <c r="B17790" s="3" t="s">
        <v>16866</v>
      </c>
      <c r="C17790" s="3" t="str">
        <f>IFERROR(__xludf.DUMMYFUNCTION("GOOGLETRANSLATE(B17790,""id"",""en"")"),"['update', 'date', 'des', 'APK', 'open', 'how', 'solution', 'tks']")</f>
        <v>['update', 'date', 'des', 'APK', 'open', 'how', 'solution', 'tks']</v>
      </c>
      <c r="D17790" s="3">
        <v>1.0</v>
      </c>
    </row>
    <row r="17791" ht="15.75" customHeight="1">
      <c r="A17791" s="1">
        <v>18908.0</v>
      </c>
      <c r="B17791" s="3" t="s">
        <v>16867</v>
      </c>
      <c r="C17791" s="3" t="str">
        <f>IFERROR(__xludf.DUMMYFUNCTION("GOOGLETRANSLATE(B17791,""id"",""en"")"),"['Saturday', 'Date', 'Telkomsel', 'No', 'Opened', 'The Application', '']")</f>
        <v>['Saturday', 'Date', 'Telkomsel', 'No', 'Opened', 'The Application', '']</v>
      </c>
      <c r="D17791" s="3">
        <v>5.0</v>
      </c>
    </row>
    <row r="17792" ht="15.75" customHeight="1">
      <c r="A17792" s="1">
        <v>18909.0</v>
      </c>
      <c r="B17792" s="3" t="s">
        <v>16868</v>
      </c>
      <c r="C17792" s="3" t="str">
        <f>IFERROR(__xludf.DUMMYFUNCTION("GOOGLETRANSLATE(B17792,""id"",""en"")"),"['Helpful', 'good', 'awkali']")</f>
        <v>['Helpful', 'good', 'awkali']</v>
      </c>
      <c r="D17792" s="3">
        <v>5.0</v>
      </c>
    </row>
    <row r="17793" ht="15.75" customHeight="1">
      <c r="A17793" s="1">
        <v>18910.0</v>
      </c>
      <c r="B17793" s="3" t="s">
        <v>16869</v>
      </c>
      <c r="C17793" s="3" t="str">
        <f>IFERROR(__xludf.DUMMYFUNCTION("GOOGLETRANSLATE(B17793,""id"",""en"")"),"['What', 'Happen', 'KOQ', 'APK', 'Whitescreen', 'Internet', 'Current', 'Very', 'PDHL', 'Yellow', 'Telkomsel', 'SKR', ' slow ',' yaaa ',' here ',' koq ',' annoyed ',' bats', 'deh', 'hhhmmm', '']")</f>
        <v>['What', 'Happen', 'KOQ', 'APK', 'Whitescreen', 'Internet', 'Current', 'Very', 'PDHL', 'Yellow', 'Telkomsel', 'SKR', ' slow ',' yaaa ',' here ',' koq ',' annoyed ',' bats', 'deh', 'hhhmmm', '']</v>
      </c>
      <c r="D17793" s="3">
        <v>3.0</v>
      </c>
    </row>
    <row r="17794" ht="15.75" customHeight="1">
      <c r="A17794" s="1">
        <v>18911.0</v>
      </c>
      <c r="B17794" s="3" t="s">
        <v>16870</v>
      </c>
      <c r="C17794" s="3" t="str">
        <f>IFERROR(__xludf.DUMMYFUNCTION("GOOGLETRANSLATE(B17794,""id"",""en"")"),"['', 'Telcomsel', 'emang', 'good', 'vain', 'pakek', 'telkomsel']")</f>
        <v>['', 'Telcomsel', 'emang', 'good', 'vain', 'pakek', 'telkomsel']</v>
      </c>
      <c r="D17794" s="3">
        <v>5.0</v>
      </c>
    </row>
    <row r="17795" ht="15.75" customHeight="1">
      <c r="A17795" s="1">
        <v>18912.0</v>
      </c>
      <c r="B17795" s="3" t="s">
        <v>16871</v>
      </c>
      <c r="C17795" s="3" t="str">
        <f>IFERROR(__xludf.DUMMYFUNCTION("GOOGLETRANSLATE(B17795,""id"",""en"")"),"['signal', 'JLK', 'Bagusan', 'Ngelag', 'Mulu', 'Fill', 'Package', 'Mulu', 'Signal', 'JLK', 'Litu']")</f>
        <v>['signal', 'JLK', 'Bagusan', 'Ngelag', 'Mulu', 'Fill', 'Package', 'Mulu', 'Signal', 'JLK', 'Litu']</v>
      </c>
      <c r="D17795" s="3">
        <v>1.0</v>
      </c>
    </row>
    <row r="17796" ht="15.75" customHeight="1">
      <c r="A17796" s="1">
        <v>18913.0</v>
      </c>
      <c r="B17796" s="3" t="s">
        <v>16872</v>
      </c>
      <c r="C17796" s="3" t="str">
        <f>IFERROR(__xludf.DUMMYFUNCTION("GOOGLETRANSLATE(B17796,""id"",""en"")"),"['application', 'Telkomsel', 'already', 'open', 'screen', 'white', '']")</f>
        <v>['application', 'Telkomsel', 'already', 'open', 'screen', 'white', '']</v>
      </c>
      <c r="D17796" s="3">
        <v>1.0</v>
      </c>
    </row>
    <row r="17797" ht="15.75" customHeight="1">
      <c r="A17797" s="1">
        <v>18914.0</v>
      </c>
      <c r="B17797" s="3" t="s">
        <v>16873</v>
      </c>
      <c r="C17797" s="3" t="str">
        <f>IFERROR(__xludf.DUMMYFUNCTION("GOOGLETRANSLATE(B17797,""id"",""en"")"),"['Telkom', 'card', 'poor', 'network', 'severe', 'really', 'package', 'just', 'expensive', 'leg', 'easily', 'Telkom', ' Cells', 'Out', 'Datata', 'Kupatah', 'Card', 'Telkom', 'Rotten', ""]")</f>
        <v>['Telkom', 'card', 'poor', 'network', 'severe', 'really', 'package', 'just', 'expensive', 'leg', 'easily', 'Telkom', ' Cells', 'Out', 'Datata', 'Kupatah', 'Card', 'Telkom', 'Rotten', "]</v>
      </c>
      <c r="D17797" s="3">
        <v>1.0</v>
      </c>
    </row>
    <row r="17798" ht="15.75" customHeight="1">
      <c r="A17798" s="1">
        <v>18915.0</v>
      </c>
      <c r="B17798" s="3" t="s">
        <v>16874</v>
      </c>
      <c r="C17798" s="3" t="str">
        <f>IFERROR(__xludf.DUMMYFUNCTION("GOOGLETRANSLATE(B17798,""id"",""en"")"),"['Signal', 'BURIK', 'Region', 'Jakarta', 'North', 'Bendlay', 'Mustafa', 'expensive', 'Doang', 'Burik', 'yes']")</f>
        <v>['Signal', 'BURIK', 'Region', 'Jakarta', 'North', 'Bendlay', 'Mustafa', 'expensive', 'Doang', 'Burik', 'yes']</v>
      </c>
      <c r="D17798" s="3">
        <v>1.0</v>
      </c>
    </row>
    <row r="17799" ht="15.75" customHeight="1">
      <c r="A17799" s="1">
        <v>18916.0</v>
      </c>
      <c r="B17799" s="3" t="s">
        <v>16875</v>
      </c>
      <c r="C17799" s="3" t="str">
        <f>IFERROR(__xludf.DUMMYFUNCTION("GOOGLETRANSLATE(B17799,""id"",""en"")"),"['really', 'practical', 'comfortable', 'use', 'surprise', 'Telkomsel', 'LOTIN', 'surprise', 'Come', 'use', 'Applace', 'Telkomsel', ' ']")</f>
        <v>['really', 'practical', 'comfortable', 'use', 'surprise', 'Telkomsel', 'LOTIN', 'surprise', 'Come', 'use', 'Applace', 'Telkomsel', ' ']</v>
      </c>
      <c r="D17799" s="3">
        <v>5.0</v>
      </c>
    </row>
    <row r="17800" ht="15.75" customHeight="1">
      <c r="A17800" s="1">
        <v>18917.0</v>
      </c>
      <c r="B17800" s="3" t="s">
        <v>16876</v>
      </c>
      <c r="C17800" s="3" t="str">
        <f>IFERROR(__xludf.DUMMYFUNCTION("GOOGLETRANSLATE(B17800,""id"",""en"")"),"['sting', 'satisfying']")</f>
        <v>['sting', 'satisfying']</v>
      </c>
      <c r="D17800" s="3">
        <v>5.0</v>
      </c>
    </row>
    <row r="17801" ht="15.75" customHeight="1">
      <c r="A17801" s="1">
        <v>18918.0</v>
      </c>
      <c r="B17801" s="3" t="s">
        <v>16877</v>
      </c>
      <c r="C17801" s="3" t="str">
        <f>IFERROR(__xludf.DUMMYFUNCTION("GOOGLETRANSLATE(B17801,""id"",""en"")"),"['Quota', 'Thinking', 'YouTube', 'Accesss', 'YouTube', 'Please', 'Fix']")</f>
        <v>['Quota', 'Thinking', 'YouTube', 'Accesss', 'YouTube', 'Please', 'Fix']</v>
      </c>
      <c r="D17801" s="3">
        <v>1.0</v>
      </c>
    </row>
    <row r="17802" ht="15.75" customHeight="1">
      <c r="A17802" s="1">
        <v>18919.0</v>
      </c>
      <c r="B17802" s="3" t="s">
        <v>16878</v>
      </c>
      <c r="C17802" s="3" t="str">
        <f>IFERROR(__xludf.DUMMYFUNCTION("GOOGLETRANSLATE(B17802,""id"",""en"")"),"['true', 'sincere', 'love', 'star', 'gymna', 'longer', 'post', 'ugly', 'ugly', 'service', 'satisfying', 'service', ' Operators', 'oath', 'comfortable', 'network', 'ugly', 'severe', 'play', 'mobile', 'legend', 'bang', 'bang', 'slow', 'download' , 'Applicat"&amp;"ion', 'please', 'service', 'satisfying']")</f>
        <v>['true', 'sincere', 'love', 'star', 'gymna', 'longer', 'post', 'ugly', 'ugly', 'service', 'satisfying', 'service', ' Operators', 'oath', 'comfortable', 'network', 'ugly', 'severe', 'play', 'mobile', 'legend', 'bang', 'bang', 'slow', 'download' , 'Application', 'please', 'service', 'satisfying']</v>
      </c>
      <c r="D17802" s="3">
        <v>1.0</v>
      </c>
    </row>
    <row r="17803" ht="15.75" customHeight="1">
      <c r="A17803" s="1">
        <v>18920.0</v>
      </c>
      <c r="B17803" s="3" t="s">
        <v>16879</v>
      </c>
      <c r="C17803" s="3" t="str">
        <f>IFERROR(__xludf.DUMMYFUNCTION("GOOGLETRANSLATE(B17803,""id"",""en"")"),"['oath', 'Lord', 'sorry', 'buy', 'card', 'package', 'quota', 'Telkomsel', 'price', 'expensive', 'really', 'quality', ' The network is', 'Super', 'Super', 'ugly', 'Different', 'Smartfren', 'Indosat', 'Hrga', 'Cheap', 'Quality', 'Network', 'Good', 'Advertis"&amp;"ing' , 'Network', 'cuuiiihhh', 'dustya', 'cheater', 'binta', 'really', ""]")</f>
        <v>['oath', 'Lord', 'sorry', 'buy', 'card', 'package', 'quota', 'Telkomsel', 'price', 'expensive', 'really', 'quality', ' The network is', 'Super', 'Super', 'ugly', 'Different', 'Smartfren', 'Indosat', 'Hrga', 'Cheap', 'Quality', 'Network', 'Good', 'Advertising' , 'Network', 'cuuiiihhh', 'dustya', 'cheater', 'binta', 'really', "]</v>
      </c>
      <c r="D17803" s="3">
        <v>1.0</v>
      </c>
    </row>
    <row r="17804" ht="15.75" customHeight="1">
      <c r="A17804" s="1">
        <v>18921.0</v>
      </c>
      <c r="B17804" s="3" t="s">
        <v>16880</v>
      </c>
      <c r="C17804" s="3" t="str">
        <f>IFERROR(__xludf.DUMMYFUNCTION("GOOGLETRANSLATE(B17804,""id"",""en"")"),"['network', 'Telkomsel', 'ugly', 'monkey', 'already', 'expensive', 'ugly', 'please', 'fix']")</f>
        <v>['network', 'Telkomsel', 'ugly', 'monkey', 'already', 'expensive', 'ugly', 'please', 'fix']</v>
      </c>
      <c r="D17804" s="3">
        <v>1.0</v>
      </c>
    </row>
    <row r="17805" ht="15.75" customHeight="1">
      <c r="A17805" s="1">
        <v>18922.0</v>
      </c>
      <c r="B17805" s="3" t="s">
        <v>16881</v>
      </c>
      <c r="C17805" s="3" t="str">
        <f>IFERROR(__xludf.DUMMYFUNCTION("GOOGLETRANSLATE(B17805,""id"",""en"")"),"['expensive', 'doang', 'signal', 'Mengbeng', ""]")</f>
        <v>['expensive', 'doang', 'signal', 'Mengbeng', "]</v>
      </c>
      <c r="D17805" s="3">
        <v>1.0</v>
      </c>
    </row>
    <row r="17806" ht="15.75" customHeight="1">
      <c r="A17806" s="1">
        <v>18923.0</v>
      </c>
      <c r="B17806" s="3" t="s">
        <v>16882</v>
      </c>
      <c r="C17806" s="3" t="str">
        <f>IFERROR(__xludf.DUMMYFUNCTION("GOOGLETRANSLATE(B17806,""id"",""en"")"),"['want', 'update', 'card', '']")</f>
        <v>['want', 'update', 'card', '']</v>
      </c>
      <c r="D17806" s="3">
        <v>5.0</v>
      </c>
    </row>
    <row r="17807" ht="15.75" customHeight="1">
      <c r="A17807" s="1">
        <v>18924.0</v>
      </c>
      <c r="B17807" s="3" t="s">
        <v>16883</v>
      </c>
      <c r="C17807" s="3" t="str">
        <f>IFERROR(__xludf.DUMMYFUNCTION("GOOGLETRANSLATE(B17807,""id"",""en"")"),"['Min', 'Apikasih', 'Telkomsel', 'Open', 'Yesterday', 'Say', 'Updet', 'Abis',' Ngupdet ',' Open ',' APK ',' Gini ',' APK ',' min ']")</f>
        <v>['Min', 'Apikasih', 'Telkomsel', 'Open', 'Yesterday', 'Say', 'Updet', 'Abis',' Ngupdet ',' Open ',' APK ',' Gini ',' APK ',' min ']</v>
      </c>
      <c r="D17807" s="3">
        <v>1.0</v>
      </c>
    </row>
    <row r="17808" ht="15.75" customHeight="1">
      <c r="A17808" s="1">
        <v>18925.0</v>
      </c>
      <c r="B17808" s="3" t="s">
        <v>16884</v>
      </c>
      <c r="C17808" s="3" t="str">
        <f>IFERROR(__xludf.DUMMYFUNCTION("GOOGLETRANSLATE(B17808,""id"",""en"")"),"['Satisfied', 'really', 'promo', 'expensive', 'try', 'promo', 'manyin', 'rich', 'quota', 'unlimited', 'buy', 'promo', ' skali ',' buy ',' kaga ',' exciting ']")</f>
        <v>['Satisfied', 'really', 'promo', 'expensive', 'try', 'promo', 'manyin', 'rich', 'quota', 'unlimited', 'buy', 'promo', ' skali ',' buy ',' kaga ',' exciting ']</v>
      </c>
      <c r="D17808" s="3">
        <v>5.0</v>
      </c>
    </row>
    <row r="17809" ht="15.75" customHeight="1">
      <c r="A17809" s="1">
        <v>18926.0</v>
      </c>
      <c r="B17809" s="3" t="s">
        <v>16885</v>
      </c>
      <c r="C17809" s="3" t="str">
        <f>IFERROR(__xludf.DUMMYFUNCTION("GOOGLETRANSLATE(B17809,""id"",""en"")"),"['intention', 'selling', 'package', 'unlimited', 'restricted', 'meaning', 'unlimited', 'mending', 'replace', 'Namany', 'unlimited', 'Udh', ' Nglag ',' Gajelas', 'right', 'Ngegame']")</f>
        <v>['intention', 'selling', 'package', 'unlimited', 'restricted', 'meaning', 'unlimited', 'mending', 'replace', 'Namany', 'unlimited', 'Udh', ' Nglag ',' Gajelas', 'right', 'Ngegame']</v>
      </c>
      <c r="D17809" s="3">
        <v>1.0</v>
      </c>
    </row>
    <row r="17810" ht="15.75" customHeight="1">
      <c r="A17810" s="1">
        <v>18928.0</v>
      </c>
      <c r="B17810" s="3" t="s">
        <v>16886</v>
      </c>
      <c r="C17810" s="3" t="str">
        <f>IFERROR(__xludf.DUMMYFUNCTION("GOOGLETRANSLATE(B17810,""id"",""en"")"),"['apk', 'hbis', 'update', 'bug']")</f>
        <v>['apk', 'hbis', 'update', 'bug']</v>
      </c>
      <c r="D17810" s="3">
        <v>5.0</v>
      </c>
    </row>
    <row r="17811" ht="15.75" customHeight="1">
      <c r="A17811" s="1">
        <v>18929.0</v>
      </c>
      <c r="B17811" s="3" t="s">
        <v>16887</v>
      </c>
      <c r="C17811" s="3" t="str">
        <f>IFERROR(__xludf.DUMMYFUNCTION("GOOGLETRANSLATE(B17811,""id"",""en"")"),"['Telkomsel', 'signal', 'ugly']")</f>
        <v>['Telkomsel', 'signal', 'ugly']</v>
      </c>
      <c r="D17811" s="3">
        <v>1.0</v>
      </c>
    </row>
    <row r="17812" ht="15.75" customHeight="1">
      <c r="A17812" s="1">
        <v>18930.0</v>
      </c>
      <c r="B17812" s="3" t="s">
        <v>16888</v>
      </c>
      <c r="C17812" s="3" t="str">
        <f>IFERROR(__xludf.DUMMYFUNCTION("GOOGLETRANSLATE(B17812,""id"",""en"")"),"['Help', 'user', 'package', 'free']")</f>
        <v>['Help', 'user', 'package', 'free']</v>
      </c>
      <c r="D17812" s="3">
        <v>4.0</v>
      </c>
    </row>
    <row r="17813" ht="15.75" customHeight="1">
      <c r="A17813" s="1">
        <v>18931.0</v>
      </c>
      <c r="B17813" s="3" t="s">
        <v>16889</v>
      </c>
      <c r="C17813" s="3" t="str">
        <f>IFERROR(__xludf.DUMMYFUNCTION("GOOGLETRANSLATE(B17813,""id"",""en"")"),"['Good', 'signal', 'strong', 'easy']")</f>
        <v>['Good', 'signal', 'strong', 'easy']</v>
      </c>
      <c r="D17813" s="3">
        <v>5.0</v>
      </c>
    </row>
    <row r="17814" ht="15.75" customHeight="1">
      <c r="A17814" s="1">
        <v>18932.0</v>
      </c>
      <c r="B17814" s="3" t="s">
        <v>16890</v>
      </c>
      <c r="C17814" s="3" t="str">
        <f>IFERROR(__xludf.DUMMYFUNCTION("GOOGLETRANSLATE(B17814,""id"",""en"")"),"['fix', 'signal', 'quota', 'add', 'expensive', 'network', 'slow', 'waste', 'garbage', ""]")</f>
        <v>['fix', 'signal', 'quota', 'add', 'expensive', 'network', 'slow', 'waste', 'garbage', "]</v>
      </c>
      <c r="D17814" s="3">
        <v>1.0</v>
      </c>
    </row>
    <row r="17815" ht="15.75" customHeight="1">
      <c r="A17815" s="1">
        <v>18933.0</v>
      </c>
      <c r="B17815" s="3" t="s">
        <v>16891</v>
      </c>
      <c r="C17815" s="3" t="str">
        <f>IFERROR(__xludf.DUMMYFUNCTION("GOOGLETRANSLATE(B17815,""id"",""en"")"),"['Give up', 'Pakek', 'Telkomsel', 'min', 'already', 'I made', 'told', 'ngeleg', 'pakek']")</f>
        <v>['Give up', 'Pakek', 'Telkomsel', 'min', 'already', 'I made', 'told', 'ngeleg', 'pakek']</v>
      </c>
      <c r="D17815" s="3">
        <v>1.0</v>
      </c>
    </row>
    <row r="17816" ht="15.75" customHeight="1">
      <c r="A17816" s="1">
        <v>18934.0</v>
      </c>
      <c r="B17816" s="3" t="s">
        <v>16892</v>
      </c>
      <c r="C17816" s="3" t="str">
        <f>IFERROR(__xludf.DUMMYFUNCTION("GOOGLETRANSLATE(B17816,""id"",""en"")"),"['', 'Telkomsel', 'Where', 'package', 'expensive', 'merit', 'Lela', 'TPI', 'signal', 'like', 'jjur', 'Telkomsel', 'Udh ',' Lbih ',' yrs', 'TPI', 'Thun', 'signal', 'ugly', 'ngak', 'cause', 'funny', 'card', 'number', 'SEINDONES', 'SEINDONESIA', 'Sinynyal', "&amp;"'BURIK', 'just', 'price', 'package', 'mahalin', 'TPI', 'quality', 'signal', 'tdak', 'update', 'hahah', 'funny ',' ']")</f>
        <v>['', 'Telkomsel', 'Where', 'package', 'expensive', 'merit', 'Lela', 'TPI', 'signal', 'like', 'jjur', 'Telkomsel', 'Udh ',' Lbih ',' yrs', 'TPI', 'Thun', 'signal', 'ugly', 'ngak', 'cause', 'funny', 'card', 'number', 'SEINDONES', 'SEINDONESIA', 'Sinynyal', 'BURIK', 'just', 'price', 'package', 'mahalin', 'TPI', 'quality', 'signal', 'tdak', 'update', 'hahah', 'funny ',' ']</v>
      </c>
      <c r="D17816" s="3">
        <v>1.0</v>
      </c>
    </row>
    <row r="17817" ht="15.75" customHeight="1">
      <c r="A17817" s="1">
        <v>18935.0</v>
      </c>
      <c r="B17817" s="3" t="s">
        <v>16893</v>
      </c>
      <c r="C17817" s="3" t="str">
        <f>IFERROR(__xludf.DUMMYFUNCTION("GOOGLETRANSLATE(B17817,""id"",""en"")"),"['Sulawesi', 'smooth', 'communicating', 'zoom', 'call', 'friend', 'use', 'network', 'difficult', 'signal', 'thanks',' Telkomsel ',' friends', 'recommend', 'use']")</f>
        <v>['Sulawesi', 'smooth', 'communicating', 'zoom', 'call', 'friend', 'use', 'network', 'difficult', 'signal', 'thanks',' Telkomsel ',' friends', 'recommend', 'use']</v>
      </c>
      <c r="D17817" s="3">
        <v>5.0</v>
      </c>
    </row>
    <row r="17818" ht="15.75" customHeight="1">
      <c r="A17818" s="1">
        <v>18936.0</v>
      </c>
      <c r="B17818" s="3" t="s">
        <v>16894</v>
      </c>
      <c r="C17818" s="3" t="str">
        <f>IFERROR(__xludf.DUMMYFUNCTION("GOOGLETRANSLATE(B17818,""id"",""en"")"),"['Telkomsel', 'Network', 'Bgus', 'Tmpat', 'UDH', 'Network', 'Telkomsel', 'Lost', 'Total', 'Switch', 'AXSIS', ""]")</f>
        <v>['Telkomsel', 'Network', 'Bgus', 'Tmpat', 'UDH', 'Network', 'Telkomsel', 'Lost', 'Total', 'Switch', 'AXSIS', "]</v>
      </c>
      <c r="D17818" s="3">
        <v>2.0</v>
      </c>
    </row>
    <row r="17819" ht="15.75" customHeight="1">
      <c r="A17819" s="1">
        <v>18937.0</v>
      </c>
      <c r="B17819" s="3" t="s">
        <v>16895</v>
      </c>
      <c r="C17819" s="3" t="str">
        <f>IFERROR(__xludf.DUMMYFUNCTION("GOOGLETRANSLATE(B17819,""id"",""en"")"),"['Telkomsel', 'poor']")</f>
        <v>['Telkomsel', 'poor']</v>
      </c>
      <c r="D17819" s="3">
        <v>1.0</v>
      </c>
    </row>
    <row r="17820" ht="15.75" customHeight="1">
      <c r="A17820" s="1">
        <v>18938.0</v>
      </c>
      <c r="B17820" s="3" t="s">
        <v>16896</v>
      </c>
      <c r="C17820" s="3" t="str">
        <f>IFERROR(__xludf.DUMMYFUNCTION("GOOGLETRANSLATE(B17820,""id"",""en"")"),"['great', 'really', 'beg', 'price', 'package', 'package', 'expensive', 'expensive', 'learn', 'need', 'quota', 'beg', ' Fix ',' Thank you ', ""]")</f>
        <v>['great', 'really', 'beg', 'price', 'package', 'package', 'expensive', 'expensive', 'learn', 'need', 'quota', 'beg', ' Fix ',' Thank you ', "]</v>
      </c>
      <c r="D17820" s="3">
        <v>5.0</v>
      </c>
    </row>
    <row r="17821" ht="15.75" customHeight="1">
      <c r="A17821" s="1">
        <v>18939.0</v>
      </c>
      <c r="B17821" s="3" t="s">
        <v>16897</v>
      </c>
      <c r="C17821" s="3" t="str">
        <f>IFERROR(__xludf.DUMMYFUNCTION("GOOGLETRANSLATE(B17821,""id"",""en"")"),"['Please', 'Unk', 'multiply', 'pulses', 'cheap', 'economical']")</f>
        <v>['Please', 'Unk', 'multiply', 'pulses', 'cheap', 'economical']</v>
      </c>
      <c r="D17821" s="3">
        <v>5.0</v>
      </c>
    </row>
    <row r="17822" ht="15.75" customHeight="1">
      <c r="A17822" s="1">
        <v>18940.0</v>
      </c>
      <c r="B17822" s="3" t="s">
        <v>362</v>
      </c>
      <c r="C17822" s="3" t="str">
        <f>IFERROR(__xludf.DUMMYFUNCTION("GOOGLETRANSLATE(B17822,""id"",""en"")"),"['Telkomsel', 'best']")</f>
        <v>['Telkomsel', 'best']</v>
      </c>
      <c r="D17822" s="3">
        <v>5.0</v>
      </c>
    </row>
    <row r="17823" ht="15.75" customHeight="1">
      <c r="A17823" s="1">
        <v>18941.0</v>
      </c>
      <c r="B17823" s="3" t="s">
        <v>16898</v>
      </c>
      <c r="C17823" s="3" t="str">
        <f>IFERROR(__xludf.DUMMYFUNCTION("GOOGLETRANSLATE(B17823,""id"",""en"")"),"['In the future', 'buy', 'quota', 'removed', 'love', 'promo', 'expensive', 'customer', 'disappointed', 'price', 'quota', 'expensive', ' Search ',' money ',' difficult ']")</f>
        <v>['In the future', 'buy', 'quota', 'removed', 'love', 'promo', 'expensive', 'customer', 'disappointed', 'price', 'quota', 'expensive', ' Search ',' money ',' difficult ']</v>
      </c>
      <c r="D17823" s="3">
        <v>2.0</v>
      </c>
    </row>
    <row r="17824" ht="15.75" customHeight="1">
      <c r="A17824" s="1">
        <v>18942.0</v>
      </c>
      <c r="B17824" s="3" t="s">
        <v>16899</v>
      </c>
      <c r="C17824" s="3" t="str">
        <f>IFERROR(__xludf.DUMMYFUNCTION("GOOGLETRANSLATE(B17824,""id"",""en"")"),"['thank you', 'Telkomsel', 'Help', 'Package', 'Ter', 'Daptar', 'Stay', 'Select']")</f>
        <v>['thank you', 'Telkomsel', 'Help', 'Package', 'Ter', 'Daptar', 'Stay', 'Select']</v>
      </c>
      <c r="D17824" s="3">
        <v>5.0</v>
      </c>
    </row>
    <row r="17825" ht="15.75" customHeight="1">
      <c r="A17825" s="1">
        <v>18943.0</v>
      </c>
      <c r="B17825" s="3" t="s">
        <v>16515</v>
      </c>
      <c r="C17825" s="3" t="str">
        <f>IFERROR(__xludf.DUMMYFUNCTION("GOOGLETRANSLATE(B17825,""id"",""en"")"),"['Good', 'easy', '']")</f>
        <v>['Good', 'easy', '']</v>
      </c>
      <c r="D17825" s="3">
        <v>5.0</v>
      </c>
    </row>
    <row r="17826" ht="15.75" customHeight="1">
      <c r="A17826" s="1">
        <v>18944.0</v>
      </c>
      <c r="B17826" s="3" t="s">
        <v>16900</v>
      </c>
      <c r="C17826" s="3" t="str">
        <f>IFERROR(__xludf.DUMMYFUNCTION("GOOGLETRANSLATE(B17826,""id"",""en"")"),"['Service', 'Level']")</f>
        <v>['Service', 'Level']</v>
      </c>
      <c r="D17826" s="3">
        <v>5.0</v>
      </c>
    </row>
    <row r="17827" ht="15.75" customHeight="1">
      <c r="A17827" s="1">
        <v>18945.0</v>
      </c>
      <c r="B17827" s="3" t="s">
        <v>16901</v>
      </c>
      <c r="C17827" s="3" t="str">
        <f>IFERROR(__xludf.DUMMYFUNCTION("GOOGLETRANSLATE(B17827,""id"",""en"")"),"['have', 'pulse', 'register', 'quota', 'internet', 'please', 'provide', 'features',' pulses', 'safe', 'because', 'people', ' Sometimes', 'as lifts',' activates', 'data', 'charging', 'credit', 'beimbas',' run out ',' pulses', 'detrimental']")</f>
        <v>['have', 'pulse', 'register', 'quota', 'internet', 'please', 'provide', 'features',' pulses', 'safe', 'because', 'people', ' Sometimes', 'as lifts',' activates', 'data', 'charging', 'credit', 'beimbas',' run out ',' pulses', 'detrimental']</v>
      </c>
      <c r="D17827" s="3">
        <v>3.0</v>
      </c>
    </row>
    <row r="17828" ht="15.75" customHeight="1">
      <c r="A17828" s="1">
        <v>18946.0</v>
      </c>
      <c r="B17828" s="3" t="s">
        <v>16902</v>
      </c>
      <c r="C17828" s="3" t="str">
        <f>IFERROR(__xludf.DUMMYFUNCTION("GOOGLETRANSLATE(B17828,""id"",""en"")"),"['Disign', 'mutation', 'prepaid', 'postpaid', 'bad', 'OTP', 'MBanking', 'consumer', 'Langajur', 'loyal', 'pre', 'pay', ' Forced ',' Operator ',' Difficulties', 'Severe']")</f>
        <v>['Disign', 'mutation', 'prepaid', 'postpaid', 'bad', 'OTP', 'MBanking', 'consumer', 'Langajur', 'loyal', 'pre', 'pay', ' Forced ',' Operator ',' Difficulties', 'Severe']</v>
      </c>
      <c r="D17828" s="3">
        <v>2.0</v>
      </c>
    </row>
    <row r="17829" ht="15.75" customHeight="1">
      <c r="A17829" s="1">
        <v>18948.0</v>
      </c>
      <c r="B17829" s="3" t="s">
        <v>16903</v>
      </c>
      <c r="C17829" s="3" t="str">
        <f>IFERROR(__xludf.DUMMYFUNCTION("GOOGLETRANSLATE(B17829,""id"",""en"")"),"['Please', 'APK', 'Fix', 'Donk', 'What', 'Mimin']")</f>
        <v>['Please', 'APK', 'Fix', 'Donk', 'What', 'Mimin']</v>
      </c>
      <c r="D17829" s="3">
        <v>1.0</v>
      </c>
    </row>
    <row r="17830" ht="15.75" customHeight="1">
      <c r="A17830" s="1">
        <v>18949.0</v>
      </c>
      <c r="B17830" s="3" t="s">
        <v>16904</v>
      </c>
      <c r="C17830" s="3" t="str">
        <f>IFERROR(__xludf.DUMMYFUNCTION("GOOGLETRANSLATE(B17830,""id"",""en"")"),"['Cool', 'Submit', 'UAS', 'Need', 'Minutes', 'Results', 'Denied', 'Lecture', 'Semester', 'Useful']")</f>
        <v>['Cool', 'Submit', 'UAS', 'Need', 'Minutes', 'Results', 'Denied', 'Lecture', 'Semester', 'Useful']</v>
      </c>
      <c r="D17830" s="3">
        <v>1.0</v>
      </c>
    </row>
    <row r="17831" ht="15.75" customHeight="1">
      <c r="A17831" s="1">
        <v>18950.0</v>
      </c>
      <c r="B17831" s="3" t="s">
        <v>16905</v>
      </c>
      <c r="C17831" s="3" t="str">
        <f>IFERROR(__xludf.DUMMYFUNCTION("GOOGLETRANSLATE(B17831,""id"",""en"")"),"['Telkomsel', 'card', 'people', 'rich', 'network', 'people', 'poor', '']")</f>
        <v>['Telkomsel', 'card', 'people', 'rich', 'network', 'people', 'poor', '']</v>
      </c>
      <c r="D17831" s="3">
        <v>1.0</v>
      </c>
    </row>
    <row r="17832" ht="15.75" customHeight="1">
      <c r="A17832" s="1">
        <v>18951.0</v>
      </c>
      <c r="B17832" s="3" t="s">
        <v>16906</v>
      </c>
      <c r="C17832" s="3" t="str">
        <f>IFERROR(__xludf.DUMMYFUNCTION("GOOGLETRANSLATE(B17832,""id"",""en"")"),"['Good', 'Trusted', 'Quality', 'Good']")</f>
        <v>['Good', 'Trusted', 'Quality', 'Good']</v>
      </c>
      <c r="D17832" s="3">
        <v>5.0</v>
      </c>
    </row>
    <row r="17833" ht="15.75" customHeight="1">
      <c r="A17833" s="1">
        <v>18952.0</v>
      </c>
      <c r="B17833" s="3" t="s">
        <v>16907</v>
      </c>
      <c r="C17833" s="3" t="str">
        <f>IFERROR(__xludf.DUMMYFUNCTION("GOOGLETRANSLATE(B17833,""id"",""en"")"),"['like', 'really', 'serious']")</f>
        <v>['like', 'really', 'serious']</v>
      </c>
      <c r="D17833" s="3">
        <v>5.0</v>
      </c>
    </row>
    <row r="17834" ht="15.75" customHeight="1">
      <c r="A17834" s="1">
        <v>18953.0</v>
      </c>
      <c r="B17834" s="3" t="s">
        <v>16908</v>
      </c>
      <c r="C17834" s="3" t="str">
        <f>IFERROR(__xludf.DUMMYFUNCTION("GOOGLETRANSLATE(B17834,""id"",""en"")"),"['', 'Belik', 'Package', 'Telkomsel', 'Package']")</f>
        <v>['', 'Belik', 'Package', 'Telkomsel', 'Package']</v>
      </c>
      <c r="D17834" s="3">
        <v>1.0</v>
      </c>
    </row>
    <row r="17835" ht="15.75" customHeight="1">
      <c r="A17835" s="1">
        <v>18954.0</v>
      </c>
      <c r="B17835" s="3" t="s">
        <v>16491</v>
      </c>
      <c r="C17835" s="3" t="str">
        <f>IFERROR(__xludf.DUMMYFUNCTION("GOOGLETRANSLATE(B17835,""id"",""en"")"),"['', 'Telkomsel', 'Best', '']")</f>
        <v>['', 'Telkomsel', 'Best', '']</v>
      </c>
      <c r="D17835" s="3">
        <v>5.0</v>
      </c>
    </row>
    <row r="17836" ht="15.75" customHeight="1">
      <c r="A17836" s="1">
        <v>18955.0</v>
      </c>
      <c r="B17836" s="3" t="s">
        <v>16909</v>
      </c>
      <c r="C17836" s="3" t="str">
        <f>IFERROR(__xludf.DUMMYFUNCTION("GOOGLETRANSLATE(B17836,""id"",""en"")"),"['Network', 'Delete', 'APK', 'Telkomsel', 'Playstore', 'Liat', 'YouTube', 'Main', 'Game', 'Basic', 'Fortiness',' Quality ',' The network ',' ']")</f>
        <v>['Network', 'Delete', 'APK', 'Telkomsel', 'Playstore', 'Liat', 'YouTube', 'Main', 'Game', 'Basic', 'Fortiness',' Quality ',' The network ',' ']</v>
      </c>
      <c r="D17836" s="3">
        <v>1.0</v>
      </c>
    </row>
    <row r="17837" ht="15.75" customHeight="1">
      <c r="A17837" s="1">
        <v>18956.0</v>
      </c>
      <c r="B17837" s="3" t="s">
        <v>16910</v>
      </c>
      <c r="C17837" s="3" t="str">
        <f>IFERROR(__xludf.DUMMYFUNCTION("GOOGLETRANSLATE(B17837,""id"",""en"")"),"['base', 'capitalist', 'quota', 'sumps', 'pulses']")</f>
        <v>['base', 'capitalist', 'quota', 'sumps', 'pulses']</v>
      </c>
      <c r="D17837" s="3">
        <v>1.0</v>
      </c>
    </row>
    <row r="17838" ht="15.75" customHeight="1">
      <c r="A17838" s="1">
        <v>18957.0</v>
      </c>
      <c r="B17838" s="3" t="s">
        <v>16911</v>
      </c>
      <c r="C17838" s="3" t="str">
        <f>IFERROR(__xludf.DUMMYFUNCTION("GOOGLETRANSLATE(B17838,""id"",""en"")"),"['Yes', 'good', 'really']")</f>
        <v>['Yes', 'good', 'really']</v>
      </c>
      <c r="D17838" s="3">
        <v>5.0</v>
      </c>
    </row>
    <row r="17839" ht="15.75" customHeight="1">
      <c r="A17839" s="1">
        <v>18958.0</v>
      </c>
      <c r="B17839" s="3" t="s">
        <v>16912</v>
      </c>
      <c r="C17839" s="3" t="str">
        <f>IFERROR(__xludf.DUMMYFUNCTION("GOOGLETRANSLATE(B17839,""id"",""en"")"),"['updated', '']")</f>
        <v>['updated', '']</v>
      </c>
      <c r="D17839" s="3">
        <v>1.0</v>
      </c>
    </row>
    <row r="17840" ht="15.75" customHeight="1">
      <c r="A17840" s="1">
        <v>18959.0</v>
      </c>
      <c r="B17840" s="3" t="s">
        <v>16913</v>
      </c>
      <c r="C17840" s="3" t="str">
        <f>IFERROR(__xludf.DUMMYFUNCTION("GOOGLETRANSLATE(B17840,""id"",""en"")"),"['Knp', 'Telkomsel', 'opened', 'Unistal', 'Install', 'opened', 'knp', ""]")</f>
        <v>['Knp', 'Telkomsel', 'opened', 'Unistal', 'Install', 'opened', 'knp', "]</v>
      </c>
      <c r="D17840" s="3">
        <v>2.0</v>
      </c>
    </row>
    <row r="17841" ht="15.75" customHeight="1">
      <c r="A17841" s="1">
        <v>18960.0</v>
      </c>
      <c r="B17841" s="3" t="s">
        <v>2977</v>
      </c>
      <c r="C17841" s="3" t="str">
        <f>IFERROR(__xludf.DUMMYFUNCTION("GOOGLETRANSLATE(B17841,""id"",""en"")"),"['App', 'Open']")</f>
        <v>['App', 'Open']</v>
      </c>
      <c r="D17841" s="3">
        <v>1.0</v>
      </c>
    </row>
    <row r="17842" ht="15.75" customHeight="1">
      <c r="A17842" s="1">
        <v>18961.0</v>
      </c>
      <c r="B17842" s="3" t="s">
        <v>11279</v>
      </c>
      <c r="C17842" s="3" t="str">
        <f>IFERROR(__xludf.DUMMYFUNCTION("GOOGLETRANSLATE(B17842,""id"",""en"")"),"['price']")</f>
        <v>['price']</v>
      </c>
      <c r="D17842" s="3">
        <v>4.0</v>
      </c>
    </row>
    <row r="17843" ht="15.75" customHeight="1">
      <c r="A17843" s="1">
        <v>18962.0</v>
      </c>
      <c r="B17843" s="3" t="s">
        <v>16914</v>
      </c>
      <c r="C17843" s="3" t="str">
        <f>IFERROR(__xludf.DUMMYFUNCTION("GOOGLETRANSLATE(B17843,""id"",""en"")"),"['contents', 'package', 'combo', 'poor', 'fishing rod', 'pls', 'according to', 'write', 'promo', 'jar', 'cell']")</f>
        <v>['contents', 'package', 'combo', 'poor', 'fishing rod', 'pls', 'according to', 'write', 'promo', 'jar', 'cell']</v>
      </c>
      <c r="D17843" s="3">
        <v>2.0</v>
      </c>
    </row>
    <row r="17844" ht="15.75" customHeight="1">
      <c r="A17844" s="1">
        <v>18963.0</v>
      </c>
      <c r="B17844" s="3" t="s">
        <v>16915</v>
      </c>
      <c r="C17844" s="3" t="str">
        <f>IFERROR(__xludf.DUMMYFUNCTION("GOOGLETRANSLATE(B17844,""id"",""en"")"),"['Telkomsel', 'Severe', 'Cave', 'Buy', 'Package', 'Combo', 'Sakti', 'Instagram', 'Lemot', 'Severe', 'Parahhh', 'Cave', ' Telkomsel ',' cave ',' disappointed ',' oath ',' abis', 'cave', 'use', 'telkomsel']")</f>
        <v>['Telkomsel', 'Severe', 'Cave', 'Buy', 'Package', 'Combo', 'Sakti', 'Instagram', 'Lemot', 'Severe', 'Parahhh', 'Cave', ' Telkomsel ',' cave ',' disappointed ',' oath ',' abis', 'cave', 'use', 'telkomsel']</v>
      </c>
      <c r="D17844" s="3">
        <v>1.0</v>
      </c>
    </row>
    <row r="17845" ht="15.75" customHeight="1">
      <c r="A17845" s="1">
        <v>18964.0</v>
      </c>
      <c r="B17845" s="3" t="s">
        <v>16916</v>
      </c>
      <c r="C17845" s="3" t="str">
        <f>IFERROR(__xludf.DUMMYFUNCTION("GOOGLETRANSLATE(B17845,""id"",""en"")"),"['Buy', 'Package', 'Internet']")</f>
        <v>['Buy', 'Package', 'Internet']</v>
      </c>
      <c r="D17845" s="3">
        <v>1.0</v>
      </c>
    </row>
    <row r="17846" ht="15.75" customHeight="1">
      <c r="A17846" s="1">
        <v>18965.0</v>
      </c>
      <c r="B17846" s="3" t="s">
        <v>16917</v>
      </c>
      <c r="C17846" s="3" t="str">
        <f>IFERROR(__xludf.DUMMYFUNCTION("GOOGLETRANSLATE(B17846,""id"",""en"")"),"['Yesterday', 'Update', 'Version', 'Error', 'Application', 'Opened', 'Send', 'Email', 'Customer', 'Service', 'Service', 'Good', ' Alhamdulillah ',' update ',' version ',' application ',' ']")</f>
        <v>['Yesterday', 'Update', 'Version', 'Error', 'Application', 'Opened', 'Send', 'Email', 'Customer', 'Service', 'Service', 'Good', ' Alhamdulillah ',' update ',' version ',' application ',' ']</v>
      </c>
      <c r="D17846" s="3">
        <v>5.0</v>
      </c>
    </row>
    <row r="17847" ht="15.75" customHeight="1">
      <c r="A17847" s="1">
        <v>18966.0</v>
      </c>
      <c r="B17847" s="3" t="s">
        <v>16918</v>
      </c>
      <c r="C17847" s="3" t="str">
        <f>IFERROR(__xludf.DUMMYFUNCTION("GOOGLETRANSLATE(B17847,""id"",""en"")"),"['Application', 'Telkomsel', 'dbuka', 'Diuninstart', 'restart', 'Tetep', 'opened', '']")</f>
        <v>['Application', 'Telkomsel', 'dbuka', 'Diuninstart', 'restart', 'Tetep', 'opened', '']</v>
      </c>
      <c r="D17847" s="3">
        <v>4.0</v>
      </c>
    </row>
    <row r="17848" ht="15.75" customHeight="1">
      <c r="A17848" s="1">
        <v>18968.0</v>
      </c>
      <c r="B17848" s="3" t="s">
        <v>16919</v>
      </c>
      <c r="C17848" s="3" t="str">
        <f>IFERROR(__xludf.DUMMYFUNCTION("GOOGLETRANSLATE(B17848,""id"",""en"")"),"['Survive', 'Application', 'Error', 'Blank', 'White', 'Opened', 'Uninstall', 'Many', 'Times',' Access', 'Please', 'Aceated', ' Continue ',' Problems', 'Application', 'Error', '']")</f>
        <v>['Survive', 'Application', 'Error', 'Blank', 'White', 'Opened', 'Uninstall', 'Many', 'Times',' Access', 'Please', 'Aceated', ' Continue ',' Problems', 'Application', 'Error', '']</v>
      </c>
      <c r="D17848" s="3">
        <v>1.0</v>
      </c>
    </row>
    <row r="17849" ht="15.75" customHeight="1">
      <c r="A17849" s="1">
        <v>18969.0</v>
      </c>
      <c r="B17849" s="3" t="s">
        <v>16920</v>
      </c>
      <c r="C17849" s="3" t="str">
        <f>IFERROR(__xludf.DUMMYFUNCTION("GOOGLETRANSLATE(B17849,""id"",""en"")"),"['Help', 'easy', 'transaction']")</f>
        <v>['Help', 'easy', 'transaction']</v>
      </c>
      <c r="D17849" s="3">
        <v>5.0</v>
      </c>
    </row>
    <row r="17850" ht="15.75" customHeight="1">
      <c r="A17850" s="1">
        <v>18972.0</v>
      </c>
      <c r="B17850" s="3" t="s">
        <v>16921</v>
      </c>
      <c r="C17850" s="3" t="str">
        <f>IFERROR(__xludf.DUMMYFUNCTION("GOOGLETRANSLATE(B17850,""id"",""en"")"),"['knp', 'update', 'blank', 'white', 'already', 'alternating', 'install', 'reset', 'msh', 'ttep', 'blank', 'please', ' Fix ',' Donk ',' see ',' complaints', 'BLM', 'Action', 'Naises',' weve ',' version ',' Latest ',' BLM ',' KNP ',' Release ' , 'updatex', "&amp;"'please', 'read', 'fix', '']")</f>
        <v>['knp', 'update', 'blank', 'white', 'already', 'alternating', 'install', 'reset', 'msh', 'ttep', 'blank', 'please', ' Fix ',' Donk ',' see ',' complaints', 'BLM', 'Action', 'Naises',' weve ',' version ',' Latest ',' BLM ',' KNP ',' Release ' , 'updatex', 'please', 'read', 'fix', '']</v>
      </c>
      <c r="D17850" s="3">
        <v>1.0</v>
      </c>
    </row>
    <row r="17851" ht="15.75" customHeight="1">
      <c r="A17851" s="1">
        <v>18973.0</v>
      </c>
      <c r="B17851" s="3" t="s">
        <v>16922</v>
      </c>
      <c r="C17851" s="3" t="str">
        <f>IFERROR(__xludf.DUMMYFUNCTION("GOOGLETRANSLATE(B17851,""id"",""en"")"),"['times', 'buy', 'pulse', 'buy', 'promo', 'package', 'promo', 'package', 'disappear']")</f>
        <v>['times', 'buy', 'pulse', 'buy', 'promo', 'package', 'promo', 'package', 'disappear']</v>
      </c>
      <c r="D17851" s="3">
        <v>1.0</v>
      </c>
    </row>
    <row r="17852" ht="15.75" customHeight="1">
      <c r="A17852" s="1">
        <v>18974.0</v>
      </c>
      <c r="B17852" s="3" t="s">
        <v>16923</v>
      </c>
      <c r="C17852" s="3" t="str">
        <f>IFERROR(__xludf.DUMMYFUNCTION("GOOGLETRANSLATE(B17852,""id"",""en"")"),"['crazy', 'signal', 'koh', 'rich', 'devil', 'ngilan', 'mulu']")</f>
        <v>['crazy', 'signal', 'koh', 'rich', 'devil', 'ngilan', 'mulu']</v>
      </c>
      <c r="D17852" s="3">
        <v>1.0</v>
      </c>
    </row>
    <row r="17853" ht="15.75" customHeight="1">
      <c r="A17853" s="1">
        <v>18975.0</v>
      </c>
      <c r="B17853" s="3" t="s">
        <v>2127</v>
      </c>
      <c r="C17853" s="3" t="str">
        <f>IFERROR(__xludf.DUMMYFUNCTION("GOOGLETRANSLATE(B17853,""id"",""en"")"),"['easy']")</f>
        <v>['easy']</v>
      </c>
      <c r="D17853" s="3">
        <v>4.0</v>
      </c>
    </row>
    <row r="17854" ht="15.75" customHeight="1">
      <c r="A17854" s="1">
        <v>18976.0</v>
      </c>
      <c r="B17854" s="3" t="s">
        <v>16924</v>
      </c>
      <c r="C17854" s="3" t="str">
        <f>IFERROR(__xludf.DUMMYFUNCTION("GOOGLETRANSLATE(B17854,""id"",""en"")"),"['Woy', 'I', 'I', 'PUSH', 'RANK']")</f>
        <v>['Woy', 'I', 'I', 'PUSH', 'RANK']</v>
      </c>
      <c r="D17854" s="3">
        <v>1.0</v>
      </c>
    </row>
    <row r="17855" ht="15.75" customHeight="1">
      <c r="A17855" s="1">
        <v>18977.0</v>
      </c>
      <c r="B17855" s="3" t="s">
        <v>16925</v>
      </c>
      <c r="C17855" s="3" t="str">
        <f>IFERROR(__xludf.DUMMYFUNCTION("GOOGLETRANSLATE(B17855,""id"",""en"")"),"['JDI', 'easy', 'data', 'application', 'Telkomsel', '']")</f>
        <v>['JDI', 'easy', 'data', 'application', 'Telkomsel', '']</v>
      </c>
      <c r="D17855" s="3">
        <v>3.0</v>
      </c>
    </row>
    <row r="17856" ht="15.75" customHeight="1">
      <c r="A17856" s="1">
        <v>18978.0</v>
      </c>
      <c r="B17856" s="3" t="s">
        <v>16926</v>
      </c>
      <c r="C17856" s="3" t="str">
        <f>IFERROR(__xludf.DUMMYFUNCTION("GOOGLETRANSLATE(B17856,""id"",""en"")"),"['help', 'APK', 'Success', 'Giftway']")</f>
        <v>['help', 'APK', 'Success', 'Giftway']</v>
      </c>
      <c r="D17856" s="3">
        <v>5.0</v>
      </c>
    </row>
    <row r="17857" ht="15.75" customHeight="1">
      <c r="A17857" s="1">
        <v>18979.0</v>
      </c>
      <c r="B17857" s="3" t="s">
        <v>16927</v>
      </c>
      <c r="C17857" s="3" t="str">
        <f>IFERROR(__xludf.DUMMYFUNCTION("GOOGLETRANSLATE(B17857,""id"",""en"")"),"['price', 'package', 'thousand', 'napa', 'thousand']")</f>
        <v>['price', 'package', 'thousand', 'napa', 'thousand']</v>
      </c>
      <c r="D17857" s="3">
        <v>4.0</v>
      </c>
    </row>
    <row r="17858" ht="15.75" customHeight="1">
      <c r="A17858" s="1">
        <v>18980.0</v>
      </c>
      <c r="B17858" s="3" t="s">
        <v>16928</v>
      </c>
      <c r="C17858" s="3" t="str">
        <f>IFERROR(__xludf.DUMMYFUNCTION("GOOGLETRANSLATE(B17858,""id"",""en"")"),"['Personal', 'like', 'Telkomsel', 'The network', 'Where', 'Mana', 'Thanks', 'Telkomsel', 'Success', 'Seasal']")</f>
        <v>['Personal', 'like', 'Telkomsel', 'The network', 'Where', 'Mana', 'Thanks', 'Telkomsel', 'Success', 'Seasal']</v>
      </c>
      <c r="D17858" s="3">
        <v>5.0</v>
      </c>
    </row>
    <row r="17859" ht="15.75" customHeight="1">
      <c r="A17859" s="1">
        <v>18982.0</v>
      </c>
      <c r="B17859" s="3" t="s">
        <v>1754</v>
      </c>
      <c r="C17859" s="3" t="str">
        <f>IFERROR(__xludf.DUMMYFUNCTION("GOOGLETRANSLATE(B17859,""id"",""en"")"),"['', 'open']")</f>
        <v>['', 'open']</v>
      </c>
      <c r="D17859" s="3">
        <v>1.0</v>
      </c>
    </row>
    <row r="17860" ht="15.75" customHeight="1">
      <c r="A17860" s="1">
        <v>18983.0</v>
      </c>
      <c r="B17860" s="3" t="s">
        <v>16929</v>
      </c>
      <c r="C17860" s="3" t="str">
        <f>IFERROR(__xludf.DUMMYFUNCTION("GOOGLETRANSLATE(B17860,""id"",""en"")"),"['Package', 'Data', 'Telkomsel', 'wife', 'Different', 'Gini', 'wife', 'Package', 'GB', 'RB', 'Telkomsel', 'Package', ' Data ',' expensive ',' ']")</f>
        <v>['Package', 'Data', 'Telkomsel', 'wife', 'Different', 'Gini', 'wife', 'Package', 'GB', 'RB', 'Telkomsel', 'Package', ' Data ',' expensive ',' ']</v>
      </c>
      <c r="D17860" s="3">
        <v>1.0</v>
      </c>
    </row>
    <row r="17861" ht="15.75" customHeight="1">
      <c r="A17861" s="1">
        <v>18984.0</v>
      </c>
      <c r="B17861" s="3" t="s">
        <v>16930</v>
      </c>
      <c r="C17861" s="3" t="str">
        <f>IFERROR(__xludf.DUMMYFUNCTION("GOOGLETRANSLATE(B17861,""id"",""en"")"),"['Telkomsel', 'populat', 'understand', ""]")</f>
        <v>['Telkomsel', 'populat', 'understand', "]</v>
      </c>
      <c r="D17861" s="3">
        <v>2.0</v>
      </c>
    </row>
    <row r="17862" ht="15.75" customHeight="1">
      <c r="A17862" s="1">
        <v>18985.0</v>
      </c>
      <c r="B17862" s="3" t="s">
        <v>16931</v>
      </c>
      <c r="C17862" s="3" t="str">
        <f>IFERROR(__xludf.DUMMYFUNCTION("GOOGLETRANSLATE(B17862,""id"",""en"")"),"['KALOW', 'Good', '']")</f>
        <v>['KALOW', 'Good', '']</v>
      </c>
      <c r="D17862" s="3">
        <v>5.0</v>
      </c>
    </row>
    <row r="17863" ht="15.75" customHeight="1">
      <c r="A17863" s="1">
        <v>18986.0</v>
      </c>
      <c r="B17863" s="3" t="s">
        <v>16932</v>
      </c>
      <c r="C17863" s="3" t="str">
        <f>IFERROR(__xludf.DUMMYFUNCTION("GOOGLETRANSLATE(B17863,""id"",""en"")"),"['easy', 'understand', 'choice', 'package', 'steady']")</f>
        <v>['easy', 'understand', 'choice', 'package', 'steady']</v>
      </c>
      <c r="D17863" s="3">
        <v>5.0</v>
      </c>
    </row>
    <row r="17864" ht="15.75" customHeight="1">
      <c r="A17864" s="1">
        <v>18987.0</v>
      </c>
      <c r="B17864" s="3" t="s">
        <v>16933</v>
      </c>
      <c r="C17864" s="3" t="str">
        <f>IFERROR(__xludf.DUMMYFUNCTION("GOOGLETRANSLATE(B17864,""id"",""en"")"),"['Min', 'Telkomsel', 'Open', 'Update', 'Open', 'Please', 'Hint', 'Thank you', '']")</f>
        <v>['Min', 'Telkomsel', 'Open', 'Update', 'Open', 'Please', 'Hint', 'Thank you', '']</v>
      </c>
      <c r="D17864" s="3">
        <v>1.0</v>
      </c>
    </row>
    <row r="17865" ht="15.75" customHeight="1">
      <c r="A17865" s="1">
        <v>18988.0</v>
      </c>
      <c r="B17865" s="3" t="s">
        <v>16934</v>
      </c>
      <c r="C17865" s="3" t="str">
        <f>IFERROR(__xludf.DUMMYFUNCTION("GOOGLETRANSLATE(B17865,""id"",""en"")"),"['like', 'package', 'promo']")</f>
        <v>['like', 'package', 'promo']</v>
      </c>
      <c r="D17865" s="3">
        <v>5.0</v>
      </c>
    </row>
    <row r="17866" ht="15.75" customHeight="1">
      <c r="A17866" s="1">
        <v>18989.0</v>
      </c>
      <c r="B17866" s="3" t="s">
        <v>4859</v>
      </c>
      <c r="C17866" s="3" t="str">
        <f>IFERROR(__xludf.DUMMYFUNCTION("GOOGLETRANSLATE(B17866,""id"",""en"")"),"['APK', 'Good', '']")</f>
        <v>['APK', 'Good', '']</v>
      </c>
      <c r="D17866" s="3">
        <v>5.0</v>
      </c>
    </row>
    <row r="17867" ht="15.75" customHeight="1">
      <c r="A17867" s="1">
        <v>18990.0</v>
      </c>
      <c r="B17867" s="3" t="s">
        <v>16935</v>
      </c>
      <c r="C17867" s="3" t="str">
        <f>IFERROR(__xludf.DUMMYFUNCTION("GOOGLETRANSLATE(B17867,""id"",""en"")"),"['Steady', 'Package', 'Combo', 'Sakti']")</f>
        <v>['Steady', 'Package', 'Combo', 'Sakti']</v>
      </c>
      <c r="D17867" s="3">
        <v>5.0</v>
      </c>
    </row>
    <row r="17868" ht="15.75" customHeight="1">
      <c r="A17868" s="1">
        <v>18991.0</v>
      </c>
      <c r="B17868" s="3" t="s">
        <v>16936</v>
      </c>
      <c r="C17868" s="3" t="str">
        <f>IFERROR(__xludf.DUMMYFUNCTION("GOOGLETRANSLATE(B17868,""id"",""en"")"),"['right', 'open', 'application', 'white', 'screen', '']")</f>
        <v>['right', 'open', 'application', 'white', 'screen', '']</v>
      </c>
      <c r="D17868" s="3">
        <v>1.0</v>
      </c>
    </row>
    <row r="17869" ht="15.75" customHeight="1">
      <c r="A17869" s="1">
        <v>18992.0</v>
      </c>
      <c r="B17869" s="3" t="s">
        <v>16937</v>
      </c>
      <c r="C17869" s="3" t="str">
        <f>IFERROR(__xludf.DUMMYFUNCTION("GOOGLETRANSLATE(B17869,""id"",""en"")"),"['Application', 'stingy', 'coy']")</f>
        <v>['Application', 'stingy', 'coy']</v>
      </c>
      <c r="D17869" s="3">
        <v>5.0</v>
      </c>
    </row>
    <row r="17870" ht="15.75" customHeight="1">
      <c r="A17870" s="1">
        <v>18993.0</v>
      </c>
      <c r="B17870" s="3" t="s">
        <v>16938</v>
      </c>
      <c r="C17870" s="3" t="str">
        <f>IFERROR(__xludf.DUMMYFUNCTION("GOOGLETRANSLATE(B17870,""id"",""en"")"),"['Telkomsel', 'haha', 'buy', 'package', 'try', 'application', 'tick', 'tok', 'muter', 'truss',' game ',' muter ',' UDH ',' Network ',' Tetep ',' Joree ',' Moving ',' Application ',' Indosat ',' Cheap ',' Network ',' Good ',' ']")</f>
        <v>['Telkomsel', 'haha', 'buy', 'package', 'try', 'application', 'tick', 'tok', 'muter', 'truss',' game ',' muter ',' UDH ',' Network ',' Tetep ',' Joree ',' Moving ',' Application ',' Indosat ',' Cheap ',' Network ',' Good ',' ']</v>
      </c>
      <c r="D17870" s="3">
        <v>1.0</v>
      </c>
    </row>
    <row r="17871" ht="15.75" customHeight="1">
      <c r="A17871" s="1">
        <v>18994.0</v>
      </c>
      <c r="B17871" s="3" t="s">
        <v>2170</v>
      </c>
      <c r="C17871" s="3" t="str">
        <f>IFERROR(__xludf.DUMMYFUNCTION("GOOGLETRANSLATE(B17871,""id"",""en"")"),"['signal', 'slow']")</f>
        <v>['signal', 'slow']</v>
      </c>
      <c r="D17871" s="3">
        <v>5.0</v>
      </c>
    </row>
    <row r="17872" ht="15.75" customHeight="1">
      <c r="A17872" s="1">
        <v>18995.0</v>
      </c>
      <c r="B17872" s="3" t="s">
        <v>16939</v>
      </c>
      <c r="C17872" s="3" t="str">
        <f>IFERROR(__xludf.DUMMYFUNCTION("GOOGLETRANSLATE(B17872,""id"",""en"")"),"['', 'Telkomsel', 'Helpful', 'Easy', '']")</f>
        <v>['', 'Telkomsel', 'Helpful', 'Easy', '']</v>
      </c>
      <c r="D17872" s="3">
        <v>5.0</v>
      </c>
    </row>
    <row r="17873" ht="15.75" customHeight="1">
      <c r="A17873" s="1">
        <v>18998.0</v>
      </c>
      <c r="B17873" s="3" t="s">
        <v>16940</v>
      </c>
      <c r="C17873" s="3" t="str">
        <f>IFERROR(__xludf.DUMMYFUNCTION("GOOGLETRANSLATE(B17873,""id"",""en"")"),"['service', 'purchase', 'package', 'decent', 'easy', 'practical', 'fast', 'signal', 'network', 'internet', 'good', 'compared to' Frovider ',' unfortunate ',' network ',' internet ',' in place ',' stable ',' business', 'online', 'dependent', 'network', 'in"&amp;"ternet', 'disturbed', 'Please' , 'checked', 'network', 'internet', 'in place', 'boss', 'bengkulu', 'north', 'sub-district', 'airbesi', '']")</f>
        <v>['service', 'purchase', 'package', 'decent', 'easy', 'practical', 'fast', 'signal', 'network', 'internet', 'good', 'compared to' Frovider ',' unfortunate ',' network ',' internet ',' in place ',' stable ',' business', 'online', 'dependent', 'network', 'internet', 'disturbed', 'Please' , 'checked', 'network', 'internet', 'in place', 'boss', 'bengkulu', 'north', 'sub-district', 'airbesi', '']</v>
      </c>
      <c r="D17873" s="3">
        <v>5.0</v>
      </c>
    </row>
    <row r="17874" ht="15.75" customHeight="1">
      <c r="A17874" s="1">
        <v>18999.0</v>
      </c>
      <c r="B17874" s="3" t="s">
        <v>16941</v>
      </c>
      <c r="C17874" s="3" t="str">
        <f>IFERROR(__xludf.DUMMYFUNCTION("GOOGLETRANSLATE(B17874,""id"",""en"")"),"['contents',' package ',' goggle ',' already ',' alternating ',' upgrade ',' tetep ',' contents', 'package', 'like', 'the application', 'please', ' Flashed ']")</f>
        <v>['contents',' package ',' goggle ',' already ',' alternating ',' upgrade ',' tetep ',' contents', 'package', 'like', 'the application', 'please', ' Flashed ']</v>
      </c>
      <c r="D17874" s="3">
        <v>2.0</v>
      </c>
    </row>
    <row r="17875" ht="15.75" customHeight="1">
      <c r="A17875" s="1">
        <v>19000.0</v>
      </c>
      <c r="B17875" s="3" t="s">
        <v>16942</v>
      </c>
      <c r="C17875" s="3" t="str">
        <f>IFERROR(__xludf.DUMMYFUNCTION("GOOGLETRANSLATE(B17875,""id"",""en"")"),"['Love', 'Binta', 'Need', 'Help', 'Service', 'Chtt', 'Virtual', 'Mesenger', 'Sopens', 'Name', 'Veronica', ""]")</f>
        <v>['Love', 'Binta', 'Need', 'Help', 'Service', 'Chtt', 'Virtual', 'Mesenger', 'Sopens', 'Name', 'Veronica', "]</v>
      </c>
      <c r="D17875" s="3">
        <v>1.0</v>
      </c>
    </row>
    <row r="17876" ht="15.75" customHeight="1">
      <c r="A17876" s="1">
        <v>19001.0</v>
      </c>
      <c r="B17876" s="3" t="s">
        <v>943</v>
      </c>
      <c r="C17876" s="3" t="str">
        <f>IFERROR(__xludf.DUMMYFUNCTION("GOOGLETRANSLATE(B17876,""id"",""en"")"),"['satisfying']")</f>
        <v>['satisfying']</v>
      </c>
      <c r="D17876" s="3">
        <v>5.0</v>
      </c>
    </row>
    <row r="17877" ht="15.75" customHeight="1">
      <c r="A17877" s="1">
        <v>19002.0</v>
      </c>
      <c r="B17877" s="3" t="s">
        <v>16943</v>
      </c>
      <c r="C17877" s="3" t="str">
        <f>IFERROR(__xludf.DUMMYFUNCTION("GOOGLETRANSLATE(B17877,""id"",""en"")"),"['Remaharuan', 'Telkomsel', 'Open', 'Sangta', 'Disappointed']")</f>
        <v>['Remaharuan', 'Telkomsel', 'Open', 'Sangta', 'Disappointed']</v>
      </c>
      <c r="D17877" s="3">
        <v>5.0</v>
      </c>
    </row>
    <row r="17878" ht="15.75" customHeight="1">
      <c r="A17878" s="1">
        <v>19003.0</v>
      </c>
      <c r="B17878" s="3" t="s">
        <v>16944</v>
      </c>
      <c r="C17878" s="3" t="str">
        <f>IFERROR(__xludf.DUMMYFUNCTION("GOOGLETRANSLATE(B17878,""id"",""en"")"),"['pulse', 'sucked', 'solution', 'APK']")</f>
        <v>['pulse', 'sucked', 'solution', 'APK']</v>
      </c>
      <c r="D17878" s="3">
        <v>1.0</v>
      </c>
    </row>
    <row r="17879" ht="15.75" customHeight="1">
      <c r="A17879" s="1">
        <v>19004.0</v>
      </c>
      <c r="B17879" s="3" t="s">
        <v>16945</v>
      </c>
      <c r="C17879" s="3" t="str">
        <f>IFERROR(__xludf.DUMMYFUNCTION("GOOGLETRANSLATE(B17879,""id"",""en"")"),"['update', 'application', 'Telkomsel', 'opened', 'blank', 'copy', 'install', 'result', 'please', 'assisted', 'tks']")</f>
        <v>['update', 'application', 'Telkomsel', 'opened', 'blank', 'copy', 'install', 'result', 'please', 'assisted', 'tks']</v>
      </c>
      <c r="D17879" s="3">
        <v>1.0</v>
      </c>
    </row>
    <row r="17880" ht="15.75" customHeight="1">
      <c r="A17880" s="1">
        <v>19005.0</v>
      </c>
      <c r="B17880" s="3" t="s">
        <v>16946</v>
      </c>
      <c r="C17880" s="3" t="str">
        <f>IFERROR(__xludf.DUMMYFUNCTION("GOOGLETRANSLATE(B17880,""id"",""en"")"),"['Disappointed', 'choice', 'promo', 'cheerful', 'accessed', 'even though', 'promo', ""]")</f>
        <v>['Disappointed', 'choice', 'promo', 'cheerful', 'accessed', 'even though', 'promo', "]</v>
      </c>
      <c r="D17880" s="3">
        <v>1.0</v>
      </c>
    </row>
    <row r="17881" ht="15.75" customHeight="1">
      <c r="A17881" s="1">
        <v>19006.0</v>
      </c>
      <c r="B17881" s="3" t="s">
        <v>16947</v>
      </c>
      <c r="C17881" s="3" t="str">
        <f>IFERROR(__xludf.DUMMYFUNCTION("GOOGLETRANSLATE(B17881,""id"",""en"")"),"['Telkomsel', 'difficult', 'really', 'pulse', 'difficult', 'buy', 'quota', 'Telkomsel']")</f>
        <v>['Telkomsel', 'difficult', 'really', 'pulse', 'difficult', 'buy', 'quota', 'Telkomsel']</v>
      </c>
      <c r="D17881" s="3">
        <v>5.0</v>
      </c>
    </row>
    <row r="17882" ht="15.75" customHeight="1">
      <c r="A17882" s="1">
        <v>19007.0</v>
      </c>
      <c r="B17882" s="3" t="s">
        <v>16948</v>
      </c>
      <c r="C17882" s="3" t="str">
        <f>IFERROR(__xludf.DUMMYFUNCTION("GOOGLETRANSLATE(B17882,""id"",""en"")"),"['please', 'Telkomsel', 'already', 'open', 'Telkomsel', 'yesterday', 'told', 'update', 'update', 'open', 'application', 'Telkomsel', ' Please, 'response', '']")</f>
        <v>['please', 'Telkomsel', 'already', 'open', 'Telkomsel', 'yesterday', 'told', 'update', 'update', 'open', 'application', 'Telkomsel', ' Please, 'response', '']</v>
      </c>
      <c r="D17882" s="3">
        <v>1.0</v>
      </c>
    </row>
    <row r="17883" ht="15.75" customHeight="1">
      <c r="A17883" s="1">
        <v>19008.0</v>
      </c>
      <c r="B17883" s="3" t="s">
        <v>16949</v>
      </c>
      <c r="C17883" s="3" t="str">
        <f>IFERROR(__xludf.DUMMYFUNCTION("GOOGLETRANSLATE(B17883,""id"",""en"")"),"['Wow', 'Network', 'Good', 'Antonym', 'Change', 'Im', 'Telkomsel', 'Mending', 'Change', 'Im', 'Card', 'Best', ' ']")</f>
        <v>['Wow', 'Network', 'Good', 'Antonym', 'Change', 'Im', 'Telkomsel', 'Mending', 'Change', 'Im', 'Card', 'Best', ' ']</v>
      </c>
      <c r="D17883" s="3">
        <v>1.0</v>
      </c>
    </row>
    <row r="17884" ht="15.75" customHeight="1">
      <c r="A17884" s="1">
        <v>19009.0</v>
      </c>
      <c r="B17884" s="3" t="s">
        <v>16950</v>
      </c>
      <c r="C17884" s="3" t="str">
        <f>IFERROR(__xludf.DUMMYFUNCTION("GOOGLETRANSLATE(B17884,""id"",""en"")"),"['Good', 'Yesterday', 'already', 'open', 'the application']")</f>
        <v>['Good', 'Yesterday', 'already', 'open', 'the application']</v>
      </c>
      <c r="D17884" s="3">
        <v>5.0</v>
      </c>
    </row>
    <row r="17885" ht="15.75" customHeight="1">
      <c r="A17885" s="1">
        <v>19010.0</v>
      </c>
      <c r="B17885" s="3" t="s">
        <v>1044</v>
      </c>
      <c r="C17885" s="3" t="str">
        <f>IFERROR(__xludf.DUMMYFUNCTION("GOOGLETRANSLATE(B17885,""id"",""en"")"),"['good', '']")</f>
        <v>['good', '']</v>
      </c>
      <c r="D17885" s="3">
        <v>5.0</v>
      </c>
    </row>
    <row r="17886" ht="15.75" customHeight="1">
      <c r="A17886" s="1">
        <v>19011.0</v>
      </c>
      <c r="B17886" s="3" t="s">
        <v>16951</v>
      </c>
      <c r="C17886" s="3" t="str">
        <f>IFERROR(__xludf.DUMMYFUNCTION("GOOGLETRANSLATE(B17886,""id"",""en"")"),"['signal', 'please', '']")</f>
        <v>['signal', 'please', '']</v>
      </c>
      <c r="D17886" s="3">
        <v>5.0</v>
      </c>
    </row>
    <row r="17887" ht="15.75" customHeight="1">
      <c r="A17887" s="1">
        <v>19012.0</v>
      </c>
      <c r="B17887" s="3" t="s">
        <v>16952</v>
      </c>
      <c r="C17887" s="3" t="str">
        <f>IFERROR(__xludf.DUMMYFUNCTION("GOOGLETRANSLATE(B17887,""id"",""en"")"),"['Install', 'Update', 'Latest', 'Application', 'Opened', 'Clear', 'Data', 'Memory', 'Uninstall', 'Reinstall', 'restart', 'device', ' Application ',' MyTelkomsel ',' opened ',' ']")</f>
        <v>['Install', 'Update', 'Latest', 'Application', 'Opened', 'Clear', 'Data', 'Memory', 'Uninstall', 'Reinstall', 'restart', 'device', ' Application ',' MyTelkomsel ',' opened ',' ']</v>
      </c>
      <c r="D17887" s="3">
        <v>2.0</v>
      </c>
    </row>
    <row r="17888" ht="15.75" customHeight="1">
      <c r="A17888" s="1">
        <v>19013.0</v>
      </c>
      <c r="B17888" s="3" t="s">
        <v>16953</v>
      </c>
      <c r="C17888" s="3" t="str">
        <f>IFERROR(__xludf.DUMMYFUNCTION("GOOGLETRANSLATE(B17888,""id"",""en"")"),"['Segini', 'BLM', 'Try', 'LGi', 'LGI', 'Download', 'Application', 'Difficult', 'download', 'BSA', 'Help', 'Love', ' lbih ',' easy ']")</f>
        <v>['Segini', 'BLM', 'Try', 'LGi', 'LGI', 'Download', 'Application', 'Difficult', 'download', 'BSA', 'Help', 'Love', ' lbih ',' easy ']</v>
      </c>
      <c r="D17888" s="3">
        <v>2.0</v>
      </c>
    </row>
    <row r="17889" ht="15.75" customHeight="1">
      <c r="A17889" s="1">
        <v>19014.0</v>
      </c>
      <c r="B17889" s="3" t="s">
        <v>16954</v>
      </c>
      <c r="C17889" s="3" t="str">
        <f>IFERROR(__xludf.DUMMYFUNCTION("GOOGLETRANSLATE(B17889,""id"",""en"")"),"['ugly', 'really', 'opened', 'APK', 'move', 'provider']")</f>
        <v>['ugly', 'really', 'opened', 'APK', 'move', 'provider']</v>
      </c>
      <c r="D17889" s="3">
        <v>1.0</v>
      </c>
    </row>
    <row r="17890" ht="15.75" customHeight="1">
      <c r="A17890" s="1">
        <v>19015.0</v>
      </c>
      <c r="B17890" s="3" t="s">
        <v>16955</v>
      </c>
      <c r="C17890" s="3" t="str">
        <f>IFERROR(__xludf.DUMMYFUNCTION("GOOGLETRANSLATE(B17890,""id"",""en"")"),"['Application', 'Upadate', 'Mulu']")</f>
        <v>['Application', 'Upadate', 'Mulu']</v>
      </c>
      <c r="D17890" s="3">
        <v>1.0</v>
      </c>
    </row>
    <row r="17891" ht="15.75" customHeight="1">
      <c r="A17891" s="1">
        <v>19016.0</v>
      </c>
      <c r="B17891" s="3" t="s">
        <v>16956</v>
      </c>
      <c r="C17891" s="3" t="str">
        <f>IFERROR(__xludf.DUMMYFUNCTION("GOOGLETRANSLATE(B17891,""id"",""en"")"),"['Open', 'Telkomsel', '']")</f>
        <v>['Open', 'Telkomsel', '']</v>
      </c>
      <c r="D17891" s="3">
        <v>3.0</v>
      </c>
    </row>
    <row r="17892" ht="15.75" customHeight="1">
      <c r="A17892" s="1">
        <v>19017.0</v>
      </c>
      <c r="B17892" s="3" t="s">
        <v>16957</v>
      </c>
      <c r="C17892" s="3" t="str">
        <f>IFERROR(__xludf.DUMMYFUNCTION("GOOGLETRANSLATE(B17892,""id"",""en"")"),"['Please', 'signal', 'How', 'Play', 'Ngelag', 'Mulu', 'Mulu', 'Sampe', 'Lost', 'Signal', 'Please', 'Telkomsel']")</f>
        <v>['Please', 'signal', 'How', 'Play', 'Ngelag', 'Mulu', 'Mulu', 'Sampe', 'Lost', 'Signal', 'Please', 'Telkomsel']</v>
      </c>
      <c r="D17892" s="3">
        <v>1.0</v>
      </c>
    </row>
    <row r="17893" ht="15.75" customHeight="1">
      <c r="A17893" s="1">
        <v>19018.0</v>
      </c>
      <c r="B17893" s="3" t="s">
        <v>16958</v>
      </c>
      <c r="C17893" s="3" t="str">
        <f>IFERROR(__xludf.DUMMYFUNCTION("GOOGLETRANSLATE(B17893,""id"",""en"")"),"['failed', 'buy', 'package', 'internet', 'proof', 'transaction', 'buy', 'pulse', 'down', 'after', 'go', 'take it', ' pulse']")</f>
        <v>['failed', 'buy', 'package', 'internet', 'proof', 'transaction', 'buy', 'pulse', 'down', 'after', 'go', 'take it', ' pulse']</v>
      </c>
      <c r="D17893" s="3">
        <v>1.0</v>
      </c>
    </row>
    <row r="17894" ht="15.75" customHeight="1">
      <c r="A17894" s="1">
        <v>19019.0</v>
      </c>
      <c r="B17894" s="3" t="s">
        <v>16959</v>
      </c>
      <c r="C17894" s="3" t="str">
        <f>IFERROR(__xludf.DUMMYFUNCTION("GOOGLETRANSLATE(B17894,""id"",""en"")"),"['Rates', 'expensive', 'application', 'ngelag']")</f>
        <v>['Rates', 'expensive', 'application', 'ngelag']</v>
      </c>
      <c r="D17894" s="3">
        <v>1.0</v>
      </c>
    </row>
    <row r="17895" ht="15.75" customHeight="1">
      <c r="A17895" s="1">
        <v>19020.0</v>
      </c>
      <c r="B17895" s="3" t="s">
        <v>16960</v>
      </c>
      <c r="C17895" s="3" t="str">
        <f>IFERROR(__xludf.DUMMYFUNCTION("GOOGLETRANSLATE(B17895,""id"",""en"")"),"['response', 'the application', 'opened', 'application', 'bad', '']")</f>
        <v>['response', 'the application', 'opened', 'application', 'bad', '']</v>
      </c>
      <c r="D17895" s="3">
        <v>1.0</v>
      </c>
    </row>
    <row r="17896" ht="15.75" customHeight="1">
      <c r="A17896" s="1">
        <v>19021.0</v>
      </c>
      <c r="B17896" s="3" t="s">
        <v>16961</v>
      </c>
      <c r="C17896" s="3" t="str">
        <f>IFERROR(__xludf.DUMMYFUNCTION("GOOGLETRANSLATE(B17896,""id"",""en"")"),"['Come', 'chaotic', 'right', 'play', 'game', 'signal', 'right', 'open', 'youtube', 'signal', 'smooth', 'buy', ' Package ',' parahh ']")</f>
        <v>['Come', 'chaotic', 'right', 'play', 'game', 'signal', 'right', 'open', 'youtube', 'signal', 'smooth', 'buy', ' Package ',' parahh ']</v>
      </c>
      <c r="D17896" s="3">
        <v>1.0</v>
      </c>
    </row>
    <row r="17897" ht="15.75" customHeight="1">
      <c r="A17897" s="1">
        <v>19022.0</v>
      </c>
      <c r="B17897" s="3" t="s">
        <v>16962</v>
      </c>
      <c r="C17897" s="3" t="str">
        <f>IFERROR(__xludf.DUMMYFUNCTION("GOOGLETRANSLATE(B17897,""id"",""en"")"),"['Telkomsel', 'here', 'broken', 'network', 'min', 'please', 'fix', 'iyah', 'nhabsjnsjsndjddjjddjjdjdjdjdjdjfjfjfjfjfjfjfjfjfjfjfjfjfjfj")</f>
        <v>['Telkomsel', 'here', 'broken', 'network', 'min', 'please', 'fix', 'iyah', 'nhabsjnsjsndjddjjddjjdjdjdjdjdjfjfjfjfjfjfjfjfjfjfjfjfjfjfj</v>
      </c>
      <c r="D17897" s="3">
        <v>2.0</v>
      </c>
    </row>
    <row r="17898" ht="15.75" customHeight="1">
      <c r="A17898" s="1">
        <v>19023.0</v>
      </c>
      <c r="B17898" s="3" t="s">
        <v>16963</v>
      </c>
      <c r="C17898" s="3" t="str">
        <f>IFERROR(__xludf.DUMMYFUNCTION("GOOGLETRANSLATE(B17898,""id"",""en"")"),"['bug', 'buy', 'pulse', 'nominal', 'send', 'pulse', 'push', 'option', 'select', 'nominal', 'reading', 'pulse', ' sufficient ',' nominal ',' bug ',' bug ',' please ',' fast ',' fix ',' buy ',' account ',' game ',' bug ',' thank ',' love ' ]")</f>
        <v>['bug', 'buy', 'pulse', 'nominal', 'send', 'pulse', 'push', 'option', 'select', 'nominal', 'reading', 'pulse', ' sufficient ',' nominal ',' bug ',' bug ',' please ',' fast ',' fix ',' buy ',' account ',' game ',' bug ',' thank ',' love ' ]</v>
      </c>
      <c r="D17898" s="3">
        <v>1.0</v>
      </c>
    </row>
    <row r="17899" ht="15.75" customHeight="1">
      <c r="A17899" s="1">
        <v>19024.0</v>
      </c>
      <c r="B17899" s="3" t="s">
        <v>16964</v>
      </c>
      <c r="C17899" s="3" t="str">
        <f>IFERROR(__xludf.DUMMYFUNCTION("GOOGLETRANSLATE(B17899,""id"",""en"")"),"['Good', 'LANJABAYAN']")</f>
        <v>['Good', 'LANJABAYAN']</v>
      </c>
      <c r="D17899" s="3">
        <v>4.0</v>
      </c>
    </row>
    <row r="17900" ht="15.75" customHeight="1">
      <c r="A17900" s="1">
        <v>19025.0</v>
      </c>
      <c r="B17900" s="3" t="s">
        <v>16965</v>
      </c>
      <c r="C17900" s="3" t="str">
        <f>IFERROR(__xludf.DUMMYFUNCTION("GOOGLETRANSLATE(B17900,""id"",""en"")"),"['apps', 'okay', '']")</f>
        <v>['apps', 'okay', '']</v>
      </c>
      <c r="D17900" s="3">
        <v>5.0</v>
      </c>
    </row>
    <row r="17901" ht="15.75" customHeight="1">
      <c r="A17901" s="1">
        <v>19026.0</v>
      </c>
      <c r="B17901" s="3" t="s">
        <v>16966</v>
      </c>
      <c r="C17901" s="3" t="str">
        <f>IFERROR(__xludf.DUMMYFUNCTION("GOOGLETRANSLATE(B17901,""id"",""en"")"),"['Telkomsel', 'signal', 'ugly', 'stay', 'area', 'city', 'card', 'hello', 'signal', 'use', 'Telkomsel', 'Udh', ' Tetep ',' ugly ',' signal ']")</f>
        <v>['Telkomsel', 'signal', 'ugly', 'stay', 'area', 'city', 'card', 'hello', 'signal', 'use', 'Telkomsel', 'Udh', ' Tetep ',' ugly ',' signal ']</v>
      </c>
      <c r="D17901" s="3">
        <v>1.0</v>
      </c>
    </row>
    <row r="17902" ht="15.75" customHeight="1">
      <c r="A17902" s="1">
        <v>19027.0</v>
      </c>
      <c r="B17902" s="3" t="s">
        <v>13873</v>
      </c>
      <c r="C17902" s="3" t="str">
        <f>IFERROR(__xludf.DUMMYFUNCTION("GOOGLETRANSLATE(B17902,""id"",""en"")"),"['How', 'opened']")</f>
        <v>['How', 'opened']</v>
      </c>
      <c r="D17902" s="3">
        <v>1.0</v>
      </c>
    </row>
    <row r="17903" ht="15.75" customHeight="1">
      <c r="A17903" s="1">
        <v>19028.0</v>
      </c>
      <c r="B17903" s="3" t="s">
        <v>16967</v>
      </c>
      <c r="C17903" s="3" t="str">
        <f>IFERROR(__xludf.DUMMYFUNCTION("GOOGLETRANSLATE(B17903,""id"",""en"")"),"['Wonder', 'already', 'times',' buy ',' package ',' internet ',' night ',' buy ',' package ',' internet ',' night ',' download ',' the application ',' quota ',' already ',' run out ',' see ',' use ',' quota ',' meek ',' dipake ',' quota ',' missing ',' ga"&amp;"da ',' trail ' , 'That's']")</f>
        <v>['Wonder', 'already', 'times',' buy ',' package ',' internet ',' night ',' buy ',' package ',' internet ',' night ',' download ',' the application ',' quota ',' already ',' run out ',' see ',' use ',' quota ',' meek ',' dipake ',' quota ',' missing ',' gada ',' trail ' , 'That's']</v>
      </c>
      <c r="D17903" s="3">
        <v>1.0</v>
      </c>
    </row>
    <row r="17904" ht="15.75" customHeight="1">
      <c r="A17904" s="1">
        <v>19029.0</v>
      </c>
      <c r="B17904" s="3" t="s">
        <v>16968</v>
      </c>
      <c r="C17904" s="3" t="str">
        <f>IFERROR(__xludf.DUMMYFUNCTION("GOOGLETRANSLATE(B17904,""id"",""en"")"),"['apk', 'used', 'buy', 'package', 'must', 'commerce', 'severe']")</f>
        <v>['apk', 'used', 'buy', 'package', 'must', 'commerce', 'severe']</v>
      </c>
      <c r="D17904" s="3">
        <v>1.0</v>
      </c>
    </row>
    <row r="17905" ht="15.75" customHeight="1">
      <c r="A17905" s="1">
        <v>19030.0</v>
      </c>
      <c r="B17905" s="3" t="s">
        <v>16969</v>
      </c>
      <c r="C17905" s="3" t="str">
        <f>IFERROR(__xludf.DUMMYFUNCTION("GOOGLETRANSLATE(B17905,""id"",""en"")"),"['Operator', 'good', 'signal', 'bad', 'price', 'expensive', 'according to', 'city', 'city', 'good', 'telkom', 'area', ' Village ',' bad ']")</f>
        <v>['Operator', 'good', 'signal', 'bad', 'price', 'expensive', 'according to', 'city', 'city', 'good', 'telkom', 'area', ' Village ',' bad ']</v>
      </c>
      <c r="D17905" s="3">
        <v>1.0</v>
      </c>
    </row>
    <row r="17906" ht="15.75" customHeight="1">
      <c r="A17906" s="1">
        <v>19031.0</v>
      </c>
      <c r="B17906" s="3" t="s">
        <v>16970</v>
      </c>
      <c r="C17906" s="3" t="str">
        <f>IFERROR(__xludf.DUMMYFUNCTION("GOOGLETRANSLATE(B17906,""id"",""en"")"),"['Suda', 'Package', 'Merciful', 'skrang', 'whispered', ""]")</f>
        <v>['Suda', 'Package', 'Merciful', 'skrang', 'whispered', "]</v>
      </c>
      <c r="D17906" s="3">
        <v>5.0</v>
      </c>
    </row>
    <row r="17907" ht="15.75" customHeight="1">
      <c r="A17907" s="1">
        <v>19032.0</v>
      </c>
      <c r="B17907" s="3" t="s">
        <v>16971</v>
      </c>
      <c r="C17907" s="3" t="str">
        <f>IFERROR(__xludf.DUMMYFUNCTION("GOOGLETRANSLATE(B17907,""id"",""en"")"),"['Help', 'buy', 'package', 'check', 'quota', 'see', 'program', 'Telkomsel', '']")</f>
        <v>['Help', 'buy', 'package', 'check', 'quota', 'see', 'program', 'Telkomsel', '']</v>
      </c>
      <c r="D17907" s="3">
        <v>5.0</v>
      </c>
    </row>
    <row r="17908" ht="15.75" customHeight="1">
      <c r="A17908" s="1">
        <v>19033.0</v>
      </c>
      <c r="B17908" s="3" t="s">
        <v>16972</v>
      </c>
      <c r="C17908" s="3" t="str">
        <f>IFERROR(__xludf.DUMMYFUNCTION("GOOGLETRANSLATE(B17908,""id"",""en"")"),"['Terbimah', 'Love', 'Application', 'Good']")</f>
        <v>['Terbimah', 'Love', 'Application', 'Good']</v>
      </c>
      <c r="D17908" s="3">
        <v>5.0</v>
      </c>
    </row>
    <row r="17909" ht="15.75" customHeight="1">
      <c r="A17909" s="1">
        <v>19034.0</v>
      </c>
      <c r="B17909" s="3" t="s">
        <v>16973</v>
      </c>
      <c r="C17909" s="3" t="str">
        <f>IFERROR(__xludf.DUMMYFUNCTION("GOOGLETRANSLATE(B17909,""id"",""en"")"),"['Satisfied', 'Telkomsel', 'help', 'steady']")</f>
        <v>['Satisfied', 'Telkomsel', 'help', 'steady']</v>
      </c>
      <c r="D17909" s="3">
        <v>5.0</v>
      </c>
    </row>
    <row r="17910" ht="15.75" customHeight="1">
      <c r="A17910" s="1">
        <v>19035.0</v>
      </c>
      <c r="B17910" s="3" t="s">
        <v>16974</v>
      </c>
      <c r="C17910" s="3" t="str">
        <f>IFERROR(__xludf.DUMMYFUNCTION("GOOGLETRANSLATE(B17910,""id"",""en"")"),"['Telkomsel', 'petrified', 'Communication', 'City', 'Village']")</f>
        <v>['Telkomsel', 'petrified', 'Communication', 'City', 'Village']</v>
      </c>
      <c r="D17910" s="3">
        <v>5.0</v>
      </c>
    </row>
    <row r="17911" ht="15.75" customHeight="1">
      <c r="A17911" s="1">
        <v>19036.0</v>
      </c>
      <c r="B17911" s="3" t="s">
        <v>16975</v>
      </c>
      <c r="C17911" s="3" t="str">
        <f>IFERROR(__xludf.DUMMYFUNCTION("GOOGLETRANSLATE(B17911,""id"",""en"")"),"['Bad', 'Rain', 'Drizzle']")</f>
        <v>['Bad', 'Rain', 'Drizzle']</v>
      </c>
      <c r="D17911" s="3">
        <v>1.0</v>
      </c>
    </row>
    <row r="17912" ht="15.75" customHeight="1">
      <c r="A17912" s="1">
        <v>19037.0</v>
      </c>
      <c r="B17912" s="3" t="s">
        <v>16976</v>
      </c>
      <c r="C17912" s="3" t="str">
        <f>IFERROR(__xludf.DUMMYFUNCTION("GOOGLETRANSLATE(B17912,""id"",""en"")"),"['', 'Telkomsel', 'update', 'good', 'Bangat', 'help', 'update', 'opened', 'skali', 'what', 'please', 'fix', "" ]")</f>
        <v>['', 'Telkomsel', 'update', 'good', 'Bangat', 'help', 'update', 'opened', 'skali', 'what', 'please', 'fix', " ]</v>
      </c>
      <c r="D17912" s="3">
        <v>5.0</v>
      </c>
    </row>
    <row r="17913" ht="15.75" customHeight="1">
      <c r="A17913" s="1">
        <v>19038.0</v>
      </c>
      <c r="B17913" s="3" t="s">
        <v>16977</v>
      </c>
      <c r="C17913" s="3" t="str">
        <f>IFERROR(__xludf.DUMMYFUNCTION("GOOGLETRANSLATE(B17913,""id"",""en"")"),"['Open', 'MyTelkomsel', 'screen', 'white', 'already', 'open', 'check', 'quota', 'please', 'fix', 'Telkomsel']")</f>
        <v>['Open', 'MyTelkomsel', 'screen', 'white', 'already', 'open', 'check', 'quota', 'please', 'fix', 'Telkomsel']</v>
      </c>
      <c r="D17913" s="3">
        <v>5.0</v>
      </c>
    </row>
    <row r="17914" ht="15.75" customHeight="1">
      <c r="A17914" s="1">
        <v>19039.0</v>
      </c>
      <c r="B17914" s="3" t="s">
        <v>16978</v>
      </c>
      <c r="C17914" s="3" t="str">
        <f>IFERROR(__xludf.DUMMYFUNCTION("GOOGLETRANSLATE(B17914,""id"",""en"")"),"['', 'Update', 'enter', 'Ngeblang', 'screen', 'white', 'Doang', 'already', 'repeated', 'BGitu']")</f>
        <v>['', 'Update', 'enter', 'Ngeblang', 'screen', 'white', 'Doang', 'already', 'repeated', 'BGitu']</v>
      </c>
      <c r="D17914" s="3">
        <v>1.0</v>
      </c>
    </row>
    <row r="17915" ht="15.75" customHeight="1">
      <c r="A17915" s="1">
        <v>19040.0</v>
      </c>
      <c r="B17915" s="3" t="s">
        <v>16979</v>
      </c>
      <c r="C17915" s="3" t="str">
        <f>IFERROR(__xludf.DUMMYFUNCTION("GOOGLETRANSLATE(B17915,""id"",""en"")"),"['Not bad', 'Margnon']")</f>
        <v>['Not bad', 'Margnon']</v>
      </c>
      <c r="D17915" s="3">
        <v>4.0</v>
      </c>
    </row>
    <row r="17916" ht="15.75" customHeight="1">
      <c r="A17916" s="1">
        <v>19041.0</v>
      </c>
      <c r="B17916" s="3" t="s">
        <v>194</v>
      </c>
      <c r="C17916" s="3" t="str">
        <f>IFERROR(__xludf.DUMMYFUNCTION("GOOGLETRANSLATE(B17916,""id"",""en"")"),"['Satisfied', 'Service', 'Telkomsel']")</f>
        <v>['Satisfied', 'Service', 'Telkomsel']</v>
      </c>
      <c r="D17916" s="3">
        <v>5.0</v>
      </c>
    </row>
    <row r="17917" ht="15.75" customHeight="1">
      <c r="A17917" s="1">
        <v>19042.0</v>
      </c>
      <c r="B17917" s="3" t="s">
        <v>9493</v>
      </c>
      <c r="C17917" s="3" t="str">
        <f>IFERROR(__xludf.DUMMYFUNCTION("GOOGLETRANSLATE(B17917,""id"",""en"")"),"['Open', 'Samsung', '']")</f>
        <v>['Open', 'Samsung', '']</v>
      </c>
      <c r="D17917" s="3">
        <v>1.0</v>
      </c>
    </row>
    <row r="17918" ht="15.75" customHeight="1">
      <c r="A17918" s="1">
        <v>19043.0</v>
      </c>
      <c r="B17918" s="3" t="s">
        <v>16980</v>
      </c>
      <c r="C17918" s="3" t="str">
        <f>IFERROR(__xludf.DUMMYFUNCTION("GOOGLETRANSLATE(B17918,""id"",""en"")"),"['Payment', 'Link', 'Try', 'report']")</f>
        <v>['Payment', 'Link', 'Try', 'report']</v>
      </c>
      <c r="D17918" s="3">
        <v>3.0</v>
      </c>
    </row>
    <row r="17919" ht="15.75" customHeight="1">
      <c r="A17919" s="1">
        <v>19044.0</v>
      </c>
      <c r="B17919" s="3" t="s">
        <v>16981</v>
      </c>
      <c r="C17919" s="3" t="str">
        <f>IFERROR(__xludf.DUMMYFUNCTION("GOOGLETRANSLATE(B17919,""id"",""en"")"),"['Good', 'function', 'good']")</f>
        <v>['Good', 'function', 'good']</v>
      </c>
      <c r="D17919" s="3">
        <v>4.0</v>
      </c>
    </row>
    <row r="17920" ht="15.75" customHeight="1">
      <c r="A17920" s="1">
        <v>19045.0</v>
      </c>
      <c r="B17920" s="3" t="s">
        <v>16982</v>
      </c>
      <c r="C17920" s="3" t="str">
        <f>IFERROR(__xludf.DUMMYFUNCTION("GOOGLETRANSLATE(B17920,""id"",""en"")"),"['Simple', 'Easy', 'Hopefully', 'Success', 'Sellu', 'Telkomsel', '']")</f>
        <v>['Simple', 'Easy', 'Hopefully', 'Success', 'Sellu', 'Telkomsel', '']</v>
      </c>
      <c r="D17920" s="3">
        <v>5.0</v>
      </c>
    </row>
    <row r="17921" ht="15.75" customHeight="1">
      <c r="A17921" s="1">
        <v>19046.0</v>
      </c>
      <c r="B17921" s="3" t="s">
        <v>16983</v>
      </c>
      <c r="C17921" s="3" t="str">
        <f>IFERROR(__xludf.DUMMYFUNCTION("GOOGLETRANSLATE(B17921,""id"",""en"")"),"['Wear', 'Telkomsel', 'easy']")</f>
        <v>['Wear', 'Telkomsel', 'easy']</v>
      </c>
      <c r="D17921" s="3">
        <v>5.0</v>
      </c>
    </row>
    <row r="17922" ht="15.75" customHeight="1">
      <c r="A17922" s="1">
        <v>19047.0</v>
      </c>
      <c r="B17922" s="3" t="s">
        <v>16984</v>
      </c>
      <c r="C17922" s="3" t="str">
        <f>IFERROR(__xludf.DUMMYFUNCTION("GOOGLETRANSLATE(B17922,""id"",""en"")"),"['Application', 'Sometimes', 'Loading', 'Heavy']")</f>
        <v>['Application', 'Sometimes', 'Loading', 'Heavy']</v>
      </c>
      <c r="D17922" s="3">
        <v>3.0</v>
      </c>
    </row>
    <row r="17923" ht="15.75" customHeight="1">
      <c r="A17923" s="1">
        <v>19048.0</v>
      </c>
      <c r="B17923" s="3" t="s">
        <v>16985</v>
      </c>
      <c r="C17923" s="3" t="str">
        <f>IFERROR(__xludf.DUMMYFUNCTION("GOOGLETRANSLATE(B17923,""id"",""en"")"),"['internet', 'slow', 'Telkomsel', 'bad']")</f>
        <v>['internet', 'slow', 'Telkomsel', 'bad']</v>
      </c>
      <c r="D17923" s="3">
        <v>1.0</v>
      </c>
    </row>
    <row r="17924" ht="15.75" customHeight="1">
      <c r="A17924" s="1">
        <v>19049.0</v>
      </c>
      <c r="B17924" s="3" t="s">
        <v>16986</v>
      </c>
      <c r="C17924" s="3" t="str">
        <f>IFERROR(__xludf.DUMMYFUNCTION("GOOGLETRANSLATE(B17924,""id"",""en"")"),"['application', 'provider', 'right', 'enter', 'apk', 'slow', 'forgiveness']")</f>
        <v>['application', 'provider', 'right', 'enter', 'apk', 'slow', 'forgiveness']</v>
      </c>
      <c r="D17924" s="3">
        <v>1.0</v>
      </c>
    </row>
    <row r="17925" ht="15.75" customHeight="1">
      <c r="A17925" s="1">
        <v>19050.0</v>
      </c>
      <c r="B17925" s="3" t="s">
        <v>16987</v>
      </c>
      <c r="C17925" s="3" t="str">
        <f>IFERROR(__xludf.DUMMYFUNCTION("GOOGLETRANSLATE(B17925,""id"",""en"")"),"['Maff', 'cave', 'subscription', 'engstak', 'apk', 'boss']")</f>
        <v>['Maff', 'cave', 'subscription', 'engstak', 'apk', 'boss']</v>
      </c>
      <c r="D17925" s="3">
        <v>1.0</v>
      </c>
    </row>
    <row r="17926" ht="15.75" customHeight="1">
      <c r="A17926" s="1">
        <v>19051.0</v>
      </c>
      <c r="B17926" s="3" t="s">
        <v>3106</v>
      </c>
      <c r="C17926" s="3" t="str">
        <f>IFERROR(__xludf.DUMMYFUNCTION("GOOGLETRANSLATE(B17926,""id"",""en"")"),"['', 'Telkomsel']")</f>
        <v>['', 'Telkomsel']</v>
      </c>
      <c r="D17926" s="3">
        <v>5.0</v>
      </c>
    </row>
    <row r="17927" ht="15.75" customHeight="1">
      <c r="A17927" s="1">
        <v>19052.0</v>
      </c>
      <c r="B17927" s="3" t="s">
        <v>16988</v>
      </c>
      <c r="C17927" s="3" t="str">
        <f>IFERROR(__xludf.DUMMYFUNCTION("GOOGLETRANSLATE(B17927,""id"",""en"")"),"['bad signal']")</f>
        <v>['bad signal']</v>
      </c>
      <c r="D17927" s="3">
        <v>4.0</v>
      </c>
    </row>
    <row r="17928" ht="15.75" customHeight="1">
      <c r="A17928" s="1">
        <v>19053.0</v>
      </c>
      <c r="B17928" s="3" t="s">
        <v>9083</v>
      </c>
      <c r="C17928" s="3" t="str">
        <f>IFERROR(__xludf.DUMMYFUNCTION("GOOGLETRANSLATE(B17928,""id"",""en"")"),"['', 'good', '']")</f>
        <v>['', 'good', '']</v>
      </c>
      <c r="D17928" s="3">
        <v>5.0</v>
      </c>
    </row>
    <row r="17929" ht="15.75" customHeight="1">
      <c r="A17929" s="1">
        <v>19054.0</v>
      </c>
      <c r="B17929" s="3" t="s">
        <v>16989</v>
      </c>
      <c r="C17929" s="3" t="str">
        <f>IFERROR(__xludf.DUMMYFUNCTION("GOOGLETRANSLATE(B17929,""id"",""en"")"),"['Abis', 'Update', 'Open', 'Update', '']")</f>
        <v>['Abis', 'Update', 'Open', 'Update', '']</v>
      </c>
      <c r="D17929" s="3">
        <v>1.0</v>
      </c>
    </row>
    <row r="17930" ht="15.75" customHeight="1">
      <c r="A17930" s="1">
        <v>19055.0</v>
      </c>
      <c r="B17930" s="3" t="s">
        <v>16990</v>
      </c>
      <c r="C17930" s="3" t="str">
        <f>IFERROR(__xludf.DUMMYFUNCTION("GOOGLETRANSLATE(B17930,""id"",""en"")"),"['App', 'pulp', 'oath', 'Telkomsel', 'mbanking', 'feels']")</f>
        <v>['App', 'pulp', 'oath', 'Telkomsel', 'mbanking', 'feels']</v>
      </c>
      <c r="D17930" s="3">
        <v>1.0</v>
      </c>
    </row>
    <row r="17931" ht="15.75" customHeight="1">
      <c r="A17931" s="1">
        <v>19056.0</v>
      </c>
      <c r="B17931" s="3" t="s">
        <v>16991</v>
      </c>
      <c r="C17931" s="3" t="str">
        <f>IFERROR(__xludf.DUMMYFUNCTION("GOOGLETRANSLATE(B17931,""id"",""en"")"),"['knapa', 'network', 'jdi', 'slow', 'bngt', 'disappointed', 'brlanggabankan', 'prepaid']")</f>
        <v>['knapa', 'network', 'jdi', 'slow', 'bngt', 'disappointed', 'brlanggabankan', 'prepaid']</v>
      </c>
      <c r="D17931" s="3">
        <v>1.0</v>
      </c>
    </row>
    <row r="17932" ht="15.75" customHeight="1">
      <c r="A17932" s="1">
        <v>19057.0</v>
      </c>
      <c r="B17932" s="3" t="s">
        <v>16992</v>
      </c>
      <c r="C17932" s="3" t="str">
        <f>IFERROR(__xludf.DUMMYFUNCTION("GOOGLETRANSLATE(B17932,""id"",""en"")"),"['updated', 'right', 'open', 'told', 'update', 'he mean', 'what', '']")</f>
        <v>['updated', 'right', 'open', 'told', 'update', 'he mean', 'what', '']</v>
      </c>
      <c r="D17932" s="3">
        <v>2.0</v>
      </c>
    </row>
    <row r="17933" ht="15.75" customHeight="1">
      <c r="A17933" s="1">
        <v>19058.0</v>
      </c>
      <c r="B17933" s="3" t="s">
        <v>16993</v>
      </c>
      <c r="C17933" s="3" t="str">
        <f>IFERROR(__xludf.DUMMYFUNCTION("GOOGLETRANSLATE(B17933,""id"",""en"")"),"['Network', 'BURIK', 'Price', 'Doang', 'expensive', 'Ngelag', 'Please', 'Fix', 'Betah', 'Telkomsel', 'Please', 'Price', ' expensive ',' network ',' ugly ',' according to ',' price ',' Come ',' Telkomsel ',' fix ',' network ',' anjjjj ']")</f>
        <v>['Network', 'BURIK', 'Price', 'Doang', 'expensive', 'Ngelag', 'Please', 'Fix', 'Betah', 'Telkomsel', 'Please', 'Price', ' expensive ',' network ',' ugly ',' according to ',' price ',' Come ',' Telkomsel ',' fix ',' network ',' anjjjj ']</v>
      </c>
      <c r="D17933" s="3">
        <v>1.0</v>
      </c>
    </row>
    <row r="17934" ht="15.75" customHeight="1">
      <c r="A17934" s="1">
        <v>19061.0</v>
      </c>
      <c r="B17934" s="3" t="s">
        <v>16994</v>
      </c>
      <c r="C17934" s="3" t="str">
        <f>IFERROR(__xludf.DUMMYFUNCTION("GOOGLETRANSLATE(B17934,""id"",""en"")"),"['The application', 'Please', 'Lined', 'Open', 'Telkomsel', 'Stack', 'White', 'Schreen', ""]")</f>
        <v>['The application', 'Please', 'Lined', 'Open', 'Telkomsel', 'Stack', 'White', 'Schreen', "]</v>
      </c>
      <c r="D17934" s="3">
        <v>5.0</v>
      </c>
    </row>
    <row r="17935" ht="15.75" customHeight="1">
      <c r="A17935" s="1">
        <v>19063.0</v>
      </c>
      <c r="B17935" s="3" t="s">
        <v>16995</v>
      </c>
      <c r="C17935" s="3" t="str">
        <f>IFERROR(__xludf.DUMMYFUNCTION("GOOGLETRANSLATE(B17935,""id"",""en"")"),"['Destroyed', 'Telkomsel', 'network', 'mala', 'skrg', 'app', 'open', 'network', 'tsel', 'destroyed', 'good', 'close', ' App ',' Tsel ',' MCAM ',' garbage ']")</f>
        <v>['Destroyed', 'Telkomsel', 'network', 'mala', 'skrg', 'app', 'open', 'network', 'tsel', 'destroyed', 'good', 'close', ' App ',' Tsel ',' MCAM ',' garbage ']</v>
      </c>
      <c r="D17935" s="3">
        <v>1.0</v>
      </c>
    </row>
    <row r="17936" ht="15.75" customHeight="1">
      <c r="A17936" s="1">
        <v>19064.0</v>
      </c>
      <c r="B17936" s="3" t="s">
        <v>659</v>
      </c>
      <c r="C17936" s="3" t="str">
        <f>IFERROR(__xludf.DUMMYFUNCTION("GOOGLETRANSLATE(B17936,""id"",""en"")"),"['Application', 'Help']")</f>
        <v>['Application', 'Help']</v>
      </c>
      <c r="D17936" s="3">
        <v>5.0</v>
      </c>
    </row>
    <row r="17937" ht="15.75" customHeight="1">
      <c r="A17937" s="1">
        <v>19065.0</v>
      </c>
      <c r="B17937" s="3" t="s">
        <v>16996</v>
      </c>
      <c r="C17937" s="3" t="str">
        <f>IFERROR(__xludf.DUMMYFUNCTION("GOOGLETRANSLATE(B17937,""id"",""en"")"),"['smg']")</f>
        <v>['smg']</v>
      </c>
      <c r="D17937" s="3">
        <v>4.0</v>
      </c>
    </row>
    <row r="17938" ht="15.75" customHeight="1">
      <c r="A17938" s="1">
        <v>19066.0</v>
      </c>
      <c r="B17938" s="3" t="s">
        <v>16997</v>
      </c>
      <c r="C17938" s="3" t="str">
        <f>IFERROR(__xludf.DUMMYFUNCTION("GOOGLETRANSLATE(B17938,""id"",""en"")"),"['contents',' plsa ',' open ',' app backer ',' buy ',' package ',' pulses', 'take-up', 'second', 'doang', 'sick', 'bleed', ' Checked ',' million ',' Customer ',' covered ',' salary ',' employees', '']")</f>
        <v>['contents',' plsa ',' open ',' app backer ',' buy ',' package ',' pulses', 'take-up', 'second', 'doang', 'sick', 'bleed', ' Checked ',' million ',' Customer ',' covered ',' salary ',' employees', '']</v>
      </c>
      <c r="D17938" s="3">
        <v>1.0</v>
      </c>
    </row>
    <row r="17939" ht="15.75" customHeight="1">
      <c r="A17939" s="1">
        <v>19067.0</v>
      </c>
      <c r="B17939" s="3" t="s">
        <v>5328</v>
      </c>
      <c r="C17939" s="3" t="str">
        <f>IFERROR(__xludf.DUMMYFUNCTION("GOOGLETRANSLATE(B17939,""id"",""en"")"),"['signal', 'missing']")</f>
        <v>['signal', 'missing']</v>
      </c>
      <c r="D17939" s="3">
        <v>1.0</v>
      </c>
    </row>
    <row r="17940" ht="15.75" customHeight="1">
      <c r="A17940" s="1">
        <v>19068.0</v>
      </c>
      <c r="B17940" s="3" t="s">
        <v>16998</v>
      </c>
      <c r="C17940" s="3" t="str">
        <f>IFERROR(__xludf.DUMMYFUNCTION("GOOGLETRANSLATE(B17940,""id"",""en"")"),"['Update', 'Open', 'The application', 'appears', 'color', 'white', 'updated', 'fix', 'raises']")</f>
        <v>['Update', 'Open', 'The application', 'appears', 'color', 'white', 'updated', 'fix', 'raises']</v>
      </c>
      <c r="D17940" s="3">
        <v>1.0</v>
      </c>
    </row>
    <row r="17941" ht="15.75" customHeight="1">
      <c r="A17941" s="1">
        <v>19069.0</v>
      </c>
      <c r="B17941" s="3" t="s">
        <v>16999</v>
      </c>
      <c r="C17941" s="3" t="str">
        <f>IFERROR(__xludf.DUMMYFUNCTION("GOOGLETRANSLATE(B17941,""id"",""en"")"),"['Good', 'Package', 'Combo', 'Sakti', 'Package', 'Combo', 'Sakti', 'Price', 'RB', 'GB', 'Ngak', ""]")</f>
        <v>['Good', 'Package', 'Combo', 'Sakti', 'Package', 'Combo', 'Sakti', 'Price', 'RB', 'GB', 'Ngak', "]</v>
      </c>
      <c r="D17941" s="3">
        <v>3.0</v>
      </c>
    </row>
    <row r="17942" ht="15.75" customHeight="1">
      <c r="A17942" s="1">
        <v>19070.0</v>
      </c>
      <c r="B17942" s="3" t="s">
        <v>8150</v>
      </c>
      <c r="C17942" s="3" t="str">
        <f>IFERROR(__xludf.DUMMYFUNCTION("GOOGLETRANSLATE(B17942,""id"",""en"")"),"['The network', 'bad', ""]")</f>
        <v>['The network', 'bad', "]</v>
      </c>
      <c r="D17942" s="3">
        <v>1.0</v>
      </c>
    </row>
    <row r="17943" ht="15.75" customHeight="1">
      <c r="A17943" s="1">
        <v>19071.0</v>
      </c>
      <c r="B17943" s="3" t="s">
        <v>17000</v>
      </c>
      <c r="C17943" s="3" t="str">
        <f>IFERROR(__xludf.DUMMYFUNCTION("GOOGLETRANSLATE(B17943,""id"",""en"")"),"['Reward', 'Customer', 'Good', 'Additional', 'Reward', 'Gift', 'Customer', 'Faithful']")</f>
        <v>['Reward', 'Customer', 'Good', 'Additional', 'Reward', 'Gift', 'Customer', 'Faithful']</v>
      </c>
      <c r="D17943" s="3">
        <v>4.0</v>
      </c>
    </row>
    <row r="17944" ht="15.75" customHeight="1">
      <c r="A17944" s="1">
        <v>19072.0</v>
      </c>
      <c r="B17944" s="3" t="s">
        <v>17001</v>
      </c>
      <c r="C17944" s="3" t="str">
        <f>IFERROR(__xludf.DUMMYFUNCTION("GOOGLETRANSLATE(B17944,""id"",""en"")"),"['Telkomsel', 'Region', 'Sumbagut', 'Network', 'Direct', 'Lost', 'Dead', 'Lights']")</f>
        <v>['Telkomsel', 'Region', 'Sumbagut', 'Network', 'Direct', 'Lost', 'Dead', 'Lights']</v>
      </c>
      <c r="D17944" s="3">
        <v>1.0</v>
      </c>
    </row>
    <row r="17945" ht="15.75" customHeight="1">
      <c r="A17945" s="1">
        <v>19073.0</v>
      </c>
      <c r="B17945" s="3" t="s">
        <v>2119</v>
      </c>
      <c r="C17945" s="3" t="str">
        <f>IFERROR(__xludf.DUMMYFUNCTION("GOOGLETRANSLATE(B17945,""id"",""en"")"),"['', 'opened']")</f>
        <v>['', 'opened']</v>
      </c>
      <c r="D17945" s="3">
        <v>1.0</v>
      </c>
    </row>
    <row r="17946" ht="15.75" customHeight="1">
      <c r="A17946" s="1">
        <v>19074.0</v>
      </c>
      <c r="B17946" s="3" t="s">
        <v>17002</v>
      </c>
      <c r="C17946" s="3" t="str">
        <f>IFERROR(__xludf.DUMMYFUNCTION("GOOGLETRANSLATE(B17946,""id"",""en"")"),"['Syrat', 'Nukar', 'Points', 'Ribet']")</f>
        <v>['Syrat', 'Nukar', 'Points', 'Ribet']</v>
      </c>
      <c r="D17946" s="3">
        <v>1.0</v>
      </c>
    </row>
    <row r="17947" ht="15.75" customHeight="1">
      <c r="A17947" s="1">
        <v>19075.0</v>
      </c>
      <c r="B17947" s="3" t="s">
        <v>17003</v>
      </c>
      <c r="C17947" s="3" t="str">
        <f>IFERROR(__xludf.DUMMYFUNCTION("GOOGLETRANSLATE(B17947,""id"",""en"")"),"['Contact', 'Win', 'Lottery']")</f>
        <v>['Contact', 'Win', 'Lottery']</v>
      </c>
      <c r="D17947" s="3">
        <v>4.0</v>
      </c>
    </row>
    <row r="17948" ht="15.75" customHeight="1">
      <c r="A17948" s="1">
        <v>19076.0</v>
      </c>
      <c r="B17948" s="3" t="s">
        <v>2110</v>
      </c>
      <c r="C17948" s="3" t="str">
        <f>IFERROR(__xludf.DUMMYFUNCTION("GOOGLETRANSLATE(B17948,""id"",""en"")"),"['Telkomsel', '']")</f>
        <v>['Telkomsel', '']</v>
      </c>
      <c r="D17948" s="3">
        <v>5.0</v>
      </c>
    </row>
    <row r="17949" ht="15.75" customHeight="1">
      <c r="A17949" s="1">
        <v>19077.0</v>
      </c>
      <c r="B17949" s="3" t="s">
        <v>393</v>
      </c>
      <c r="C17949" s="3" t="str">
        <f>IFERROR(__xludf.DUMMYFUNCTION("GOOGLETRANSLATE(B17949,""id"",""en"")"),"['Help', 'users', 'Telkomsel']")</f>
        <v>['Help', 'users', 'Telkomsel']</v>
      </c>
      <c r="D17949" s="3">
        <v>1.0</v>
      </c>
    </row>
    <row r="17950" ht="15.75" customHeight="1">
      <c r="A17950" s="1">
        <v>19078.0</v>
      </c>
      <c r="B17950" s="3" t="s">
        <v>17004</v>
      </c>
      <c r="C17950" s="3" t="str">
        <f>IFERROR(__xludf.DUMMYFUNCTION("GOOGLETRANSLATE(B17950,""id"",""en"")"),"['already', 'buy', 'quota', 'ketengen', 'youtube', 'mlaah', 'run out', 'quota', 'main', 'ngeselin', 'oath', 'quota', ' The main ',' out ',' quota ',' fits', 'disappointed', 'heavy', 'oath']")</f>
        <v>['already', 'buy', 'quota', 'ketengen', 'youtube', 'mlaah', 'run out', 'quota', 'main', 'ngeselin', 'oath', 'quota', ' The main ',' out ',' quota ',' fits', 'disappointed', 'heavy', 'oath']</v>
      </c>
      <c r="D17950" s="3">
        <v>1.0</v>
      </c>
    </row>
    <row r="17951" ht="15.75" customHeight="1">
      <c r="A17951" s="1">
        <v>19079.0</v>
      </c>
      <c r="B17951" s="3" t="s">
        <v>17005</v>
      </c>
      <c r="C17951" s="3" t="str">
        <f>IFERROR(__xludf.DUMMYFUNCTION("GOOGLETRANSLATE(B17951,""id"",""en"")"),"['Comfortable', 'application', 'okay', 'mantaapp', '']")</f>
        <v>['Comfortable', 'application', 'okay', 'mantaapp', '']</v>
      </c>
      <c r="D17951" s="3">
        <v>5.0</v>
      </c>
    </row>
    <row r="17952" ht="15.75" customHeight="1">
      <c r="A17952" s="1">
        <v>19080.0</v>
      </c>
      <c r="B17952" s="3" t="s">
        <v>17006</v>
      </c>
      <c r="C17952" s="3" t="str">
        <f>IFERROR(__xludf.DUMMYFUNCTION("GOOGLETRANSLATE(B17952,""id"",""en"")"),"['Update', 'Jutru', 'Open', 'Application', 'Looks',' Screen ',' White ',' Direct ',' Application ',' Week ',' Try ',' Uninstall ',' Download ',' Tetep ',' results', 'PADAHAP', 'Application', 'MyTelkomsel', 'Help', 'Purchase', 'Oaket', 'Data', 'Check', 'Pa"&amp;"ckage', 'Data' , 'Ribet', 'please', 'admin', 'fix', 'use it', '']")</f>
        <v>['Update', 'Jutru', 'Open', 'Application', 'Looks',' Screen ',' White ',' Direct ',' Application ',' Week ',' Try ',' Uninstall ',' Download ',' Tetep ',' results', 'PADAHAP', 'Application', 'MyTelkomsel', 'Help', 'Purchase', 'Oaket', 'Data', 'Check', 'Package', 'Data' , 'Ribet', 'please', 'admin', 'fix', 'use it', '']</v>
      </c>
      <c r="D17952" s="3">
        <v>1.0</v>
      </c>
    </row>
    <row r="17953" ht="15.75" customHeight="1">
      <c r="A17953" s="1">
        <v>19081.0</v>
      </c>
      <c r="B17953" s="3" t="s">
        <v>17007</v>
      </c>
      <c r="C17953" s="3" t="str">
        <f>IFERROR(__xludf.DUMMYFUNCTION("GOOGLETRANSLATE(B17953,""id"",""en"")"),"['Telkomsel', 'really', 'satisfying', 'network', 'good', 'hope', 'Jaya']")</f>
        <v>['Telkomsel', 'really', 'satisfying', 'network', 'good', 'hope', 'Jaya']</v>
      </c>
      <c r="D17953" s="3">
        <v>5.0</v>
      </c>
    </row>
    <row r="17954" ht="15.75" customHeight="1">
      <c r="A17954" s="1">
        <v>19082.0</v>
      </c>
      <c r="B17954" s="3" t="s">
        <v>17008</v>
      </c>
      <c r="C17954" s="3" t="str">
        <f>IFERROR(__xludf.DUMMYFUNCTION("GOOGLETRANSLATE(B17954,""id"",""en"")"),"['Telkomsel', 'rich', 'just', 'expensive', 'doang', 'quality', 'downhill', 'already', 'loyal', 'Telkomsel', 'already', 'yrs',' Enter ',' Please ',' Increase ',' Quality ',' Thanks']")</f>
        <v>['Telkomsel', 'rich', 'just', 'expensive', 'doang', 'quality', 'downhill', 'already', 'loyal', 'Telkomsel', 'already', 'yrs',' Enter ',' Please ',' Increase ',' Quality ',' Thanks']</v>
      </c>
      <c r="D17954" s="3">
        <v>2.0</v>
      </c>
    </row>
    <row r="17955" ht="15.75" customHeight="1">
      <c r="A17955" s="1">
        <v>19084.0</v>
      </c>
      <c r="B17955" s="3" t="s">
        <v>17009</v>
      </c>
      <c r="C17955" s="3" t="str">
        <f>IFERROR(__xludf.DUMMYFUNCTION("GOOGLETRANSLATE(B17955,""id"",""en"")"),"['Please', 'info', 'solution', 'open', 'application', 'MyTelkomsel', 'appears', 'screen', 'white', 'thank', 'love']")</f>
        <v>['Please', 'info', 'solution', 'open', 'application', 'MyTelkomsel', 'appears', 'screen', 'white', 'thank', 'love']</v>
      </c>
      <c r="D17955" s="3">
        <v>5.0</v>
      </c>
    </row>
    <row r="17956" ht="15.75" customHeight="1">
      <c r="A17956" s="1">
        <v>19085.0</v>
      </c>
      <c r="B17956" s="3" t="s">
        <v>17010</v>
      </c>
      <c r="C17956" s="3" t="str">
        <f>IFERROR(__xludf.DUMMYFUNCTION("GOOGLETRANSLATE(B17956,""id"",""en"")"),"['Kerennn', 'doubt', 'doubt', 'Ayok', 'Install', '']")</f>
        <v>['Kerennn', 'doubt', 'doubt', 'Ayok', 'Install', '']</v>
      </c>
      <c r="D17956" s="3">
        <v>5.0</v>
      </c>
    </row>
    <row r="17957" ht="15.75" customHeight="1">
      <c r="A17957" s="1">
        <v>19086.0</v>
      </c>
      <c r="B17957" s="3" t="s">
        <v>17011</v>
      </c>
      <c r="C17957" s="3" t="str">
        <f>IFERROR(__xludf.DUMMYFUNCTION("GOOGLETRANSLATE(B17957,""id"",""en"")"),"['Check', 'Full', 'Tetep', '']")</f>
        <v>['Check', 'Full', 'Tetep', '']</v>
      </c>
      <c r="D17957" s="3">
        <v>4.0</v>
      </c>
    </row>
    <row r="17958" ht="15.75" customHeight="1">
      <c r="A17958" s="1">
        <v>19087.0</v>
      </c>
      <c r="B17958" s="3" t="s">
        <v>17012</v>
      </c>
      <c r="C17958" s="3" t="str">
        <f>IFERROR(__xludf.DUMMYFUNCTION("GOOGLETRANSLATE(B17958,""id"",""en"")"),"['Buy', 'Unlimited', 'YouTube', '']")</f>
        <v>['Buy', 'Unlimited', 'YouTube', '']</v>
      </c>
      <c r="D17958" s="3">
        <v>1.0</v>
      </c>
    </row>
    <row r="17959" ht="15.75" customHeight="1">
      <c r="A17959" s="1">
        <v>19088.0</v>
      </c>
      <c r="B17959" s="3" t="s">
        <v>7508</v>
      </c>
      <c r="C17959" s="3" t="str">
        <f>IFERROR(__xludf.DUMMYFUNCTION("GOOGLETRANSLATE(B17959,""id"",""en"")"),"['Easy', 'Telkomsel']")</f>
        <v>['Easy', 'Telkomsel']</v>
      </c>
      <c r="D17959" s="3">
        <v>5.0</v>
      </c>
    </row>
    <row r="17960" ht="15.75" customHeight="1">
      <c r="A17960" s="1">
        <v>19089.0</v>
      </c>
      <c r="B17960" s="3" t="s">
        <v>17013</v>
      </c>
      <c r="C17960" s="3" t="str">
        <f>IFERROR(__xludf.DUMMYFUNCTION("GOOGLETRANSLATE(B17960,""id"",""en"")"),"['payment method']")</f>
        <v>['payment method']</v>
      </c>
      <c r="D17960" s="3">
        <v>3.0</v>
      </c>
    </row>
    <row r="17961" ht="15.75" customHeight="1">
      <c r="A17961" s="1">
        <v>19091.0</v>
      </c>
      <c r="B17961" s="3" t="s">
        <v>17014</v>
      </c>
      <c r="C17961" s="3" t="str">
        <f>IFERROR(__xludf.DUMMYFUNCTION("GOOGLETRANSLATE(B17961,""id"",""en"")"),"['steady', 'appikation', 'making it easier', 'buy', 'package', 'bnyk', 'promo']")</f>
        <v>['steady', 'appikation', 'making it easier', 'buy', 'package', 'bnyk', 'promo']</v>
      </c>
      <c r="D17961" s="3">
        <v>5.0</v>
      </c>
    </row>
    <row r="17962" ht="15.75" customHeight="1">
      <c r="A17962" s="1">
        <v>19092.0</v>
      </c>
      <c r="B17962" s="3" t="s">
        <v>8266</v>
      </c>
      <c r="C17962" s="3" t="str">
        <f>IFERROR(__xludf.DUMMYFUNCTION("GOOGLETRANSLATE(B17962,""id"",""en"")"),"['signal', 'severe']")</f>
        <v>['signal', 'severe']</v>
      </c>
      <c r="D17962" s="3">
        <v>1.0</v>
      </c>
    </row>
    <row r="17963" ht="15.75" customHeight="1">
      <c r="A17963" s="1">
        <v>19093.0</v>
      </c>
      <c r="B17963" s="3" t="s">
        <v>17015</v>
      </c>
      <c r="C17963" s="3" t="str">
        <f>IFERROR(__xludf.DUMMYFUNCTION("GOOGLETRANSLATE(B17963,""id"",""en"")"),"['', 'Good', 'Telkomsel', 'right', 'told', 'APDATE', 'already', 'APDATE', 'PAYAR', 'White', 'GMN', 'Solute', 'Please ', 'his help', '']")</f>
        <v>['', 'Good', 'Telkomsel', 'right', 'told', 'APDATE', 'already', 'APDATE', 'PAYAR', 'White', 'GMN', 'Solute', 'Please ', 'his help', '']</v>
      </c>
      <c r="D17963" s="3">
        <v>4.0</v>
      </c>
    </row>
    <row r="17964" ht="15.75" customHeight="1">
      <c r="A17964" s="1">
        <v>19094.0</v>
      </c>
      <c r="B17964" s="3" t="s">
        <v>17016</v>
      </c>
      <c r="C17964" s="3" t="str">
        <f>IFERROR(__xludf.DUMMYFUNCTION("GOOGLETRANSLATE(B17964,""id"",""en"")"),"['Bagus', 'easy', '']")</f>
        <v>['Bagus', 'easy', '']</v>
      </c>
      <c r="D17964" s="3">
        <v>5.0</v>
      </c>
    </row>
    <row r="17965" ht="15.75" customHeight="1">
      <c r="A17965" s="1">
        <v>19095.0</v>
      </c>
      <c r="B17965" s="3" t="s">
        <v>17017</v>
      </c>
      <c r="C17965" s="3" t="str">
        <f>IFERROR(__xludf.DUMMYFUNCTION("GOOGLETRANSLATE(B17965,""id"",""en"")"),"['Download', 'APK', 'Open', 'Disappointed', '']")</f>
        <v>['Download', 'APK', 'Open', 'Disappointed', '']</v>
      </c>
      <c r="D17965" s="3">
        <v>1.0</v>
      </c>
    </row>
    <row r="17966" ht="15.75" customHeight="1">
      <c r="A17966" s="1">
        <v>19096.0</v>
      </c>
      <c r="B17966" s="3" t="s">
        <v>17018</v>
      </c>
      <c r="C17966" s="3" t="str">
        <f>IFERROR(__xludf.DUMMYFUNCTION("GOOGLETRANSLATE(B17966,""id"",""en"")"),"['Severe', 'Network', 'Telkomsel', 'Bener', 'Severe']")</f>
        <v>['Severe', 'Network', 'Telkomsel', 'Bener', 'Severe']</v>
      </c>
      <c r="D17966" s="3">
        <v>1.0</v>
      </c>
    </row>
    <row r="17967" ht="15.75" customHeight="1">
      <c r="A17967" s="1">
        <v>19097.0</v>
      </c>
      <c r="B17967" s="3" t="s">
        <v>17019</v>
      </c>
      <c r="C17967" s="3" t="str">
        <f>IFERROR(__xludf.DUMMYFUNCTION("GOOGLETRANSLATE(B17967,""id"",""en"")"),"['signal', 'Telkomsel', 'slow', 'slow', 'wasteful', 'kupatya', 'please', 'fix']")</f>
        <v>['signal', 'Telkomsel', 'slow', 'slow', 'wasteful', 'kupatya', 'please', 'fix']</v>
      </c>
      <c r="D17967" s="3">
        <v>1.0</v>
      </c>
    </row>
    <row r="17968" ht="15.75" customHeight="1">
      <c r="A17968" s="1">
        <v>19098.0</v>
      </c>
      <c r="B17968" s="3" t="s">
        <v>17020</v>
      </c>
      <c r="C17968" s="3" t="str">
        <f>IFERROR(__xludf.DUMMYFUNCTION("GOOGLETRANSLATE(B17968,""id"",""en"")"),"['Young', 'Han', 'in the future', 'package', 'economical', 'reach', 'signal', 'strong', ""]")</f>
        <v>['Young', 'Han', 'in the future', 'package', 'economical', 'reach', 'signal', 'strong', "]</v>
      </c>
      <c r="D17968" s="3">
        <v>5.0</v>
      </c>
    </row>
    <row r="17969" ht="15.75" customHeight="1">
      <c r="A17969" s="1">
        <v>19099.0</v>
      </c>
      <c r="B17969" s="3" t="s">
        <v>17021</v>
      </c>
      <c r="C17969" s="3" t="str">
        <f>IFERROR(__xludf.DUMMYFUNCTION("GOOGLETRANSLATE(B17969,""id"",""en"")"),"['kenpa', 'stlh', 'update', 'error', 'apk', 'please', 'fix', 'donk']")</f>
        <v>['kenpa', 'stlh', 'update', 'error', 'apk', 'please', 'fix', 'donk']</v>
      </c>
      <c r="D17969" s="3">
        <v>5.0</v>
      </c>
    </row>
    <row r="17970" ht="15.75" customHeight="1">
      <c r="A17970" s="1">
        <v>19100.0</v>
      </c>
      <c r="B17970" s="3" t="s">
        <v>17022</v>
      </c>
      <c r="C17970" s="3" t="str">
        <f>IFERROR(__xludf.DUMMYFUNCTION("GOOGLETRANSLATE(B17970,""id"",""en"")"),"['Not bad', 'help', 'please', 'reproduced', 'discount', 'quota', 'internet']")</f>
        <v>['Not bad', 'help', 'please', 'reproduced', 'discount', 'quota', 'internet']</v>
      </c>
      <c r="D17970" s="3">
        <v>5.0</v>
      </c>
    </row>
    <row r="17971" ht="15.75" customHeight="1">
      <c r="A17971" s="1">
        <v>19101.0</v>
      </c>
      <c r="B17971" s="3" t="s">
        <v>17023</v>
      </c>
      <c r="C17971" s="3" t="str">
        <f>IFERROR(__xludf.DUMMYFUNCTION("GOOGLETRANSLATE(B17971,""id"",""en"")"),"['Good', 'promo', 'purchase', 'package']")</f>
        <v>['Good', 'promo', 'purchase', 'package']</v>
      </c>
      <c r="D17971" s="3">
        <v>5.0</v>
      </c>
    </row>
    <row r="17972" ht="15.75" customHeight="1">
      <c r="A17972" s="1">
        <v>19102.0</v>
      </c>
      <c r="B17972" s="3" t="s">
        <v>17024</v>
      </c>
      <c r="C17972" s="3" t="str">
        <f>IFERROR(__xludf.DUMMYFUNCTION("GOOGLETRANSLATE(B17972,""id"",""en"")"),"['Telkomsel', 'bleng']")</f>
        <v>['Telkomsel', 'bleng']</v>
      </c>
      <c r="D17972" s="3">
        <v>1.0</v>
      </c>
    </row>
    <row r="17973" ht="15.75" customHeight="1">
      <c r="A17973" s="1">
        <v>19103.0</v>
      </c>
      <c r="B17973" s="3" t="s">
        <v>17025</v>
      </c>
      <c r="C17973" s="3" t="str">
        <f>IFERROR(__xludf.DUMMYFUNCTION("GOOGLETRANSLATE(B17973,""id"",""en"")"),"['Package', 'maxtreem', 'quota', 'main', 'contents',' package ',' thousand ',' quota ',' main ',' GB ',' Kuta ',' maxtreem ',' Need ',' quota ',' internet ',' quota ',' maxtreem ',' please ',' help ']")</f>
        <v>['Package', 'maxtreem', 'quota', 'main', 'contents',' package ',' thousand ',' quota ',' main ',' GB ',' Kuta ',' maxtreem ',' Need ',' quota ',' internet ',' quota ',' maxtreem ',' please ',' help ']</v>
      </c>
      <c r="D17973" s="3">
        <v>5.0</v>
      </c>
    </row>
    <row r="17974" ht="15.75" customHeight="1">
      <c r="A17974" s="1">
        <v>19104.0</v>
      </c>
      <c r="B17974" s="3" t="s">
        <v>17026</v>
      </c>
      <c r="C17974" s="3" t="str">
        <f>IFERROR(__xludf.DUMMYFUNCTION("GOOGLETRANSLATE(B17974,""id"",""en"")"),"['Help', 'wasteful', 'kouta']")</f>
        <v>['Help', 'wasteful', 'kouta']</v>
      </c>
      <c r="D17974" s="3">
        <v>5.0</v>
      </c>
    </row>
    <row r="17975" ht="15.75" customHeight="1">
      <c r="A17975" s="1">
        <v>19105.0</v>
      </c>
      <c r="B17975" s="3" t="s">
        <v>17027</v>
      </c>
      <c r="C17975" s="3" t="str">
        <f>IFERROR(__xludf.DUMMYFUNCTION("GOOGLETRANSLATE(B17975,""id"",""en"")"),"['Stuck', 'update']")</f>
        <v>['Stuck', 'update']</v>
      </c>
      <c r="D17975" s="3">
        <v>1.0</v>
      </c>
    </row>
    <row r="17976" ht="15.75" customHeight="1">
      <c r="A17976" s="1">
        <v>19106.0</v>
      </c>
      <c r="B17976" s="3" t="s">
        <v>17028</v>
      </c>
      <c r="C17976" s="3" t="str">
        <f>IFERROR(__xludf.DUMMYFUNCTION("GOOGLETRANSLATE(B17976,""id"",""en"")"),"['Open', 'appears', 'White', 'Screen', 'Please', 'Please', 'Repair']")</f>
        <v>['Open', 'appears', 'White', 'Screen', 'Please', 'Please', 'Repair']</v>
      </c>
      <c r="D17976" s="3">
        <v>1.0</v>
      </c>
    </row>
    <row r="17977" ht="15.75" customHeight="1">
      <c r="A17977" s="1">
        <v>19107.0</v>
      </c>
      <c r="B17977" s="3" t="s">
        <v>17029</v>
      </c>
      <c r="C17977" s="3" t="str">
        <f>IFERROR(__xludf.DUMMYFUNCTION("GOOGLETRANSLATE(B17977,""id"",""en"")"),"['Ngak', 'enter', 'screen', 'white', 'what', '']")</f>
        <v>['Ngak', 'enter', 'screen', 'white', 'what', '']</v>
      </c>
      <c r="D17977" s="3">
        <v>1.0</v>
      </c>
    </row>
    <row r="17978" ht="15.75" customHeight="1">
      <c r="A17978" s="1">
        <v>19108.0</v>
      </c>
      <c r="B17978" s="3" t="s">
        <v>17030</v>
      </c>
      <c r="C17978" s="3" t="str">
        <f>IFERROR(__xludf.DUMMYFUNCTION("GOOGLETRANSLATE(B17978,""id"",""en"")"),"['difficult', 'right', 'open', 'application', 'slow', 'really']")</f>
        <v>['difficult', 'right', 'open', 'application', 'slow', 'really']</v>
      </c>
      <c r="D17978" s="3">
        <v>3.0</v>
      </c>
    </row>
    <row r="17979" ht="15.75" customHeight="1">
      <c r="A17979" s="1">
        <v>19109.0</v>
      </c>
      <c r="B17979" s="3" t="s">
        <v>17031</v>
      </c>
      <c r="C17979" s="3" t="str">
        <f>IFERROR(__xludf.DUMMYFUNCTION("GOOGLETRANSLATE(B17979,""id"",""en"")"),"['Good', 'Dalaman', 'Fix', 'Update', 'Application', 'Ngeblank', '']")</f>
        <v>['Good', 'Dalaman', 'Fix', 'Update', 'Application', 'Ngeblank', '']</v>
      </c>
      <c r="D17979" s="3">
        <v>3.0</v>
      </c>
    </row>
    <row r="17980" ht="15.75" customHeight="1">
      <c r="A17980" s="1">
        <v>19110.0</v>
      </c>
      <c r="B17980" s="3" t="s">
        <v>17032</v>
      </c>
      <c r="C17980" s="3" t="str">
        <f>IFERROR(__xludf.DUMMYFUNCTION("GOOGLETRANSLATE(B17980,""id"",""en"")"),"['GMNA', 'APK', 'opened', 'UDH', 'Saying', 'Update', 'Mulu', 'Update', 'Yesterday', 'Ngebug', 'Screen', 'White', ' Doang ',' buy ',' quota ',' expensive ',' cheap ',' application ',' bought ',' strange ',' Telkomsel ',' emotion ',' pdahal ',' users', 'Tel"&amp;"komsel' , 'Dri', 'lohh', 'skrg', 'knp', 'kya', 'gni', 'telkomsel', 'please', 'lahh', 'fix', 'bngsattt']")</f>
        <v>['GMNA', 'APK', 'opened', 'UDH', 'Saying', 'Update', 'Mulu', 'Update', 'Yesterday', 'Ngebug', 'Screen', 'White', ' Doang ',' buy ',' quota ',' expensive ',' cheap ',' application ',' bought ',' strange ',' Telkomsel ',' emotion ',' pdahal ',' users', 'Telkomsel' , 'Dri', 'lohh', 'skrg', 'knp', 'kya', 'gni', 'telkomsel', 'please', 'lahh', 'fix', 'bngsattt']</v>
      </c>
      <c r="D17980" s="3">
        <v>1.0</v>
      </c>
    </row>
    <row r="17981" ht="15.75" customHeight="1">
      <c r="A17981" s="1">
        <v>19111.0</v>
      </c>
      <c r="B17981" s="3" t="s">
        <v>17033</v>
      </c>
      <c r="C17981" s="3" t="str">
        <f>IFERROR(__xludf.DUMMYFUNCTION("GOOGLETRANSLATE(B17981,""id"",""en"")"),"['purchase', 'quota', 'price', 'Different', 'Different', 'card', 'card', 'cheap', 'price', 'equalized', ""]")</f>
        <v>['purchase', 'quota', 'price', 'Different', 'Different', 'card', 'card', 'cheap', 'price', 'equalized', "]</v>
      </c>
      <c r="D17981" s="3">
        <v>1.0</v>
      </c>
    </row>
    <row r="17982" ht="15.75" customHeight="1">
      <c r="A17982" s="1">
        <v>19112.0</v>
      </c>
      <c r="B17982" s="3" t="s">
        <v>17034</v>
      </c>
      <c r="C17982" s="3" t="str">
        <f>IFERROR(__xludf.DUMMYFUNCTION("GOOGLETRANSLATE(B17982,""id"",""en"")"),"['Help', 'activity', 'price', 'msih', 'expensive', 'appeal', 'applicator']")</f>
        <v>['Help', 'activity', 'price', 'msih', 'expensive', 'appeal', 'applicator']</v>
      </c>
      <c r="D17982" s="3">
        <v>5.0</v>
      </c>
    </row>
    <row r="17983" ht="15.75" customHeight="1">
      <c r="A17983" s="1">
        <v>19113.0</v>
      </c>
      <c r="B17983" s="3" t="s">
        <v>17035</v>
      </c>
      <c r="C17983" s="3" t="str">
        <f>IFERROR(__xludf.DUMMYFUNCTION("GOOGLETRANSLATE(B17983,""id"",""en"")"),"['How', 'Out', 'updated', 'opened', 'please', 'repaired']")</f>
        <v>['How', 'Out', 'updated', 'opened', 'please', 'repaired']</v>
      </c>
      <c r="D17983" s="3">
        <v>1.0</v>
      </c>
    </row>
    <row r="17984" ht="15.75" customHeight="1">
      <c r="A17984" s="1">
        <v>19114.0</v>
      </c>
      <c r="B17984" s="3" t="s">
        <v>17036</v>
      </c>
      <c r="C17984" s="3" t="str">
        <f>IFERROR(__xludf.DUMMYFUNCTION("GOOGLETRANSLATE(B17984,""id"",""en"")"),"['interesting', 'keep', 'love', 'promo', '']")</f>
        <v>['interesting', 'keep', 'love', 'promo', '']</v>
      </c>
      <c r="D17984" s="3">
        <v>5.0</v>
      </c>
    </row>
    <row r="17985" ht="15.75" customHeight="1">
      <c r="A17985" s="1">
        <v>19115.0</v>
      </c>
      <c r="B17985" s="3" t="s">
        <v>17037</v>
      </c>
      <c r="C17985" s="3" t="str">
        <f>IFERROR(__xludf.DUMMYFUNCTION("GOOGLETRANSLATE(B17985,""id"",""en"")"),"['service', 'signal', 'price', 'quota', 'said', 'expensive', 'wil', 'tulungagung', 'complaints',' blackout ',' electricity ',' signal ',' Internet ',' zero ',' tower ',' transmitter ',' Telkomsel ',' batrei ',' backup ',' blackouts', 'electricity', 'signa"&amp;"l', 'affected']")</f>
        <v>['service', 'signal', 'price', 'quota', 'said', 'expensive', 'wil', 'tulungagung', 'complaints',' blackout ',' electricity ',' signal ',' Internet ',' zero ',' tower ',' transmitter ',' Telkomsel ',' batrei ',' backup ',' blackouts', 'electricity', 'signal', 'affected']</v>
      </c>
      <c r="D17985" s="3">
        <v>1.0</v>
      </c>
    </row>
    <row r="17986" ht="15.75" customHeight="1">
      <c r="A17986" s="1">
        <v>19117.0</v>
      </c>
      <c r="B17986" s="3" t="s">
        <v>17038</v>
      </c>
      <c r="C17986" s="3" t="str">
        <f>IFERROR(__xludf.DUMMYFUNCTION("GOOGLETRANSLATE(B17986,""id"",""en"")"),"['Sunday', 'App', 'MyTelkomsel', 'operated', 'screen', 'white', 'doang', 'improvement', 'maintenance', 'weeks',' makes', 'monitor', ' Use ',' Purchase ',' taste ',' Useful ',' Karna ', ""]")</f>
        <v>['Sunday', 'App', 'MyTelkomsel', 'operated', 'screen', 'white', 'doang', 'improvement', 'maintenance', 'weeks',' makes', 'monitor', ' Use ',' Purchase ',' taste ',' Useful ',' Karna ', "]</v>
      </c>
      <c r="D17986" s="3">
        <v>1.0</v>
      </c>
    </row>
    <row r="17987" ht="15.75" customHeight="1">
      <c r="A17987" s="1">
        <v>19118.0</v>
      </c>
      <c r="B17987" s="3" t="s">
        <v>2372</v>
      </c>
      <c r="C17987" s="3" t="str">
        <f>IFERROR(__xludf.DUMMYFUNCTION("GOOGLETRANSLATE(B17987,""id"",""en"")"),"['', '']")</f>
        <v>['', '']</v>
      </c>
      <c r="D17987" s="3">
        <v>5.0</v>
      </c>
    </row>
    <row r="17988" ht="15.75" customHeight="1">
      <c r="A17988" s="1">
        <v>19119.0</v>
      </c>
      <c r="B17988" s="3" t="s">
        <v>17039</v>
      </c>
      <c r="C17988" s="3" t="str">
        <f>IFERROR(__xludf.DUMMYFUNCTION("GOOGLETRANSLATE(B17988,""id"",""en"")"),"['Please', 'enter', 'Telkomsel', 'color', 'white', 'enter']")</f>
        <v>['Please', 'enter', 'Telkomsel', 'color', 'white', 'enter']</v>
      </c>
      <c r="D17988" s="3">
        <v>1.0</v>
      </c>
    </row>
    <row r="17989" ht="15.75" customHeight="1">
      <c r="A17989" s="1">
        <v>19120.0</v>
      </c>
      <c r="B17989" s="3" t="s">
        <v>17040</v>
      </c>
      <c r="C17989" s="3" t="str">
        <f>IFERROR(__xludf.DUMMYFUNCTION("GOOGLETRANSLATE(B17989,""id"",""en"")"),"['Telkomsel', 'safe', 'may', 'network', 'ugly', 'times',' TPI ',' knpaa ',' bills', 'exceed', 'limit', 'bln', ' Pdhal ',' Routine ', ""]")</f>
        <v>['Telkomsel', 'safe', 'may', 'network', 'ugly', 'times',' TPI ',' knpaa ',' bills', 'exceed', 'limit', 'bln', ' Pdhal ',' Routine ', "]</v>
      </c>
      <c r="D17989" s="3">
        <v>4.0</v>
      </c>
    </row>
    <row r="17990" ht="15.75" customHeight="1">
      <c r="A17990" s="1">
        <v>19121.0</v>
      </c>
      <c r="B17990" s="3" t="s">
        <v>17041</v>
      </c>
      <c r="C17990" s="3" t="str">
        <f>IFERROR(__xludf.DUMMYFUNCTION("GOOGLETRANSLATE(B17990,""id"",""en"")"),"['hope', 'troubles', 'display', 'advertisement']")</f>
        <v>['hope', 'troubles', 'display', 'advertisement']</v>
      </c>
      <c r="D17990" s="3">
        <v>5.0</v>
      </c>
    </row>
    <row r="17991" ht="15.75" customHeight="1">
      <c r="A17991" s="1">
        <v>19122.0</v>
      </c>
      <c r="B17991" s="3" t="s">
        <v>17042</v>
      </c>
      <c r="C17991" s="3" t="str">
        <f>IFERROR(__xludf.DUMMYFUNCTION("GOOGLETRANSLATE(B17991,""id"",""en"")"),"['', 'Itung', 'Amal', 'Easy', 'Wrong', 'Ngadih', 'Star', 'Current', 'Jaya', 'Telkomsel', 'The card', 'TTP', 'Faithful ',' Telkomsel ',' ']")</f>
        <v>['', 'Itung', 'Amal', 'Easy', 'Wrong', 'Ngadih', 'Star', 'Current', 'Jaya', 'Telkomsel', 'The card', 'TTP', 'Faithful ',' Telkomsel ',' ']</v>
      </c>
      <c r="D17991" s="3">
        <v>5.0</v>
      </c>
    </row>
    <row r="17992" ht="15.75" customHeight="1">
      <c r="A17992" s="1">
        <v>19123.0</v>
      </c>
      <c r="B17992" s="3" t="s">
        <v>17043</v>
      </c>
      <c r="C17992" s="3" t="str">
        <f>IFERROR(__xludf.DUMMYFUNCTION("GOOGLETRANSLATE(B17992,""id"",""en"")"),"['TELKOM', 'AJG', 'card', 'expensive', 'network', 'good', 'morning', 'sampek', 'malem', 'gada', 'little', 'good']")</f>
        <v>['TELKOM', 'AJG', 'card', 'expensive', 'network', 'good', 'morning', 'sampek', 'malem', 'gada', 'little', 'good']</v>
      </c>
      <c r="D17992" s="3">
        <v>1.0</v>
      </c>
    </row>
    <row r="17993" ht="15.75" customHeight="1">
      <c r="A17993" s="1">
        <v>19124.0</v>
      </c>
      <c r="B17993" s="3" t="s">
        <v>17044</v>
      </c>
      <c r="C17993" s="3" t="str">
        <f>IFERROR(__xludf.DUMMYFUNCTION("GOOGLETRANSLATE(B17993,""id"",""en"")"),"['It's easy', 'transaction', 'pulse', 'buy', 'package', '']")</f>
        <v>['It's easy', 'transaction', 'pulse', 'buy', 'package', '']</v>
      </c>
      <c r="D17993" s="3">
        <v>5.0</v>
      </c>
    </row>
    <row r="17994" ht="15.75" customHeight="1">
      <c r="A17994" s="1">
        <v>19125.0</v>
      </c>
      <c r="B17994" s="3" t="s">
        <v>17045</v>
      </c>
      <c r="C17994" s="3" t="str">
        <f>IFERROR(__xludf.DUMMYFUNCTION("GOOGLETRANSLATE(B17994,""id"",""en"")"),"['Telkomsel', 'card', 'my favorite', 'package', 'cheap', 'fast', 'signal', 'nouno', 'good', 'job', ""]")</f>
        <v>['Telkomsel', 'card', 'my favorite', 'package', 'cheap', 'fast', 'signal', 'nouno', 'good', 'job', "]</v>
      </c>
      <c r="D17994" s="3">
        <v>5.0</v>
      </c>
    </row>
    <row r="17995" ht="15.75" customHeight="1">
      <c r="A17995" s="1">
        <v>19126.0</v>
      </c>
      <c r="B17995" s="3" t="s">
        <v>17046</v>
      </c>
      <c r="C17995" s="3" t="str">
        <f>IFERROR(__xludf.DUMMYFUNCTION("GOOGLETRANSLATE(B17995,""id"",""en"")"),"['menu', 'Telkomsel', 'easy', 'check', 'quota']")</f>
        <v>['menu', 'Telkomsel', 'easy', 'check', 'quota']</v>
      </c>
      <c r="D17995" s="3">
        <v>4.0</v>
      </c>
    </row>
    <row r="17996" ht="15.75" customHeight="1">
      <c r="A17996" s="1">
        <v>19127.0</v>
      </c>
      <c r="B17996" s="3" t="s">
        <v>17047</v>
      </c>
      <c r="C17996" s="3" t="str">
        <f>IFERROR(__xludf.DUMMYFUNCTION("GOOGLETRANSLATE(B17996,""id"",""en"")"),"['Please', 'Open', 'MyTelkomsel', 'White', 'Buy', 'Package', 'White', 'Enter', 'Telkomsel']")</f>
        <v>['Please', 'Open', 'MyTelkomsel', 'White', 'Buy', 'Package', 'White', 'Enter', 'Telkomsel']</v>
      </c>
      <c r="D17996" s="3">
        <v>1.0</v>
      </c>
    </row>
    <row r="17997" ht="15.75" customHeight="1">
      <c r="A17997" s="1">
        <v>19128.0</v>
      </c>
      <c r="B17997" s="3" t="s">
        <v>17048</v>
      </c>
      <c r="C17997" s="3" t="str">
        <f>IFERROR(__xludf.DUMMYFUNCTION("GOOGLETRANSLATE(B17997,""id"",""en"")"),"['Application', 'Telkomsel', 'Nidak', 'Open', '']")</f>
        <v>['Application', 'Telkomsel', 'Nidak', 'Open', '']</v>
      </c>
      <c r="D17997" s="3">
        <v>1.0</v>
      </c>
    </row>
    <row r="17998" ht="15.75" customHeight="1">
      <c r="A17998" s="1">
        <v>19129.0</v>
      </c>
      <c r="B17998" s="3" t="s">
        <v>7918</v>
      </c>
      <c r="C17998" s="3" t="str">
        <f>IFERROR(__xludf.DUMMYFUNCTION("GOOGLETRANSLATE(B17998,""id"",""en"")"),"['expensive', 'doang', 'signal', 'rotten']")</f>
        <v>['expensive', 'doang', 'signal', 'rotten']</v>
      </c>
      <c r="D17998" s="3">
        <v>1.0</v>
      </c>
    </row>
    <row r="17999" ht="15.75" customHeight="1">
      <c r="A17999" s="1">
        <v>19130.0</v>
      </c>
      <c r="B17999" s="3" t="s">
        <v>17049</v>
      </c>
      <c r="C17999" s="3" t="str">
        <f>IFERROR(__xludf.DUMMYFUNCTION("GOOGLETRANSLATE(B17999,""id"",""en"")"),"['Sis', 'Package', 'Games', 'A Week']")</f>
        <v>['Sis', 'Package', 'Games', 'A Week']</v>
      </c>
      <c r="D17999" s="3">
        <v>2.0</v>
      </c>
    </row>
    <row r="18000" ht="15.75" customHeight="1">
      <c r="A18000" s="1">
        <v>19131.0</v>
      </c>
      <c r="B18000" s="3" t="s">
        <v>17050</v>
      </c>
      <c r="C18000" s="3" t="str">
        <f>IFERROR(__xludf.DUMMYFUNCTION("GOOGLETRANSLATE(B18000,""id"",""en"")"),"['Please', 'Activate', 'Features', 'Save', 'Credit', 'Credit', 'Karuan', 'Suck', 'Continuous', '']")</f>
        <v>['Please', 'Activate', 'Features', 'Save', 'Credit', 'Credit', 'Karuan', 'Suck', 'Continuous', '']</v>
      </c>
      <c r="D18000" s="3">
        <v>1.0</v>
      </c>
    </row>
    <row r="18001" ht="15.75" customHeight="1">
      <c r="A18001" s="1">
        <v>19132.0</v>
      </c>
      <c r="B18001" s="3" t="s">
        <v>17051</v>
      </c>
      <c r="C18001" s="3" t="str">
        <f>IFERROR(__xludf.DUMMYFUNCTION("GOOGLETRANSLATE(B18001,""id"",""en"")"),"['Like', 'Application', 'Telkomsel', 'Promo', 'LGI', '']")</f>
        <v>['Like', 'Application', 'Telkomsel', 'Promo', 'LGI', '']</v>
      </c>
      <c r="D18001" s="3">
        <v>5.0</v>
      </c>
    </row>
    <row r="18002" ht="15.75" customHeight="1">
      <c r="A18002" s="1">
        <v>19133.0</v>
      </c>
      <c r="B18002" s="3" t="s">
        <v>17052</v>
      </c>
      <c r="C18002" s="3" t="str">
        <f>IFERROR(__xludf.DUMMYFUNCTION("GOOGLETRANSLATE(B18002,""id"",""en"")"),"['Application', 'Telkomsel', 'Difficult', 'Heavy "",' Heavy ',' MOGQ ',' Improvement ',' Application ',' Telkomsel ']")</f>
        <v>['Application', 'Telkomsel', 'Difficult', 'Heavy ",' Heavy ',' MOGQ ',' Improvement ',' Application ',' Telkomsel ']</v>
      </c>
      <c r="D18002" s="3">
        <v>1.0</v>
      </c>
    </row>
    <row r="18003" ht="15.75" customHeight="1">
      <c r="A18003" s="1">
        <v>19134.0</v>
      </c>
      <c r="B18003" s="3" t="s">
        <v>17053</v>
      </c>
      <c r="C18003" s="3" t="str">
        <f>IFERROR(__xludf.DUMMYFUNCTION("GOOGLETRANSLATE(B18003,""id"",""en"")"),"['Faithful', 'Telkomsel', 'Hold', 'Thn', 'Signal', 'Bad', 'Place', 'Perna', 'Kluar', 'Signal', 'Yesterday', 'Disappointed']")</f>
        <v>['Faithful', 'Telkomsel', 'Hold', 'Thn', 'Signal', 'Bad', 'Place', 'Perna', 'Kluar', 'Signal', 'Yesterday', 'Disappointed']</v>
      </c>
      <c r="D18003" s="3">
        <v>1.0</v>
      </c>
    </row>
    <row r="18004" ht="15.75" customHeight="1">
      <c r="A18004" s="1">
        <v>19135.0</v>
      </c>
      <c r="B18004" s="3" t="s">
        <v>17054</v>
      </c>
      <c r="C18004" s="3" t="str">
        <f>IFERROR(__xludf.DUMMYFUNCTION("GOOGLETRANSLATE(B18004,""id"",""en"")"),"['Terbimah', 'love', 'service']")</f>
        <v>['Terbimah', 'love', 'service']</v>
      </c>
      <c r="D18004" s="3">
        <v>5.0</v>
      </c>
    </row>
    <row r="18005" ht="15.75" customHeight="1">
      <c r="A18005" s="1">
        <v>19136.0</v>
      </c>
      <c r="B18005" s="3" t="s">
        <v>17055</v>
      </c>
      <c r="C18005" s="3" t="str">
        <f>IFERROR(__xludf.DUMMYFUNCTION("GOOGLETRANSLATE(B18005,""id"",""en"")"),"['Cool', 'Nie', '']")</f>
        <v>['Cool', 'Nie', '']</v>
      </c>
      <c r="D18005" s="3">
        <v>5.0</v>
      </c>
    </row>
    <row r="18006" ht="15.75" customHeight="1">
      <c r="A18006" s="1">
        <v>19137.0</v>
      </c>
      <c r="B18006" s="3" t="s">
        <v>17056</v>
      </c>
      <c r="C18006" s="3" t="str">
        <f>IFERROR(__xludf.DUMMYFUNCTION("GOOGLETRANSLATE(B18006,""id"",""en"")"),"['Congratulations', 'Morning', 'Admin', 'Application', 'Open', 'Please', 'Help', 'TRIMS']")</f>
        <v>['Congratulations', 'Morning', 'Admin', 'Application', 'Open', 'Please', 'Help', 'TRIMS']</v>
      </c>
      <c r="D18006" s="3">
        <v>5.0</v>
      </c>
    </row>
    <row r="18007" ht="15.75" customHeight="1">
      <c r="A18007" s="1">
        <v>19138.0</v>
      </c>
      <c r="B18007" s="3" t="s">
        <v>7509</v>
      </c>
      <c r="C18007" s="3" t="str">
        <f>IFERROR(__xludf.DUMMYFUNCTION("GOOGLETRANSLATE(B18007,""id"",""en"")"),"['The network', 'good']")</f>
        <v>['The network', 'good']</v>
      </c>
      <c r="D18007" s="3">
        <v>5.0</v>
      </c>
    </row>
    <row r="18008" ht="15.75" customHeight="1">
      <c r="A18008" s="1">
        <v>19139.0</v>
      </c>
      <c r="B18008" s="3" t="s">
        <v>17057</v>
      </c>
      <c r="C18008" s="3" t="str">
        <f>IFERROR(__xludf.DUMMYFUNCTION("GOOGLETRANSLATE(B18008,""id"",""en"")"),"['satisfying', 'easy']")</f>
        <v>['satisfying', 'easy']</v>
      </c>
      <c r="D18008" s="3">
        <v>5.0</v>
      </c>
    </row>
    <row r="18009" ht="15.75" customHeight="1">
      <c r="A18009" s="1">
        <v>19140.0</v>
      </c>
      <c r="B18009" s="3" t="s">
        <v>17058</v>
      </c>
      <c r="C18009" s="3" t="str">
        <f>IFERROR(__xludf.DUMMYFUNCTION("GOOGLETRANSLATE(B18009,""id"",""en"")"),"['Mantapp', 'expensive', 'fast', 'as fast', 'light']")</f>
        <v>['Mantapp', 'expensive', 'fast', 'as fast', 'light']</v>
      </c>
      <c r="D18009" s="3">
        <v>5.0</v>
      </c>
    </row>
    <row r="18010" ht="15.75" customHeight="1">
      <c r="A18010" s="1">
        <v>19141.0</v>
      </c>
      <c r="B18010" s="3" t="s">
        <v>17059</v>
      </c>
      <c r="C18010" s="3" t="str">
        <f>IFERROR(__xludf.DUMMYFUNCTION("GOOGLETRANSLATE(B18010,""id"",""en"")"),"['Network', 'rich', 'monkey', 'expensive', 'oath', 'unclean', 'buy', 'quota', 'telkomsel', 'promo', 'unclean', 'buy', ' quota']")</f>
        <v>['Network', 'rich', 'monkey', 'expensive', 'oath', 'unclean', 'buy', 'quota', 'telkomsel', 'promo', 'unclean', 'buy', ' quota']</v>
      </c>
      <c r="D18010" s="3">
        <v>1.0</v>
      </c>
    </row>
    <row r="18011" ht="15.75" customHeight="1">
      <c r="A18011" s="1">
        <v>19142.0</v>
      </c>
      <c r="B18011" s="3" t="s">
        <v>17060</v>
      </c>
      <c r="C18011" s="3" t="str">
        <f>IFERROR(__xludf.DUMMYFUNCTION("GOOGLETRANSLATE(B18011,""id"",""en"")"),"['Package', 'combo', 'omg', 'Gb']")</f>
        <v>['Package', 'combo', 'omg', 'Gb']</v>
      </c>
      <c r="D18011" s="3">
        <v>1.0</v>
      </c>
    </row>
    <row r="18012" ht="15.75" customHeight="1">
      <c r="A18012" s="1">
        <v>19143.0</v>
      </c>
      <c r="B18012" s="3" t="s">
        <v>17061</v>
      </c>
      <c r="C18012" s="3" t="str">
        <f>IFERROR(__xludf.DUMMYFUNCTION("GOOGLETRANSLATE(B18012,""id"",""en"")"),"['Please', 'repaired', 'Application', 'Blom', 'BSA', 'Open', 'Updated', 'Delete', 'Install', 'reset', 'bsa', 'open']")</f>
        <v>['Please', 'repaired', 'Application', 'Blom', 'BSA', 'Open', 'Updated', 'Delete', 'Install', 'reset', 'bsa', 'open']</v>
      </c>
      <c r="D18012" s="3">
        <v>5.0</v>
      </c>
    </row>
    <row r="18013" ht="15.75" customHeight="1">
      <c r="A18013" s="1">
        <v>19144.0</v>
      </c>
      <c r="B18013" s="3" t="s">
        <v>17062</v>
      </c>
      <c r="C18013" s="3" t="str">
        <f>IFERROR(__xludf.DUMMYFUNCTION("GOOGLETRANSLATE(B18013,""id"",""en"")"),"['Sousiny', 'ugly', 'Lined', 'Open', 'Marketplace', 'Difficult', 'Sousal', 'Bad']")</f>
        <v>['Sousiny', 'ugly', 'Lined', 'Open', 'Marketplace', 'Difficult', 'Sousal', 'Bad']</v>
      </c>
      <c r="D18013" s="3">
        <v>1.0</v>
      </c>
    </row>
    <row r="18014" ht="15.75" customHeight="1">
      <c r="A18014" s="1">
        <v>19145.0</v>
      </c>
      <c r="B18014" s="3" t="s">
        <v>17063</v>
      </c>
      <c r="C18014" s="3" t="str">
        <f>IFERROR(__xludf.DUMMYFUNCTION("GOOGLETRANSLATE(B18014,""id"",""en"")"),"['', 'Telkomsel', 'difficult', 'really', 'access', 'good', '']")</f>
        <v>['', 'Telkomsel', 'difficult', 'really', 'access', 'good', '']</v>
      </c>
      <c r="D18014" s="3">
        <v>3.0</v>
      </c>
    </row>
    <row r="18015" ht="15.75" customHeight="1">
      <c r="A18015" s="1">
        <v>19146.0</v>
      </c>
      <c r="B18015" s="3" t="s">
        <v>17064</v>
      </c>
      <c r="C18015" s="3" t="str">
        <f>IFERROR(__xludf.DUMMYFUNCTION("GOOGLETRANSLATE(B18015,""id"",""en"")"),"['Satisfied', 'Disappointed', 'Geblank']")</f>
        <v>['Satisfied', 'Disappointed', 'Geblank']</v>
      </c>
      <c r="D18015" s="3">
        <v>2.0</v>
      </c>
    </row>
    <row r="18016" ht="15.75" customHeight="1">
      <c r="A18016" s="1">
        <v>19147.0</v>
      </c>
      <c r="B18016" s="3" t="s">
        <v>92</v>
      </c>
      <c r="C18016" s="3" t="str">
        <f>IFERROR(__xludf.DUMMYFUNCTION("GOOGLETRANSLATE(B18016,""id"",""en"")"),"['Application', 'Open']")</f>
        <v>['Application', 'Open']</v>
      </c>
      <c r="D18016" s="3">
        <v>1.0</v>
      </c>
    </row>
    <row r="18017" ht="15.75" customHeight="1">
      <c r="A18017" s="1">
        <v>19148.0</v>
      </c>
      <c r="B18017" s="3" t="s">
        <v>17065</v>
      </c>
      <c r="C18017" s="3" t="str">
        <f>IFERROR(__xludf.DUMMYFUNCTION("GOOGLETRANSLATE(B18017,""id"",""en"")"),"['Network', 'widespread']")</f>
        <v>['Network', 'widespread']</v>
      </c>
      <c r="D18017" s="3">
        <v>5.0</v>
      </c>
    </row>
    <row r="18018" ht="15.75" customHeight="1">
      <c r="A18018" s="1">
        <v>19149.0</v>
      </c>
      <c r="B18018" s="3" t="s">
        <v>17066</v>
      </c>
      <c r="C18018" s="3" t="str">
        <f>IFERROR(__xludf.DUMMYFUNCTION("GOOGLETRANSLATE(B18018,""id"",""en"")"),"['application', 'Telkomsel', 'mmg', 'good']")</f>
        <v>['application', 'Telkomsel', 'mmg', 'good']</v>
      </c>
      <c r="D18018" s="3">
        <v>5.0</v>
      </c>
    </row>
    <row r="18019" ht="15.75" customHeight="1">
      <c r="A18019" s="1">
        <v>19150.0</v>
      </c>
      <c r="B18019" s="3" t="s">
        <v>17067</v>
      </c>
      <c r="C18019" s="3" t="str">
        <f>IFERROR(__xludf.DUMMYFUNCTION("GOOGLETRANSLATE(B18019,""id"",""en"")"),"['price', 'expensive', 'lag', 'signal', 'BURIK', 'ugly', 'ugly', 'ugly', 'ugly', 'ugly', 'udh', 'expensive', ' lag ',' lag ']")</f>
        <v>['price', 'expensive', 'lag', 'signal', 'BURIK', 'ugly', 'ugly', 'ugly', 'ugly', 'ugly', 'udh', 'expensive', ' lag ',' lag ']</v>
      </c>
      <c r="D18019" s="3">
        <v>1.0</v>
      </c>
    </row>
    <row r="18020" ht="15.75" customHeight="1">
      <c r="A18020" s="1">
        <v>19151.0</v>
      </c>
      <c r="B18020" s="3" t="s">
        <v>17068</v>
      </c>
      <c r="C18020" s="3" t="str">
        <f>IFERROR(__xludf.DUMMYFUNCTION("GOOGLETRANSLATE(B18020,""id"",""en"")"),"['Telkomsel', 'Mandible', 'Signal', 'Cook', 'Morning', 'Siank', 'night', 'signal', 'just', 'tower', 'difficult', 'right', ' down ',' play ',' game ',' Performance ',' user ',' rich ',' taik ']")</f>
        <v>['Telkomsel', 'Mandible', 'Signal', 'Cook', 'Morning', 'Siank', 'night', 'signal', 'just', 'tower', 'difficult', 'right', ' down ',' play ',' game ',' Performance ',' user ',' rich ',' taik ']</v>
      </c>
      <c r="D18020" s="3">
        <v>1.0</v>
      </c>
    </row>
    <row r="18021" ht="15.75" customHeight="1">
      <c r="A18021" s="1">
        <v>19153.0</v>
      </c>
      <c r="B18021" s="3" t="s">
        <v>17069</v>
      </c>
      <c r="C18021" s="3" t="str">
        <f>IFERROR(__xludf.DUMMYFUNCTION("GOOGLETRANSLATE(B18021,""id"",""en"")"),"['already', 'a week', 'open']")</f>
        <v>['already', 'a week', 'open']</v>
      </c>
      <c r="D18021" s="3">
        <v>3.0</v>
      </c>
    </row>
    <row r="18022" ht="15.75" customHeight="1">
      <c r="A18022" s="1">
        <v>19154.0</v>
      </c>
      <c r="B18022" s="3" t="s">
        <v>17070</v>
      </c>
      <c r="C18022" s="3" t="str">
        <f>IFERROR(__xludf.DUMMYFUNCTION("GOOGLETRANSLATE(B18022,""id"",""en"")"),"['The application', 'blank', 'white', 'list', 'package', 'internet', '']")</f>
        <v>['The application', 'blank', 'white', 'list', 'package', 'internet', '']</v>
      </c>
      <c r="D18022" s="3">
        <v>1.0</v>
      </c>
    </row>
    <row r="18023" ht="15.75" customHeight="1">
      <c r="A18023" s="1">
        <v>19155.0</v>
      </c>
      <c r="B18023" s="3" t="s">
        <v>17071</v>
      </c>
      <c r="C18023" s="3" t="str">
        <f>IFERROR(__xludf.DUMMYFUNCTION("GOOGLETRANSLATE(B18023,""id"",""en"")"),"['Telkomsel', 'The network', 'JLEK']")</f>
        <v>['Telkomsel', 'The network', 'JLEK']</v>
      </c>
      <c r="D18023" s="3">
        <v>1.0</v>
      </c>
    </row>
    <row r="18024" ht="15.75" customHeight="1">
      <c r="A18024" s="1">
        <v>19156.0</v>
      </c>
      <c r="B18024" s="3" t="s">
        <v>17072</v>
      </c>
      <c r="C18024" s="3" t="str">
        <f>IFERROR(__xludf.DUMMYFUNCTION("GOOGLETRANSLATE(B18024,""id"",""en"")"),"['Destroyed', 'Nie', 'Network', 'Telkomsel', '']")</f>
        <v>['Destroyed', 'Nie', 'Network', 'Telkomsel', '']</v>
      </c>
      <c r="D18024" s="3">
        <v>1.0</v>
      </c>
    </row>
    <row r="18025" ht="15.75" customHeight="1">
      <c r="A18025" s="1">
        <v>19157.0</v>
      </c>
      <c r="B18025" s="3" t="s">
        <v>17073</v>
      </c>
      <c r="C18025" s="3" t="str">
        <f>IFERROR(__xludf.DUMMYFUNCTION("GOOGLETRANSLATE(B18025,""id"",""en"")"),"['Network', 'Internet', 'Telkomsel', 'ugly', 'Severe', 'quota', 'Telalu', 'expensive', '']")</f>
        <v>['Network', 'Internet', 'Telkomsel', 'ugly', 'Severe', 'quota', 'Telalu', 'expensive', '']</v>
      </c>
      <c r="D18025" s="3">
        <v>1.0</v>
      </c>
    </row>
    <row r="18026" ht="15.75" customHeight="1">
      <c r="A18026" s="1">
        <v>19159.0</v>
      </c>
      <c r="B18026" s="3" t="s">
        <v>17074</v>
      </c>
      <c r="C18026" s="3" t="str">
        <f>IFERROR(__xludf.DUMMYFUNCTION("GOOGLETRANSLATE(B18026,""id"",""en"")"),"['Min', 'opened', 'Install', 'Uninstall', 'Try', 'NDK', 'Checked', 'Min', ""]")</f>
        <v>['Min', 'opened', 'Install', 'Uninstall', 'Try', 'NDK', 'Checked', 'Min', "]</v>
      </c>
      <c r="D18026" s="3">
        <v>5.0</v>
      </c>
    </row>
    <row r="18027" ht="15.75" customHeight="1">
      <c r="A18027" s="1">
        <v>19160.0</v>
      </c>
      <c r="B18027" s="3" t="s">
        <v>17075</v>
      </c>
      <c r="C18027" s="3" t="str">
        <f>IFERROR(__xludf.DUMMYFUNCTION("GOOGLETRANSLATE(B18027,""id"",""en"")"),"['', 'original', 'application', 'slow', 'good']")</f>
        <v>['', 'original', 'application', 'slow', 'good']</v>
      </c>
      <c r="D18027" s="3">
        <v>5.0</v>
      </c>
    </row>
    <row r="18028" ht="15.75" customHeight="1">
      <c r="A18028" s="1">
        <v>19161.0</v>
      </c>
      <c r="B18028" s="3" t="s">
        <v>17076</v>
      </c>
      <c r="C18028" s="3" t="str">
        <f>IFERROR(__xludf.DUMMYFUNCTION("GOOGLETRANSLATE(B18028,""id"",""en"")"),"['expensive', 'selling', 'redundant']")</f>
        <v>['expensive', 'selling', 'redundant']</v>
      </c>
      <c r="D18028" s="3">
        <v>2.0</v>
      </c>
    </row>
    <row r="18029" ht="15.75" customHeight="1">
      <c r="A18029" s="1">
        <v>19162.0</v>
      </c>
      <c r="B18029" s="3" t="s">
        <v>17077</v>
      </c>
      <c r="C18029" s="3" t="str">
        <f>IFERROR(__xludf.DUMMYFUNCTION("GOOGLETRANSLATE(B18029,""id"",""en"")"),"['Please', 'fix', 'applicture', 'login']")</f>
        <v>['Please', 'fix', 'applicture', 'login']</v>
      </c>
      <c r="D18029" s="3">
        <v>1.0</v>
      </c>
    </row>
    <row r="18030" ht="15.75" customHeight="1">
      <c r="A18030" s="1">
        <v>19164.0</v>
      </c>
      <c r="B18030" s="3" t="s">
        <v>17078</v>
      </c>
      <c r="C18030" s="3" t="str">
        <f>IFERROR(__xludf.DUMMYFUNCTION("GOOGLETRANSLATE(B18030,""id"",""en"")"),"['opened', 'blank', 'white', 'doank', 'tlg', 'repair', '']")</f>
        <v>['opened', 'blank', 'white', 'doank', 'tlg', 'repair', '']</v>
      </c>
      <c r="D18030" s="3">
        <v>2.0</v>
      </c>
    </row>
    <row r="18031" ht="15.75" customHeight="1">
      <c r="A18031" s="1">
        <v>19165.0</v>
      </c>
      <c r="B18031" s="3" t="s">
        <v>17079</v>
      </c>
      <c r="C18031" s="3" t="str">
        <f>IFERROR(__xludf.DUMMYFUNCTION("GOOGLETRANSLATE(B18031,""id"",""en"")"),"['enter', 'Telkomsel', 'screen', 'blank', 'color', 'white', ""]")</f>
        <v>['enter', 'Telkomsel', 'screen', 'blank', 'color', 'white', "]</v>
      </c>
      <c r="D18031" s="3">
        <v>5.0</v>
      </c>
    </row>
    <row r="18032" ht="15.75" customHeight="1">
      <c r="A18032" s="1">
        <v>19166.0</v>
      </c>
      <c r="B18032" s="3" t="s">
        <v>17080</v>
      </c>
      <c r="C18032" s="3" t="str">
        <f>IFERROR(__xludf.DUMMYFUNCTION("GOOGLETRANSLATE(B18032,""id"",""en"")"),"['woi', 'buy', 'unlimited', 'youtube', 'a week', 'a day', 'already', 'no', 'what', 'woi']")</f>
        <v>['woi', 'buy', 'unlimited', 'youtube', 'a week', 'a day', 'already', 'no', 'what', 'woi']</v>
      </c>
      <c r="D18032" s="3">
        <v>1.0</v>
      </c>
    </row>
    <row r="18033" ht="15.75" customHeight="1">
      <c r="A18033" s="1">
        <v>19168.0</v>
      </c>
      <c r="B18033" s="3" t="s">
        <v>17081</v>
      </c>
      <c r="C18033" s="3" t="str">
        <f>IFERROR(__xludf.DUMMYFUNCTION("GOOGLETRANSLATE(B18033,""id"",""en"")"),"['Telkomsel', 'KMRIN', 'Date', 'SLSAI', 'Date', 'MLH', 'DBAY', 'SURX', 'Uninstall', 'UNT', 'Install', 'Sampe', ' Reset ',' TTP ',' go ',' ']")</f>
        <v>['Telkomsel', 'KMRIN', 'Date', 'SLSAI', 'Date', 'MLH', 'DBAY', 'SURX', 'Uninstall', 'UNT', 'Install', 'Sampe', ' Reset ',' TTP ',' go ',' ']</v>
      </c>
      <c r="D18033" s="3">
        <v>1.0</v>
      </c>
    </row>
    <row r="18034" ht="15.75" customHeight="1">
      <c r="A18034" s="1">
        <v>19169.0</v>
      </c>
      <c r="B18034" s="3" t="s">
        <v>17082</v>
      </c>
      <c r="C18034" s="3" t="str">
        <f>IFERROR(__xludf.DUMMYFUNCTION("GOOGLETRANSLATE(B18034,""id"",""en"")"),"['poor', 'chek', 'continuous', 'chek', 'disconnected', '']")</f>
        <v>['poor', 'chek', 'continuous', 'chek', 'disconnected', '']</v>
      </c>
      <c r="D18034" s="3">
        <v>1.0</v>
      </c>
    </row>
    <row r="18035" ht="15.75" customHeight="1">
      <c r="A18035" s="1">
        <v>19170.0</v>
      </c>
      <c r="B18035" s="3" t="s">
        <v>17083</v>
      </c>
      <c r="C18035" s="3" t="str">
        <f>IFERROR(__xludf.DUMMYFUNCTION("GOOGLETRANSLATE(B18035,""id"",""en"")"),"['Telkomsel', 'Open', 'Application', 'Ngejek', 'Kouta', 'Internet', 'Embossed', 'Screen', 'White', 'Uda', 'Unistal', 'Install', ' screen ',' white ',' appears', 'please', 'Telkomsel']")</f>
        <v>['Telkomsel', 'Open', 'Application', 'Ngejek', 'Kouta', 'Internet', 'Embossed', 'Screen', 'White', 'Uda', 'Unistal', 'Install', ' screen ',' white ',' appears', 'please', 'Telkomsel']</v>
      </c>
      <c r="D18035" s="3">
        <v>2.0</v>
      </c>
    </row>
    <row r="18036" ht="15.75" customHeight="1">
      <c r="A18036" s="1">
        <v>19171.0</v>
      </c>
      <c r="B18036" s="3" t="s">
        <v>17084</v>
      </c>
      <c r="C18036" s="3" t="str">
        <f>IFERROR(__xludf.DUMMYFUNCTION("GOOGLETRANSLATE(B18036,""id"",""en"")"),"['Sya', 'update', 'Android', 'Application', 'Telkomsel', 'installed', '']")</f>
        <v>['Sya', 'update', 'Android', 'Application', 'Telkomsel', 'installed', '']</v>
      </c>
      <c r="D18036" s="3">
        <v>2.0</v>
      </c>
    </row>
    <row r="18037" ht="15.75" customHeight="1">
      <c r="A18037" s="1">
        <v>19172.0</v>
      </c>
      <c r="B18037" s="3" t="s">
        <v>17085</v>
      </c>
      <c r="C18037" s="3" t="str">
        <f>IFERROR(__xludf.DUMMYFUNCTION("GOOGLETRANSLATE(B18037,""id"",""en"")"),"['satisfying', 'mantappp', '']")</f>
        <v>['satisfying', 'mantappp', '']</v>
      </c>
      <c r="D18037" s="3">
        <v>5.0</v>
      </c>
    </row>
    <row r="18038" ht="15.75" customHeight="1">
      <c r="A18038" s="1">
        <v>19173.0</v>
      </c>
      <c r="B18038" s="3" t="s">
        <v>17086</v>
      </c>
      <c r="C18038" s="3" t="str">
        <f>IFERROR(__xludf.DUMMYFUNCTION("GOOGLETRANSLATE(B18038,""id"",""en"")"),"['', 'thank', 'love', 'MyTelekomsel', '']")</f>
        <v>['', 'thank', 'love', 'MyTelekomsel', '']</v>
      </c>
      <c r="D18038" s="3">
        <v>5.0</v>
      </c>
    </row>
    <row r="18039" ht="15.75" customHeight="1">
      <c r="A18039" s="1">
        <v>19174.0</v>
      </c>
      <c r="B18039" s="3" t="s">
        <v>17087</v>
      </c>
      <c r="C18039" s="3" t="str">
        <f>IFERROR(__xludf.DUMMYFUNCTION("GOOGLETRANSLATE(B18039,""id"",""en"")"),"['Help', 'Need', 'Internet']")</f>
        <v>['Help', 'Need', 'Internet']</v>
      </c>
      <c r="D18039" s="3">
        <v>5.0</v>
      </c>
    </row>
    <row r="18040" ht="15.75" customHeight="1">
      <c r="A18040" s="1">
        <v>19175.0</v>
      </c>
      <c r="B18040" s="3" t="s">
        <v>17088</v>
      </c>
      <c r="C18040" s="3" t="str">
        <f>IFERROR(__xludf.DUMMYFUNCTION("GOOGLETRANSLATE(B18040,""id"",""en"")"),"['Star', 'dlu', 'network', 'slow', 'really']")</f>
        <v>['Star', 'dlu', 'network', 'slow', 'really']</v>
      </c>
      <c r="D18040" s="3">
        <v>2.0</v>
      </c>
    </row>
    <row r="18041" ht="15.75" customHeight="1">
      <c r="A18041" s="1">
        <v>19176.0</v>
      </c>
      <c r="B18041" s="3" t="s">
        <v>17089</v>
      </c>
      <c r="C18041" s="3" t="str">
        <f>IFERROR(__xludf.DUMMYFUNCTION("GOOGLETRANSLATE(B18041,""id"",""en"")"),"['Application', 'Telkomsel', 'Ngak', 'Asked', 'Upgred', 'Version', 'Latest', 'Ngak', 'Asked']")</f>
        <v>['Application', 'Telkomsel', 'Ngak', 'Asked', 'Upgred', 'Version', 'Latest', 'Ngak', 'Asked']</v>
      </c>
      <c r="D18041" s="3">
        <v>1.0</v>
      </c>
    </row>
    <row r="18042" ht="15.75" customHeight="1">
      <c r="A18042" s="1">
        <v>19177.0</v>
      </c>
      <c r="B18042" s="3" t="s">
        <v>17090</v>
      </c>
      <c r="C18042" s="3" t="str">
        <f>IFERROR(__xludf.DUMMYFUNCTION("GOOGLETRANSLATE(B18042,""id"",""en"")"),"['provider', 'garbage', 'price', 'according to', 'quality', 'contents',' rb ',' right ',' check ',' telmoksel ',' rb ',' rb ',' Kemane ',' bwt ',' joint venture ',' bansos', '']")</f>
        <v>['provider', 'garbage', 'price', 'according to', 'quality', 'contents',' rb ',' right ',' check ',' telmoksel ',' rb ',' rb ',' Kemane ',' bwt ',' joint venture ',' bansos', '']</v>
      </c>
      <c r="D18042" s="3">
        <v>1.0</v>
      </c>
    </row>
    <row r="18043" ht="15.75" customHeight="1">
      <c r="A18043" s="1">
        <v>19179.0</v>
      </c>
      <c r="B18043" s="3" t="s">
        <v>17091</v>
      </c>
      <c r="C18043" s="3" t="str">
        <f>IFERROR(__xludf.DUMMYFUNCTION("GOOGLETRANSLATE(B18043,""id"",""en"")"),"['a month', 'MyTelkomsel', 'screen', 'blank', 'uninstall', 'alternating', 'bgtu', 'dmna', 'strange', 'application', 'promo', 'gede', ' Application ',' dilapidated ',' blank ',' doang ',' ']")</f>
        <v>['a month', 'MyTelkomsel', 'screen', 'blank', 'uninstall', 'alternating', 'bgtu', 'dmna', 'strange', 'application', 'promo', 'gede', ' Application ',' dilapidated ',' blank ',' doang ',' ']</v>
      </c>
      <c r="D18043" s="3">
        <v>1.0</v>
      </c>
    </row>
    <row r="18044" ht="15.75" customHeight="1">
      <c r="A18044" s="1">
        <v>19180.0</v>
      </c>
      <c r="B18044" s="3" t="s">
        <v>17092</v>
      </c>
      <c r="C18044" s="3" t="str">
        <f>IFERROR(__xludf.DUMMYFUNCTION("GOOGLETRANSLATE(B18044,""id"",""en"")"),"['staple', 'APK', 'good', 'really', '']")</f>
        <v>['staple', 'APK', 'good', 'really', '']</v>
      </c>
      <c r="D18044" s="3">
        <v>5.0</v>
      </c>
    </row>
    <row r="18045" ht="15.75" customHeight="1">
      <c r="A18045" s="1">
        <v>19181.0</v>
      </c>
      <c r="B18045" s="3" t="s">
        <v>17093</v>
      </c>
      <c r="C18045" s="3" t="str">
        <f>IFERROR(__xludf.DUMMYFUNCTION("GOOGLETRANSLATE(B18045,""id"",""en"")"),"['Price', 'other', 'quality', 'network', 'tuns', 'poor']")</f>
        <v>['Price', 'other', 'quality', 'network', 'tuns', 'poor']</v>
      </c>
      <c r="D18045" s="3">
        <v>1.0</v>
      </c>
    </row>
    <row r="18046" ht="15.75" customHeight="1">
      <c r="A18046" s="1">
        <v>19182.0</v>
      </c>
      <c r="B18046" s="3" t="s">
        <v>17094</v>
      </c>
      <c r="C18046" s="3" t="str">
        <f>IFERROR(__xludf.DUMMYFUNCTION("GOOGLETRANSLATE(B18046,""id"",""en"")"),"['It's easy', 'transaction', 'buy', 'package', 'pulse']")</f>
        <v>['It's easy', 'transaction', 'buy', 'package', 'pulse']</v>
      </c>
      <c r="D18046" s="3">
        <v>5.0</v>
      </c>
    </row>
    <row r="18047" ht="15.75" customHeight="1">
      <c r="A18047" s="1">
        <v>19183.0</v>
      </c>
      <c r="B18047" s="3" t="s">
        <v>17095</v>
      </c>
      <c r="C18047" s="3" t="str">
        <f>IFERROR(__xludf.DUMMYFUNCTION("GOOGLETRANSLATE(B18047,""id"",""en"")"),"['signal', 'Telkom', 'as good', 'obstacles', 'Live', 'Telkomsel', 'Network', 'Good']")</f>
        <v>['signal', 'Telkom', 'as good', 'obstacles', 'Live', 'Telkomsel', 'Network', 'Good']</v>
      </c>
      <c r="D18047" s="3">
        <v>3.0</v>
      </c>
    </row>
    <row r="18048" ht="15.75" customHeight="1">
      <c r="A18048" s="1">
        <v>19184.0</v>
      </c>
      <c r="B18048" s="3" t="s">
        <v>17096</v>
      </c>
      <c r="C18048" s="3" t="str">
        <f>IFERROR(__xludf.DUMMYFUNCTION("GOOGLETRANSLATE(B18048,""id"",""en"")"),"['make sure', 'okay']")</f>
        <v>['make sure', 'okay']</v>
      </c>
      <c r="D18048" s="3">
        <v>5.0</v>
      </c>
    </row>
    <row r="18049" ht="15.75" customHeight="1">
      <c r="A18049" s="1">
        <v>19185.0</v>
      </c>
      <c r="B18049" s="3" t="s">
        <v>17097</v>
      </c>
      <c r="C18049" s="3" t="str">
        <f>IFERROR(__xludf.DUMMYFUNCTION("GOOGLETRANSLATE(B18049,""id"",""en"")"),"['just', 'update', 'APK', 'right', 'opened', 'ngestack', 'white', 'screen', 'wifi', 'smooth', 'please', 'repay', ' APKNY ',' love ',' star ',' UDH ',' repaired ',' love ',' star ', ""]")</f>
        <v>['just', 'update', 'APK', 'right', 'opened', 'ngestack', 'white', 'screen', 'wifi', 'smooth', 'please', 'repay', ' APKNY ',' love ',' star ',' UDH ',' repaired ',' love ',' star ', "]</v>
      </c>
      <c r="D18049" s="3">
        <v>3.0</v>
      </c>
    </row>
    <row r="18050" ht="15.75" customHeight="1">
      <c r="A18050" s="1">
        <v>19186.0</v>
      </c>
      <c r="B18050" s="3" t="s">
        <v>17098</v>
      </c>
      <c r="C18050" s="3" t="str">
        <f>IFERROR(__xludf.DUMMYFUNCTION("GOOGLETRANSLATE(B18050,""id"",""en"")"),"['bang', 'apk', 'gymna', 'sya', 'update', 'install', 'reset', 'no', 'entry', 'apk', 'mean', 'bang', ' ']")</f>
        <v>['bang', 'apk', 'gymna', 'sya', 'update', 'install', 'reset', 'no', 'entry', 'apk', 'mean', 'bang', ' ']</v>
      </c>
      <c r="D18050" s="3">
        <v>3.0</v>
      </c>
    </row>
    <row r="18051" ht="15.75" customHeight="1">
      <c r="A18051" s="1">
        <v>19187.0</v>
      </c>
      <c r="B18051" s="3" t="s">
        <v>17099</v>
      </c>
      <c r="C18051" s="3" t="str">
        <f>IFERROR(__xludf.DUMMYFUNCTION("GOOGLETRANSLATE(B18051,""id"",""en"")"),"['MyTelkomsel', 'open', 'screen', 'whitehhh', 'buy', 'package', 'how', 'min', 'finished', 'update', 'version', '']")</f>
        <v>['MyTelkomsel', 'open', 'screen', 'whitehhh', 'buy', 'package', 'how', 'min', 'finished', 'update', 'version', '']</v>
      </c>
      <c r="D18051" s="3">
        <v>1.0</v>
      </c>
    </row>
    <row r="18052" ht="15.75" customHeight="1">
      <c r="A18052" s="1">
        <v>19188.0</v>
      </c>
      <c r="B18052" s="3" t="s">
        <v>17100</v>
      </c>
      <c r="C18052" s="3" t="str">
        <f>IFERROR(__xludf.DUMMYFUNCTION("GOOGLETRANSLATE(B18052,""id"",""en"")"),"['application', 'good', 'cheap', 'buy', 'package', 'internet', 'pulse']")</f>
        <v>['application', 'good', 'cheap', 'buy', 'package', 'internet', 'pulse']</v>
      </c>
      <c r="D18052" s="3">
        <v>5.0</v>
      </c>
    </row>
    <row r="18053" ht="15.75" customHeight="1">
      <c r="A18053" s="1">
        <v>19189.0</v>
      </c>
      <c r="B18053" s="3" t="s">
        <v>17101</v>
      </c>
      <c r="C18053" s="3" t="str">
        <f>IFERROR(__xludf.DUMMYFUNCTION("GOOGLETRANSLATE(B18053,""id"",""en"")"),"['signal', 'internet', 'sympathy', 'Lemat', 'slow']")</f>
        <v>['signal', 'internet', 'sympathy', 'Lemat', 'slow']</v>
      </c>
      <c r="D18053" s="3">
        <v>5.0</v>
      </c>
    </row>
    <row r="18054" ht="15.75" customHeight="1">
      <c r="A18054" s="1">
        <v>19190.0</v>
      </c>
      <c r="B18054" s="3" t="s">
        <v>17102</v>
      </c>
      <c r="C18054" s="3" t="str">
        <f>IFERROR(__xludf.DUMMYFUNCTION("GOOGLETRANSLATE(B18054,""id"",""en"")"),"['Hi', 'Telkomsel', 'apk', 'apk', 'in the' open ',' white ',' screen ',' obstacle ',' unistql ',' install ',' Please ',' his help']")</f>
        <v>['Hi', 'Telkomsel', 'apk', 'apk', 'in the' open ',' white ',' screen ',' obstacle ',' unistql ',' install ',' Please ',' his help']</v>
      </c>
      <c r="D18054" s="3">
        <v>2.0</v>
      </c>
    </row>
    <row r="18055" ht="15.75" customHeight="1">
      <c r="A18055" s="1">
        <v>19191.0</v>
      </c>
      <c r="B18055" s="3" t="s">
        <v>17103</v>
      </c>
      <c r="C18055" s="3" t="str">
        <f>IFERROR(__xludf.DUMMYFUNCTION("GOOGLETRANSLATE(B18055,""id"",""en"")"),"['Amid the', 'City', 'signal', 'ilang', 'just', '']")</f>
        <v>['Amid the', 'City', 'signal', 'ilang', 'just', '']</v>
      </c>
      <c r="D18055" s="3">
        <v>1.0</v>
      </c>
    </row>
    <row r="18056" ht="15.75" customHeight="1">
      <c r="A18056" s="1">
        <v>19192.0</v>
      </c>
      <c r="B18056" s="3" t="s">
        <v>17104</v>
      </c>
      <c r="C18056" s="3" t="str">
        <f>IFERROR(__xludf.DUMMYFUNCTION("GOOGLETRANSLATE(B18056,""id"",""en"")"),"['expensive', 'expensive', 'price']")</f>
        <v>['expensive', 'expensive', 'price']</v>
      </c>
      <c r="D18056" s="3">
        <v>4.0</v>
      </c>
    </row>
    <row r="18057" ht="15.75" customHeight="1">
      <c r="A18057" s="1">
        <v>19193.0</v>
      </c>
      <c r="B18057" s="3" t="s">
        <v>17105</v>
      </c>
      <c r="C18057" s="3" t="str">
        <f>IFERROR(__xludf.DUMMYFUNCTION("GOOGLETRANSLATE(B18057,""id"",""en"")"),"['Application', 'Telkomsel', 'Difficult', 'Login', '']")</f>
        <v>['Application', 'Telkomsel', 'Difficult', 'Login', '']</v>
      </c>
      <c r="D18057" s="3">
        <v>5.0</v>
      </c>
    </row>
    <row r="18058" ht="15.75" customHeight="1">
      <c r="A18058" s="1">
        <v>19194.0</v>
      </c>
      <c r="B18058" s="3" t="s">
        <v>17106</v>
      </c>
      <c r="C18058" s="3" t="str">
        <f>IFERROR(__xludf.DUMMYFUNCTION("GOOGLETRANSLATE(B18058,""id"",""en"")"),"['Application', 'Bird', 'World', 'Service', 'Telkomsel', 'Good', '']")</f>
        <v>['Application', 'Bird', 'World', 'Service', 'Telkomsel', 'Good', '']</v>
      </c>
      <c r="D18058" s="3">
        <v>1.0</v>
      </c>
    </row>
    <row r="18059" ht="15.75" customHeight="1">
      <c r="A18059" s="1">
        <v>19195.0</v>
      </c>
      <c r="B18059" s="3" t="s">
        <v>17107</v>
      </c>
      <c r="C18059" s="3" t="str">
        <f>IFERROR(__xludf.DUMMYFUNCTION("GOOGLETRANSLATE(B18059,""id"",""en"")"),"['Telkomsel', 'Login']")</f>
        <v>['Telkomsel', 'Login']</v>
      </c>
      <c r="D18059" s="3">
        <v>3.0</v>
      </c>
    </row>
    <row r="18060" ht="15.75" customHeight="1">
      <c r="A18060" s="1">
        <v>19196.0</v>
      </c>
      <c r="B18060" s="3" t="s">
        <v>17108</v>
      </c>
      <c r="C18060" s="3" t="str">
        <f>IFERROR(__xludf.DUMMYFUNCTION("GOOGLETRANSLATE(B18060,""id"",""en"")"),"['Package', 'Telkomsel', 'expensive', 'strange', '']")</f>
        <v>['Package', 'Telkomsel', 'expensive', 'strange', '']</v>
      </c>
      <c r="D18060" s="3">
        <v>1.0</v>
      </c>
    </row>
    <row r="18061" ht="15.75" customHeight="1">
      <c r="A18061" s="1">
        <v>19197.0</v>
      </c>
      <c r="B18061" s="3" t="s">
        <v>17109</v>
      </c>
      <c r="C18061" s="3" t="str">
        <f>IFERROR(__xludf.DUMMYFUNCTION("GOOGLETRANSLATE(B18061,""id"",""en"")"),"['assallamuallaikum', 'how', 'application', 'evisien', 'difficult', 'access',' slow ',' entry ',' already ',' first ',' Thank you ',' Wasallam ', ""]")</f>
        <v>['assallamuallaikum', 'how', 'application', 'evisien', 'difficult', 'access',' slow ',' entry ',' already ',' first ',' Thank you ',' Wasallam ', "]</v>
      </c>
      <c r="D18061" s="3">
        <v>1.0</v>
      </c>
    </row>
    <row r="18062" ht="15.75" customHeight="1">
      <c r="A18062" s="1">
        <v>19198.0</v>
      </c>
      <c r="B18062" s="3" t="s">
        <v>17110</v>
      </c>
      <c r="C18062" s="3" t="str">
        <f>IFERROR(__xludf.DUMMYFUNCTION("GOOGLETRANSLATE(B18062,""id"",""en"")"),"['Telkomsel', 'already', 'tasty', 'woy', 'already', 'lose', 'already', 'data', 'expensive', 'ngeleg', 'signal', 'good', ' Slow ',' Maen ',' Geme ',' Heavy ',' Strong ',' Ouch ',' Move ',' Card ',' Already ',' Delicious', 'Recommendation', 'Telkomsel']")</f>
        <v>['Telkomsel', 'already', 'tasty', 'woy', 'already', 'lose', 'already', 'data', 'expensive', 'ngeleg', 'signal', 'good', ' Slow ',' Maen ',' Geme ',' Heavy ',' Strong ',' Ouch ',' Move ',' Card ',' Already ',' Delicious', 'Recommendation', 'Telkomsel']</v>
      </c>
      <c r="D18062" s="3">
        <v>1.0</v>
      </c>
    </row>
    <row r="18063" ht="15.75" customHeight="1">
      <c r="A18063" s="1">
        <v>19199.0</v>
      </c>
      <c r="B18063" s="3" t="s">
        <v>17111</v>
      </c>
      <c r="C18063" s="3" t="str">
        <f>IFERROR(__xludf.DUMMYFUNCTION("GOOGLETRANSLATE(B18063,""id"",""en"")"),"['koq', 'already', 'a week', 'app', 'open', 'ngbleng', 'white', 'display', 'screen', 'knp', 'install', 'reset', ' Delete ',' Data ',' TTP ',' Rich ',' Help ', ""]")</f>
        <v>['koq', 'already', 'a week', 'app', 'open', 'ngbleng', 'white', 'display', 'screen', 'knp', 'install', 'reset', ' Delete ',' Data ',' TTP ',' Rich ',' Help ', "]</v>
      </c>
      <c r="D18063" s="3">
        <v>1.0</v>
      </c>
    </row>
    <row r="18064" ht="15.75" customHeight="1">
      <c r="A18064" s="1">
        <v>19200.0</v>
      </c>
      <c r="B18064" s="3" t="s">
        <v>17112</v>
      </c>
      <c r="C18064" s="3" t="str">
        <f>IFERROR(__xludf.DUMMYFUNCTION("GOOGLETRANSLATE(B18064,""id"",""en"")"),"['Mantab', 'informative', 'help']")</f>
        <v>['Mantab', 'informative', 'help']</v>
      </c>
      <c r="D18064" s="3">
        <v>5.0</v>
      </c>
    </row>
    <row r="18065" ht="15.75" customHeight="1">
      <c r="A18065" s="1">
        <v>19201.0</v>
      </c>
      <c r="B18065" s="3" t="s">
        <v>17113</v>
      </c>
      <c r="C18065" s="3" t="str">
        <f>IFERROR(__xludf.DUMMYFUNCTION("GOOGLETRANSLATE(B18065,""id"",""en"")"),"['Application', 'difficult']")</f>
        <v>['Application', 'difficult']</v>
      </c>
      <c r="D18065" s="3">
        <v>1.0</v>
      </c>
    </row>
    <row r="18066" ht="15.75" customHeight="1">
      <c r="A18066" s="1">
        <v>19202.0</v>
      </c>
      <c r="B18066" s="3" t="s">
        <v>17114</v>
      </c>
      <c r="C18066" s="3" t="str">
        <f>IFERROR(__xludf.DUMMYFUNCTION("GOOGLETRANSLATE(B18066,""id"",""en"")"),"['Applalas', 'Telkomsel', 'Open', 'Melalaui', 'Mhn', 'Hint', '']")</f>
        <v>['Applalas', 'Telkomsel', 'Open', 'Melalaui', 'Mhn', 'Hint', '']</v>
      </c>
      <c r="D18066" s="3">
        <v>3.0</v>
      </c>
    </row>
    <row r="18067" ht="15.75" customHeight="1">
      <c r="A18067" s="1">
        <v>19203.0</v>
      </c>
      <c r="B18067" s="3" t="s">
        <v>17115</v>
      </c>
      <c r="C18067" s="3" t="str">
        <f>IFERROR(__xludf.DUMMYFUNCTION("GOOGLETRANSLATE(B18067,""id"",""en"")"),"['control']")</f>
        <v>['control']</v>
      </c>
      <c r="D18067" s="3">
        <v>1.0</v>
      </c>
    </row>
    <row r="18068" ht="15.75" customHeight="1">
      <c r="A18068" s="1">
        <v>19204.0</v>
      </c>
      <c r="B18068" s="3" t="s">
        <v>17116</v>
      </c>
      <c r="C18068" s="3" t="str">
        <f>IFERROR(__xludf.DUMMYFUNCTION("GOOGLETRANSLATE(B18068,""id"",""en"")"),"['Open', 'MyTelkom', 'last night', 'smpe', 'skrng']")</f>
        <v>['Open', 'MyTelkom', 'last night', 'smpe', 'skrng']</v>
      </c>
      <c r="D18068" s="3">
        <v>1.0</v>
      </c>
    </row>
    <row r="18069" ht="15.75" customHeight="1">
      <c r="A18069" s="1">
        <v>19205.0</v>
      </c>
      <c r="B18069" s="3" t="s">
        <v>17117</v>
      </c>
      <c r="C18069" s="3" t="str">
        <f>IFERROR(__xludf.DUMMYFUNCTION("GOOGLETRANSLATE(B18069,""id"",""en"")"),"['open', 'application', 'screen', 'white']")</f>
        <v>['open', 'application', 'screen', 'white']</v>
      </c>
      <c r="D18069" s="3">
        <v>3.0</v>
      </c>
    </row>
    <row r="18070" ht="15.75" customHeight="1">
      <c r="A18070" s="1">
        <v>19206.0</v>
      </c>
      <c r="B18070" s="3" t="s">
        <v>17118</v>
      </c>
      <c r="C18070" s="3" t="str">
        <f>IFERROR(__xludf.DUMMYFUNCTION("GOOGLETRANSLATE(B18070,""id"",""en"")"),"['Mnta', 'update', 'skrg', 'jdi', 'open', 'application', 'quality']")</f>
        <v>['Mnta', 'update', 'skrg', 'jdi', 'open', 'application', 'quality']</v>
      </c>
      <c r="D18070" s="3">
        <v>1.0</v>
      </c>
    </row>
    <row r="18071" ht="15.75" customHeight="1">
      <c r="A18071" s="1">
        <v>19207.0</v>
      </c>
      <c r="B18071" s="3" t="s">
        <v>17119</v>
      </c>
      <c r="C18071" s="3" t="str">
        <f>IFERROR(__xludf.DUMMYFUNCTION("GOOGLETRANSLATE(B18071,""id"",""en"")"),"['signal', 'stable', 'efficiene', 'use']")</f>
        <v>['signal', 'stable', 'efficiene', 'use']</v>
      </c>
      <c r="D18071" s="3">
        <v>5.0</v>
      </c>
    </row>
    <row r="18072" ht="15.75" customHeight="1">
      <c r="A18072" s="1">
        <v>19208.0</v>
      </c>
      <c r="B18072" s="3" t="s">
        <v>1543</v>
      </c>
      <c r="C18072" s="3" t="str">
        <f>IFERROR(__xludf.DUMMYFUNCTION("GOOGLETRANSLATE(B18072,""id"",""en"")"),"['Telkomsel', 'Open']")</f>
        <v>['Telkomsel', 'Open']</v>
      </c>
      <c r="D18072" s="3">
        <v>1.0</v>
      </c>
    </row>
    <row r="18073" ht="15.75" customHeight="1">
      <c r="A18073" s="1">
        <v>19211.0</v>
      </c>
      <c r="B18073" s="3" t="s">
        <v>17120</v>
      </c>
      <c r="C18073" s="3" t="str">
        <f>IFERROR(__xludf.DUMMYFUNCTION("GOOGLETRANSLATE(B18073,""id"",""en"")"),"['makes it easier', 'steady']")</f>
        <v>['makes it easier', 'steady']</v>
      </c>
      <c r="D18073" s="3">
        <v>5.0</v>
      </c>
    </row>
    <row r="18074" ht="15.75" customHeight="1">
      <c r="A18074" s="1">
        <v>19213.0</v>
      </c>
      <c r="B18074" s="3" t="s">
        <v>17121</v>
      </c>
      <c r="C18074" s="3" t="str">
        <f>IFERROR(__xludf.DUMMYFUNCTION("GOOGLETRANSLATE(B18074,""id"",""en"")"),"['Open', 'Application', 'What']")</f>
        <v>['Open', 'Application', 'What']</v>
      </c>
      <c r="D18074" s="3">
        <v>2.0</v>
      </c>
    </row>
    <row r="18075" ht="15.75" customHeight="1">
      <c r="A18075" s="1">
        <v>19214.0</v>
      </c>
      <c r="B18075" s="3" t="s">
        <v>17122</v>
      </c>
      <c r="C18075" s="3" t="str">
        <f>IFERROR(__xludf.DUMMYFUNCTION("GOOGLETRANSLATE(B18075,""id"",""en"")"),"['Thank you', 'info']")</f>
        <v>['Thank you', 'info']</v>
      </c>
      <c r="D18075" s="3">
        <v>5.0</v>
      </c>
    </row>
    <row r="18076" ht="15.75" customHeight="1">
      <c r="A18076" s="1">
        <v>19215.0</v>
      </c>
      <c r="B18076" s="3" t="s">
        <v>17123</v>
      </c>
      <c r="C18076" s="3" t="str">
        <f>IFERROR(__xludf.DUMMYFUNCTION("GOOGLETRANSLATE(B18076,""id"",""en"")"),"['Good', 'hope', 'Jaya']")</f>
        <v>['Good', 'hope', 'Jaya']</v>
      </c>
      <c r="D18076" s="3">
        <v>5.0</v>
      </c>
    </row>
    <row r="18077" ht="15.75" customHeight="1">
      <c r="A18077" s="1">
        <v>19216.0</v>
      </c>
      <c r="B18077" s="3" t="s">
        <v>17124</v>
      </c>
      <c r="C18077" s="3" t="str">
        <f>IFERROR(__xludf.DUMMYFUNCTION("GOOGLETRANSLATE(B18077,""id"",""en"")"),"['Information', 'Telkomsel', 'sqngat', 'help', 'customers', ""]")</f>
        <v>['Information', 'Telkomsel', 'sqngat', 'help', 'customers', "]</v>
      </c>
      <c r="D18077" s="3">
        <v>5.0</v>
      </c>
    </row>
    <row r="18078" ht="15.75" customHeight="1">
      <c r="A18078" s="1">
        <v>19217.0</v>
      </c>
      <c r="B18078" s="3" t="s">
        <v>17125</v>
      </c>
      <c r="C18078" s="3" t="str">
        <f>IFERROR(__xludf.DUMMYFUNCTION("GOOGLETRANSLATE(B18078,""id"",""en"")"),"['Telkomsel', 'open', 'blank', 'color', 'white']")</f>
        <v>['Telkomsel', 'open', 'blank', 'color', 'white']</v>
      </c>
      <c r="D18078" s="3">
        <v>1.0</v>
      </c>
    </row>
    <row r="18079" ht="15.75" customHeight="1">
      <c r="A18079" s="1">
        <v>19218.0</v>
      </c>
      <c r="B18079" s="3" t="s">
        <v>17126</v>
      </c>
      <c r="C18079" s="3" t="str">
        <f>IFERROR(__xludf.DUMMYFUNCTION("GOOGLETRANSLATE(B18079,""id"",""en"")"),"['Update', 'Latest', 'Open', 'White', 'Screen', '']")</f>
        <v>['Update', 'Latest', 'Open', 'White', 'Screen', '']</v>
      </c>
      <c r="D18079" s="3">
        <v>1.0</v>
      </c>
    </row>
    <row r="18080" ht="15.75" customHeight="1">
      <c r="A18080" s="1">
        <v>19219.0</v>
      </c>
      <c r="B18080" s="3" t="s">
        <v>17127</v>
      </c>
      <c r="C18080" s="3" t="str">
        <f>IFERROR(__xludf.DUMMYFUNCTION("GOOGLETRANSLATE(B18080,""id"",""en"")"),"['easy', 'application']")</f>
        <v>['easy', 'application']</v>
      </c>
      <c r="D18080" s="3">
        <v>5.0</v>
      </c>
    </row>
    <row r="18081" ht="15.75" customHeight="1">
      <c r="A18081" s="1">
        <v>19220.0</v>
      </c>
      <c r="B18081" s="3" t="s">
        <v>17128</v>
      </c>
      <c r="C18081" s="3" t="str">
        <f>IFERROR(__xludf.DUMMYFUNCTION("GOOGLETRANSLATE(B18081,""id"",""en"")"),"['wasteful', 'network', 'internet', 'slow', 'staple', 'Best', 'since' shifting ',' ketelkomsel ',' comfortable ',' card ',' pokonya ',' Telkomsel ',' number ',' its network ',' ']")</f>
        <v>['wasteful', 'network', 'internet', 'slow', 'staple', 'Best', 'since' shifting ',' ketelkomsel ',' comfortable ',' card ',' pokonya ',' Telkomsel ',' number ',' its network ',' ']</v>
      </c>
      <c r="D18081" s="3">
        <v>5.0</v>
      </c>
    </row>
    <row r="18082" ht="15.75" customHeight="1">
      <c r="A18082" s="1">
        <v>19221.0</v>
      </c>
      <c r="B18082" s="3" t="s">
        <v>17129</v>
      </c>
      <c r="C18082" s="3" t="str">
        <f>IFERROR(__xludf.DUMMYFUNCTION("GOOGLETRANSLATE(B18082,""id"",""en"")"),"['Complaints', 'Divert', 'APK', 'Stay', 'Sinyal', 'Fix', 'Class', 'Telkomsel', 'Sinyal', 'Ngak', 'Stable', ""]")</f>
        <v>['Complaints', 'Divert', 'APK', 'Stay', 'Sinyal', 'Fix', 'Class', 'Telkomsel', 'Sinyal', 'Ngak', 'Stable', "]</v>
      </c>
      <c r="D18082" s="3">
        <v>1.0</v>
      </c>
    </row>
    <row r="18083" ht="15.75" customHeight="1">
      <c r="A18083" s="1">
        <v>19222.0</v>
      </c>
      <c r="B18083" s="3" t="s">
        <v>3538</v>
      </c>
      <c r="C18083" s="3" t="str">
        <f>IFERROR(__xludf.DUMMYFUNCTION("GOOGLETRANSLATE(B18083,""id"",""en"")"),"['APK', 'Open', '']")</f>
        <v>['APK', 'Open', '']</v>
      </c>
      <c r="D18083" s="3">
        <v>1.0</v>
      </c>
    </row>
    <row r="18084" ht="15.75" customHeight="1">
      <c r="A18084" s="1">
        <v>19223.0</v>
      </c>
      <c r="B18084" s="3" t="s">
        <v>17130</v>
      </c>
      <c r="C18084" s="3" t="str">
        <f>IFERROR(__xludf.DUMMYFUNCTION("GOOGLETRANSLATE(B18084,""id"",""en"")"),"['Telkomsel', 'expensive', 'Males', 'deh', 'me', 'sat']")</f>
        <v>['Telkomsel', 'expensive', 'Males', 'deh', 'me', 'sat']</v>
      </c>
      <c r="D18084" s="3">
        <v>1.0</v>
      </c>
    </row>
    <row r="18085" ht="15.75" customHeight="1">
      <c r="A18085" s="1">
        <v>19225.0</v>
      </c>
      <c r="B18085" s="3" t="s">
        <v>17131</v>
      </c>
      <c r="C18085" s="3" t="str">
        <f>IFERROR(__xludf.DUMMYFUNCTION("GOOGLETRANSLATE(B18085,""id"",""en"")"),"['Good', 'apk', 'expensive', 'bro', '']")</f>
        <v>['Good', 'apk', 'expensive', 'bro', '']</v>
      </c>
      <c r="D18085" s="3">
        <v>5.0</v>
      </c>
    </row>
    <row r="18086" ht="15.75" customHeight="1">
      <c r="A18086" s="1">
        <v>19226.0</v>
      </c>
      <c r="B18086" s="3" t="s">
        <v>17132</v>
      </c>
      <c r="C18086" s="3" t="str">
        <f>IFERROR(__xludf.DUMMYFUNCTION("GOOGLETRANSLATE(B18086,""id"",""en"")"),"['GMNA', 'Telkomsel', 'Login', 'Strange', 'Telkomsel', 'Cave', 'Riport', 'Telkomsel']")</f>
        <v>['GMNA', 'Telkomsel', 'Login', 'Strange', 'Telkomsel', 'Cave', 'Riport', 'Telkomsel']</v>
      </c>
      <c r="D18086" s="3">
        <v>1.0</v>
      </c>
    </row>
    <row r="18087" ht="15.75" customHeight="1">
      <c r="A18087" s="1">
        <v>19227.0</v>
      </c>
      <c r="B18087" s="3" t="s">
        <v>17133</v>
      </c>
      <c r="C18087" s="3" t="str">
        <f>IFERROR(__xludf.DUMMYFUNCTION("GOOGLETRANSLATE(B18087,""id"",""en"")"),"['open', 'APK']")</f>
        <v>['open', 'APK']</v>
      </c>
      <c r="D18087" s="3">
        <v>1.0</v>
      </c>
    </row>
    <row r="18088" ht="15.75" customHeight="1">
      <c r="A18088" s="1">
        <v>19228.0</v>
      </c>
      <c r="B18088" s="3" t="s">
        <v>17134</v>
      </c>
      <c r="C18088" s="3" t="str">
        <f>IFERROR(__xludf.DUMMYFUNCTION("GOOGLETRANSLATE(B18088,""id"",""en"")"),"['Signal', 'Sometimes', 'Good', 'Weather', 'Overcast', 'Times', ""]")</f>
        <v>['Signal', 'Sometimes', 'Good', 'Weather', 'Overcast', 'Times', "]</v>
      </c>
      <c r="D18088" s="3">
        <v>5.0</v>
      </c>
    </row>
    <row r="18089" ht="15.75" customHeight="1">
      <c r="A18089" s="1">
        <v>19229.0</v>
      </c>
      <c r="B18089" s="3" t="s">
        <v>17135</v>
      </c>
      <c r="C18089" s="3" t="str">
        <f>IFERROR(__xludf.DUMMYFUNCTION("GOOGLETRANSLATE(B18089,""id"",""en"")"),"['Method', 'payment']")</f>
        <v>['Method', 'payment']</v>
      </c>
      <c r="D18089" s="3">
        <v>1.0</v>
      </c>
    </row>
    <row r="18090" ht="15.75" customHeight="1">
      <c r="A18090" s="1">
        <v>19230.0</v>
      </c>
      <c r="B18090" s="3" t="s">
        <v>17136</v>
      </c>
      <c r="C18090" s="3" t="str">
        <f>IFERROR(__xludf.DUMMYFUNCTION("GOOGLETRANSLATE(B18090,""id"",""en"")"),"['Woy', 'application', 'open', 'already', 'times', 'download']")</f>
        <v>['Woy', 'application', 'open', 'already', 'times', 'download']</v>
      </c>
      <c r="D18090" s="3">
        <v>3.0</v>
      </c>
    </row>
    <row r="18091" ht="15.75" customHeight="1">
      <c r="A18091" s="1">
        <v>19231.0</v>
      </c>
      <c r="B18091" s="3" t="s">
        <v>17137</v>
      </c>
      <c r="C18091" s="3" t="str">
        <f>IFERROR(__xludf.DUMMYFUNCTION("GOOGLETRANSLATE(B18091,""id"",""en"")"),"['The app', 'NGK', 'Open', '']")</f>
        <v>['The app', 'NGK', 'Open', '']</v>
      </c>
      <c r="D18091" s="3">
        <v>1.0</v>
      </c>
    </row>
    <row r="18092" ht="15.75" customHeight="1">
      <c r="A18092" s="1">
        <v>19232.0</v>
      </c>
      <c r="B18092" s="3" t="s">
        <v>17138</v>
      </c>
      <c r="C18092" s="3" t="str">
        <f>IFERROR(__xludf.DUMMYFUNCTION("GOOGLETRANSLATE(B18092,""id"",""en"")"),"['Telkomsel', 'as good', 'ugly', 'bngt', 'cost', 'abis',' times', 'employee', 'etc.', 'good', 'youtube', 'doang', ' More ',' browser ',' game ',' etc. ',' rating ',' ugly ',' sorry ',' emng ',' deposited ',' customer ']")</f>
        <v>['Telkomsel', 'as good', 'ugly', 'bngt', 'cost', 'abis',' times', 'employee', 'etc.', 'good', 'youtube', 'doang', ' More ',' browser ',' game ',' etc. ',' rating ',' ugly ',' sorry ',' emng ',' deposited ',' customer ']</v>
      </c>
      <c r="D18092" s="3">
        <v>1.0</v>
      </c>
    </row>
    <row r="18093" ht="15.75" customHeight="1">
      <c r="A18093" s="1">
        <v>19233.0</v>
      </c>
      <c r="B18093" s="3" t="s">
        <v>17139</v>
      </c>
      <c r="C18093" s="3" t="str">
        <f>IFERROR(__xludf.DUMMYFUNCTION("GOOGLETRANSLATE(B18093,""id"",""en"")"),"['good', 'package', 'cheap']")</f>
        <v>['good', 'package', 'cheap']</v>
      </c>
      <c r="D18093" s="3">
        <v>5.0</v>
      </c>
    </row>
    <row r="18094" ht="15.75" customHeight="1">
      <c r="A18094" s="1">
        <v>19234.0</v>
      </c>
      <c r="B18094" s="3" t="s">
        <v>1233</v>
      </c>
      <c r="C18094" s="3" t="str">
        <f>IFERROR(__xludf.DUMMYFUNCTION("GOOGLETRANSLATE(B18094,""id"",""en"")"),"['Satisfying', 'Wear', 'Telkomsel']")</f>
        <v>['Satisfying', 'Wear', 'Telkomsel']</v>
      </c>
      <c r="D18094" s="3">
        <v>5.0</v>
      </c>
    </row>
    <row r="18095" ht="15.75" customHeight="1">
      <c r="A18095" s="1">
        <v>19235.0</v>
      </c>
      <c r="B18095" s="3" t="s">
        <v>17140</v>
      </c>
      <c r="C18095" s="3" t="str">
        <f>IFERROR(__xludf.DUMMYFUNCTION("GOOGLETRANSLATE(B18095,""id"",""en"")"),"['The application', 'okay', 'no', 'quota', 'fast', 'really', 'abis',' gapernah ',' abis', 'aspet', 'driven', 'briefly', ' Make ',' sosmed ',' briefly ',' abis', 'udh', 'MB', 'already', 'try', 'restart', 'factory', 'delete', 'file', 'fear' , 'Virus',' that"&amp;"'s', 'Nariknya', 'Gede', 'really', 'please', 'checked', 'repaired','A ']")</f>
        <v>['The application', 'okay', 'no', 'quota', 'fast', 'really', 'abis',' gapernah ',' abis', 'aspet', 'driven', 'briefly', ' Make ',' sosmed ',' briefly ',' abis', 'udh', 'MB', 'already', 'try', 'restart', 'factory', 'delete', 'file', 'fear' , 'Virus',' that's', 'Nariknya', 'Gede', 'really', 'please', 'checked', 'repaired','A ']</v>
      </c>
      <c r="D18095" s="3">
        <v>3.0</v>
      </c>
    </row>
    <row r="18096" ht="15.75" customHeight="1">
      <c r="A18096" s="1">
        <v>19236.0</v>
      </c>
      <c r="B18096" s="3" t="s">
        <v>17141</v>
      </c>
      <c r="C18096" s="3" t="str">
        <f>IFERROR(__xludf.DUMMYFUNCTION("GOOGLETRANSLATE(B18096,""id"",""en"")"),"['APK', 'Open', 'White', 'Screen']")</f>
        <v>['APK', 'Open', 'White', 'Screen']</v>
      </c>
      <c r="D18096" s="3">
        <v>1.0</v>
      </c>
    </row>
    <row r="18097" ht="15.75" customHeight="1">
      <c r="A18097" s="1">
        <v>19237.0</v>
      </c>
      <c r="B18097" s="3" t="s">
        <v>17142</v>
      </c>
      <c r="C18097" s="3" t="str">
        <f>IFERROR(__xludf.DUMMYFUNCTION("GOOGLETRANSLATE(B18097,""id"",""en"")"),"['Lumyan', 'help']")</f>
        <v>['Lumyan', 'help']</v>
      </c>
      <c r="D18097" s="3">
        <v>4.0</v>
      </c>
    </row>
    <row r="18098" ht="15.75" customHeight="1">
      <c r="A18098" s="1">
        <v>19238.0</v>
      </c>
      <c r="B18098" s="3" t="s">
        <v>17143</v>
      </c>
      <c r="C18098" s="3" t="str">
        <f>IFERROR(__xludf.DUMMYFUNCTION("GOOGLETRANSLATE(B18098,""id"",""en"")"),"['Good', 'AFK', 'Thank', 'Love', 'AFK', 'Telkomsel']")</f>
        <v>['Good', 'AFK', 'Thank', 'Love', 'AFK', 'Telkomsel']</v>
      </c>
      <c r="D18098" s="3">
        <v>5.0</v>
      </c>
    </row>
    <row r="18099" ht="15.75" customHeight="1">
      <c r="A18099" s="1">
        <v>19239.0</v>
      </c>
      <c r="B18099" s="3" t="s">
        <v>17144</v>
      </c>
      <c r="C18099" s="3" t="str">
        <f>IFERROR(__xludf.DUMMYFUNCTION("GOOGLETRANSLATE(B18099,""id"",""en"")"),"['Telkomsel', 'NOT', 'improved', 'price', 'expensive', 'severe', 'bad', 'disappointed', 'Telkomsel', 'choose', 'Telkomsel', ""]")</f>
        <v>['Telkomsel', 'NOT', 'improved', 'price', 'expensive', 'severe', 'bad', 'disappointed', 'Telkomsel', 'choose', 'Telkomsel', "]</v>
      </c>
      <c r="D18099" s="3">
        <v>1.0</v>
      </c>
    </row>
    <row r="18100" ht="15.75" customHeight="1">
      <c r="A18100" s="1">
        <v>19240.0</v>
      </c>
      <c r="B18100" s="3" t="s">
        <v>17145</v>
      </c>
      <c r="C18100" s="3" t="str">
        <f>IFERROR(__xludf.DUMMYFUNCTION("GOOGLETRANSLATE(B18100,""id"",""en"")"),"['Terbimah', 'love', 'work', 'weapon', 'consumer', 'quality', 'network', 'enhanced']")</f>
        <v>['Terbimah', 'love', 'work', 'weapon', 'consumer', 'quality', 'network', 'enhanced']</v>
      </c>
      <c r="D18100" s="3">
        <v>5.0</v>
      </c>
    </row>
    <row r="18101" ht="15.75" customHeight="1">
      <c r="A18101" s="1">
        <v>19241.0</v>
      </c>
      <c r="B18101" s="3" t="s">
        <v>17146</v>
      </c>
      <c r="C18101" s="3" t="str">
        <f>IFERROR(__xludf.DUMMYFUNCTION("GOOGLETRANSLATE(B18101,""id"",""en"")"),"['mantappppp', 'good']")</f>
        <v>['mantappppp', 'good']</v>
      </c>
      <c r="D18101" s="3">
        <v>5.0</v>
      </c>
    </row>
    <row r="18102" ht="15.75" customHeight="1">
      <c r="A18102" s="1">
        <v>19242.0</v>
      </c>
      <c r="B18102" s="3" t="s">
        <v>17147</v>
      </c>
      <c r="C18102" s="3" t="str">
        <f>IFERROR(__xludf.DUMMYFUNCTION("GOOGLETRANSLATE(B18102,""id"",""en"")"),"['Yesterday', 'resetted', 'then', 'download', 'Telkomsel', 'then', 'no', 'entry', 'apk', 'error']")</f>
        <v>['Yesterday', 'resetted', 'then', 'download', 'Telkomsel', 'then', 'no', 'entry', 'apk', 'error']</v>
      </c>
      <c r="D18102" s="3">
        <v>2.0</v>
      </c>
    </row>
    <row r="18103" ht="15.75" customHeight="1">
      <c r="A18103" s="1">
        <v>19243.0</v>
      </c>
      <c r="B18103" s="3" t="s">
        <v>8490</v>
      </c>
      <c r="C18103" s="3" t="str">
        <f>IFERROR(__xludf.DUMMYFUNCTION("GOOGLETRANSLATE(B18103,""id"",""en"")"),"['Good', 'makes it easy']")</f>
        <v>['Good', 'makes it easy']</v>
      </c>
      <c r="D18103" s="3">
        <v>5.0</v>
      </c>
    </row>
    <row r="18104" ht="15.75" customHeight="1">
      <c r="A18104" s="1">
        <v>19244.0</v>
      </c>
      <c r="B18104" s="3" t="s">
        <v>17148</v>
      </c>
      <c r="C18104" s="3" t="str">
        <f>IFERROR(__xludf.DUMMYFUNCTION("GOOGLETRANSLATE(B18104,""id"",""en"")"),"['Please', 'Increase', 'Price', 'Internet', 'Cheap', 'Giga', 'Baet', 'Krana', 'Price', 'Package', 'Internet', 'Telkomsel', ' expensive ',' giga ',' baet ',' thank ',' love ',' Telkomsel ',' improvement ',' package ',' internet ',' Telkomsel ',' forward ',"&amp;"' thank ',' love ' , 'Telkomsel', '']")</f>
        <v>['Please', 'Increase', 'Price', 'Internet', 'Cheap', 'Giga', 'Baet', 'Krana', 'Price', 'Package', 'Internet', 'Telkomsel', ' expensive ',' giga ',' baet ',' thank ',' love ',' Telkomsel ',' improvement ',' package ',' internet ',' Telkomsel ',' forward ',' thank ',' love ' , 'Telkomsel', '']</v>
      </c>
      <c r="D18104" s="3">
        <v>3.0</v>
      </c>
    </row>
    <row r="18105" ht="15.75" customHeight="1">
      <c r="A18105" s="1">
        <v>19245.0</v>
      </c>
      <c r="B18105" s="3" t="s">
        <v>17149</v>
      </c>
      <c r="C18105" s="3" t="str">
        <f>IFERROR(__xludf.DUMMYFUNCTION("GOOGLETRANSLATE(B18105,""id"",""en"")"),"['', 'Telkomsel', 'Open', 'The application', 'ngebleng']")</f>
        <v>['', 'Telkomsel', 'Open', 'The application', 'ngebleng']</v>
      </c>
      <c r="D18105" s="3">
        <v>5.0</v>
      </c>
    </row>
    <row r="18106" ht="15.75" customHeight="1">
      <c r="A18106" s="1">
        <v>19246.0</v>
      </c>
      <c r="B18106" s="3" t="s">
        <v>17150</v>
      </c>
      <c r="C18106" s="3" t="str">
        <f>IFERROR(__xludf.DUMMYFUNCTION("GOOGLETRANSLATE(B18106,""id"",""en"")"),"['Cool', 'Application', 'Telkomsel']")</f>
        <v>['Cool', 'Application', 'Telkomsel']</v>
      </c>
      <c r="D18106" s="3">
        <v>5.0</v>
      </c>
    </row>
    <row r="18107" ht="15.75" customHeight="1">
      <c r="A18107" s="1">
        <v>19247.0</v>
      </c>
      <c r="B18107" s="3" t="s">
        <v>17151</v>
      </c>
      <c r="C18107" s="3" t="str">
        <f>IFERROR(__xludf.DUMMYFUNCTION("GOOGLETRANSLATE(B18107,""id"",""en"")"),"['App', 'already', 'some', 'no', 'bus', 'open', 'please', 'action']")</f>
        <v>['App', 'already', 'some', 'no', 'bus', 'open', 'please', 'action']</v>
      </c>
      <c r="D18107" s="3">
        <v>1.0</v>
      </c>
    </row>
    <row r="18108" ht="15.75" customHeight="1">
      <c r="A18108" s="1">
        <v>19248.0</v>
      </c>
      <c r="B18108" s="3" t="s">
        <v>17152</v>
      </c>
      <c r="C18108" s="3" t="str">
        <f>IFERROR(__xludf.DUMMYFUNCTION("GOOGLETRANSLATE(B18108,""id"",""en"")"),"['', 'Open', 'Please', 'instructions', 'admin']")</f>
        <v>['', 'Open', 'Please', 'instructions', 'admin']</v>
      </c>
      <c r="D18108" s="3">
        <v>5.0</v>
      </c>
    </row>
    <row r="18109" ht="15.75" customHeight="1">
      <c r="A18109" s="1">
        <v>19249.0</v>
      </c>
      <c r="B18109" s="3" t="s">
        <v>17153</v>
      </c>
      <c r="C18109" s="3" t="str">
        <f>IFERROR(__xludf.DUMMYFUNCTION("GOOGLETRANSLATE(B18109,""id"",""en"")"),"['Come', 'ugly', 'signal', 'Telkomsel']")</f>
        <v>['Come', 'ugly', 'signal', 'Telkomsel']</v>
      </c>
      <c r="D18109" s="3">
        <v>4.0</v>
      </c>
    </row>
    <row r="18110" ht="15.75" customHeight="1">
      <c r="A18110" s="1">
        <v>19250.0</v>
      </c>
      <c r="B18110" s="3" t="s">
        <v>17154</v>
      </c>
      <c r="C18110" s="3" t="str">
        <f>IFERROR(__xludf.DUMMYFUNCTION("GOOGLETRANSLATE(B18110,""id"",""en"")"),"['Uninstall', 'Install', 'Many', 'Open', 'APL', 'Screen', 'White', 'appears', 'solution', ""]")</f>
        <v>['Uninstall', 'Install', 'Many', 'Open', 'APL', 'Screen', 'White', 'appears', 'solution', "]</v>
      </c>
      <c r="D18110" s="3">
        <v>1.0</v>
      </c>
    </row>
    <row r="18111" ht="15.75" customHeight="1">
      <c r="A18111" s="1">
        <v>19251.0</v>
      </c>
      <c r="B18111" s="3" t="s">
        <v>17155</v>
      </c>
      <c r="C18111" s="3" t="str">
        <f>IFERROR(__xludf.DUMMYFUNCTION("GOOGLETRANSLATE(B18111,""id"",""en"")"),"['update', 'application', 'open', 'disappointing']")</f>
        <v>['update', 'application', 'open', 'disappointing']</v>
      </c>
      <c r="D18111" s="3">
        <v>1.0</v>
      </c>
    </row>
    <row r="18112" ht="15.75" customHeight="1">
      <c r="A18112" s="1">
        <v>19252.0</v>
      </c>
      <c r="B18112" s="3" t="s">
        <v>1310</v>
      </c>
      <c r="C18112" s="3" t="str">
        <f>IFERROR(__xludf.DUMMYFUNCTION("GOOGLETRANSLATE(B18112,""id"",""en"")"),"['Open', 'the application']")</f>
        <v>['Open', 'the application']</v>
      </c>
      <c r="D18112" s="3">
        <v>5.0</v>
      </c>
    </row>
    <row r="18113" ht="15.75" customHeight="1">
      <c r="A18113" s="1">
        <v>19253.0</v>
      </c>
      <c r="B18113" s="3" t="s">
        <v>17156</v>
      </c>
      <c r="C18113" s="3" t="str">
        <f>IFERROR(__xludf.DUMMYFUNCTION("GOOGLETRANSLATE(B18113,""id"",""en"")"),"['constraints', 'signal', 'missing', 'emang', 'signal', 'corrupted', 'wth', 'indonesia']")</f>
        <v>['constraints', 'signal', 'missing', 'emang', 'signal', 'corrupted', 'wth', 'indonesia']</v>
      </c>
      <c r="D18113" s="3">
        <v>1.0</v>
      </c>
    </row>
    <row r="18114" ht="15.75" customHeight="1">
      <c r="A18114" s="1">
        <v>19254.0</v>
      </c>
      <c r="B18114" s="3" t="s">
        <v>17157</v>
      </c>
      <c r="C18114" s="3" t="str">
        <f>IFERROR(__xludf.DUMMYFUNCTION("GOOGLETRANSLATE(B18114,""id"",""en"")"),"['price', 'package', 'expensive', 'network', 'ilang', 'ilang', ""]")</f>
        <v>['price', 'package', 'expensive', 'network', 'ilang', 'ilang', "]</v>
      </c>
      <c r="D18114" s="3">
        <v>4.0</v>
      </c>
    </row>
    <row r="18115" ht="15.75" customHeight="1">
      <c r="A18115" s="1">
        <v>19255.0</v>
      </c>
      <c r="B18115" s="3" t="s">
        <v>17158</v>
      </c>
      <c r="C18115" s="3" t="str">
        <f>IFERROR(__xludf.DUMMYFUNCTION("GOOGLETRANSLATE(B18115,""id"",""en"")"),"['Open', 'application', 'like', 'appears', '']")</f>
        <v>['Open', 'application', 'like', 'appears', '']</v>
      </c>
      <c r="D18115" s="3">
        <v>4.0</v>
      </c>
    </row>
    <row r="18116" ht="15.75" customHeight="1">
      <c r="A18116" s="1">
        <v>19256.0</v>
      </c>
      <c r="B18116" s="3" t="s">
        <v>17159</v>
      </c>
      <c r="C18116" s="3" t="str">
        <f>IFERROR(__xludf.DUMMYFUNCTION("GOOGLETRANSLATE(B18116,""id"",""en"")"),"['Alhamdulillah', 'use', 'Telkomsel', 'signal', 'good', 'communication', 'smooth', 'easy', 'buy', 'package', 'data', 'package', ' TLFN ',' App ',' Telkomsel ',' Thank you ',' Telkomsel ']")</f>
        <v>['Alhamdulillah', 'use', 'Telkomsel', 'signal', 'good', 'communication', 'smooth', 'easy', 'buy', 'package', 'data', 'package', ' TLFN ',' App ',' Telkomsel ',' Thank you ',' Telkomsel ']</v>
      </c>
      <c r="D18116" s="3">
        <v>5.0</v>
      </c>
    </row>
    <row r="18117" ht="15.75" customHeight="1">
      <c r="A18117" s="1">
        <v>19257.0</v>
      </c>
      <c r="B18117" s="3" t="s">
        <v>17160</v>
      </c>
      <c r="C18117" s="3" t="str">
        <f>IFERROR(__xludf.DUMMYFUNCTION("GOOGLETRANSLATE(B18117,""id"",""en"")"),"['Increases', 'Bonus', 'Telkomsel', '']")</f>
        <v>['Increases', 'Bonus', 'Telkomsel', '']</v>
      </c>
      <c r="D18117" s="3">
        <v>5.0</v>
      </c>
    </row>
    <row r="18118" ht="15.75" customHeight="1">
      <c r="A18118" s="1">
        <v>19258.0</v>
      </c>
      <c r="B18118" s="3" t="s">
        <v>17161</v>
      </c>
      <c r="C18118" s="3" t="str">
        <f>IFERROR(__xludf.DUMMYFUNCTION("GOOGLETRANSLATE(B18118,""id"",""en"")"),"['Update', 'APK', 'Nga', 'Open', 'Embossed', 'Color', 'White', ""]")</f>
        <v>['Update', 'APK', 'Nga', 'Open', 'Embossed', 'Color', 'White', "]</v>
      </c>
      <c r="D18118" s="3">
        <v>1.0</v>
      </c>
    </row>
    <row r="18119" ht="15.75" customHeight="1">
      <c r="A18119" s="1">
        <v>19259.0</v>
      </c>
      <c r="B18119" s="3" t="s">
        <v>17162</v>
      </c>
      <c r="C18119" s="3" t="str">
        <f>IFERROR(__xludf.DUMMYFUNCTION("GOOGLETRANSLATE(B18119,""id"",""en"")"),"['signal', 'slow', 'why', 'love', 'star', 'so far', 'thank you', 'tekomel', 'lemooottt', '']")</f>
        <v>['signal', 'slow', 'why', 'love', 'star', 'so far', 'thank you', 'tekomel', 'lemooottt', '']</v>
      </c>
      <c r="D18119" s="3">
        <v>1.0</v>
      </c>
    </row>
    <row r="18120" ht="15.75" customHeight="1">
      <c r="A18120" s="1">
        <v>19260.0</v>
      </c>
      <c r="B18120" s="3" t="s">
        <v>17163</v>
      </c>
      <c r="C18120" s="3" t="str">
        <f>IFERROR(__xludf.DUMMYFUNCTION("GOOGLETRANSLATE(B18120,""id"",""en"")"),"['Useful', 'service', 'interner']")</f>
        <v>['Useful', 'service', 'interner']</v>
      </c>
      <c r="D18120" s="3">
        <v>4.0</v>
      </c>
    </row>
    <row r="18121" ht="15.75" customHeight="1">
      <c r="A18121" s="1">
        <v>19261.0</v>
      </c>
      <c r="B18121" s="3" t="s">
        <v>17164</v>
      </c>
      <c r="C18121" s="3" t="str">
        <f>IFERROR(__xludf.DUMMYFUNCTION("GOOGLETRANSLATE(B18121,""id"",""en"")"),"['Linda', 'Yonsari', 'Oktarina', 'Where', 'You', 'Friend', 'Middle', 'YPP', 'Complex', 'Pertamina', 'Bukit', 'Datuk', ' Dumai ',' Ridar ']")</f>
        <v>['Linda', 'Yonsari', 'Oktarina', 'Where', 'You', 'Friend', 'Middle', 'YPP', 'Complex', 'Pertamina', 'Bukit', 'Datuk', ' Dumai ',' Ridar ']</v>
      </c>
      <c r="D18121" s="3">
        <v>5.0</v>
      </c>
    </row>
    <row r="18122" ht="15.75" customHeight="1">
      <c r="A18122" s="1">
        <v>19262.0</v>
      </c>
      <c r="B18122" s="3" t="s">
        <v>17165</v>
      </c>
      <c r="C18122" s="3" t="str">
        <f>IFERROR(__xludf.DUMMYFUNCTION("GOOGLETRANSLATE(B18122,""id"",""en"")"),"['Update', 'screen', 'white', 'menu', 'main', 'screen', 'smooth', 'obstacle', 'good', 'vivo', 'use', 'Please', ' Help ',' Team ',' MyTelkomsel ',' fix ',' bug ',' unsinstall ',' install ',' restart ', ""]")</f>
        <v>['Update', 'screen', 'white', 'menu', 'main', 'screen', 'smooth', 'obstacle', 'good', 'vivo', 'use', 'Please', ' Help ',' Team ',' MyTelkomsel ',' fix ',' bug ',' unsinstall ',' install ',' restart ', "]</v>
      </c>
      <c r="D18122" s="3">
        <v>4.0</v>
      </c>
    </row>
    <row r="18123" ht="15.75" customHeight="1">
      <c r="A18123" s="1">
        <v>19264.0</v>
      </c>
      <c r="B18123" s="3" t="s">
        <v>651</v>
      </c>
      <c r="C18123" s="3" t="str">
        <f>IFERROR(__xludf.DUMMYFUNCTION("GOOGLETRANSLATE(B18123,""id"",""en"")"),"['Network', 'stable']")</f>
        <v>['Network', 'stable']</v>
      </c>
      <c r="D18123" s="3">
        <v>2.0</v>
      </c>
    </row>
    <row r="18124" ht="15.75" customHeight="1">
      <c r="A18124" s="1">
        <v>19265.0</v>
      </c>
      <c r="B18124" s="3" t="s">
        <v>17166</v>
      </c>
      <c r="C18124" s="3" t="str">
        <f>IFERROR(__xludf.DUMMYFUNCTION("GOOGLETRANSLATE(B18124,""id"",""en"")"),"['Function', '']")</f>
        <v>['Function', '']</v>
      </c>
      <c r="D18124" s="3">
        <v>5.0</v>
      </c>
    </row>
    <row r="18125" ht="15.75" customHeight="1">
      <c r="A18125" s="1">
        <v>19266.0</v>
      </c>
      <c r="B18125" s="3" t="s">
        <v>17167</v>
      </c>
      <c r="C18125" s="3" t="str">
        <f>IFERROR(__xludf.DUMMYFUNCTION("GOOGLETRANSLATE(B18125,""id"",""en"")"),"['use', 'Telkomsel', 'it seems',' slow ',' really ',' buy ',' pulse ',' entry ',' white ',' screen ',' tlg ',' increase ',' Services', 'believe', 'application', 'thank', 'love']")</f>
        <v>['use', 'Telkomsel', 'it seems',' slow ',' really ',' buy ',' pulse ',' entry ',' white ',' screen ',' tlg ',' increase ',' Services', 'believe', 'application', 'thank', 'love']</v>
      </c>
      <c r="D18125" s="3">
        <v>1.0</v>
      </c>
    </row>
    <row r="18126" ht="15.75" customHeight="1">
      <c r="A18126" s="1">
        <v>19267.0</v>
      </c>
      <c r="B18126" s="3" t="s">
        <v>31</v>
      </c>
      <c r="C18126" s="3" t="str">
        <f>IFERROR(__xludf.DUMMYFUNCTION("GOOGLETRANSLATE(B18126,""id"",""en"")"),"['Application', 'Open', '']")</f>
        <v>['Application', 'Open', '']</v>
      </c>
      <c r="D18126" s="3">
        <v>5.0</v>
      </c>
    </row>
    <row r="18127" ht="15.75" customHeight="1">
      <c r="A18127" s="1">
        <v>19269.0</v>
      </c>
      <c r="B18127" s="3" t="s">
        <v>17168</v>
      </c>
      <c r="C18127" s="3" t="str">
        <f>IFERROR(__xludf.DUMMYFUNCTION("GOOGLETRANSLATE(B18127,""id"",""en"")"),"['Application', 'Ngeblank', 'Please', 'Fix', 'Uninstall', 'Install', 'reset', 'blank']")</f>
        <v>['Application', 'Ngeblank', 'Please', 'Fix', 'Uninstall', 'Install', 'reset', 'blank']</v>
      </c>
      <c r="D18127" s="3">
        <v>2.0</v>
      </c>
    </row>
    <row r="18128" ht="15.75" customHeight="1">
      <c r="A18128" s="1">
        <v>19270.0</v>
      </c>
      <c r="B18128" s="3" t="s">
        <v>17169</v>
      </c>
      <c r="C18128" s="3" t="str">
        <f>IFERROR(__xludf.DUMMYFUNCTION("GOOGLETRANSLATE(B18128,""id"",""en"")"),"['Membtntu']")</f>
        <v>['Membtntu']</v>
      </c>
      <c r="D18128" s="3">
        <v>5.0</v>
      </c>
    </row>
    <row r="18129" ht="15.75" customHeight="1">
      <c r="A18129" s="1">
        <v>19271.0</v>
      </c>
      <c r="B18129" s="3" t="s">
        <v>17170</v>
      </c>
      <c r="C18129" s="3" t="str">
        <f>IFERROR(__xludf.DUMMYFUNCTION("GOOGLETRANSLATE(B18129,""id"",""en"")"),"['', 'strange', 'KNPA', 'quota', 'multimedia', 'loss', 'UDH', 'fill', ""]")</f>
        <v>['', 'strange', 'KNPA', 'quota', 'multimedia', 'loss', 'UDH', 'fill', "]</v>
      </c>
      <c r="D18129" s="3">
        <v>3.0</v>
      </c>
    </row>
    <row r="18130" ht="15.75" customHeight="1">
      <c r="A18130" s="1">
        <v>19272.0</v>
      </c>
      <c r="B18130" s="3" t="s">
        <v>17171</v>
      </c>
      <c r="C18130" s="3" t="str">
        <f>IFERROR(__xludf.DUMMYFUNCTION("GOOGLETRANSLATE(B18130,""id"",""en"")"),"['Makasi', 'quota', 'cheap']")</f>
        <v>['Makasi', 'quota', 'cheap']</v>
      </c>
      <c r="D18130" s="3">
        <v>5.0</v>
      </c>
    </row>
    <row r="18131" ht="15.75" customHeight="1">
      <c r="A18131" s="1">
        <v>19273.0</v>
      </c>
      <c r="B18131" s="3" t="s">
        <v>17172</v>
      </c>
      <c r="C18131" s="3" t="str">
        <f>IFERROR(__xludf.DUMMYFUNCTION("GOOGLETRANSLATE(B18131,""id"",""en"")"),"['Steady', 'APK', '']")</f>
        <v>['Steady', 'APK', '']</v>
      </c>
      <c r="D18131" s="3">
        <v>5.0</v>
      </c>
    </row>
    <row r="18132" ht="15.75" customHeight="1">
      <c r="A18132" s="1">
        <v>19274.0</v>
      </c>
      <c r="B18132" s="3" t="s">
        <v>17173</v>
      </c>
      <c r="C18132" s="3" t="str">
        <f>IFERROR(__xludf.DUMMYFUNCTION("GOOGLETRANSLATE(B18132,""id"",""en"")"),"['Price', 'Different', 'APK', 'friend']")</f>
        <v>['Price', 'Different', 'APK', 'friend']</v>
      </c>
      <c r="D18132" s="3">
        <v>1.0</v>
      </c>
    </row>
    <row r="18133" ht="15.75" customHeight="1">
      <c r="A18133" s="1">
        <v>19275.0</v>
      </c>
      <c r="B18133" s="3" t="s">
        <v>17174</v>
      </c>
      <c r="C18133" s="3" t="str">
        <f>IFERROR(__xludf.DUMMYFUNCTION("GOOGLETRANSLATE(B18133,""id"",""en"")"),"['Simple', 'complete', 'information']")</f>
        <v>['Simple', 'complete', 'information']</v>
      </c>
      <c r="D18133" s="3">
        <v>5.0</v>
      </c>
    </row>
    <row r="18134" ht="15.75" customHeight="1">
      <c r="A18134" s="1">
        <v>19276.0</v>
      </c>
      <c r="B18134" s="3" t="s">
        <v>17175</v>
      </c>
      <c r="C18134" s="3" t="str">
        <f>IFERROR(__xludf.DUMMYFUNCTION("GOOGLETRANSLATE(B18134,""id"",""en"")"),"['Appatification', 'Cool']")</f>
        <v>['Appatification', 'Cool']</v>
      </c>
      <c r="D18134" s="3">
        <v>5.0</v>
      </c>
    </row>
    <row r="18135" ht="15.75" customHeight="1">
      <c r="A18135" s="1">
        <v>19277.0</v>
      </c>
      <c r="B18135" s="3" t="s">
        <v>17176</v>
      </c>
      <c r="C18135" s="3" t="str">
        <f>IFERROR(__xludf.DUMMYFUNCTION("GOOGLETRANSLATE(B18135,""id"",""en"")"),"['', 'BSA', 'entry', 'application', 'trlkomsel', 'update', 'smooth', '']")</f>
        <v>['', 'BSA', 'entry', 'application', 'trlkomsel', 'update', 'smooth', '']</v>
      </c>
      <c r="D18135" s="3">
        <v>3.0</v>
      </c>
    </row>
    <row r="18136" ht="15.75" customHeight="1">
      <c r="A18136" s="1">
        <v>19278.0</v>
      </c>
      <c r="B18136" s="3" t="s">
        <v>17177</v>
      </c>
      <c r="C18136" s="3" t="str">
        <f>IFERROR(__xludf.DUMMYFUNCTION("GOOGLETRANSLATE(B18136,""id"",""en"")"),"['easy', 'TPI', 'Network', 'Good']")</f>
        <v>['easy', 'TPI', 'Network', 'Good']</v>
      </c>
      <c r="D18136" s="3">
        <v>3.0</v>
      </c>
    </row>
    <row r="18137" ht="15.75" customHeight="1">
      <c r="A18137" s="1">
        <v>19279.0</v>
      </c>
      <c r="B18137" s="3" t="s">
        <v>17178</v>
      </c>
      <c r="C18137" s="3" t="str">
        <f>IFERROR(__xludf.DUMMYFUNCTION("GOOGLETRANSLATE(B18137,""id"",""en"")"),"['Sis',' how ',' updated ',' Telkomsel ',' screen ',' white ',' enter ',' Apikasi ',' please ',' repaired ',' Udh ',' buy ',' Credit ',' Kepake ', ""]")</f>
        <v>['Sis',' how ',' updated ',' Telkomsel ',' screen ',' white ',' enter ',' Apikasi ',' please ',' repaired ',' Udh ',' buy ',' Credit ',' Kepake ', "]</v>
      </c>
      <c r="D18137" s="3">
        <v>1.0</v>
      </c>
    </row>
    <row r="18138" ht="15.75" customHeight="1">
      <c r="A18138" s="1">
        <v>19280.0</v>
      </c>
      <c r="B18138" s="3" t="s">
        <v>2127</v>
      </c>
      <c r="C18138" s="3" t="str">
        <f>IFERROR(__xludf.DUMMYFUNCTION("GOOGLETRANSLATE(B18138,""id"",""en"")"),"['easy']")</f>
        <v>['easy']</v>
      </c>
      <c r="D18138" s="3">
        <v>5.0</v>
      </c>
    </row>
    <row r="18139" ht="15.75" customHeight="1">
      <c r="A18139" s="1">
        <v>19281.0</v>
      </c>
      <c r="B18139" s="3" t="s">
        <v>17179</v>
      </c>
      <c r="C18139" s="3" t="str">
        <f>IFERROR(__xludf.DUMMYFUNCTION("GOOGLETRANSLATE(B18139,""id"",""en"")"),"['Cool', 'expensive', '']")</f>
        <v>['Cool', 'expensive', '']</v>
      </c>
      <c r="D18139" s="3">
        <v>5.0</v>
      </c>
    </row>
    <row r="18140" ht="15.75" customHeight="1">
      <c r="A18140" s="1">
        <v>19282.0</v>
      </c>
      <c r="B18140" s="3" t="s">
        <v>17180</v>
      </c>
      <c r="C18140" s="3" t="str">
        <f>IFERROR(__xludf.DUMMYFUNCTION("GOOGLETRANSLATE(B18140,""id"",""en"")"),"['hope', 'go bankrupt', 'aamiin']")</f>
        <v>['hope', 'go bankrupt', 'aamiin']</v>
      </c>
      <c r="D18140" s="3">
        <v>1.0</v>
      </c>
    </row>
    <row r="18141" ht="15.75" customHeight="1">
      <c r="A18141" s="1">
        <v>19283.0</v>
      </c>
      <c r="B18141" s="3" t="s">
        <v>6832</v>
      </c>
      <c r="C18141" s="3" t="str">
        <f>IFERROR(__xludf.DUMMYFUNCTION("GOOGLETRANSLATE(B18141,""id"",""en"")"),"['best service']")</f>
        <v>['best service']</v>
      </c>
      <c r="D18141" s="3">
        <v>5.0</v>
      </c>
    </row>
    <row r="18142" ht="15.75" customHeight="1">
      <c r="A18142" s="1">
        <v>19285.0</v>
      </c>
      <c r="B18142" s="3" t="s">
        <v>17181</v>
      </c>
      <c r="C18142" s="3" t="str">
        <f>IFERROR(__xludf.DUMMYFUNCTION("GOOGLETRANSLATE(B18142,""id"",""en"")"),"['application', 'ngebleng', 'picture', 'white', 'doang', 'please', 'fast', 'fix', 'fill', 'quota', 'direct', 'application', ' Telkomsel ',' Karna ',' quota ',' extra ',' delete ',' quota ',' main ',' contents', 'quota', 'no', 'please', 'fast', 'fix' , 'Th"&amp;"e application', 'ngebleng', 'picture', 'white', 'doang', 'aduhhhhhhh', 'please', 'fast', 'repair', '']")</f>
        <v>['application', 'ngebleng', 'picture', 'white', 'doang', 'please', 'fast', 'fix', 'fill', 'quota', 'direct', 'application', ' Telkomsel ',' Karna ',' quota ',' extra ',' delete ',' quota ',' main ',' contents', 'quota', 'no', 'please', 'fast', 'fix' , 'The application', 'ngebleng', 'picture', 'white', 'doang', 'aduhhhhhhh', 'please', 'fast', 'repair', '']</v>
      </c>
      <c r="D18142" s="3">
        <v>3.0</v>
      </c>
    </row>
    <row r="18143" ht="15.75" customHeight="1">
      <c r="A18143" s="1">
        <v>19286.0</v>
      </c>
      <c r="B18143" s="3" t="s">
        <v>171</v>
      </c>
      <c r="C18143" s="3" t="str">
        <f>IFERROR(__xludf.DUMMYFUNCTION("GOOGLETRANSLATE(B18143,""id"",""en"")"),"['appl', 'good']")</f>
        <v>['appl', 'good']</v>
      </c>
      <c r="D18143" s="3">
        <v>5.0</v>
      </c>
    </row>
    <row r="18144" ht="15.75" customHeight="1">
      <c r="A18144" s="1">
        <v>19287.0</v>
      </c>
      <c r="B18144" s="3" t="s">
        <v>17182</v>
      </c>
      <c r="C18144" s="3" t="str">
        <f>IFERROR(__xludf.DUMMYFUNCTION("GOOGLETRANSLATE(B18144,""id"",""en"")"),"['difficult', 'Sibuka', 'forgiveness', 'deh', 'fluency']")</f>
        <v>['difficult', 'Sibuka', 'forgiveness', 'deh', 'fluency']</v>
      </c>
      <c r="D18144" s="3">
        <v>1.0</v>
      </c>
    </row>
    <row r="18145" ht="15.75" customHeight="1">
      <c r="A18145" s="1">
        <v>19288.0</v>
      </c>
      <c r="B18145" s="3" t="s">
        <v>8274</v>
      </c>
      <c r="C18145" s="3" t="str">
        <f>IFERROR(__xludf.DUMMYFUNCTION("GOOGLETRANSLATE(B18145,""id"",""en"")"),"['Synity']")</f>
        <v>['Synity']</v>
      </c>
      <c r="D18145" s="3">
        <v>5.0</v>
      </c>
    </row>
    <row r="18146" ht="15.75" customHeight="1">
      <c r="A18146" s="1">
        <v>19289.0</v>
      </c>
      <c r="B18146" s="3" t="s">
        <v>17183</v>
      </c>
      <c r="C18146" s="3" t="str">
        <f>IFERROR(__xludf.DUMMYFUNCTION("GOOGLETRANSLATE(B18146,""id"",""en"")"),"['Min', 'Min', 'Application', 'Telkomsel', 'Ngebleng', 'Open', 'Many', 'Disconnect', 'Install', 'Display', 'Install', 'Min', ' Please, 'Enlightenment', '']")</f>
        <v>['Min', 'Min', 'Application', 'Telkomsel', 'Ngebleng', 'Open', 'Many', 'Disconnect', 'Install', 'Display', 'Install', 'Min', ' Please, 'Enlightenment', '']</v>
      </c>
      <c r="D18146" s="3">
        <v>2.0</v>
      </c>
    </row>
    <row r="18147" ht="15.75" customHeight="1">
      <c r="A18147" s="1">
        <v>19291.0</v>
      </c>
      <c r="B18147" s="3" t="s">
        <v>17184</v>
      </c>
      <c r="C18147" s="3" t="str">
        <f>IFERROR(__xludf.DUMMYFUNCTION("GOOGLETRANSLATE(B18147,""id"",""en"")"),"['Voice', 'Disturbing', 'ZeeeeeEst', 'Open', 'Application']")</f>
        <v>['Voice', 'Disturbing', 'ZeeeeeEst', 'Open', 'Application']</v>
      </c>
      <c r="D18147" s="3">
        <v>2.0</v>
      </c>
    </row>
    <row r="18148" ht="15.75" customHeight="1">
      <c r="A18148" s="1">
        <v>19292.0</v>
      </c>
      <c r="B18148" s="3" t="s">
        <v>17185</v>
      </c>
      <c r="C18148" s="3" t="str">
        <f>IFERROR(__xludf.DUMMYFUNCTION("GOOGLETRANSLATE(B18148,""id"",""en"")"),"['times', 'bonus', 'quota', 'user', 'a month']")</f>
        <v>['times', 'bonus', 'quota', 'user', 'a month']</v>
      </c>
      <c r="D18148" s="3">
        <v>5.0</v>
      </c>
    </row>
    <row r="18149" ht="15.75" customHeight="1">
      <c r="A18149" s="1">
        <v>19293.0</v>
      </c>
      <c r="B18149" s="3" t="s">
        <v>17186</v>
      </c>
      <c r="C18149" s="3" t="str">
        <f>IFERROR(__xludf.DUMMYFUNCTION("GOOGLETRANSLATE(B18149,""id"",""en"")"),"['App', 'Telkomsel', 'Best']")</f>
        <v>['App', 'Telkomsel', 'Best']</v>
      </c>
      <c r="D18149" s="3">
        <v>5.0</v>
      </c>
    </row>
    <row r="18150" ht="15.75" customHeight="1">
      <c r="A18150" s="1">
        <v>19294.0</v>
      </c>
      <c r="B18150" s="3" t="s">
        <v>17187</v>
      </c>
      <c r="C18150" s="3" t="str">
        <f>IFERROR(__xludf.DUMMYFUNCTION("GOOGLETRANSLATE(B18150,""id"",""en"")"),"['hope', 'Winner', 'Lottery', 'Telkomsel', 'Points', 'Experience', 'Life', 'Life', ""]")</f>
        <v>['hope', 'Winner', 'Lottery', 'Telkomsel', 'Points', 'Experience', 'Life', 'Life', "]</v>
      </c>
      <c r="D18150" s="3">
        <v>5.0</v>
      </c>
    </row>
    <row r="18151" ht="15.75" customHeight="1">
      <c r="A18151" s="1">
        <v>19295.0</v>
      </c>
      <c r="B18151" s="3" t="s">
        <v>17188</v>
      </c>
      <c r="C18151" s="3" t="str">
        <f>IFERROR(__xludf.DUMMYFUNCTION("GOOGLETRANSLATE(B18151,""id"",""en"")"),"['Please', 'yeah', 'number', 'pulses', 'mixed', 'piece', 'data', 'gini', 'boorrroooooss']")</f>
        <v>['Please', 'yeah', 'number', 'pulses', 'mixed', 'piece', 'data', 'gini', 'boorrroooooss']</v>
      </c>
      <c r="D18151" s="3">
        <v>2.0</v>
      </c>
    </row>
    <row r="18152" ht="15.75" customHeight="1">
      <c r="A18152" s="1">
        <v>19296.0</v>
      </c>
      <c r="B18152" s="3" t="s">
        <v>17189</v>
      </c>
      <c r="C18152" s="3" t="str">
        <f>IFERROR(__xludf.DUMMYFUNCTION("GOOGLETRANSLATE(B18152,""id"",""en"")"),"['Login', 'Application', 'Stop', 'White', 'Screen', 'Update', 'Please', 'KPD', 'Telkomsel', 'Repair', 'The application']")</f>
        <v>['Login', 'Application', 'Stop', 'White', 'Screen', 'Update', 'Please', 'KPD', 'Telkomsel', 'Repair', 'The application']</v>
      </c>
      <c r="D18152" s="3">
        <v>1.0</v>
      </c>
    </row>
    <row r="18153" ht="15.75" customHeight="1">
      <c r="A18153" s="1">
        <v>19297.0</v>
      </c>
      <c r="B18153" s="3" t="s">
        <v>17190</v>
      </c>
      <c r="C18153" s="3" t="str">
        <f>IFERROR(__xludf.DUMMYFUNCTION("GOOGLETRANSLATE(B18153,""id"",""en"")"),"['Ngeselin', 'Login', 'App', 'Close', 'Minutes',' Open ',' Already ',' White ',' Screen ',' Delete ',' Chace ',' Data ',' normal ',' app ',' and then ',' login ',' cape ',' auto ',' uninstall ']")</f>
        <v>['Ngeselin', 'Login', 'App', 'Close', 'Minutes',' Open ',' Already ',' White ',' Screen ',' Delete ',' Chace ',' Data ',' normal ',' app ',' and then ',' login ',' cape ',' auto ',' uninstall ']</v>
      </c>
      <c r="D18153" s="3">
        <v>1.0</v>
      </c>
    </row>
    <row r="18154" ht="15.75" customHeight="1">
      <c r="A18154" s="1">
        <v>19299.0</v>
      </c>
      <c r="B18154" s="3" t="s">
        <v>3987</v>
      </c>
      <c r="C18154" s="3" t="str">
        <f>IFERROR(__xludf.DUMMYFUNCTION("GOOGLETRANSLATE(B18154,""id"",""en"")"),"['Wow', '']")</f>
        <v>['Wow', '']</v>
      </c>
      <c r="D18154" s="3">
        <v>4.0</v>
      </c>
    </row>
    <row r="18155" ht="15.75" customHeight="1">
      <c r="A18155" s="1">
        <v>19300.0</v>
      </c>
      <c r="B18155" s="3" t="s">
        <v>17191</v>
      </c>
      <c r="C18155" s="3" t="str">
        <f>IFERROR(__xludf.DUMMYFUNCTION("GOOGLETRANSLATE(B18155,""id"",""en"")"),"['Claim', 'Point']")</f>
        <v>['Claim', 'Point']</v>
      </c>
      <c r="D18155" s="3">
        <v>5.0</v>
      </c>
    </row>
    <row r="18156" ht="15.75" customHeight="1">
      <c r="A18156" s="1">
        <v>19301.0</v>
      </c>
      <c r="B18156" s="3" t="s">
        <v>17192</v>
      </c>
      <c r="C18156" s="3" t="str">
        <f>IFERROR(__xludf.DUMMYFUNCTION("GOOGLETRANSLATE(B18156,""id"",""en"")"),"['signal', 'network', 'internet', 'stable', 'please', 'keep', 'teklomsel', 'weather', 'bad', 'weather', 'extreme', 'stable', ' because ',' times', 'weather', 'bad', 'weather', 'extreme', 'network', 'direct', 'down', 'please', 'keep', '']")</f>
        <v>['signal', 'network', 'internet', 'stable', 'please', 'keep', 'teklomsel', 'weather', 'bad', 'weather', 'extreme', 'stable', ' because ',' times', 'weather', 'bad', 'weather', 'extreme', 'network', 'direct', 'down', 'please', 'keep', '']</v>
      </c>
      <c r="D18156" s="3">
        <v>5.0</v>
      </c>
    </row>
    <row r="18157" ht="15.75" customHeight="1">
      <c r="A18157" s="1">
        <v>19302.0</v>
      </c>
      <c r="B18157" s="3" t="s">
        <v>17193</v>
      </c>
      <c r="C18157" s="3" t="str">
        <f>IFERROR(__xludf.DUMMYFUNCTION("GOOGLETRANSLATE(B18157,""id"",""en"")"),"['Use', 'Package', 'Data', 'Telkomsel', 'Good', '']")</f>
        <v>['Use', 'Package', 'Data', 'Telkomsel', 'Good', '']</v>
      </c>
      <c r="D18157" s="3">
        <v>5.0</v>
      </c>
    </row>
    <row r="18158" ht="15.75" customHeight="1">
      <c r="A18158" s="1">
        <v>19303.0</v>
      </c>
      <c r="B18158" s="3" t="s">
        <v>17194</v>
      </c>
      <c r="C18158" s="3" t="str">
        <f>IFERROR(__xludf.DUMMYFUNCTION("GOOGLETRANSLATE(B18158,""id"",""en"")"),"['Sorry', 'pulse', 'reduced', 'Rupiah', '']")</f>
        <v>['Sorry', 'pulse', 'reduced', 'Rupiah', '']</v>
      </c>
      <c r="D18158" s="3">
        <v>4.0</v>
      </c>
    </row>
    <row r="18159" ht="15.75" customHeight="1">
      <c r="A18159" s="1">
        <v>19305.0</v>
      </c>
      <c r="B18159" s="3" t="s">
        <v>17195</v>
      </c>
      <c r="C18159" s="3" t="str">
        <f>IFERROR(__xludf.DUMMYFUNCTION("GOOGLETRANSLATE(B18159,""id"",""en"")"),"['BISMILLAH', 'Hopefully', 'Telkomsel', 'developed', 'advancing', 'digitalization', 'Indonesia']")</f>
        <v>['BISMILLAH', 'Hopefully', 'Telkomsel', 'developed', 'advancing', 'digitalization', 'Indonesia']</v>
      </c>
      <c r="D18159" s="3">
        <v>5.0</v>
      </c>
    </row>
    <row r="18160" ht="15.75" customHeight="1">
      <c r="A18160" s="1">
        <v>19306.0</v>
      </c>
      <c r="B18160" s="3" t="s">
        <v>17196</v>
      </c>
      <c r="C18160" s="3" t="str">
        <f>IFERROR(__xludf.DUMMYFUNCTION("GOOGLETRANSLATE(B18160,""id"",""en"")"),"['Data', 'expensive', 'really']")</f>
        <v>['Data', 'expensive', 'really']</v>
      </c>
      <c r="D18160" s="3">
        <v>2.0</v>
      </c>
    </row>
    <row r="18161" ht="15.75" customHeight="1">
      <c r="A18161" s="1">
        <v>19307.0</v>
      </c>
      <c r="B18161" s="3" t="s">
        <v>17197</v>
      </c>
      <c r="C18161" s="3" t="str">
        <f>IFERROR(__xludf.DUMMYFUNCTION("GOOGLETRANSLATE(B18161,""id"",""en"")"),"['Please', 'network', 'sympathy', 'fix', 'checked', 'pulse', 'service', 'ganguan', 'replace', 'vin']")</f>
        <v>['Please', 'network', 'sympathy', 'fix', 'checked', 'pulse', 'service', 'ganguan', 'replace', 'vin']</v>
      </c>
      <c r="D18161" s="3">
        <v>4.0</v>
      </c>
    </row>
    <row r="18162" ht="15.75" customHeight="1">
      <c r="A18162" s="1">
        <v>19308.0</v>
      </c>
      <c r="B18162" s="3" t="s">
        <v>17198</v>
      </c>
      <c r="C18162" s="3" t="str">
        <f>IFERROR(__xludf.DUMMYFUNCTION("GOOGLETRANSLATE(B18162,""id"",""en"")"),"['Telkomsel', 'steady', 'network', 'steady', 'widespread', 'Telkomsel', 'heart', 'Telkomsel', 'can', ""]")</f>
        <v>['Telkomsel', 'steady', 'network', 'steady', 'widespread', 'Telkomsel', 'heart', 'Telkomsel', 'can', "]</v>
      </c>
      <c r="D18162" s="3">
        <v>5.0</v>
      </c>
    </row>
    <row r="18163" ht="15.75" customHeight="1">
      <c r="A18163" s="1">
        <v>19310.0</v>
      </c>
      <c r="B18163" s="3" t="s">
        <v>17199</v>
      </c>
      <c r="C18163" s="3" t="str">
        <f>IFERROR(__xludf.DUMMYFUNCTION("GOOGLETRANSLATE(B18163,""id"",""en"")"),"['Open', 'Telkomsel', 'Gerangan']")</f>
        <v>['Open', 'Telkomsel', 'Gerangan']</v>
      </c>
      <c r="D18163" s="3">
        <v>4.0</v>
      </c>
    </row>
    <row r="18164" ht="15.75" customHeight="1">
      <c r="A18164" s="1">
        <v>19311.0</v>
      </c>
      <c r="B18164" s="3" t="s">
        <v>17200</v>
      </c>
      <c r="C18164" s="3" t="str">
        <f>IFERROR(__xludf.DUMMYFUNCTION("GOOGLETRANSLATE(B18164,""id"",""en"")"),"['Video', 'max', 'apus']")</f>
        <v>['Video', 'max', 'apus']</v>
      </c>
      <c r="D18164" s="3">
        <v>4.0</v>
      </c>
    </row>
    <row r="18165" ht="15.75" customHeight="1">
      <c r="A18165" s="1">
        <v>19312.0</v>
      </c>
      <c r="B18165" s="3" t="s">
        <v>17201</v>
      </c>
      <c r="C18165" s="3" t="str">
        <f>IFERROR(__xludf.DUMMYFUNCTION("GOOGLETRANSLATE(B18165,""id"",""en"")"),"['entry', 'application', 'Telkomsel', 'network', 'good', 'account', 'husband', 'entry', 'right', 'enter', 'appear', 'screen', ' white ',' kayak ']")</f>
        <v>['entry', 'application', 'Telkomsel', 'network', 'good', 'account', 'husband', 'entry', 'right', 'enter', 'appear', 'screen', ' white ',' kayak ']</v>
      </c>
      <c r="D18165" s="3">
        <v>1.0</v>
      </c>
    </row>
    <row r="18166" ht="15.75" customHeight="1">
      <c r="A18166" s="1">
        <v>19313.0</v>
      </c>
      <c r="B18166" s="3" t="s">
        <v>17202</v>
      </c>
      <c r="C18166" s="3" t="str">
        <f>IFERROR(__xludf.DUMMYFUNCTION("GOOGLETRANSLATE(B18166,""id"",""en"")"),"['APK', 'Upgrade', 'STLH', 'Upgrade', 'Enter', 'White', 'Screen', 'Repeated', 'Reinstall', 'Please', 'Lined', 'Admin', ' compensation ',' forget ',' min ']")</f>
        <v>['APK', 'Upgrade', 'STLH', 'Upgrade', 'Enter', 'White', 'Screen', 'Repeated', 'Reinstall', 'Please', 'Lined', 'Admin', ' compensation ',' forget ',' min ']</v>
      </c>
      <c r="D18166" s="3">
        <v>1.0</v>
      </c>
    </row>
    <row r="18167" ht="15.75" customHeight="1">
      <c r="A18167" s="1">
        <v>19314.0</v>
      </c>
      <c r="B18167" s="3" t="s">
        <v>17203</v>
      </c>
      <c r="C18167" s="3" t="str">
        <f>IFERROR(__xludf.DUMMYFUNCTION("GOOGLETRANSLATE(B18167,""id"",""en"")"),"['Good', 'describe it', '']")</f>
        <v>['Good', 'describe it', '']</v>
      </c>
      <c r="D18167" s="3">
        <v>5.0</v>
      </c>
    </row>
    <row r="18168" ht="15.75" customHeight="1">
      <c r="A18168" s="1">
        <v>19315.0</v>
      </c>
      <c r="B18168" s="3" t="s">
        <v>17204</v>
      </c>
      <c r="C18168" s="3" t="str">
        <f>IFERROR(__xludf.DUMMYFUNCTION("GOOGLETRANSLATE(B18168,""id"",""en"")"),"['quota', 'pulse', 'taken', 'internet', 'Telkomsel', 'thief', 'pulses', ""]")</f>
        <v>['quota', 'pulse', 'taken', 'internet', 'Telkomsel', 'thief', 'pulses', "]</v>
      </c>
      <c r="D18168" s="3">
        <v>1.0</v>
      </c>
    </row>
    <row r="18169" ht="15.75" customHeight="1">
      <c r="A18169" s="1">
        <v>19316.0</v>
      </c>
      <c r="B18169" s="3" t="s">
        <v>2127</v>
      </c>
      <c r="C18169" s="3" t="str">
        <f>IFERROR(__xludf.DUMMYFUNCTION("GOOGLETRANSLATE(B18169,""id"",""en"")"),"['easy']")</f>
        <v>['easy']</v>
      </c>
      <c r="D18169" s="3">
        <v>5.0</v>
      </c>
    </row>
    <row r="18170" ht="15.75" customHeight="1">
      <c r="A18170" s="1">
        <v>19317.0</v>
      </c>
      <c r="B18170" s="3" t="s">
        <v>17205</v>
      </c>
      <c r="C18170" s="3" t="str">
        <f>IFERROR(__xludf.DUMMYFUNCTION("GOOGLETRANSLATE(B18170,""id"",""en"")"),"['Slow', 'Lovers', 'Tsel', ""]")</f>
        <v>['Slow', 'Lovers', 'Tsel', "]</v>
      </c>
      <c r="D18170" s="3">
        <v>4.0</v>
      </c>
    </row>
    <row r="18171" ht="15.75" customHeight="1">
      <c r="A18171" s="1">
        <v>19318.0</v>
      </c>
      <c r="B18171" s="3" t="s">
        <v>17206</v>
      </c>
      <c r="C18171" s="3" t="str">
        <f>IFERROR(__xludf.DUMMYFUNCTION("GOOGLETRANSLATE(B18171,""id"",""en"")"),"['Helpful', 'Best', '']")</f>
        <v>['Helpful', 'Best', '']</v>
      </c>
      <c r="D18171" s="3">
        <v>5.0</v>
      </c>
    </row>
    <row r="18172" ht="15.75" customHeight="1">
      <c r="A18172" s="1">
        <v>19319.0</v>
      </c>
      <c r="B18172" s="3" t="s">
        <v>17207</v>
      </c>
      <c r="C18172" s="3" t="str">
        <f>IFERROR(__xludf.DUMMYFUNCTION("GOOGLETRANSLATE(B18172,""id"",""en"")"),"['kerennn', 'good', 'really', 'lbih', 'easy', 'buy', 'package', 'bnyak', 'promo']")</f>
        <v>['kerennn', 'good', 'really', 'lbih', 'easy', 'buy', 'package', 'bnyak', 'promo']</v>
      </c>
      <c r="D18172" s="3">
        <v>5.0</v>
      </c>
    </row>
    <row r="18173" ht="15.75" customHeight="1">
      <c r="A18173" s="1">
        <v>19321.0</v>
      </c>
      <c r="B18173" s="3" t="s">
        <v>4442</v>
      </c>
      <c r="C18173" s="3" t="str">
        <f>IFERROR(__xludf.DUMMYFUNCTION("GOOGLETRANSLATE(B18173,""id"",""en"")"),"['', 'Telkomsel', 'Good']")</f>
        <v>['', 'Telkomsel', 'Good']</v>
      </c>
      <c r="D18173" s="3">
        <v>5.0</v>
      </c>
    </row>
    <row r="18174" ht="15.75" customHeight="1">
      <c r="A18174" s="1">
        <v>19322.0</v>
      </c>
      <c r="B18174" s="3" t="s">
        <v>17208</v>
      </c>
      <c r="C18174" s="3" t="str">
        <f>IFERROR(__xludf.DUMMYFUNCTION("GOOGLETRANSLATE(B18174,""id"",""en"")"),"['knapa', 'Telkomsel', 'the application', 'Abis',' upgrade ',' koq ',' no ',' open ',' appears', 'screen', 'white', 'giman', ' The solution ',' JD ',' Application ',' Delete ',' DRPD ',' Full ',' Memory ', ""]")</f>
        <v>['knapa', 'Telkomsel', 'the application', 'Abis',' upgrade ',' koq ',' no ',' open ',' appears', 'screen', 'white', 'giman', ' The solution ',' JD ',' Application ',' Delete ',' DRPD ',' Full ',' Memory ', "]</v>
      </c>
      <c r="D18174" s="3">
        <v>1.0</v>
      </c>
    </row>
    <row r="18175" ht="15.75" customHeight="1">
      <c r="A18175" s="1">
        <v>19323.0</v>
      </c>
      <c r="B18175" s="3" t="s">
        <v>17209</v>
      </c>
      <c r="C18175" s="3" t="str">
        <f>IFERROR(__xludf.DUMMYFUNCTION("GOOGLETRANSLATE(B18175,""id"",""en"")"),"['Steady', 'Application', 'Cool', '']")</f>
        <v>['Steady', 'Application', 'Cool', '']</v>
      </c>
      <c r="D18175" s="3">
        <v>5.0</v>
      </c>
    </row>
    <row r="18176" ht="15.75" customHeight="1">
      <c r="A18176" s="1">
        <v>19324.0</v>
      </c>
      <c r="B18176" s="3" t="s">
        <v>17210</v>
      </c>
      <c r="C18176" s="3" t="str">
        <f>IFERROR(__xludf.DUMMYFUNCTION("GOOGLETRANSLATE(B18176,""id"",""en"")"),"['application', 'complete', 'features',' features', 'easy', 'used', 'functional', 'convenience', 'application', 'expectations',' application ',' MyTelkomsel ',' Solution ',' Need ',' Promo ',' Package ',' Hopefully ',' Available ',' Success', 'Telkomsel',"&amp;" 'Full', 'Blessings',' Service ',' Customer ', ""]")</f>
        <v>['application', 'complete', 'features',' features', 'easy', 'used', 'functional', 'convenience', 'application', 'expectations',' application ',' MyTelkomsel ',' Solution ',' Need ',' Promo ',' Package ',' Hopefully ',' Available ',' Success', 'Telkomsel', 'Full', 'Blessings',' Service ',' Customer ', "]</v>
      </c>
      <c r="D18176" s="3">
        <v>5.0</v>
      </c>
    </row>
    <row r="18177" ht="15.75" customHeight="1">
      <c r="A18177" s="1">
        <v>19326.0</v>
      </c>
      <c r="B18177" s="3" t="s">
        <v>17211</v>
      </c>
      <c r="C18177" s="3" t="str">
        <f>IFERROR(__xludf.DUMMYFUNCTION("GOOGLETRANSLATE(B18177,""id"",""en"")"),"['Nice', 'buy', 'Kouta', 'Counter', 'already', 'Telkomsel', 'easy', 'cheap']")</f>
        <v>['Nice', 'buy', 'Kouta', 'Counter', 'already', 'Telkomsel', 'easy', 'cheap']</v>
      </c>
      <c r="D18177" s="3">
        <v>5.0</v>
      </c>
    </row>
    <row r="18178" ht="15.75" customHeight="1">
      <c r="A18178" s="1">
        <v>19327.0</v>
      </c>
      <c r="B18178" s="3" t="s">
        <v>17212</v>
      </c>
      <c r="C18178" s="3" t="str">
        <f>IFERROR(__xludf.DUMMYFUNCTION("GOOGLETRANSLATE(B18178,""id"",""en"")"),"['Price', 'expensive', 'Package', 'Plisss',' Deh ',' Telkomsel ',' Network ',' Stable ',' Rada ',' Season ',' Liat ',' Telkomsel ',' ']")</f>
        <v>['Price', 'expensive', 'Package', 'Plisss',' Deh ',' Telkomsel ',' Network ',' Stable ',' Rada ',' Season ',' Liat ',' Telkomsel ',' ']</v>
      </c>
      <c r="D18178" s="3">
        <v>3.0</v>
      </c>
    </row>
    <row r="18179" ht="15.75" customHeight="1">
      <c r="A18179" s="1">
        <v>19328.0</v>
      </c>
      <c r="B18179" s="3" t="s">
        <v>17213</v>
      </c>
      <c r="C18179" s="3" t="str">
        <f>IFERROR(__xludf.DUMMYFUNCTION("GOOGLETRANSLATE(B18179,""id"",""en"")"),"['screen', 'color', 'white', 'enter', 'loading', 'version', 'new', 'please', 'fix', 'again', ""]")</f>
        <v>['screen', 'color', 'white', 'enter', 'loading', 'version', 'new', 'please', 'fix', 'again', "]</v>
      </c>
      <c r="D18179" s="3">
        <v>2.0</v>
      </c>
    </row>
    <row r="18180" ht="15.75" customHeight="1">
      <c r="A18180" s="1">
        <v>19329.0</v>
      </c>
      <c r="B18180" s="3" t="s">
        <v>17214</v>
      </c>
      <c r="C18180" s="3" t="str">
        <f>IFERROR(__xludf.DUMMYFUNCTION("GOOGLETRANSLATE(B18180,""id"",""en"")"),"['fast', 'trusted']")</f>
        <v>['fast', 'trusted']</v>
      </c>
      <c r="D18180" s="3">
        <v>5.0</v>
      </c>
    </row>
    <row r="18181" ht="15.75" customHeight="1">
      <c r="A18181" s="1">
        <v>19330.0</v>
      </c>
      <c r="B18181" s="3" t="s">
        <v>17215</v>
      </c>
      <c r="C18181" s="3" t="str">
        <f>IFERROR(__xludf.DUMMYFUNCTION("GOOGLETRANSLATE(B18181,""id"",""en"")"),"['update', 'opened', 'application', 'already', 'jangingan', 'ugly', 'city', 'expensive', 'package', 'data', ""]")</f>
        <v>['update', 'opened', 'application', 'already', 'jangingan', 'ugly', 'city', 'expensive', 'package', 'data', "]</v>
      </c>
      <c r="D18181" s="3">
        <v>1.0</v>
      </c>
    </row>
    <row r="18182" ht="15.75" customHeight="1">
      <c r="A18182" s="1">
        <v>19331.0</v>
      </c>
      <c r="B18182" s="3" t="s">
        <v>17216</v>
      </c>
      <c r="C18182" s="3" t="str">
        <f>IFERROR(__xludf.DUMMYFUNCTION("GOOGLETRANSLATE(B18182,""id"",""en"")"),"['Clarity', 'information', 'division', 'quota', 'according to', 'inform "",' pulse ',' sumps']")</f>
        <v>['Clarity', 'information', 'division', 'quota', 'according to', 'inform ",' pulse ',' sumps']</v>
      </c>
      <c r="D18182" s="3">
        <v>3.0</v>
      </c>
    </row>
    <row r="18183" ht="15.75" customHeight="1">
      <c r="A18183" s="1">
        <v>19333.0</v>
      </c>
      <c r="B18183" s="3" t="s">
        <v>15213</v>
      </c>
      <c r="C18183" s="3" t="str">
        <f>IFERROR(__xludf.DUMMYFUNCTION("GOOGLETRANSLATE(B18183,""id"",""en"")"),"['convenience', 'transaction']")</f>
        <v>['convenience', 'transaction']</v>
      </c>
      <c r="D18183" s="3">
        <v>5.0</v>
      </c>
    </row>
    <row r="18184" ht="15.75" customHeight="1">
      <c r="A18184" s="1">
        <v>19334.0</v>
      </c>
      <c r="B18184" s="3" t="s">
        <v>15012</v>
      </c>
      <c r="C18184" s="3" t="str">
        <f>IFERROR(__xludf.DUMMYFUNCTION("GOOGLETRANSLATE(B18184,""id"",""en"")"),"['APL', 'Telkomsel', 'Open', '']")</f>
        <v>['APL', 'Telkomsel', 'Open', '']</v>
      </c>
      <c r="D18184" s="3">
        <v>4.0</v>
      </c>
    </row>
    <row r="18185" ht="15.75" customHeight="1">
      <c r="A18185" s="1">
        <v>19335.0</v>
      </c>
      <c r="B18185" s="3" t="s">
        <v>17217</v>
      </c>
      <c r="C18185" s="3" t="str">
        <f>IFERROR(__xludf.DUMMYFUNCTION("GOOGLETRANSLATE(B18185,""id"",""en"")"),"['Application', 'Kek', 'Hair']")</f>
        <v>['Application', 'Kek', 'Hair']</v>
      </c>
      <c r="D18185" s="3">
        <v>1.0</v>
      </c>
    </row>
    <row r="18186" ht="15.75" customHeight="1">
      <c r="A18186" s="1">
        <v>19336.0</v>
      </c>
      <c r="B18186" s="3" t="s">
        <v>17218</v>
      </c>
      <c r="C18186" s="3" t="str">
        <f>IFERROR(__xludf.DUMMYFUNCTION("GOOGLETRANSLATE(B18186,""id"",""en"")"),"['', 'Telkomsel', 'comfortable']")</f>
        <v>['', 'Telkomsel', 'comfortable']</v>
      </c>
      <c r="D18186" s="3">
        <v>5.0</v>
      </c>
    </row>
    <row r="18187" ht="15.75" customHeight="1">
      <c r="A18187" s="1">
        <v>19337.0</v>
      </c>
      <c r="B18187" s="3" t="s">
        <v>17219</v>
      </c>
      <c r="C18187" s="3" t="str">
        <f>IFERROR(__xludf.DUMMYFUNCTION("GOOGLETRANSLATE(B18187,""id"",""en"")"),"['expensive', 'price', 'package', 'data', '']")</f>
        <v>['expensive', 'price', 'package', 'data', '']</v>
      </c>
      <c r="D18187" s="3">
        <v>5.0</v>
      </c>
    </row>
    <row r="18188" ht="15.75" customHeight="1">
      <c r="A18188" s="1">
        <v>19338.0</v>
      </c>
      <c r="B18188" s="3" t="s">
        <v>17220</v>
      </c>
      <c r="C18188" s="3" t="str">
        <f>IFERROR(__xludf.DUMMYFUNCTION("GOOGLETRANSLATE(B18188,""id"",""en"")"),"['Gift', 'Telkomsel', 'Points', 'already', 'Out', '']")</f>
        <v>['Gift', 'Telkomsel', 'Points', 'already', 'Out', '']</v>
      </c>
      <c r="D18188" s="3">
        <v>5.0</v>
      </c>
    </row>
    <row r="18189" ht="15.75" customHeight="1">
      <c r="A18189" s="1">
        <v>19339.0</v>
      </c>
      <c r="B18189" s="3" t="s">
        <v>17221</v>
      </c>
      <c r="C18189" s="3" t="str">
        <f>IFERROR(__xludf.DUMMYFUNCTION("GOOGLETRANSLATE(B18189,""id"",""en"")"),"['Good', 'service', 'Thank you', 'Telkomsel', '']")</f>
        <v>['Good', 'service', 'Thank you', 'Telkomsel', '']</v>
      </c>
      <c r="D18189" s="3">
        <v>5.0</v>
      </c>
    </row>
    <row r="18190" ht="15.75" customHeight="1">
      <c r="A18190" s="1">
        <v>19340.0</v>
      </c>
      <c r="B18190" s="3" t="s">
        <v>1167</v>
      </c>
      <c r="C18190" s="3" t="str">
        <f>IFERROR(__xludf.DUMMYFUNCTION("GOOGLETRANSLATE(B18190,""id"",""en"")"),"['help']")</f>
        <v>['help']</v>
      </c>
      <c r="D18190" s="3">
        <v>5.0</v>
      </c>
    </row>
    <row r="18191" ht="15.75" customHeight="1">
      <c r="A18191" s="1">
        <v>19341.0</v>
      </c>
      <c r="B18191" s="3" t="s">
        <v>17222</v>
      </c>
      <c r="C18191" s="3" t="str">
        <f>IFERROR(__xludf.DUMMYFUNCTION("GOOGLETRANSLATE(B18191,""id"",""en"")"),"['Telkomsel', 'App', 'makes it easier', 'transaction', 'data', 'telephone']")</f>
        <v>['Telkomsel', 'App', 'makes it easier', 'transaction', 'data', 'telephone']</v>
      </c>
      <c r="D18191" s="3">
        <v>5.0</v>
      </c>
    </row>
    <row r="18192" ht="15.75" customHeight="1">
      <c r="A18192" s="1">
        <v>19342.0</v>
      </c>
      <c r="B18192" s="3" t="s">
        <v>17223</v>
      </c>
      <c r="C18192" s="3" t="str">
        <f>IFERROR(__xludf.DUMMYFUNCTION("GOOGLETRANSLATE(B18192,""id"",""en"")"),"['already', 'for days', 'Blank', 'White', 'Screen', 'Telkomsel']")</f>
        <v>['already', 'for days', 'Blank', 'White', 'Screen', 'Telkomsel']</v>
      </c>
      <c r="D18192" s="3">
        <v>3.0</v>
      </c>
    </row>
    <row r="18193" ht="15.75" customHeight="1">
      <c r="A18193" s="1">
        <v>19343.0</v>
      </c>
      <c r="B18193" s="3" t="s">
        <v>17224</v>
      </c>
      <c r="C18193" s="3" t="str">
        <f>IFERROR(__xludf.DUMMYFUNCTION("GOOGLETRANSLATE(B18193,""id"",""en"")"),"['Nihh', 'White', 'Screen', '']")</f>
        <v>['Nihh', 'White', 'Screen', '']</v>
      </c>
      <c r="D18193" s="3">
        <v>1.0</v>
      </c>
    </row>
    <row r="18194" ht="15.75" customHeight="1">
      <c r="A18194" s="1">
        <v>19344.0</v>
      </c>
      <c r="B18194" s="3" t="s">
        <v>17225</v>
      </c>
      <c r="C18194" s="3" t="str">
        <f>IFERROR(__xludf.DUMMYFUNCTION("GOOGLETRANSLATE(B18194,""id"",""en"")"),"['Telkomsel', 'internet', 'smooth', 'bgus']")</f>
        <v>['Telkomsel', 'internet', 'smooth', 'bgus']</v>
      </c>
      <c r="D18194" s="3">
        <v>5.0</v>
      </c>
    </row>
    <row r="18195" ht="15.75" customHeight="1">
      <c r="A18195" s="1">
        <v>19345.0</v>
      </c>
      <c r="B18195" s="3" t="s">
        <v>1367</v>
      </c>
      <c r="C18195" s="3" t="str">
        <f>IFERROR(__xludf.DUMMYFUNCTION("GOOGLETRANSLATE(B18195,""id"",""en"")"),"['good']")</f>
        <v>['good']</v>
      </c>
      <c r="D18195" s="3">
        <v>5.0</v>
      </c>
    </row>
    <row r="18196" ht="15.75" customHeight="1">
      <c r="A18196" s="1">
        <v>19346.0</v>
      </c>
      <c r="B18196" s="3" t="s">
        <v>17226</v>
      </c>
      <c r="C18196" s="3" t="str">
        <f>IFERROR(__xludf.DUMMYFUNCTION("GOOGLETRANSLATE(B18196,""id"",""en"")"),"['apk', 'bida', 'login', '']")</f>
        <v>['apk', 'bida', 'login', '']</v>
      </c>
      <c r="D18196" s="3">
        <v>1.0</v>
      </c>
    </row>
    <row r="18197" ht="15.75" customHeight="1">
      <c r="A18197" s="1">
        <v>19347.0</v>
      </c>
      <c r="B18197" s="3" t="s">
        <v>8666</v>
      </c>
      <c r="C18197" s="3" t="str">
        <f>IFERROR(__xludf.DUMMYFUNCTION("GOOGLETRANSLATE(B18197,""id"",""en"")"),"['signal', 'missing', 'embossed']")</f>
        <v>['signal', 'missing', 'embossed']</v>
      </c>
      <c r="D18197" s="3">
        <v>3.0</v>
      </c>
    </row>
    <row r="18198" ht="15.75" customHeight="1">
      <c r="A18198" s="1">
        <v>19348.0</v>
      </c>
      <c r="B18198" s="3" t="s">
        <v>17227</v>
      </c>
      <c r="C18198" s="3" t="str">
        <f>IFERROR(__xludf.DUMMYFUNCTION("GOOGLETRANSLATE(B18198,""id"",""en"")"),"['apk', 'mytelkomsel', 'error', 'network', 'signal', 'good', 'smooth', 'apk', 'broken', 'check', 'quota', 'apk', ' Forced ',' Nudge ',' Manual ',' APK ',' Benerin ',' APK ',' Cecant ',' APK ',' Nyaaa ', ""]")</f>
        <v>['apk', 'mytelkomsel', 'error', 'network', 'signal', 'good', 'smooth', 'apk', 'broken', 'check', 'quota', 'apk', ' Forced ',' Nudge ',' Manual ',' APK ',' Benerin ',' APK ',' Cecant ',' APK ',' Nyaaa ', "]</v>
      </c>
      <c r="D18198" s="3">
        <v>1.0</v>
      </c>
    </row>
    <row r="18199" ht="15.75" customHeight="1">
      <c r="A18199" s="1">
        <v>19349.0</v>
      </c>
      <c r="B18199" s="3" t="s">
        <v>17228</v>
      </c>
      <c r="C18199" s="3" t="str">
        <f>IFERROR(__xludf.DUMMYFUNCTION("GOOGLETRANSLATE(B18199,""id"",""en"")"),"['Application', 'Benerin', 'Disappointed', 'Customer', 'Customer', 'Disappointed', 'Request', 'Sorry', 'Customer', 'Form', 'Positive', 'Sorry', ' Bot ',' Need ',' Certainty ',' Application ',' Update ',' Bad ',' Application ',' Anyway ',' Recommended ',' "&amp;"Application ',' Mending ',' Move ',' Network ' , 'UDH', 'signal', 'ugly', 'really', 'application', '']")</f>
        <v>['Application', 'Benerin', 'Disappointed', 'Customer', 'Customer', 'Disappointed', 'Request', 'Sorry', 'Customer', 'Form', 'Positive', 'Sorry', ' Bot ',' Need ',' Certainty ',' Application ',' Update ',' Bad ',' Application ',' Anyway ',' Recommended ',' Application ',' Mending ',' Move ',' Network ' , 'UDH', 'signal', 'ugly', 'really', 'application', '']</v>
      </c>
      <c r="D18199" s="3">
        <v>1.0</v>
      </c>
    </row>
    <row r="18200" ht="15.75" customHeight="1">
      <c r="A18200" s="1">
        <v>19350.0</v>
      </c>
      <c r="B18200" s="3" t="s">
        <v>17229</v>
      </c>
      <c r="C18200" s="3" t="str">
        <f>IFERROR(__xludf.DUMMYFUNCTION("GOOGLETRANSLATE(B18200,""id"",""en"")"),"['kaga', 'download', 'guys',' abisin ',' quota ',' ama ',' ram ',' cave ',' donwload ',' kaga ',' open ',' intro ',' ',' letter ',' then ',' try ',' lgi ',' ngilkak ',' quota ',' bnyak ',' pulse ',' lack ',' network ',' good ',' kaga ' , 'open', 'times', "&amp;"'alternating', 'open', 'the application', 'right', 'cave', 'donwload', 'emng', 'tpi', 'error', ""]")</f>
        <v>['kaga', 'download', 'guys',' abisin ',' quota ',' ama ',' ram ',' cave ',' donwload ',' kaga ',' open ',' intro ',' ',' letter ',' then ',' try ',' lgi ',' ngilkak ',' quota ',' bnyak ',' pulse ',' lack ',' network ',' good ',' kaga ' , 'open', 'times', 'alternating', 'open', 'the application', 'right', 'cave', 'donwload', 'emng', 'tpi', 'error', "]</v>
      </c>
      <c r="D18200" s="3">
        <v>1.0</v>
      </c>
    </row>
    <row r="18201" ht="15.75" customHeight="1">
      <c r="A18201" s="1">
        <v>19351.0</v>
      </c>
      <c r="B18201" s="3" t="s">
        <v>17230</v>
      </c>
      <c r="C18201" s="3" t="str">
        <f>IFERROR(__xludf.DUMMYFUNCTION("GOOGLETRANSLATE(B18201,""id"",""en"")"),"['Buy', 'Package', 'Data', 'Write', 'Reality', 'Telkomsel', 'Fraud', 'Transaction', 'Purchase', 'Seblum', 'Make', 'Read', ' Description ',' package ',' written ',' right ',' buy ',' active ',' real ',' detrimental ',' cheating ',' consumer ',' Fair ',' di"&amp;"sorder ',' network ' , 'Error', 'SLMA', 'Absolute', 'Herah', 'Telkomsel', 'Komsumen', 'Loss', ""]")</f>
        <v>['Buy', 'Package', 'Data', 'Write', 'Reality', 'Telkomsel', 'Fraud', 'Transaction', 'Purchase', 'Seblum', 'Make', 'Read', ' Description ',' package ',' written ',' right ',' buy ',' active ',' real ',' detrimental ',' cheating ',' consumer ',' Fair ',' disorder ',' network ' , 'Error', 'SLMA', 'Absolute', 'Herah', 'Telkomsel', 'Komsumen', 'Loss', "]</v>
      </c>
      <c r="D18201" s="3">
        <v>1.0</v>
      </c>
    </row>
    <row r="18202" ht="15.75" customHeight="1">
      <c r="A18202" s="1">
        <v>19352.0</v>
      </c>
      <c r="B18202" s="3" t="s">
        <v>17231</v>
      </c>
      <c r="C18202" s="3" t="str">
        <f>IFERROR(__xludf.DUMMYFUNCTION("GOOGLETRANSLATE(B18202,""id"",""en"")"),"['Upgrade', 'opened', 'Why', '']")</f>
        <v>['Upgrade', 'opened', 'Why', '']</v>
      </c>
      <c r="D18202" s="3">
        <v>3.0</v>
      </c>
    </row>
    <row r="18203" ht="15.75" customHeight="1">
      <c r="A18203" s="1">
        <v>19353.0</v>
      </c>
      <c r="B18203" s="3" t="s">
        <v>943</v>
      </c>
      <c r="C18203" s="3" t="str">
        <f>IFERROR(__xludf.DUMMYFUNCTION("GOOGLETRANSLATE(B18203,""id"",""en"")"),"['satisfying']")</f>
        <v>['satisfying']</v>
      </c>
      <c r="D18203" s="3">
        <v>5.0</v>
      </c>
    </row>
    <row r="18204" ht="15.75" customHeight="1">
      <c r="A18204" s="1">
        <v>19354.0</v>
      </c>
      <c r="B18204" s="3" t="s">
        <v>17232</v>
      </c>
      <c r="C18204" s="3" t="str">
        <f>IFERROR(__xludf.DUMMYFUNCTION("GOOGLETRANSLATE(B18204,""id"",""en"")"),"['Steady', 'Application', 'Helpful', '']")</f>
        <v>['Steady', 'Application', 'Helpful', '']</v>
      </c>
      <c r="D18204" s="3">
        <v>5.0</v>
      </c>
    </row>
    <row r="18205" ht="15.75" customHeight="1">
      <c r="A18205" s="1">
        <v>19355.0</v>
      </c>
      <c r="B18205" s="3" t="s">
        <v>17233</v>
      </c>
      <c r="C18205" s="3" t="str">
        <f>IFERROR(__xludf.DUMMYFUNCTION("GOOGLETRANSLATE(B18205,""id"",""en"")"),"['Telkomsel', 'opened', 'right', 'opened', 'light', 'white', 'please', 'donk', 'process', 'difficult']")</f>
        <v>['Telkomsel', 'opened', 'right', 'opened', 'light', 'white', 'please', 'donk', 'process', 'difficult']</v>
      </c>
      <c r="D18205" s="3">
        <v>1.0</v>
      </c>
    </row>
    <row r="18206" ht="15.75" customHeight="1">
      <c r="A18206" s="1">
        <v>19356.0</v>
      </c>
      <c r="B18206" s="3" t="s">
        <v>17234</v>
      </c>
      <c r="C18206" s="3" t="str">
        <f>IFERROR(__xludf.DUMMYFUNCTION("GOOGLETRANSLATE(B18206,""id"",""en"")"),"['Since', 'Telkomsel', 'Difficult', 'APK', 'Lag', 'Ribet', 'Minus', 'Bintang', 'Anyway', ""]")</f>
        <v>['Since', 'Telkomsel', 'Difficult', 'APK', 'Lag', 'Ribet', 'Minus', 'Bintang', 'Anyway', "]</v>
      </c>
      <c r="D18206" s="3">
        <v>1.0</v>
      </c>
    </row>
    <row r="18207" ht="15.75" customHeight="1">
      <c r="A18207" s="1">
        <v>19357.0</v>
      </c>
      <c r="B18207" s="3" t="s">
        <v>17235</v>
      </c>
      <c r="C18207" s="3" t="str">
        <f>IFERROR(__xludf.DUMMYFUNCTION("GOOGLETRANSLATE(B18207,""id"",""en"")"),"['Steady', 'gift', 'Variety', 'Combo', 'Saktix', 'Suggestion', 'Network', 'Telkomsel', 'Enhanced', 'User', 'Satisfied', 'Song', ' It's easy ',' God willing ',' Undianx ',' Help ',' Family ',' Amiiin ',' Allah ',' Thank you ']")</f>
        <v>['Steady', 'gift', 'Variety', 'Combo', 'Saktix', 'Suggestion', 'Network', 'Telkomsel', 'Enhanced', 'User', 'Satisfied', 'Song', ' It's easy ',' God willing ',' Undianx ',' Help ',' Family ',' Amiiin ',' Allah ',' Thank you ']</v>
      </c>
      <c r="D18207" s="3">
        <v>5.0</v>
      </c>
    </row>
    <row r="18208" ht="15.75" customHeight="1">
      <c r="A18208" s="1">
        <v>19358.0</v>
      </c>
      <c r="B18208" s="3" t="s">
        <v>17236</v>
      </c>
      <c r="C18208" s="3" t="str">
        <f>IFERROR(__xludf.DUMMYFUNCTION("GOOGLETRANSLATE(B18208,""id"",""en"")"),"['Fucking', 'user']")</f>
        <v>['Fucking', 'user']</v>
      </c>
      <c r="D18208" s="3">
        <v>5.0</v>
      </c>
    </row>
    <row r="18209" ht="15.75" customHeight="1">
      <c r="A18209" s="1">
        <v>19359.0</v>
      </c>
      <c r="B18209" s="3" t="s">
        <v>17237</v>
      </c>
      <c r="C18209" s="3" t="str">
        <f>IFERROR(__xludf.DUMMYFUNCTION("GOOGLETRANSLATE(B18209,""id"",""en"")"),"['APK', 'Open', 'Update', '']")</f>
        <v>['APK', 'Open', 'Update', '']</v>
      </c>
      <c r="D18209" s="3">
        <v>1.0</v>
      </c>
    </row>
    <row r="18210" ht="15.75" customHeight="1">
      <c r="A18210" s="1">
        <v>19360.0</v>
      </c>
      <c r="B18210" s="3" t="s">
        <v>17238</v>
      </c>
      <c r="C18210" s="3" t="str">
        <f>IFERROR(__xludf.DUMMYFUNCTION("GOOGLETRANSLATE(B18210,""id"",""en"")"),"['Sorry', 'Telkomsel', 'Application', 'White', 'Screen', 'Gini', 'Out', 'Update', 'Current', 'Kirain', 'Danganguang', 'Signal', ' Try ',' Open ',' Application ',' Current ',' Current ',' Please ',' Fix ',' Telkomsel ',' Application ', ""]")</f>
        <v>['Sorry', 'Telkomsel', 'Application', 'White', 'Screen', 'Gini', 'Out', 'Update', 'Current', 'Kirain', 'Danganguang', 'Signal', ' Try ',' Open ',' Application ',' Current ',' Current ',' Please ',' Fix ',' Telkomsel ',' Application ', "]</v>
      </c>
      <c r="D18210" s="3">
        <v>1.0</v>
      </c>
    </row>
    <row r="18211" ht="15.75" customHeight="1">
      <c r="A18211" s="1">
        <v>19361.0</v>
      </c>
      <c r="B18211" s="3" t="s">
        <v>17239</v>
      </c>
      <c r="C18211" s="3" t="str">
        <f>IFERROR(__xludf.DUMMYFUNCTION("GOOGLETRANSLATE(B18211,""id"",""en"")"),"['fix', 'signal', 'area', 'Riau', 'special', 'sehat', 'langam', 'week', 'RTO', 'night', 'JLEK', 'open', ' LGI ',' The application ']")</f>
        <v>['fix', 'signal', 'area', 'Riau', 'special', 'sehat', 'langam', 'week', 'RTO', 'night', 'JLEK', 'open', ' LGI ',' The application ']</v>
      </c>
      <c r="D18211" s="3">
        <v>2.0</v>
      </c>
    </row>
    <row r="18212" ht="15.75" customHeight="1">
      <c r="A18212" s="1">
        <v>19362.0</v>
      </c>
      <c r="B18212" s="3" t="s">
        <v>17240</v>
      </c>
      <c r="C18212" s="3" t="str">
        <f>IFERROR(__xludf.DUMMYFUNCTION("GOOGLETRANSLATE(B18212,""id"",""en"")"),"['Open', 'APL', 'Telkomsel', 'confused', 'Telkomsel']")</f>
        <v>['Open', 'APL', 'Telkomsel', 'confused', 'Telkomsel']</v>
      </c>
      <c r="D18212" s="3">
        <v>5.0</v>
      </c>
    </row>
    <row r="18213" ht="15.75" customHeight="1">
      <c r="A18213" s="1">
        <v>19363.0</v>
      </c>
      <c r="B18213" s="3" t="s">
        <v>17241</v>
      </c>
      <c r="C18213" s="3" t="str">
        <f>IFERROR(__xludf.DUMMYFUNCTION("GOOGLETRANSLATE(B18213,""id"",""en"")"),"['Disappointed', 'Program', 'Points',' Sexycall ',' Exchange ',' Points', 'Take', 'Take', 'Rights',' Times', 'Program', ' Mbok ',' pairs', 'promote', 'end', 'disappointing', 'wear', 'sympathy', 'already', 'quota', 'etc.', 'era', 'package', 'thousand' , 'L"&amp;"OOH', 'Hopefully', 'wise', 'Tuk', 'Customer', 'loyal', 'hope', 'sympathy', 'forward', 'developing', 'expensive', 'price', ' Paketan ',' Internet ',' ']")</f>
        <v>['Disappointed', 'Program', 'Points',' Sexycall ',' Exchange ',' Points', 'Take', 'Take', 'Rights',' Times', 'Program', ' Mbok ',' pairs', 'promote', 'end', 'disappointing', 'wear', 'sympathy', 'already', 'quota', 'etc.', 'era', 'package', 'thousand' , 'LOOH', 'Hopefully', 'wise', 'Tuk', 'Customer', 'loyal', 'hope', 'sympathy', 'forward', 'developing', 'expensive', 'price', ' Paketan ',' Internet ',' ']</v>
      </c>
      <c r="D18213" s="3">
        <v>3.0</v>
      </c>
    </row>
    <row r="18214" ht="15.75" customHeight="1">
      <c r="A18214" s="1">
        <v>19365.0</v>
      </c>
      <c r="B18214" s="3" t="s">
        <v>17242</v>
      </c>
      <c r="C18214" s="3" t="str">
        <f>IFERROR(__xludf.DUMMYFUNCTION("GOOGLETRANSLATE(B18214,""id"",""en"")"),"['lag', 'rain', 'wifi', 'card', 'data', 'hope', 'repair']")</f>
        <v>['lag', 'rain', 'wifi', 'card', 'data', 'hope', 'repair']</v>
      </c>
      <c r="D18214" s="3">
        <v>1.0</v>
      </c>
    </row>
    <row r="18215" ht="15.75" customHeight="1">
      <c r="A18215" s="1">
        <v>19366.0</v>
      </c>
      <c r="B18215" s="3" t="s">
        <v>17243</v>
      </c>
      <c r="C18215" s="3" t="str">
        <f>IFERROR(__xludf.DUMMYFUNCTION("GOOGLETRANSLATE(B18215,""id"",""en"")"),"['already', 'not', 'opened', 'right', 'open', 'screen', 'white', 'until', 'dead']")</f>
        <v>['already', 'not', 'opened', 'right', 'open', 'screen', 'white', 'until', 'dead']</v>
      </c>
      <c r="D18215" s="3">
        <v>1.0</v>
      </c>
    </row>
    <row r="18216" ht="15.75" customHeight="1">
      <c r="A18216" s="1">
        <v>19367.0</v>
      </c>
      <c r="B18216" s="3" t="s">
        <v>17244</v>
      </c>
      <c r="C18216" s="3" t="str">
        <f>IFERROR(__xludf.DUMMYFUNCTION("GOOGLETRANSLATE(B18216,""id"",""en"")"),"['apk', 'problematic', 'please', 'customer', 'persuhit', 'already', 'package', 'data', 'expensive', 'beg', 'process',' customer ',' owe ',' complicated ']")</f>
        <v>['apk', 'problematic', 'please', 'customer', 'persuhit', 'already', 'package', 'data', 'expensive', 'beg', 'process',' customer ',' owe ',' complicated ']</v>
      </c>
      <c r="D18216" s="3">
        <v>1.0</v>
      </c>
    </row>
    <row r="18217" ht="15.75" customHeight="1">
      <c r="A18217" s="1">
        <v>19368.0</v>
      </c>
      <c r="B18217" s="3" t="s">
        <v>17245</v>
      </c>
      <c r="C18217" s="3" t="str">
        <f>IFERROR(__xludf.DUMMYFUNCTION("GOOGLETRANSLATE(B18217,""id"",""en"")"),"['Lemot', 'Gini', 'Open', 'Application', 'MyTelkomsel', '']")</f>
        <v>['Lemot', 'Gini', 'Open', 'Application', 'MyTelkomsel', '']</v>
      </c>
      <c r="D18217" s="3">
        <v>1.0</v>
      </c>
    </row>
    <row r="18218" ht="15.75" customHeight="1">
      <c r="A18218" s="1">
        <v>19369.0</v>
      </c>
      <c r="B18218" s="3" t="s">
        <v>17246</v>
      </c>
      <c r="C18218" s="3" t="str">
        <f>IFERROR(__xludf.DUMMYFUNCTION("GOOGLETRANSLATE(B18218,""id"",""en"")"),"['', 'Telkomsel', 'ugly', 'missed', 'update', 'ugly', 'signal', 'no', 'open', 'screen', 'white', 'advertisement', 'continue ',' Customer ',' Uninstall ',' APP ',' MyTelkomsel ',' Hopefully ',' Consideration ',' Atmin ',' MyTelkomsel ',' Fast ',' Fix ',' '"&amp;"]")</f>
        <v>['', 'Telkomsel', 'ugly', 'missed', 'update', 'ugly', 'signal', 'no', 'open', 'screen', 'white', 'advertisement', 'continue ',' Customer ',' Uninstall ',' APP ',' MyTelkomsel ',' Hopefully ',' Consideration ',' Atmin ',' MyTelkomsel ',' Fast ',' Fix ',' ']</v>
      </c>
      <c r="D18218" s="3">
        <v>1.0</v>
      </c>
    </row>
    <row r="18219" ht="15.75" customHeight="1">
      <c r="A18219" s="1">
        <v>19370.0</v>
      </c>
      <c r="B18219" s="3" t="s">
        <v>17247</v>
      </c>
      <c r="C18219" s="3" t="str">
        <f>IFERROR(__xludf.DUMMYFUNCTION("GOOGLETRANSLATE(B18219,""id"",""en"")"),"['Bentar', 'Error', 'Bentar', 'Kesalhan', 'Ngeblank', 'Application', 'Taik', '']")</f>
        <v>['Bentar', 'Error', 'Bentar', 'Kesalhan', 'Ngeblank', 'Application', 'Taik', '']</v>
      </c>
      <c r="D18219" s="3">
        <v>1.0</v>
      </c>
    </row>
    <row r="18220" ht="15.75" customHeight="1">
      <c r="A18220" s="1">
        <v>19371.0</v>
      </c>
      <c r="B18220" s="3" t="s">
        <v>17248</v>
      </c>
      <c r="C18220" s="3" t="str">
        <f>IFERROR(__xludf.DUMMYFUNCTION("GOOGLETRANSLATE(B18220,""id"",""en"")"),"['woooooiiiiiiiiiii', 'opened', 'whyaaaaaa', 'wooooiiiii', 'aaaaaaarrrrgghhhhhhhtxzcvcxvxzcxbzvzvz', 'dasaaaaarrrr', 'kambeeeeeeeeeeeeeeeeeeeeeeeeeeeeeegggggggggggxxxxxxxxxxxxxxxxxxxxxxxxxxxxxxxxxxxxxxxxxxxxxxxxxxxxxxxxx', '']")</f>
        <v>['woooooiiiiiiiiiii', 'opened', 'whyaaaaaa', 'wooooiiiii', 'aaaaaaarrrrgghhhhhhhtxzcvcxvxzcxbzvzvz', 'dasaaaaarrrr', 'kambeeeeeeeeeeeeeeeeeeeeeeeeeeeeeegggggggggggxxxxxxxxxxxxxxxxxxxxxxxxxxxxxxxxxxxxxxxxxxxxxxxxxxxxxxxxx', '']</v>
      </c>
      <c r="D18220" s="3">
        <v>1.0</v>
      </c>
    </row>
    <row r="18221" ht="15.75" customHeight="1">
      <c r="A18221" s="1">
        <v>19372.0</v>
      </c>
      <c r="B18221" s="3" t="s">
        <v>17249</v>
      </c>
      <c r="C18221" s="3" t="str">
        <f>IFERROR(__xludf.DUMMYFUNCTION("GOOGLETRANSLATE(B18221,""id"",""en"")"),"['It's easy', 'mmbeli', 'package']")</f>
        <v>['It's easy', 'mmbeli', 'package']</v>
      </c>
      <c r="D18221" s="3">
        <v>4.0</v>
      </c>
    </row>
    <row r="18222" ht="15.75" customHeight="1">
      <c r="A18222" s="1">
        <v>19373.0</v>
      </c>
      <c r="B18222" s="3" t="s">
        <v>17250</v>
      </c>
      <c r="C18222" s="3" t="str">
        <f>IFERROR(__xludf.DUMMYFUNCTION("GOOGLETRANSLATE(B18222,""id"",""en"")"),"['Telkomsel', 'laq', 'good', 'bad']")</f>
        <v>['Telkomsel', 'laq', 'good', 'bad']</v>
      </c>
      <c r="D18222" s="3">
        <v>1.0</v>
      </c>
    </row>
    <row r="18223" ht="15.75" customHeight="1">
      <c r="A18223" s="1">
        <v>19374.0</v>
      </c>
      <c r="B18223" s="3" t="s">
        <v>17251</v>
      </c>
      <c r="C18223" s="3" t="str">
        <f>IFERROR(__xludf.DUMMYFUNCTION("GOOGLETRANSLATE(B18223,""id"",""en"")"),"['Blanc', 'White', 'Please', 'Fix', 'Social']")</f>
        <v>['Blanc', 'White', 'Please', 'Fix', 'Social']</v>
      </c>
      <c r="D18223" s="3">
        <v>5.0</v>
      </c>
    </row>
    <row r="18224" ht="15.75" customHeight="1">
      <c r="A18224" s="1">
        <v>19375.0</v>
      </c>
      <c r="B18224" s="3" t="s">
        <v>17252</v>
      </c>
      <c r="C18224" s="3" t="str">
        <f>IFERROR(__xludf.DUMMYFUNCTION("GOOGLETRANSLATE(B18224,""id"",""en"")"),"['Blank', 'Blank', 'White', 'Screen', 'Network', 'Troubled', 'View', 'Review', 'Agree', 'Times',' Shark ',' Megalodon ',' Action ',' Hopefully ',' Fast ',' Recover ',' ']")</f>
        <v>['Blank', 'Blank', 'White', 'Screen', 'Network', 'Troubled', 'View', 'Review', 'Agree', 'Times',' Shark ',' Megalodon ',' Action ',' Hopefully ',' Fast ',' Recover ',' ']</v>
      </c>
      <c r="D18224" s="3">
        <v>1.0</v>
      </c>
    </row>
    <row r="18225" ht="15.75" customHeight="1">
      <c r="A18225" s="1">
        <v>19376.0</v>
      </c>
      <c r="B18225" s="3" t="s">
        <v>17253</v>
      </c>
      <c r="C18225" s="3" t="str">
        <f>IFERROR(__xludf.DUMMYFUNCTION("GOOGLETRANSLATE(B18225,""id"",""en"")"),"['Quality']")</f>
        <v>['Quality']</v>
      </c>
      <c r="D18225" s="3">
        <v>5.0</v>
      </c>
    </row>
    <row r="18226" ht="15.75" customHeight="1">
      <c r="A18226" s="1">
        <v>19377.0</v>
      </c>
      <c r="B18226" s="3" t="s">
        <v>17254</v>
      </c>
      <c r="C18226" s="3" t="str">
        <f>IFERROR(__xludf.DUMMYFUNCTION("GOOGLETRANSLATE(B18226,""id"",""en"")"),"['Application', 'according to', 'greatness', 'name', ""]")</f>
        <v>['Application', 'according to', 'greatness', 'name', "]</v>
      </c>
      <c r="D18226" s="3">
        <v>1.0</v>
      </c>
    </row>
    <row r="18227" ht="15.75" customHeight="1">
      <c r="A18227" s="1">
        <v>19378.0</v>
      </c>
      <c r="B18227" s="3" t="s">
        <v>17255</v>
      </c>
      <c r="C18227" s="3" t="str">
        <f>IFERROR(__xludf.DUMMYFUNCTION("GOOGLETRANSLATE(B18227,""id"",""en"")"),"['Check', 'MB', 'GB', 'GB', 'Lukeunt', 'Want', 'Plus', 'Sunday', ""]")</f>
        <v>['Check', 'MB', 'GB', 'GB', 'Lukeunt', 'Want', 'Plus', 'Sunday', "]</v>
      </c>
      <c r="D18227" s="3">
        <v>4.0</v>
      </c>
    </row>
    <row r="18228" ht="15.75" customHeight="1">
      <c r="A18228" s="1">
        <v>19379.0</v>
      </c>
      <c r="B18228" s="3" t="s">
        <v>17256</v>
      </c>
      <c r="C18228" s="3" t="str">
        <f>IFERROR(__xludf.DUMMYFUNCTION("GOOGLETRANSLATE(B18228,""id"",""en"")"),"['knapa', 'open']")</f>
        <v>['knapa', 'open']</v>
      </c>
      <c r="D18228" s="3">
        <v>1.0</v>
      </c>
    </row>
    <row r="18229" ht="15.75" customHeight="1">
      <c r="A18229" s="1">
        <v>19380.0</v>
      </c>
      <c r="B18229" s="3" t="s">
        <v>17257</v>
      </c>
      <c r="C18229" s="3" t="str">
        <f>IFERROR(__xludf.DUMMYFUNCTION("GOOGLETRANSLATE(B18229,""id"",""en"")"),"['Love', 'star', 'signal', 'Mantul', 'quota', 'Anlimited', 'Full']")</f>
        <v>['Love', 'star', 'signal', 'Mantul', 'quota', 'Anlimited', 'Full']</v>
      </c>
      <c r="D18229" s="3">
        <v>5.0</v>
      </c>
    </row>
    <row r="18230" ht="15.75" customHeight="1">
      <c r="A18230" s="1">
        <v>19381.0</v>
      </c>
      <c r="B18230" s="3" t="s">
        <v>2198</v>
      </c>
      <c r="C18230" s="3" t="str">
        <f>IFERROR(__xludf.DUMMYFUNCTION("GOOGLETRANSLATE(B18230,""id"",""en"")"),"['easy', 'use']")</f>
        <v>['easy', 'use']</v>
      </c>
      <c r="D18230" s="3">
        <v>5.0</v>
      </c>
    </row>
    <row r="18231" ht="15.75" customHeight="1">
      <c r="A18231" s="1">
        <v>19382.0</v>
      </c>
      <c r="B18231" s="3" t="s">
        <v>17258</v>
      </c>
      <c r="C18231" s="3" t="str">
        <f>IFERROR(__xludf.DUMMYFUNCTION("GOOGLETRANSLATE(B18231,""id"",""en"")"),"['woi', 'update', 'fix', 'bug', 'update', 'open', 'telkomsel', 'blank', 'white', 'mulu', 'pulp']")</f>
        <v>['woi', 'update', 'fix', 'bug', 'update', 'open', 'telkomsel', 'blank', 'white', 'mulu', 'pulp']</v>
      </c>
      <c r="D18231" s="3">
        <v>1.0</v>
      </c>
    </row>
    <row r="18232" ht="15.75" customHeight="1">
      <c r="A18232" s="1">
        <v>19383.0</v>
      </c>
      <c r="B18232" s="3" t="s">
        <v>17259</v>
      </c>
      <c r="C18232" s="3" t="str">
        <f>IFERROR(__xludf.DUMMYFUNCTION("GOOGLETRANSLATE(B18232,""id"",""en"")"),"['application', 'opened', 'screen', 'white', 'force', 'close', 'application', 'heavy', 'bangat', 'pretty', 'ram', 'TPI', ' taste ',' heavy ',' application ']")</f>
        <v>['application', 'opened', 'screen', 'white', 'force', 'close', 'application', 'heavy', 'bangat', 'pretty', 'ram', 'TPI', ' taste ',' heavy ',' application ']</v>
      </c>
      <c r="D18232" s="3">
        <v>2.0</v>
      </c>
    </row>
    <row r="18233" ht="15.75" customHeight="1">
      <c r="A18233" s="1">
        <v>19384.0</v>
      </c>
      <c r="B18233" s="3" t="s">
        <v>17260</v>
      </c>
      <c r="C18233" s="3" t="str">
        <f>IFERROR(__xludf.DUMMYFUNCTION("GOOGLETRANSLATE(B18233,""id"",""en"")"),"['Please', 'discount', '']")</f>
        <v>['Please', 'discount', '']</v>
      </c>
      <c r="D18233" s="3">
        <v>3.0</v>
      </c>
    </row>
    <row r="18234" ht="15.75" customHeight="1">
      <c r="A18234" s="1">
        <v>19385.0</v>
      </c>
      <c r="B18234" s="3" t="s">
        <v>17261</v>
      </c>
      <c r="C18234" s="3" t="str">
        <f>IFERROR(__xludf.DUMMYFUNCTION("GOOGLETRANSLATE(B18234,""id"",""en"")"),"['Disappointed', 'Signal', '']")</f>
        <v>['Disappointed', 'Signal', '']</v>
      </c>
      <c r="D18234" s="3">
        <v>1.0</v>
      </c>
    </row>
    <row r="18235" ht="15.75" customHeight="1">
      <c r="A18235" s="1">
        <v>19386.0</v>
      </c>
      <c r="B18235" s="3" t="s">
        <v>17262</v>
      </c>
      <c r="C18235" s="3" t="str">
        <f>IFERROR(__xludf.DUMMYFUNCTION("GOOGLETRANSLATE(B18235,""id"",""en"")"),"['Telkomsel', 'opened', 'Commissioner', 'Mabok', 'Mentang', 'Customer', 'Semena', 'Kek', 'Gini']")</f>
        <v>['Telkomsel', 'opened', 'Commissioner', 'Mabok', 'Mentang', 'Customer', 'Semena', 'Kek', 'Gini']</v>
      </c>
      <c r="D18235" s="3">
        <v>1.0</v>
      </c>
    </row>
    <row r="18236" ht="15.75" customHeight="1">
      <c r="A18236" s="1">
        <v>19387.0</v>
      </c>
      <c r="B18236" s="3" t="s">
        <v>17263</v>
      </c>
      <c r="C18236" s="3" t="str">
        <f>IFERROR(__xludf.DUMMYFUNCTION("GOOGLETRANSLATE(B18236,""id"",""en"")"),"['APK', 'blank', 'reply', 'via', 'Tsel', '']")</f>
        <v>['APK', 'blank', 'reply', 'via', 'Tsel', '']</v>
      </c>
      <c r="D18236" s="3">
        <v>1.0</v>
      </c>
    </row>
    <row r="18237" ht="15.75" customHeight="1">
      <c r="A18237" s="1">
        <v>19388.0</v>
      </c>
      <c r="B18237" s="3" t="s">
        <v>17264</v>
      </c>
      <c r="C18237" s="3" t="str">
        <f>IFERROR(__xludf.DUMMYFUNCTION("GOOGLETRANSLATE(B18237,""id"",""en"")"),"['Login', 'Application', 'Please', 'Fix']")</f>
        <v>['Login', 'Application', 'Please', 'Fix']</v>
      </c>
      <c r="D18237" s="3">
        <v>5.0</v>
      </c>
    </row>
    <row r="18238" ht="15.75" customHeight="1">
      <c r="A18238" s="1">
        <v>19389.0</v>
      </c>
      <c r="B18238" s="3" t="s">
        <v>17265</v>
      </c>
      <c r="C18238" s="3" t="str">
        <f>IFERROR(__xludf.DUMMYFUNCTION("GOOGLETRANSLATE(B18238,""id"",""en"")"),"['Telkomsel', 'Rich', 'Network', 'Severe', 'City', 'Severe']")</f>
        <v>['Telkomsel', 'Rich', 'Network', 'Severe', 'City', 'Severe']</v>
      </c>
      <c r="D18238" s="3">
        <v>1.0</v>
      </c>
    </row>
    <row r="18239" ht="15.75" customHeight="1">
      <c r="A18239" s="1">
        <v>19390.0</v>
      </c>
      <c r="B18239" s="3" t="s">
        <v>17266</v>
      </c>
      <c r="C18239" s="3" t="str">
        <f>IFERROR(__xludf.DUMMYFUNCTION("GOOGLETRANSLATE(B18239,""id"",""en"")"),"['updated', 'Leet', 'go']")</f>
        <v>['updated', 'Leet', 'go']</v>
      </c>
      <c r="D18239" s="3">
        <v>1.0</v>
      </c>
    </row>
    <row r="18240" ht="15.75" customHeight="1">
      <c r="A18240" s="1">
        <v>19391.0</v>
      </c>
      <c r="B18240" s="3" t="s">
        <v>17267</v>
      </c>
      <c r="C18240" s="3" t="str">
        <f>IFERROR(__xludf.DUMMYFUNCTION("GOOGLETRANSLATE(B18240,""id"",""en"")"),"['Network', 'difficult', 'already', 'comfortable', 'right', 'network', 'good']")</f>
        <v>['Network', 'difficult', 'already', 'comfortable', 'right', 'network', 'good']</v>
      </c>
      <c r="D18240" s="3">
        <v>2.0</v>
      </c>
    </row>
    <row r="18241" ht="15.75" customHeight="1">
      <c r="A18241" s="1">
        <v>19392.0</v>
      </c>
      <c r="B18241" s="3" t="s">
        <v>17268</v>
      </c>
      <c r="C18241" s="3" t="str">
        <f>IFERROR(__xludf.DUMMYFUNCTION("GOOGLETRANSLATE(B18241,""id"",""en"")"),"['Network', 'bad', 'Disband', 'company', '']")</f>
        <v>['Network', 'bad', 'Disband', 'company', '']</v>
      </c>
      <c r="D18241" s="3">
        <v>1.0</v>
      </c>
    </row>
    <row r="18242" ht="15.75" customHeight="1">
      <c r="A18242" s="1">
        <v>19393.0</v>
      </c>
      <c r="B18242" s="3" t="s">
        <v>17269</v>
      </c>
      <c r="C18242" s="3" t="str">
        <f>IFERROR(__xludf.DUMMYFUNCTION("GOOGLETRANSLATE(B18242,""id"",""en"")"),"['APK', 'MLU', 'update', 'network', 'update', 'sympathy', 'smakin', 'ksini', 'smakin', 'bad', 'the network', 'embarrassing', ' Prcuma ',' BLI ',' quota ',' GDE ',' TPI ',' The network ',' slow ',' quota ',' Jngan ',' Lost ',' Indosat ',' Indosat ',' Packa"&amp;"ge ' , 'quota', 'clock', 'try', 'please', 'Telkomsel', 'complaints', 'users', 'resfon', 'moved', 'Indosat', ""]")</f>
        <v>['APK', 'MLU', 'update', 'network', 'update', 'sympathy', 'smakin', 'ksini', 'smakin', 'bad', 'the network', 'embarrassing', ' Prcuma ',' BLI ',' quota ',' GDE ',' TPI ',' The network ',' slow ',' quota ',' Jngan ',' Lost ',' Indosat ',' Indosat ',' Package ' , 'quota', 'clock', 'try', 'please', 'Telkomsel', 'complaints', 'users', 'resfon', 'moved', 'Indosat', "]</v>
      </c>
      <c r="D18242" s="3">
        <v>1.0</v>
      </c>
    </row>
    <row r="18243" ht="15.75" customHeight="1">
      <c r="A18243" s="1">
        <v>19394.0</v>
      </c>
      <c r="B18243" s="3" t="s">
        <v>17270</v>
      </c>
      <c r="C18243" s="3" t="str">
        <f>IFERROR(__xludf.DUMMYFUNCTION("GOOGLETRANSLATE(B18243,""id"",""en"")"),"['knpa', 'bus',' open ',' reset ',' download ',' hpus', 'download', 'think', 'my cellphone', 'Hengk', 'know', 'apk', ' Open ',' knpa ',' yahh ',' ']")</f>
        <v>['knpa', 'bus',' open ',' reset ',' download ',' hpus', 'download', 'think', 'my cellphone', 'Hengk', 'know', 'apk', ' Open ',' knpa ',' yahh ',' ']</v>
      </c>
      <c r="D18243" s="3">
        <v>4.0</v>
      </c>
    </row>
    <row r="18244" ht="15.75" customHeight="1">
      <c r="A18244" s="1">
        <v>19395.0</v>
      </c>
      <c r="B18244" s="3" t="s">
        <v>17271</v>
      </c>
      <c r="C18244" s="3" t="str">
        <f>IFERROR(__xludf.DUMMYFUNCTION("GOOGLETRANSLATE(B18244,""id"",""en"")"),"['error']")</f>
        <v>['error']</v>
      </c>
      <c r="D18244" s="3">
        <v>1.0</v>
      </c>
    </row>
    <row r="18245" ht="15.75" customHeight="1">
      <c r="A18245" s="1">
        <v>19396.0</v>
      </c>
      <c r="B18245" s="3" t="s">
        <v>17272</v>
      </c>
      <c r="C18245" s="3" t="str">
        <f>IFERROR(__xludf.DUMMYFUNCTION("GOOGLETRANSLATE(B18245,""id"",""en"")"),"['apdet', 'ugly', 'no', 'open', 'signal', 'ugly', 'no', 'open', 'tibul', 'screen', 'white', 'regret', ' Abdet ',' Mending ',' Uninstall ',' No ',' ']")</f>
        <v>['apdet', 'ugly', 'no', 'open', 'signal', 'ugly', 'no', 'open', 'tibul', 'screen', 'white', 'regret', ' Abdet ',' Mending ',' Uninstall ',' No ',' ']</v>
      </c>
      <c r="D18245" s="3">
        <v>1.0</v>
      </c>
    </row>
    <row r="18246" ht="15.75" customHeight="1">
      <c r="A18246" s="1">
        <v>19397.0</v>
      </c>
      <c r="B18246" s="3" t="s">
        <v>17273</v>
      </c>
      <c r="C18246" s="3" t="str">
        <f>IFERROR(__xludf.DUMMYFUNCTION("GOOGLETRANSLATE(B18246,""id"",""en"")"),"['Pokonya', 'Cool']")</f>
        <v>['Pokonya', 'Cool']</v>
      </c>
      <c r="D18246" s="3">
        <v>5.0</v>
      </c>
    </row>
    <row r="18247" ht="15.75" customHeight="1">
      <c r="A18247" s="1">
        <v>19398.0</v>
      </c>
      <c r="B18247" s="3" t="s">
        <v>17274</v>
      </c>
      <c r="C18247" s="3" t="str">
        <f>IFERROR(__xludf.DUMMYFUNCTION("GOOGLETRANSLATE(B18247,""id"",""en"")"),"['Network', 'slow', 'then', 'package', 'wasteful', 'gada', 'open', 'drained', 'sndiri', 'please', 'repair', 'bgus']")</f>
        <v>['Network', 'slow', 'then', 'package', 'wasteful', 'gada', 'open', 'drained', 'sndiri', 'please', 'repair', 'bgus']</v>
      </c>
      <c r="D18247" s="3">
        <v>1.0</v>
      </c>
    </row>
    <row r="18248" ht="15.75" customHeight="1">
      <c r="A18248" s="1">
        <v>19399.0</v>
      </c>
      <c r="B18248" s="3" t="s">
        <v>17275</v>
      </c>
      <c r="C18248" s="3" t="str">
        <f>IFERROR(__xludf.DUMMYFUNCTION("GOOGLETRANSLATE(B18248,""id"",""en"")"),"['Telkomsel', 'mabar']")</f>
        <v>['Telkomsel', 'mabar']</v>
      </c>
      <c r="D18248" s="3">
        <v>1.0</v>
      </c>
    </row>
    <row r="18249" ht="15.75" customHeight="1">
      <c r="A18249" s="1">
        <v>19400.0</v>
      </c>
      <c r="B18249" s="3" t="s">
        <v>17276</v>
      </c>
      <c r="C18249" s="3" t="str">
        <f>IFERROR(__xludf.DUMMYFUNCTION("GOOGLETRANSLATE(B18249,""id"",""en"")"),"['application', 'already', 'gabisa', 'open', 'oop', 'error', 'buy', 'quota', 'response', 'slow', 'telkomsel', 'emang', ' already ',' ugly ',' try ',' use ']")</f>
        <v>['application', 'already', 'gabisa', 'open', 'oop', 'error', 'buy', 'quota', 'response', 'slow', 'telkomsel', 'emang', ' already ',' ugly ',' try ',' use ']</v>
      </c>
      <c r="D18249" s="3">
        <v>1.0</v>
      </c>
    </row>
    <row r="18250" ht="15.75" customHeight="1">
      <c r="A18250" s="1">
        <v>19401.0</v>
      </c>
      <c r="B18250" s="3" t="s">
        <v>17277</v>
      </c>
      <c r="C18250" s="3" t="str">
        <f>IFERROR(__xludf.DUMMYFUNCTION("GOOGLETRANSLATE(B18250,""id"",""en"")"),"['', 'Update', 'Open', 'White', 'Screen', 'Already', 'Crazy', 'Severe', 'Application', 'Recommended', ""]")</f>
        <v>['', 'Update', 'Open', 'White', 'Screen', 'Already', 'Crazy', 'Severe', 'Application', 'Recommended', "]</v>
      </c>
      <c r="D18250" s="3">
        <v>1.0</v>
      </c>
    </row>
    <row r="18251" ht="15.75" customHeight="1">
      <c r="A18251" s="1">
        <v>19402.0</v>
      </c>
      <c r="B18251" s="3" t="s">
        <v>17278</v>
      </c>
      <c r="C18251" s="3" t="str">
        <f>IFERROR(__xludf.DUMMYFUNCTION("GOOGLETRANSLATE(B18251,""id"",""en"")"),"['Update', 'Error', 'OPSS', 'Error', 'Reinstall', 'Login', 'Gabisa', 'OPSS', 'Error', 'Please', 'Fixed', ""]")</f>
        <v>['Update', 'Error', 'OPSS', 'Error', 'Reinstall', 'Login', 'Gabisa', 'OPSS', 'Error', 'Please', 'Fixed', "]</v>
      </c>
      <c r="D18251" s="3">
        <v>2.0</v>
      </c>
    </row>
    <row r="18252" ht="15.75" customHeight="1">
      <c r="A18252" s="1">
        <v>19403.0</v>
      </c>
      <c r="B18252" s="3" t="s">
        <v>17279</v>
      </c>
      <c r="C18252" s="3" t="str">
        <f>IFERROR(__xludf.DUMMYFUNCTION("GOOGLETRANSLATE(B18252,""id"",""en"")"),"['Severe', 'Open', 'Application', 'White', 'Blank', 'Season', 'Very', 'But', 'Enter', 'Leet', ""]")</f>
        <v>['Severe', 'Open', 'Application', 'White', 'Blank', 'Season', 'Very', 'But', 'Enter', 'Leet', "]</v>
      </c>
      <c r="D18252" s="3">
        <v>1.0</v>
      </c>
    </row>
    <row r="18253" ht="15.75" customHeight="1">
      <c r="A18253" s="1">
        <v>19404.0</v>
      </c>
      <c r="B18253" s="3" t="s">
        <v>17280</v>
      </c>
      <c r="C18253" s="3" t="str">
        <f>IFERROR(__xludf.DUMMYFUNCTION("GOOGLETRANSLATE(B18253,""id"",""en"")"),"['Good', 'okay', 'bnget']")</f>
        <v>['Good', 'okay', 'bnget']</v>
      </c>
      <c r="D18253" s="3">
        <v>4.0</v>
      </c>
    </row>
    <row r="18254" ht="15.75" customHeight="1">
      <c r="A18254" s="1">
        <v>19405.0</v>
      </c>
      <c r="B18254" s="3" t="s">
        <v>17281</v>
      </c>
      <c r="C18254" s="3" t="str">
        <f>IFERROR(__xludf.DUMMYFUNCTION("GOOGLETRANSLATE(B18254,""id"",""en"")"),"['quota', 'run out', 'direct', 'closed', 'path', 'internet', 'contents',' pulse ',' direct ',' cut ',' debt ',' pulse ',' Quota ',' like ']")</f>
        <v>['quota', 'run out', 'direct', 'closed', 'path', 'internet', 'contents',' pulse ',' direct ',' cut ',' debt ',' pulse ',' Quota ',' like ']</v>
      </c>
      <c r="D18254" s="3">
        <v>5.0</v>
      </c>
    </row>
    <row r="18255" ht="15.75" customHeight="1">
      <c r="A18255" s="1">
        <v>19406.0</v>
      </c>
      <c r="B18255" s="3" t="s">
        <v>17282</v>
      </c>
      <c r="C18255" s="3" t="str">
        <f>IFERROR(__xludf.DUMMYFUNCTION("GOOGLETRANSLATE(B18255,""id"",""en"")"),"['Telkomsel', 'operator', 'application', 'operator', 'problematic', '']")</f>
        <v>['Telkomsel', 'operator', 'application', 'operator', 'problematic', '']</v>
      </c>
      <c r="D18255" s="3">
        <v>1.0</v>
      </c>
    </row>
    <row r="18256" ht="15.75" customHeight="1">
      <c r="A18256" s="1">
        <v>19407.0</v>
      </c>
      <c r="B18256" s="3" t="s">
        <v>17283</v>
      </c>
      <c r="C18256" s="3" t="str">
        <f>IFERROR(__xludf.DUMMYFUNCTION("GOOGLETRANSLATE(B18256,""id"",""en"")"),"['Network', 'Telkomsel', 'Najiisss',' home ',' BKN ',' Putok ',' network ',' cem ',' eek ',' abies', 'chip', 'Domino', ' Gegara ',' Network ',' Pig ',' Star ',' Suitable ',' ']")</f>
        <v>['Network', 'Telkomsel', 'Najiisss',' home ',' BKN ',' Putok ',' network ',' cem ',' eek ',' abies', 'chip', 'Domino', ' Gegara ',' Network ',' Pig ',' Star ',' Suitable ',' ']</v>
      </c>
      <c r="D18256" s="3">
        <v>1.0</v>
      </c>
    </row>
    <row r="18257" ht="15.75" customHeight="1">
      <c r="A18257" s="1">
        <v>19408.0</v>
      </c>
      <c r="B18257" s="3" t="s">
        <v>17284</v>
      </c>
      <c r="C18257" s="3" t="str">
        <f>IFERROR(__xludf.DUMMYFUNCTION("GOOGLETRANSLATE(B18257,""id"",""en"")"),"['Sorry', 'Install']")</f>
        <v>['Sorry', 'Install']</v>
      </c>
      <c r="D18257" s="3">
        <v>1.0</v>
      </c>
    </row>
    <row r="18258" ht="15.75" customHeight="1">
      <c r="A18258" s="1">
        <v>19409.0</v>
      </c>
      <c r="B18258" s="3" t="s">
        <v>17285</v>
      </c>
      <c r="C18258" s="3" t="str">
        <f>IFERROR(__xludf.DUMMYFUNCTION("GOOGLETRANSLATE(B18258,""id"",""en"")"),"['Update', 'difficult', 'Login', ""]")</f>
        <v>['Update', 'difficult', 'Login', "]</v>
      </c>
      <c r="D18258" s="3">
        <v>2.0</v>
      </c>
    </row>
    <row r="18259" ht="15.75" customHeight="1">
      <c r="A18259" s="1">
        <v>19410.0</v>
      </c>
      <c r="B18259" s="3" t="s">
        <v>17286</v>
      </c>
      <c r="C18259" s="3" t="str">
        <f>IFERROR(__xludf.DUMMYFUNCTION("GOOGLETRANSLATE(B18259,""id"",""en"")"),"['apk', 'screen', 'white', 'pressed', 'push', 'change', 'right', 'application']")</f>
        <v>['apk', 'screen', 'white', 'pressed', 'push', 'change', 'right', 'application']</v>
      </c>
      <c r="D18259" s="3">
        <v>1.0</v>
      </c>
    </row>
    <row r="18260" ht="15.75" customHeight="1">
      <c r="A18260" s="1">
        <v>19411.0</v>
      </c>
      <c r="B18260" s="3" t="s">
        <v>17287</v>
      </c>
      <c r="C18260" s="3" t="str">
        <f>IFERROR(__xludf.DUMMYFUNCTION("GOOGLETRANSLATE(B18260,""id"",""en"")"),"['Network', 'Telkomsel', 'bad', 'Anjijingggg']")</f>
        <v>['Network', 'Telkomsel', 'bad', 'Anjijingggg']</v>
      </c>
      <c r="D18260" s="3">
        <v>1.0</v>
      </c>
    </row>
    <row r="18261" ht="15.75" customHeight="1">
      <c r="A18261" s="1">
        <v>19412.0</v>
      </c>
      <c r="B18261" s="3" t="s">
        <v>17288</v>
      </c>
      <c r="C18261" s="3" t="str">
        <f>IFERROR(__xludf.DUMMYFUNCTION("GOOGLETRANSLATE(B18261,""id"",""en"")"),"['Peforma', 'Telkomsel', 'slow', 'laun', 'declined', 'concerned', 'Telkomsel']")</f>
        <v>['Peforma', 'Telkomsel', 'slow', 'laun', 'declined', 'concerned', 'Telkomsel']</v>
      </c>
      <c r="D18261" s="3">
        <v>3.0</v>
      </c>
    </row>
    <row r="18262" ht="15.75" customHeight="1">
      <c r="A18262" s="1">
        <v>19413.0</v>
      </c>
      <c r="B18262" s="3" t="s">
        <v>17289</v>
      </c>
      <c r="C18262" s="3" t="str">
        <f>IFERROR(__xludf.DUMMYFUNCTION("GOOGLETRANSLATE(B18262,""id"",""en"")"),"['Amin', 'hopefully', 'lucky']")</f>
        <v>['Amin', 'hopefully', 'lucky']</v>
      </c>
      <c r="D18262" s="3">
        <v>4.0</v>
      </c>
    </row>
    <row r="18263" ht="15.75" customHeight="1">
      <c r="A18263" s="1">
        <v>19414.0</v>
      </c>
      <c r="B18263" s="3" t="s">
        <v>17290</v>
      </c>
      <c r="C18263" s="3" t="str">
        <f>IFERROR(__xludf.DUMMYFUNCTION("GOOGLETRANSLATE(B18263,""id"",""en"")"),"['chaotic', 'cook', 'turn', 'lottery', 'coupon', 'access', 'chek', 'lost', 'severe', 'bangat', 'telkomsel']")</f>
        <v>['chaotic', 'cook', 'turn', 'lottery', 'coupon', 'access', 'chek', 'lost', 'severe', 'bangat', 'telkomsel']</v>
      </c>
      <c r="D18263" s="3">
        <v>2.0</v>
      </c>
    </row>
    <row r="18264" ht="15.75" customHeight="1">
      <c r="A18264" s="1">
        <v>19416.0</v>
      </c>
      <c r="B18264" s="3" t="s">
        <v>17291</v>
      </c>
      <c r="C18264" s="3" t="str">
        <f>IFERROR(__xludf.DUMMYFUNCTION("GOOGLETRANSLATE(B18264,""id"",""en"")"),"['Telkomsel', 'slow', 'like', 'moved', 'customer', 'loyal', 'surprised', 'slow', 'times', ""]")</f>
        <v>['Telkomsel', 'slow', 'like', 'moved', 'customer', 'loyal', 'surprised', 'slow', 'times', "]</v>
      </c>
      <c r="D18264" s="3">
        <v>1.0</v>
      </c>
    </row>
    <row r="18265" ht="15.75" customHeight="1">
      <c r="A18265" s="1">
        <v>19417.0</v>
      </c>
      <c r="B18265" s="3" t="s">
        <v>17292</v>
      </c>
      <c r="C18265" s="3" t="str">
        <f>IFERROR(__xludf.DUMMYFUNCTION("GOOGLETRANSLATE(B18265,""id"",""en"")"),"['Help', 'application', 'Telkomsel']")</f>
        <v>['Help', 'application', 'Telkomsel']</v>
      </c>
      <c r="D18265" s="3">
        <v>5.0</v>
      </c>
    </row>
    <row r="18266" ht="15.75" customHeight="1">
      <c r="A18266" s="1">
        <v>19418.0</v>
      </c>
      <c r="B18266" s="3" t="s">
        <v>17293</v>
      </c>
      <c r="C18266" s="3" t="str">
        <f>IFERROR(__xludf.DUMMYFUNCTION("GOOGLETRANSLATE(B18266,""id"",""en"")"),"['expensive', 'slow', 'Telkomsel', 'anjg', 'need', 'woi', 'use', 'telkomsel', 'use', 'cheap', 'cheap', 'signal', ' Good ',' bankrupt ',' Telkomnyet ',' ']")</f>
        <v>['expensive', 'slow', 'Telkomsel', 'anjg', 'need', 'woi', 'use', 'telkomsel', 'use', 'cheap', 'cheap', 'signal', ' Good ',' bankrupt ',' Telkomnyet ',' ']</v>
      </c>
      <c r="D18266" s="3">
        <v>1.0</v>
      </c>
    </row>
    <row r="18267" ht="15.75" customHeight="1">
      <c r="A18267" s="1">
        <v>19419.0</v>
      </c>
      <c r="B18267" s="3" t="s">
        <v>17294</v>
      </c>
      <c r="C18267" s="3" t="str">
        <f>IFERROR(__xludf.DUMMYFUNCTION("GOOGLETRANSLATE(B18267,""id"",""en"")"),"['', 'Love', 'star', 'Thank you', 'quota', 'APK', 'Bener', 'Help', 'Thank you']")</f>
        <v>['', 'Love', 'star', 'Thank you', 'quota', 'APK', 'Bener', 'Help', 'Thank you']</v>
      </c>
      <c r="D18267" s="3">
        <v>5.0</v>
      </c>
    </row>
    <row r="18268" ht="15.75" customHeight="1">
      <c r="A18268" s="1">
        <v>19420.0</v>
      </c>
      <c r="B18268" s="3" t="s">
        <v>17295</v>
      </c>
      <c r="C18268" s="3" t="str">
        <f>IFERROR(__xludf.DUMMYFUNCTION("GOOGLETRANSLATE(B18268,""id"",""en"")"),"['price', 'package', 'expensive', 'slow']")</f>
        <v>['price', 'package', 'expensive', 'slow']</v>
      </c>
      <c r="D18268" s="3">
        <v>1.0</v>
      </c>
    </row>
    <row r="18269" ht="15.75" customHeight="1">
      <c r="A18269" s="1">
        <v>19421.0</v>
      </c>
      <c r="B18269" s="3" t="s">
        <v>17296</v>
      </c>
      <c r="C18269" s="3" t="str">
        <f>IFERROR(__xludf.DUMMYFUNCTION("GOOGLETRANSLATE(B18269,""id"",""en"")"),"['Easy', 'got "",' Information ',' TTG ',' Telkomsel ']")</f>
        <v>['Easy', 'got ",' Information ',' TTG ',' Telkomsel ']</v>
      </c>
      <c r="D18269" s="3">
        <v>5.0</v>
      </c>
    </row>
    <row r="18270" ht="15.75" customHeight="1">
      <c r="A18270" s="1">
        <v>19422.0</v>
      </c>
      <c r="B18270" s="3" t="s">
        <v>68</v>
      </c>
      <c r="C18270" s="3" t="str">
        <f>IFERROR(__xludf.DUMMYFUNCTION("GOOGLETRANSLATE(B18270,""id"",""en"")"),"['steady']")</f>
        <v>['steady']</v>
      </c>
      <c r="D18270" s="3">
        <v>5.0</v>
      </c>
    </row>
    <row r="18271" ht="15.75" customHeight="1">
      <c r="A18271" s="1">
        <v>19423.0</v>
      </c>
      <c r="B18271" s="3" t="s">
        <v>15939</v>
      </c>
      <c r="C18271" s="3" t="str">
        <f>IFERROR(__xludf.DUMMYFUNCTION("GOOGLETRANSLATE(B18271,""id"",""en"")"),"['slow network']")</f>
        <v>['slow network']</v>
      </c>
      <c r="D18271" s="3">
        <v>2.0</v>
      </c>
    </row>
    <row r="18272" ht="15.75" customHeight="1">
      <c r="A18272" s="1">
        <v>19424.0</v>
      </c>
      <c r="B18272" s="3" t="s">
        <v>17297</v>
      </c>
      <c r="C18272" s="3" t="str">
        <f>IFERROR(__xludf.DUMMYFUNCTION("GOOGLETRANSLATE(B18272,""id"",""en"")"),"['Please', 'Strengthen', 'Network', 'Internet', 'Island', 'Serui', 'Papua']")</f>
        <v>['Please', 'Strengthen', 'Network', 'Internet', 'Island', 'Serui', 'Papua']</v>
      </c>
      <c r="D18272" s="3">
        <v>4.0</v>
      </c>
    </row>
    <row r="18273" ht="15.75" customHeight="1">
      <c r="A18273" s="1">
        <v>19425.0</v>
      </c>
      <c r="B18273" s="3" t="s">
        <v>17298</v>
      </c>
      <c r="C18273" s="3" t="str">
        <f>IFERROR(__xludf.DUMMYFUNCTION("GOOGLETRANSLATE(B18273,""id"",""en"")"),"['Severe', 'package', 'already', 'expensive', 'package', 'mnit', 'wktu', 'abisnya', 'udh', 'suck', 'pulse', 'main', ' rb ',' term ',' mnit ',' crazy ',' severe ']")</f>
        <v>['Severe', 'package', 'already', 'expensive', 'package', 'mnit', 'wktu', 'abisnya', 'udh', 'suck', 'pulse', 'main', ' rb ',' term ',' mnit ',' crazy ',' severe ']</v>
      </c>
      <c r="D18273" s="3">
        <v>1.0</v>
      </c>
    </row>
    <row r="18274" ht="15.75" customHeight="1">
      <c r="A18274" s="1">
        <v>19426.0</v>
      </c>
      <c r="B18274" s="3" t="s">
        <v>17299</v>
      </c>
      <c r="C18274" s="3" t="str">
        <f>IFERROR(__xludf.DUMMYFUNCTION("GOOGLETRANSLATE(B18274,""id"",""en"")"),"['network', 'might', 'severe', 'slow', 'price', 'package', 'switch', 'network', 'next door']")</f>
        <v>['network', 'might', 'severe', 'slow', 'price', 'package', 'switch', 'network', 'next door']</v>
      </c>
      <c r="D18274" s="3">
        <v>1.0</v>
      </c>
    </row>
    <row r="18275" ht="15.75" customHeight="1">
      <c r="A18275" s="1">
        <v>19427.0</v>
      </c>
      <c r="B18275" s="3" t="s">
        <v>17300</v>
      </c>
      <c r="C18275" s="3" t="str">
        <f>IFERROR(__xludf.DUMMYFUNCTION("GOOGLETRANSLATE(B18275,""id"",""en"")"),"['Internet', 'slow', 'clock', 'night']")</f>
        <v>['Internet', 'slow', 'clock', 'night']</v>
      </c>
      <c r="D18275" s="3">
        <v>1.0</v>
      </c>
    </row>
    <row r="18276" ht="15.75" customHeight="1">
      <c r="A18276" s="1">
        <v>19428.0</v>
      </c>
      <c r="B18276" s="3" t="s">
        <v>17301</v>
      </c>
      <c r="C18276" s="3" t="str">
        <f>IFERROR(__xludf.DUMMYFUNCTION("GOOGLETRANSLATE(B18276,""id"",""en"")"),"['Network', 'down', 'buy', 'free', 'stay', 'city', 'then', '']")</f>
        <v>['Network', 'down', 'buy', 'free', 'stay', 'city', 'then', '']</v>
      </c>
      <c r="D18276" s="3">
        <v>1.0</v>
      </c>
    </row>
    <row r="18277" ht="15.75" customHeight="1">
      <c r="A18277" s="1">
        <v>19429.0</v>
      </c>
      <c r="B18277" s="3" t="s">
        <v>17302</v>
      </c>
      <c r="C18277" s="3" t="str">
        <f>IFERROR(__xludf.DUMMYFUNCTION("GOOGLETRANSLATE(B18277,""id"",""en"")"),"['installed', 'Android', '']")</f>
        <v>['installed', 'Android', '']</v>
      </c>
      <c r="D18277" s="3">
        <v>5.0</v>
      </c>
    </row>
    <row r="18278" ht="15.75" customHeight="1">
      <c r="A18278" s="1">
        <v>19430.0</v>
      </c>
      <c r="B18278" s="3" t="s">
        <v>17303</v>
      </c>
      <c r="C18278" s="3" t="str">
        <f>IFERROR(__xludf.DUMMYFUNCTION("GOOGLETRANSLATE(B18278,""id"",""en"")"),"['Abis', 'Update', 'Asked', 'White', 'Doang', 'Enter', 'Already', 'Package', 'Expensive', 'Asked', 'Peabah']")</f>
        <v>['Abis', 'Update', 'Asked', 'White', 'Doang', 'Enter', 'Already', 'Package', 'Expensive', 'Asked', 'Peabah']</v>
      </c>
      <c r="D18278" s="3">
        <v>1.0</v>
      </c>
    </row>
    <row r="18279" ht="15.75" customHeight="1">
      <c r="A18279" s="1">
        <v>19431.0</v>
      </c>
      <c r="B18279" s="3" t="s">
        <v>17304</v>
      </c>
      <c r="C18279" s="3" t="str">
        <f>IFERROR(__xludf.DUMMYFUNCTION("GOOGLETRANSLATE(B18279,""id"",""en"")"),"['Telkomsel', 'network', 'fast', 'already', 'kek', 'conch', 'network', 'like', 'lag', 'njir', ""]")</f>
        <v>['Telkomsel', 'network', 'fast', 'already', 'kek', 'conch', 'network', 'like', 'lag', 'njir', "]</v>
      </c>
      <c r="D18279" s="3">
        <v>1.0</v>
      </c>
    </row>
    <row r="18280" ht="15.75" customHeight="1">
      <c r="A18280" s="1">
        <v>19432.0</v>
      </c>
      <c r="B18280" s="3" t="s">
        <v>17305</v>
      </c>
      <c r="C18280" s="3" t="str">
        <f>IFERROR(__xludf.DUMMYFUNCTION("GOOGLETRANSLATE(B18280,""id"",""en"")"),"['comment']")</f>
        <v>['comment']</v>
      </c>
      <c r="D18280" s="3">
        <v>5.0</v>
      </c>
    </row>
    <row r="18281" ht="15.75" customHeight="1">
      <c r="A18281" s="1">
        <v>19433.0</v>
      </c>
      <c r="B18281" s="3" t="s">
        <v>17306</v>
      </c>
      <c r="C18281" s="3" t="str">
        <f>IFERROR(__xludf.DUMMYFUNCTION("GOOGLETRANSLATE(B18281,""id"",""en"")"),"['Lykom', 'Telkom', 'Buy', 'Package', 'Package', 'Combo', 'Pain', 'Internet', 'GB', 'Medsos',' GB ',' Leg ',' Severe ',' Use ',' GB ',' Speed ​​',' Stack ',' Doang ',' Buy ',' Package ',' Data ',' Open ',' Application ',' Lemot ',' Internet ' , 'play', 'g"&amp;"ame', 'online', 'ping', 'setabilia', 'please', 'Telkomsel', 'fix', 'connection', 'network', 'already', 'use', ' cards', 'darling', 'moved', 'operator', 'area', 'city', 'situbondo', 'please', 'fix', 'access',' internet ',' ']")</f>
        <v>['Lykom', 'Telkom', 'Buy', 'Package', 'Package', 'Combo', 'Pain', 'Internet', 'GB', 'Medsos',' GB ',' Leg ',' Severe ',' Use ',' GB ',' Speed ​​',' Stack ',' Doang ',' Buy ',' Package ',' Data ',' Open ',' Application ',' Lemot ',' Internet ' , 'play', 'game', 'online', 'ping', 'setabilia', 'please', 'Telkomsel', 'fix', 'connection', 'network', 'already', 'use', ' cards', 'darling', 'moved', 'operator', 'area', 'city', 'situbondo', 'please', 'fix', 'access',' internet ',' ']</v>
      </c>
      <c r="D18281" s="3">
        <v>2.0</v>
      </c>
    </row>
    <row r="18282" ht="15.75" customHeight="1">
      <c r="A18282" s="1">
        <v>19434.0</v>
      </c>
      <c r="B18282" s="3" t="s">
        <v>17307</v>
      </c>
      <c r="C18282" s="3" t="str">
        <f>IFERROR(__xludf.DUMMYFUNCTION("GOOGLETRANSLATE(B18282,""id"",""en"")"),"['Ngak']")</f>
        <v>['Ngak']</v>
      </c>
      <c r="D18282" s="3">
        <v>1.0</v>
      </c>
    </row>
    <row r="18283" ht="15.75" customHeight="1">
      <c r="A18283" s="1">
        <v>19435.0</v>
      </c>
      <c r="B18283" s="3" t="s">
        <v>17308</v>
      </c>
      <c r="C18283" s="3" t="str">
        <f>IFERROR(__xludf.DUMMYFUNCTION("GOOGLETRANSLATE(B18283,""id"",""en"")"),"['Ngak', 'opened', 'error']")</f>
        <v>['Ngak', 'opened', 'error']</v>
      </c>
      <c r="D18283" s="3">
        <v>5.0</v>
      </c>
    </row>
    <row r="18284" ht="15.75" customHeight="1">
      <c r="A18284" s="1">
        <v>19437.0</v>
      </c>
      <c r="B18284" s="3" t="s">
        <v>17309</v>
      </c>
      <c r="C18284" s="3" t="str">
        <f>IFERROR(__xludf.DUMMYFUNCTION("GOOGLETRANSLATE(B18284,""id"",""en"")"),"['Thank you', 'Telkomsel', 'hope', 'Jaya', ""]")</f>
        <v>['Thank you', 'Telkomsel', 'hope', 'Jaya', "]</v>
      </c>
      <c r="D18284" s="3">
        <v>5.0</v>
      </c>
    </row>
    <row r="18285" ht="15.75" customHeight="1">
      <c r="A18285" s="1">
        <v>19438.0</v>
      </c>
      <c r="B18285" s="3" t="s">
        <v>17310</v>
      </c>
      <c r="C18285" s="3" t="str">
        <f>IFERROR(__xludf.DUMMYFUNCTION("GOOGLETRANSLATE(B18285,""id"",""en"")"),"['Good', 'Performance', '']")</f>
        <v>['Good', 'Performance', '']</v>
      </c>
      <c r="D18285" s="3">
        <v>5.0</v>
      </c>
    </row>
    <row r="18286" ht="15.75" customHeight="1">
      <c r="A18286" s="1">
        <v>19439.0</v>
      </c>
      <c r="B18286" s="3" t="s">
        <v>17311</v>
      </c>
      <c r="C18286" s="3" t="str">
        <f>IFERROR(__xludf.DUMMYFUNCTION("GOOGLETRANSLATE(B18286,""id"",""en"")"),"['', 'Errr', 'collapsed', 'version', 'Telkomsel', 'Download', 'Via', 'Chrome', 'Open', '']")</f>
        <v>['', 'Errr', 'collapsed', 'version', 'Telkomsel', 'Download', 'Via', 'Chrome', 'Open', '']</v>
      </c>
      <c r="D18286" s="3">
        <v>5.0</v>
      </c>
    </row>
    <row r="18287" ht="15.75" customHeight="1">
      <c r="A18287" s="1">
        <v>19440.0</v>
      </c>
      <c r="B18287" s="3" t="s">
        <v>17312</v>
      </c>
      <c r="C18287" s="3" t="str">
        <f>IFERROR(__xludf.DUMMYFUNCTION("GOOGLETRANSLATE(B18287,""id"",""en"")"),"['Love', 'Package', 'Cheap', 'wkwkwwk']")</f>
        <v>['Love', 'Package', 'Cheap', 'wkwkwwk']</v>
      </c>
      <c r="D18287" s="3">
        <v>5.0</v>
      </c>
    </row>
    <row r="18288" ht="15.75" customHeight="1">
      <c r="A18288" s="1">
        <v>19442.0</v>
      </c>
      <c r="B18288" s="3" t="s">
        <v>17313</v>
      </c>
      <c r="C18288" s="3" t="str">
        <f>IFERROR(__xludf.DUMMYFUNCTION("GOOGLETRANSLATE(B18288,""id"",""en"")"),"['Please', 'Repaired', 'System', 'Customer', 'Check', ""]")</f>
        <v>['Please', 'Repaired', 'System', 'Customer', 'Check', "]</v>
      </c>
      <c r="D18288" s="3">
        <v>5.0</v>
      </c>
    </row>
    <row r="18289" ht="15.75" customHeight="1">
      <c r="A18289" s="1">
        <v>19443.0</v>
      </c>
      <c r="B18289" s="3" t="s">
        <v>17314</v>
      </c>
      <c r="C18289" s="3" t="str">
        <f>IFERROR(__xludf.DUMMYFUNCTION("GOOGLETRANSLATE(B18289,""id"",""en"")"),"['list', 'night', 'knp', 'count', 'active', 'below', 'clock', 'night']")</f>
        <v>['list', 'night', 'knp', 'count', 'active', 'below', 'clock', 'night']</v>
      </c>
      <c r="D18289" s="3">
        <v>1.0</v>
      </c>
    </row>
    <row r="18290" ht="15.75" customHeight="1">
      <c r="A18290" s="1">
        <v>19444.0</v>
      </c>
      <c r="B18290" s="3" t="s">
        <v>17315</v>
      </c>
      <c r="C18290" s="3" t="str">
        <f>IFERROR(__xludf.DUMMYFUNCTION("GOOGLETRANSLATE(B18290,""id"",""en"")"),"['Update', 'update', 'Application', 'Obligation', 'Open', 'Application', 'TPI', 'BLM', 'Update', 'Invasioned', 'Playstore', 'Version', ' Cepet ',' really ',' add ']")</f>
        <v>['Update', 'update', 'Application', 'Obligation', 'Open', 'Application', 'TPI', 'BLM', 'Update', 'Invasioned', 'Playstore', 'Version', ' Cepet ',' really ',' add ']</v>
      </c>
      <c r="D18290" s="3">
        <v>4.0</v>
      </c>
    </row>
    <row r="18291" ht="15.75" customHeight="1">
      <c r="A18291" s="1">
        <v>19446.0</v>
      </c>
      <c r="B18291" s="3" t="s">
        <v>17316</v>
      </c>
      <c r="C18291" s="3" t="str">
        <f>IFERROR(__xludf.DUMMYFUNCTION("GOOGLETRANSLATE(B18291,""id"",""en"")"),"['Gift', 'Lottery', 'Telkomsel', '']")</f>
        <v>['Gift', 'Lottery', 'Telkomsel', '']</v>
      </c>
      <c r="D18291" s="3">
        <v>4.0</v>
      </c>
    </row>
    <row r="18292" ht="15.75" customHeight="1">
      <c r="A18292" s="1">
        <v>19447.0</v>
      </c>
      <c r="B18292" s="3" t="s">
        <v>17317</v>
      </c>
      <c r="C18292" s="3" t="str">
        <f>IFERROR(__xludf.DUMMYFUNCTION("GOOGLETRANSLATE(B18292,""id"",""en"")"),"['Yuk', 'moved', 'provider', 'Yuk', 'UDH', 'buy', 'quota', 'expensive', 'network', 'kenceng', 'provider', 'sided', ' Cheap ',' trick ',' Telkomsel ',' expensive ',' Customize ',' Network ',' ']")</f>
        <v>['Yuk', 'moved', 'provider', 'Yuk', 'UDH', 'buy', 'quota', 'expensive', 'network', 'kenceng', 'provider', 'sided', ' Cheap ',' trick ',' Telkomsel ',' expensive ',' Customize ',' Network ',' ']</v>
      </c>
      <c r="D18292" s="3">
        <v>1.0</v>
      </c>
    </row>
    <row r="18293" ht="15.75" customHeight="1">
      <c r="A18293" s="1">
        <v>19448.0</v>
      </c>
      <c r="B18293" s="3" t="s">
        <v>17318</v>
      </c>
      <c r="C18293" s="3" t="str">
        <f>IFERROR(__xludf.DUMMYFUNCTION("GOOGLETRANSLATE(B18293,""id"",""en"")"),"['Hope', 'Win', 'Lottery', 'Promo', 'Point', 'Telkomsel', 'Hope', 'Imoin', 'Imagine', 'materialized', 'MyTelkomSwk', 'Thanks',' Four ',' all ',' ']")</f>
        <v>['Hope', 'Win', 'Lottery', 'Promo', 'Point', 'Telkomsel', 'Hope', 'Imoin', 'Imagine', 'materialized', 'MyTelkomSwk', 'Thanks',' Four ',' all ',' ']</v>
      </c>
      <c r="D18293" s="3">
        <v>5.0</v>
      </c>
    </row>
    <row r="18294" ht="15.75" customHeight="1">
      <c r="A18294" s="1">
        <v>19449.0</v>
      </c>
      <c r="B18294" s="3" t="s">
        <v>17319</v>
      </c>
      <c r="C18294" s="3" t="str">
        <f>IFERROR(__xludf.DUMMYFUNCTION("GOOGLETRANSLATE(B18294,""id"",""en"")"),"['already', 'cost', 'package', 'internet', 'expensive', 'network', 'snail', 'regret', 'cave', 'buy', 'card', 'fast', ' The network is', 'Kayak', 'Snail', 'Change', '']")</f>
        <v>['already', 'cost', 'package', 'internet', 'expensive', 'network', 'snail', 'regret', 'cave', 'buy', 'card', 'fast', ' The network is', 'Kayak', 'Snail', 'Change', '']</v>
      </c>
      <c r="D18294" s="3">
        <v>1.0</v>
      </c>
    </row>
    <row r="18295" ht="15.75" customHeight="1">
      <c r="A18295" s="1">
        <v>19451.0</v>
      </c>
      <c r="B18295" s="3" t="s">
        <v>17320</v>
      </c>
      <c r="C18295" s="3" t="str">
        <f>IFERROR(__xludf.DUMMYFUNCTION("GOOGLETRANSLATE(B18295,""id"",""en"")"),"['like', 'app']")</f>
        <v>['like', 'app']</v>
      </c>
      <c r="D18295" s="3">
        <v>5.0</v>
      </c>
    </row>
    <row r="18296" ht="15.75" customHeight="1">
      <c r="A18296" s="1">
        <v>19452.0</v>
      </c>
      <c r="B18296" s="3" t="s">
        <v>17321</v>
      </c>
      <c r="C18296" s="3" t="str">
        <f>IFERROR(__xludf.DUMMYFUNCTION("GOOGLETRANSLATE(B18296,""id"",""en"")"),"['Enter', 'Application', 'White', 'Screen', 'Update', '']")</f>
        <v>['Enter', 'Application', 'White', 'Screen', 'Update', '']</v>
      </c>
      <c r="D18296" s="3">
        <v>1.0</v>
      </c>
    </row>
    <row r="18297" ht="15.75" customHeight="1">
      <c r="A18297" s="1">
        <v>19453.0</v>
      </c>
      <c r="B18297" s="3" t="s">
        <v>17322</v>
      </c>
      <c r="C18297" s="3" t="str">
        <f>IFERROR(__xludf.DUMMYFUNCTION("GOOGLETRANSLATE(B18297,""id"",""en"")"),"['signal', 'ugly', 'fix', 'woyyy']")</f>
        <v>['signal', 'ugly', 'fix', 'woyyy']</v>
      </c>
      <c r="D18297" s="3">
        <v>1.0</v>
      </c>
    </row>
    <row r="18298" ht="15.75" customHeight="1">
      <c r="A18298" s="1">
        <v>19454.0</v>
      </c>
      <c r="B18298" s="3" t="s">
        <v>17323</v>
      </c>
      <c r="C18298" s="3" t="str">
        <f>IFERROR(__xludf.DUMMYFUNCTION("GOOGLETRANSLATE(B18298,""id"",""en"")"),"['Helpful', 'Telkomsel']")</f>
        <v>['Helpful', 'Telkomsel']</v>
      </c>
      <c r="D18298" s="3">
        <v>3.0</v>
      </c>
    </row>
    <row r="18299" ht="15.75" customHeight="1">
      <c r="A18299" s="1">
        <v>19455.0</v>
      </c>
      <c r="B18299" s="3" t="s">
        <v>17324</v>
      </c>
      <c r="C18299" s="3" t="str">
        <f>IFERROR(__xludf.DUMMYFUNCTION("GOOGLETRANSLATE(B18299,""id"",""en"")"),"['Application', 'supports', 'furniture', 'pulse', 'need']")</f>
        <v>['Application', 'supports', 'furniture', 'pulse', 'need']</v>
      </c>
      <c r="D18299" s="3">
        <v>5.0</v>
      </c>
    </row>
    <row r="18300" ht="15.75" customHeight="1">
      <c r="A18300" s="1">
        <v>19457.0</v>
      </c>
      <c r="B18300" s="3" t="s">
        <v>17325</v>
      </c>
      <c r="C18300" s="3" t="str">
        <f>IFERROR(__xludf.DUMMYFUNCTION("GOOGLETRANSLATE(B18300,""id"",""en"")"),"['package', 'quota', 'internet', 'cheap', 'thank you']")</f>
        <v>['package', 'quota', 'internet', 'cheap', 'thank you']</v>
      </c>
      <c r="D18300" s="3">
        <v>5.0</v>
      </c>
    </row>
    <row r="18301" ht="15.75" customHeight="1">
      <c r="A18301" s="1">
        <v>19458.0</v>
      </c>
      <c r="B18301" s="3" t="s">
        <v>17326</v>
      </c>
      <c r="C18301" s="3" t="str">
        <f>IFERROR(__xludf.DUMMYFUNCTION("GOOGLETRANSLATE(B18301,""id"",""en"")"),"['Open', 'check', 'quota', 'no', 'white', 'screen', ""]")</f>
        <v>['Open', 'check', 'quota', 'no', 'white', 'screen', "]</v>
      </c>
      <c r="D18301" s="3">
        <v>1.0</v>
      </c>
    </row>
    <row r="18302" ht="15.75" customHeight="1">
      <c r="A18302" s="1">
        <v>19459.0</v>
      </c>
      <c r="B18302" s="3" t="s">
        <v>17327</v>
      </c>
      <c r="C18302" s="3" t="str">
        <f>IFERROR(__xludf.DUMMYFUNCTION("GOOGLETRANSLATE(B18302,""id"",""en"")"),"['quota', 'data', 'internet', 'lost', 'network', 'disappointing', '']")</f>
        <v>['quota', 'data', 'internet', 'lost', 'network', 'disappointing', '']</v>
      </c>
      <c r="D18302" s="3">
        <v>1.0</v>
      </c>
    </row>
    <row r="18303" ht="15.75" customHeight="1">
      <c r="A18303" s="1">
        <v>19460.0</v>
      </c>
      <c r="B18303" s="3" t="s">
        <v>17328</v>
      </c>
      <c r="C18303" s="3" t="str">
        <f>IFERROR(__xludf.DUMMYFUNCTION("GOOGLETRANSLATE(B18303,""id"",""en"")"),"['Network', 'Telkomsel', 'slow', 'Different', 'Good', 'Indosat', ""]")</f>
        <v>['Network', 'Telkomsel', 'slow', 'Different', 'Good', 'Indosat', "]</v>
      </c>
      <c r="D18303" s="3">
        <v>2.0</v>
      </c>
    </row>
    <row r="18304" ht="15.75" customHeight="1">
      <c r="A18304" s="1">
        <v>19461.0</v>
      </c>
      <c r="B18304" s="3" t="s">
        <v>17329</v>
      </c>
      <c r="C18304" s="3" t="str">
        <f>IFERROR(__xludf.DUMMYFUNCTION("GOOGLETRANSLATE(B18304,""id"",""en"")"),"['Good', 'network', 'bagusan', 'network', 'already', 'fasting', 'ampe', 'improvement', 'APN', 'tired', 'gontain', 'replace', ' APN ',' Conserryer ',' Costumer ',' Servic ',' Already ',' Gada ',' Change ',' Karna ',' Region ',' Meranti ',' Selatpanjang ','"&amp;" GMN ',' represents' , 'disappointment', '']")</f>
        <v>['Good', 'network', 'bagusan', 'network', 'already', 'fasting', 'ampe', 'improvement', 'APN', 'tired', 'gontain', 'replace', ' APN ',' Conserryer ',' Costumer ',' Servic ',' Already ',' Gada ',' Change ',' Karna ',' Region ',' Meranti ',' Selatpanjang ',' GMN ',' represents' , 'disappointment', '']</v>
      </c>
      <c r="D18304" s="3">
        <v>1.0</v>
      </c>
    </row>
    <row r="18305" ht="15.75" customHeight="1">
      <c r="A18305" s="1">
        <v>19462.0</v>
      </c>
      <c r="B18305" s="3" t="s">
        <v>17330</v>
      </c>
      <c r="C18305" s="3" t="str">
        <f>IFERROR(__xludf.DUMMYFUNCTION("GOOGLETRANSLATE(B18305,""id"",""en"")"),"['', 'bsa', 'dbuka', 'paraaaaah']")</f>
        <v>['', 'bsa', 'dbuka', 'paraaaaah']</v>
      </c>
      <c r="D18305" s="3">
        <v>1.0</v>
      </c>
    </row>
    <row r="18306" ht="15.75" customHeight="1">
      <c r="A18306" s="1">
        <v>19463.0</v>
      </c>
      <c r="B18306" s="3" t="s">
        <v>17331</v>
      </c>
      <c r="C18306" s="3" t="str">
        <f>IFERROR(__xludf.DUMMYFUNCTION("GOOGLETRANSLATE(B18306,""id"",""en"")"),"['Network', 'Telkomsel', 'Makinhari', 'ugly', '']")</f>
        <v>['Network', 'Telkomsel', 'Makinhari', 'ugly', '']</v>
      </c>
      <c r="D18306" s="3">
        <v>1.0</v>
      </c>
    </row>
    <row r="18307" ht="15.75" customHeight="1">
      <c r="A18307" s="1">
        <v>19464.0</v>
      </c>
      <c r="B18307" s="3" t="s">
        <v>17332</v>
      </c>
      <c r="C18307" s="3" t="str">
        <f>IFERROR(__xludf.DUMMYFUNCTION("GOOGLETRANSLATE(B18307,""id"",""en"")"),"['try']")</f>
        <v>['try']</v>
      </c>
      <c r="D18307" s="3">
        <v>2.0</v>
      </c>
    </row>
    <row r="18308" ht="15.75" customHeight="1">
      <c r="A18308" s="1">
        <v>19465.0</v>
      </c>
      <c r="B18308" s="3" t="s">
        <v>17333</v>
      </c>
      <c r="C18308" s="3" t="str">
        <f>IFERROR(__xludf.DUMMYFUNCTION("GOOGLETRANSLATE(B18308,""id"",""en"")"),"['Install', 'APK', 'Buy', 'Package', 'Internet', 'Combo', 'Sakti', 'Kali', 'Kembeli', 'Cuman', 'Package', 'Internet', ' Combo ',' Sakti ']")</f>
        <v>['Install', 'APK', 'Buy', 'Package', 'Internet', 'Combo', 'Sakti', 'Kali', 'Kembeli', 'Cuman', 'Package', 'Internet', ' Combo ',' Sakti ']</v>
      </c>
      <c r="D18308" s="3">
        <v>1.0</v>
      </c>
    </row>
    <row r="18309" ht="15.75" customHeight="1">
      <c r="A18309" s="1">
        <v>19466.0</v>
      </c>
      <c r="B18309" s="3" t="s">
        <v>17334</v>
      </c>
      <c r="C18309" s="3" t="str">
        <f>IFERROR(__xludf.DUMMYFUNCTION("GOOGLETRANSLATE(B18309,""id"",""en"")"),"['quota', 'locally', 'donq', '']")</f>
        <v>['quota', 'locally', 'donq', '']</v>
      </c>
      <c r="D18309" s="3">
        <v>5.0</v>
      </c>
    </row>
    <row r="18310" ht="15.75" customHeight="1">
      <c r="A18310" s="1">
        <v>19467.0</v>
      </c>
      <c r="B18310" s="3" t="s">
        <v>17335</v>
      </c>
      <c r="C18310" s="3" t="str">
        <f>IFERROR(__xludf.DUMMYFUNCTION("GOOGLETRANSLATE(B18310,""id"",""en"")"),"['application', 'update', '']")</f>
        <v>['application', 'update', '']</v>
      </c>
      <c r="D18310" s="3">
        <v>1.0</v>
      </c>
    </row>
    <row r="18311" ht="15.75" customHeight="1">
      <c r="A18311" s="1">
        <v>19468.0</v>
      </c>
      <c r="B18311" s="3" t="s">
        <v>17336</v>
      </c>
      <c r="C18311" s="3" t="str">
        <f>IFERROR(__xludf.DUMMYFUNCTION("GOOGLETRANSLATE(B18311,""id"",""en"")"),"['Veronikya', 'Gabisa', 'Udh', 'Make', 'Paketan', 'Disappointed', 'Move', 'Card', 'Please', 'RESPONT', '']")</f>
        <v>['Veronikya', 'Gabisa', 'Udh', 'Make', 'Paketan', 'Disappointed', 'Move', 'Card', 'Please', 'RESPONT', '']</v>
      </c>
      <c r="D18311" s="3">
        <v>1.0</v>
      </c>
    </row>
    <row r="18312" ht="15.75" customHeight="1">
      <c r="A18312" s="1">
        <v>19469.0</v>
      </c>
      <c r="B18312" s="3" t="s">
        <v>12089</v>
      </c>
      <c r="C18312" s="3" t="str">
        <f>IFERROR(__xludf.DUMMYFUNCTION("GOOGLETRANSLATE(B18312,""id"",""en"")"),"['Lally', 'promo']")</f>
        <v>['Lally', 'promo']</v>
      </c>
      <c r="D18312" s="3">
        <v>4.0</v>
      </c>
    </row>
    <row r="18313" ht="15.75" customHeight="1">
      <c r="A18313" s="1">
        <v>19470.0</v>
      </c>
      <c r="B18313" s="3" t="s">
        <v>17337</v>
      </c>
      <c r="C18313" s="3" t="str">
        <f>IFERROR(__xludf.DUMMYFUNCTION("GOOGLETRANSLATE(B18313,""id"",""en"")"),"['Nie', 'Telkomsel', 'Open']")</f>
        <v>['Nie', 'Telkomsel', 'Open']</v>
      </c>
      <c r="D18313" s="3">
        <v>5.0</v>
      </c>
    </row>
    <row r="18314" ht="15.75" customHeight="1">
      <c r="A18314" s="1">
        <v>19471.0</v>
      </c>
      <c r="B18314" s="3" t="s">
        <v>17338</v>
      </c>
      <c r="C18314" s="3" t="str">
        <f>IFERROR(__xludf.DUMMYFUNCTION("GOOGLETRANSLATE(B18314,""id"",""en"")"),"['Credit', 'Open', 'Application', 'WiFi', 'Credit']")</f>
        <v>['Credit', 'Open', 'Application', 'WiFi', 'Credit']</v>
      </c>
      <c r="D18314" s="3">
        <v>1.0</v>
      </c>
    </row>
    <row r="18315" ht="15.75" customHeight="1">
      <c r="A18315" s="1">
        <v>19472.0</v>
      </c>
      <c r="B18315" s="3" t="s">
        <v>17339</v>
      </c>
      <c r="C18315" s="3" t="str">
        <f>IFERROR(__xludf.DUMMYFUNCTION("GOOGLETRANSLATE(B18315,""id"",""en"")"),"['Severe', 'Update', 'Version', 'Bad', 'Display']")</f>
        <v>['Severe', 'Update', 'Version', 'Bad', 'Display']</v>
      </c>
      <c r="D18315" s="3">
        <v>1.0</v>
      </c>
    </row>
    <row r="18316" ht="15.75" customHeight="1">
      <c r="A18316" s="1">
        <v>19473.0</v>
      </c>
      <c r="B18316" s="3" t="s">
        <v>17340</v>
      </c>
      <c r="C18316" s="3" t="str">
        <f>IFERROR(__xludf.DUMMYFUNCTION("GOOGLETRANSLATE(B18316,""id"",""en"")"),"['error', 'MyTelkomsel', 'open', 'detrimental', 'package', 'internet', 'bought', 'try', 'handle it', 'cleaning', 'cache', 'application', ' Install ',' reset ',' Application ',' Delete ',' Tide ',' SUCCESS ',' ']")</f>
        <v>['error', 'MyTelkomsel', 'open', 'detrimental', 'package', 'internet', 'bought', 'try', 'handle it', 'cleaning', 'cache', 'application', ' Install ',' reset ',' Application ',' Delete ',' Tide ',' SUCCESS ',' ']</v>
      </c>
      <c r="D18316" s="3">
        <v>3.0</v>
      </c>
    </row>
    <row r="18317" ht="15.75" customHeight="1">
      <c r="A18317" s="1">
        <v>19474.0</v>
      </c>
      <c r="B18317" s="3" t="s">
        <v>17341</v>
      </c>
      <c r="C18317" s="3" t="str">
        <f>IFERROR(__xludf.DUMMYFUNCTION("GOOGLETRANSLATE(B18317,""id"",""en"")"),"['Please', 'Network', 'Internet', 'Increase', 'Really', 'Lemot']")</f>
        <v>['Please', 'Network', 'Internet', 'Increase', 'Really', 'Lemot']</v>
      </c>
      <c r="D18317" s="3">
        <v>1.0</v>
      </c>
    </row>
    <row r="18318" ht="15.75" customHeight="1">
      <c r="A18318" s="1">
        <v>19475.0</v>
      </c>
      <c r="B18318" s="3" t="s">
        <v>1257</v>
      </c>
      <c r="C18318" s="3" t="str">
        <f>IFERROR(__xludf.DUMMYFUNCTION("GOOGLETRANSLATE(B18318,""id"",""en"")"),"['Opened']")</f>
        <v>['Opened']</v>
      </c>
      <c r="D18318" s="3">
        <v>5.0</v>
      </c>
    </row>
    <row r="18319" ht="15.75" customHeight="1">
      <c r="A18319" s="1">
        <v>19476.0</v>
      </c>
      <c r="B18319" s="3" t="s">
        <v>17342</v>
      </c>
      <c r="C18319" s="3" t="str">
        <f>IFERROR(__xludf.DUMMYFUNCTION("GOOGLETRANSLATE(B18319,""id"",""en"")"),"['Crazy', 'Telkomsel', 'already', 'a month', 'Network', 'Bener', 'Switch', 'card', 'Beginj']")</f>
        <v>['Crazy', 'Telkomsel', 'already', 'a month', 'Network', 'Bener', 'Switch', 'card', 'Beginj']</v>
      </c>
      <c r="D18319" s="3">
        <v>1.0</v>
      </c>
    </row>
    <row r="18320" ht="15.75" customHeight="1">
      <c r="A18320" s="1">
        <v>19477.0</v>
      </c>
      <c r="B18320" s="3" t="s">
        <v>17343</v>
      </c>
      <c r="C18320" s="3" t="str">
        <f>IFERROR(__xludf.DUMMYFUNCTION("GOOGLETRANSLATE(B18320,""id"",""en"")"),"['Telkomsel', 'love', 'bonus', 'data', 'free']")</f>
        <v>['Telkomsel', 'love', 'bonus', 'data', 'free']</v>
      </c>
      <c r="D18320" s="3">
        <v>5.0</v>
      </c>
    </row>
    <row r="18321" ht="15.75" customHeight="1">
      <c r="A18321" s="1">
        <v>19478.0</v>
      </c>
      <c r="B18321" s="3" t="s">
        <v>17344</v>
      </c>
      <c r="C18321" s="3" t="str">
        <f>IFERROR(__xludf.DUMMYFUNCTION("GOOGLETRANSLATE(B18321,""id"",""en"")"),"['like', 'network', 'broad']")</f>
        <v>['like', 'network', 'broad']</v>
      </c>
      <c r="D18321" s="3">
        <v>5.0</v>
      </c>
    </row>
    <row r="18322" ht="15.75" customHeight="1">
      <c r="A18322" s="1">
        <v>19479.0</v>
      </c>
      <c r="B18322" s="3" t="s">
        <v>17345</v>
      </c>
      <c r="C18322" s="3" t="str">
        <f>IFERROR(__xludf.DUMMYFUNCTION("GOOGLETRANSLATE(B18322,""id"",""en"")"),"['knpa', 'koq', 'open', 'lgi', 'apk', '']")</f>
        <v>['knpa', 'koq', 'open', 'lgi', 'apk', '']</v>
      </c>
      <c r="D18322" s="3">
        <v>1.0</v>
      </c>
    </row>
    <row r="18323" ht="15.75" customHeight="1">
      <c r="A18323" s="1">
        <v>19480.0</v>
      </c>
      <c r="B18323" s="3" t="s">
        <v>17346</v>
      </c>
      <c r="C18323" s="3" t="str">
        <f>IFERROR(__xludf.DUMMYFUNCTION("GOOGLETRANSLATE(B18323,""id"",""en"")"),"['Application', 'Access', 'Purchase', 'Package', 'Internet', 'Please', 'Telkomsel', 'Condition', ""]")</f>
        <v>['Application', 'Access', 'Purchase', 'Package', 'Internet', 'Please', 'Telkomsel', 'Condition', "]</v>
      </c>
      <c r="D18323" s="3">
        <v>1.0</v>
      </c>
    </row>
    <row r="18324" ht="15.75" customHeight="1">
      <c r="A18324" s="1">
        <v>19482.0</v>
      </c>
      <c r="B18324" s="3" t="s">
        <v>17347</v>
      </c>
      <c r="C18324" s="3" t="str">
        <f>IFERROR(__xludf.DUMMYFUNCTION("GOOGLETRANSLATE(B18324,""id"",""en"")"),"['buy', 'quota', 'big', 'trs',' promo ',' only ',' rare ',' contents', 'promo', 'big', 'kenda', 'yaa', ' Doly buy ',' Barengan ',' ']")</f>
        <v>['buy', 'quota', 'big', 'trs',' promo ',' only ',' rare ',' contents', 'promo', 'big', 'kenda', 'yaa', ' Doly buy ',' Barengan ',' ']</v>
      </c>
      <c r="D18324" s="3">
        <v>2.0</v>
      </c>
    </row>
    <row r="18325" ht="15.75" customHeight="1">
      <c r="A18325" s="1">
        <v>19483.0</v>
      </c>
      <c r="B18325" s="3" t="s">
        <v>17348</v>
      </c>
      <c r="C18325" s="3" t="str">
        <f>IFERROR(__xludf.DUMMYFUNCTION("GOOGLETRANSLATE(B18325,""id"",""en"")"),"['Current', 'Internet', 'Satisfied']")</f>
        <v>['Current', 'Internet', 'Satisfied']</v>
      </c>
      <c r="D18325" s="3">
        <v>3.0</v>
      </c>
    </row>
    <row r="18326" ht="15.75" customHeight="1">
      <c r="A18326" s="1">
        <v>19485.0</v>
      </c>
      <c r="B18326" s="3" t="s">
        <v>17349</v>
      </c>
      <c r="C18326" s="3" t="str">
        <f>IFERROR(__xludf.DUMMYFUNCTION("GOOGLETRANSLATE(B18326,""id"",""en"")"),"['Claim', 'Gift', 'Credit', 'Claim', 'Credit', 'ilang']")</f>
        <v>['Claim', 'Gift', 'Credit', 'Claim', 'Credit', 'ilang']</v>
      </c>
      <c r="D18326" s="3">
        <v>1.0</v>
      </c>
    </row>
    <row r="18327" ht="15.75" customHeight="1">
      <c r="A18327" s="1">
        <v>19486.0</v>
      </c>
      <c r="B18327" s="3" t="s">
        <v>17350</v>
      </c>
      <c r="C18327" s="3" t="str">
        <f>IFERROR(__xludf.DUMMYFUNCTION("GOOGLETRANSLATE(B18327,""id"",""en"")"),"['installed', 'run out', 'installed', 'just', 'appears', 'screen', 'white']")</f>
        <v>['installed', 'run out', 'installed', 'just', 'appears', 'screen', 'white']</v>
      </c>
      <c r="D18327" s="3">
        <v>5.0</v>
      </c>
    </row>
    <row r="18328" ht="15.75" customHeight="1">
      <c r="A18328" s="1">
        <v>19487.0</v>
      </c>
      <c r="B18328" s="3" t="s">
        <v>17351</v>
      </c>
      <c r="C18328" s="3" t="str">
        <f>IFERROR(__xludf.DUMMYFUNCTION("GOOGLETRANSLATE(B18328,""id"",""en"")"),"['Telkomsel', 'Original', 'Connect', 'Fill', 'Combo', 'Monetry', ""]")</f>
        <v>['Telkomsel', 'Original', 'Connect', 'Fill', 'Combo', 'Monetry', "]</v>
      </c>
      <c r="D18328" s="3">
        <v>1.0</v>
      </c>
    </row>
    <row r="18329" ht="15.75" customHeight="1">
      <c r="A18329" s="1">
        <v>19488.0</v>
      </c>
      <c r="B18329" s="3" t="s">
        <v>17352</v>
      </c>
      <c r="C18329" s="3" t="str">
        <f>IFERROR(__xludf.DUMMYFUNCTION("GOOGLETRANSLATE(B18329,""id"",""en"")"),"['Application', 'White', 'Doang', 'appears']")</f>
        <v>['Application', 'White', 'Doang', 'appears']</v>
      </c>
      <c r="D18329" s="3">
        <v>3.0</v>
      </c>
    </row>
    <row r="18330" ht="15.75" customHeight="1">
      <c r="A18330" s="1">
        <v>19489.0</v>
      </c>
      <c r="B18330" s="3" t="s">
        <v>17353</v>
      </c>
      <c r="C18330" s="3" t="str">
        <f>IFERROR(__xludf.DUMMYFUNCTION("GOOGLETRANSLATE(B18330,""id"",""en"")"),"['Star', 'package', 'cheap', 'thank', 'love', 'Telkomsel', 'success', '']")</f>
        <v>['Star', 'package', 'cheap', 'thank', 'love', 'Telkomsel', 'success', '']</v>
      </c>
      <c r="D18330" s="3">
        <v>5.0</v>
      </c>
    </row>
    <row r="18331" ht="15.75" customHeight="1">
      <c r="A18331" s="1">
        <v>19490.0</v>
      </c>
      <c r="B18331" s="3" t="s">
        <v>17354</v>
      </c>
      <c r="C18331" s="3" t="str">
        <f>IFERROR(__xludf.DUMMYFUNCTION("GOOGLETRANSLATE(B18331,""id"",""en"")"),"['right', 'opened', 'appears', 'screen', 'white', '']")</f>
        <v>['right', 'opened', 'appears', 'screen', 'white', '']</v>
      </c>
      <c r="D18331" s="3">
        <v>1.0</v>
      </c>
    </row>
    <row r="18332" ht="15.75" customHeight="1">
      <c r="A18332" s="1">
        <v>19491.0</v>
      </c>
      <c r="B18332" s="3" t="s">
        <v>17355</v>
      </c>
      <c r="C18332" s="3" t="str">
        <f>IFERROR(__xludf.DUMMYFUNCTION("GOOGLETRANSLATE(B18332,""id"",""en"")"),"['application', 'open', 'screen', 'empty', '']")</f>
        <v>['application', 'open', 'screen', 'empty', '']</v>
      </c>
      <c r="D18332" s="3">
        <v>2.0</v>
      </c>
    </row>
    <row r="18333" ht="15.75" customHeight="1">
      <c r="A18333" s="1">
        <v>19492.0</v>
      </c>
      <c r="B18333" s="3" t="s">
        <v>17356</v>
      </c>
      <c r="C18333" s="3" t="str">
        <f>IFERROR(__xludf.DUMMYFUNCTION("GOOGLETRANSLATE(B18333,""id"",""en"")"),"['Oklah', 'tsel']")</f>
        <v>['Oklah', 'tsel']</v>
      </c>
      <c r="D18333" s="3">
        <v>4.0</v>
      </c>
    </row>
    <row r="18334" ht="15.75" customHeight="1">
      <c r="A18334" s="1">
        <v>19493.0</v>
      </c>
      <c r="B18334" s="3" t="s">
        <v>17357</v>
      </c>
      <c r="C18334" s="3" t="str">
        <f>IFERROR(__xludf.DUMMYFUNCTION("GOOGLETRANSLATE(B18334,""id"",""en"")"),"['', 'Telkomsel', 'Increases', 'Quality', 'Application', '']")</f>
        <v>['', 'Telkomsel', 'Increases', 'Quality', 'Application', '']</v>
      </c>
      <c r="D18334" s="3">
        <v>5.0</v>
      </c>
    </row>
    <row r="18335" ht="15.75" customHeight="1">
      <c r="A18335" s="1">
        <v>19494.0</v>
      </c>
      <c r="B18335" s="3" t="s">
        <v>17358</v>
      </c>
      <c r="C18335" s="3" t="str">
        <f>IFERROR(__xludf.DUMMYFUNCTION("GOOGLETRANSLATE(B18335,""id"",""en"")"),"['Severe', 'really', 'sympathy', 'dipake', 'download', 'slow', 'mercy', 'maen', 'game', 'sympathy', 'knpa', 'network', ' Rich ',' Gini ',' Severe ',' Very ',' Different ',' Provider ',' Next to ', ""]")</f>
        <v>['Severe', 'really', 'sympathy', 'dipake', 'download', 'slow', 'mercy', 'maen', 'game', 'sympathy', 'knpa', 'network', ' Rich ',' Gini ',' Severe ',' Very ',' Different ',' Provider ',' Next to ', "]</v>
      </c>
      <c r="D18335" s="3">
        <v>1.0</v>
      </c>
    </row>
    <row r="18336" ht="15.75" customHeight="1">
      <c r="A18336" s="1">
        <v>19495.0</v>
      </c>
      <c r="B18336" s="3" t="s">
        <v>17359</v>
      </c>
      <c r="C18336" s="3" t="str">
        <f>IFERROR(__xludf.DUMMYFUNCTION("GOOGLETRANSLATE(B18336,""id"",""en"")"),"['bad network', '']")</f>
        <v>['bad network', '']</v>
      </c>
      <c r="D18336" s="3">
        <v>3.0</v>
      </c>
    </row>
    <row r="18337" ht="15.75" customHeight="1">
      <c r="A18337" s="1">
        <v>19496.0</v>
      </c>
      <c r="B18337" s="3" t="s">
        <v>17360</v>
      </c>
      <c r="C18337" s="3" t="str">
        <f>IFERROR(__xludf.DUMMYFUNCTION("GOOGLETRANSLATE(B18337,""id"",""en"")"),"['Dear', 'Telkomsel', 'hope', 'points', 'exchange', 'pulses', 'thanks', 'service', 'best', '']")</f>
        <v>['Dear', 'Telkomsel', 'hope', 'points', 'exchange', 'pulses', 'thanks', 'service', 'best', '']</v>
      </c>
      <c r="D18337" s="3">
        <v>5.0</v>
      </c>
    </row>
    <row r="18338" ht="15.75" customHeight="1">
      <c r="A18338" s="1">
        <v>19497.0</v>
      </c>
      <c r="B18338" s="3" t="s">
        <v>17361</v>
      </c>
      <c r="C18338" s="3" t="str">
        <f>IFERROR(__xludf.DUMMYFUNCTION("GOOGLETRANSLATE(B18338,""id"",""en"")"),"['heavy', 'Megnified']")</f>
        <v>['heavy', 'Megnified']</v>
      </c>
      <c r="D18338" s="3">
        <v>3.0</v>
      </c>
    </row>
    <row r="18339" ht="15.75" customHeight="1">
      <c r="A18339" s="1">
        <v>19498.0</v>
      </c>
      <c r="B18339" s="3" t="s">
        <v>17362</v>
      </c>
      <c r="C18339" s="3" t="str">
        <f>IFERROR(__xludf.DUMMYFUNCTION("GOOGLETRANSLATE(B18339,""id"",""en"")"),"['difficult', 'really', 'open', 'application', 'Telkomsel']")</f>
        <v>['difficult', 'really', 'open', 'application', 'Telkomsel']</v>
      </c>
      <c r="D18339" s="3">
        <v>1.0</v>
      </c>
    </row>
    <row r="18340" ht="15.75" customHeight="1">
      <c r="A18340" s="1">
        <v>19499.0</v>
      </c>
      <c r="B18340" s="3" t="s">
        <v>17363</v>
      </c>
      <c r="C18340" s="3" t="str">
        <f>IFERROR(__xludf.DUMMYFUNCTION("GOOGLETRANSLATE(B18340,""id"",""en"")"),"['Package', 'Data', 'Doang', 'Expensive', 'Signal', 'BANGJE', 'UJAN', 'BANGJE', 'Abis', ""]")</f>
        <v>['Package', 'Data', 'Doang', 'Expensive', 'Signal', 'BANGJE', 'UJAN', 'BANGJE', 'Abis', "]</v>
      </c>
      <c r="D18340" s="3">
        <v>1.0</v>
      </c>
    </row>
    <row r="18341" ht="15.75" customHeight="1">
      <c r="A18341" s="1">
        <v>19500.0</v>
      </c>
      <c r="B18341" s="3" t="s">
        <v>17364</v>
      </c>
      <c r="C18341" s="3" t="str">
        <f>IFERROR(__xludf.DUMMYFUNCTION("GOOGLETRANSLATE(B18341,""id"",""en"")"),"['Competitive', 'Price', 'Service', 'Best', 'Indosat']")</f>
        <v>['Competitive', 'Price', 'Service', 'Best', 'Indosat']</v>
      </c>
      <c r="D18341" s="3">
        <v>5.0</v>
      </c>
    </row>
    <row r="18342" ht="15.75" customHeight="1">
      <c r="A18342" s="1">
        <v>19501.0</v>
      </c>
      <c r="B18342" s="3" t="s">
        <v>17365</v>
      </c>
      <c r="C18342" s="3" t="str">
        <f>IFERROR(__xludf.DUMMYFUNCTION("GOOGLETRANSLATE(B18342,""id"",""en"")"),"['signal', 'gasetable', 'really', 'already', '']")</f>
        <v>['signal', 'gasetable', 'really', 'already', '']</v>
      </c>
      <c r="D18342" s="3">
        <v>1.0</v>
      </c>
    </row>
    <row r="18343" ht="15.75" customHeight="1">
      <c r="A18343" s="1">
        <v>19502.0</v>
      </c>
      <c r="B18343" s="3" t="s">
        <v>17366</v>
      </c>
      <c r="C18343" s="3" t="str">
        <f>IFERROR(__xludf.DUMMYFUNCTION("GOOGLETRANSLATE(B18343,""id"",""en"")"),"['signal', 'nyalanya', 'season', 'rain', 'collapse', 'signal', 'settlement', 'setting', 'manual', 'automatic', 'Hadehhhh', ""]")</f>
        <v>['signal', 'nyalanya', 'season', 'rain', 'collapse', 'signal', 'settlement', 'setting', 'manual', 'automatic', 'Hadehhhh', "]</v>
      </c>
      <c r="D18343" s="3">
        <v>1.0</v>
      </c>
    </row>
    <row r="18344" ht="15.75" customHeight="1">
      <c r="A18344" s="1">
        <v>19504.0</v>
      </c>
      <c r="B18344" s="3" t="s">
        <v>17367</v>
      </c>
      <c r="C18344" s="3" t="str">
        <f>IFERROR(__xludf.DUMMYFUNCTION("GOOGLETRANSLATE(B18344,""id"",""en"")"),"['White', 'Screen', 'Min', 'APL', 'Update', 'Strange', 'Download', 'Google', 'version', 'right', 'buy', 'quota', ' entry ',' pulseku ',' ilang ',' ama ',' ngelag ',' ngegame ',' knapa ', ""]")</f>
        <v>['White', 'Screen', 'Min', 'APL', 'Update', 'Strange', 'Download', 'Google', 'version', 'right', 'buy', 'quota', ' entry ',' pulseku ',' ilang ',' ama ',' ngelag ',' ngegame ',' knapa ', "]</v>
      </c>
      <c r="D18344" s="3">
        <v>1.0</v>
      </c>
    </row>
    <row r="18345" ht="15.75" customHeight="1">
      <c r="A18345" s="1">
        <v>19505.0</v>
      </c>
      <c r="B18345" s="3" t="s">
        <v>17368</v>
      </c>
      <c r="C18345" s="3" t="str">
        <f>IFERROR(__xludf.DUMMYFUNCTION("GOOGLETRANSLATE(B18345,""id"",""en"")"),"['Telkomsel', 'week', 'network', 'Nye', 'boss', ""]")</f>
        <v>['Telkomsel', 'week', 'network', 'Nye', 'boss', "]</v>
      </c>
      <c r="D18345" s="3">
        <v>1.0</v>
      </c>
    </row>
    <row r="18346" ht="15.75" customHeight="1">
      <c r="A18346" s="1">
        <v>19506.0</v>
      </c>
      <c r="B18346" s="3" t="s">
        <v>17369</v>
      </c>
      <c r="C18346" s="3" t="str">
        <f>IFERROR(__xludf.DUMMYFUNCTION("GOOGLETRANSLATE(B18346,""id"",""en"")"),"['package', 'expensive', 'network', 'rotten', 'mending', 'closed', 'Telkomsel']")</f>
        <v>['package', 'expensive', 'network', 'rotten', 'mending', 'closed', 'Telkomsel']</v>
      </c>
      <c r="D18346" s="3">
        <v>1.0</v>
      </c>
    </row>
    <row r="18347" ht="15.75" customHeight="1">
      <c r="A18347" s="1">
        <v>19507.0</v>
      </c>
      <c r="B18347" s="3" t="s">
        <v>17370</v>
      </c>
      <c r="C18347" s="3" t="str">
        <f>IFERROR(__xludf.DUMMYFUNCTION("GOOGLETRANSLATE(B18347,""id"",""en"")"),"['already', 'Belain', 'buy', 'package', 'expensive', 'ehh', 'sinynya', 'cheap', 'stop', 'wait', 'right', 'Yee', ' ']")</f>
        <v>['already', 'Belain', 'buy', 'package', 'expensive', 'ehh', 'sinynya', 'cheap', 'stop', 'wait', 'right', 'Yee', ' ']</v>
      </c>
      <c r="D18347" s="3">
        <v>1.0</v>
      </c>
    </row>
    <row r="18348" ht="15.75" customHeight="1">
      <c r="A18348" s="1">
        <v>19508.0</v>
      </c>
      <c r="B18348" s="3" t="s">
        <v>17371</v>
      </c>
      <c r="C18348" s="3" t="str">
        <f>IFERROR(__xludf.DUMMYFUNCTION("GOOGLETRANSLATE(B18348,""id"",""en"")"),"['Customer', 'Service', 'Connected', 'Connected', 'Slow', 'Response', 'Network', 'Sebagus',' Fill ',' Reset ',' Credit ',' Failed ',' Mas', 'active', 'contents',' reset ',' number ',' Telkomsel ',' ']")</f>
        <v>['Customer', 'Service', 'Connected', 'Connected', 'Slow', 'Response', 'Network', 'Sebagus',' Fill ',' Reset ',' Credit ',' Failed ',' Mas', 'active', 'contents',' reset ',' number ',' Telkomsel ',' ']</v>
      </c>
      <c r="D18348" s="3">
        <v>1.0</v>
      </c>
    </row>
    <row r="18349" ht="15.75" customHeight="1">
      <c r="A18349" s="1">
        <v>19509.0</v>
      </c>
      <c r="B18349" s="3" t="s">
        <v>17372</v>
      </c>
      <c r="C18349" s="3" t="str">
        <f>IFERROR(__xludf.DUMMYFUNCTION("GOOGLETRANSLATE(B18349,""id"",""en"")"),"['Lotsin', 'discount', 'high school', 'free', 'boss', 'udh', 'love', 'bntang', ""]")</f>
        <v>['Lotsin', 'discount', 'high school', 'free', 'boss', 'udh', 'love', 'bntang', "]</v>
      </c>
      <c r="D18349" s="3">
        <v>5.0</v>
      </c>
    </row>
    <row r="18350" ht="15.75" customHeight="1">
      <c r="A18350" s="1">
        <v>19510.0</v>
      </c>
      <c r="B18350" s="3" t="s">
        <v>17373</v>
      </c>
      <c r="C18350" s="3" t="str">
        <f>IFERROR(__xludf.DUMMYFUNCTION("GOOGLETRANSLATE(B18350,""id"",""en"")"),"['signal', 'sympathy', 'lemoooott']")</f>
        <v>['signal', 'sympathy', 'lemoooott']</v>
      </c>
      <c r="D18350" s="3">
        <v>1.0</v>
      </c>
    </row>
    <row r="18351" ht="15.75" customHeight="1">
      <c r="A18351" s="1">
        <v>19511.0</v>
      </c>
      <c r="B18351" s="3" t="s">
        <v>17374</v>
      </c>
      <c r="C18351" s="3" t="str">
        <f>IFERROR(__xludf.DUMMYFUNCTION("GOOGLETRANSLATE(B18351,""id"",""en"")"),"['getting', 'take', 'pulse', 'thousand', 'contents', 'reset', 'credit', 'take', 'package', 'emergency', 'taik', 'emang']")</f>
        <v>['getting', 'take', 'pulse', 'thousand', 'contents', 'reset', 'credit', 'take', 'package', 'emergency', 'taik', 'emang']</v>
      </c>
      <c r="D18351" s="3">
        <v>2.0</v>
      </c>
    </row>
    <row r="18352" ht="15.75" customHeight="1">
      <c r="A18352" s="1">
        <v>19512.0</v>
      </c>
      <c r="B18352" s="3" t="s">
        <v>15063</v>
      </c>
      <c r="C18352" s="3" t="str">
        <f>IFERROR(__xludf.DUMMYFUNCTION("GOOGLETRANSLATE(B18352,""id"",""en"")"),"['Help', 'really']")</f>
        <v>['Help', 'really']</v>
      </c>
      <c r="D18352" s="3">
        <v>5.0</v>
      </c>
    </row>
    <row r="18353" ht="15.75" customHeight="1">
      <c r="A18353" s="1">
        <v>19513.0</v>
      </c>
      <c r="B18353" s="3" t="s">
        <v>17375</v>
      </c>
      <c r="C18353" s="3" t="str">
        <f>IFERROR(__xludf.DUMMYFUNCTION("GOOGLETRANSLATE(B18353,""id"",""en"")"),"['Please', 'Sorry', 'Telkomsel', 'Critics',' Listen ',' Connect ',' Please ',' Repaired ',' Complaints', 'Skedar', 'Sentence', 'Listen', ' Good grief']")</f>
        <v>['Please', 'Sorry', 'Telkomsel', 'Critics',' Listen ',' Connect ',' Please ',' Repaired ',' Complaints', 'Skedar', 'Sentence', 'Listen', ' Good grief']</v>
      </c>
      <c r="D18353" s="3">
        <v>1.0</v>
      </c>
    </row>
    <row r="18354" ht="15.75" customHeight="1">
      <c r="A18354" s="1">
        <v>19514.0</v>
      </c>
      <c r="B18354" s="3" t="s">
        <v>17376</v>
      </c>
      <c r="C18354" s="3" t="str">
        <f>IFERROR(__xludf.DUMMYFUNCTION("GOOGLETRANSLATE(B18354,""id"",""en"")"),"['Application', 'Telkomsel', 'Blank', 'White', 'Screen', 'SDAH', 'TLONG', 'Fix', '']")</f>
        <v>['Application', 'Telkomsel', 'Blank', 'White', 'Screen', 'SDAH', 'TLONG', 'Fix', '']</v>
      </c>
      <c r="D18354" s="3">
        <v>1.0</v>
      </c>
    </row>
    <row r="18355" ht="15.75" customHeight="1">
      <c r="A18355" s="1">
        <v>19515.0</v>
      </c>
      <c r="B18355" s="3" t="s">
        <v>17377</v>
      </c>
      <c r="C18355" s="3" t="str">
        <f>IFERROR(__xludf.DUMMYFUNCTION("GOOGLETRANSLATE(B18355,""id"",""en"")"),"['Package', 'expensive', 'network', 'garbage', 'APK', 'Abdet', 'network', 'NGK', 'Abdet', 'pull', 'disappointed', 'cave', ' Makek ',' card ',' oath ']")</f>
        <v>['Package', 'expensive', 'network', 'garbage', 'APK', 'Abdet', 'network', 'NGK', 'Abdet', 'pull', 'disappointed', 'cave', ' Makek ',' card ',' oath ']</v>
      </c>
      <c r="D18355" s="3">
        <v>1.0</v>
      </c>
    </row>
    <row r="18356" ht="15.75" customHeight="1">
      <c r="A18356" s="1">
        <v>19516.0</v>
      </c>
      <c r="B18356" s="3" t="s">
        <v>17378</v>
      </c>
      <c r="C18356" s="3" t="str">
        <f>IFERROR(__xludf.DUMMYFUNCTION("GOOGLETRANSLATE(B18356,""id"",""en"")"),"['', 'list', 'PKTAN', 'difficult', 'Aliasa', 'Seasal', 'Buaka', ""]")</f>
        <v>['', 'list', 'PKTAN', 'difficult', 'Aliasa', 'Seasal', 'Buaka', "]</v>
      </c>
      <c r="D18356" s="3">
        <v>1.0</v>
      </c>
    </row>
    <row r="18357" ht="15.75" customHeight="1">
      <c r="A18357" s="1">
        <v>19517.0</v>
      </c>
      <c r="B18357" s="3" t="s">
        <v>17379</v>
      </c>
      <c r="C18357" s="3" t="str">
        <f>IFERROR(__xludf.DUMMYFUNCTION("GOOGLETRANSLATE(B18357,""id"",""en"")"),"['expensive', 'package', 'comball']")</f>
        <v>['expensive', 'package', 'comball']</v>
      </c>
      <c r="D18357" s="3">
        <v>1.0</v>
      </c>
    </row>
    <row r="18358" ht="15.75" customHeight="1">
      <c r="A18358" s="1">
        <v>19518.0</v>
      </c>
      <c r="B18358" s="3" t="s">
        <v>17380</v>
      </c>
      <c r="C18358" s="3" t="str">
        <f>IFERROR(__xludf.DUMMYFUNCTION("GOOGLETRANSLATE(B18358,""id"",""en"")"),"['Yng', 'Bnr', 'BNG', 'EIAP', 'ISI', 'Credit', 'Lngsung', 'Out', 'Please', 'Return', 'Money', ""]")</f>
        <v>['Yng', 'Bnr', 'BNG', 'EIAP', 'ISI', 'Credit', 'Lngsung', 'Out', 'Please', 'Return', 'Money', "]</v>
      </c>
      <c r="D18358" s="3">
        <v>1.0</v>
      </c>
    </row>
    <row r="18359" ht="15.75" customHeight="1">
      <c r="A18359" s="1">
        <v>19519.0</v>
      </c>
      <c r="B18359" s="3" t="s">
        <v>17381</v>
      </c>
      <c r="C18359" s="3" t="str">
        <f>IFERROR(__xludf.DUMMYFUNCTION("GOOGLETRANSLATE(B18359,""id"",""en"")"),"['function', 'speed', 'operation']")</f>
        <v>['function', 'speed', 'operation']</v>
      </c>
      <c r="D18359" s="3">
        <v>5.0</v>
      </c>
    </row>
    <row r="18360" ht="15.75" customHeight="1">
      <c r="A18360" s="1">
        <v>19520.0</v>
      </c>
      <c r="B18360" s="3" t="s">
        <v>17382</v>
      </c>
      <c r="C18360" s="3" t="str">
        <f>IFERROR(__xludf.DUMMYFUNCTION("GOOGLETRANSLATE(B18360,""id"",""en"")"),"['Good', 'Telkomsel', 'village', 'ugly', 'seh', 'Telkomsel', 'kelaen', 'heart', 'ama', 'ugly', 'bangen', 'signal', ' go home ',' village ',' ok ',' really ']")</f>
        <v>['Good', 'Telkomsel', 'village', 'ugly', 'seh', 'Telkomsel', 'kelaen', 'heart', 'ama', 'ugly', 'bangen', 'signal', ' go home ',' village ',' ok ',' really ']</v>
      </c>
      <c r="D18360" s="3">
        <v>2.0</v>
      </c>
    </row>
    <row r="18361" ht="15.75" customHeight="1">
      <c r="A18361" s="1">
        <v>19521.0</v>
      </c>
      <c r="B18361" s="3" t="s">
        <v>17383</v>
      </c>
      <c r="C18361" s="3" t="str">
        <f>IFERROR(__xludf.DUMMYFUNCTION("GOOGLETRANSLATE(B18361,""id"",""en"")"),"['Points', 'pursued', 'pulse', 'bbos']")</f>
        <v>['Points', 'pursued', 'pulse', 'bbos']</v>
      </c>
      <c r="D18361" s="3">
        <v>5.0</v>
      </c>
    </row>
    <row r="18362" ht="15.75" customHeight="1">
      <c r="A18362" s="1">
        <v>19522.0</v>
      </c>
      <c r="B18362" s="3" t="s">
        <v>17384</v>
      </c>
      <c r="C18362" s="3" t="str">
        <f>IFERROR(__xludf.DUMMYFUNCTION("GOOGLETRANSLATE(B18362,""id"",""en"")"),"['The application', 'ugly', 'right', 'update', 'access', 'open', 'ugly', 'really', 'network', 'safe']")</f>
        <v>['The application', 'ugly', 'right', 'update', 'access', 'open', 'ugly', 'really', 'network', 'safe']</v>
      </c>
      <c r="D18362" s="3">
        <v>1.0</v>
      </c>
    </row>
    <row r="18363" ht="15.75" customHeight="1">
      <c r="A18363" s="1">
        <v>19523.0</v>
      </c>
      <c r="B18363" s="3" t="s">
        <v>17385</v>
      </c>
      <c r="C18363" s="3" t="str">
        <f>IFERROR(__xludf.DUMMYFUNCTION("GOOGLETRANSLATE(B18363,""id"",""en"")"),"['Data', 'buy', 'expensive', 'network', 'jerk', 'joke', 'kah', 'jing', ""]")</f>
        <v>['Data', 'buy', 'expensive', 'network', 'jerk', 'joke', 'kah', 'jing', "]</v>
      </c>
      <c r="D18363" s="3">
        <v>1.0</v>
      </c>
    </row>
    <row r="18364" ht="15.75" customHeight="1">
      <c r="A18364" s="1">
        <v>19524.0</v>
      </c>
      <c r="B18364" s="3" t="s">
        <v>17386</v>
      </c>
      <c r="C18364" s="3" t="str">
        <f>IFERROR(__xludf.DUMMYFUNCTION("GOOGLETRANSLATE(B18364,""id"",""en"")"),"['Excuse', 'Telkomsel', 'knp', 'siii', 'lag', 'really', 'kyk', 'telkomsel', 'already', 'play', 'game', 'special', ' Watch ',' bokep ',' kyk ',' please ',' Telkomsel ',' whatii ',' loss', 'buy', 'Rp', 'lag', 'pass',' play ',' game ' , 'Please', 'Help', 'Ma"&amp;"ap', 'Thank', 'Love']")</f>
        <v>['Excuse', 'Telkomsel', 'knp', 'siii', 'lag', 'really', 'kyk', 'telkomsel', 'already', 'play', 'game', 'special', ' Watch ',' bokep ',' kyk ',' please ',' Telkomsel ',' whatii ',' loss', 'buy', 'Rp', 'lag', 'pass',' play ',' game ' , 'Please', 'Help', 'Maap', 'Thank', 'Love']</v>
      </c>
      <c r="D18364" s="3">
        <v>1.0</v>
      </c>
    </row>
    <row r="18365" ht="15.75" customHeight="1">
      <c r="A18365" s="1">
        <v>19525.0</v>
      </c>
      <c r="B18365" s="3" t="s">
        <v>17387</v>
      </c>
      <c r="C18365" s="3" t="str">
        <f>IFERROR(__xludf.DUMMYFUNCTION("GOOGLETRANSLATE(B18365,""id"",""en"")"),"['Telkomsel', 'slow', 'better', 'buy', 'card', 'cheap', 'slow', '']")</f>
        <v>['Telkomsel', 'slow', 'better', 'buy', 'card', 'cheap', 'slow', '']</v>
      </c>
      <c r="D18365" s="3">
        <v>1.0</v>
      </c>
    </row>
    <row r="18366" ht="15.75" customHeight="1">
      <c r="A18366" s="1">
        <v>19526.0</v>
      </c>
      <c r="B18366" s="3" t="s">
        <v>17388</v>
      </c>
      <c r="C18366" s="3" t="str">
        <f>IFERROR(__xludf.DUMMYFUNCTION("GOOGLETRANSLATE(B18366,""id"",""en"")"),"['network', 'you', 'ugly', 'times',' signal ',' sometimes', 'bar', 'package', 'expensive', 'signal', 'good', 'Telkomsel', ' Read ',' ']")</f>
        <v>['network', 'you', 'ugly', 'times',' signal ',' sometimes', 'bar', 'package', 'expensive', 'signal', 'good', 'Telkomsel', ' Read ',' ']</v>
      </c>
      <c r="D18366" s="3">
        <v>1.0</v>
      </c>
    </row>
    <row r="18367" ht="15.75" customHeight="1">
      <c r="A18367" s="1">
        <v>19527.0</v>
      </c>
      <c r="B18367" s="3" t="s">
        <v>17389</v>
      </c>
      <c r="C18367" s="3" t="str">
        <f>IFERROR(__xludf.DUMMYFUNCTION("GOOGLETRANSLATE(B18367,""id"",""en"")"),"['card', 'ntar', 'emotion', 'kek', 'ntah', 'network', 'broken', 'broken', 'lag', 'ping', 'red', 'see', ' anything ',' lag ',' please ',' fix ']")</f>
        <v>['card', 'ntar', 'emotion', 'kek', 'ntah', 'network', 'broken', 'broken', 'lag', 'ping', 'red', 'see', ' anything ',' lag ',' please ',' fix ']</v>
      </c>
      <c r="D18367" s="3">
        <v>1.0</v>
      </c>
    </row>
    <row r="18368" ht="15.75" customHeight="1">
      <c r="A18368" s="1">
        <v>19528.0</v>
      </c>
      <c r="B18368" s="3" t="s">
        <v>17390</v>
      </c>
      <c r="C18368" s="3" t="str">
        <f>IFERROR(__xludf.DUMMYFUNCTION("GOOGLETRANSLATE(B18368,""id"",""en"")"),"['Success', 'Always', 'Telkomsel']")</f>
        <v>['Success', 'Always', 'Telkomsel']</v>
      </c>
      <c r="D18368" s="3">
        <v>5.0</v>
      </c>
    </row>
    <row r="18369" ht="15.75" customHeight="1">
      <c r="A18369" s="1">
        <v>19529.0</v>
      </c>
      <c r="B18369" s="3" t="s">
        <v>17391</v>
      </c>
      <c r="C18369" s="3" t="str">
        <f>IFERROR(__xludf.DUMMYFUNCTION("GOOGLETRANSLATE(B18369,""id"",""en"")"),"['Eliminated', 'FUP', 'Telkom', 'ASW', 'FUP', 'Suffing']")</f>
        <v>['Eliminated', 'FUP', 'Telkom', 'ASW', 'FUP', 'Suffing']</v>
      </c>
      <c r="D18369" s="3">
        <v>1.0</v>
      </c>
    </row>
    <row r="18370" ht="15.75" customHeight="1">
      <c r="A18370" s="1">
        <v>19530.0</v>
      </c>
      <c r="B18370" s="3" t="s">
        <v>17392</v>
      </c>
      <c r="C18370" s="3" t="str">
        <f>IFERROR(__xludf.DUMMYFUNCTION("GOOGLETRANSLATE(B18370,""id"",""en"")"),"['Provider', 'Telkomsel', 'special', 'signal', 'strong', 'meregala', 'weather']")</f>
        <v>['Provider', 'Telkomsel', 'special', 'signal', 'strong', 'meregala', 'weather']</v>
      </c>
      <c r="D18370" s="3">
        <v>5.0</v>
      </c>
    </row>
    <row r="18371" ht="15.75" customHeight="1">
      <c r="A18371" s="1">
        <v>19531.0</v>
      </c>
      <c r="B18371" s="3" t="s">
        <v>17393</v>
      </c>
      <c r="C18371" s="3" t="str">
        <f>IFERROR(__xludf.DUMMYFUNCTION("GOOGLETRANSLATE(B18371,""id"",""en"")"),"['Kenpa', 'Install', 'UDH', 'Application', 'Snik', 'Sngar', 'Loss', 'Sekli', 'Install']")</f>
        <v>['Kenpa', 'Install', 'UDH', 'Application', 'Snik', 'Sngar', 'Loss', 'Sekli', 'Install']</v>
      </c>
      <c r="D18371" s="3">
        <v>1.0</v>
      </c>
    </row>
    <row r="18372" ht="15.75" customHeight="1">
      <c r="A18372" s="1">
        <v>19532.0</v>
      </c>
      <c r="B18372" s="3" t="s">
        <v>17394</v>
      </c>
      <c r="C18372" s="3" t="str">
        <f>IFERROR(__xludf.DUMMYFUNCTION("GOOGLETRANSLATE(B18372,""id"",""en"")"),"['update', 'version', 'opened', 'SOC', 'HR', 'Karuan', ""]")</f>
        <v>['update', 'version', 'opened', 'SOC', 'HR', 'Karuan', "]</v>
      </c>
      <c r="D18372" s="3">
        <v>1.0</v>
      </c>
    </row>
    <row r="18373" ht="15.75" customHeight="1">
      <c r="A18373" s="1">
        <v>19533.0</v>
      </c>
      <c r="B18373" s="3" t="s">
        <v>17395</v>
      </c>
      <c r="C18373" s="3" t="str">
        <f>IFERROR(__xludf.DUMMYFUNCTION("GOOGLETRANSLATE(B18373,""id"",""en"")"),"['Out', 'Update', 'Open', 'Black', '']")</f>
        <v>['Out', 'Update', 'Open', 'Black', '']</v>
      </c>
      <c r="D18373" s="3">
        <v>1.0</v>
      </c>
    </row>
    <row r="18374" ht="15.75" customHeight="1">
      <c r="A18374" s="1">
        <v>19535.0</v>
      </c>
      <c r="B18374" s="3" t="s">
        <v>17396</v>
      </c>
      <c r="C18374" s="3" t="str">
        <f>IFERROR(__xludf.DUMMYFUNCTION("GOOGLETRANSLATE(B18374,""id"",""en"")"),"['Unlimited', 'Game', 'Please', 'Hold']")</f>
        <v>['Unlimited', 'Game', 'Please', 'Hold']</v>
      </c>
      <c r="D18374" s="3">
        <v>5.0</v>
      </c>
    </row>
    <row r="18375" ht="15.75" customHeight="1">
      <c r="A18375" s="1">
        <v>19536.0</v>
      </c>
      <c r="B18375" s="3" t="s">
        <v>17397</v>
      </c>
      <c r="C18375" s="3" t="str">
        <f>IFERROR(__xludf.DUMMYFUNCTION("GOOGLETRANSLATE(B18375,""id"",""en"")"),"['buy', 'package', 'missing', 'clock', 'application', 'ugly', '']")</f>
        <v>['buy', 'package', 'missing', 'clock', 'application', 'ugly', '']</v>
      </c>
      <c r="D18375" s="3">
        <v>1.0</v>
      </c>
    </row>
    <row r="18376" ht="15.75" customHeight="1">
      <c r="A18376" s="1">
        <v>19537.0</v>
      </c>
      <c r="B18376" s="3" t="s">
        <v>17398</v>
      </c>
      <c r="C18376" s="3" t="str">
        <f>IFERROR(__xludf.DUMMYFUNCTION("GOOGLETRANSLATE(B18376,""id"",""en"")"),"['slow', 'network', 'slow', 'yaaa', 'package', 'expensive', ""]")</f>
        <v>['slow', 'network', 'slow', 'yaaa', 'package', 'expensive', "]</v>
      </c>
      <c r="D18376" s="3">
        <v>1.0</v>
      </c>
    </row>
    <row r="18377" ht="15.75" customHeight="1">
      <c r="A18377" s="1">
        <v>19538.0</v>
      </c>
      <c r="B18377" s="3" t="s">
        <v>17399</v>
      </c>
      <c r="C18377" s="3" t="str">
        <f>IFERROR(__xludf.DUMMYFUNCTION("GOOGLETRANSLATE(B18377,""id"",""en"")"),"['Steady', 'Full']")</f>
        <v>['Steady', 'Full']</v>
      </c>
      <c r="D18377" s="3">
        <v>5.0</v>
      </c>
    </row>
    <row r="18378" ht="15.75" customHeight="1">
      <c r="A18378" s="1">
        <v>19539.0</v>
      </c>
      <c r="B18378" s="3" t="s">
        <v>17400</v>
      </c>
      <c r="C18378" s="3" t="str">
        <f>IFERROR(__xludf.DUMMYFUNCTION("GOOGLETRANSLATE(B18378,""id"",""en"")"),"['King', 'Network', 'Leet', 'Fast', 'Response', 'Min', ""]")</f>
        <v>['King', 'Network', 'Leet', 'Fast', 'Response', 'Min', "]</v>
      </c>
      <c r="D18378" s="3">
        <v>1.0</v>
      </c>
    </row>
    <row r="18379" ht="15.75" customHeight="1">
      <c r="A18379" s="1">
        <v>19540.0</v>
      </c>
      <c r="B18379" s="3" t="s">
        <v>11596</v>
      </c>
      <c r="C18379" s="3" t="str">
        <f>IFERROR(__xludf.DUMMYFUNCTION("GOOGLETRANSLATE(B18379,""id"",""en"")"),"['Increase', 'Service']")</f>
        <v>['Increase', 'Service']</v>
      </c>
      <c r="D18379" s="3">
        <v>5.0</v>
      </c>
    </row>
    <row r="18380" ht="15.75" customHeight="1">
      <c r="A18380" s="1">
        <v>19542.0</v>
      </c>
      <c r="B18380" s="3" t="s">
        <v>17401</v>
      </c>
      <c r="C18380" s="3" t="str">
        <f>IFERROR(__xludf.DUMMYFUNCTION("GOOGLETRANSLATE(B18380,""id"",""en"")"),"['Good', 'style', '']")</f>
        <v>['Good', 'style', '']</v>
      </c>
      <c r="D18380" s="3">
        <v>4.0</v>
      </c>
    </row>
    <row r="18381" ht="15.75" customHeight="1">
      <c r="A18381" s="1">
        <v>19543.0</v>
      </c>
      <c r="B18381" s="3" t="s">
        <v>17402</v>
      </c>
      <c r="C18381" s="3" t="str">
        <f>IFERROR(__xludf.DUMMYFUNCTION("GOOGLETRANSLATE(B18381,""id"",""en"")"),"['Slogan', 'Sanpai', 'remote', 'in the city', 'Signal', 'Ancur', 'Asta', 'Severe', 'You', 'Tsel', ""]")</f>
        <v>['Slogan', 'Sanpai', 'remote', 'in the city', 'Signal', 'Ancur', 'Asta', 'Severe', 'You', 'Tsel', "]</v>
      </c>
      <c r="D18381" s="3">
        <v>1.0</v>
      </c>
    </row>
    <row r="18382" ht="15.75" customHeight="1">
      <c r="A18382" s="1">
        <v>19544.0</v>
      </c>
      <c r="B18382" s="3" t="s">
        <v>17403</v>
      </c>
      <c r="C18382" s="3" t="str">
        <f>IFERROR(__xludf.DUMMYFUNCTION("GOOGLETRANSLATE(B18382,""id"",""en"")"),"['', 'Telkom', 'blank', 'open', '']")</f>
        <v>['', 'Telkom', 'blank', 'open', '']</v>
      </c>
      <c r="D18382" s="3">
        <v>1.0</v>
      </c>
    </row>
    <row r="18383" ht="15.75" customHeight="1">
      <c r="A18383" s="1">
        <v>19545.0</v>
      </c>
      <c r="B18383" s="3" t="s">
        <v>17404</v>
      </c>
      <c r="C18383" s="3" t="str">
        <f>IFERROR(__xludf.DUMMYFUNCTION("GOOGLETRANSLATE(B18383,""id"",""en"")"),"['Telkomsel', 'forward', 'prize', 'tantalizing', '']")</f>
        <v>['Telkomsel', 'forward', 'prize', 'tantalizing', '']</v>
      </c>
      <c r="D18383" s="3">
        <v>5.0</v>
      </c>
    </row>
    <row r="18384" ht="15.75" customHeight="1">
      <c r="A18384" s="1">
        <v>19546.0</v>
      </c>
      <c r="B18384" s="3" t="s">
        <v>17405</v>
      </c>
      <c r="C18384" s="3" t="str">
        <f>IFERROR(__xludf.DUMMYFUNCTION("GOOGLETRANSLATE(B18384,""id"",""en"")"),"['Enjoy', 'Package', 'Love', 'Telkomsel', 'Thanks', 'Telkomsel']")</f>
        <v>['Enjoy', 'Package', 'Love', 'Telkomsel', 'Thanks', 'Telkomsel']</v>
      </c>
      <c r="D18384" s="3">
        <v>5.0</v>
      </c>
    </row>
    <row r="18385" ht="15.75" customHeight="1">
      <c r="A18385" s="1">
        <v>19547.0</v>
      </c>
      <c r="B18385" s="3" t="s">
        <v>17406</v>
      </c>
      <c r="C18385" s="3" t="str">
        <f>IFERROR(__xludf.DUMMYFUNCTION("GOOGLETRANSLATE(B18385,""id"",""en"")"),"['Steady', 'Hopefully', 'Sya', 'Jdi', 'Winner', 'Telkomsel', 'Lottery', 'Amin']")</f>
        <v>['Steady', 'Hopefully', 'Sya', 'Jdi', 'Winner', 'Telkomsel', 'Lottery', 'Amin']</v>
      </c>
      <c r="D18385" s="3">
        <v>5.0</v>
      </c>
    </row>
    <row r="18386" ht="15.75" customHeight="1">
      <c r="A18386" s="1">
        <v>19548.0</v>
      </c>
      <c r="B18386" s="3" t="s">
        <v>15099</v>
      </c>
      <c r="C18386" s="3" t="str">
        <f>IFERROR(__xludf.DUMMYFUNCTION("GOOGLETRANSLATE(B18386,""id"",""en"")"),"['Good', 'APK']")</f>
        <v>['Good', 'APK']</v>
      </c>
      <c r="D18386" s="3">
        <v>5.0</v>
      </c>
    </row>
    <row r="18387" ht="15.75" customHeight="1">
      <c r="A18387" s="1">
        <v>19549.0</v>
      </c>
      <c r="B18387" s="3" t="s">
        <v>17407</v>
      </c>
      <c r="C18387" s="3" t="str">
        <f>IFERROR(__xludf.DUMMYFUNCTION("GOOGLETRANSLATE(B18387,""id"",""en"")"),"['Paketan', 'cheap']")</f>
        <v>['Paketan', 'cheap']</v>
      </c>
      <c r="D18387" s="3">
        <v>5.0</v>
      </c>
    </row>
    <row r="18388" ht="15.75" customHeight="1">
      <c r="A18388" s="1">
        <v>19550.0</v>
      </c>
      <c r="B18388" s="3" t="s">
        <v>17408</v>
      </c>
      <c r="C18388" s="3" t="str">
        <f>IFERROR(__xludf.DUMMYFUNCTION("GOOGLETRANSLATE(B18388,""id"",""en"")"),"['Cool', 'help', 'buy', 'package']")</f>
        <v>['Cool', 'help', 'buy', 'package']</v>
      </c>
      <c r="D18388" s="3">
        <v>5.0</v>
      </c>
    </row>
    <row r="18389" ht="15.75" customHeight="1">
      <c r="A18389" s="1">
        <v>19551.0</v>
      </c>
      <c r="B18389" s="3" t="s">
        <v>17409</v>
      </c>
      <c r="C18389" s="3" t="str">
        <f>IFERROR(__xludf.DUMMYFUNCTION("GOOGLETRANSLATE(B18389,""id"",""en"")"),"['Network', 'knp', 'ganguan', '']")</f>
        <v>['Network', 'knp', 'ganguan', '']</v>
      </c>
      <c r="D18389" s="3">
        <v>5.0</v>
      </c>
    </row>
    <row r="18390" ht="15.75" customHeight="1">
      <c r="A18390" s="1">
        <v>19552.0</v>
      </c>
      <c r="B18390" s="3" t="s">
        <v>17410</v>
      </c>
      <c r="C18390" s="3" t="str">
        <f>IFERROR(__xludf.DUMMYFUNCTION("GOOGLETRANSLATE(B18390,""id"",""en"")"),"['App', 'Help', 'Easily', 'Hopefully', 'Selarlu', 'Good', 'LGI', 'SCHOOL', 'User', 'Suggestion', 'App', 'Loding', ' Accelerate ',' LGI ',' User ',' Disappointed ',' Thank you ',' ']")</f>
        <v>['App', 'Help', 'Easily', 'Hopefully', 'Selarlu', 'Good', 'LGI', 'SCHOOL', 'User', 'Suggestion', 'App', 'Loding', ' Accelerate ',' LGI ',' User ',' Disappointed ',' Thank you ',' ']</v>
      </c>
      <c r="D18390" s="3">
        <v>5.0</v>
      </c>
    </row>
    <row r="18391" ht="15.75" customHeight="1">
      <c r="A18391" s="1">
        <v>19553.0</v>
      </c>
      <c r="B18391" s="3" t="s">
        <v>17411</v>
      </c>
      <c r="C18391" s="3" t="str">
        <f>IFERROR(__xludf.DUMMYFUNCTION("GOOGLETRANSLATE(B18391,""id"",""en"")"),"['Application', 'Open', 'Update']")</f>
        <v>['Application', 'Open', 'Update']</v>
      </c>
      <c r="D18391" s="3">
        <v>1.0</v>
      </c>
    </row>
    <row r="18392" ht="15.75" customHeight="1">
      <c r="A18392" s="1">
        <v>19555.0</v>
      </c>
      <c r="B18392" s="3" t="s">
        <v>17412</v>
      </c>
      <c r="C18392" s="3" t="str">
        <f>IFERROR(__xludf.DUMMYFUNCTION("GOOGLETRANSLATE(B18392,""id"",""en"")"),"['Telkomsel', 'The network', 'bad']")</f>
        <v>['Telkomsel', 'The network', 'bad']</v>
      </c>
      <c r="D18392" s="3">
        <v>1.0</v>
      </c>
    </row>
    <row r="18393" ht="15.75" customHeight="1">
      <c r="A18393" s="1">
        <v>19556.0</v>
      </c>
      <c r="B18393" s="3" t="s">
        <v>17413</v>
      </c>
      <c r="C18393" s="3" t="str">
        <f>IFERROR(__xludf.DUMMYFUNCTION("GOOGLETRANSLATE(B18393,""id"",""en"")"),"['update', 'opened', 'please', 'fix', '']")</f>
        <v>['update', 'opened', 'please', 'fix', '']</v>
      </c>
      <c r="D18393" s="3">
        <v>1.0</v>
      </c>
    </row>
    <row r="18394" ht="15.75" customHeight="1">
      <c r="A18394" s="1">
        <v>19557.0</v>
      </c>
      <c r="B18394" s="3" t="s">
        <v>17414</v>
      </c>
      <c r="C18394" s="3" t="str">
        <f>IFERROR(__xludf.DUMMYFUNCTION("GOOGLETRANSLATE(B18394,""id"",""en"")"),"['Package', 'Data', 'expensive', 'Network', 'bad', '']")</f>
        <v>['Package', 'Data', 'expensive', 'Network', 'bad', '']</v>
      </c>
      <c r="D18394" s="3">
        <v>1.0</v>
      </c>
    </row>
    <row r="18395" ht="15.75" customHeight="1">
      <c r="A18395" s="1">
        <v>19558.0</v>
      </c>
      <c r="B18395" s="3" t="s">
        <v>17415</v>
      </c>
      <c r="C18395" s="3" t="str">
        <f>IFERROR(__xludf.DUMMYFUNCTION("GOOGLETRANSLATE(B18395,""id"",""en"")"),"['card', 'list', 'Telkomsel', 'TPI', 'Tetep', 'printed', 'Please', 'Input', 'Card', 'Telkomsel', 'How', 'APK', ' Geh ',' Keku ']")</f>
        <v>['card', 'list', 'Telkomsel', 'TPI', 'Tetep', 'printed', 'Please', 'Input', 'Card', 'Telkomsel', 'How', 'APK', ' Geh ',' Keku ']</v>
      </c>
      <c r="D18395" s="3">
        <v>2.0</v>
      </c>
    </row>
    <row r="18396" ht="15.75" customHeight="1">
      <c r="A18396" s="1">
        <v>19559.0</v>
      </c>
      <c r="B18396" s="3" t="s">
        <v>17416</v>
      </c>
      <c r="C18396" s="3" t="str">
        <f>IFERROR(__xludf.DUMMYFUNCTION("GOOGLETRANSLATE(B18396,""id"",""en"")"),"['Hopefully', 'cheap', 'package', 'quota', 'data']")</f>
        <v>['Hopefully', 'cheap', 'package', 'quota', 'data']</v>
      </c>
      <c r="D18396" s="3">
        <v>5.0</v>
      </c>
    </row>
    <row r="18397" ht="15.75" customHeight="1">
      <c r="A18397" s="1">
        <v>19560.0</v>
      </c>
      <c r="B18397" s="3" t="s">
        <v>283</v>
      </c>
      <c r="C18397" s="3" t="str">
        <f>IFERROR(__xludf.DUMMYFUNCTION("GOOGLETRANSLATE(B18397,""id"",""en"")"),"['Sip', 'Anyway']")</f>
        <v>['Sip', 'Anyway']</v>
      </c>
      <c r="D18397" s="3">
        <v>5.0</v>
      </c>
    </row>
    <row r="18398" ht="15.75" customHeight="1">
      <c r="A18398" s="1">
        <v>19561.0</v>
      </c>
      <c r="B18398" s="3" t="s">
        <v>17417</v>
      </c>
      <c r="C18398" s="3" t="str">
        <f>IFERROR(__xludf.DUMMYFUNCTION("GOOGLETRANSLATE(B18398,""id"",""en"")"),"['Steady', 'prize']")</f>
        <v>['Steady', 'prize']</v>
      </c>
      <c r="D18398" s="3">
        <v>5.0</v>
      </c>
    </row>
    <row r="18399" ht="15.75" customHeight="1">
      <c r="A18399" s="1">
        <v>19562.0</v>
      </c>
      <c r="B18399" s="3" t="s">
        <v>17418</v>
      </c>
      <c r="C18399" s="3" t="str">
        <f>IFERROR(__xludf.DUMMYFUNCTION("GOOGLETRANSLATE(B18399,""id"",""en"")"),"['Severe', 'Telkomsel', 'opened']")</f>
        <v>['Severe', 'Telkomsel', 'opened']</v>
      </c>
      <c r="D18399" s="3">
        <v>1.0</v>
      </c>
    </row>
    <row r="18400" ht="15.75" customHeight="1">
      <c r="A18400" s="1">
        <v>19563.0</v>
      </c>
      <c r="B18400" s="3" t="s">
        <v>17419</v>
      </c>
      <c r="C18400" s="3" t="str">
        <f>IFERROR(__xludf.DUMMYFUNCTION("GOOGLETRANSLATE(B18400,""id"",""en"")"),"['exchange', 'Points', 'System', 'Busy', 'Response']")</f>
        <v>['exchange', 'Points', 'System', 'Busy', 'Response']</v>
      </c>
      <c r="D18400" s="3">
        <v>1.0</v>
      </c>
    </row>
    <row r="18401" ht="15.75" customHeight="1">
      <c r="A18401" s="1">
        <v>19564.0</v>
      </c>
      <c r="B18401" s="3" t="s">
        <v>17420</v>
      </c>
      <c r="C18401" s="3" t="str">
        <f>IFERROR(__xludf.DUMMYFUNCTION("GOOGLETRANSLATE(B18401,""id"",""en"")"),"['Internet', 'slow', 'pulse', 'sucked']")</f>
        <v>['Internet', 'slow', 'pulse', 'sucked']</v>
      </c>
      <c r="D18401" s="3">
        <v>2.0</v>
      </c>
    </row>
    <row r="18402" ht="15.75" customHeight="1">
      <c r="A18402" s="1">
        <v>19565.0</v>
      </c>
      <c r="B18402" s="3" t="s">
        <v>17421</v>
      </c>
      <c r="C18402" s="3" t="str">
        <f>IFERROR(__xludf.DUMMYFUNCTION("GOOGLETRANSLATE(B18402,""id"",""en"")"),"['Package', 'expensive', 'expensive', 'users', 'Telkomsel']")</f>
        <v>['Package', 'expensive', 'expensive', 'users', 'Telkomsel']</v>
      </c>
      <c r="D18402" s="3">
        <v>4.0</v>
      </c>
    </row>
    <row r="18403" ht="15.75" customHeight="1">
      <c r="A18403" s="1">
        <v>19566.0</v>
      </c>
      <c r="B18403" s="3" t="s">
        <v>17422</v>
      </c>
      <c r="C18403" s="3" t="str">
        <f>IFERROR(__xludf.DUMMYFUNCTION("GOOGLETRANSLATE(B18403,""id"",""en"")"),"['like', 'bnget']")</f>
        <v>['like', 'bnget']</v>
      </c>
      <c r="D18403" s="3">
        <v>5.0</v>
      </c>
    </row>
    <row r="18404" ht="15.75" customHeight="1">
      <c r="A18404" s="1">
        <v>19567.0</v>
      </c>
      <c r="B18404" s="3" t="s">
        <v>17423</v>
      </c>
      <c r="C18404" s="3" t="str">
        <f>IFERROR(__xludf.DUMMYFUNCTION("GOOGLETRANSLATE(B18404,""id"",""en"")"),"['Kenpa', 'here', 'package', 'quota', 'expensive', 'already', 'network', 'slow', 'bangettt', 'tong', 'repair', 'again']")</f>
        <v>['Kenpa', 'here', 'package', 'quota', 'expensive', 'already', 'network', 'slow', 'bangettt', 'tong', 'repair', 'again']</v>
      </c>
      <c r="D18404" s="3">
        <v>2.0</v>
      </c>
    </row>
    <row r="18405" ht="15.75" customHeight="1">
      <c r="A18405" s="1">
        <v>19568.0</v>
      </c>
      <c r="B18405" s="3" t="s">
        <v>17424</v>
      </c>
      <c r="C18405" s="3" t="str">
        <f>IFERROR(__xludf.DUMMYFUNCTION("GOOGLETRANSLATE(B18405,""id"",""en"")"),"['Signal', 'bad', 'according to', 'commitment']")</f>
        <v>['Signal', 'bad', 'according to', 'commitment']</v>
      </c>
      <c r="D18405" s="3">
        <v>1.0</v>
      </c>
    </row>
    <row r="18406" ht="15.75" customHeight="1">
      <c r="A18406" s="1">
        <v>19569.0</v>
      </c>
      <c r="B18406" s="3" t="s">
        <v>17425</v>
      </c>
      <c r="C18406" s="3" t="str">
        <f>IFERROR(__xludf.DUMMYFUNCTION("GOOGLETRANSLATE(B18406,""id"",""en"")"),"['Please', 'Fix', 'Signal', 'Sis']")</f>
        <v>['Please', 'Fix', 'Signal', 'Sis']</v>
      </c>
      <c r="D18406" s="3">
        <v>1.0</v>
      </c>
    </row>
    <row r="18407" ht="15.75" customHeight="1">
      <c r="A18407" s="1">
        <v>19570.0</v>
      </c>
      <c r="B18407" s="3" t="s">
        <v>17426</v>
      </c>
      <c r="C18407" s="3" t="str">
        <f>IFERROR(__xludf.DUMMYFUNCTION("GOOGLETRANSLATE(B18407,""id"",""en"")"),"['Please', 'fix', 'APK', 'a week', 'open', 'already', 'download', 'reset', 'fill', 'reset', 'pulse', 'package', ' data']")</f>
        <v>['Please', 'fix', 'APK', 'a week', 'open', 'already', 'download', 'reset', 'fill', 'reset', 'pulse', 'package', ' data']</v>
      </c>
      <c r="D18407" s="3">
        <v>1.0</v>
      </c>
    </row>
    <row r="18408" ht="15.75" customHeight="1">
      <c r="A18408" s="1">
        <v>19571.0</v>
      </c>
      <c r="B18408" s="3" t="s">
        <v>17427</v>
      </c>
      <c r="C18408" s="3" t="str">
        <f>IFERROR(__xludf.DUMMYFUNCTION("GOOGLETRANSLATE(B18408,""id"",""en"")"),"['The application', 'help', 'easy', 'access', 'Thank', 'You', 'Telkomsel']")</f>
        <v>['The application', 'help', 'easy', 'access', 'Thank', 'You', 'Telkomsel']</v>
      </c>
      <c r="D18408" s="3">
        <v>5.0</v>
      </c>
    </row>
    <row r="18409" ht="15.75" customHeight="1">
      <c r="A18409" s="1">
        <v>19572.0</v>
      </c>
      <c r="B18409" s="3" t="s">
        <v>17428</v>
      </c>
      <c r="C18409" s="3" t="str">
        <f>IFERROR(__xludf.DUMMYFUNCTION("GOOGLETRANSLATE(B18409,""id"",""en"")"),"['happy', 'really', 'quota', 'cheap']")</f>
        <v>['happy', 'really', 'quota', 'cheap']</v>
      </c>
      <c r="D18409" s="3">
        <v>5.0</v>
      </c>
    </row>
    <row r="18410" ht="15.75" customHeight="1">
      <c r="A18410" s="1">
        <v>19573.0</v>
      </c>
      <c r="B18410" s="3" t="s">
        <v>17429</v>
      </c>
      <c r="C18410" s="3" t="str">
        <f>IFERROR(__xludf.DUMMYFUNCTION("GOOGLETRANSLATE(B18410,""id"",""en"")"),"['Sya', 'Transfer', 'pulse']")</f>
        <v>['Sya', 'Transfer', 'pulse']</v>
      </c>
      <c r="D18410" s="3">
        <v>1.0</v>
      </c>
    </row>
    <row r="18411" ht="15.75" customHeight="1">
      <c r="A18411" s="1">
        <v>19574.0</v>
      </c>
      <c r="B18411" s="3" t="s">
        <v>12714</v>
      </c>
      <c r="C18411" s="3" t="str">
        <f>IFERROR(__xludf.DUMMYFUNCTION("GOOGLETRANSLATE(B18411,""id"",""en"")"),"['Help', 'Thank', 'Love', 'Telkomsel']")</f>
        <v>['Help', 'Thank', 'Love', 'Telkomsel']</v>
      </c>
      <c r="D18411" s="3">
        <v>5.0</v>
      </c>
    </row>
    <row r="18412" ht="15.75" customHeight="1">
      <c r="A18412" s="1">
        <v>19575.0</v>
      </c>
      <c r="B18412" s="3" t="s">
        <v>17430</v>
      </c>
      <c r="C18412" s="3" t="str">
        <f>IFERROR(__xludf.DUMMYFUNCTION("GOOGLETRANSLATE(B18412,""id"",""en"")"),"['Telkomsel', 'Network', 'poor', '']")</f>
        <v>['Telkomsel', 'Network', 'poor', '']</v>
      </c>
      <c r="D18412" s="3">
        <v>1.0</v>
      </c>
    </row>
    <row r="18413" ht="15.75" customHeight="1">
      <c r="A18413" s="1">
        <v>19576.0</v>
      </c>
      <c r="B18413" s="3" t="s">
        <v>17431</v>
      </c>
      <c r="C18413" s="3" t="str">
        <f>IFERROR(__xludf.DUMMYFUNCTION("GOOGLETRANSLATE(B18413,""id"",""en"")"),"['Increase', 'Customer', 'Comfortable']")</f>
        <v>['Increase', 'Customer', 'Comfortable']</v>
      </c>
      <c r="D18413" s="3">
        <v>5.0</v>
      </c>
    </row>
    <row r="18414" ht="15.75" customHeight="1">
      <c r="A18414" s="1">
        <v>19577.0</v>
      </c>
      <c r="B18414" s="3" t="s">
        <v>17432</v>
      </c>
      <c r="C18414" s="3" t="str">
        <f>IFERROR(__xludf.DUMMYFUNCTION("GOOGLETRANSLATE(B18414,""id"",""en"")"),"['Bagus', 'really', 'thanks', 'Maytelkomsel']")</f>
        <v>['Bagus', 'really', 'thanks', 'Maytelkomsel']</v>
      </c>
      <c r="D18414" s="3">
        <v>5.0</v>
      </c>
    </row>
    <row r="18415" ht="15.75" customHeight="1">
      <c r="A18415" s="1">
        <v>19579.0</v>
      </c>
      <c r="B18415" s="3" t="s">
        <v>17433</v>
      </c>
      <c r="C18415" s="3" t="str">
        <f>IFERROR(__xludf.DUMMYFUNCTION("GOOGLETRANSLATE(B18415,""id"",""en"")"),"['hope', 'gift', 'Telkomsel', 'Telkomsel', '']")</f>
        <v>['hope', 'gift', 'Telkomsel', 'Telkomsel', '']</v>
      </c>
      <c r="D18415" s="3">
        <v>5.0</v>
      </c>
    </row>
    <row r="18416" ht="15.75" customHeight="1">
      <c r="A18416" s="1">
        <v>19580.0</v>
      </c>
      <c r="B18416" s="3" t="s">
        <v>17434</v>
      </c>
      <c r="C18416" s="3" t="str">
        <f>IFERROR(__xludf.DUMMYFUNCTION("GOOGLETRANSLATE(B18416,""id"",""en"")"),"['Code', 'COEG', 'Telkomsel', 'Change', 'Network', 'Indonesia', 'Emang', 'ugly', 'really', 'good', ""]")</f>
        <v>['Code', 'COEG', 'Telkomsel', 'Change', 'Network', 'Indonesia', 'Emang', 'ugly', 'really', 'good', "]</v>
      </c>
      <c r="D18416" s="3">
        <v>1.0</v>
      </c>
    </row>
    <row r="18417" ht="15.75" customHeight="1">
      <c r="A18417" s="1">
        <v>19581.0</v>
      </c>
      <c r="B18417" s="3" t="s">
        <v>17435</v>
      </c>
      <c r="C18417" s="3" t="str">
        <f>IFERROR(__xludf.DUMMYFUNCTION("GOOGLETRANSLATE(B18417,""id"",""en"")"),"['package', 'application', 'expensive', 'Different', 'really', 'package', 'number', 'friend', 'that's', 'fair', 'really', '']")</f>
        <v>['package', 'application', 'expensive', 'Different', 'really', 'package', 'number', 'friend', 'that's', 'fair', 'really', '']</v>
      </c>
      <c r="D18417" s="3">
        <v>1.0</v>
      </c>
    </row>
    <row r="18418" ht="15.75" customHeight="1">
      <c r="A18418" s="1">
        <v>19582.0</v>
      </c>
      <c r="B18418" s="3" t="s">
        <v>17436</v>
      </c>
      <c r="C18418" s="3" t="str">
        <f>IFERROR(__xludf.DUMMYFUNCTION("GOOGLETRANSLATE(B18418,""id"",""en"")"),"['Sya', 'Kah', 'Krna', 'Sya', 'Prition', 'try']")</f>
        <v>['Sya', 'Kah', 'Krna', 'Sya', 'Prition', 'try']</v>
      </c>
      <c r="D18418" s="3">
        <v>3.0</v>
      </c>
    </row>
    <row r="18419" ht="15.75" customHeight="1">
      <c r="A18419" s="1">
        <v>19583.0</v>
      </c>
      <c r="B18419" s="3" t="s">
        <v>17437</v>
      </c>
      <c r="C18419" s="3" t="str">
        <f>IFERROR(__xludf.DUMMYFUNCTION("GOOGLETRANSLATE(B18419,""id"",""en"")"),"['Abis', 'Download', 'Telkomsel', 'Open']")</f>
        <v>['Abis', 'Download', 'Telkomsel', 'Open']</v>
      </c>
      <c r="D18419" s="3">
        <v>5.0</v>
      </c>
    </row>
    <row r="18420" ht="15.75" customHeight="1">
      <c r="A18420" s="1">
        <v>19584.0</v>
      </c>
      <c r="B18420" s="3" t="s">
        <v>17438</v>
      </c>
      <c r="C18420" s="3" t="str">
        <f>IFERROR(__xludf.DUMMYFUNCTION("GOOGLETRANSLATE(B18420,""id"",""en"")"),"['Steady', 'The network', 'Lemod', '']")</f>
        <v>['Steady', 'The network', 'Lemod', '']</v>
      </c>
      <c r="D18420" s="3">
        <v>5.0</v>
      </c>
    </row>
    <row r="18421" ht="15.75" customHeight="1">
      <c r="A18421" s="1">
        <v>19585.0</v>
      </c>
      <c r="B18421" s="3" t="s">
        <v>17439</v>
      </c>
      <c r="C18421" s="3" t="str">
        <f>IFERROR(__xludf.DUMMYFUNCTION("GOOGLETRANSLATE(B18421,""id"",""en"")"),"['right', 'entry', 'tsel', 'loading', 'really', 'setting', 'operator', 'fast', 'really', 'please', 'pengaik', 'system', ' App ']")</f>
        <v>['right', 'entry', 'tsel', 'loading', 'really', 'setting', 'operator', 'fast', 'really', 'please', 'pengaik', 'system', ' App ']</v>
      </c>
      <c r="D18421" s="3">
        <v>1.0</v>
      </c>
    </row>
    <row r="18422" ht="15.75" customHeight="1">
      <c r="A18422" s="1">
        <v>19586.0</v>
      </c>
      <c r="B18422" s="3" t="s">
        <v>17440</v>
      </c>
      <c r="C18422" s="3" t="str">
        <f>IFERROR(__xludf.DUMMYFUNCTION("GOOGLETRANSLATE(B18422,""id"",""en"")"),"['Network', 'at sea']")</f>
        <v>['Network', 'at sea']</v>
      </c>
      <c r="D18422" s="3">
        <v>5.0</v>
      </c>
    </row>
    <row r="18423" ht="15.75" customHeight="1">
      <c r="A18423" s="1">
        <v>19587.0</v>
      </c>
      <c r="B18423" s="3" t="s">
        <v>17441</v>
      </c>
      <c r="C18423" s="3" t="str">
        <f>IFERROR(__xludf.DUMMYFUNCTION("GOOGLETRANSLATE(B18423,""id"",""en"")"),"['Open', 'The application', 'Min', 'Disruption', 'Open', 'The application', 'White', ""]")</f>
        <v>['Open', 'The application', 'Min', 'Disruption', 'Open', 'The application', 'White', "]</v>
      </c>
      <c r="D18423" s="3">
        <v>2.0</v>
      </c>
    </row>
    <row r="18424" ht="15.75" customHeight="1">
      <c r="A18424" s="1">
        <v>19588.0</v>
      </c>
      <c r="B18424" s="3" t="s">
        <v>17442</v>
      </c>
      <c r="C18424" s="3" t="str">
        <f>IFERROR(__xludf.DUMMYFUNCTION("GOOGLETRANSLATE(B18424,""id"",""en"")"),"['Update', 'expensive', 'expensive', 'price']")</f>
        <v>['Update', 'expensive', 'expensive', 'price']</v>
      </c>
      <c r="D18424" s="3">
        <v>1.0</v>
      </c>
    </row>
    <row r="18425" ht="15.75" customHeight="1">
      <c r="A18425" s="1">
        <v>19589.0</v>
      </c>
      <c r="B18425" s="3" t="s">
        <v>17443</v>
      </c>
      <c r="C18425" s="3" t="str">
        <f>IFERROR(__xludf.DUMMYFUNCTION("GOOGLETRANSLATE(B18425,""id"",""en"")"),"['Upgrade', 'screen', 'white', '']")</f>
        <v>['Upgrade', 'screen', 'white', '']</v>
      </c>
      <c r="D18425" s="3">
        <v>1.0</v>
      </c>
    </row>
    <row r="18426" ht="15.75" customHeight="1">
      <c r="A18426" s="1">
        <v>19590.0</v>
      </c>
      <c r="B18426" s="3" t="s">
        <v>17444</v>
      </c>
      <c r="C18426" s="3" t="str">
        <f>IFERROR(__xludf.DUMMYFUNCTION("GOOGLETRANSLATE(B18426,""id"",""en"")"),"['Knpa', 'Mendowlad', 'application']")</f>
        <v>['Knpa', 'Mendowlad', 'application']</v>
      </c>
      <c r="D18426" s="3">
        <v>3.0</v>
      </c>
    </row>
    <row r="18427" ht="15.75" customHeight="1">
      <c r="A18427" s="1">
        <v>19591.0</v>
      </c>
      <c r="B18427" s="3" t="s">
        <v>17445</v>
      </c>
      <c r="C18427" s="3" t="str">
        <f>IFERROR(__xludf.DUMMYFUNCTION("GOOGLETRANSLATE(B18427,""id"",""en"")"),"['telkomyet', 'telkomnjing', 'telkombi', 'emang', 'network']")</f>
        <v>['telkomyet', 'telkomnjing', 'telkombi', 'emang', 'network']</v>
      </c>
      <c r="D18427" s="3">
        <v>1.0</v>
      </c>
    </row>
    <row r="18428" ht="15.75" customHeight="1">
      <c r="A18428" s="1">
        <v>19592.0</v>
      </c>
      <c r="B18428" s="3" t="s">
        <v>17446</v>
      </c>
      <c r="C18428" s="3" t="str">
        <f>IFERROR(__xludf.DUMMYFUNCTION("GOOGLETRANSLATE(B18428,""id"",""en"")"),"['complaints', 'Telkomsel', 'stable', 'please', 'already', 'pay', 'expensive', 'expensive', 'stable', ""]")</f>
        <v>['complaints', 'Telkomsel', 'stable', 'please', 'already', 'pay', 'expensive', 'expensive', 'stable', "]</v>
      </c>
      <c r="D18428" s="3">
        <v>1.0</v>
      </c>
    </row>
    <row r="18429" ht="15.75" customHeight="1">
      <c r="A18429" s="1">
        <v>19593.0</v>
      </c>
      <c r="B18429" s="3" t="s">
        <v>17447</v>
      </c>
      <c r="C18429" s="3" t="str">
        <f>IFERROR(__xludf.DUMMYFUNCTION("GOOGLETRANSLATE(B18429,""id"",""en"")"),"['Open', 'Home', 'Harua', 'Buy', 'Data']")</f>
        <v>['Open', 'Home', 'Harua', 'Buy', 'Data']</v>
      </c>
      <c r="D18429" s="3">
        <v>5.0</v>
      </c>
    </row>
    <row r="18430" ht="15.75" customHeight="1">
      <c r="A18430" s="1">
        <v>19594.0</v>
      </c>
      <c r="B18430" s="3" t="s">
        <v>17448</v>
      </c>
      <c r="C18430" s="3" t="str">
        <f>IFERROR(__xludf.DUMMYFUNCTION("GOOGLETRANSLATE(B18430,""id"",""en"")"),"['Amhamdulillah', 'application', 'easy', 'check', 'info', 'buy', 'pulse', 'package', 'data', 'basics',' okay ',' dngn ',' Way ',' Thank you ',' Telkomsel ', ""]")</f>
        <v>['Amhamdulillah', 'application', 'easy', 'check', 'info', 'buy', 'pulse', 'package', 'data', 'basics',' okay ',' dngn ',' Way ',' Thank you ',' Telkomsel ', "]</v>
      </c>
      <c r="D18430" s="3">
        <v>4.0</v>
      </c>
    </row>
    <row r="18431" ht="15.75" customHeight="1">
      <c r="A18431" s="1">
        <v>19595.0</v>
      </c>
      <c r="B18431" s="3" t="s">
        <v>17449</v>
      </c>
      <c r="C18431" s="3" t="str">
        <f>IFERROR(__xludf.DUMMYFUNCTION("GOOGLETRANSLATE(B18431,""id"",""en"")"),"['Try', 'dlu', 'yea', 'ntr', 'addin', 'bnyk', 'bntng', '']")</f>
        <v>['Try', 'dlu', 'yea', 'ntr', 'addin', 'bnyk', 'bntng', '']</v>
      </c>
      <c r="D18431" s="3">
        <v>3.0</v>
      </c>
    </row>
    <row r="18432" ht="15.75" customHeight="1">
      <c r="A18432" s="1">
        <v>19596.0</v>
      </c>
      <c r="B18432" s="3" t="s">
        <v>17450</v>
      </c>
      <c r="C18432" s="3" t="str">
        <f>IFERROR(__xludf.DUMMYFUNCTION("GOOGLETRANSLATE(B18432,""id"",""en"")"),"['Please', 'update', 'cook', 'yes',' package ',' daily ',' clock ',' maketin ',' clock ',' night ',' clock ',' mlm ',' hours', 'tomorrow', 'Please', 'fix']")</f>
        <v>['Please', 'update', 'cook', 'yes',' package ',' daily ',' clock ',' maketin ',' clock ',' night ',' clock ',' mlm ',' hours', 'tomorrow', 'Please', 'fix']</v>
      </c>
      <c r="D18432" s="3">
        <v>1.0</v>
      </c>
    </row>
    <row r="18433" ht="15.75" customHeight="1">
      <c r="A18433" s="1">
        <v>19597.0</v>
      </c>
      <c r="B18433" s="3" t="s">
        <v>17451</v>
      </c>
      <c r="C18433" s="3" t="str">
        <f>IFERROR(__xludf.DUMMYFUNCTION("GOOGLETRANSLATE(B18433,""id"",""en"")"),"['Gini', 'Card', 'Telkomsel', 'Village', 'Naturally', 'City', 'Tell', 'Exchange', 'Points',' Tlong ',' Dikratisin ',' POIIN ',' Msih ',' Pay ']")</f>
        <v>['Gini', 'Card', 'Telkomsel', 'Village', 'Naturally', 'City', 'Tell', 'Exchange', 'Points',' Tlong ',' Dikratisin ',' POIIN ',' Msih ',' Pay ']</v>
      </c>
      <c r="D18433" s="3">
        <v>1.0</v>
      </c>
    </row>
    <row r="18434" ht="15.75" customHeight="1">
      <c r="A18434" s="1">
        <v>19598.0</v>
      </c>
      <c r="B18434" s="3" t="s">
        <v>17452</v>
      </c>
      <c r="C18434" s="3" t="str">
        <f>IFERROR(__xludf.DUMMYFUNCTION("GOOGLETRANSLATE(B18434,""id"",""en"")"),"['Steady', 'SKL', 'promo', '']")</f>
        <v>['Steady', 'SKL', 'promo', '']</v>
      </c>
      <c r="D18434" s="3">
        <v>5.0</v>
      </c>
    </row>
    <row r="18435" ht="15.75" customHeight="1">
      <c r="A18435" s="1">
        <v>19599.0</v>
      </c>
      <c r="B18435" s="3" t="s">
        <v>17453</v>
      </c>
      <c r="C18435" s="3" t="str">
        <f>IFERROR(__xludf.DUMMYFUNCTION("GOOGLETRANSLATE(B18435,""id"",""en"")"),"['Display', 'features', 'satisfying']")</f>
        <v>['Display', 'features', 'satisfying']</v>
      </c>
      <c r="D18435" s="3">
        <v>5.0</v>
      </c>
    </row>
    <row r="18436" ht="15.75" customHeight="1">
      <c r="A18436" s="1">
        <v>19600.0</v>
      </c>
      <c r="B18436" s="3" t="s">
        <v>17454</v>
      </c>
      <c r="C18436" s="3" t="str">
        <f>IFERROR(__xludf.DUMMYFUNCTION("GOOGLETRANSLATE(B18436,""id"",""en"")"),"['open', 'application', 'told', 'update', 'aikasi', 'right', 'already', 'update', 'the application', 'blank', 'sampe', 'install', ' reset ',' many ',' times', 'restart', 'result', 'tetep', 'complicated', 'buy', 'package', 'how', 'update', 'fix', 'add' , '"&amp;"Developer', 'please', 'fix', 'the application', 'as soon as possible', 'buy', 'package', 'difficult', 'thank', 'love', ""]")</f>
        <v>['open', 'application', 'told', 'update', 'aikasi', 'right', 'already', 'update', 'the application', 'blank', 'sampe', 'install', ' reset ',' many ',' times', 'restart', 'result', 'tetep', 'complicated', 'buy', 'package', 'how', 'update', 'fix', 'add' , 'Developer', 'please', 'fix', 'the application', 'as soon as possible', 'buy', 'package', 'difficult', 'thank', 'love', "]</v>
      </c>
      <c r="D18436" s="3">
        <v>2.0</v>
      </c>
    </row>
    <row r="18437" ht="15.75" customHeight="1">
      <c r="A18437" s="1">
        <v>19601.0</v>
      </c>
      <c r="B18437" s="3" t="s">
        <v>17455</v>
      </c>
      <c r="C18437" s="3" t="str">
        <f>IFERROR(__xludf.DUMMYFUNCTION("GOOGLETRANSLATE(B18437,""id"",""en"")"),"['pulse', 'like', 'sumps', 'turn on', 'package', 'data', 'Allah', 'emotion']")</f>
        <v>['pulse', 'like', 'sumps', 'turn on', 'package', 'data', 'Allah', 'emotion']</v>
      </c>
      <c r="D18437" s="3">
        <v>1.0</v>
      </c>
    </row>
    <row r="18438" ht="15.75" customHeight="1">
      <c r="A18438" s="1">
        <v>19602.0</v>
      </c>
      <c r="B18438" s="3" t="s">
        <v>17456</v>
      </c>
      <c r="C18438" s="3" t="str">
        <f>IFERROR(__xludf.DUMMYFUNCTION("GOOGLETRANSLATE(B18438,""id"",""en"")"),"['use', 'application', 'easy', 'fast', 'buy', 'quota', 'data', '']")</f>
        <v>['use', 'application', 'easy', 'fast', 'buy', 'quota', 'data', '']</v>
      </c>
      <c r="D18438" s="3">
        <v>5.0</v>
      </c>
    </row>
    <row r="18439" ht="15.75" customHeight="1">
      <c r="A18439" s="1">
        <v>19603.0</v>
      </c>
      <c r="B18439" s="3" t="s">
        <v>17457</v>
      </c>
      <c r="C18439" s="3" t="str">
        <f>IFERROR(__xludf.DUMMYFUNCTION("GOOGLETRANSLATE(B18439,""id"",""en"")"),"['already', 'package', 'unlimited', 'youtube', 'package', 'data', 'take', 'disappointed', 'detrimental', 'buyer', 'unlimited', 'YouTube', ' Please, 'Kasi', 'Response']")</f>
        <v>['already', 'package', 'unlimited', 'youtube', 'package', 'data', 'take', 'disappointed', 'detrimental', 'buyer', 'unlimited', 'YouTube', ' Please, 'Kasi', 'Response']</v>
      </c>
      <c r="D18439" s="3">
        <v>1.0</v>
      </c>
    </row>
    <row r="18440" ht="15.75" customHeight="1">
      <c r="A18440" s="1">
        <v>19604.0</v>
      </c>
      <c r="B18440" s="3" t="s">
        <v>17458</v>
      </c>
      <c r="C18440" s="3" t="str">
        <f>IFERROR(__xludf.DUMMYFUNCTION("GOOGLETRANSLATE(B18440,""id"",""en"")"),"['quota', 'multimedia', 'package', 'Kombo', 'Sakti', 'unlimitite', 'blood', 'oath', ""]")</f>
        <v>['quota', 'multimedia', 'package', 'Kombo', 'Sakti', 'unlimitite', 'blood', 'oath', "]</v>
      </c>
      <c r="D18440" s="3">
        <v>1.0</v>
      </c>
    </row>
    <row r="18441" ht="15.75" customHeight="1">
      <c r="A18441" s="1">
        <v>19605.0</v>
      </c>
      <c r="B18441" s="3" t="s">
        <v>17459</v>
      </c>
      <c r="C18441" s="3" t="str">
        <f>IFERROR(__xludf.DUMMYFUNCTION("GOOGLETRANSLATE(B18441,""id"",""en"")"),"['Lelayanan', 'bad', 'Siyala', 'bad', 'Sampe', 'gabisa', 'pedaha', 'city', 'times', 'data', 'telkom']")</f>
        <v>['Lelayanan', 'bad', 'Siyala', 'bad', 'Sampe', 'gabisa', 'pedaha', 'city', 'times', 'data', 'telkom']</v>
      </c>
      <c r="D18441" s="3">
        <v>1.0</v>
      </c>
    </row>
    <row r="18442" ht="15.75" customHeight="1">
      <c r="A18442" s="1">
        <v>19606.0</v>
      </c>
      <c r="B18442" s="3" t="s">
        <v>17460</v>
      </c>
      <c r="C18442" s="3" t="str">
        <f>IFERROR(__xludf.DUMMYFUNCTION("GOOGLETRANSLATE(B18442,""id"",""en"")"),"['Assalamualaikum', 'ngak', 'enter', 'use', 'quota', 'ngak', 'ngak', 'please', 'fix', 'already', 'until', 'tens',' Enter ',' ngak ', ""]")</f>
        <v>['Assalamualaikum', 'ngak', 'enter', 'use', 'quota', 'ngak', 'ngak', 'please', 'fix', 'already', 'until', 'tens',' Enter ',' ngak ', "]</v>
      </c>
      <c r="D18442" s="3">
        <v>1.0</v>
      </c>
    </row>
    <row r="18443" ht="15.75" customHeight="1">
      <c r="A18443" s="1">
        <v>19607.0</v>
      </c>
      <c r="B18443" s="3" t="s">
        <v>17461</v>
      </c>
      <c r="C18443" s="3" t="str">
        <f>IFERROR(__xludf.DUMMYFUNCTION("GOOGLETRANSLATE(B18443,""id"",""en"")"),"['Telkomsel', 'network', 'bad', 'quality', 'slow', 'mending', 'change', 'card', ""]")</f>
        <v>['Telkomsel', 'network', 'bad', 'quality', 'slow', 'mending', 'change', 'card', "]</v>
      </c>
      <c r="D18443" s="3">
        <v>1.0</v>
      </c>
    </row>
    <row r="18444" ht="15.75" customHeight="1">
      <c r="A18444" s="1">
        <v>19609.0</v>
      </c>
      <c r="B18444" s="3" t="s">
        <v>17462</v>
      </c>
      <c r="C18444" s="3" t="str">
        <f>IFERROR(__xludf.DUMMYFUNCTION("GOOGLETRANSLATE(B18444,""id"",""en"")"),"['parahhhh', 'knapa', 'open', 'the application', 'network', 'skarang', 'tmbah', 'severe', 'users', 'Telkomsel', ""]")</f>
        <v>['parahhhh', 'knapa', 'open', 'the application', 'network', 'skarang', 'tmbah', 'severe', 'users', 'Telkomsel', "]</v>
      </c>
      <c r="D18444" s="3">
        <v>1.0</v>
      </c>
    </row>
    <row r="18445" ht="15.75" customHeight="1">
      <c r="A18445" s="1">
        <v>19610.0</v>
      </c>
      <c r="B18445" s="3" t="s">
        <v>17463</v>
      </c>
      <c r="C18445" s="3" t="str">
        <f>IFERROR(__xludf.DUMMYFUNCTION("GOOGLETRANSLATE(B18445,""id"",""en"")"),"['Register', 'Package', 'Emergency', 'Credit', 'Cut', 'Package', 'Emergency', 'Bener', ""]")</f>
        <v>['Register', 'Package', 'Emergency', 'Credit', 'Cut', 'Package', 'Emergency', 'Bener', "]</v>
      </c>
      <c r="D18445" s="3">
        <v>1.0</v>
      </c>
    </row>
    <row r="18446" ht="15.75" customHeight="1">
      <c r="A18446" s="1">
        <v>19611.0</v>
      </c>
      <c r="B18446" s="3" t="s">
        <v>17464</v>
      </c>
      <c r="C18446" s="3" t="str">
        <f>IFERROR(__xludf.DUMMYFUNCTION("GOOGLETRANSLATE(B18446,""id"",""en"")"),"['Update', 'Open', 'APK', 'Please', 'Admin', 'Fix']")</f>
        <v>['Update', 'Open', 'APK', 'Please', 'Admin', 'Fix']</v>
      </c>
      <c r="D18446" s="3">
        <v>1.0</v>
      </c>
    </row>
    <row r="18447" ht="15.75" customHeight="1">
      <c r="A18447" s="1">
        <v>19612.0</v>
      </c>
      <c r="B18447" s="3" t="s">
        <v>17465</v>
      </c>
      <c r="C18447" s="3" t="str">
        <f>IFERROR(__xludf.DUMMYFUNCTION("GOOGLETRANSLATE(B18447,""id"",""en"")"),"['woi', 'play', 'ngeleg', 'Gara', 'Gara', 'telkom', 'signal', 'play', 'regret', 'buy', 'telkom', 'smooth', ' Game ',' brother ']")</f>
        <v>['woi', 'play', 'ngeleg', 'Gara', 'Gara', 'telkom', 'signal', 'play', 'regret', 'buy', 'telkom', 'smooth', ' Game ',' brother ']</v>
      </c>
      <c r="D18447" s="3">
        <v>1.0</v>
      </c>
    </row>
    <row r="18448" ht="15.75" customHeight="1">
      <c r="A18448" s="1">
        <v>19613.0</v>
      </c>
      <c r="B18448" s="3" t="s">
        <v>4176</v>
      </c>
      <c r="C18448" s="3" t="str">
        <f>IFERROR(__xludf.DUMMYFUNCTION("GOOGLETRANSLATE(B18448,""id"",""en"")"),"['Application', 'help', ""]")</f>
        <v>['Application', 'help', "]</v>
      </c>
      <c r="D18448" s="3">
        <v>5.0</v>
      </c>
    </row>
    <row r="18449" ht="15.75" customHeight="1">
      <c r="A18449" s="1">
        <v>19614.0</v>
      </c>
      <c r="B18449" s="3" t="s">
        <v>17466</v>
      </c>
      <c r="C18449" s="3" t="str">
        <f>IFERROR(__xludf.DUMMYFUNCTION("GOOGLETRANSLATE(B18449,""id"",""en"")"),"['APL', 'slow', 'really', '']")</f>
        <v>['APL', 'slow', 'really', '']</v>
      </c>
      <c r="D18449" s="3">
        <v>1.0</v>
      </c>
    </row>
    <row r="18450" ht="15.75" customHeight="1">
      <c r="A18450" s="1">
        <v>19615.0</v>
      </c>
      <c r="B18450" s="3" t="s">
        <v>3151</v>
      </c>
      <c r="C18450" s="3" t="str">
        <f>IFERROR(__xludf.DUMMYFUNCTION("GOOGLETRANSLATE(B18450,""id"",""en"")"),"['Telkomsel', 'The network', '']")</f>
        <v>['Telkomsel', 'The network', '']</v>
      </c>
      <c r="D18450" s="3">
        <v>1.0</v>
      </c>
    </row>
    <row r="18451" ht="15.75" customHeight="1">
      <c r="A18451" s="1">
        <v>19616.0</v>
      </c>
      <c r="B18451" s="3" t="s">
        <v>17467</v>
      </c>
      <c r="C18451" s="3" t="str">
        <f>IFERROR(__xludf.DUMMYFUNCTION("GOOGLETRANSLATE(B18451,""id"",""en"")"),"['Good', 'help']")</f>
        <v>['Good', 'help']</v>
      </c>
      <c r="D18451" s="3">
        <v>5.0</v>
      </c>
    </row>
    <row r="18452" ht="15.75" customHeight="1">
      <c r="A18452" s="1">
        <v>19617.0</v>
      </c>
      <c r="B18452" s="3" t="s">
        <v>17468</v>
      </c>
      <c r="C18452" s="3" t="str">
        <f>IFERROR(__xludf.DUMMYFUNCTION("GOOGLETRANSLATE(B18452,""id"",""en"")"),"['', 'Mantap', 'bran']")</f>
        <v>['', 'Mantap', 'bran']</v>
      </c>
      <c r="D18452" s="3">
        <v>5.0</v>
      </c>
    </row>
    <row r="18453" ht="15.75" customHeight="1">
      <c r="A18453" s="1">
        <v>19618.0</v>
      </c>
      <c r="B18453" s="3" t="s">
        <v>17469</v>
      </c>
      <c r="C18453" s="3" t="str">
        <f>IFERROR(__xludf.DUMMYFUNCTION("GOOGLETRANSLATE(B18453,""id"",""en"")"),"['Likes', 'Bangeeeet', 'Service']")</f>
        <v>['Likes', 'Bangeeeet', 'Service']</v>
      </c>
      <c r="D18453" s="3">
        <v>5.0</v>
      </c>
    </row>
    <row r="18454" ht="15.75" customHeight="1">
      <c r="A18454" s="1">
        <v>19619.0</v>
      </c>
      <c r="B18454" s="3" t="s">
        <v>17470</v>
      </c>
      <c r="C18454" s="3" t="str">
        <f>IFERROR(__xludf.DUMMYFUNCTION("GOOGLETRANSLATE(B18454,""id"",""en"")"),"['special', 'yaa', 'sister', 'sister']")</f>
        <v>['special', 'yaa', 'sister', 'sister']</v>
      </c>
      <c r="D18454" s="3">
        <v>5.0</v>
      </c>
    </row>
    <row r="18455" ht="15.75" customHeight="1">
      <c r="A18455" s="1">
        <v>19620.0</v>
      </c>
      <c r="B18455" s="3" t="s">
        <v>17471</v>
      </c>
      <c r="C18455" s="3" t="str">
        <f>IFERROR(__xludf.DUMMYFUNCTION("GOOGLETRANSLATE(B18455,""id"",""en"")"),"['wants',' Telkomsel ',' skrg ',' missing ',' sndiri ',' moved ',' can ',' use ',' telkomsel ',' brtah ',' smpai ',' skrg ',' signal ',' chantakan ',' msh ',' serve ',' nation ',' gnti ',' management ',' telkomsel ',' atw ',' sell ',' skalian ',' shares',"&amp;" 'nation' , 'Foreign', 'good', 'service', 'equalization', 'hopefully', 'Protic', 'Marri', 'users', 'Telkomsel', ""]")</f>
        <v>['wants',' Telkomsel ',' skrg ',' missing ',' sndiri ',' moved ',' can ',' use ',' telkomsel ',' brtah ',' smpai ',' skrg ',' signal ',' chantakan ',' msh ',' serve ',' nation ',' gnti ',' management ',' telkomsel ',' atw ',' sell ',' skalian ',' shares', 'nation' , 'Foreign', 'good', 'service', 'equalization', 'hopefully', 'Protic', 'Marri', 'users', 'Telkomsel', "]</v>
      </c>
      <c r="D18455" s="3">
        <v>1.0</v>
      </c>
    </row>
    <row r="18456" ht="15.75" customHeight="1">
      <c r="A18456" s="1">
        <v>19621.0</v>
      </c>
      <c r="B18456" s="3" t="s">
        <v>17472</v>
      </c>
      <c r="C18456" s="3" t="str">
        <f>IFERROR(__xludf.DUMMYFUNCTION("GOOGLETRANSLATE(B18456,""id"",""en"")"),"['opened', 'blank', 'screen', 'white', 'installed', 'reset', 'times', 'TEYAP', 'SAJS']")</f>
        <v>['opened', 'blank', 'screen', 'white', 'installed', 'reset', 'times', 'TEYAP', 'SAJS']</v>
      </c>
      <c r="D18456" s="3">
        <v>1.0</v>
      </c>
    </row>
    <row r="18457" ht="15.75" customHeight="1">
      <c r="A18457" s="1">
        <v>19622.0</v>
      </c>
      <c r="B18457" s="3" t="s">
        <v>17473</v>
      </c>
      <c r="C18457" s="3" t="str">
        <f>IFERROR(__xludf.DUMMYFUNCTION("GOOGLETRANSLATE(B18457,""id"",""en"")"),"['Application', 'Telkomsel', 'opened']")</f>
        <v>['Application', 'Telkomsel', 'opened']</v>
      </c>
      <c r="D18457" s="3">
        <v>5.0</v>
      </c>
    </row>
    <row r="18458" ht="15.75" customHeight="1">
      <c r="A18458" s="1">
        <v>19623.0</v>
      </c>
      <c r="B18458" s="3" t="s">
        <v>17474</v>
      </c>
      <c r="C18458" s="3" t="str">
        <f>IFERROR(__xludf.DUMMYFUNCTION("GOOGLETRANSLATE(B18458,""id"",""en"")"),"['Good', 'cheap', '']")</f>
        <v>['Good', 'cheap', '']</v>
      </c>
      <c r="D18458" s="3">
        <v>5.0</v>
      </c>
    </row>
    <row r="18459" ht="15.75" customHeight="1">
      <c r="A18459" s="1">
        <v>19624.0</v>
      </c>
      <c r="B18459" s="3" t="s">
        <v>17475</v>
      </c>
      <c r="C18459" s="3" t="str">
        <f>IFERROR(__xludf.DUMMYFUNCTION("GOOGLETRANSLATE(B18459,""id"",""en"")"),"['Mobile', 'open', 'Telkomsel', 'blank', 'white', 'that's']")</f>
        <v>['Mobile', 'open', 'Telkomsel', 'blank', 'white', 'that's']</v>
      </c>
      <c r="D18459" s="3">
        <v>3.0</v>
      </c>
    </row>
    <row r="18460" ht="15.75" customHeight="1">
      <c r="A18460" s="1">
        <v>19625.0</v>
      </c>
      <c r="B18460" s="3" t="s">
        <v>17476</v>
      </c>
      <c r="C18460" s="3" t="str">
        <f>IFERROR(__xludf.DUMMYFUNCTION("GOOGLETRANSLATE(B18460,""id"",""en"")"),"['Telkomsel', 'dodol', 'hoax', '']")</f>
        <v>['Telkomsel', 'dodol', 'hoax', '']</v>
      </c>
      <c r="D18460" s="3">
        <v>1.0</v>
      </c>
    </row>
    <row r="18461" ht="15.75" customHeight="1">
      <c r="A18461" s="1">
        <v>19626.0</v>
      </c>
      <c r="B18461" s="3" t="s">
        <v>17477</v>
      </c>
      <c r="C18461" s="3" t="str">
        <f>IFERROR(__xludf.DUMMYFUNCTION("GOOGLETRANSLATE(B18461,""id"",""en"")"),"['Knpa', 'App', 'NGK', 'BSA', 'Open', 'White', 'Screen', 'Trooos']")</f>
        <v>['Knpa', 'App', 'NGK', 'BSA', 'Open', 'White', 'Screen', 'Trooos']</v>
      </c>
      <c r="D18461" s="3">
        <v>1.0</v>
      </c>
    </row>
    <row r="18462" ht="15.75" customHeight="1">
      <c r="A18462" s="1">
        <v>19627.0</v>
      </c>
      <c r="B18462" s="3" t="s">
        <v>17478</v>
      </c>
      <c r="C18462" s="3" t="str">
        <f>IFERROR(__xludf.DUMMYFUNCTION("GOOGLETRANSLATE(B18462,""id"",""en"")"),"['Feature', 'key', 'pulse', 'sucked', 'quota', 'abis']")</f>
        <v>['Feature', 'key', 'pulse', 'sucked', 'quota', 'abis']</v>
      </c>
      <c r="D18462" s="3">
        <v>1.0</v>
      </c>
    </row>
    <row r="18463" ht="15.75" customHeight="1">
      <c r="A18463" s="1">
        <v>19628.0</v>
      </c>
      <c r="B18463" s="3" t="s">
        <v>17479</v>
      </c>
      <c r="C18463" s="3" t="str">
        <f>IFERROR(__xludf.DUMMYFUNCTION("GOOGLETRANSLATE(B18463,""id"",""en"")"),"['open', 'application', 'min', 'please', 'fix', '']")</f>
        <v>['open', 'application', 'min', 'please', 'fix', '']</v>
      </c>
      <c r="D18463" s="3">
        <v>1.0</v>
      </c>
    </row>
    <row r="18464" ht="15.75" customHeight="1">
      <c r="A18464" s="1">
        <v>19629.0</v>
      </c>
      <c r="B18464" s="3" t="s">
        <v>17480</v>
      </c>
      <c r="C18464" s="3" t="str">
        <f>IFERROR(__xludf.DUMMYFUNCTION("GOOGLETRANSLATE(B18464,""id"",""en"")"),"['MyTelkomsel', 'good', 'possibility', 'exchange', 'Points', 'pulses', 'data']")</f>
        <v>['MyTelkomsel', 'good', 'possibility', 'exchange', 'Points', 'pulses', 'data']</v>
      </c>
      <c r="D18464" s="3">
        <v>4.0</v>
      </c>
    </row>
    <row r="18465" ht="15.75" customHeight="1">
      <c r="A18465" s="1">
        <v>19630.0</v>
      </c>
      <c r="B18465" s="3" t="s">
        <v>17481</v>
      </c>
      <c r="C18465" s="3" t="str">
        <f>IFERROR(__xludf.DUMMYFUNCTION("GOOGLETRANSLATE(B18465,""id"",""en"")"),"['already', 'buy', 'package', 'pulse', 'regular', 'already', 'cheek', 'tetep', 'gabisa', 'use', 'suck', 'pulses',' main ',' Mulu ',' Sampe ',' Abis', 'please', 'Telkomsel']")</f>
        <v>['already', 'buy', 'package', 'pulse', 'regular', 'already', 'cheek', 'tetep', 'gabisa', 'use', 'suck', 'pulses',' main ',' Mulu ',' Sampe ',' Abis', 'please', 'Telkomsel']</v>
      </c>
      <c r="D18465" s="3">
        <v>2.0</v>
      </c>
    </row>
    <row r="18466" ht="15.75" customHeight="1">
      <c r="A18466" s="1">
        <v>19631.0</v>
      </c>
      <c r="B18466" s="3" t="s">
        <v>17482</v>
      </c>
      <c r="C18466" s="3" t="str">
        <f>IFERROR(__xludf.DUMMYFUNCTION("GOOGLETRANSLATE(B18466,""id"",""en"")"),"['fast', 'practical']")</f>
        <v>['fast', 'practical']</v>
      </c>
      <c r="D18466" s="3">
        <v>5.0</v>
      </c>
    </row>
    <row r="18467" ht="15.75" customHeight="1">
      <c r="A18467" s="1">
        <v>19632.0</v>
      </c>
      <c r="B18467" s="3" t="s">
        <v>17483</v>
      </c>
      <c r="C18467" s="3" t="str">
        <f>IFERROR(__xludf.DUMMYFUNCTION("GOOGLETRANSLATE(B18467,""id"",""en"")"),"['knp', 'opened', 'sihhh', 'kagak', 'buy', 'package', 'nihh', ""]")</f>
        <v>['knp', 'opened', 'sihhh', 'kagak', 'buy', 'package', 'nihh', "]</v>
      </c>
      <c r="D18467" s="3">
        <v>2.0</v>
      </c>
    </row>
    <row r="18468" ht="15.75" customHeight="1">
      <c r="A18468" s="1">
        <v>19633.0</v>
      </c>
      <c r="B18468" s="3" t="s">
        <v>592</v>
      </c>
      <c r="C18468" s="3" t="str">
        <f>IFERROR(__xludf.DUMMYFUNCTION("GOOGLETRANSLATE(B18468,""id"",""en"")"),"['Telkomsel']")</f>
        <v>['Telkomsel']</v>
      </c>
      <c r="D18468" s="3">
        <v>5.0</v>
      </c>
    </row>
    <row r="18469" ht="15.75" customHeight="1">
      <c r="A18469" s="1">
        <v>19634.0</v>
      </c>
      <c r="B18469" s="3" t="s">
        <v>17484</v>
      </c>
      <c r="C18469" s="3" t="str">
        <f>IFERROR(__xludf.DUMMYFUNCTION("GOOGLETRANSLATE(B18469,""id"",""en"")"),"['Telkomsel', 'Severe', 'Lansung', 'Play', 'Cut', 'Approval', 'Activate', 'Package', 'Buy', 'Buy', ""]")</f>
        <v>['Telkomsel', 'Severe', 'Lansung', 'Play', 'Cut', 'Approval', 'Activate', 'Package', 'Buy', 'Buy', "]</v>
      </c>
      <c r="D18469" s="3">
        <v>2.0</v>
      </c>
    </row>
    <row r="18470" ht="15.75" customHeight="1">
      <c r="A18470" s="1">
        <v>19635.0</v>
      </c>
      <c r="B18470" s="3" t="s">
        <v>2326</v>
      </c>
      <c r="C18470" s="3" t="str">
        <f>IFERROR(__xludf.DUMMYFUNCTION("GOOGLETRANSLATE(B18470,""id"",""en"")"),"['Safety', 'Develop']")</f>
        <v>['Safety', 'Develop']</v>
      </c>
      <c r="D18470" s="3">
        <v>5.0</v>
      </c>
    </row>
    <row r="18471" ht="15.75" customHeight="1">
      <c r="A18471" s="1">
        <v>19636.0</v>
      </c>
      <c r="B18471" s="3" t="s">
        <v>17485</v>
      </c>
      <c r="C18471" s="3" t="str">
        <f>IFERROR(__xludf.DUMMYFUNCTION("GOOGLETRANSLATE(B18471,""id"",""en"")"),"['Application', 'Turn', 'Taun', 'Tuker', 'Ponit', 'Kaga', 'Open', '']")</f>
        <v>['Application', 'Turn', 'Taun', 'Tuker', 'Ponit', 'Kaga', 'Open', '']</v>
      </c>
      <c r="D18471" s="3">
        <v>1.0</v>
      </c>
    </row>
    <row r="18472" ht="15.75" customHeight="1">
      <c r="A18472" s="1">
        <v>19637.0</v>
      </c>
      <c r="B18472" s="3" t="s">
        <v>17486</v>
      </c>
      <c r="C18472" s="3" t="str">
        <f>IFERROR(__xludf.DUMMYFUNCTION("GOOGLETRANSLATE(B18472,""id"",""en"")"),"['Mantul', 'makes it easier']")</f>
        <v>['Mantul', 'makes it easier']</v>
      </c>
      <c r="D18472" s="3">
        <v>5.0</v>
      </c>
    </row>
    <row r="18473" ht="15.75" customHeight="1">
      <c r="A18473" s="1">
        <v>19638.0</v>
      </c>
      <c r="B18473" s="3" t="s">
        <v>17487</v>
      </c>
      <c r="C18473" s="3" t="str">
        <f>IFERROR(__xludf.DUMMYFUNCTION("GOOGLETRANSLATE(B18473,""id"",""en"")"),"['Nyesel', 'Download', 'Telkomsel', 'Network', 'Kayak', 'Snail', 'Walking', '']")</f>
        <v>['Nyesel', 'Download', 'Telkomsel', 'Network', 'Kayak', 'Snail', 'Walking', '']</v>
      </c>
      <c r="D18473" s="3">
        <v>1.0</v>
      </c>
    </row>
    <row r="18474" ht="15.75" customHeight="1">
      <c r="A18474" s="1">
        <v>19639.0</v>
      </c>
      <c r="B18474" s="3" t="s">
        <v>17488</v>
      </c>
      <c r="C18474" s="3" t="str">
        <f>IFERROR(__xludf.DUMMYFUNCTION("GOOGLETRANSLATE(B18474,""id"",""en"")"),"['mantappp', 'the application', 'bnyak', 'promo']")</f>
        <v>['mantappp', 'the application', 'bnyak', 'promo']</v>
      </c>
      <c r="D18474" s="3">
        <v>5.0</v>
      </c>
    </row>
    <row r="18475" ht="15.75" customHeight="1">
      <c r="A18475" s="1">
        <v>19640.0</v>
      </c>
      <c r="B18475" s="3" t="s">
        <v>17489</v>
      </c>
      <c r="C18475" s="3" t="str">
        <f>IFERROR(__xludf.DUMMYFUNCTION("GOOGLETRANSLATE(B18475,""id"",""en"")"),"['Gwe', 'buy', 'quota', 'mintak', 'net', 'kayak', 'Telkomsel', ""]")</f>
        <v>['Gwe', 'buy', 'quota', 'mintak', 'net', 'kayak', 'Telkomsel', "]</v>
      </c>
      <c r="D18475" s="3">
        <v>1.0</v>
      </c>
    </row>
    <row r="18476" ht="15.75" customHeight="1">
      <c r="A18476" s="1">
        <v>19641.0</v>
      </c>
      <c r="B18476" s="3" t="s">
        <v>17490</v>
      </c>
      <c r="C18476" s="3" t="str">
        <f>IFERROR(__xludf.DUMMYFUNCTION("GOOGLETRANSLATE(B18476,""id"",""en"")"),"['Telkomsel', 'promo', 'mulu', 'signal', 'ngak', 'noon', 'night', 'maen', 'game', 'mobile', 'legend', 'ngelag', ' sorry ',' moved ',' network ',' stable ',' speeding ',' ngak ',' cpet ',' run out ',' kouta ',' telkomsel ',' skarang ',' want ',' money ' , "&amp;"'Business', 'Network', 'Sekayu', 'Sumatran', 'South', 'Salam', '']")</f>
        <v>['Telkomsel', 'promo', 'mulu', 'signal', 'ngak', 'noon', 'night', 'maen', 'game', 'mobile', 'legend', 'ngelag', ' sorry ',' moved ',' network ',' stable ',' speeding ',' ngak ',' cpet ',' run out ',' kouta ',' telkomsel ',' skarang ',' want ',' money ' , 'Business', 'Network', 'Sekayu', 'Sumatran', 'South', 'Salam', '']</v>
      </c>
      <c r="D18476" s="3">
        <v>1.0</v>
      </c>
    </row>
    <row r="18477" ht="15.75" customHeight="1">
      <c r="A18477" s="1">
        <v>19642.0</v>
      </c>
      <c r="B18477" s="3" t="s">
        <v>17491</v>
      </c>
      <c r="C18477" s="3" t="str">
        <f>IFERROR(__xludf.DUMMYFUNCTION("GOOGLETRANSLATE(B18477,""id"",""en"")"),"['Tsel', 'network', 'Lawak', 'expensive', 'expensive', 'gada', 'good']")</f>
        <v>['Tsel', 'network', 'Lawak', 'expensive', 'expensive', 'gada', 'good']</v>
      </c>
      <c r="D18477" s="3">
        <v>1.0</v>
      </c>
    </row>
    <row r="18478" ht="15.75" customHeight="1">
      <c r="A18478" s="1">
        <v>19643.0</v>
      </c>
      <c r="B18478" s="3" t="s">
        <v>17492</v>
      </c>
      <c r="C18478" s="3" t="str">
        <f>IFERROR(__xludf.DUMMYFUNCTION("GOOGLETRANSLATE(B18478,""id"",""en"")"),"['Black', 'White', 'Open', 'Application', 'Telkomsel', 'UDH', 'BBRPA', 'HRI', 'BSA', 'Open', 'Network', 'Udh', ' difficult ',' down ',' sprti ',' dlu ',' network ',' ']")</f>
        <v>['Black', 'White', 'Open', 'Application', 'Telkomsel', 'UDH', 'BBRPA', 'HRI', 'BSA', 'Open', 'Network', 'Udh', ' difficult ',' down ',' sprti ',' dlu ',' network ',' ']</v>
      </c>
      <c r="D18478" s="3">
        <v>1.0</v>
      </c>
    </row>
    <row r="18479" ht="15.75" customHeight="1">
      <c r="A18479" s="1">
        <v>19644.0</v>
      </c>
      <c r="B18479" s="3" t="s">
        <v>17493</v>
      </c>
      <c r="C18479" s="3" t="str">
        <f>IFERROR(__xludf.DUMMYFUNCTION("GOOGLETRANSLATE(B18479,""id"",""en"")"),"['Price', 'expensive', 'package']")</f>
        <v>['Price', 'expensive', 'package']</v>
      </c>
      <c r="D18479" s="3">
        <v>3.0</v>
      </c>
    </row>
    <row r="18480" ht="15.75" customHeight="1">
      <c r="A18480" s="1">
        <v>19645.0</v>
      </c>
      <c r="B18480" s="3" t="s">
        <v>17494</v>
      </c>
      <c r="C18480" s="3" t="str">
        <f>IFERROR(__xludf.DUMMYFUNCTION("GOOGLETRANSLATE(B18480,""id"",""en"")"),"['Fix', 'Jangkauwan', 'signal']")</f>
        <v>['Fix', 'Jangkauwan', 'signal']</v>
      </c>
      <c r="D18480" s="3">
        <v>5.0</v>
      </c>
    </row>
    <row r="18481" ht="15.75" customHeight="1">
      <c r="A18481" s="1">
        <v>19646.0</v>
      </c>
      <c r="B18481" s="3" t="s">
        <v>14521</v>
      </c>
      <c r="C18481" s="3" t="str">
        <f>IFERROR(__xludf.DUMMYFUNCTION("GOOGLETRANSLATE(B18481,""id"",""en"")"),"['Service', 'Good']")</f>
        <v>['Service', 'Good']</v>
      </c>
      <c r="D18481" s="3">
        <v>5.0</v>
      </c>
    </row>
    <row r="18482" ht="15.75" customHeight="1">
      <c r="A18482" s="1">
        <v>19647.0</v>
      </c>
      <c r="B18482" s="3" t="s">
        <v>15939</v>
      </c>
      <c r="C18482" s="3" t="str">
        <f>IFERROR(__xludf.DUMMYFUNCTION("GOOGLETRANSLATE(B18482,""id"",""en"")"),"['slow network']")</f>
        <v>['slow network']</v>
      </c>
      <c r="D18482" s="3">
        <v>1.0</v>
      </c>
    </row>
    <row r="18483" ht="15.75" customHeight="1">
      <c r="A18483" s="1">
        <v>19648.0</v>
      </c>
      <c r="B18483" s="3" t="s">
        <v>17495</v>
      </c>
      <c r="C18483" s="3" t="str">
        <f>IFERROR(__xludf.DUMMYFUNCTION("GOOGLETRANSLATE(B18483,""id"",""en"")"),"['', 'Application', 'Telkomsel', 'Latest', 'Offer', 'Package', 'Quota', 'Combo', 'Sakti', 'Unlimited', 'Application', 'Telkomsel', 'just now ',' buy ',' quota ',' GB ',' Package ',' Combo ',' Sakti ',' Unlimited ',' Application ',' right ',' buy ',' appli"&amp;"cation ',' version ', 'Latest', 'koq', 'try', 'please', 'distinguished', 'jdnya', 'confused', '']")</f>
        <v>['', 'Application', 'Telkomsel', 'Latest', 'Offer', 'Package', 'Quota', 'Combo', 'Sakti', 'Unlimited', 'Application', 'Telkomsel', 'just now ',' buy ',' quota ',' GB ',' Package ',' Combo ',' Sakti ',' Unlimited ',' Application ',' right ',' buy ',' application ',' version ', 'Latest', 'koq', 'try', 'please', 'distinguished', 'jdnya', 'confused', '']</v>
      </c>
      <c r="D18483" s="3">
        <v>3.0</v>
      </c>
    </row>
    <row r="18484" ht="15.75" customHeight="1">
      <c r="A18484" s="1">
        <v>19649.0</v>
      </c>
      <c r="B18484" s="3" t="s">
        <v>17496</v>
      </c>
      <c r="C18484" s="3" t="str">
        <f>IFERROR(__xludf.DUMMYFUNCTION("GOOGLETRANSLATE(B18484,""id"",""en"")"),"['hopefully', 'price', 'quota', 'card', 'cheap', 'user', 'card', 'Telkomsel', '']")</f>
        <v>['hopefully', 'price', 'quota', 'card', 'cheap', 'user', 'card', 'Telkomsel', '']</v>
      </c>
      <c r="D18484" s="3">
        <v>5.0</v>
      </c>
    </row>
    <row r="18485" ht="15.75" customHeight="1">
      <c r="A18485" s="1">
        <v>19651.0</v>
      </c>
      <c r="B18485" s="3" t="s">
        <v>7197</v>
      </c>
      <c r="C18485" s="3" t="str">
        <f>IFERROR(__xludf.DUMMYFUNCTION("GOOGLETRANSLATE(B18485,""id"",""en"")"),"['', 'satisfied']")</f>
        <v>['', 'satisfied']</v>
      </c>
      <c r="D18485" s="3">
        <v>5.0</v>
      </c>
    </row>
    <row r="18486" ht="15.75" customHeight="1">
      <c r="A18486" s="1">
        <v>19652.0</v>
      </c>
      <c r="B18486" s="3" t="s">
        <v>17497</v>
      </c>
      <c r="C18486" s="3" t="str">
        <f>IFERROR(__xludf.DUMMYFUNCTION("GOOGLETRANSLATE(B18486,""id"",""en"")"),"['Cool', 'really', 'price', 'package', 'cheap', 'min', '']")</f>
        <v>['Cool', 'really', 'price', 'package', 'cheap', 'min', '']</v>
      </c>
      <c r="D18486" s="3">
        <v>5.0</v>
      </c>
    </row>
    <row r="18487" ht="15.75" customHeight="1">
      <c r="A18487" s="1">
        <v>19653.0</v>
      </c>
      <c r="B18487" s="3" t="s">
        <v>17498</v>
      </c>
      <c r="C18487" s="3" t="str">
        <f>IFERROR(__xludf.DUMMYFUNCTION("GOOGLETRANSLATE(B18487,""id"",""en"")"),"['promo', 'Telkomsel', 'HOAK', 'TANUT', 'DOWLOAD', 'Application', 'PLN', 'Iming', 'quota', 'right', 'dowlod', 'ngak', ' Get ',' Basic ',' Kere ',' Search ',' Referral ',' Iming ',' Download ',' PLN ',' MB ',' Ngak ',' Pay ',' Rewad ',' download ' , 'Basic"&amp;"', 'promo', 'abal', '']")</f>
        <v>['promo', 'Telkomsel', 'HOAK', 'TANUT', 'DOWLOAD', 'Application', 'PLN', 'Iming', 'quota', 'right', 'dowlod', 'ngak', ' Get ',' Basic ',' Kere ',' Search ',' Referral ',' Iming ',' Download ',' PLN ',' MB ',' Ngak ',' Pay ',' Rewad ',' download ' , 'Basic', 'promo', 'abal', '']</v>
      </c>
      <c r="D18487" s="3">
        <v>1.0</v>
      </c>
    </row>
    <row r="18488" ht="15.75" customHeight="1">
      <c r="A18488" s="1">
        <v>19654.0</v>
      </c>
      <c r="B18488" s="3" t="s">
        <v>17499</v>
      </c>
      <c r="C18488" s="3" t="str">
        <f>IFERROR(__xludf.DUMMYFUNCTION("GOOGLETRANSLATE(B18488,""id"",""en"")"),"['Asked']")</f>
        <v>['Asked']</v>
      </c>
      <c r="D18488" s="3">
        <v>2.0</v>
      </c>
    </row>
    <row r="18489" ht="15.75" customHeight="1">
      <c r="A18489" s="1">
        <v>19655.0</v>
      </c>
      <c r="B18489" s="3" t="s">
        <v>17500</v>
      </c>
      <c r="C18489" s="3" t="str">
        <f>IFERROR(__xludf.DUMMYFUNCTION("GOOGLETRANSLATE(B18489,""id"",""en"")"),"['MJD', 'customers',' Telkomsel ',' Hello ',' signal ',' good ',' right ',' Need ',' really ',' want ',' cry ',' open ',' Internet ',' Loading ',' Lamaaa ']")</f>
        <v>['MJD', 'customers',' Telkomsel ',' Hello ',' signal ',' good ',' right ',' Need ',' really ',' want ',' cry ',' open ',' Internet ',' Loading ',' Lamaaa ']</v>
      </c>
      <c r="D18489" s="3">
        <v>1.0</v>
      </c>
    </row>
    <row r="18490" ht="15.75" customHeight="1">
      <c r="A18490" s="1">
        <v>19656.0</v>
      </c>
      <c r="B18490" s="3" t="s">
        <v>17501</v>
      </c>
      <c r="C18490" s="3" t="str">
        <f>IFERROR(__xludf.DUMMYFUNCTION("GOOGLETRANSLATE(B18490,""id"",""en"")"),"['thank you', 'Telkomsel', 'network', 'super', 'steady', 'wherever', 'mingu', 'lottery', 'gift', 'motor', 'pulse', 'etc.', ' interesting ',' PERRH ',' Talks', 'Hopefully', 'In the future', 'Luckily', 'Elek', 'Gift', 'Lottery', 'Points',' Healthy ',' Greet"&amp;"ings', 'Heart' , 'Red and white', '']")</f>
        <v>['thank you', 'Telkomsel', 'network', 'super', 'steady', 'wherever', 'mingu', 'lottery', 'gift', 'motor', 'pulse', 'etc.', ' interesting ',' PERRH ',' Talks', 'Hopefully', 'In the future', 'Luckily', 'Elek', 'Gift', 'Lottery', 'Points',' Healthy ',' Greetings', 'Heart' , 'Red and white', '']</v>
      </c>
      <c r="D18490" s="3">
        <v>5.0</v>
      </c>
    </row>
    <row r="18491" ht="15.75" customHeight="1">
      <c r="A18491" s="1">
        <v>19657.0</v>
      </c>
      <c r="B18491" s="3" t="s">
        <v>567</v>
      </c>
      <c r="C18491" s="3" t="str">
        <f>IFERROR(__xludf.DUMMYFUNCTION("GOOGLETRANSLATE(B18491,""id"",""en"")"),"['application']")</f>
        <v>['application']</v>
      </c>
      <c r="D18491" s="3">
        <v>5.0</v>
      </c>
    </row>
    <row r="18492" ht="15.75" customHeight="1">
      <c r="A18492" s="1">
        <v>19658.0</v>
      </c>
      <c r="B18492" s="3" t="s">
        <v>17502</v>
      </c>
      <c r="C18492" s="3" t="str">
        <f>IFERROR(__xludf.DUMMYFUNCTION("GOOGLETRANSLATE(B18492,""id"",""en"")"),"['Out', 'update', 'white', 'really', 'screen', 'open', 'gmn', 'app', 'error', 'kah', 'gmn', 'explorer']")</f>
        <v>['Out', 'update', 'white', 'really', 'screen', 'open', 'gmn', 'app', 'error', 'kah', 'gmn', 'explorer']</v>
      </c>
      <c r="D18492" s="3">
        <v>1.0</v>
      </c>
    </row>
    <row r="18493" ht="15.75" customHeight="1">
      <c r="A18493" s="1">
        <v>19659.0</v>
      </c>
      <c r="B18493" s="3" t="s">
        <v>1367</v>
      </c>
      <c r="C18493" s="3" t="str">
        <f>IFERROR(__xludf.DUMMYFUNCTION("GOOGLETRANSLATE(B18493,""id"",""en"")"),"['good']")</f>
        <v>['good']</v>
      </c>
      <c r="D18493" s="3">
        <v>5.0</v>
      </c>
    </row>
    <row r="18494" ht="15.75" customHeight="1">
      <c r="A18494" s="1">
        <v>19660.0</v>
      </c>
      <c r="B18494" s="3" t="s">
        <v>17503</v>
      </c>
      <c r="C18494" s="3" t="str">
        <f>IFERROR(__xludf.DUMMYFUNCTION("GOOGLETRANSLATE(B18494,""id"",""en"")"),"['Network', 'Good', 'Jakarta', '']")</f>
        <v>['Network', 'Good', 'Jakarta', '']</v>
      </c>
      <c r="D18494" s="3">
        <v>1.0</v>
      </c>
    </row>
    <row r="18495" ht="15.75" customHeight="1">
      <c r="A18495" s="1">
        <v>19661.0</v>
      </c>
      <c r="B18495" s="3" t="s">
        <v>17504</v>
      </c>
      <c r="C18495" s="3" t="str">
        <f>IFERROR(__xludf.DUMMYFUNCTION("GOOGLETRANSLATE(B18495,""id"",""en"")"),"['', 'Ribet', 'steady']")</f>
        <v>['', 'Ribet', 'steady']</v>
      </c>
      <c r="D18495" s="3">
        <v>5.0</v>
      </c>
    </row>
    <row r="18496" ht="15.75" customHeight="1">
      <c r="A18496" s="1">
        <v>19662.0</v>
      </c>
      <c r="B18496" s="3" t="s">
        <v>17505</v>
      </c>
      <c r="C18496" s="3" t="str">
        <f>IFERROR(__xludf.DUMMYFUNCTION("GOOGLETRANSLATE(B18496,""id"",""en"")"),"['run out', 'updated', 'Asked', 'Telkomsel', 'this is', 'please', 'Cepett', 'improved', 'because', 'Make', 'me', '']")</f>
        <v>['run out', 'updated', 'Asked', 'Telkomsel', 'this is', 'please', 'Cepett', 'improved', 'because', 'Make', 'me', '']</v>
      </c>
      <c r="D18496" s="3">
        <v>1.0</v>
      </c>
    </row>
    <row r="18497" ht="15.75" customHeight="1">
      <c r="A18497" s="1">
        <v>19663.0</v>
      </c>
      <c r="B18497" s="3" t="s">
        <v>16988</v>
      </c>
      <c r="C18497" s="3" t="str">
        <f>IFERROR(__xludf.DUMMYFUNCTION("GOOGLETRANSLATE(B18497,""id"",""en"")"),"['bad signal']")</f>
        <v>['bad signal']</v>
      </c>
      <c r="D18497" s="3">
        <v>3.0</v>
      </c>
    </row>
    <row r="18498" ht="15.75" customHeight="1">
      <c r="A18498" s="1">
        <v>19664.0</v>
      </c>
      <c r="B18498" s="3" t="s">
        <v>17506</v>
      </c>
      <c r="C18498" s="3" t="str">
        <f>IFERROR(__xludf.DUMMYFUNCTION("GOOGLETRANSLATE(B18498,""id"",""en"")"),"['buy', 'package', 'internet', 'expensive', 'sich', 'yesterday', 'promo', 'cheap', 'missing', 'promo', 'bored', 'make', ' Cards', 'Telkomsel', 'Mending', 'Use', 'Ajah', 'Telkomsel', 'Please', 'Citizens',' Indonesia ',' Use ',' Card ',' Telkomsel ',' Promo"&amp;"tions' , 'expensive', 'package', 'internet', 'telephone']")</f>
        <v>['buy', 'package', 'internet', 'expensive', 'sich', 'yesterday', 'promo', 'cheap', 'missing', 'promo', 'bored', 'make', ' Cards', 'Telkomsel', 'Mending', 'Use', 'Ajah', 'Telkomsel', 'Please', 'Citizens',' Indonesia ',' Use ',' Card ',' Telkomsel ',' Promotions' , 'expensive', 'package', 'internet', 'telephone']</v>
      </c>
      <c r="D18498" s="3">
        <v>1.0</v>
      </c>
    </row>
    <row r="18499" ht="15.75" customHeight="1">
      <c r="A18499" s="1">
        <v>19665.0</v>
      </c>
      <c r="B18499" s="3" t="s">
        <v>17507</v>
      </c>
      <c r="C18499" s="3" t="str">
        <f>IFERROR(__xludf.DUMMYFUNCTION("GOOGLETRANSLATE(B18499,""id"",""en"")"),"['Dol', 'Nang', 'Warung', 'Nek', 'Ngelek', ""]")</f>
        <v>['Dol', 'Nang', 'Warung', 'Nek', 'Ngelek', "]</v>
      </c>
      <c r="D18499" s="3">
        <v>1.0</v>
      </c>
    </row>
    <row r="18500" ht="15.75" customHeight="1">
      <c r="A18500" s="1">
        <v>19666.0</v>
      </c>
      <c r="B18500" s="3" t="s">
        <v>17508</v>
      </c>
      <c r="C18500" s="3" t="str">
        <f>IFERROR(__xludf.DUMMYFUNCTION("GOOGLETRANSLATE(B18500,""id"",""en"")"),"['Application', 'Good', 'Anyway', 'Kyiyan', 'Download']")</f>
        <v>['Application', 'Good', 'Anyway', 'Kyiyan', 'Download']</v>
      </c>
      <c r="D18500" s="3">
        <v>5.0</v>
      </c>
    </row>
    <row r="18501" ht="15.75" customHeight="1">
      <c r="A18501" s="1">
        <v>19667.0</v>
      </c>
      <c r="B18501" s="3" t="s">
        <v>17509</v>
      </c>
      <c r="C18501" s="3" t="str">
        <f>IFERROR(__xludf.DUMMYFUNCTION("GOOGLETRANSLATE(B18501,""id"",""en"")"),"['Knp', 'Telkomsel', 'Fill', 'Credit', 'Active', 'SLL', 'Reduced']")</f>
        <v>['Knp', 'Telkomsel', 'Fill', 'Credit', 'Active', 'SLL', 'Reduced']</v>
      </c>
      <c r="D18501" s="3">
        <v>4.0</v>
      </c>
    </row>
    <row r="18502" ht="15.75" customHeight="1">
      <c r="A18502" s="1">
        <v>19668.0</v>
      </c>
      <c r="B18502" s="3" t="s">
        <v>17510</v>
      </c>
      <c r="C18502" s="3" t="str">
        <f>IFERROR(__xludf.DUMMYFUNCTION("GOOGLETRANSLATE(B18502,""id"",""en"")"),"['sorry', 'love', 'value', 'Telkomsel', 'opened', 'signal', 'Telkomsel', 'slow', 'check', 'difficult', 'price', 'quota', ' expensive ',' Telkomsel ',' opened ',' ']")</f>
        <v>['sorry', 'love', 'value', 'Telkomsel', 'opened', 'signal', 'Telkomsel', 'slow', 'check', 'difficult', 'price', 'quota', ' expensive ',' Telkomsel ',' opened ',' ']</v>
      </c>
      <c r="D18502" s="3">
        <v>1.0</v>
      </c>
    </row>
    <row r="18503" ht="15.75" customHeight="1">
      <c r="A18503" s="1">
        <v>19669.0</v>
      </c>
      <c r="B18503" s="3" t="s">
        <v>17511</v>
      </c>
      <c r="C18503" s="3" t="str">
        <f>IFERROR(__xludf.DUMMYFUNCTION("GOOGLETRANSLATE(B18503,""id"",""en"")"),"['Help', 'Leet']")</f>
        <v>['Help', 'Leet']</v>
      </c>
      <c r="D18503" s="3">
        <v>5.0</v>
      </c>
    </row>
    <row r="18504" ht="15.75" customHeight="1">
      <c r="A18504" s="1">
        <v>19670.0</v>
      </c>
      <c r="B18504" s="3" t="s">
        <v>17512</v>
      </c>
      <c r="C18504" s="3" t="str">
        <f>IFERROR(__xludf.DUMMYFUNCTION("GOOGLETRANSLATE(B18504,""id"",""en"")"),"['Sorry', 'knpa', 'unlimited', 'use', 'watsap', 'stitch', 'unlimited', 'youtube', 'klu', 'mending', 'unlimited', 'bkl', ' HBIS ',' Kekewe ',' Unlimited ',' LTHT ',' YouTube ']")</f>
        <v>['Sorry', 'knpa', 'unlimited', 'use', 'watsap', 'stitch', 'unlimited', 'youtube', 'klu', 'mending', 'unlimited', 'bkl', ' HBIS ',' Kekewe ',' Unlimited ',' LTHT ',' YouTube ']</v>
      </c>
      <c r="D18504" s="3">
        <v>1.0</v>
      </c>
    </row>
    <row r="18505" ht="15.75" customHeight="1">
      <c r="A18505" s="1">
        <v>19671.0</v>
      </c>
      <c r="B18505" s="3" t="s">
        <v>17513</v>
      </c>
      <c r="C18505" s="3" t="str">
        <f>IFERROR(__xludf.DUMMYFUNCTION("GOOGLETRANSLATE(B18505,""id"",""en"")"),"['Application', 'MyTelkomsel', 'opened', 'updated', 'reged', 'updated', '']")</f>
        <v>['Application', 'MyTelkomsel', 'opened', 'updated', 'reged', 'updated', '']</v>
      </c>
      <c r="D18505" s="3">
        <v>1.0</v>
      </c>
    </row>
    <row r="18506" ht="15.75" customHeight="1">
      <c r="A18506" s="1">
        <v>19672.0</v>
      </c>
      <c r="B18506" s="3" t="s">
        <v>17514</v>
      </c>
      <c r="C18506" s="3" t="str">
        <f>IFERROR(__xludf.DUMMYFUNCTION("GOOGLETRANSLATE(B18506,""id"",""en"")"),"['How', 'Telkomsel', 'PLIGY', 'opened', 'after', 'update', ""]")</f>
        <v>['How', 'Telkomsel', 'PLIGY', 'opened', 'after', 'update', "]</v>
      </c>
      <c r="D18506" s="3">
        <v>5.0</v>
      </c>
    </row>
    <row r="18507" ht="15.75" customHeight="1">
      <c r="A18507" s="1">
        <v>19673.0</v>
      </c>
      <c r="B18507" s="3" t="s">
        <v>17515</v>
      </c>
      <c r="C18507" s="3" t="str">
        <f>IFERROR(__xludf.DUMMYFUNCTION("GOOGLETRANSLATE(B18507,""id"",""en"")"),"['unfortunate', 'combo', 'Sakti', 'Kouta', 'sosmednya', 'already', 'bsa', 'use', 'youtube', 'disney', 'hotstar', 'hahah', ' pdhl ',' smooth ',' entered ',' application ',' kouta ',' sosmed ',' ']")</f>
        <v>['unfortunate', 'combo', 'Sakti', 'Kouta', 'sosmednya', 'already', 'bsa', 'use', 'youtube', 'disney', 'hotstar', 'hahah', ' pdhl ',' smooth ',' entered ',' application ',' kouta ',' sosmed ',' ']</v>
      </c>
      <c r="D18507" s="3">
        <v>1.0</v>
      </c>
    </row>
    <row r="18508" ht="15.75" customHeight="1">
      <c r="A18508" s="1">
        <v>19674.0</v>
      </c>
      <c r="B18508" s="3" t="s">
        <v>17516</v>
      </c>
      <c r="C18508" s="3" t="str">
        <f>IFERROR(__xludf.DUMMYFUNCTION("GOOGLETRANSLATE(B18508,""id"",""en"")"),"['lbh', 'bloh', 'in', 'purchase', 'package', 'choice', 'enhanced', 'competition', 'network', ""]")</f>
        <v>['lbh', 'bloh', 'in', 'purchase', 'package', 'choice', 'enhanced', 'competition', 'network', "]</v>
      </c>
      <c r="D18508" s="3">
        <v>5.0</v>
      </c>
    </row>
    <row r="18509" ht="15.75" customHeight="1">
      <c r="A18509" s="1">
        <v>19675.0</v>
      </c>
      <c r="B18509" s="3" t="s">
        <v>17517</v>
      </c>
      <c r="C18509" s="3" t="str">
        <f>IFERROR(__xludf.DUMMYFUNCTION("GOOGLETRANSLATE(B18509,""id"",""en"")"),"['pulse', 'thousand', 'reduced', 'use', 'quota', 'sometimes', 'sometimes', 'use', 'wifi', 'reduced', 'please', 'fix']")</f>
        <v>['pulse', 'thousand', 'reduced', 'use', 'quota', 'sometimes', 'sometimes', 'use', 'wifi', 'reduced', 'please', 'fix']</v>
      </c>
      <c r="D18509" s="3">
        <v>1.0</v>
      </c>
    </row>
    <row r="18510" ht="15.75" customHeight="1">
      <c r="A18510" s="1">
        <v>19676.0</v>
      </c>
      <c r="B18510" s="3" t="s">
        <v>17518</v>
      </c>
      <c r="C18510" s="3" t="str">
        <f>IFERROR(__xludf.DUMMYFUNCTION("GOOGLETRANSLATE(B18510,""id"",""en"")"),"['', 'Telkomsel', 'fix', 'signal', 'palm', 'mengelek', 'really', 'network', 'replace', 'then', 'please', 'fix', "" ]")</f>
        <v>['', 'Telkomsel', 'fix', 'signal', 'palm', 'mengelek', 'really', 'network', 'replace', 'then', 'please', 'fix', " ]</v>
      </c>
      <c r="D18510" s="3">
        <v>1.0</v>
      </c>
    </row>
    <row r="18511" ht="15.75" customHeight="1">
      <c r="A18511" s="1">
        <v>19677.0</v>
      </c>
      <c r="B18511" s="3" t="s">
        <v>17519</v>
      </c>
      <c r="C18511" s="3" t="str">
        <f>IFERROR(__xludf.DUMMYFUNCTION("GOOGLETRANSLATE(B18511,""id"",""en"")"),"['solution']")</f>
        <v>['solution']</v>
      </c>
      <c r="D18511" s="3">
        <v>1.0</v>
      </c>
    </row>
    <row r="18512" ht="15.75" customHeight="1">
      <c r="A18512" s="1">
        <v>19678.0</v>
      </c>
      <c r="B18512" s="3" t="s">
        <v>17520</v>
      </c>
      <c r="C18512" s="3" t="str">
        <f>IFERROR(__xludf.DUMMYFUNCTION("GOOGLETRANSLATE(B18512,""id"",""en"")"),"['network', 'Telkomsel', 'slow', 'package', 'expensive', 'slow']")</f>
        <v>['network', 'Telkomsel', 'slow', 'package', 'expensive', 'slow']</v>
      </c>
      <c r="D18512" s="3">
        <v>1.0</v>
      </c>
    </row>
    <row r="18513" ht="15.75" customHeight="1">
      <c r="A18513" s="1">
        <v>19679.0</v>
      </c>
      <c r="B18513" s="3" t="s">
        <v>17521</v>
      </c>
      <c r="C18513" s="3" t="str">
        <f>IFERROR(__xludf.DUMMYFUNCTION("GOOGLETRANSLATE(B18513,""id"",""en"")"),"['Signal', 'Telkom', 'Mengelek', 'Buy', 'Package', 'UDH', 'Expensive', 'Please', 'Fix', 'Open', 'Application', 'Kayak', ' Abis', 'package', 'right', 'check', 'package', 'GB', 'please', 'fix', 'comfortable', 'wear', 'card', 'telkom', 'network' , '']")</f>
        <v>['Signal', 'Telkom', 'Mengelek', 'Buy', 'Package', 'UDH', 'Expensive', 'Please', 'Fix', 'Open', 'Application', 'Kayak', ' Abis', 'package', 'right', 'check', 'package', 'GB', 'please', 'fix', 'comfortable', 'wear', 'card', 'telkom', 'network' , '']</v>
      </c>
      <c r="D18513" s="3">
        <v>2.0</v>
      </c>
    </row>
    <row r="18514" ht="15.75" customHeight="1">
      <c r="A18514" s="1">
        <v>19680.0</v>
      </c>
      <c r="B18514" s="3" t="s">
        <v>17522</v>
      </c>
      <c r="C18514" s="3" t="str">
        <f>IFERROR(__xludf.DUMMYFUNCTION("GOOGLETRANSLATE(B18514,""id"",""en"")"),"['Please', 'repaired', 'price', 'package', 'expensive', 'signal', 'good', 'Lemottt', 'full', 'signal', 'telkom', 'ampassss',' Telkom ']")</f>
        <v>['Please', 'repaired', 'price', 'package', 'expensive', 'signal', 'good', 'Lemottt', 'full', 'signal', 'telkom', 'ampassss',' Telkom ']</v>
      </c>
      <c r="D18514" s="3">
        <v>1.0</v>
      </c>
    </row>
    <row r="18515" ht="15.75" customHeight="1">
      <c r="A18515" s="1">
        <v>19681.0</v>
      </c>
      <c r="B18515" s="3" t="s">
        <v>17523</v>
      </c>
      <c r="C18515" s="3" t="str">
        <f>IFERROR(__xludf.DUMMYFUNCTION("GOOGLETRANSLATE(B18515,""id"",""en"")"),"['no', 'open', 'look', 'screen', 'white']")</f>
        <v>['no', 'open', 'look', 'screen', 'white']</v>
      </c>
      <c r="D18515" s="3">
        <v>2.0</v>
      </c>
    </row>
    <row r="18516" ht="15.75" customHeight="1">
      <c r="A18516" s="1">
        <v>19682.0</v>
      </c>
      <c r="B18516" s="3" t="s">
        <v>17524</v>
      </c>
      <c r="C18516" s="3" t="str">
        <f>IFERROR(__xludf.DUMMYFUNCTION("GOOGLETRANSLATE(B18516,""id"",""en"")"),"['Ngak', 'goant', 'comfortable', 'use', 'yesterday', 'fox', 'version', 'ngak', 'use', 'error', 'telkom', 'difficult', ' okay', '']")</f>
        <v>['Ngak', 'goant', 'comfortable', 'use', 'yesterday', 'fox', 'version', 'ngak', 'use', 'error', 'telkom', 'difficult', ' okay', '']</v>
      </c>
      <c r="D18516" s="3">
        <v>4.0</v>
      </c>
    </row>
    <row r="18517" ht="15.75" customHeight="1">
      <c r="A18517" s="1">
        <v>19683.0</v>
      </c>
      <c r="B18517" s="3" t="s">
        <v>17525</v>
      </c>
      <c r="C18517" s="3" t="str">
        <f>IFERROR(__xludf.DUMMYFUNCTION("GOOGLETRANSLATE(B18517,""id"",""en"")"),"['Network', 'Internet', 'Region', 'Region', 'Market', 'Anyer']")</f>
        <v>['Network', 'Internet', 'Region', 'Region', 'Market', 'Anyer']</v>
      </c>
      <c r="D18517" s="3">
        <v>1.0</v>
      </c>
    </row>
    <row r="18518" ht="15.75" customHeight="1">
      <c r="A18518" s="1">
        <v>19684.0</v>
      </c>
      <c r="B18518" s="3" t="s">
        <v>1352</v>
      </c>
      <c r="C18518" s="3" t="str">
        <f>IFERROR(__xludf.DUMMYFUNCTION("GOOGLETRANSLATE(B18518,""id"",""en"")"),"['It's easy', '']")</f>
        <v>['It's easy', '']</v>
      </c>
      <c r="D18518" s="3">
        <v>5.0</v>
      </c>
    </row>
    <row r="18519" ht="15.75" customHeight="1">
      <c r="A18519" s="1">
        <v>19685.0</v>
      </c>
      <c r="B18519" s="3" t="s">
        <v>17526</v>
      </c>
      <c r="C18519" s="3" t="str">
        <f>IFERROR(__xludf.DUMMYFUNCTION("GOOGLETRANSLATE(B18519,""id"",""en"")"),"['The application', 'opened', 'blank', 'white']")</f>
        <v>['The application', 'opened', 'blank', 'white']</v>
      </c>
      <c r="D18519" s="3">
        <v>1.0</v>
      </c>
    </row>
    <row r="18520" ht="15.75" customHeight="1">
      <c r="A18520" s="1">
        <v>19686.0</v>
      </c>
      <c r="B18520" s="3" t="s">
        <v>17527</v>
      </c>
      <c r="C18520" s="3" t="str">
        <f>IFERROR(__xludf.DUMMYFUNCTION("GOOGLETRANSLATE(B18520,""id"",""en"")"),"['check', 'absent', 'Telkomsel', 'quota', 'results', 'checkin', 'because' short ',' used ',' expiration ',' redunda ',' Please ',' Vice ',' Extension ',' Use ',' Thank ',' Love ']")</f>
        <v>['check', 'absent', 'Telkomsel', 'quota', 'results', 'checkin', 'because' short ',' used ',' expiration ',' redunda ',' Please ',' Vice ',' Extension ',' Use ',' Thank ',' Love ']</v>
      </c>
      <c r="D18520" s="3">
        <v>5.0</v>
      </c>
    </row>
    <row r="18521" ht="15.75" customHeight="1">
      <c r="A18521" s="1">
        <v>19687.0</v>
      </c>
      <c r="B18521" s="3" t="s">
        <v>17528</v>
      </c>
      <c r="C18521" s="3" t="str">
        <f>IFERROR(__xludf.DUMMYFUNCTION("GOOGLETRANSLATE(B18521,""id"",""en"")"),"['Woy', 'Network', 'Woy', 'Benerin', 'Jan', 'Thinking', 'Money', 'Mulu', 'Network', 'Benerin', 'Wiy', 'Telkomsel', ' LEMOTT ',' Network ',' owh ',' yaa ',' go bankrupt ',' yaga ',' ama ',' iprator ',' next door ',' wkwkwkw ',' kanda ',' Telkomsel ',' Telk"&amp;"omsel ' , 'password', 'net', 'lemotttt']")</f>
        <v>['Woy', 'Network', 'Woy', 'Benerin', 'Jan', 'Thinking', 'Money', 'Mulu', 'Network', 'Benerin', 'Wiy', 'Telkomsel', ' LEMOTT ',' Network ',' owh ',' yaa ',' go bankrupt ',' yaga ',' ama ',' iprator ',' next door ',' wkwkwkw ',' kanda ',' Telkomsel ',' Telkomsel ' , 'password', 'net', 'lemotttt']</v>
      </c>
      <c r="D18521" s="3">
        <v>1.0</v>
      </c>
    </row>
    <row r="18522" ht="15.75" customHeight="1">
      <c r="A18522" s="1">
        <v>19688.0</v>
      </c>
      <c r="B18522" s="3" t="s">
        <v>17529</v>
      </c>
      <c r="C18522" s="3" t="str">
        <f>IFERROR(__xludf.DUMMYFUNCTION("GOOGLETRANSLATE(B18522,""id"",""en"")"),"['Region', 'Bogor', 'Java', 'West', 'slow', 'really', 'play', 'Games', 'Recommend', 'really']")</f>
        <v>['Region', 'Bogor', 'Java', 'West', 'slow', 'really', 'play', 'Games', 'Recommend', 'really']</v>
      </c>
      <c r="D18522" s="3">
        <v>1.0</v>
      </c>
    </row>
    <row r="18523" ht="15.75" customHeight="1">
      <c r="A18523" s="1">
        <v>19689.0</v>
      </c>
      <c r="B18523" s="3" t="s">
        <v>17530</v>
      </c>
      <c r="C18523" s="3" t="str">
        <f>IFERROR(__xludf.DUMMYFUNCTION("GOOGLETRANSLATE(B18523,""id"",""en"")"),"['Telkomsel', 'Telkomsel', 'disappoint', 'complaints',' customer ',' acted ',' continued ',' mainly ',' tired ',' deh ',' complaint ',' Telkomsel ',' Quota ',' times', 'spent', 'Network', 'Becus',' Scorched ',' As', 'Active', 'Out', 'Harm', 'Customer', 'C"&amp;"ustomer', 'Telkomsel' , 'Rame', 'Rame', 'Move', 'Operator', '']")</f>
        <v>['Telkomsel', 'Telkomsel', 'disappoint', 'complaints',' customer ',' acted ',' continued ',' mainly ',' tired ',' deh ',' complaint ',' Telkomsel ',' Quota ',' times', 'spent', 'Network', 'Becus',' Scorched ',' As', 'Active', 'Out', 'Harm', 'Customer', 'Customer', 'Telkomsel' , 'Rame', 'Rame', 'Move', 'Operator', '']</v>
      </c>
      <c r="D18523" s="3">
        <v>1.0</v>
      </c>
    </row>
    <row r="18524" ht="15.75" customHeight="1">
      <c r="A18524" s="1">
        <v>19690.0</v>
      </c>
      <c r="B18524" s="3" t="s">
        <v>17531</v>
      </c>
      <c r="C18524" s="3" t="str">
        <f>IFERROR(__xludf.DUMMYFUNCTION("GOOGLETRANSLATE(B18524,""id"",""en"")"),"['expensive', 'price', 'package', 'used to', 'thousand', 'unlimited', 'youtube', 'game', 'sosmed', 'rb', 'unlimited', 'youtube']")</f>
        <v>['expensive', 'price', 'package', 'used to', 'thousand', 'unlimited', 'youtube', 'game', 'sosmed', 'rb', 'unlimited', 'youtube']</v>
      </c>
      <c r="D18524" s="3">
        <v>1.0</v>
      </c>
    </row>
    <row r="18525" ht="15.75" customHeight="1">
      <c r="A18525" s="1">
        <v>19691.0</v>
      </c>
      <c r="B18525" s="3" t="s">
        <v>17532</v>
      </c>
      <c r="C18525" s="3" t="str">
        <f>IFERROR(__xludf.DUMMYFUNCTION("GOOGLETRANSLATE(B18525,""id"",""en"")"),"['Network', 'hope', 'optimized', 'the widest', 'Please', 'The network', 'funny', 'at the same time', 'disappointed']")</f>
        <v>['Network', 'hope', 'optimized', 'the widest', 'Please', 'The network', 'funny', 'at the same time', 'disappointed']</v>
      </c>
      <c r="D18525" s="3">
        <v>1.0</v>
      </c>
    </row>
    <row r="18526" ht="15.75" customHeight="1">
      <c r="A18526" s="1">
        <v>19692.0</v>
      </c>
      <c r="B18526" s="3" t="s">
        <v>17533</v>
      </c>
      <c r="C18526" s="3" t="str">
        <f>IFERROR(__xludf.DUMMYFUNCTION("GOOGLETRANSLATE(B18526,""id"",""en"")"),"['apk', 'open', 'screen', 'white', 'install', 'reset', 'restart', 'enter', 'please', 'help', ""]")</f>
        <v>['apk', 'open', 'screen', 'white', 'install', 'reset', 'restart', 'enter', 'please', 'help', "]</v>
      </c>
      <c r="D18526" s="3">
        <v>1.0</v>
      </c>
    </row>
    <row r="18527" ht="15.75" customHeight="1">
      <c r="A18527" s="1">
        <v>19693.0</v>
      </c>
      <c r="B18527" s="3" t="s">
        <v>17534</v>
      </c>
      <c r="C18527" s="3" t="str">
        <f>IFERROR(__xludf.DUMMYFUNCTION("GOOGLETRANSLATE(B18527,""id"",""en"")"),"['Current', 'Sometimes', 'Fast']")</f>
        <v>['Current', 'Sometimes', 'Fast']</v>
      </c>
      <c r="D18527" s="3">
        <v>5.0</v>
      </c>
    </row>
    <row r="18528" ht="15.75" customHeight="1">
      <c r="A18528" s="1">
        <v>19694.0</v>
      </c>
      <c r="B18528" s="3" t="s">
        <v>17535</v>
      </c>
      <c r="C18528" s="3" t="str">
        <f>IFERROR(__xludf.DUMMYFUNCTION("GOOGLETRANSLATE(B18528,""id"",""en"")"),"['thank', 'love', 'Telkomsel', 'accompany', 'success', 'Telkomsel', ""]")</f>
        <v>['thank', 'love', 'Telkomsel', 'accompany', 'success', 'Telkomsel', "]</v>
      </c>
      <c r="D18528" s="3">
        <v>5.0</v>
      </c>
    </row>
    <row r="18529" ht="15.75" customHeight="1">
      <c r="A18529" s="1">
        <v>19695.0</v>
      </c>
      <c r="B18529" s="3" t="s">
        <v>4532</v>
      </c>
      <c r="C18529" s="3" t="str">
        <f>IFERROR(__xludf.DUMMYFUNCTION("GOOGLETRANSLATE(B18529,""id"",""en"")"),"['suitable']")</f>
        <v>['suitable']</v>
      </c>
      <c r="D18529" s="3">
        <v>5.0</v>
      </c>
    </row>
    <row r="18530" ht="15.75" customHeight="1">
      <c r="A18530" s="1">
        <v>19696.0</v>
      </c>
      <c r="B18530" s="3" t="s">
        <v>17536</v>
      </c>
      <c r="C18530" s="3" t="str">
        <f>IFERROR(__xludf.DUMMYFUNCTION("GOOGLETRANSLATE(B18530,""id"",""en"")"),"['Good', 'user']")</f>
        <v>['Good', 'user']</v>
      </c>
      <c r="D18530" s="3">
        <v>5.0</v>
      </c>
    </row>
    <row r="18531" ht="15.75" customHeight="1">
      <c r="A18531" s="1">
        <v>19697.0</v>
      </c>
      <c r="B18531" s="3" t="s">
        <v>17537</v>
      </c>
      <c r="C18531" s="3" t="str">
        <f>IFERROR(__xludf.DUMMYFUNCTION("GOOGLETRANSLATE(B18531,""id"",""en"")"),"['', 'Telkomsel', 'wrong', 'results', 'maximum']")</f>
        <v>['', 'Telkomsel', 'wrong', 'results', 'maximum']</v>
      </c>
      <c r="D18531" s="3">
        <v>1.0</v>
      </c>
    </row>
    <row r="18532" ht="15.75" customHeight="1">
      <c r="A18532" s="1">
        <v>19698.0</v>
      </c>
      <c r="B18532" s="3" t="s">
        <v>17538</v>
      </c>
      <c r="C18532" s="3" t="str">
        <f>IFERROR(__xludf.DUMMYFUNCTION("GOOGLETRANSLATE(B18532,""id"",""en"")"),"['App', 'bgus', 'ksh', 'star', 'pokonya', 'jos', 'bnget', 'trmakasih', 'May', 'Telkomsel']")</f>
        <v>['App', 'bgus', 'ksh', 'star', 'pokonya', 'jos', 'bnget', 'trmakasih', 'May', 'Telkomsel']</v>
      </c>
      <c r="D18532" s="3">
        <v>5.0</v>
      </c>
    </row>
    <row r="18533" ht="15.75" customHeight="1">
      <c r="A18533" s="1">
        <v>19699.0</v>
      </c>
      <c r="B18533" s="3" t="s">
        <v>17539</v>
      </c>
      <c r="C18533" s="3" t="str">
        <f>IFERROR(__xludf.DUMMYFUNCTION("GOOGLETRANSLATE(B18533,""id"",""en"")"),"['application', 'makes it easier', 'buy', 'package', 'check', 'pulse']")</f>
        <v>['application', 'makes it easier', 'buy', 'package', 'check', 'pulse']</v>
      </c>
      <c r="D18533" s="3">
        <v>5.0</v>
      </c>
    </row>
    <row r="18534" ht="15.75" customHeight="1">
      <c r="A18534" s="1">
        <v>19700.0</v>
      </c>
      <c r="B18534" s="3" t="s">
        <v>17540</v>
      </c>
      <c r="C18534" s="3" t="str">
        <f>IFERROR(__xludf.DUMMYFUNCTION("GOOGLETRANSLATE(B18534,""id"",""en"")"),"['', 'Telkomsel', 'Abis', 'Update', 'opened', 'Sampe', 'Switch', 'Sorry', 'Times', 'Bintang', ""]")</f>
        <v>['', 'Telkomsel', 'Abis', 'Update', 'opened', 'Sampe', 'Switch', 'Sorry', 'Times', 'Bintang', "]</v>
      </c>
      <c r="D18534" s="3">
        <v>1.0</v>
      </c>
    </row>
    <row r="18535" ht="15.75" customHeight="1">
      <c r="A18535" s="1">
        <v>19702.0</v>
      </c>
      <c r="B18535" s="3" t="s">
        <v>17541</v>
      </c>
      <c r="C18535" s="3" t="str">
        <f>IFERROR(__xludf.DUMMYFUNCTION("GOOGLETRANSLATE(B18535,""id"",""en"")"),"['Bulum', 'Kasih', 'Review', 'Try']")</f>
        <v>['Bulum', 'Kasih', 'Review', 'Try']</v>
      </c>
      <c r="D18535" s="3">
        <v>3.0</v>
      </c>
    </row>
    <row r="18536" ht="15.75" customHeight="1">
      <c r="A18536" s="1">
        <v>19704.0</v>
      </c>
      <c r="B18536" s="3" t="s">
        <v>17542</v>
      </c>
      <c r="C18536" s="3" t="str">
        <f>IFERROR(__xludf.DUMMYFUNCTION("GOOGLETRANSLATE(B18536,""id"",""en"")"),"['Buy', 'Package', 'APP', 'Telkomsel', 'Price', 'Nambah', 'Please', 'Solution', ""]")</f>
        <v>['Buy', 'Package', 'APP', 'Telkomsel', 'Price', 'Nambah', 'Please', 'Solution', "]</v>
      </c>
      <c r="D18536" s="3">
        <v>3.0</v>
      </c>
    </row>
    <row r="18537" ht="15.75" customHeight="1">
      <c r="A18537" s="1">
        <v>19705.0</v>
      </c>
      <c r="B18537" s="3" t="s">
        <v>17543</v>
      </c>
      <c r="C18537" s="3" t="str">
        <f>IFERROR(__xludf.DUMMYFUNCTION("GOOGLETRANSLATE(B18537,""id"",""en"")"),"['bln', 'package', '']")</f>
        <v>['bln', 'package', '']</v>
      </c>
      <c r="D18537" s="3">
        <v>2.0</v>
      </c>
    </row>
    <row r="18538" ht="15.75" customHeight="1">
      <c r="A18538" s="1">
        <v>19706.0</v>
      </c>
      <c r="B18538" s="3" t="s">
        <v>17544</v>
      </c>
      <c r="C18538" s="3" t="str">
        <f>IFERROR(__xludf.DUMMYFUNCTION("GOOGLETRANSLATE(B18538,""id"",""en"")"),"['already', 'good', 'sometimes', 'error']")</f>
        <v>['already', 'good', 'sometimes', 'error']</v>
      </c>
      <c r="D18538" s="3">
        <v>4.0</v>
      </c>
    </row>
    <row r="18539" ht="15.75" customHeight="1">
      <c r="A18539" s="1">
        <v>19707.0</v>
      </c>
      <c r="B18539" s="3" t="s">
        <v>17545</v>
      </c>
      <c r="C18539" s="3" t="str">
        <f>IFERROR(__xludf.DUMMYFUNCTION("GOOGLETRANSLATE(B18539,""id"",""en"")"),"['network', 'Telkomsel', 'slow', 'baget', 'lgi', 'please', 'min', 'fix', 'kinerjs']")</f>
        <v>['network', 'Telkomsel', 'slow', 'baget', 'lgi', 'please', 'min', 'fix', 'kinerjs']</v>
      </c>
      <c r="D18539" s="3">
        <v>4.0</v>
      </c>
    </row>
    <row r="18540" ht="15.75" customHeight="1">
      <c r="A18540" s="1">
        <v>19708.0</v>
      </c>
      <c r="B18540" s="3" t="s">
        <v>17546</v>
      </c>
      <c r="C18540" s="3" t="str">
        <f>IFERROR(__xludf.DUMMYFUNCTION("GOOGLETRANSLATE(B18540,""id"",""en"")"),"['Package', 'Unlimited', 'Open', 'Kah', 'Open', 'Facebook', 'Liat', 'Video', 'Facebook', 'Current', 'Turn', 'Open', ' Muter ',' Sampe ',' Stress']")</f>
        <v>['Package', 'Unlimited', 'Open', 'Kah', 'Open', 'Facebook', 'Liat', 'Video', 'Facebook', 'Current', 'Turn', 'Open', ' Muter ',' Sampe ',' Stress']</v>
      </c>
      <c r="D18540" s="3">
        <v>1.0</v>
      </c>
    </row>
    <row r="18541" ht="15.75" customHeight="1">
      <c r="A18541" s="1">
        <v>19709.0</v>
      </c>
      <c r="B18541" s="3" t="s">
        <v>17547</v>
      </c>
      <c r="C18541" s="3" t="str">
        <f>IFERROR(__xludf.DUMMYFUNCTION("GOOGLETRANSLATE(B18541,""id"",""en"")"),"['a month', 'apk', 'tsel', 'iPhone', 'Force', 'Close', 'use', 'already', 'update', 'already', 'install']")</f>
        <v>['a month', 'apk', 'tsel', 'iPhone', 'Force', 'Close', 'use', 'already', 'update', 'already', 'install']</v>
      </c>
      <c r="D18541" s="3">
        <v>1.0</v>
      </c>
    </row>
    <row r="18542" ht="15.75" customHeight="1">
      <c r="A18542" s="1">
        <v>19710.0</v>
      </c>
      <c r="B18542" s="3" t="s">
        <v>17548</v>
      </c>
      <c r="C18542" s="3" t="str">
        <f>IFERROR(__xludf.DUMMYFUNCTION("GOOGLETRANSLATE(B18542,""id"",""en"")"),"['era', 'telephone', 'sms',' smooth ',' internet ',' location ',' depok ',' because of his area ',' where ',' office ',' area ',' Jakarta ',' South ',' smooth ',' regret ',' Activein ',' Card ',' Telkomsel ',' Sia ',' Sia ',' Registration ',' Nik ']")</f>
        <v>['era', 'telephone', 'sms',' smooth ',' internet ',' location ',' depok ',' because of his area ',' where ',' office ',' area ',' Jakarta ',' South ',' smooth ',' regret ',' Activein ',' Card ',' Telkomsel ',' Sia ',' Sia ',' Registration ',' Nik ']</v>
      </c>
      <c r="D18542" s="3">
        <v>1.0</v>
      </c>
    </row>
    <row r="18543" ht="15.75" customHeight="1">
      <c r="A18543" s="1">
        <v>19711.0</v>
      </c>
      <c r="B18543" s="3" t="s">
        <v>17549</v>
      </c>
      <c r="C18543" s="3" t="str">
        <f>IFERROR(__xludf.DUMMYFUNCTION("GOOGLETRANSLATE(B18543,""id"",""en"")"),"['', 'Love', 'Telkomsel', 'Undi', 'Undi', 'Hepi', 'Get', ""]")</f>
        <v>['', 'Love', 'Telkomsel', 'Undi', 'Undi', 'Hepi', 'Get', "]</v>
      </c>
      <c r="D18543" s="3">
        <v>5.0</v>
      </c>
    </row>
    <row r="18544" ht="15.75" customHeight="1">
      <c r="A18544" s="1">
        <v>19712.0</v>
      </c>
      <c r="B18544" s="3" t="s">
        <v>17550</v>
      </c>
      <c r="C18544" s="3" t="str">
        <f>IFERROR(__xludf.DUMMYFUNCTION("GOOGLETRANSLATE(B18544,""id"",""en"")"),"['Knp', 'Telkomsel', 'opened', 'Sunday', '']")</f>
        <v>['Knp', 'Telkomsel', 'opened', 'Sunday', '']</v>
      </c>
      <c r="D18544" s="3">
        <v>1.0</v>
      </c>
    </row>
    <row r="18545" ht="15.75" customHeight="1">
      <c r="A18545" s="1">
        <v>19713.0</v>
      </c>
      <c r="B18545" s="3" t="s">
        <v>17551</v>
      </c>
      <c r="C18545" s="3" t="str">
        <f>IFERROR(__xludf.DUMMYFUNCTION("GOOGLETRANSLATE(B18545,""id"",""en"")"),"['Okay', 'Not bad', 'info', 'good']")</f>
        <v>['Okay', 'Not bad', 'info', 'good']</v>
      </c>
      <c r="D18545" s="3">
        <v>4.0</v>
      </c>
    </row>
    <row r="18546" ht="15.75" customHeight="1">
      <c r="A18546" s="1">
        <v>19714.0</v>
      </c>
      <c r="B18546" s="3" t="s">
        <v>17552</v>
      </c>
      <c r="C18546" s="3" t="str">
        <f>IFERROR(__xludf.DUMMYFUNCTION("GOOGLETRANSLATE(B18546,""id"",""en"")"),"['Help', 'Abekala', 'Its Function']")</f>
        <v>['Help', 'Abekala', 'Its Function']</v>
      </c>
      <c r="D18546" s="3">
        <v>5.0</v>
      </c>
    </row>
    <row r="18547" ht="15.75" customHeight="1">
      <c r="A18547" s="1">
        <v>19715.0</v>
      </c>
      <c r="B18547" s="3" t="s">
        <v>17553</v>
      </c>
      <c r="C18547" s="3" t="str">
        <f>IFERROR(__xludf.DUMMYFUNCTION("GOOGLETRANSLATE(B18547,""id"",""en"")"),"['Use', 'Telkomsel', 'number', 'BLM', 'Change', 'Alhamduli', 'Service', 'Telkomsel', 'Network', 'Wlwpun', 'Sometimes',' Error ',' Because ',' Disruption ',' as', 'Customer', 'Telkomsel', 'loyal', 'use', 'Telkomsel', 'The', 'Best']")</f>
        <v>['Use', 'Telkomsel', 'number', 'BLM', 'Change', 'Alhamduli', 'Service', 'Telkomsel', 'Network', 'Wlwpun', 'Sometimes',' Error ',' Because ',' Disruption ',' as', 'Customer', 'Telkomsel', 'loyal', 'use', 'Telkomsel', 'The', 'Best']</v>
      </c>
      <c r="D18547" s="3">
        <v>5.0</v>
      </c>
    </row>
    <row r="18548" ht="15.75" customHeight="1">
      <c r="A18548" s="1">
        <v>19716.0</v>
      </c>
      <c r="B18548" s="3" t="s">
        <v>17554</v>
      </c>
      <c r="C18548" s="3" t="str">
        <f>IFERROR(__xludf.DUMMYFUNCTION("GOOGLETRANSLATE(B18548,""id"",""en"")"),"['difficult', 'really', 'entered', 'Telkomsel', 'Something', 'Wrong', ""]")</f>
        <v>['difficult', 'really', 'entered', 'Telkomsel', 'Something', 'Wrong', "]</v>
      </c>
      <c r="D18548" s="3">
        <v>5.0</v>
      </c>
    </row>
    <row r="18549" ht="15.75" customHeight="1">
      <c r="A18549" s="1">
        <v>19717.0</v>
      </c>
      <c r="B18549" s="3" t="s">
        <v>17555</v>
      </c>
      <c r="C18549" s="3" t="str">
        <f>IFERROR(__xludf.DUMMYFUNCTION("GOOGLETRANSLATE(B18549,""id"",""en"")"),"['Hopefully', 'quota', 'Geratis', 'ILIMITED', 'KLI']")</f>
        <v>['Hopefully', 'quota', 'Geratis', 'ILIMITED', 'KLI']</v>
      </c>
      <c r="D18549" s="3">
        <v>5.0</v>
      </c>
    </row>
    <row r="18550" ht="15.75" customHeight="1">
      <c r="A18550" s="1">
        <v>19718.0</v>
      </c>
      <c r="B18550" s="3" t="s">
        <v>17556</v>
      </c>
      <c r="C18550" s="3" t="str">
        <f>IFERROR(__xludf.DUMMYFUNCTION("GOOGLETRANSLATE(B18550,""id"",""en"")"),"['application', 'open', 'my cellphone', 'version', 'newest']")</f>
        <v>['application', 'open', 'my cellphone', 'version', 'newest']</v>
      </c>
      <c r="D18550" s="3">
        <v>1.0</v>
      </c>
    </row>
    <row r="18551" ht="15.75" customHeight="1">
      <c r="A18551" s="1">
        <v>19719.0</v>
      </c>
      <c r="B18551" s="3" t="s">
        <v>17557</v>
      </c>
      <c r="C18551" s="3" t="str">
        <f>IFERROR(__xludf.DUMMYFUNCTION("GOOGLETRANSLATE(B18551,""id"",""en"")"),"['Points', 'Useful', 'Designation']")</f>
        <v>['Points', 'Useful', 'Designation']</v>
      </c>
      <c r="D18551" s="3">
        <v>5.0</v>
      </c>
    </row>
    <row r="18552" ht="15.75" customHeight="1">
      <c r="A18552" s="1">
        <v>19720.0</v>
      </c>
      <c r="B18552" s="3" t="s">
        <v>17558</v>
      </c>
      <c r="C18552" s="3" t="str">
        <f>IFERROR(__xludf.DUMMYFUNCTION("GOOGLETRANSLATE(B18552,""id"",""en"")"),"['Rare', 'Application', 'Sekeram', 'Telkomsel', 'Great', 'People', 'Super', 'annoyed']")</f>
        <v>['Rare', 'Application', 'Sekeram', 'Telkomsel', 'Great', 'People', 'Super', 'annoyed']</v>
      </c>
      <c r="D18552" s="3">
        <v>1.0</v>
      </c>
    </row>
    <row r="18553" ht="15.75" customHeight="1">
      <c r="A18553" s="1">
        <v>19721.0</v>
      </c>
      <c r="B18553" s="3" t="s">
        <v>17559</v>
      </c>
      <c r="C18553" s="3" t="str">
        <f>IFERROR(__xludf.DUMMYFUNCTION("GOOGLETRANSLATE(B18553,""id"",""en"")"),"['Errorrrr', 'Mulu', 'Application', 'Males',' Take ""]")</f>
        <v>['Errorrrr', 'Mulu', 'Application', 'Males',' Take "]</v>
      </c>
      <c r="D18553" s="3">
        <v>1.0</v>
      </c>
    </row>
    <row r="18554" ht="15.75" customHeight="1">
      <c r="A18554" s="1">
        <v>19722.0</v>
      </c>
      <c r="B18554" s="3" t="s">
        <v>17560</v>
      </c>
      <c r="C18554" s="3" t="str">
        <f>IFERROR(__xludf.DUMMYFUNCTION("GOOGLETRANSLATE(B18554,""id"",""en"")"),"['price', 'package', 'internet', 'expensive']")</f>
        <v>['price', 'package', 'internet', 'expensive']</v>
      </c>
      <c r="D18554" s="3">
        <v>3.0</v>
      </c>
    </row>
    <row r="18555" ht="15.75" customHeight="1">
      <c r="A18555" s="1">
        <v>19723.0</v>
      </c>
      <c r="B18555" s="3" t="s">
        <v>17561</v>
      </c>
      <c r="C18555" s="3" t="str">
        <f>IFERROR(__xludf.DUMMYFUNCTION("GOOGLETRANSLATE(B18555,""id"",""en"")"),"['Hold', 'Feature', 'Locking', 'Data', 'SMS', 'Phone', 'Package', 'Out', 'Kebablasan', 'Pulse', 'Main', 'Application', ' Axis', 'inedible', 'pulse', 'mainly', 'package', 'hurried', 'run out', 'overslept']")</f>
        <v>['Hold', 'Feature', 'Locking', 'Data', 'SMS', 'Phone', 'Package', 'Out', 'Kebablasan', 'Pulse', 'Main', 'Application', ' Axis', 'inedible', 'pulse', 'mainly', 'package', 'hurried', 'run out', 'overslept']</v>
      </c>
      <c r="D18555" s="3">
        <v>4.0</v>
      </c>
    </row>
    <row r="18556" ht="15.75" customHeight="1">
      <c r="A18556" s="1">
        <v>19725.0</v>
      </c>
      <c r="B18556" s="3" t="s">
        <v>17562</v>
      </c>
      <c r="C18556" s="3" t="str">
        <f>IFERROR(__xludf.DUMMYFUNCTION("GOOGLETRANSLATE(B18556,""id"",""en"")"),"['Please', 'Sorry', 'Telkomsel', 'Ngestuck', 'prefix', 'rich', 'White', 'White', 'Screen', 'Please', 'repaired', ""]")</f>
        <v>['Please', 'Sorry', 'Telkomsel', 'Ngestuck', 'prefix', 'rich', 'White', 'White', 'Screen', 'Please', 'repaired', "]</v>
      </c>
      <c r="D18556" s="3">
        <v>1.0</v>
      </c>
    </row>
    <row r="18557" ht="15.75" customHeight="1">
      <c r="A18557" s="1">
        <v>19727.0</v>
      </c>
      <c r="B18557" s="3" t="s">
        <v>17563</v>
      </c>
      <c r="C18557" s="3" t="str">
        <f>IFERROR(__xludf.DUMMYFUNCTION("GOOGLETRANSLATE(B18557,""id"",""en"")"),"['Network', 'Internet', 'slow', 'Loading']")</f>
        <v>['Network', 'Internet', 'slow', 'Loading']</v>
      </c>
      <c r="D18557" s="3">
        <v>4.0</v>
      </c>
    </row>
    <row r="18558" ht="15.75" customHeight="1">
      <c r="A18558" s="1">
        <v>19728.0</v>
      </c>
      <c r="B18558" s="3" t="s">
        <v>3222</v>
      </c>
      <c r="C18558" s="3" t="str">
        <f>IFERROR(__xludf.DUMMYFUNCTION("GOOGLETRANSLATE(B18558,""id"",""en"")"),"['satisfying', '']")</f>
        <v>['satisfying', '']</v>
      </c>
      <c r="D18558" s="3">
        <v>5.0</v>
      </c>
    </row>
    <row r="18559" ht="15.75" customHeight="1">
      <c r="A18559" s="1">
        <v>19729.0</v>
      </c>
      <c r="B18559" s="3" t="s">
        <v>17564</v>
      </c>
      <c r="C18559" s="3" t="str">
        <f>IFERROR(__xludf.DUMMYFUNCTION("GOOGLETRANSLATE(B18559,""id"",""en"")"),"['Telkomsel', 'like', 'disorder', 'Telkomsel', '']")</f>
        <v>['Telkomsel', 'like', 'disorder', 'Telkomsel', '']</v>
      </c>
      <c r="D18559" s="3">
        <v>5.0</v>
      </c>
    </row>
    <row r="18560" ht="15.75" customHeight="1">
      <c r="A18560" s="1">
        <v>19730.0</v>
      </c>
      <c r="B18560" s="3" t="s">
        <v>17565</v>
      </c>
      <c r="C18560" s="3" t="str">
        <f>IFERROR(__xludf.DUMMYFUNCTION("GOOGLETRANSLATE(B18560,""id"",""en"")"),"['convenience', 'package', 'emergency', 'balance', 'pulse', 'zero', 'thank you']")</f>
        <v>['convenience', 'package', 'emergency', 'balance', 'pulse', 'zero', 'thank you']</v>
      </c>
      <c r="D18560" s="3">
        <v>5.0</v>
      </c>
    </row>
    <row r="18561" ht="15.75" customHeight="1">
      <c r="A18561" s="1">
        <v>19732.0</v>
      </c>
      <c r="B18561" s="3" t="s">
        <v>17566</v>
      </c>
      <c r="C18561" s="3" t="str">
        <f>IFERROR(__xludf.DUMMYFUNCTION("GOOGLETRANSLATE(B18561,""id"",""en"")"),"['Okay', 'TPI', 'please', 'signal', 'broad', 'basement', 'building']")</f>
        <v>['Okay', 'TPI', 'please', 'signal', 'broad', 'basement', 'building']</v>
      </c>
      <c r="D18561" s="3">
        <v>5.0</v>
      </c>
    </row>
    <row r="18562" ht="15.75" customHeight="1">
      <c r="A18562" s="1">
        <v>19733.0</v>
      </c>
      <c r="B18562" s="3" t="s">
        <v>17567</v>
      </c>
      <c r="C18562" s="3" t="str">
        <f>IFERROR(__xludf.DUMMYFUNCTION("GOOGLETRANSLATE(B18562,""id"",""en"")"),"['Use', 'Telkomsel', 'right', 'UDH', 'Dowlod', 'Bukak', 'UDH', 'Many', 'Times', 'Try', 'Cana']")</f>
        <v>['Use', 'Telkomsel', 'right', 'UDH', 'Dowlod', 'Bukak', 'UDH', 'Many', 'Times', 'Try', 'Cana']</v>
      </c>
      <c r="D18562" s="3">
        <v>2.0</v>
      </c>
    </row>
    <row r="18563" ht="15.75" customHeight="1">
      <c r="A18563" s="1">
        <v>19734.0</v>
      </c>
      <c r="B18563" s="3" t="s">
        <v>17568</v>
      </c>
      <c r="C18563" s="3" t="str">
        <f>IFERROR(__xludf.DUMMYFUNCTION("GOOGLETRANSLATE(B18563,""id"",""en"")"),"['', 'Update', 'Open', 'Severe', 'Application']")</f>
        <v>['', 'Update', 'Open', 'Severe', 'Application']</v>
      </c>
      <c r="D18563" s="3">
        <v>1.0</v>
      </c>
    </row>
    <row r="18564" ht="15.75" customHeight="1">
      <c r="A18564" s="1">
        <v>19735.0</v>
      </c>
      <c r="B18564" s="3" t="s">
        <v>17569</v>
      </c>
      <c r="C18564" s="3" t="str">
        <f>IFERROR(__xludf.DUMMYFUNCTION("GOOGLETRANSLATE(B18564,""id"",""en"")"),"['already', 'update', 'version', 'latest', 'application', 'Telkomsel', 'open', 'network', 'good', '']")</f>
        <v>['already', 'update', 'version', 'latest', 'application', 'Telkomsel', 'open', 'network', 'good', '']</v>
      </c>
      <c r="D18564" s="3">
        <v>4.0</v>
      </c>
    </row>
    <row r="18565" ht="15.75" customHeight="1">
      <c r="A18565" s="1">
        <v>19737.0</v>
      </c>
      <c r="B18565" s="3" t="s">
        <v>17570</v>
      </c>
      <c r="C18565" s="3" t="str">
        <f>IFERROR(__xludf.DUMMYFUNCTION("GOOGLETRANSLATE(B18565,""id"",""en"")"),"['Sorry', 'Lower', 'The reason', 'Disappointed', 'Application', 'Open', 'Try', 'Try', 'Install', 'Download', 'Results', ""]")</f>
        <v>['Sorry', 'Lower', 'The reason', 'Disappointed', 'Application', 'Open', 'Try', 'Try', 'Install', 'Download', 'Results', "]</v>
      </c>
      <c r="D18565" s="3">
        <v>1.0</v>
      </c>
    </row>
    <row r="18566" ht="15.75" customHeight="1">
      <c r="A18566" s="1">
        <v>19738.0</v>
      </c>
      <c r="B18566" s="3" t="s">
        <v>17571</v>
      </c>
      <c r="C18566" s="3" t="str">
        <f>IFERROR(__xludf.DUMMYFUNCTION("GOOGLETRANSLATE(B18566,""id"",""en"")"),"['Knp', 'Abis',' Update ',' Open ',' Application ',' Stack ',' White ',' Screen ',' Please ',' Fast ',' Fix ',' Disturbing ',' Experience ',' users', 'rich', 'gini', 'buy', 'quota', 'internet', 'slow down', 'because', '']")</f>
        <v>['Knp', 'Abis',' Update ',' Open ',' Application ',' Stack ',' White ',' Screen ',' Please ',' Fast ',' Fix ',' Disturbing ',' Experience ',' users', 'rich', 'gini', 'buy', 'quota', 'internet', 'slow down', 'because', '']</v>
      </c>
      <c r="D18566" s="3">
        <v>1.0</v>
      </c>
    </row>
    <row r="18567" ht="15.75" customHeight="1">
      <c r="A18567" s="1">
        <v>19739.0</v>
      </c>
      <c r="B18567" s="3" t="s">
        <v>17572</v>
      </c>
      <c r="C18567" s="3" t="str">
        <f>IFERROR(__xludf.DUMMYFUNCTION("GOOGLETRANSLATE(B18567,""id"",""en"")"),"['Kenpa', 'Telkomsel', 'Open', 'Check', 'Dayly', 'UDH', 'Check', ""]")</f>
        <v>['Kenpa', 'Telkomsel', 'Open', 'Check', 'Dayly', 'UDH', 'Check', "]</v>
      </c>
      <c r="D18567" s="3">
        <v>4.0</v>
      </c>
    </row>
    <row r="18568" ht="15.75" customHeight="1">
      <c r="A18568" s="1">
        <v>19740.0</v>
      </c>
      <c r="B18568" s="3" t="s">
        <v>5594</v>
      </c>
      <c r="C18568" s="3" t="str">
        <f>IFERROR(__xludf.DUMMYFUNCTION("GOOGLETRANSLATE(B18568,""id"",""en"")"),"['Service', 'fast']")</f>
        <v>['Service', 'fast']</v>
      </c>
      <c r="D18568" s="3">
        <v>4.0</v>
      </c>
    </row>
    <row r="18569" ht="15.75" customHeight="1">
      <c r="A18569" s="1">
        <v>19741.0</v>
      </c>
      <c r="B18569" s="3" t="s">
        <v>17573</v>
      </c>
      <c r="C18569" s="3" t="str">
        <f>IFERROR(__xludf.DUMMYFUNCTION("GOOGLETRANSLATE(B18569,""id"",""en"")"),"['Satisfied', 'service', 'Telkomsel', 'Thank you']")</f>
        <v>['Satisfied', 'service', 'Telkomsel', 'Thank you']</v>
      </c>
      <c r="D18569" s="3">
        <v>5.0</v>
      </c>
    </row>
    <row r="18570" ht="15.75" customHeight="1">
      <c r="A18570" s="1">
        <v>19742.0</v>
      </c>
      <c r="B18570" s="3" t="s">
        <v>17574</v>
      </c>
      <c r="C18570" s="3" t="str">
        <f>IFERROR(__xludf.DUMMYFUNCTION("GOOGLETRANSLATE(B18570,""id"",""en"")"),"['network', 'slow', 'price', 'expensive', 'hilarious']")</f>
        <v>['network', 'slow', 'price', 'expensive', 'hilarious']</v>
      </c>
      <c r="D18570" s="3">
        <v>1.0</v>
      </c>
    </row>
    <row r="18571" ht="15.75" customHeight="1">
      <c r="A18571" s="1">
        <v>19743.0</v>
      </c>
      <c r="B18571" s="3" t="s">
        <v>17575</v>
      </c>
      <c r="C18571" s="3" t="str">
        <f>IFERROR(__xludf.DUMMYFUNCTION("GOOGLETRANSLATE(B18571,""id"",""en"")"),"['please', 'Telkomsel', 'consumption', 'pulse', 'internet', 'already']")</f>
        <v>['please', 'Telkomsel', 'consumption', 'pulse', 'internet', 'already']</v>
      </c>
      <c r="D18571" s="3">
        <v>5.0</v>
      </c>
    </row>
    <row r="18572" ht="15.75" customHeight="1">
      <c r="A18572" s="1">
        <v>19744.0</v>
      </c>
      <c r="B18572" s="3" t="s">
        <v>17576</v>
      </c>
      <c r="C18572" s="3" t="str">
        <f>IFERROR(__xludf.DUMMYFUNCTION("GOOGLETRANSLATE(B18572,""id"",""en"")"),"['bad', 'network', 'price', 'expensive']")</f>
        <v>['bad', 'network', 'price', 'expensive']</v>
      </c>
      <c r="D18572" s="3">
        <v>1.0</v>
      </c>
    </row>
    <row r="18573" ht="15.75" customHeight="1">
      <c r="A18573" s="1">
        <v>19745.0</v>
      </c>
      <c r="B18573" s="3" t="s">
        <v>17577</v>
      </c>
      <c r="C18573" s="3" t="str">
        <f>IFERROR(__xludf.DUMMYFUNCTION("GOOGLETRANSLATE(B18573,""id"",""en"")"),"['package', 'sosmed', 'games', 'difficult', 'used', 'fraud']")</f>
        <v>['package', 'sosmed', 'games', 'difficult', 'used', 'fraud']</v>
      </c>
      <c r="D18573" s="3">
        <v>1.0</v>
      </c>
    </row>
    <row r="18574" ht="15.75" customHeight="1">
      <c r="A18574" s="1">
        <v>19746.0</v>
      </c>
      <c r="B18574" s="3" t="s">
        <v>17578</v>
      </c>
      <c r="C18574" s="3" t="str">
        <f>IFERROR(__xludf.DUMMYFUNCTION("GOOGLETRANSLATE(B18574,""id"",""en"")"),"['Honest', 'MANAH', 'LIKE', 'MOTH', 'PULSA', 'YAA', ""]")</f>
        <v>['Honest', 'MANAH', 'LIKE', 'MOTH', 'PULSA', 'YAA', "]</v>
      </c>
      <c r="D18574" s="3">
        <v>4.0</v>
      </c>
    </row>
    <row r="18575" ht="15.75" customHeight="1">
      <c r="A18575" s="1">
        <v>19747.0</v>
      </c>
      <c r="B18575" s="3" t="s">
        <v>17579</v>
      </c>
      <c r="C18575" s="3" t="str">
        <f>IFERROR(__xludf.DUMMYFUNCTION("GOOGLETRANSLATE(B18575,""id"",""en"")"),"['Good', 'please', 'network', 'signal', 'reinforced', 'plus', 'transmitter', 'in the area', 'remote', 'thank', 'love', ""]")</f>
        <v>['Good', 'please', 'network', 'signal', 'reinforced', 'plus', 'transmitter', 'in the area', 'remote', 'thank', 'love', "]</v>
      </c>
      <c r="D18575" s="3">
        <v>5.0</v>
      </c>
    </row>
    <row r="18576" ht="15.75" customHeight="1">
      <c r="A18576" s="1">
        <v>19748.0</v>
      </c>
      <c r="B18576" s="3" t="s">
        <v>17580</v>
      </c>
      <c r="C18576" s="3" t="str">
        <f>IFERROR(__xludf.DUMMYFUNCTION("GOOGLETRANSLATE(B18576,""id"",""en"")"),"['Severe', 'Network', 'Internet', 'Telkomsel', 'Difficult', 'Anyway']")</f>
        <v>['Severe', 'Network', 'Internet', 'Telkomsel', 'Difficult', 'Anyway']</v>
      </c>
      <c r="D18576" s="3">
        <v>1.0</v>
      </c>
    </row>
    <row r="18577" ht="15.75" customHeight="1">
      <c r="A18577" s="1">
        <v>19749.0</v>
      </c>
      <c r="B18577" s="3" t="s">
        <v>17581</v>
      </c>
      <c r="C18577" s="3" t="str">
        <f>IFERROR(__xludf.DUMMYFUNCTION("GOOGLETRANSLATE(B18577,""id"",""en"")"),"['Provider', 'UDH', 'Features',' Key ',' Credit ',' Credit ',' Safe ',' Connection ',' Internet ',' Active ',' Package ',' Package ',' "", 'Application', 'Worn', 'Costs',' Normal ',' Think ',' Age ',' Nokia ',' old 'old', 'Android', 'Open', 'Application',"&amp;" 'Application' , 'data', 'background', 'just', 'quota', 'run out', 'pulse', 'tube', 'understand', 'marketing', 'Telkomsel', 'deliberate', 'times',' out ',' features', 'credit', 'slow', 'fast', 'run out']")</f>
        <v>['Provider', 'UDH', 'Features',' Key ',' Credit ',' Credit ',' Safe ',' Connection ',' Internet ',' Active ',' Package ',' Package ',' ", 'Application', 'Worn', 'Costs',' Normal ',' Think ',' Age ',' Nokia ',' old 'old', 'Android', 'Open', 'Application', 'Application' , 'data', 'background', 'just', 'quota', 'run out', 'pulse', 'tube', 'understand', 'marketing', 'Telkomsel', 'deliberate', 'times',' out ',' features', 'credit', 'slow', 'fast', 'run out']</v>
      </c>
      <c r="D18577" s="3">
        <v>2.0</v>
      </c>
    </row>
    <row r="18578" ht="15.75" customHeight="1">
      <c r="A18578" s="1">
        <v>19750.0</v>
      </c>
      <c r="B18578" s="3" t="s">
        <v>17582</v>
      </c>
      <c r="C18578" s="3" t="str">
        <f>IFERROR(__xludf.DUMMYFUNCTION("GOOGLETRANSLATE(B18578,""id"",""en"")"),"['', 'DPT', 'See', 'leftover', 'pulse', 'buy', 'package', 'quota']")</f>
        <v>['', 'DPT', 'See', 'leftover', 'pulse', 'buy', 'package', 'quota']</v>
      </c>
      <c r="D18578" s="3">
        <v>5.0</v>
      </c>
    </row>
    <row r="18579" ht="15.75" customHeight="1">
      <c r="A18579" s="1">
        <v>19751.0</v>
      </c>
      <c r="B18579" s="3" t="s">
        <v>17583</v>
      </c>
      <c r="C18579" s="3" t="str">
        <f>IFERROR(__xludf.DUMMYFUNCTION("GOOGLETRANSLATE(B18579,""id"",""en"")"),"['The application', 'steady']")</f>
        <v>['The application', 'steady']</v>
      </c>
      <c r="D18579" s="3">
        <v>5.0</v>
      </c>
    </row>
    <row r="18580" ht="15.75" customHeight="1">
      <c r="A18580" s="1">
        <v>19752.0</v>
      </c>
      <c r="B18580" s="3" t="s">
        <v>17584</v>
      </c>
      <c r="C18580" s="3" t="str">
        <f>IFERROR(__xludf.DUMMYFUNCTION("GOOGLETRANSLATE(B18580,""id"",""en"")"),"['Bonus', 'check', ""]")</f>
        <v>['Bonus', 'check', "]</v>
      </c>
      <c r="D18580" s="3">
        <v>5.0</v>
      </c>
    </row>
    <row r="18581" ht="15.75" customHeight="1">
      <c r="A18581" s="1">
        <v>19753.0</v>
      </c>
      <c r="B18581" s="3" t="s">
        <v>17585</v>
      </c>
      <c r="C18581" s="3" t="str">
        <f>IFERROR(__xludf.DUMMYFUNCTION("GOOGLETRANSLATE(B18581,""id"",""en"")"),"['APK', 'bad', 'buy', 'quota', 'update', 'APK', 'make it difficult', 'base', 'idiot']")</f>
        <v>['APK', 'bad', 'buy', 'quota', 'update', 'APK', 'make it difficult', 'base', 'idiot']</v>
      </c>
      <c r="D18581" s="3">
        <v>1.0</v>
      </c>
    </row>
    <row r="18582" ht="15.75" customHeight="1">
      <c r="A18582" s="1">
        <v>19754.0</v>
      </c>
      <c r="B18582" s="3" t="s">
        <v>17586</v>
      </c>
      <c r="C18582" s="3" t="str">
        <f>IFERROR(__xludf.DUMMYFUNCTION("GOOGLETRANSLATE(B18582,""id"",""en"")"),"['Faham', 'use', 'Mukafanan', 'Download']")</f>
        <v>['Faham', 'use', 'Mukafanan', 'Download']</v>
      </c>
      <c r="D18582" s="3">
        <v>1.0</v>
      </c>
    </row>
    <row r="18583" ht="15.75" customHeight="1">
      <c r="A18583" s="1">
        <v>19755.0</v>
      </c>
      <c r="B18583" s="3" t="s">
        <v>17587</v>
      </c>
      <c r="C18583" s="3" t="str">
        <f>IFERROR(__xludf.DUMMYFUNCTION("GOOGLETRANSLATE(B18583,""id"",""en"")"),"['verytttt', 'disappointing', 'open', 'application', 'parahhhhh']")</f>
        <v>['verytttt', 'disappointing', 'open', 'application', 'parahhhhh']</v>
      </c>
      <c r="D18583" s="3">
        <v>1.0</v>
      </c>
    </row>
    <row r="18584" ht="15.75" customHeight="1">
      <c r="A18584" s="1">
        <v>19756.0</v>
      </c>
      <c r="B18584" s="3" t="s">
        <v>17588</v>
      </c>
      <c r="C18584" s="3" t="str">
        <f>IFERROR(__xludf.DUMMYFUNCTION("GOOGLETRANSLATE(B18584,""id"",""en"")"),"['Simple', 'Good', 'Promo', '']")</f>
        <v>['Simple', 'Good', 'Promo', '']</v>
      </c>
      <c r="D18584" s="3">
        <v>5.0</v>
      </c>
    </row>
    <row r="18585" ht="15.75" customHeight="1">
      <c r="A18585" s="1">
        <v>19757.0</v>
      </c>
      <c r="B18585" s="3" t="s">
        <v>17589</v>
      </c>
      <c r="C18585" s="3" t="str">
        <f>IFERROR(__xludf.DUMMYFUNCTION("GOOGLETRANSLATE(B18585,""id"",""en"")"),"['Increases', 'Maintain', 'Network', '']")</f>
        <v>['Increases', 'Maintain', 'Network', '']</v>
      </c>
      <c r="D18585" s="3">
        <v>5.0</v>
      </c>
    </row>
    <row r="18586" ht="15.75" customHeight="1">
      <c r="A18586" s="1">
        <v>19758.0</v>
      </c>
      <c r="B18586" s="3" t="s">
        <v>17590</v>
      </c>
      <c r="C18586" s="3" t="str">
        <f>IFERROR(__xludf.DUMMYFUNCTION("GOOGLETRANSLATE(B18586,""id"",""en"")"),"['Please', 'repaired', 'APK', 'gabisa', 'opened', 'screen', 'white']")</f>
        <v>['Please', 'repaired', 'APK', 'gabisa', 'opened', 'screen', 'white']</v>
      </c>
      <c r="D18586" s="3">
        <v>1.0</v>
      </c>
    </row>
    <row r="18587" ht="15.75" customHeight="1">
      <c r="A18587" s="1">
        <v>19759.0</v>
      </c>
      <c r="B18587" s="3" t="s">
        <v>17591</v>
      </c>
      <c r="C18587" s="3" t="str">
        <f>IFERROR(__xludf.DUMMYFUNCTION("GOOGLETRANSLATE(B18587,""id"",""en"")"),"['', 'Permbaruan', 'device', 'soft', 'Samsung', 'Ultra', 'Application', 'Telkomsel', 'Lost', 'Download', 'Lembali', 'installed', "" ]")</f>
        <v>['', 'Permbaruan', 'device', 'soft', 'Samsung', 'Ultra', 'Application', 'Telkomsel', 'Lost', 'Download', 'Lembali', 'installed', " ]</v>
      </c>
      <c r="D18587" s="3">
        <v>1.0</v>
      </c>
    </row>
    <row r="18588" ht="15.75" customHeight="1">
      <c r="A18588" s="1">
        <v>19760.0</v>
      </c>
      <c r="B18588" s="3" t="s">
        <v>17592</v>
      </c>
      <c r="C18588" s="3" t="str">
        <f>IFERROR(__xludf.DUMMYFUNCTION("GOOGLETRANSLATE(B18588,""id"",""en"")"),"['Difficult', 'Bet', 'Nukar', 'Points']")</f>
        <v>['Difficult', 'Bet', 'Nukar', 'Points']</v>
      </c>
      <c r="D18588" s="3">
        <v>4.0</v>
      </c>
    </row>
    <row r="18589" ht="15.75" customHeight="1">
      <c r="A18589" s="1">
        <v>19761.0</v>
      </c>
      <c r="B18589" s="3" t="s">
        <v>17593</v>
      </c>
      <c r="C18589" s="3" t="str">
        <f>IFERROR(__xludf.DUMMYFUNCTION("GOOGLETRANSLATE(B18589,""id"",""en"")"),"['Telkom', 'smg', 'forward']")</f>
        <v>['Telkom', 'smg', 'forward']</v>
      </c>
      <c r="D18589" s="3">
        <v>5.0</v>
      </c>
    </row>
    <row r="18590" ht="15.75" customHeight="1">
      <c r="A18590" s="1">
        <v>19762.0</v>
      </c>
      <c r="B18590" s="3" t="s">
        <v>17594</v>
      </c>
      <c r="C18590" s="3" t="str">
        <f>IFERROR(__xludf.DUMMYFUNCTION("GOOGLETRANSLATE(B18590,""id"",""en"")"),"['Okay', 'really', 'Daaaah']")</f>
        <v>['Okay', 'really', 'Daaaah']</v>
      </c>
      <c r="D18590" s="3">
        <v>5.0</v>
      </c>
    </row>
    <row r="18591" ht="15.75" customHeight="1">
      <c r="A18591" s="1">
        <v>19765.0</v>
      </c>
      <c r="B18591" s="3" t="s">
        <v>17595</v>
      </c>
      <c r="C18591" s="3" t="str">
        <f>IFERROR(__xludf.DUMMYFUNCTION("GOOGLETRANSLATE(B18591,""id"",""en"")"),"['Telkomsel', 'network', 'sbagus', 'skrang', 'slow', 'change', 'provider', 'good', ""]")</f>
        <v>['Telkomsel', 'network', 'sbagus', 'skrang', 'slow', 'change', 'provider', 'good', "]</v>
      </c>
      <c r="D18591" s="3">
        <v>3.0</v>
      </c>
    </row>
    <row r="18592" ht="15.75" customHeight="1">
      <c r="A18592" s="1">
        <v>19766.0</v>
      </c>
      <c r="B18592" s="3" t="s">
        <v>17596</v>
      </c>
      <c r="C18592" s="3" t="str">
        <f>IFERROR(__xludf.DUMMYFUNCTION("GOOGLETRANSLATE(B18592,""id"",""en"")"),"['difficult', 'open', 'application', 'buy', 'package', '']")</f>
        <v>['difficult', 'open', 'application', 'buy', 'package', '']</v>
      </c>
      <c r="D18592" s="3">
        <v>1.0</v>
      </c>
    </row>
    <row r="18593" ht="15.75" customHeight="1">
      <c r="A18593" s="1">
        <v>19767.0</v>
      </c>
      <c r="B18593" s="3" t="s">
        <v>17597</v>
      </c>
      <c r="C18593" s="3" t="str">
        <f>IFERROR(__xludf.DUMMYFUNCTION("GOOGLETRANSLATE(B18593,""id"",""en"")"),"['list', 'unlimited', 'youtube', 'quota', 'main', 'consumption', 'please', 'explanator', 'unlimited', 'youtube', 'tip', 'end', ' Quota ',' Suck ',' ']")</f>
        <v>['list', 'unlimited', 'youtube', 'quota', 'main', 'consumption', 'please', 'explanator', 'unlimited', 'youtube', 'tip', 'end', ' Quota ',' Suck ',' ']</v>
      </c>
      <c r="D18593" s="3">
        <v>1.0</v>
      </c>
    </row>
    <row r="18594" ht="15.75" customHeight="1">
      <c r="A18594" s="1">
        <v>19768.0</v>
      </c>
      <c r="B18594" s="3" t="s">
        <v>17598</v>
      </c>
      <c r="C18594" s="3" t="str">
        <f>IFERROR(__xludf.DUMMYFUNCTION("GOOGLETRANSLATE(B18594,""id"",""en"")"),"['Jumping', 'Jumping', 'Terossss',' Lost ',' High School ',' Indosat ',' Cheap ',' TPI ',' Kecint ',' Expensive ',' Doang ',' Package ',' Play ',' signalny ',' kyk ',' forest ', ""]")</f>
        <v>['Jumping', 'Jumping', 'Terossss',' Lost ',' High School ',' Indosat ',' Cheap ',' TPI ',' Kecint ',' Expensive ',' Doang ',' Package ',' Play ',' signalny ',' kyk ',' forest ', "]</v>
      </c>
      <c r="D18594" s="3">
        <v>1.0</v>
      </c>
    </row>
    <row r="18595" ht="15.75" customHeight="1">
      <c r="A18595" s="1">
        <v>19769.0</v>
      </c>
      <c r="B18595" s="3" t="s">
        <v>859</v>
      </c>
      <c r="C18595" s="3" t="str">
        <f>IFERROR(__xludf.DUMMYFUNCTION("GOOGLETRANSLATE(B18595,""id"",""en"")"),"['help', '']")</f>
        <v>['help', '']</v>
      </c>
      <c r="D18595" s="3">
        <v>5.0</v>
      </c>
    </row>
    <row r="18596" ht="15.75" customHeight="1">
      <c r="A18596" s="1">
        <v>19770.0</v>
      </c>
      <c r="B18596" s="3" t="s">
        <v>17599</v>
      </c>
      <c r="C18596" s="3" t="str">
        <f>IFERROR(__xludf.DUMMYFUNCTION("GOOGLETRANSLATE(B18596,""id"",""en"")"),"['Abia', 'Update', 'APL', 'Telkomsel', 'Gga', 'BSA', 'Open', 'Please', 'Fast', 'Fix']")</f>
        <v>['Abia', 'Update', 'APL', 'Telkomsel', 'Gga', 'BSA', 'Open', 'Please', 'Fast', 'Fix']</v>
      </c>
      <c r="D18596" s="3">
        <v>2.0</v>
      </c>
    </row>
    <row r="18597" ht="15.75" customHeight="1">
      <c r="A18597" s="1">
        <v>19771.0</v>
      </c>
      <c r="B18597" s="3" t="s">
        <v>17600</v>
      </c>
      <c r="C18597" s="3" t="str">
        <f>IFERROR(__xludf.DUMMYFUNCTION("GOOGLETRANSLATE(B18597,""id"",""en"")"),"['Ribet', 'Telkomsel']")</f>
        <v>['Ribet', 'Telkomsel']</v>
      </c>
      <c r="D18597" s="3">
        <v>3.0</v>
      </c>
    </row>
    <row r="18598" ht="15.75" customHeight="1">
      <c r="A18598" s="1">
        <v>19772.0</v>
      </c>
      <c r="B18598" s="3" t="s">
        <v>17601</v>
      </c>
      <c r="C18598" s="3" t="str">
        <f>IFERROR(__xludf.DUMMYFUNCTION("GOOGLETRANSLATE(B18598,""id"",""en"")"),"['Buy', 'Package', 'Disappointed', 'Very', 'The Application']")</f>
        <v>['Buy', 'Package', 'Disappointed', 'Very', 'The Application']</v>
      </c>
      <c r="D18598" s="3">
        <v>1.0</v>
      </c>
    </row>
    <row r="18599" ht="15.75" customHeight="1">
      <c r="A18599" s="1">
        <v>19773.0</v>
      </c>
      <c r="B18599" s="3" t="s">
        <v>17602</v>
      </c>
      <c r="C18599" s="3" t="str">
        <f>IFERROR(__xludf.DUMMYFUNCTION("GOOGLETRANSLATE(B18599,""id"",""en"")"),"['', 'uograde', 'ngebleng', 'severe', 'really', 'Telkomsel']")</f>
        <v>['', 'uograde', 'ngebleng', 'severe', 'really', 'Telkomsel']</v>
      </c>
      <c r="D18599" s="3">
        <v>1.0</v>
      </c>
    </row>
    <row r="18600" ht="15.75" customHeight="1">
      <c r="A18600" s="1">
        <v>19774.0</v>
      </c>
      <c r="B18600" s="3" t="s">
        <v>17603</v>
      </c>
      <c r="C18600" s="3" t="str">
        <f>IFERROR(__xludf.DUMMYFUNCTION("GOOGLETRANSLATE(B18600,""id"",""en"")"),"['siiiip', 'signal', 'strong', 'where']")</f>
        <v>['siiiip', 'signal', 'strong', 'where']</v>
      </c>
      <c r="D18600" s="3">
        <v>5.0</v>
      </c>
    </row>
    <row r="18601" ht="15.75" customHeight="1">
      <c r="A18601" s="1">
        <v>19775.0</v>
      </c>
      <c r="B18601" s="3" t="s">
        <v>17604</v>
      </c>
      <c r="C18601" s="3" t="str">
        <f>IFERROR(__xludf.DUMMYFUNCTION("GOOGLETRANSLATE(B18601,""id"",""en"")"),"['Severe', 'service', 'response', 'complaints',' bot ',' veronika ',' annoying ',' connected ',' want ',' unreg ',' card ',' hello ',' MLS ',' graparies', 'mentang', 'provider', 'famous',' really ',' service ',' paraaa ',' service ']")</f>
        <v>['Severe', 'service', 'response', 'complaints',' bot ',' veronika ',' annoying ',' connected ',' want ',' unreg ',' card ',' hello ',' MLS ',' graparies', 'mentang', 'provider', 'famous',' really ',' service ',' paraaa ',' service ']</v>
      </c>
      <c r="D18601" s="3">
        <v>1.0</v>
      </c>
    </row>
    <row r="18602" ht="15.75" customHeight="1">
      <c r="A18602" s="1">
        <v>19776.0</v>
      </c>
      <c r="B18602" s="3" t="s">
        <v>17605</v>
      </c>
      <c r="C18602" s="3" t="str">
        <f>IFERROR(__xludf.DUMMYFUNCTION("GOOGLETRANSLATE(B18602,""id"",""en"")"),"['', 'Suggest', 'Download', 'Mantap']")</f>
        <v>['', 'Suggest', 'Download', 'Mantap']</v>
      </c>
      <c r="D18602" s="3">
        <v>5.0</v>
      </c>
    </row>
    <row r="18603" ht="15.75" customHeight="1">
      <c r="A18603" s="1">
        <v>19777.0</v>
      </c>
      <c r="B18603" s="3" t="s">
        <v>17606</v>
      </c>
      <c r="C18603" s="3" t="str">
        <f>IFERROR(__xludf.DUMMYFUNCTION("GOOGLETRANSLATE(B18603,""id"",""en"")"),"['Exchange', 'Points', 'Hadehhhh', 'Points', 'Hangus']")</f>
        <v>['Exchange', 'Points', 'Hadehhhh', 'Points', 'Hangus']</v>
      </c>
      <c r="D18603" s="3">
        <v>1.0</v>
      </c>
    </row>
    <row r="18604" ht="15.75" customHeight="1">
      <c r="A18604" s="1">
        <v>19778.0</v>
      </c>
      <c r="B18604" s="3" t="s">
        <v>17607</v>
      </c>
      <c r="C18604" s="3" t="str">
        <f>IFERROR(__xludf.DUMMYFUNCTION("GOOGLETRANSLATE(B18604,""id"",""en"")"),"['', 'Telkomsel', 'satisfying', 'hope', 'increase', 'Jaya']")</f>
        <v>['', 'Telkomsel', 'satisfying', 'hope', 'increase', 'Jaya']</v>
      </c>
      <c r="D18604" s="3">
        <v>5.0</v>
      </c>
    </row>
    <row r="18605" ht="15.75" customHeight="1">
      <c r="A18605" s="1">
        <v>19779.0</v>
      </c>
      <c r="B18605" s="3" t="s">
        <v>17608</v>
      </c>
      <c r="C18605" s="3" t="str">
        <f>IFERROR(__xludf.DUMMYFUNCTION("GOOGLETRANSLATE(B18605,""id"",""en"")"),"['Buy', 'Telkomsel', 'Network', 'pig']")</f>
        <v>['Buy', 'Telkomsel', 'Network', 'pig']</v>
      </c>
      <c r="D18605" s="3">
        <v>1.0</v>
      </c>
    </row>
    <row r="18606" ht="15.75" customHeight="1">
      <c r="A18606" s="1">
        <v>19780.0</v>
      </c>
      <c r="B18606" s="3" t="s">
        <v>17609</v>
      </c>
      <c r="C18606" s="3" t="str">
        <f>IFERROR(__xludf.DUMMYFUNCTION("GOOGLETRANSLATE(B18606,""id"",""en"")"),"['Looked', 'update', 'pdhal', 'look', 'that's', '']")</f>
        <v>['Looked', 'update', 'pdhal', 'look', 'that's', '']</v>
      </c>
      <c r="D18606" s="3">
        <v>4.0</v>
      </c>
    </row>
    <row r="18607" ht="15.75" customHeight="1">
      <c r="A18607" s="1">
        <v>19781.0</v>
      </c>
      <c r="B18607" s="3" t="s">
        <v>17610</v>
      </c>
      <c r="C18607" s="3" t="str">
        <f>IFERROR(__xludf.DUMMYFUNCTION("GOOGLETRANSLATE(B18607,""id"",""en"")"),"['Maytelkomsel', 'open', '']")</f>
        <v>['Maytelkomsel', 'open', '']</v>
      </c>
      <c r="D18607" s="3">
        <v>1.0</v>
      </c>
    </row>
    <row r="18608" ht="15.75" customHeight="1">
      <c r="A18608" s="1">
        <v>19782.0</v>
      </c>
      <c r="B18608" s="3" t="s">
        <v>17611</v>
      </c>
      <c r="C18608" s="3" t="str">
        <f>IFERROR(__xludf.DUMMYFUNCTION("GOOGLETRANSLATE(B18608,""id"",""en"")"),"['Service', 'good', 'complaints', 'resolved', 'response', 'fast']")</f>
        <v>['Service', 'good', 'complaints', 'resolved', 'response', 'fast']</v>
      </c>
      <c r="D18608" s="3">
        <v>5.0</v>
      </c>
    </row>
    <row r="18609" ht="15.75" customHeight="1">
      <c r="A18609" s="1">
        <v>19783.0</v>
      </c>
      <c r="B18609" s="3" t="s">
        <v>17612</v>
      </c>
      <c r="C18609" s="3" t="str">
        <f>IFERROR(__xludf.DUMMYFUNCTION("GOOGLETRANSLATE(B18609,""id"",""en"")"),"['location', 'village', 'signal', 'good']")</f>
        <v>['location', 'village', 'signal', 'good']</v>
      </c>
      <c r="D18609" s="3">
        <v>4.0</v>
      </c>
    </row>
    <row r="18610" ht="15.75" customHeight="1">
      <c r="A18610" s="1">
        <v>19784.0</v>
      </c>
      <c r="B18610" s="3" t="s">
        <v>17613</v>
      </c>
      <c r="C18610" s="3" t="str">
        <f>IFERROR(__xludf.DUMMYFUNCTION("GOOGLETRANSLATE(B18610,""id"",""en"")"),"['here', 'no', 'functions',' buy ',' package ',' lap ',' youtube ',' unlimited ',' tip ',' package ',' data ',' regular ',' used ',' already ',' many years', 'use', 'Telkomsel', 'platinum', 'results',' disappointing ',' doang ']")</f>
        <v>['here', 'no', 'functions',' buy ',' package ',' lap ',' youtube ',' unlimited ',' tip ',' package ',' data ',' regular ',' used ',' already ',' many years', 'use', 'Telkomsel', 'platinum', 'results',' disappointing ',' doang ']</v>
      </c>
      <c r="D18610" s="3">
        <v>1.0</v>
      </c>
    </row>
    <row r="18611" ht="15.75" customHeight="1">
      <c r="A18611" s="1">
        <v>19785.0</v>
      </c>
      <c r="B18611" s="3" t="s">
        <v>17614</v>
      </c>
      <c r="C18611" s="3" t="str">
        <f>IFERROR(__xludf.DUMMYFUNCTION("GOOGLETRANSLATE(B18611,""id"",""en"")"),"['Ride in', 'Price', 'Package', 'Combo', 'Sakti', 'GB', 'RB', '']")</f>
        <v>['Ride in', 'Price', 'Package', 'Combo', 'Sakti', 'GB', 'RB', '']</v>
      </c>
      <c r="D18611" s="3">
        <v>1.0</v>
      </c>
    </row>
    <row r="18612" ht="15.75" customHeight="1">
      <c r="A18612" s="1">
        <v>19786.0</v>
      </c>
      <c r="B18612" s="3" t="s">
        <v>17615</v>
      </c>
      <c r="C18612" s="3" t="str">
        <f>IFERROR(__xludf.DUMMYFUNCTION("GOOGLETRANSLATE(B18612,""id"",""en"")"),"['Application', 'Update', 'Open', 'Discard', 'Discard', 'Quota']")</f>
        <v>['Application', 'Update', 'Open', 'Discard', 'Discard', 'Quota']</v>
      </c>
      <c r="D18612" s="3">
        <v>1.0</v>
      </c>
    </row>
    <row r="18613" ht="15.75" customHeight="1">
      <c r="A18613" s="1">
        <v>19787.0</v>
      </c>
      <c r="B18613" s="3" t="s">
        <v>355</v>
      </c>
      <c r="C18613" s="3" t="str">
        <f>IFERROR(__xludf.DUMMYFUNCTION("GOOGLETRANSLATE(B18613,""id"",""en"")"),"['open', '']")</f>
        <v>['open', '']</v>
      </c>
      <c r="D18613" s="3">
        <v>2.0</v>
      </c>
    </row>
    <row r="18614" ht="15.75" customHeight="1">
      <c r="A18614" s="1">
        <v>19788.0</v>
      </c>
      <c r="B18614" s="3" t="s">
        <v>17616</v>
      </c>
      <c r="C18614" s="3" t="str">
        <f>IFERROR(__xludf.DUMMYFUNCTION("GOOGLETRANSLATE(B18614,""id"",""en"")"),"['users',' Telkomsel ',' complaints', 'skarang', 'signal', 'difficult', 'internet', 'slow', 'open', 'application', 'Telkomsel', 'error', ' directly ',' enter ',' please ',' fix ',' haha ​​']")</f>
        <v>['users',' Telkomsel ',' complaints', 'skarang', 'signal', 'difficult', 'internet', 'slow', 'open', 'application', 'Telkomsel', 'error', ' directly ',' enter ',' please ',' fix ',' haha ​​']</v>
      </c>
      <c r="D18614" s="3">
        <v>3.0</v>
      </c>
    </row>
    <row r="18615" ht="15.75" customHeight="1">
      <c r="A18615" s="1">
        <v>19789.0</v>
      </c>
      <c r="B18615" s="3" t="s">
        <v>17271</v>
      </c>
      <c r="C18615" s="3" t="str">
        <f>IFERROR(__xludf.DUMMYFUNCTION("GOOGLETRANSLATE(B18615,""id"",""en"")"),"['error']")</f>
        <v>['error']</v>
      </c>
      <c r="D18615" s="3">
        <v>1.0</v>
      </c>
    </row>
    <row r="18616" ht="15.75" customHeight="1">
      <c r="A18616" s="1">
        <v>19790.0</v>
      </c>
      <c r="B18616" s="3" t="s">
        <v>17617</v>
      </c>
      <c r="C18616" s="3" t="str">
        <f>IFERROR(__xludf.DUMMYFUNCTION("GOOGLETRANSLATE(B18616,""id"",""en"")"),"['thank', 'love', 'makes it easier', 'customer', 'choice', 'package', '']")</f>
        <v>['thank', 'love', 'makes it easier', 'customer', 'choice', 'package', '']</v>
      </c>
      <c r="D18616" s="3">
        <v>5.0</v>
      </c>
    </row>
    <row r="18617" ht="15.75" customHeight="1">
      <c r="A18617" s="1">
        <v>19791.0</v>
      </c>
      <c r="B18617" s="3" t="s">
        <v>17618</v>
      </c>
      <c r="C18617" s="3" t="str">
        <f>IFERROR(__xludf.DUMMYFUNCTION("GOOGLETRANSLATE(B18617,""id"",""en"")"),"['Help', 'Satisfied', 'With', 'My APK']")</f>
        <v>['Help', 'Satisfied', 'With', 'My APK']</v>
      </c>
      <c r="D18617" s="3">
        <v>5.0</v>
      </c>
    </row>
    <row r="18618" ht="15.75" customHeight="1">
      <c r="A18618" s="1">
        <v>19792.0</v>
      </c>
      <c r="B18618" s="3" t="s">
        <v>17619</v>
      </c>
      <c r="C18618" s="3" t="str">
        <f>IFERROR(__xludf.DUMMYFUNCTION("GOOGLETRANSLATE(B18618,""id"",""en"")"),"['Open', 'Sorry', 'Love', 'bintag', ""]")</f>
        <v>['Open', 'Sorry', 'Love', 'bintag', "]</v>
      </c>
      <c r="D18618" s="3">
        <v>2.0</v>
      </c>
    </row>
    <row r="18619" ht="15.75" customHeight="1">
      <c r="A18619" s="1">
        <v>19793.0</v>
      </c>
      <c r="B18619" s="3" t="s">
        <v>17620</v>
      </c>
      <c r="C18619" s="3" t="str">
        <f>IFERROR(__xludf.DUMMYFUNCTION("GOOGLETRANSLATE(B18619,""id"",""en"")"),"['Kno', 'screen', 'White', 'Doang', 'opened', 'Network', 'APK', 'Normal', 'Normal', 'Telkomsel', 'Troubled']")</f>
        <v>['Kno', 'screen', 'White', 'Doang', 'opened', 'Network', 'APK', 'Normal', 'Normal', 'Telkomsel', 'Troubled']</v>
      </c>
      <c r="D18619" s="3">
        <v>1.0</v>
      </c>
    </row>
    <row r="18620" ht="15.75" customHeight="1">
      <c r="A18620" s="1">
        <v>19794.0</v>
      </c>
      <c r="B18620" s="3" t="s">
        <v>17621</v>
      </c>
      <c r="C18620" s="3" t="str">
        <f>IFERROR(__xludf.DUMMYFUNCTION("GOOGLETRANSLATE(B18620,""id"",""en"")"),"['signal', 'disappointed', 'use', 'Telkomsel', '']")</f>
        <v>['signal', 'disappointed', 'use', 'Telkomsel', '']</v>
      </c>
      <c r="D18620" s="3">
        <v>1.0</v>
      </c>
    </row>
    <row r="18621" ht="15.75" customHeight="1">
      <c r="A18621" s="1">
        <v>19795.0</v>
      </c>
      <c r="B18621" s="3" t="s">
        <v>3706</v>
      </c>
      <c r="C18621" s="3" t="str">
        <f>IFERROR(__xludf.DUMMYFUNCTION("GOOGLETRANSLATE(B18621,""id"",""en"")"),"['pretty good']")</f>
        <v>['pretty good']</v>
      </c>
      <c r="D18621" s="3">
        <v>5.0</v>
      </c>
    </row>
    <row r="18622" ht="15.75" customHeight="1">
      <c r="A18622" s="1">
        <v>19797.0</v>
      </c>
      <c r="B18622" s="3" t="s">
        <v>17622</v>
      </c>
      <c r="C18622" s="3" t="str">
        <f>IFERROR(__xludf.DUMMYFUNCTION("GOOGLETRANSLATE(B18622,""id"",""en"")"),"['Telkomsel', 'pig', 'Network', 'Ngilak', 'Network', 'Bankrupt', 'Move', 'Cave', ""]")</f>
        <v>['Telkomsel', 'pig', 'Network', 'Ngilak', 'Network', 'Bankrupt', 'Move', 'Cave', "]</v>
      </c>
      <c r="D18622" s="3">
        <v>1.0</v>
      </c>
    </row>
    <row r="18623" ht="15.75" customHeight="1">
      <c r="A18623" s="1">
        <v>19798.0</v>
      </c>
      <c r="B18623" s="3" t="s">
        <v>17623</v>
      </c>
      <c r="C18623" s="3" t="str">
        <f>IFERROR(__xludf.DUMMYFUNCTION("GOOGLETRANSLATE(B18623,""id"",""en"")"),"['ugly', 'really', 'opened']")</f>
        <v>['ugly', 'really', 'opened']</v>
      </c>
      <c r="D18623" s="3">
        <v>1.0</v>
      </c>
    </row>
    <row r="18624" ht="15.75" customHeight="1">
      <c r="A18624" s="1">
        <v>19799.0</v>
      </c>
      <c r="B18624" s="3" t="s">
        <v>17624</v>
      </c>
      <c r="C18624" s="3" t="str">
        <f>IFERROR(__xludf.DUMMYFUNCTION("GOOGLETRANSLATE(B18624,""id"",""en"")"),"['enter', 'input', 'TPI', 'then']")</f>
        <v>['enter', 'input', 'TPI', 'then']</v>
      </c>
      <c r="D18624" s="3">
        <v>1.0</v>
      </c>
    </row>
    <row r="18625" ht="15.75" customHeight="1">
      <c r="A18625" s="1">
        <v>19800.0</v>
      </c>
      <c r="B18625" s="3" t="s">
        <v>17625</v>
      </c>
      <c r="C18625" s="3" t="str">
        <f>IFERROR(__xludf.DUMMYFUNCTION("GOOGLETRANSLATE(B18625,""id"",""en"")"),"['Need']")</f>
        <v>['Need']</v>
      </c>
      <c r="D18625" s="3">
        <v>5.0</v>
      </c>
    </row>
    <row r="18626" ht="15.75" customHeight="1">
      <c r="A18626" s="1">
        <v>19802.0</v>
      </c>
      <c r="B18626" s="3" t="s">
        <v>17626</v>
      </c>
      <c r="C18626" s="3" t="str">
        <f>IFERROR(__xludf.DUMMYFUNCTION("GOOGLETRANSLATE(B18626,""id"",""en"")"),"['Likes', 'Appsiny', 'Promo', 'Quota']")</f>
        <v>['Likes', 'Appsiny', 'Promo', 'Quota']</v>
      </c>
      <c r="D18626" s="3">
        <v>5.0</v>
      </c>
    </row>
    <row r="18627" ht="15.75" customHeight="1">
      <c r="A18627" s="1">
        <v>19803.0</v>
      </c>
      <c r="B18627" s="3" t="s">
        <v>17627</v>
      </c>
      <c r="C18627" s="3" t="str">
        <f>IFERROR(__xludf.DUMMYFUNCTION("GOOGLETRANSLATE(B18627,""id"",""en"")"),"['Severe', 'Application', 'Good', 'Ancur', 'GMN', 'Perharuin', 'Opened', 'Already', 'Uraruin', 'EDA', 'Opened', 'Network', ' JGA ',' ugly ',' really ',' ']")</f>
        <v>['Severe', 'Application', 'Good', 'Ancur', 'GMN', 'Perharuin', 'Opened', 'Already', 'Uraruin', 'EDA', 'Opened', 'Network', ' JGA ',' ugly ',' really ',' ']</v>
      </c>
      <c r="D18627" s="3">
        <v>1.0</v>
      </c>
    </row>
    <row r="18628" ht="15.75" customHeight="1">
      <c r="A18628" s="1">
        <v>19804.0</v>
      </c>
      <c r="B18628" s="3" t="s">
        <v>17628</v>
      </c>
      <c r="C18628" s="3" t="str">
        <f>IFERROR(__xludf.DUMMYFUNCTION("GOOGLETRANSLATE(B18628,""id"",""en"")"),"['Points', 'Exchange', 'Loss', 'Telkomsel']")</f>
        <v>['Points', 'Exchange', 'Loss', 'Telkomsel']</v>
      </c>
      <c r="D18628" s="3">
        <v>1.0</v>
      </c>
    </row>
    <row r="18629" ht="15.75" customHeight="1">
      <c r="A18629" s="1">
        <v>19805.0</v>
      </c>
      <c r="B18629" s="3" t="s">
        <v>17629</v>
      </c>
      <c r="C18629" s="3" t="str">
        <f>IFERROR(__xludf.DUMMYFUNCTION("GOOGLETRANSLATE(B18629,""id"",""en"")"),"['Ribet', 'use']")</f>
        <v>['Ribet', 'use']</v>
      </c>
      <c r="D18629" s="3">
        <v>1.0</v>
      </c>
    </row>
    <row r="18630" ht="15.75" customHeight="1">
      <c r="A18630" s="1">
        <v>19806.0</v>
      </c>
      <c r="B18630" s="3" t="s">
        <v>17630</v>
      </c>
      <c r="C18630" s="3" t="str">
        <f>IFERROR(__xludf.DUMMYFUNCTION("GOOGLETRANSLATE(B18630,""id"",""en"")"),"['open', 'application', 'langusng', 'white', 'screen', 'eat', 'shark', 'cable', '']")</f>
        <v>['open', 'application', 'langusng', 'white', 'screen', 'eat', 'shark', 'cable', '']</v>
      </c>
      <c r="D18630" s="3">
        <v>1.0</v>
      </c>
    </row>
    <row r="18631" ht="15.75" customHeight="1">
      <c r="A18631" s="1">
        <v>19807.0</v>
      </c>
      <c r="B18631" s="3" t="s">
        <v>17631</v>
      </c>
      <c r="C18631" s="3" t="str">
        <f>IFERROR(__xludf.DUMMYFUNCTION("GOOGLETRANSLATE(B18631,""id"",""en"")"),"['', 'accessed', 'Telkomsel']")</f>
        <v>['', 'accessed', 'Telkomsel']</v>
      </c>
      <c r="D18631" s="3">
        <v>2.0</v>
      </c>
    </row>
    <row r="18632" ht="15.75" customHeight="1">
      <c r="A18632" s="1">
        <v>19808.0</v>
      </c>
      <c r="B18632" s="3" t="s">
        <v>17632</v>
      </c>
      <c r="C18632" s="3" t="str">
        <f>IFERROR(__xludf.DUMMYFUNCTION("GOOGLETRANSLATE(B18632,""id"",""en"")"),"['Knp', 'Login', 'Telkomsel', 'Saturday', 'Asked', 'Delete', 'Download', 'Nongol', 'Logo', ""]")</f>
        <v>['Knp', 'Login', 'Telkomsel', 'Saturday', 'Asked', 'Delete', 'Download', 'Nongol', 'Logo', "]</v>
      </c>
      <c r="D18632" s="3">
        <v>5.0</v>
      </c>
    </row>
    <row r="18633" ht="15.75" customHeight="1">
      <c r="A18633" s="1">
        <v>19809.0</v>
      </c>
      <c r="B18633" s="3" t="s">
        <v>17633</v>
      </c>
      <c r="C18633" s="3" t="str">
        <f>IFERROR(__xludf.DUMMYFUNCTION("GOOGLETRANSLATE(B18633,""id"",""en"")"),"['Coins', 'Different', ""]")</f>
        <v>['Coins', 'Different', "]</v>
      </c>
      <c r="D18633" s="3">
        <v>1.0</v>
      </c>
    </row>
    <row r="18634" ht="15.75" customHeight="1">
      <c r="A18634" s="1">
        <v>19810.0</v>
      </c>
      <c r="B18634" s="3" t="s">
        <v>17634</v>
      </c>
      <c r="C18634" s="3" t="str">
        <f>IFERROR(__xludf.DUMMYFUNCTION("GOOGLETRANSLATE(B18634,""id"",""en"")"),"['promo', 'package', 'cheap', 'Sakti', 'network', 'disappointing', 'network', 'package', 'data', 'wifi', 'network', 'Telkomsel', ' disappointing', '']")</f>
        <v>['promo', 'package', 'cheap', 'Sakti', 'network', 'disappointing', 'network', 'package', 'data', 'wifi', 'network', 'Telkomsel', ' disappointing', '']</v>
      </c>
      <c r="D18634" s="3">
        <v>1.0</v>
      </c>
    </row>
    <row r="18635" ht="15.75" customHeight="1">
      <c r="A18635" s="1">
        <v>19811.0</v>
      </c>
      <c r="B18635" s="3" t="s">
        <v>17635</v>
      </c>
      <c r="C18635" s="3" t="str">
        <f>IFERROR(__xludf.DUMMYFUNCTION("GOOGLETRANSLATE(B18635,""id"",""en"")"),"['Update', 'Application', 'Open', 'Wait', 'Ampe', 'A Day', 'TTP', 'Screen', 'White']")</f>
        <v>['Update', 'Application', 'Open', 'Wait', 'Ampe', 'A Day', 'TTP', 'Screen', 'White']</v>
      </c>
      <c r="D18635" s="3">
        <v>2.0</v>
      </c>
    </row>
    <row r="18636" ht="15.75" customHeight="1">
      <c r="A18636" s="1">
        <v>19812.0</v>
      </c>
      <c r="B18636" s="3" t="s">
        <v>17636</v>
      </c>
      <c r="C18636" s="3" t="str">
        <f>IFERROR(__xludf.DUMMYFUNCTION("GOOGLETRANSLATE(B18636,""id"",""en"")"),"['The Application', 'Open', 'Min', 'Napa', 'yak', ""]")</f>
        <v>['The Application', 'Open', 'Min', 'Napa', 'yak', "]</v>
      </c>
      <c r="D18636" s="3">
        <v>1.0</v>
      </c>
    </row>
    <row r="18637" ht="15.75" customHeight="1">
      <c r="A18637" s="1">
        <v>19813.0</v>
      </c>
      <c r="B18637" s="3" t="s">
        <v>17637</v>
      </c>
      <c r="C18637" s="3" t="str">
        <f>IFERROR(__xludf.DUMMYFUNCTION("GOOGLETRANSLATE(B18637,""id"",""en"")"),"['Telkom', 'expensive', 'doang', 'signal', 'kek', '']")</f>
        <v>['Telkom', 'expensive', 'doang', 'signal', 'kek', '']</v>
      </c>
      <c r="D18637" s="3">
        <v>1.0</v>
      </c>
    </row>
    <row r="18638" ht="15.75" customHeight="1">
      <c r="A18638" s="1">
        <v>19814.0</v>
      </c>
      <c r="B18638" s="3" t="s">
        <v>17638</v>
      </c>
      <c r="C18638" s="3" t="str">
        <f>IFERROR(__xludf.DUMMYFUNCTION("GOOGLETRANSLATE(B18638,""id"",""en"")"),"['Application', 'opened', 'already', 'package', 'expensive', 'according to', 'reality', 'severe', ""]")</f>
        <v>['Application', 'opened', 'already', 'package', 'expensive', 'according to', 'reality', 'severe', "]</v>
      </c>
      <c r="D18638" s="3">
        <v>2.0</v>
      </c>
    </row>
    <row r="18639" ht="15.75" customHeight="1">
      <c r="A18639" s="1">
        <v>19815.0</v>
      </c>
      <c r="B18639" s="3" t="s">
        <v>17639</v>
      </c>
      <c r="C18639" s="3" t="str">
        <f>IFERROR(__xludf.DUMMYFUNCTION("GOOGLETRANSLATE(B18639,""id"",""en"")"),"['Help', 'convenience']")</f>
        <v>['Help', 'convenience']</v>
      </c>
      <c r="D18639" s="3">
        <v>5.0</v>
      </c>
    </row>
    <row r="18640" ht="15.75" customHeight="1">
      <c r="A18640" s="1">
        <v>19816.0</v>
      </c>
      <c r="B18640" s="3" t="s">
        <v>17640</v>
      </c>
      <c r="C18640" s="3" t="str">
        <f>IFERROR(__xludf.DUMMYFUNCTION("GOOGLETRANSLATE(B18640,""id"",""en"")"),"['signalny', 'cool', 'slow']")</f>
        <v>['signalny', 'cool', 'slow']</v>
      </c>
      <c r="D18640" s="3">
        <v>3.0</v>
      </c>
    </row>
    <row r="18641" ht="15.75" customHeight="1">
      <c r="A18641" s="1">
        <v>19817.0</v>
      </c>
      <c r="B18641" s="3" t="s">
        <v>17641</v>
      </c>
      <c r="C18641" s="3" t="str">
        <f>IFERROR(__xludf.DUMMYFUNCTION("GOOGLETRANSLATE(B18641,""id"",""en"")"),"['Disappointed', 'Network', 'Telkomsel', 'smooth', 'in the area', 'network', 'good', 'ugly']")</f>
        <v>['Disappointed', 'Network', 'Telkomsel', 'smooth', 'in the area', 'network', 'good', 'ugly']</v>
      </c>
      <c r="D18641" s="3">
        <v>3.0</v>
      </c>
    </row>
    <row r="18642" ht="15.75" customHeight="1">
      <c r="A18642" s="1">
        <v>19819.0</v>
      </c>
      <c r="B18642" s="3" t="s">
        <v>17642</v>
      </c>
      <c r="C18642" s="3" t="str">
        <f>IFERROR(__xludf.DUMMYFUNCTION("GOOGLETRANSLATE(B18642,""id"",""en"")"),"['', 'Brain', 'Telkomsel', 'Need', 'Lost', 'Network', 'Need', 'Signal', 'Anjirrr']")</f>
        <v>['', 'Brain', 'Telkomsel', 'Need', 'Lost', 'Network', 'Need', 'Signal', 'Anjirrr']</v>
      </c>
      <c r="D18642" s="3">
        <v>1.0</v>
      </c>
    </row>
    <row r="18643" ht="15.75" customHeight="1">
      <c r="A18643" s="1">
        <v>19820.0</v>
      </c>
      <c r="B18643" s="3" t="s">
        <v>17643</v>
      </c>
      <c r="C18643" s="3" t="str">
        <f>IFERROR(__xludf.DUMMYFUNCTION("GOOGLETRANSLATE(B18643,""id"",""en"")"),"['APK', 'Bagsss']")</f>
        <v>['APK', 'Bagsss']</v>
      </c>
      <c r="D18643" s="3">
        <v>5.0</v>
      </c>
    </row>
    <row r="18644" ht="15.75" customHeight="1">
      <c r="A18644" s="1">
        <v>19821.0</v>
      </c>
      <c r="B18644" s="3" t="s">
        <v>17644</v>
      </c>
      <c r="C18644" s="3" t="str">
        <f>IFERROR(__xludf.DUMMYFUNCTION("GOOGLETRANSLATE(B18644,""id"",""en"")"),"['Telkomsel', 'mainstay', 'signal', 'until', 'package', 'said', 'expensive', 'network', 'in place', 'severe', 'really', 'Buriq', ' please ',' fix ',' dev ',' gaguna ',' buy ',' quota ',' di card ',' telkom ', ""]")</f>
        <v>['Telkomsel', 'mainstay', 'signal', 'until', 'package', 'said', 'expensive', 'network', 'in place', 'severe', 'really', 'Buriq', ' please ',' fix ',' dev ',' gaguna ',' buy ',' quota ',' di card ',' telkom ', "]</v>
      </c>
      <c r="D18644" s="3">
        <v>1.0</v>
      </c>
    </row>
    <row r="18645" ht="15.75" customHeight="1">
      <c r="A18645" s="1">
        <v>19822.0</v>
      </c>
      <c r="B18645" s="3" t="s">
        <v>2962</v>
      </c>
      <c r="C18645" s="3" t="str">
        <f>IFERROR(__xludf.DUMMYFUNCTION("GOOGLETRANSLATE(B18645,""id"",""en"")"),"['Make it easier']")</f>
        <v>['Make it easier']</v>
      </c>
      <c r="D18645" s="3">
        <v>5.0</v>
      </c>
    </row>
    <row r="18646" ht="15.75" customHeight="1">
      <c r="A18646" s="1">
        <v>19823.0</v>
      </c>
      <c r="B18646" s="3" t="s">
        <v>17645</v>
      </c>
      <c r="C18646" s="3" t="str">
        <f>IFERROR(__xludf.DUMMYFUNCTION("GOOGLETRANSLATE(B18646,""id"",""en"")"),"['like', 'really', 'application', 'love', 'star', 'maintained', 'application', 'in the future', 'good', 'good', 'application', 'Telkomsel', ' Good ',' Download ',' Yuk ',' Download ',' Enjoy ',' Convenience ',' Convenience ',' Application ',' Telkomsel ']")</f>
        <v>['like', 'really', 'application', 'love', 'star', 'maintained', 'application', 'in the future', 'good', 'good', 'application', 'Telkomsel', ' Good ',' Download ',' Yuk ',' Download ',' Enjoy ',' Convenience ',' Convenience ',' Application ',' Telkomsel ']</v>
      </c>
      <c r="D18646" s="3">
        <v>5.0</v>
      </c>
    </row>
    <row r="18647" ht="15.75" customHeight="1">
      <c r="A18647" s="1">
        <v>19824.0</v>
      </c>
      <c r="B18647" s="3" t="s">
        <v>17646</v>
      </c>
      <c r="C18647" s="3" t="str">
        <f>IFERROR(__xludf.DUMMYFUNCTION("GOOGLETRANSLATE(B18647,""id"",""en"")"),"['already', 'expensive', 'signal', 'right']")</f>
        <v>['already', 'expensive', 'signal', 'right']</v>
      </c>
      <c r="D18647" s="3">
        <v>1.0</v>
      </c>
    </row>
    <row r="18648" ht="15.75" customHeight="1">
      <c r="A18648" s="1">
        <v>19826.0</v>
      </c>
      <c r="B18648" s="3" t="s">
        <v>9474</v>
      </c>
      <c r="C18648" s="3" t="str">
        <f>IFERROR(__xludf.DUMMYFUNCTION("GOOGLETRANSLATE(B18648,""id"",""en"")"),"['steady', 'application']")</f>
        <v>['steady', 'application']</v>
      </c>
      <c r="D18648" s="3">
        <v>5.0</v>
      </c>
    </row>
    <row r="18649" ht="15.75" customHeight="1">
      <c r="A18649" s="1">
        <v>19827.0</v>
      </c>
      <c r="B18649" s="3" t="s">
        <v>17647</v>
      </c>
      <c r="C18649" s="3" t="str">
        <f>IFERROR(__xludf.DUMMYFUNCTION("GOOGLETRANSLATE(B18649,""id"",""en"")"),"['satisfied', '']")</f>
        <v>['satisfied', '']</v>
      </c>
      <c r="D18649" s="3">
        <v>5.0</v>
      </c>
    </row>
    <row r="18650" ht="15.75" customHeight="1">
      <c r="A18650" s="1">
        <v>19828.0</v>
      </c>
      <c r="B18650" s="3" t="s">
        <v>17648</v>
      </c>
      <c r="C18650" s="3" t="str">
        <f>IFERROR(__xludf.DUMMYFUNCTION("GOOGLETRANSLATE(B18650,""id"",""en"")"),"['Telkomsel', 'disorder', '']")</f>
        <v>['Telkomsel', 'disorder', '']</v>
      </c>
      <c r="D18650" s="3">
        <v>4.0</v>
      </c>
    </row>
    <row r="18651" ht="15.75" customHeight="1">
      <c r="A18651" s="1">
        <v>19829.0</v>
      </c>
      <c r="B18651" s="3" t="s">
        <v>17649</v>
      </c>
      <c r="C18651" s="3" t="str">
        <f>IFERROR(__xludf.DUMMYFUNCTION("GOOGLETRANSLATE(B18651,""id"",""en"")"),"['price', 'package', 'card', 'Different', 'th', 'card', 'member', 'platinum', 'expensive', 'hadeewh']")</f>
        <v>['price', 'package', 'card', 'Different', 'th', 'card', 'member', 'platinum', 'expensive', 'hadeewh']</v>
      </c>
      <c r="D18651" s="3">
        <v>3.0</v>
      </c>
    </row>
    <row r="18652" ht="15.75" customHeight="1">
      <c r="A18652" s="1">
        <v>19830.0</v>
      </c>
      <c r="B18652" s="3" t="s">
        <v>17650</v>
      </c>
      <c r="C18652" s="3" t="str">
        <f>IFERROR(__xludf.DUMMYFUNCTION("GOOGLETRANSLATE(B18652,""id"",""en"")"),"['buy', 'quota', 'pulse', 'error']")</f>
        <v>['buy', 'quota', 'pulse', 'error']</v>
      </c>
      <c r="D18652" s="3">
        <v>3.0</v>
      </c>
    </row>
    <row r="18653" ht="15.75" customHeight="1">
      <c r="A18653" s="1">
        <v>19831.0</v>
      </c>
      <c r="B18653" s="3" t="s">
        <v>17651</v>
      </c>
      <c r="C18653" s="3" t="str">
        <f>IFERROR(__xludf.DUMMYFUNCTION("GOOGLETRANSLATE(B18653,""id"",""en"")"),"['slow', 'Samsung', 'open', 'application', 'knp', 'blank', 'white', ""]")</f>
        <v>['slow', 'Samsung', 'open', 'application', 'knp', 'blank', 'white', "]</v>
      </c>
      <c r="D18653" s="3">
        <v>2.0</v>
      </c>
    </row>
    <row r="18654" ht="15.75" customHeight="1">
      <c r="A18654" s="1">
        <v>19832.0</v>
      </c>
      <c r="B18654" s="3" t="s">
        <v>17652</v>
      </c>
      <c r="C18654" s="3" t="str">
        <f>IFERROR(__xludf.DUMMYFUNCTION("GOOGLETRANSLATE(B18654,""id"",""en"")"),"['buy', 'package', 'data', 'rb', 'drift', 'bangse', 'emang']")</f>
        <v>['buy', 'package', 'data', 'rb', 'drift', 'bangse', 'emang']</v>
      </c>
      <c r="D18654" s="3">
        <v>1.0</v>
      </c>
    </row>
    <row r="18655" ht="15.75" customHeight="1">
      <c r="A18655" s="1">
        <v>19833.0</v>
      </c>
      <c r="B18655" s="3" t="s">
        <v>17653</v>
      </c>
      <c r="C18655" s="3" t="str">
        <f>IFERROR(__xludf.DUMMYFUNCTION("GOOGLETRANSLATE(B18655,""id"",""en"")"),"['Sorry', 'Telkomsel', 'Problems', 'Application', 'Yesterday', 'The application', 'Open', 'Please', 'Telkomsel', 'fix', 'the application']")</f>
        <v>['Sorry', 'Telkomsel', 'Problems', 'Application', 'Yesterday', 'The application', 'Open', 'Please', 'Telkomsel', 'fix', 'the application']</v>
      </c>
      <c r="D18655" s="3">
        <v>1.0</v>
      </c>
    </row>
    <row r="18656" ht="15.75" customHeight="1">
      <c r="A18656" s="1">
        <v>19834.0</v>
      </c>
      <c r="B18656" s="3" t="s">
        <v>17654</v>
      </c>
      <c r="C18656" s="3" t="str">
        <f>IFERROR(__xludf.DUMMYFUNCTION("GOOGLETRANSLATE(B18656,""id"",""en"")"),"['Good', 'Leave', 'star', 'talk']")</f>
        <v>['Good', 'Leave', 'star', 'talk']</v>
      </c>
      <c r="D18656" s="3">
        <v>5.0</v>
      </c>
    </row>
    <row r="18657" ht="15.75" customHeight="1">
      <c r="A18657" s="1">
        <v>19835.0</v>
      </c>
      <c r="B18657" s="3" t="s">
        <v>17655</v>
      </c>
      <c r="C18657" s="3" t="str">
        <f>IFERROR(__xludf.DUMMYFUNCTION("GOOGLETRANSLATE(B18657,""id"",""en"")"),"['Satisfied', 'populat']")</f>
        <v>['Satisfied', 'populat']</v>
      </c>
      <c r="D18657" s="3">
        <v>5.0</v>
      </c>
    </row>
    <row r="18658" ht="15.75" customHeight="1">
      <c r="A18658" s="1">
        <v>19836.0</v>
      </c>
      <c r="B18658" s="3" t="s">
        <v>17656</v>
      </c>
      <c r="C18658" s="3" t="str">
        <f>IFERROR(__xludf.DUMMYFUNCTION("GOOGLETRANSLATE(B18658,""id"",""en"")"),"['Steady', 'Program']")</f>
        <v>['Steady', 'Program']</v>
      </c>
      <c r="D18658" s="3">
        <v>5.0</v>
      </c>
    </row>
    <row r="18659" ht="15.75" customHeight="1">
      <c r="A18659" s="1">
        <v>19837.0</v>
      </c>
      <c r="B18659" s="3" t="s">
        <v>17657</v>
      </c>
      <c r="C18659" s="3" t="str">
        <f>IFERROR(__xludf.DUMMYFUNCTION("GOOGLETRANSLATE(B18659,""id"",""en"")"),"['knp', 'Hbs', 'updated', 'gabisa', 'opened', 'app']")</f>
        <v>['knp', 'Hbs', 'updated', 'gabisa', 'opened', 'app']</v>
      </c>
      <c r="D18659" s="3">
        <v>1.0</v>
      </c>
    </row>
    <row r="18660" ht="15.75" customHeight="1">
      <c r="A18660" s="1">
        <v>19838.0</v>
      </c>
      <c r="B18660" s="3" t="s">
        <v>17658</v>
      </c>
      <c r="C18660" s="3" t="str">
        <f>IFERROR(__xludf.DUMMYFUNCTION("GOOGLETRANSLATE(B18660,""id"",""en"")"),"['pls', 'Gegara', 'Miss', 'Main', 'Game', 'Njiir', ""]")</f>
        <v>['pls', 'Gegara', 'Miss', 'Main', 'Game', 'Njiir', "]</v>
      </c>
      <c r="D18660" s="3">
        <v>5.0</v>
      </c>
    </row>
    <row r="18661" ht="15.75" customHeight="1">
      <c r="A18661" s="1">
        <v>19839.0</v>
      </c>
      <c r="B18661" s="3" t="s">
        <v>17659</v>
      </c>
      <c r="C18661" s="3" t="str">
        <f>IFERROR(__xludf.DUMMYFUNCTION("GOOGLETRANSLATE(B18661,""id"",""en"")"),"['Try', 'made', 'program', 'package', 'internet', 'cheap']")</f>
        <v>['Try', 'made', 'program', 'package', 'internet', 'cheap']</v>
      </c>
      <c r="D18661" s="3">
        <v>5.0</v>
      </c>
    </row>
    <row r="18662" ht="15.75" customHeight="1">
      <c r="A18662" s="1">
        <v>19840.0</v>
      </c>
      <c r="B18662" s="3" t="s">
        <v>17660</v>
      </c>
      <c r="C18662" s="3" t="str">
        <f>IFERROR(__xludf.DUMMYFUNCTION("GOOGLETRANSLATE(B18662,""id"",""en"")"),"['Good', 'promo', 'quota']")</f>
        <v>['Good', 'promo', 'quota']</v>
      </c>
      <c r="D18662" s="3">
        <v>5.0</v>
      </c>
    </row>
    <row r="18663" ht="15.75" customHeight="1">
      <c r="A18663" s="1">
        <v>19841.0</v>
      </c>
      <c r="B18663" s="3" t="s">
        <v>17661</v>
      </c>
      <c r="C18663" s="3" t="str">
        <f>IFERROR(__xludf.DUMMYFUNCTION("GOOGLETRANSLATE(B18663,""id"",""en"")"),"['week', 'application', 'blank', 'repairs', 'information', 'anything', 'Telkomsel', 'disappointed']")</f>
        <v>['week', 'application', 'blank', 'repairs', 'information', 'anything', 'Telkomsel', 'disappointed']</v>
      </c>
      <c r="D18663" s="3">
        <v>1.0</v>
      </c>
    </row>
    <row r="18664" ht="15.75" customHeight="1">
      <c r="A18664" s="1">
        <v>19842.0</v>
      </c>
      <c r="B18664" s="3" t="s">
        <v>17662</v>
      </c>
      <c r="C18664" s="3" t="str">
        <f>IFERROR(__xludf.DUMMYFUNCTION("GOOGLETRANSLATE(B18664,""id"",""en"")"),"['priority', 'network', 'priority', 'promo', 'sms',' quality ',' annoying ',' connection ',' internet ',' sms', 'enter', 'thank', ' love']")</f>
        <v>['priority', 'network', 'priority', 'promo', 'sms',' quality ',' annoying ',' connection ',' internet ',' sms', 'enter', 'thank', ' love']</v>
      </c>
      <c r="D18664" s="3">
        <v>1.0</v>
      </c>
    </row>
    <row r="18665" ht="15.75" customHeight="1">
      <c r="A18665" s="1">
        <v>19843.0</v>
      </c>
      <c r="B18665" s="3" t="s">
        <v>9413</v>
      </c>
      <c r="C18665" s="3" t="str">
        <f>IFERROR(__xludf.DUMMYFUNCTION("GOOGLETRANSLATE(B18665,""id"",""en"")"),"['Application', 'Open']")</f>
        <v>['Application', 'Open']</v>
      </c>
      <c r="D18665" s="3">
        <v>4.0</v>
      </c>
    </row>
    <row r="18666" ht="15.75" customHeight="1">
      <c r="A18666" s="1">
        <v>19844.0</v>
      </c>
      <c r="B18666" s="3" t="s">
        <v>859</v>
      </c>
      <c r="C18666" s="3" t="str">
        <f>IFERROR(__xludf.DUMMYFUNCTION("GOOGLETRANSLATE(B18666,""id"",""en"")"),"['help', '']")</f>
        <v>['help', '']</v>
      </c>
      <c r="D18666" s="3">
        <v>5.0</v>
      </c>
    </row>
    <row r="18667" ht="15.75" customHeight="1">
      <c r="A18667" s="1">
        <v>19845.0</v>
      </c>
      <c r="B18667" s="3" t="s">
        <v>17663</v>
      </c>
      <c r="C18667" s="3" t="str">
        <f>IFERROR(__xludf.DUMMYFUNCTION("GOOGLETRANSLATE(B18667,""id"",""en"")"),"['Hello', 'UDH', 'Support', 'already', 'Support', 'knapa', 'tlng', 'upgrade', 'network']")</f>
        <v>['Hello', 'UDH', 'Support', 'already', 'Support', 'knapa', 'tlng', 'upgrade', 'network']</v>
      </c>
      <c r="D18667" s="3">
        <v>2.0</v>
      </c>
    </row>
    <row r="18668" ht="15.75" customHeight="1">
      <c r="A18668" s="1">
        <v>19846.0</v>
      </c>
      <c r="B18668" s="3" t="s">
        <v>17664</v>
      </c>
      <c r="C18668" s="3" t="str">
        <f>IFERROR(__xludf.DUMMYFUNCTION("GOOGLETRANSLATE(B18668,""id"",""en"")"),"['Hello', 'Sis',' The application ',' Gabisa ',' Open ',' White ',' Screen ',' Please ',' Fix ',' Already ',' Uninstall ',' Many ',' time ',' mistay ',' fix ']")</f>
        <v>['Hello', 'Sis',' The application ',' Gabisa ',' Open ',' White ',' Screen ',' Please ',' Fix ',' Already ',' Uninstall ',' Many ',' time ',' mistay ',' fix ']</v>
      </c>
      <c r="D18668" s="3">
        <v>1.0</v>
      </c>
    </row>
    <row r="18669" ht="15.75" customHeight="1">
      <c r="A18669" s="1">
        <v>19847.0</v>
      </c>
      <c r="B18669" s="3" t="s">
        <v>17665</v>
      </c>
      <c r="C18669" s="3" t="str">
        <f>IFERROR(__xludf.DUMMYFUNCTION("GOOGLETRANSLATE(B18669,""id"",""en"")"),"['for a while', 'for a while', 'told', 'update', 'turn', 'update', 'heavy', 'APK', ""]")</f>
        <v>['for a while', 'for a while', 'told', 'update', 'turn', 'update', 'heavy', 'APK', "]</v>
      </c>
      <c r="D18669" s="3">
        <v>3.0</v>
      </c>
    </row>
    <row r="18670" ht="15.75" customHeight="1">
      <c r="A18670" s="1">
        <v>19848.0</v>
      </c>
      <c r="B18670" s="3" t="s">
        <v>17666</v>
      </c>
      <c r="C18670" s="3" t="str">
        <f>IFERROR(__xludf.DUMMYFUNCTION("GOOGLETRANSLATE(B18670,""id"",""en"")"),"['Please', 'Telkomsel', 'Add', 'Features', 'Credit', 'Save', 'Credit', 'Safe', 'Run', 'Quota', 'Internet', ""]")</f>
        <v>['Please', 'Telkomsel', 'Add', 'Features', 'Credit', 'Save', 'Credit', 'Safe', 'Run', 'Quota', 'Internet', "]</v>
      </c>
      <c r="D18670" s="3">
        <v>1.0</v>
      </c>
    </row>
    <row r="18671" ht="15.75" customHeight="1">
      <c r="A18671" s="1">
        <v>19849.0</v>
      </c>
      <c r="B18671" s="3" t="s">
        <v>17667</v>
      </c>
      <c r="C18671" s="3" t="str">
        <f>IFERROR(__xludf.DUMMYFUNCTION("GOOGLETRANSLATE(B18671,""id"",""en"")"),"['buy', 'quota', 'internet', 'lapse', 'youtube', 'quota', 'internet', 'take', 'sampe', 'nyadar', 'quota', 'GB', ' run out ',' a day ',' how ', ""]")</f>
        <v>['buy', 'quota', 'internet', 'lapse', 'youtube', 'quota', 'internet', 'take', 'sampe', 'nyadar', 'quota', 'GB', ' run out ',' a day ',' how ', "]</v>
      </c>
      <c r="D18671" s="3">
        <v>2.0</v>
      </c>
    </row>
    <row r="18672" ht="15.75" customHeight="1">
      <c r="A18672" s="1">
        <v>19850.0</v>
      </c>
      <c r="B18672" s="3" t="s">
        <v>17668</v>
      </c>
      <c r="C18672" s="3" t="str">
        <f>IFERROR(__xludf.DUMMYFUNCTION("GOOGLETRANSLATE(B18672,""id"",""en"")"),"['Download', 'application', 'intention', 'easy', 'practical', 'according to', 'expectation', 'yaudala', 'mode', 'manual', ""]")</f>
        <v>['Download', 'application', 'intention', 'easy', 'practical', 'according to', 'expectation', 'yaudala', 'mode', 'manual', "]</v>
      </c>
      <c r="D18672" s="3">
        <v>2.0</v>
      </c>
    </row>
    <row r="18673" ht="15.75" customHeight="1">
      <c r="A18673" s="1">
        <v>19851.0</v>
      </c>
      <c r="B18673" s="3" t="s">
        <v>17669</v>
      </c>
      <c r="C18673" s="3" t="str">
        <f>IFERROR(__xludf.DUMMYFUNCTION("GOOGLETRANSLATE(B18673,""id"",""en"")"),"['price', 'tariff', 'quota', 'expensive', 'signal', 'mulu', 'quality', 'signal', 'already', 'use', 'quota', 'giganet', ' Rb ']")</f>
        <v>['price', 'tariff', 'quota', 'expensive', 'signal', 'mulu', 'quality', 'signal', 'already', 'use', 'quota', 'giganet', ' Rb ']</v>
      </c>
      <c r="D18673" s="3">
        <v>5.0</v>
      </c>
    </row>
    <row r="18674" ht="15.75" customHeight="1">
      <c r="A18674" s="1">
        <v>19852.0</v>
      </c>
      <c r="B18674" s="3" t="s">
        <v>17670</v>
      </c>
      <c r="C18674" s="3" t="str">
        <f>IFERROR(__xludf.DUMMYFUNCTION("GOOGLETRANSLATE(B18674,""id"",""en"")"),"['pulse', 'suck', 'list', 'strange', 'strange', 'pulse', 'suck', 'mulu', 'telkomsel']")</f>
        <v>['pulse', 'suck', 'list', 'strange', 'strange', 'pulse', 'suck', 'mulu', 'telkomsel']</v>
      </c>
      <c r="D18674" s="3">
        <v>2.0</v>
      </c>
    </row>
    <row r="18675" ht="15.75" customHeight="1">
      <c r="A18675" s="1">
        <v>19854.0</v>
      </c>
      <c r="B18675" s="3" t="s">
        <v>17671</v>
      </c>
      <c r="C18675" s="3" t="str">
        <f>IFERROR(__xludf.DUMMYFUNCTION("GOOGLETRANSLATE(B18675,""id"",""en"")"),"['Apps', 'Telkomsel', 'Open', '']")</f>
        <v>['Apps', 'Telkomsel', 'Open', '']</v>
      </c>
      <c r="D18675" s="3">
        <v>2.0</v>
      </c>
    </row>
    <row r="18676" ht="15.75" customHeight="1">
      <c r="A18676" s="1">
        <v>19855.0</v>
      </c>
      <c r="B18676" s="3" t="s">
        <v>17672</v>
      </c>
      <c r="C18676" s="3" t="str">
        <f>IFERROR(__xludf.DUMMYFUNCTION("GOOGLETRANSLATE(B18676,""id"",""en"")"),"['Buy', 'Package', 'Internet', 'APK', 'GB', 'Local', 'GB', 'Quota', 'Watch', 'Laah', 'Watch', 'Viu', ' Sumpot ',' quota ',' quota ',' local ',' quota ',' watch ',' skrg ',' quota ',' local ',' leftover ',' GB ',' quota ',' watch ' , 'GB', 'please', 'expla"&amp;"nation', 'use', 'Veronica', ""]")</f>
        <v>['Buy', 'Package', 'Internet', 'APK', 'GB', 'Local', 'GB', 'Quota', 'Watch', 'Laah', 'Watch', 'Viu', ' Sumpot ',' quota ',' quota ',' local ',' quota ',' watch ',' skrg ',' quota ',' local ',' leftover ',' GB ',' quota ',' watch ' , 'GB', 'please', 'explanation', 'use', 'Veronica', "]</v>
      </c>
      <c r="D18676" s="3">
        <v>2.0</v>
      </c>
    </row>
    <row r="18677" ht="15.75" customHeight="1">
      <c r="A18677" s="1">
        <v>19856.0</v>
      </c>
      <c r="B18677" s="3" t="s">
        <v>17673</v>
      </c>
      <c r="C18677" s="3" t="str">
        <f>IFERROR(__xludf.DUMMYFUNCTION("GOOGLETRANSLATE(B18677,""id"",""en"")"),"['Genesis',' buy ',' pulse ',' unexpected ',' exhausted ',' use ',' non ',' package ',' pulses', 'neli', 'used', 'APS', ' disappointed', '']")</f>
        <v>['Genesis',' buy ',' pulse ',' unexpected ',' exhausted ',' use ',' non ',' package ',' pulses', 'neli', 'used', 'APS', ' disappointed', '']</v>
      </c>
      <c r="D18677" s="3">
        <v>5.0</v>
      </c>
    </row>
    <row r="18678" ht="15.75" customHeight="1">
      <c r="A18678" s="1">
        <v>19857.0</v>
      </c>
      <c r="B18678" s="3" t="s">
        <v>17674</v>
      </c>
      <c r="C18678" s="3" t="str">
        <f>IFERROR(__xludf.DUMMYFUNCTION("GOOGLETRANSLATE(B18678,""id"",""en"")"),"['Opened', 'White', 'Screen']")</f>
        <v>['Opened', 'White', 'Screen']</v>
      </c>
      <c r="D18678" s="3">
        <v>1.0</v>
      </c>
    </row>
    <row r="18679" ht="15.75" customHeight="1">
      <c r="A18679" s="1">
        <v>19858.0</v>
      </c>
      <c r="B18679" s="3" t="s">
        <v>3780</v>
      </c>
      <c r="C18679" s="3" t="str">
        <f>IFERROR(__xludf.DUMMYFUNCTION("GOOGLETRANSLATE(B18679,""id"",""en"")"),"['APK', 'opened', '']")</f>
        <v>['APK', 'opened', '']</v>
      </c>
      <c r="D18679" s="3">
        <v>1.0</v>
      </c>
    </row>
    <row r="18680" ht="15.75" customHeight="1">
      <c r="A18680" s="1">
        <v>19860.0</v>
      </c>
      <c r="B18680" s="3" t="s">
        <v>17675</v>
      </c>
      <c r="C18680" s="3" t="str">
        <f>IFERROR(__xludf.DUMMYFUNCTION("GOOGLETRANSLATE(B18680,""id"",""en"")"),"['Please', 'Sinyal', 'Fix', 'Yesterday', 'Signal', 'Mulu', 'Bad', 'card', 'repay', 'Move', 'Provider', 'Tuma', ' package ',' expensive ',' signal ',' potato ',' bad ',' mending ',' closed ',' his shop ',' useful ',' different ',' ama ',' card ',' tri ' , "&amp;"'expensive', 'signal', 'kenceng']")</f>
        <v>['Please', 'Sinyal', 'Fix', 'Yesterday', 'Signal', 'Mulu', 'Bad', 'card', 'repay', 'Move', 'Provider', 'Tuma', ' package ',' expensive ',' signal ',' potato ',' bad ',' mending ',' closed ',' his shop ',' useful ',' different ',' ama ',' card ',' tri ' , 'expensive', 'signal', 'kenceng']</v>
      </c>
      <c r="D18680" s="3">
        <v>1.0</v>
      </c>
    </row>
    <row r="18681" ht="15.75" customHeight="1">
      <c r="A18681" s="1">
        <v>19861.0</v>
      </c>
      <c r="B18681" s="3" t="s">
        <v>17676</v>
      </c>
      <c r="C18681" s="3" t="str">
        <f>IFERROR(__xludf.DUMMYFUNCTION("GOOGLETRANSLATE(B18681,""id"",""en"")"),"['hope', 'package', 'increase', 'cheap', 'thank', 'love', 'just', 'network', 'Telkomsel', 'ngak', 'good', 'hope', ' Telkomsel ',' pay attention ',' problem ',' as soon as possible, 'tuk', 'comfort', 'consumer', ""]")</f>
        <v>['hope', 'package', 'increase', 'cheap', 'thank', 'love', 'just', 'network', 'Telkomsel', 'ngak', 'good', 'hope', ' Telkomsel ',' pay attention ',' problem ',' as soon as possible, 'tuk', 'comfort', 'consumer', "]</v>
      </c>
      <c r="D18681" s="3">
        <v>5.0</v>
      </c>
    </row>
    <row r="18682" ht="15.75" customHeight="1">
      <c r="A18682" s="1">
        <v>19863.0</v>
      </c>
      <c r="B18682" s="3" t="s">
        <v>17677</v>
      </c>
      <c r="C18682" s="3" t="str">
        <f>IFERROR(__xludf.DUMMYFUNCTION("GOOGLETRANSLATE(B18682,""id"",""en"")"),"['hope', 'Lottery']")</f>
        <v>['hope', 'Lottery']</v>
      </c>
      <c r="D18682" s="3">
        <v>5.0</v>
      </c>
    </row>
    <row r="18683" ht="15.75" customHeight="1">
      <c r="A18683" s="1">
        <v>19864.0</v>
      </c>
      <c r="B18683" s="3" t="s">
        <v>17678</v>
      </c>
      <c r="C18683" s="3" t="str">
        <f>IFERROR(__xludf.DUMMYFUNCTION("GOOGLETRANSLATE(B18683,""id"",""en"")"),"['Severe', 'Telkomsel', 'Package', 'Unlimitid', 'YouTube', 'Disappointed', 'Skrang', 'PDAL', 'Diligent', 'subscription']")</f>
        <v>['Severe', 'Telkomsel', 'Package', 'Unlimitid', 'YouTube', 'Disappointed', 'Skrang', 'PDAL', 'Diligent', 'subscription']</v>
      </c>
      <c r="D18683" s="3">
        <v>1.0</v>
      </c>
    </row>
    <row r="18684" ht="15.75" customHeight="1">
      <c r="A18684" s="1">
        <v>19865.0</v>
      </c>
      <c r="B18684" s="3" t="s">
        <v>17679</v>
      </c>
      <c r="C18684" s="3" t="str">
        <f>IFERROR(__xludf.DUMMYFUNCTION("GOOGLETRANSLATE(B18684,""id"",""en"")"),"['Unlimited', 'transact', 'anything', 'smooth', '']")</f>
        <v>['Unlimited', 'transact', 'anything', 'smooth', '']</v>
      </c>
      <c r="D18684" s="3">
        <v>5.0</v>
      </c>
    </row>
    <row r="18685" ht="15.75" customHeight="1">
      <c r="A18685" s="1">
        <v>19866.0</v>
      </c>
      <c r="B18685" s="3" t="s">
        <v>17680</v>
      </c>
      <c r="C18685" s="3" t="str">
        <f>IFERROR(__xludf.DUMMYFUNCTION("GOOGLETRANSLATE(B18685,""id"",""en"")"),"['woi', 'napa', 'telekomsel', 'kagak', 'open', '']")</f>
        <v>['woi', 'napa', 'telekomsel', 'kagak', 'open', '']</v>
      </c>
      <c r="D18685" s="3">
        <v>1.0</v>
      </c>
    </row>
    <row r="18686" ht="15.75" customHeight="1">
      <c r="A18686" s="1">
        <v>19867.0</v>
      </c>
      <c r="B18686" s="3" t="s">
        <v>17681</v>
      </c>
      <c r="C18686" s="3" t="str">
        <f>IFERROR(__xludf.DUMMYFUNCTION("GOOGLETRANSLATE(B18686,""id"",""en"")"),"['Telkomsel', 'Cool']")</f>
        <v>['Telkomsel', 'Cool']</v>
      </c>
      <c r="D18686" s="3">
        <v>5.0</v>
      </c>
    </row>
    <row r="18687" ht="15.75" customHeight="1">
      <c r="A18687" s="1">
        <v>19868.0</v>
      </c>
      <c r="B18687" s="3" t="s">
        <v>17682</v>
      </c>
      <c r="C18687" s="3" t="str">
        <f>IFERROR(__xludf.DUMMYFUNCTION("GOOGLETRANSLATE(B18687,""id"",""en"")"),"['boss',' signal ',' sympathy ',' good ',' rich ',' move ',' card ',' bln ',' signal ',' sympathy ',' slow ',' Severe ',' boss', 'diem', 'thank you', 'explanation']")</f>
        <v>['boss',' signal ',' sympathy ',' good ',' rich ',' move ',' card ',' bln ',' signal ',' sympathy ',' slow ',' Severe ',' boss', 'diem', 'thank you', 'explanation']</v>
      </c>
      <c r="D18687" s="3">
        <v>1.0</v>
      </c>
    </row>
    <row r="18688" ht="15.75" customHeight="1">
      <c r="A18688" s="1">
        <v>19869.0</v>
      </c>
      <c r="B18688" s="3" t="s">
        <v>17683</v>
      </c>
      <c r="C18688" s="3" t="str">
        <f>IFERROR(__xludf.DUMMYFUNCTION("GOOGLETRANSLATE(B18688,""id"",""en"")"),"['Thank you', 'quota', 'Free', '']")</f>
        <v>['Thank you', 'quota', 'Free', '']</v>
      </c>
      <c r="D18688" s="3">
        <v>5.0</v>
      </c>
    </row>
    <row r="18689" ht="15.75" customHeight="1">
      <c r="A18689" s="1">
        <v>19870.0</v>
      </c>
      <c r="B18689" s="3" t="s">
        <v>15899</v>
      </c>
      <c r="C18689" s="3" t="str">
        <f>IFERROR(__xludf.DUMMYFUNCTION("GOOGLETRANSLATE(B18689,""id"",""en"")"),"['Steady', 'Telkomsel']")</f>
        <v>['Steady', 'Telkomsel']</v>
      </c>
      <c r="D18689" s="3">
        <v>5.0</v>
      </c>
    </row>
    <row r="18690" ht="15.75" customHeight="1">
      <c r="A18690" s="1">
        <v>19871.0</v>
      </c>
      <c r="B18690" s="3" t="s">
        <v>9220</v>
      </c>
      <c r="C18690" s="3" t="str">
        <f>IFERROR(__xludf.DUMMYFUNCTION("GOOGLETRANSLATE(B18690,""id"",""en"")"),"['Steady', 'easy']")</f>
        <v>['Steady', 'easy']</v>
      </c>
      <c r="D18690" s="3">
        <v>5.0</v>
      </c>
    </row>
    <row r="18691" ht="15.75" customHeight="1">
      <c r="A18691" s="1">
        <v>19872.0</v>
      </c>
      <c r="B18691" s="3" t="s">
        <v>17684</v>
      </c>
      <c r="C18691" s="3" t="str">
        <f>IFERROR(__xludf.DUMMYFUNCTION("GOOGLETRANSLATE(B18691,""id"",""en"")"),"['Signal', 'SLL', 'Optimal']")</f>
        <v>['Signal', 'SLL', 'Optimal']</v>
      </c>
      <c r="D18691" s="3">
        <v>5.0</v>
      </c>
    </row>
    <row r="18692" ht="15.75" customHeight="1">
      <c r="A18692" s="1">
        <v>19873.0</v>
      </c>
      <c r="B18692" s="3" t="s">
        <v>17685</v>
      </c>
      <c r="C18692" s="3" t="str">
        <f>IFERROR(__xludf.DUMMYFUNCTION("GOOGLETRANSLATE(B18692,""id"",""en"")"),"['times', 'nyedot', 'pulse', 'silent', 'min', 'emang', 'pulse', 'stay', 'tasty', 'ajaaa', 'look "",' pulse ',' Like ',' It's', 'min', 'money', 'difficult', 'skrang', 'less',' like ',' that's', 'min', 'times',' already ',' many ' , 'like this']")</f>
        <v>['times', 'nyedot', 'pulse', 'silent', 'min', 'emang', 'pulse', 'stay', 'tasty', 'ajaaa', 'look ",' pulse ',' Like ',' It's', 'min', 'money', 'difficult', 'skrang', 'less',' like ',' that's', 'min', 'times',' already ',' many ' , 'like this']</v>
      </c>
      <c r="D18692" s="3">
        <v>1.0</v>
      </c>
    </row>
    <row r="18693" ht="15.75" customHeight="1">
      <c r="A18693" s="1">
        <v>19875.0</v>
      </c>
      <c r="B18693" s="3" t="s">
        <v>17686</v>
      </c>
      <c r="C18693" s="3" t="str">
        <f>IFERROR(__xludf.DUMMYFUNCTION("GOOGLETRANSLATE(B18693,""id"",""en"")"),"['waaaah', 'service', 'Telkomsel', 'good', ""]")</f>
        <v>['waaaah', 'service', 'Telkomsel', 'good', "]</v>
      </c>
      <c r="D18693" s="3">
        <v>5.0</v>
      </c>
    </row>
    <row r="18694" ht="15.75" customHeight="1">
      <c r="A18694" s="1">
        <v>19876.0</v>
      </c>
      <c r="B18694" s="3" t="s">
        <v>17687</v>
      </c>
      <c r="C18694" s="3" t="str">
        <f>IFERROR(__xludf.DUMMYFUNCTION("GOOGLETRANSLATE(B18694,""id"",""en"")"),"['Data', 'Forgot', 'Activate', 'Telkomsel', 'Like', 'Maling', 'Credit', 'Defeated', 'Abis', 'Luh', ""]")</f>
        <v>['Data', 'Forgot', 'Activate', 'Telkomsel', 'Like', 'Maling', 'Credit', 'Defeated', 'Abis', 'Luh', "]</v>
      </c>
      <c r="D18694" s="3">
        <v>1.0</v>
      </c>
    </row>
    <row r="18695" ht="15.75" customHeight="1">
      <c r="A18695" s="1">
        <v>19878.0</v>
      </c>
      <c r="B18695" s="3" t="s">
        <v>17688</v>
      </c>
      <c r="C18695" s="3" t="str">
        <f>IFERROR(__xludf.DUMMYFUNCTION("GOOGLETRANSLATE(B18695,""id"",""en"")"),"['satisfying', 'times', 'open', 'APL', 'TEL', 'ngak', 'trims']")</f>
        <v>['satisfying', 'times', 'open', 'APL', 'TEL', 'ngak', 'trims']</v>
      </c>
      <c r="D18695" s="3">
        <v>1.0</v>
      </c>
    </row>
    <row r="18696" ht="15.75" customHeight="1">
      <c r="A18696" s="1">
        <v>19879.0</v>
      </c>
      <c r="B18696" s="3" t="s">
        <v>17689</v>
      </c>
      <c r="C18696" s="3" t="str">
        <f>IFERROR(__xludf.DUMMYFUNCTION("GOOGLETRANSLATE(B18696,""id"",""en"")"),"['Bru', 'Download', 'Nggk', 'Bgus', 'Nggk', 'APK', '']")</f>
        <v>['Bru', 'Download', 'Nggk', 'Bgus', 'Nggk', 'APK', '']</v>
      </c>
      <c r="D18696" s="3">
        <v>3.0</v>
      </c>
    </row>
    <row r="18697" ht="15.75" customHeight="1">
      <c r="A18697" s="1">
        <v>19880.0</v>
      </c>
      <c r="B18697" s="3" t="s">
        <v>17690</v>
      </c>
      <c r="C18697" s="3" t="str">
        <f>IFERROR(__xludf.DUMMYFUNCTION("GOOGLETRANSLATE(B18697,""id"",""en"")"),"['Package', 'Gacha', 'signal', 'free', 'Males',' Bener ',' Benerin ',' COK ',' Sinyal ',' Gaenak ',' Maen ',' Game ',' Like ',' lag ',' lag ',' mulu ',' ping ',' mulu ',' udh ',' so ',' nnton ',' like ',' loading ',' mulu ',' pke ' , 'Current', 'Jaya', 'T"&amp;"elkom', 'mulempm', 'told', 'Nge', 'Twit', 'Benerin', 'Jan', 'bnyak', 'aiman', 'bet']")</f>
        <v>['Package', 'Gacha', 'signal', 'free', 'Males',' Bener ',' Benerin ',' COK ',' Sinyal ',' Gaenak ',' Maen ',' Game ',' Like ',' lag ',' lag ',' mulu ',' ping ',' mulu ',' udh ',' so ',' nnton ',' like ',' loading ',' mulu ',' pke ' , 'Current', 'Jaya', 'Telkom', 'mulempm', 'told', 'Nge', 'Twit', 'Benerin', 'Jan', 'bnyak', 'aiman', 'bet']</v>
      </c>
      <c r="D18697" s="3">
        <v>1.0</v>
      </c>
    </row>
    <row r="18698" ht="15.75" customHeight="1">
      <c r="A18698" s="1">
        <v>19881.0</v>
      </c>
      <c r="B18698" s="3" t="s">
        <v>17691</v>
      </c>
      <c r="C18698" s="3" t="str">
        <f>IFERROR(__xludf.DUMMYFUNCTION("GOOGLETRANSLATE(B18698,""id"",""en"")"),"['network', 'signal', 'fast', 'signal', 'area', 'remote']")</f>
        <v>['network', 'signal', 'fast', 'signal', 'area', 'remote']</v>
      </c>
      <c r="D18698" s="3">
        <v>3.0</v>
      </c>
    </row>
    <row r="18699" ht="15.75" customHeight="1">
      <c r="A18699" s="1">
        <v>19882.0</v>
      </c>
      <c r="B18699" s="3" t="s">
        <v>17692</v>
      </c>
      <c r="C18699" s="3" t="str">
        <f>IFERROR(__xludf.DUMMYFUNCTION("GOOGLETRANSLATE(B18699,""id"",""en"")"),"['Charges', 'easy', 'purchase', 'package', 'internet']")</f>
        <v>['Charges', 'easy', 'purchase', 'package', 'internet']</v>
      </c>
      <c r="D18699" s="3">
        <v>4.0</v>
      </c>
    </row>
    <row r="18700" ht="15.75" customHeight="1">
      <c r="A18700" s="1">
        <v>19883.0</v>
      </c>
      <c r="B18700" s="3" t="s">
        <v>17693</v>
      </c>
      <c r="C18700" s="3" t="str">
        <f>IFERROR(__xludf.DUMMYFUNCTION("GOOGLETRANSLATE(B18700,""id"",""en"")"),"['What', 'complain', 'BNG', 'already', 'buy', 'payment', 'package', 'enter', 'promo', 'package', 'response', 'ugly', ' really ',' fast ',' responsive ',' signal ',' like ',' down ',' ']")</f>
        <v>['What', 'complain', 'BNG', 'already', 'buy', 'payment', 'package', 'enter', 'promo', 'package', 'response', 'ugly', ' really ',' fast ',' responsive ',' signal ',' like ',' down ',' ']</v>
      </c>
      <c r="D18700" s="3">
        <v>2.0</v>
      </c>
    </row>
    <row r="18701" ht="15.75" customHeight="1">
      <c r="A18701" s="1">
        <v>19884.0</v>
      </c>
      <c r="B18701" s="3" t="s">
        <v>17694</v>
      </c>
      <c r="C18701" s="3" t="str">
        <f>IFERROR(__xludf.DUMMYFUNCTION("GOOGLETRANSLATE(B18701,""id"",""en"")"),"['internet', 'pulse', 'please', 'deleted', 'fill in', 'pulse', 'like', 'forget', 'already', 'cheek', 'sometimes',' sometimes', ' package ',' pulse ',' tetep ',' cheek ']")</f>
        <v>['internet', 'pulse', 'please', 'deleted', 'fill in', 'pulse', 'like', 'forget', 'already', 'cheek', 'sometimes',' sometimes', ' package ',' pulse ',' tetep ',' cheek ']</v>
      </c>
      <c r="D18701" s="3">
        <v>2.0</v>
      </c>
    </row>
    <row r="18702" ht="15.75" customHeight="1">
      <c r="A18702" s="1">
        <v>19885.0</v>
      </c>
      <c r="B18702" s="3" t="s">
        <v>17695</v>
      </c>
      <c r="C18702" s="3" t="str">
        <f>IFERROR(__xludf.DUMMYFUNCTION("GOOGLETRANSLATE(B18702,""id"",""en"")"),"['MAIN', 'MOBILE', 'LEGENDS', 'NART', 'NETWORK', 'PEAH', 'VICT', 'PACKAGE', 'REPLACED', 'QUALITY', 'Network', 'Rotten', ' Stayed ',' City ',' Bogor ',' Segini ',' Sousal ',' Rotten ', ""]")</f>
        <v>['MAIN', 'MOBILE', 'LEGENDS', 'NART', 'NETWORK', 'PEAH', 'VICT', 'PACKAGE', 'REPLACED', 'QUALITY', 'Network', 'Rotten', ' Stayed ',' City ',' Bogor ',' Segini ',' Sousal ',' Rotten ', "]</v>
      </c>
      <c r="D18702" s="3">
        <v>1.0</v>
      </c>
    </row>
    <row r="18703" ht="15.75" customHeight="1">
      <c r="A18703" s="1">
        <v>19887.0</v>
      </c>
      <c r="B18703" s="3" t="s">
        <v>17696</v>
      </c>
      <c r="C18703" s="3" t="str">
        <f>IFERROR(__xludf.DUMMYFUNCTION("GOOGLETRANSLATE(B18703,""id"",""en"")"),"['Liat', 'slow', 'tick', 'tok', 'slow', 'play', 'game', 'like', 'broken', 'that's',' pulses', 'buy', ' Bang ',' Money ',' Easy ',' Out ',' Quota ',' Bangs', ""]")</f>
        <v>['Liat', 'slow', 'tick', 'tok', 'slow', 'play', 'game', 'like', 'broken', 'that's',' pulses', 'buy', ' Bang ',' Money ',' Easy ',' Out ',' Quota ',' Bangs', "]</v>
      </c>
      <c r="D18703" s="3">
        <v>1.0</v>
      </c>
    </row>
    <row r="18704" ht="15.75" customHeight="1">
      <c r="A18704" s="1">
        <v>19888.0</v>
      </c>
      <c r="B18704" s="3" t="s">
        <v>17697</v>
      </c>
      <c r="C18704" s="3" t="str">
        <f>IFERROR(__xludf.DUMMYFUNCTION("GOOGLETRANSLATE(B18704,""id"",""en"")"),"['Cool', 'expensive']")</f>
        <v>['Cool', 'expensive']</v>
      </c>
      <c r="D18704" s="3">
        <v>5.0</v>
      </c>
    </row>
    <row r="18705" ht="15.75" customHeight="1">
      <c r="A18705" s="1">
        <v>19889.0</v>
      </c>
      <c r="B18705" s="3" t="s">
        <v>3275</v>
      </c>
      <c r="C18705" s="3" t="str">
        <f>IFERROR(__xludf.DUMMYFUNCTION("GOOGLETRANSLATE(B18705,""id"",""en"")"),"['Mantap', 'promo']")</f>
        <v>['Mantap', 'promo']</v>
      </c>
      <c r="D18705" s="3">
        <v>5.0</v>
      </c>
    </row>
    <row r="18706" ht="15.75" customHeight="1">
      <c r="A18706" s="1">
        <v>19890.0</v>
      </c>
      <c r="B18706" s="3" t="s">
        <v>17698</v>
      </c>
      <c r="C18706" s="3" t="str">
        <f>IFERROR(__xludf.DUMMYFUNCTION("GOOGLETRANSLATE(B18706,""id"",""en"")"),"['Application', 'Open', 'Update', 'Developer', '']")</f>
        <v>['Application', 'Open', 'Update', 'Developer', '']</v>
      </c>
      <c r="D18706" s="3">
        <v>1.0</v>
      </c>
    </row>
    <row r="18707" ht="15.75" customHeight="1">
      <c r="A18707" s="1">
        <v>19891.0</v>
      </c>
      <c r="B18707" s="3" t="s">
        <v>17699</v>
      </c>
      <c r="C18707" s="3" t="str">
        <f>IFERROR(__xludf.DUMMYFUNCTION("GOOGLETRANSLATE(B18707,""id"",""en"")"),"['Open', 'apk', 'gabisa', 'screen', 'white', 'check', 'package', '']")</f>
        <v>['Open', 'apk', 'gabisa', 'screen', 'white', 'check', 'package', '']</v>
      </c>
      <c r="D18707" s="3">
        <v>1.0</v>
      </c>
    </row>
    <row r="18708" ht="15.75" customHeight="1">
      <c r="A18708" s="1">
        <v>19892.0</v>
      </c>
      <c r="B18708" s="3" t="s">
        <v>17700</v>
      </c>
      <c r="C18708" s="3" t="str">
        <f>IFERROR(__xludf.DUMMYFUNCTION("GOOGLETRANSLATE(B18708,""id"",""en"")"),"['Application', 'Corruption', 'Buy', 'Package', 'YouTube', 'Unlimited', 'Quota', 'Main', 'Sumpot', 'Mouse', 'Mouse', 'Office']")</f>
        <v>['Application', 'Corruption', 'Buy', 'Package', 'YouTube', 'Unlimited', 'Quota', 'Main', 'Sumpot', 'Mouse', 'Mouse', 'Office']</v>
      </c>
      <c r="D18708" s="3">
        <v>1.0</v>
      </c>
    </row>
    <row r="18709" ht="15.75" customHeight="1">
      <c r="A18709" s="1">
        <v>19895.0</v>
      </c>
      <c r="B18709" s="3" t="s">
        <v>17701</v>
      </c>
      <c r="C18709" s="3" t="str">
        <f>IFERROR(__xludf.DUMMYFUNCTION("GOOGLETRANSLATE(B18709,""id"",""en"")"),"['Please', 'Updated', 'Application', 'Tida', 'Opened', 'Blank', 'White', ""]")</f>
        <v>['Please', 'Updated', 'Application', 'Tida', 'Opened', 'Blank', 'White', "]</v>
      </c>
      <c r="D18709" s="3">
        <v>1.0</v>
      </c>
    </row>
    <row r="18710" ht="15.75" customHeight="1">
      <c r="A18710" s="1">
        <v>19896.0</v>
      </c>
      <c r="B18710" s="3" t="s">
        <v>17702</v>
      </c>
      <c r="C18710" s="3" t="str">
        <f>IFERROR(__xludf.DUMMYFUNCTION("GOOGLETRANSLATE(B18710,""id"",""en"")"),"['buy', 'credit', 'rb', 'made', 'package', 'quota', 'reduced', 'pulses',' open ',' apk ',' telkomsel ',' regret ',' Telkomsel ',' requested ',' Telkomsel ',' Features', 'Data', 'Life', 'Package', 'Quota', 'Sucked', 'Out', ""]")</f>
        <v>['buy', 'credit', 'rb', 'made', 'package', 'quota', 'reduced', 'pulses',' open ',' apk ',' telkomsel ',' regret ',' Telkomsel ',' requested ',' Telkomsel ',' Features', 'Data', 'Life', 'Package', 'Quota', 'Sucked', 'Out', "]</v>
      </c>
      <c r="D18710" s="3">
        <v>1.0</v>
      </c>
    </row>
    <row r="18711" ht="15.75" customHeight="1">
      <c r="A18711" s="1">
        <v>19897.0</v>
      </c>
      <c r="B18711" s="3" t="s">
        <v>17703</v>
      </c>
      <c r="C18711" s="3" t="str">
        <f>IFERROR(__xludf.DUMMYFUNCTION("GOOGLETRANSLATE(B18711,""id"",""en"")"),"['update', 'version', 'the latest', 'can', 'blank', 'screen', '']")</f>
        <v>['update', 'version', 'the latest', 'can', 'blank', 'screen', '']</v>
      </c>
      <c r="D18711" s="3">
        <v>2.0</v>
      </c>
    </row>
    <row r="18712" ht="15.75" customHeight="1">
      <c r="A18712" s="1">
        <v>19898.0</v>
      </c>
      <c r="B18712" s="3" t="s">
        <v>17704</v>
      </c>
      <c r="C18712" s="3" t="str">
        <f>IFERROR(__xludf.DUMMYFUNCTION("GOOGLETRANSLATE(B18712,""id"",""en"")"),"['hope', 'win', 'Allah']")</f>
        <v>['hope', 'win', 'Allah']</v>
      </c>
      <c r="D18712" s="3">
        <v>5.0</v>
      </c>
    </row>
    <row r="18713" ht="15.75" customHeight="1">
      <c r="A18713" s="1">
        <v>19899.0</v>
      </c>
      <c r="B18713" s="3" t="s">
        <v>17705</v>
      </c>
      <c r="C18713" s="3" t="str">
        <f>IFERROR(__xludf.DUMMYFUNCTION("GOOGLETRANSLATE(B18713,""id"",""en"")"),"['Please', 'Telkomsel', 'Ngeblank', 'Screen', 'White', 'No', 'Credit', 'Quota', 'Udh', 'Try', 'Delete', 'Data', ' Uninstall ',' ']")</f>
        <v>['Please', 'Telkomsel', 'Ngeblank', 'Screen', 'White', 'No', 'Credit', 'Quota', 'Udh', 'Try', 'Delete', 'Data', ' Uninstall ',' ']</v>
      </c>
      <c r="D18713" s="3">
        <v>2.0</v>
      </c>
    </row>
    <row r="18714" ht="15.75" customHeight="1">
      <c r="A18714" s="1">
        <v>19900.0</v>
      </c>
      <c r="B18714" s="3" t="s">
        <v>17706</v>
      </c>
      <c r="C18714" s="3" t="str">
        <f>IFERROR(__xludf.DUMMYFUNCTION("GOOGLETRANSLATE(B18714,""id"",""en"")"),"['Please', 'Telkomsel', 'White', 'Open', '']")</f>
        <v>['Please', 'Telkomsel', 'White', 'Open', '']</v>
      </c>
      <c r="D18714" s="3">
        <v>1.0</v>
      </c>
    </row>
    <row r="18715" ht="15.75" customHeight="1">
      <c r="A18715" s="1">
        <v>19901.0</v>
      </c>
      <c r="B18715" s="3" t="s">
        <v>4921</v>
      </c>
      <c r="C18715" s="3" t="str">
        <f>IFERROR(__xludf.DUMMYFUNCTION("GOOGLETRANSLATE(B18715,""id"",""en"")"),"['Open', 'Telkomsel']")</f>
        <v>['Open', 'Telkomsel']</v>
      </c>
      <c r="D18715" s="3">
        <v>5.0</v>
      </c>
    </row>
    <row r="18716" ht="15.75" customHeight="1">
      <c r="A18716" s="1">
        <v>19902.0</v>
      </c>
      <c r="B18716" s="3" t="s">
        <v>17707</v>
      </c>
      <c r="C18716" s="3" t="str">
        <f>IFERROR(__xludf.DUMMYFUNCTION("GOOGLETRANSLATE(B18716,""id"",""en"")"),"['A ',' APP ',' MyTelkomsel ',' Sya ',' Yesterday ',' Nge ',' Blank ',' White ',' Try ',' Uninstall ',' Install ',' blank ',' White ',' obstacles', 'haha']")</f>
        <v>['A ',' APP ',' MyTelkomsel ',' Sya ',' Yesterday ',' Nge ',' Blank ',' White ',' Try ',' Uninstall ',' Install ',' blank ',' White ',' obstacles', 'haha']</v>
      </c>
      <c r="D18716" s="3">
        <v>3.0</v>
      </c>
    </row>
    <row r="18717" ht="15.75" customHeight="1">
      <c r="A18717" s="1">
        <v>19903.0</v>
      </c>
      <c r="B18717" s="3" t="s">
        <v>17708</v>
      </c>
      <c r="C18717" s="3" t="str">
        <f>IFERROR(__xludf.DUMMYFUNCTION("GOOGLETRANSLATE(B18717,""id"",""en"")"),"['quota', 'unlimited', 'hri']")</f>
        <v>['quota', 'unlimited', 'hri']</v>
      </c>
      <c r="D18717" s="3">
        <v>5.0</v>
      </c>
    </row>
    <row r="18718" ht="15.75" customHeight="1">
      <c r="A18718" s="1">
        <v>19904.0</v>
      </c>
      <c r="B18718" s="3" t="s">
        <v>17709</v>
      </c>
      <c r="C18718" s="3" t="str">
        <f>IFERROR(__xludf.DUMMYFUNCTION("GOOGLETRANSLATE(B18718,""id"",""en"")"),"['Help', 'buy', 'quota', 'easy']")</f>
        <v>['Help', 'buy', 'quota', 'easy']</v>
      </c>
      <c r="D18718" s="3">
        <v>5.0</v>
      </c>
    </row>
    <row r="18719" ht="15.75" customHeight="1">
      <c r="A18719" s="1">
        <v>19905.0</v>
      </c>
      <c r="B18719" s="3" t="s">
        <v>17710</v>
      </c>
      <c r="C18719" s="3" t="str">
        <f>IFERROR(__xludf.DUMMYFUNCTION("GOOGLETRANSLATE(B18719,""id"",""en"")"),"['Telkomsel', 'Anih', 'Fill', 'Credit', 'Cut', 'Nambah', 'Cut', 'Add', 'Shoot', 'Quota', 'Credit', 'Remnant', ' pulses', 'shoot', 'quota', 'leftover', 'koq', 'where', 'run']")</f>
        <v>['Telkomsel', 'Anih', 'Fill', 'Credit', 'Cut', 'Nambah', 'Cut', 'Add', 'Shoot', 'Quota', 'Credit', 'Remnant', ' pulses', 'shoot', 'quota', 'leftover', 'koq', 'where', 'run']</v>
      </c>
      <c r="D18719" s="3">
        <v>1.0</v>
      </c>
    </row>
    <row r="18720" ht="15.75" customHeight="1">
      <c r="A18720" s="1">
        <v>19906.0</v>
      </c>
      <c r="B18720" s="3" t="s">
        <v>17711</v>
      </c>
      <c r="C18720" s="3" t="str">
        <f>IFERROR(__xludf.DUMMYFUNCTION("GOOGLETRANSLATE(B18720,""id"",""en"")"),"['price', 'package', 'internet', 'combo', 'unlimited', 'expensive']")</f>
        <v>['price', 'package', 'internet', 'combo', 'unlimited', 'expensive']</v>
      </c>
      <c r="D18720" s="3">
        <v>3.0</v>
      </c>
    </row>
    <row r="18721" ht="15.75" customHeight="1">
      <c r="A18721" s="1">
        <v>19907.0</v>
      </c>
      <c r="B18721" s="3" t="s">
        <v>17712</v>
      </c>
      <c r="C18721" s="3" t="str">
        <f>IFERROR(__xludf.DUMMYFUNCTION("GOOGLETRANSLATE(B18721,""id"",""en"")"),"['Severe', 'really']")</f>
        <v>['Severe', 'really']</v>
      </c>
      <c r="D18721" s="3">
        <v>1.0</v>
      </c>
    </row>
    <row r="18722" ht="15.75" customHeight="1">
      <c r="A18722" s="1">
        <v>19908.0</v>
      </c>
      <c r="B18722" s="3" t="s">
        <v>17713</v>
      </c>
      <c r="C18722" s="3" t="str">
        <f>IFERROR(__xludf.DUMMYFUNCTION("GOOGLETRANSLATE(B18722,""id"",""en"")"),"['Kayak', 'Gini', 'Switch', 'Yellow', 'Blue', '']")</f>
        <v>['Kayak', 'Gini', 'Switch', 'Yellow', 'Blue', '']</v>
      </c>
      <c r="D18722" s="3">
        <v>1.0</v>
      </c>
    </row>
    <row r="18723" ht="15.75" customHeight="1">
      <c r="A18723" s="1">
        <v>19909.0</v>
      </c>
      <c r="B18723" s="3" t="s">
        <v>17714</v>
      </c>
      <c r="C18723" s="3" t="str">
        <f>IFERROR(__xludf.DUMMYFUNCTION("GOOGLETRANSLATE(B18723,""id"",""en"")"),"['Please', 'fix', 'min', 'application', 'use', 'difficult', 'buy', 'package']")</f>
        <v>['Please', 'fix', 'min', 'application', 'use', 'difficult', 'buy', 'package']</v>
      </c>
      <c r="D18723" s="3">
        <v>2.0</v>
      </c>
    </row>
    <row r="18724" ht="15.75" customHeight="1">
      <c r="A18724" s="1">
        <v>19910.0</v>
      </c>
      <c r="B18724" s="3" t="s">
        <v>17715</v>
      </c>
      <c r="C18724" s="3" t="str">
        <f>IFERROR(__xludf.DUMMYFUNCTION("GOOGLETRANSLATE(B18724,""id"",""en"")"),"['application', 'upgrade', 'disorder', 'price', 'package', 'network', 'error', ""]")</f>
        <v>['application', 'upgrade', 'disorder', 'price', 'package', 'network', 'error', "]</v>
      </c>
      <c r="D18724" s="3">
        <v>1.0</v>
      </c>
    </row>
    <row r="18725" ht="15.75" customHeight="1">
      <c r="A18725" s="1">
        <v>19911.0</v>
      </c>
      <c r="B18725" s="3" t="s">
        <v>17716</v>
      </c>
      <c r="C18725" s="3" t="str">
        <f>IFERROR(__xludf.DUMMYFUNCTION("GOOGLETRANSLATE(B18725,""id"",""en"")"),"['apakabar', 'gabisa', 'opened', 'really', 'haribini', 'December', '']")</f>
        <v>['apakabar', 'gabisa', 'opened', 'really', 'haribini', 'December', '']</v>
      </c>
      <c r="D18725" s="3">
        <v>3.0</v>
      </c>
    </row>
    <row r="18726" ht="15.75" customHeight="1">
      <c r="A18726" s="1">
        <v>19912.0</v>
      </c>
      <c r="B18726" s="3" t="s">
        <v>17717</v>
      </c>
      <c r="C18726" s="3" t="str">
        <f>IFERROR(__xludf.DUMMYFUNCTION("GOOGLETRANSLATE(B18726,""id"",""en"")"),"['setting', 'application', 'provided', 'mode', 'dark', 'okay', 'makasi']")</f>
        <v>['setting', 'application', 'provided', 'mode', 'dark', 'okay', 'makasi']</v>
      </c>
      <c r="D18726" s="3">
        <v>3.0</v>
      </c>
    </row>
    <row r="18727" ht="15.75" customHeight="1">
      <c r="A18727" s="1">
        <v>19913.0</v>
      </c>
      <c r="B18727" s="3" t="s">
        <v>17718</v>
      </c>
      <c r="C18727" s="3" t="str">
        <f>IFERROR(__xludf.DUMMYFUNCTION("GOOGLETRANSLATE(B18727,""id"",""en"")"),"['Trying', 'Calling', 'Costumer', 'Service', 'Telkomsel', 'Accept', 'Complete', 'Complains',' Mood ',' Sorry ',' Uninstall ',' Application ',' form ',' protest ',' Telkomsel ',' service ',' transparent ',' consumer ']")</f>
        <v>['Trying', 'Calling', 'Costumer', 'Service', 'Telkomsel', 'Accept', 'Complete', 'Complains',' Mood ',' Sorry ',' Uninstall ',' Application ',' form ',' protest ',' Telkomsel ',' service ',' transparent ',' consumer ']</v>
      </c>
      <c r="D18727" s="3">
        <v>1.0</v>
      </c>
    </row>
    <row r="18728" ht="15.75" customHeight="1">
      <c r="A18728" s="1">
        <v>19914.0</v>
      </c>
      <c r="B18728" s="3" t="s">
        <v>17719</v>
      </c>
      <c r="C18728" s="3" t="str">
        <f>IFERROR(__xludf.DUMMYFUNCTION("GOOGLETRANSLATE(B18728,""id"",""en"")"),"['Wear', 'pulse', 'Rp', 'access',' internet ',' non ',' package ',' check ',' quota ',' buy ',' package ',' tsel ',' Tsel ',' live ',' data ',' Open ',' MyTelkomsel ',' Direct ',' Cut ',' Plis', 'Jan', 'Direct', 'Cut', 'GTU', 'PDAHL' , 'Apain', 'buy', 'pa"&amp;"ckage', 'Add', 'Feature', 'Lock', 'Pulses',' Auto ',' Cut ',' Provider ',' AXIS ',' Amjink ',' indeed']")</f>
        <v>['Wear', 'pulse', 'Rp', 'access',' internet ',' non ',' package ',' check ',' quota ',' buy ',' package ',' tsel ',' Tsel ',' live ',' data ',' Open ',' MyTelkomsel ',' Direct ',' Cut ',' Plis', 'Jan', 'Direct', 'Cut', 'GTU', 'PDAHL' , 'Apain', 'buy', 'package', 'Add', 'Feature', 'Lock', 'Pulses',' Auto ',' Cut ',' Provider ',' AXIS ',' Amjink ',' indeed']</v>
      </c>
      <c r="D18728" s="3">
        <v>1.0</v>
      </c>
    </row>
    <row r="18729" ht="15.75" customHeight="1">
      <c r="A18729" s="1">
        <v>19915.0</v>
      </c>
      <c r="B18729" s="3" t="s">
        <v>17720</v>
      </c>
      <c r="C18729" s="3" t="str">
        <f>IFERROR(__xludf.DUMMYFUNCTION("GOOGLETRANSLATE(B18729,""id"",""en"")"),"['Please', 'repaired', 'Network', 'Telkomsel', 'Area', 'Kec', 'Percut', 'Sei', 'Seat', 'Kab', 'Deli', 'Serdang', ' North Sumatra ',' Area ',' Seambo ',' Ujung ',' The Community ',' Annual ',' Telkomsel ',' Network ',' Internet ',' Switch ',' Operator ',' "&amp;"Next ',' Report ' , 'Deberap', 'times',' prah ',' responded to ',' Telkomsel ',' Tel ',' Krna ',' dating ',' Customer ',' and then ',' sometimes', 'response', ' Network ',' Registered ',' Severe ',' ']")</f>
        <v>['Please', 'repaired', 'Network', 'Telkomsel', 'Area', 'Kec', 'Percut', 'Sei', 'Seat', 'Kab', 'Deli', 'Serdang', ' North Sumatra ',' Area ',' Seambo ',' Ujung ',' The Community ',' Annual ',' Telkomsel ',' Network ',' Internet ',' Switch ',' Operator ',' Next ',' Report ' , 'Deberap', 'times',' prah ',' responded to ',' Telkomsel ',' Tel ',' Krna ',' dating ',' Customer ',' and then ',' sometimes', 'response', ' Network ',' Registered ',' Severe ',' ']</v>
      </c>
      <c r="D18729" s="3">
        <v>1.0</v>
      </c>
    </row>
    <row r="18730" ht="15.75" customHeight="1">
      <c r="A18730" s="1">
        <v>19916.0</v>
      </c>
      <c r="B18730" s="3" t="s">
        <v>17721</v>
      </c>
      <c r="C18730" s="3" t="str">
        <f>IFERROR(__xludf.DUMMYFUNCTION("GOOGLETRANSLATE(B18730,""id"",""en"")"),"['Signal', 'Sometimes', 'good', 'sometimes', 'slow', 'slow', 'like', 'missing', 'signal', 'trimakasih']")</f>
        <v>['Signal', 'Sometimes', 'good', 'sometimes', 'slow', 'slow', 'like', 'missing', 'signal', 'trimakasih']</v>
      </c>
      <c r="D18730" s="3">
        <v>4.0</v>
      </c>
    </row>
    <row r="18731" ht="15.75" customHeight="1">
      <c r="A18731" s="1">
        <v>19917.0</v>
      </c>
      <c r="B18731" s="3" t="s">
        <v>17722</v>
      </c>
      <c r="C18731" s="3" t="str">
        <f>IFERROR(__xludf.DUMMYFUNCTION("GOOGLETRANSLATE(B18731,""id"",""en"")"),"['Seneng']")</f>
        <v>['Seneng']</v>
      </c>
      <c r="D18731" s="3">
        <v>5.0</v>
      </c>
    </row>
    <row r="18732" ht="15.75" customHeight="1">
      <c r="A18732" s="1">
        <v>19918.0</v>
      </c>
      <c r="B18732" s="3" t="s">
        <v>17723</v>
      </c>
      <c r="C18732" s="3" t="str">
        <f>IFERROR(__xludf.DUMMYFUNCTION("GOOGLETRANSLATE(B18732,""id"",""en"")"),"['knapa', 'app', 'Telkomsel', 'opened', 'UDH', 'brapa', 'msih', 'tetep', 'open']")</f>
        <v>['knapa', 'app', 'Telkomsel', 'opened', 'UDH', 'brapa', 'msih', 'tetep', 'open']</v>
      </c>
      <c r="D18732" s="3">
        <v>3.0</v>
      </c>
    </row>
    <row r="18733" ht="15.75" customHeight="1">
      <c r="A18733" s="1">
        <v>19919.0</v>
      </c>
      <c r="B18733" s="3" t="s">
        <v>17724</v>
      </c>
      <c r="C18733" s="3" t="str">
        <f>IFERROR(__xludf.DUMMYFUNCTION("GOOGLETRANSLATE(B18733,""id"",""en"")"),"['Login', 'MyTelkomsel', 'Why', '']")</f>
        <v>['Login', 'MyTelkomsel', 'Why', '']</v>
      </c>
      <c r="D18733" s="3">
        <v>3.0</v>
      </c>
    </row>
    <row r="18734" ht="15.75" customHeight="1">
      <c r="A18734" s="1">
        <v>19920.0</v>
      </c>
      <c r="B18734" s="3" t="s">
        <v>17725</v>
      </c>
      <c r="C18734" s="3" t="str">
        <f>IFERROR(__xludf.DUMMYFUNCTION("GOOGLETRANSLATE(B18734,""id"",""en"")"),"['Please', 'Amanah', '']")</f>
        <v>['Please', 'Amanah', '']</v>
      </c>
      <c r="D18734" s="3">
        <v>2.0</v>
      </c>
    </row>
    <row r="18735" ht="15.75" customHeight="1">
      <c r="A18735" s="1">
        <v>19921.0</v>
      </c>
      <c r="B18735" s="3" t="s">
        <v>17726</v>
      </c>
      <c r="C18735" s="3" t="str">
        <f>IFERROR(__xludf.DUMMYFUNCTION("GOOGLETRANSLATE(B18735,""id"",""en"")"),"['bug', 'update', 'ver', 'blank', 'color', 'white', 'version', 'update', ""]")</f>
        <v>['bug', 'update', 'ver', 'blank', 'color', 'white', 'version', 'update', "]</v>
      </c>
      <c r="D18735" s="3">
        <v>1.0</v>
      </c>
    </row>
    <row r="18736" ht="15.75" customHeight="1">
      <c r="A18736" s="1">
        <v>19922.0</v>
      </c>
      <c r="B18736" s="3" t="s">
        <v>17727</v>
      </c>
      <c r="C18736" s="3" t="str">
        <f>IFERROR(__xludf.DUMMYFUNCTION("GOOGLETRANSLATE(B18736,""id"",""en"")"),"['crazy', 'already', 'APK', 'open', 'ngeblank', 'already', 'update', 'already', 'reinstall', 'apk', 'bad']")</f>
        <v>['crazy', 'already', 'APK', 'open', 'ngeblank', 'already', 'update', 'already', 'reinstall', 'apk', 'bad']</v>
      </c>
      <c r="D18736" s="3">
        <v>1.0</v>
      </c>
    </row>
    <row r="18737" ht="15.75" customHeight="1">
      <c r="A18737" s="1">
        <v>19923.0</v>
      </c>
      <c r="B18737" s="3" t="s">
        <v>17728</v>
      </c>
      <c r="C18737" s="3" t="str">
        <f>IFERROR(__xludf.DUMMYFUNCTION("GOOGLETRANSLATE(B18737,""id"",""en"")"),"['Telkomsel', 'Network', 'ugly', 'malem', 'clock', 'samapau', 'clock', 'network', 'down', 'use', 'network', 'Telkomsel']")</f>
        <v>['Telkomsel', 'Network', 'ugly', 'malem', 'clock', 'samapau', 'clock', 'network', 'down', 'use', 'network', 'Telkomsel']</v>
      </c>
      <c r="D18737" s="3">
        <v>1.0</v>
      </c>
    </row>
    <row r="18738" ht="15.75" customHeight="1">
      <c r="A18738" s="1">
        <v>19924.0</v>
      </c>
      <c r="B18738" s="3" t="s">
        <v>17729</v>
      </c>
      <c r="C18738" s="3" t="str">
        <f>IFERROR(__xludf.DUMMYFUNCTION("GOOGLETRANSLATE(B18738,""id"",""en"")"),"['signal', 'ugly', 'severe', 'missing', 'staple', 'star', 'ugly', 'really', 'signal', 'telkom']")</f>
        <v>['signal', 'ugly', 'severe', 'missing', 'staple', 'star', 'ugly', 'really', 'signal', 'telkom']</v>
      </c>
      <c r="D18738" s="3">
        <v>1.0</v>
      </c>
    </row>
    <row r="18739" ht="15.75" customHeight="1">
      <c r="A18739" s="1">
        <v>19925.0</v>
      </c>
      <c r="B18739" s="3" t="s">
        <v>14098</v>
      </c>
      <c r="C18739" s="3" t="str">
        <f>IFERROR(__xludf.DUMMYFUNCTION("GOOGLETRANSLATE(B18739,""id"",""en"")"),"['Success', 'Telkomsel']")</f>
        <v>['Success', 'Telkomsel']</v>
      </c>
      <c r="D18739" s="3">
        <v>5.0</v>
      </c>
    </row>
    <row r="18740" ht="15.75" customHeight="1">
      <c r="A18740" s="1">
        <v>19926.0</v>
      </c>
      <c r="B18740" s="3" t="s">
        <v>17730</v>
      </c>
      <c r="C18740" s="3" t="str">
        <f>IFERROR(__xludf.DUMMYFUNCTION("GOOGLETRANSLATE(B18740,""id"",""en"")"),"['Sya', 'Open', 'Telkomsel', '']")</f>
        <v>['Sya', 'Open', 'Telkomsel', '']</v>
      </c>
      <c r="D18740" s="3">
        <v>3.0</v>
      </c>
    </row>
    <row r="18741" ht="15.75" customHeight="1">
      <c r="A18741" s="1">
        <v>19927.0</v>
      </c>
      <c r="B18741" s="3" t="s">
        <v>17731</v>
      </c>
      <c r="C18741" s="3" t="str">
        <f>IFERROR(__xludf.DUMMYFUNCTION("GOOGLETRANSLATE(B18741,""id"",""en"")"),"['Good', 'Sich', 'Telkomsel', 'Ribet', 'Check', 'Kouta', 'Mantap', 'Laah']")</f>
        <v>['Good', 'Sich', 'Telkomsel', 'Ribet', 'Check', 'Kouta', 'Mantap', 'Laah']</v>
      </c>
      <c r="D18741" s="3">
        <v>5.0</v>
      </c>
    </row>
    <row r="18742" ht="15.75" customHeight="1">
      <c r="A18742" s="1">
        <v>19928.0</v>
      </c>
      <c r="B18742" s="3" t="s">
        <v>17732</v>
      </c>
      <c r="C18742" s="3" t="str">
        <f>IFERROR(__xludf.DUMMYFUNCTION("GOOGLETRANSLATE(B18742,""id"",""en"")"),"['apk', 'update', 'open', 'blank', 'screen', 'white', 'turn', 'update', 'can', 'warning', 'right', 'already', ' Update ',' Ngblank ',' Gini ',' Please ',' System ',' Fix ',' All Old ',' Telkomsel ',' PNH ',' Open ',' APK ',' Lgsung ',' right ' , 'Read', '"&amp;"coment', 'blank', 'screen', 'white', 'just']")</f>
        <v>['apk', 'update', 'open', 'blank', 'screen', 'white', 'turn', 'update', 'can', 'warning', 'right', 'already', ' Update ',' Ngblank ',' Gini ',' Please ',' System ',' Fix ',' All Old ',' Telkomsel ',' PNH ',' Open ',' APK ',' Lgsung ',' right ' , 'Read', 'coment', 'blank', 'screen', 'white', 'just']</v>
      </c>
      <c r="D18742" s="3">
        <v>2.0</v>
      </c>
    </row>
    <row r="18743" ht="15.75" customHeight="1">
      <c r="A18743" s="1">
        <v>19929.0</v>
      </c>
      <c r="B18743" s="3" t="s">
        <v>17733</v>
      </c>
      <c r="C18743" s="3" t="str">
        <f>IFERROR(__xludf.DUMMYFUNCTION("GOOGLETRANSLATE(B18743,""id"",""en"")"),"['Updated', 'opened', 'page', 'white', 'please', 'donk', 'solution']")</f>
        <v>['Updated', 'opened', 'page', 'white', 'please', 'donk', 'solution']</v>
      </c>
      <c r="D18743" s="3">
        <v>3.0</v>
      </c>
    </row>
    <row r="18744" ht="15.75" customHeight="1">
      <c r="A18744" s="1">
        <v>19930.0</v>
      </c>
      <c r="B18744" s="3" t="s">
        <v>17734</v>
      </c>
      <c r="C18744" s="3" t="str">
        <f>IFERROR(__xludf.DUMMYFUNCTION("GOOGLETRANSLATE(B18744,""id"",""en"")"),"['signal', 'slow', 'kayak', 'taik', ""]")</f>
        <v>['signal', 'slow', 'kayak', 'taik', "]</v>
      </c>
      <c r="D18744" s="3">
        <v>1.0</v>
      </c>
    </row>
    <row r="18745" ht="15.75" customHeight="1">
      <c r="A18745" s="1">
        <v>19931.0</v>
      </c>
      <c r="B18745" s="3" t="s">
        <v>17735</v>
      </c>
      <c r="C18745" s="3" t="str">
        <f>IFERROR(__xludf.DUMMYFUNCTION("GOOGLETRANSLATE(B18745,""id"",""en"")"),"['Mantep', 'my APK']")</f>
        <v>['Mantep', 'my APK']</v>
      </c>
      <c r="D18745" s="3">
        <v>5.0</v>
      </c>
    </row>
    <row r="18746" ht="15.75" customHeight="1">
      <c r="A18746" s="1">
        <v>19932.0</v>
      </c>
      <c r="B18746" s="3" t="s">
        <v>17736</v>
      </c>
      <c r="C18746" s="3" t="str">
        <f>IFERROR(__xludf.DUMMYFUNCTION("GOOGLETRANSLATE(B18746,""id"",""en"")"),"['Star', 'Bintang', 'Application', 'Good', 'Darling', 'Update', 'Opened', 'Application', 'Disappointed', 'Telkomsel', 'Bye', 'Bye', ' Telkomsel ',' ']")</f>
        <v>['Star', 'Bintang', 'Application', 'Good', 'Darling', 'Update', 'Opened', 'Application', 'Disappointed', 'Telkomsel', 'Bye', 'Bye', ' Telkomsel ',' ']</v>
      </c>
      <c r="D18746" s="3">
        <v>1.0</v>
      </c>
    </row>
    <row r="18747" ht="15.75" customHeight="1">
      <c r="A18747" s="1">
        <v>19933.0</v>
      </c>
      <c r="B18747" s="3" t="s">
        <v>15150</v>
      </c>
      <c r="C18747" s="3" t="str">
        <f>IFERROR(__xludf.DUMMYFUNCTION("GOOGLETRANSLATE(B18747,""id"",""en"")"),"['Help', 'Thank you', ""]")</f>
        <v>['Help', 'Thank you', "]</v>
      </c>
      <c r="D18747" s="3">
        <v>5.0</v>
      </c>
    </row>
    <row r="18748" ht="15.75" customHeight="1">
      <c r="A18748" s="1">
        <v>19934.0</v>
      </c>
      <c r="B18748" s="3" t="s">
        <v>17737</v>
      </c>
      <c r="C18748" s="3" t="str">
        <f>IFERROR(__xludf.DUMMYFUNCTION("GOOGLETRANSLATE(B18748,""id"",""en"")"),"['', 'UDH', 'the application', 'UDH', 'update', 'until', 'alternating', 'shuth', 'download', 'surprised', 'explanation', 'gimna', 'the solution ']")</f>
        <v>['', 'UDH', 'the application', 'UDH', 'update', 'until', 'alternating', 'shuth', 'download', 'surprised', 'explanation', 'gimna', 'the solution ']</v>
      </c>
      <c r="D18748" s="3">
        <v>1.0</v>
      </c>
    </row>
    <row r="18749" ht="15.75" customHeight="1">
      <c r="A18749" s="1">
        <v>19935.0</v>
      </c>
      <c r="B18749" s="3" t="s">
        <v>17738</v>
      </c>
      <c r="C18749" s="3" t="str">
        <f>IFERROR(__xludf.DUMMYFUNCTION("GOOGLETRANSLATE(B18749,""id"",""en"")"),"['Gamau', 'opened']")</f>
        <v>['Gamau', 'opened']</v>
      </c>
      <c r="D18749" s="3">
        <v>1.0</v>
      </c>
    </row>
    <row r="18750" ht="15.75" customHeight="1">
      <c r="A18750" s="1">
        <v>19936.0</v>
      </c>
      <c r="B18750" s="3" t="s">
        <v>17739</v>
      </c>
      <c r="C18750" s="3" t="str">
        <f>IFERROR(__xludf.DUMMYFUNCTION("GOOGLETRANSLATE(B18750,""id"",""en"")"),"['App', 'Ngeblank', 'White', 'Fill', 'Quota', 'Gabisa', 'Please', 'Repaired', '']")</f>
        <v>['App', 'Ngeblank', 'White', 'Fill', 'Quota', 'Gabisa', 'Please', 'Repaired', '']</v>
      </c>
      <c r="D18750" s="3">
        <v>1.0</v>
      </c>
    </row>
    <row r="18751" ht="15.75" customHeight="1">
      <c r="A18751" s="1">
        <v>19937.0</v>
      </c>
      <c r="B18751" s="3" t="s">
        <v>17740</v>
      </c>
      <c r="C18751" s="3" t="str">
        <f>IFERROR(__xludf.DUMMYFUNCTION("GOOGLETRANSLATE(B18751,""id"",""en"")"),"['Buy', 'Package', 'Data', 'MyTelkomsel', 'CPT', 'Safe', 'Enter', 'APL', 'Slow', 'Loading', 'Hopefully', 'Can', ' CPT ',' FIRE ',' ']")</f>
        <v>['Buy', 'Package', 'Data', 'MyTelkomsel', 'CPT', 'Safe', 'Enter', 'APL', 'Slow', 'Loading', 'Hopefully', 'Can', ' CPT ',' FIRE ',' ']</v>
      </c>
      <c r="D18751" s="3">
        <v>5.0</v>
      </c>
    </row>
    <row r="18752" ht="15.75" customHeight="1">
      <c r="A18752" s="1">
        <v>19938.0</v>
      </c>
      <c r="B18752" s="3" t="s">
        <v>17741</v>
      </c>
      <c r="C18752" s="3" t="str">
        <f>IFERROR(__xludf.DUMMYFUNCTION("GOOGLETRANSLATE(B18752,""id"",""en"")"),"['unlimeted', 'already', 'no', 'as soon as', 'mah', 'limit', 'naturally', 'tasty', 'until', 'a month', 'Ful', 'slow']")</f>
        <v>['unlimeted', 'already', 'no', 'as soon as', 'mah', 'limit', 'naturally', 'tasty', 'until', 'a month', 'Ful', 'slow']</v>
      </c>
      <c r="D18752" s="3">
        <v>1.0</v>
      </c>
    </row>
    <row r="18753" ht="15.75" customHeight="1">
      <c r="A18753" s="1">
        <v>19939.0</v>
      </c>
      <c r="B18753" s="3" t="s">
        <v>17742</v>
      </c>
      <c r="C18753" s="3" t="str">
        <f>IFERROR(__xludf.DUMMYFUNCTION("GOOGLETRANSLATE(B18753,""id"",""en"")"),"['', 'Telkomsel', 'opened', 'screen', 'white', 'plain', 'Saturday', '']")</f>
        <v>['', 'Telkomsel', 'opened', 'screen', 'white', 'plain', 'Saturday', '']</v>
      </c>
      <c r="D18753" s="3">
        <v>1.0</v>
      </c>
    </row>
    <row r="18754" ht="15.75" customHeight="1">
      <c r="A18754" s="1">
        <v>19940.0</v>
      </c>
      <c r="B18754" s="3" t="s">
        <v>17743</v>
      </c>
      <c r="C18754" s="3" t="str">
        <f>IFERROR(__xludf.DUMMYFUNCTION("GOOGLETRANSLATE(B18754,""id"",""en"")"),"['Updated', 'entry']")</f>
        <v>['Updated', 'entry']</v>
      </c>
      <c r="D18754" s="3">
        <v>1.0</v>
      </c>
    </row>
    <row r="18755" ht="15.75" customHeight="1">
      <c r="A18755" s="1">
        <v>19941.0</v>
      </c>
      <c r="B18755" s="3" t="s">
        <v>17744</v>
      </c>
      <c r="C18755" s="3" t="str">
        <f>IFERROR(__xludf.DUMMYFUNCTION("GOOGLETRANSLATE(B18755,""id"",""en"")"),"['hey', 'tsel', 'app', 'tsel', 'update', 'nge', 'lag', 'blank', 'white', 'open', 'already', 'lho', ' ']")</f>
        <v>['hey', 'tsel', 'app', 'tsel', 'update', 'nge', 'lag', 'blank', 'white', 'open', 'already', 'lho', ' ']</v>
      </c>
      <c r="D18755" s="3">
        <v>1.0</v>
      </c>
    </row>
    <row r="18756" ht="15.75" customHeight="1">
      <c r="A18756" s="1">
        <v>19942.0</v>
      </c>
      <c r="B18756" s="3" t="s">
        <v>17745</v>
      </c>
      <c r="C18756" s="3" t="str">
        <f>IFERROR(__xludf.DUMMYFUNCTION("GOOGLETRANSLATE(B18756,""id"",""en"")"),"['Read', 'love', 'Bintang', 'Minister', 'Points',' exchanged ',' Exchange ',' Sorry ',' Network ',' Busy ',' Success', 'Points',' LBIH ',' Exchange ',' tip ',' told ',' buy ',' credit ',' applied ',' ']")</f>
        <v>['Read', 'love', 'Bintang', 'Minister', 'Points',' exchanged ',' Exchange ',' Sorry ',' Network ',' Busy ',' Success', 'Points',' LBIH ',' Exchange ',' tip ',' told ',' buy ',' credit ',' applied ',' ']</v>
      </c>
      <c r="D18756" s="3">
        <v>5.0</v>
      </c>
    </row>
    <row r="18757" ht="15.75" customHeight="1">
      <c r="A18757" s="1">
        <v>19943.0</v>
      </c>
      <c r="B18757" s="3" t="s">
        <v>17746</v>
      </c>
      <c r="C18757" s="3" t="str">
        <f>IFERROR(__xludf.DUMMYFUNCTION("GOOGLETRANSLATE(B18757,""id"",""en"")"),"['buy', 'package', 'Telkomsel', 'expensive', 'free', 'please', 'network', 'fix', 'network', 'use', 'network', 'ugly', ' ugly ',' until ',' emotion ',' ']")</f>
        <v>['buy', 'package', 'Telkomsel', 'expensive', 'free', 'please', 'network', 'fix', 'network', 'use', 'network', 'ugly', ' ugly ',' until ',' emotion ',' ']</v>
      </c>
      <c r="D18757" s="3">
        <v>1.0</v>
      </c>
    </row>
    <row r="18758" ht="15.75" customHeight="1">
      <c r="A18758" s="1">
        <v>19944.0</v>
      </c>
      <c r="B18758" s="3" t="s">
        <v>2127</v>
      </c>
      <c r="C18758" s="3" t="str">
        <f>IFERROR(__xludf.DUMMYFUNCTION("GOOGLETRANSLATE(B18758,""id"",""en"")"),"['easy']")</f>
        <v>['easy']</v>
      </c>
      <c r="D18758" s="3">
        <v>1.0</v>
      </c>
    </row>
    <row r="18759" ht="15.75" customHeight="1">
      <c r="A18759" s="1">
        <v>19945.0</v>
      </c>
      <c r="B18759" s="3" t="s">
        <v>17747</v>
      </c>
      <c r="C18759" s="3" t="str">
        <f>IFERROR(__xludf.DUMMYFUNCTION("GOOGLETRANSLATE(B18759,""id"",""en"")"),"['', 'Telkomsel', 'opened', 'Yesterday', 'knpa', ""]")</f>
        <v>['', 'Telkomsel', 'opened', 'Yesterday', 'knpa', "]</v>
      </c>
      <c r="D18759" s="3">
        <v>2.0</v>
      </c>
    </row>
    <row r="18760" ht="15.75" customHeight="1">
      <c r="A18760" s="1">
        <v>19946.0</v>
      </c>
      <c r="B18760" s="3" t="s">
        <v>17748</v>
      </c>
      <c r="C18760" s="3" t="str">
        <f>IFERROR(__xludf.DUMMYFUNCTION("GOOGLETRANSLATE(B18760,""id"",""en"")"),"['Kasi', 'star', 'gift', 'Telkomsel']")</f>
        <v>['Kasi', 'star', 'gift', 'Telkomsel']</v>
      </c>
      <c r="D18760" s="3">
        <v>3.0</v>
      </c>
    </row>
    <row r="18761" ht="15.75" customHeight="1">
      <c r="A18761" s="1">
        <v>19947.0</v>
      </c>
      <c r="B18761" s="3" t="s">
        <v>3222</v>
      </c>
      <c r="C18761" s="3" t="str">
        <f>IFERROR(__xludf.DUMMYFUNCTION("GOOGLETRANSLATE(B18761,""id"",""en"")"),"['satisfying', '']")</f>
        <v>['satisfying', '']</v>
      </c>
      <c r="D18761" s="3">
        <v>5.0</v>
      </c>
    </row>
    <row r="18762" ht="15.75" customHeight="1">
      <c r="A18762" s="1">
        <v>19948.0</v>
      </c>
      <c r="B18762" s="3" t="s">
        <v>17749</v>
      </c>
      <c r="C18762" s="3" t="str">
        <f>IFERROR(__xludf.DUMMYFUNCTION("GOOGLETRANSLATE(B18762,""id"",""en"")"),"['Point', 'Mea', 'already', 'Until', 'Mea', 'Nukarr', 'Voucher', 'Tapu', 'Failed', 'Sip', 'Guaa', 'mah']")</f>
        <v>['Point', 'Mea', 'already', 'Until', 'Mea', 'Nukarr', 'Voucher', 'Tapu', 'Failed', 'Sip', 'Guaa', 'mah']</v>
      </c>
      <c r="D18762" s="3">
        <v>1.0</v>
      </c>
    </row>
    <row r="18763" ht="15.75" customHeight="1">
      <c r="A18763" s="1">
        <v>19949.0</v>
      </c>
      <c r="B18763" s="3" t="s">
        <v>17750</v>
      </c>
      <c r="C18763" s="3" t="str">
        <f>IFERROR(__xludf.DUMMYFUNCTION("GOOGLETRANSLATE(B18763,""id"",""en"")"),"['like', 'fast']")</f>
        <v>['like', 'fast']</v>
      </c>
      <c r="D18763" s="3">
        <v>5.0</v>
      </c>
    </row>
    <row r="18764" ht="15.75" customHeight="1">
      <c r="A18764" s="1">
        <v>19950.0</v>
      </c>
      <c r="B18764" s="3" t="s">
        <v>17751</v>
      </c>
      <c r="C18764" s="3" t="str">
        <f>IFERROR(__xludf.DUMMYFUNCTION("GOOGLETRANSLATE(B18764,""id"",""en"")"),"['Android', 'Nyaaa']")</f>
        <v>['Android', 'Nyaaa']</v>
      </c>
      <c r="D18764" s="3">
        <v>5.0</v>
      </c>
    </row>
    <row r="18765" ht="15.75" customHeight="1">
      <c r="A18765" s="1">
        <v>19951.0</v>
      </c>
      <c r="B18765" s="3" t="s">
        <v>17752</v>
      </c>
      <c r="C18765" s="3" t="str">
        <f>IFERROR(__xludf.DUMMYFUNCTION("GOOGLETRANSLATE(B18765,""id"",""en"")"),"['Network', 'Burik', 'Asuuu', 'Dodol', 'Network', 'Bad', 'Capital', 'Name', 'Doang', 'Internet', 'Kek', 'bangsad']")</f>
        <v>['Network', 'Burik', 'Asuuu', 'Dodol', 'Network', 'Bad', 'Capital', 'Name', 'Doang', 'Internet', 'Kek', 'bangsad']</v>
      </c>
      <c r="D18765" s="3">
        <v>1.0</v>
      </c>
    </row>
    <row r="18766" ht="15.75" customHeight="1">
      <c r="A18766" s="1">
        <v>19952.0</v>
      </c>
      <c r="B18766" s="3" t="s">
        <v>17753</v>
      </c>
      <c r="C18766" s="3" t="str">
        <f>IFERROR(__xludf.DUMMYFUNCTION("GOOGLETRANSLATE(B18766,""id"",""en"")"),"['Good', 'dead']")</f>
        <v>['Good', 'dead']</v>
      </c>
      <c r="D18766" s="3">
        <v>5.0</v>
      </c>
    </row>
    <row r="18767" ht="15.75" customHeight="1">
      <c r="A18767" s="1">
        <v>19953.0</v>
      </c>
      <c r="B18767" s="3" t="s">
        <v>17754</v>
      </c>
      <c r="C18767" s="3" t="str">
        <f>IFERROR(__xludf.DUMMYFUNCTION("GOOGLETRANSLATE(B18767,""id"",""en"")"),"['opened', 'Link', 'what' do ',' down ',' load ',' before ',' download ',' skrg ',' accessible ',' until ',' sweat ']")</f>
        <v>['opened', 'Link', 'what' do ',' down ',' load ',' before ',' download ',' skrg ',' accessible ',' until ',' sweat ']</v>
      </c>
      <c r="D18767" s="3">
        <v>1.0</v>
      </c>
    </row>
    <row r="18768" ht="15.75" customHeight="1">
      <c r="A18768" s="1">
        <v>19954.0</v>
      </c>
      <c r="B18768" s="3" t="s">
        <v>17755</v>
      </c>
      <c r="C18768" s="3" t="str">
        <f>IFERROR(__xludf.DUMMYFUNCTION("GOOGLETRANSLATE(B18768,""id"",""en"")"),"['update', 'opened', 'blank', 'screen', 'white', 'Please', 'fix', '']")</f>
        <v>['update', 'opened', 'blank', 'screen', 'white', 'Please', 'fix', '']</v>
      </c>
      <c r="D18768" s="3">
        <v>1.0</v>
      </c>
    </row>
    <row r="18769" ht="15.75" customHeight="1">
      <c r="A18769" s="1">
        <v>19955.0</v>
      </c>
      <c r="B18769" s="3" t="s">
        <v>17756</v>
      </c>
      <c r="C18769" s="3" t="str">
        <f>IFERROR(__xludf.DUMMYFUNCTION("GOOGLETRANSLATE(B18769,""id"",""en"")"),"['like', 'really', 'top', 'deh']")</f>
        <v>['like', 'really', 'top', 'deh']</v>
      </c>
      <c r="D18769" s="3">
        <v>5.0</v>
      </c>
    </row>
    <row r="18770" ht="15.75" customHeight="1">
      <c r="A18770" s="1">
        <v>19958.0</v>
      </c>
      <c r="B18770" s="3" t="s">
        <v>5230</v>
      </c>
      <c r="C18770" s="3" t="str">
        <f>IFERROR(__xludf.DUMMYFUNCTION("GOOGLETRANSLATE(B18770,""id"",""en"")"),"['Love', 'Star']")</f>
        <v>['Love', 'Star']</v>
      </c>
      <c r="D18770" s="3">
        <v>3.0</v>
      </c>
    </row>
    <row r="18771" ht="15.75" customHeight="1">
      <c r="A18771" s="1">
        <v>19959.0</v>
      </c>
      <c r="B18771" s="3" t="s">
        <v>17757</v>
      </c>
      <c r="C18771" s="3" t="str">
        <f>IFERROR(__xludf.DUMMYFUNCTION("GOOGLETRANSLATE(B18771,""id"",""en"")"),"['Telkomsel', 'Slalu', 'mantul']")</f>
        <v>['Telkomsel', 'Slalu', 'mantul']</v>
      </c>
      <c r="D18771" s="3">
        <v>5.0</v>
      </c>
    </row>
    <row r="18772" ht="15.75" customHeight="1">
      <c r="A18772" s="1">
        <v>19960.0</v>
      </c>
      <c r="B18772" s="3" t="s">
        <v>17758</v>
      </c>
      <c r="C18772" s="3" t="str">
        <f>IFERROR(__xludf.DUMMYFUNCTION("GOOGLETRANSLATE(B18772,""id"",""en"")"),"['Screen', 'MyTelkomsel', 'White', 'Please', 'Donk', 'Fix', '']")</f>
        <v>['Screen', 'MyTelkomsel', 'White', 'Please', 'Donk', 'Fix', '']</v>
      </c>
      <c r="D18772" s="3">
        <v>1.0</v>
      </c>
    </row>
    <row r="18773" ht="15.75" customHeight="1">
      <c r="A18773" s="1">
        <v>19961.0</v>
      </c>
      <c r="B18773" s="3" t="s">
        <v>17759</v>
      </c>
      <c r="C18773" s="3" t="str">
        <f>IFERROR(__xludf.DUMMYFUNCTION("GOOGLETRANSLATE(B18773,""id"",""en"")"),"['Help', 'trimakasih', 'telkosel', ""]")</f>
        <v>['Help', 'trimakasih', 'telkosel', "]</v>
      </c>
      <c r="D18773" s="3">
        <v>5.0</v>
      </c>
    </row>
    <row r="18774" ht="15.75" customHeight="1">
      <c r="A18774" s="1">
        <v>19962.0</v>
      </c>
      <c r="B18774" s="3" t="s">
        <v>17760</v>
      </c>
      <c r="C18774" s="3" t="str">
        <f>IFERROR(__xludf.DUMMYFUNCTION("GOOGLETRANSLATE(B18774,""id"",""en"")"),"['The application', 'tdak', 'open', '']")</f>
        <v>['The application', 'tdak', 'open', '']</v>
      </c>
      <c r="D18774" s="3">
        <v>3.0</v>
      </c>
    </row>
    <row r="18775" ht="15.75" customHeight="1">
      <c r="A18775" s="1">
        <v>19963.0</v>
      </c>
      <c r="B18775" s="3" t="s">
        <v>17761</v>
      </c>
      <c r="C18775" s="3" t="str">
        <f>IFERROR(__xludf.DUMMYFUNCTION("GOOGLETRANSLATE(B18775,""id"",""en"")"),"['fast', 'easy']")</f>
        <v>['fast', 'easy']</v>
      </c>
      <c r="D18775" s="3">
        <v>5.0</v>
      </c>
    </row>
    <row r="18776" ht="15.75" customHeight="1">
      <c r="A18776" s="1">
        <v>19964.0</v>
      </c>
      <c r="B18776" s="3" t="s">
        <v>17762</v>
      </c>
      <c r="C18776" s="3" t="str">
        <f>IFERROR(__xludf.DUMMYFUNCTION("GOOGLETRANSLATE(B18776,""id"",""en"")"),"['service']")</f>
        <v>['service']</v>
      </c>
      <c r="D18776" s="3">
        <v>5.0</v>
      </c>
    </row>
    <row r="18777" ht="15.75" customHeight="1">
      <c r="A18777" s="1">
        <v>19966.0</v>
      </c>
      <c r="B18777" s="3" t="s">
        <v>17763</v>
      </c>
      <c r="C18777" s="3" t="str">
        <f>IFERROR(__xludf.DUMMYFUNCTION("GOOGLETRANSLATE(B18777,""id"",""en"")"),"['Appsi', 'Bukak', 'Udh', 'Install', 'Many', 'Times',' Rights', 'Bukak', 'Please', 'Fix', 'Min', 'Easy', ' Ber ',' Oprasi ']")</f>
        <v>['Appsi', 'Bukak', 'Udh', 'Install', 'Many', 'Times',' Rights', 'Bukak', 'Please', 'Fix', 'Min', 'Easy', ' Ber ',' Oprasi ']</v>
      </c>
      <c r="D18777" s="3">
        <v>1.0</v>
      </c>
    </row>
    <row r="18778" ht="15.75" customHeight="1">
      <c r="A18778" s="1">
        <v>19967.0</v>
      </c>
      <c r="B18778" s="3" t="s">
        <v>17764</v>
      </c>
      <c r="C18778" s="3" t="str">
        <f>IFERROR(__xludf.DUMMYFUNCTION("GOOGLETRANSLATE(B18778,""id"",""en"")"),"['Please', 'Infox', 'Telkomsel', 'opened']")</f>
        <v>['Please', 'Infox', 'Telkomsel', 'opened']</v>
      </c>
      <c r="D18778" s="3">
        <v>1.0</v>
      </c>
    </row>
    <row r="18779" ht="15.75" customHeight="1">
      <c r="A18779" s="1">
        <v>19968.0</v>
      </c>
      <c r="B18779" s="3" t="s">
        <v>7369</v>
      </c>
      <c r="C18779" s="3" t="str">
        <f>IFERROR(__xludf.DUMMYFUNCTION("GOOGLETRANSLATE(B18779,""id"",""en"")"),"['', 'opened', ""]")</f>
        <v>['', 'opened', "]</v>
      </c>
      <c r="D18779" s="3">
        <v>1.0</v>
      </c>
    </row>
    <row r="18780" ht="15.75" customHeight="1">
      <c r="A18780" s="1">
        <v>19969.0</v>
      </c>
      <c r="B18780" s="3" t="s">
        <v>17765</v>
      </c>
      <c r="C18780" s="3" t="str">
        <f>IFERROR(__xludf.DUMMYFUNCTION("GOOGLETRANSLATE(B18780,""id"",""en"")"),"['Useful', 'it's easy', 'users', 'access', 'Telkomsel']")</f>
        <v>['Useful', 'it's easy', 'users', 'access', 'Telkomsel']</v>
      </c>
      <c r="D18780" s="3">
        <v>5.0</v>
      </c>
    </row>
    <row r="18781" ht="15.75" customHeight="1">
      <c r="A18781" s="1">
        <v>19970.0</v>
      </c>
      <c r="B18781" s="3" t="s">
        <v>17766</v>
      </c>
      <c r="C18781" s="3" t="str">
        <f>IFERROR(__xludf.DUMMYFUNCTION("GOOGLETRANSLATE(B18781,""id"",""en"")"),"['Out', 'Update', 'Bukak', 'Ngecewain', 'Ngak', 'Kayak', 'How', 'Chek', 'Paketan', 'Buy', 'Paketan', 'Bukak', ' Like ',' Gini ',' Please ',' Fix ',' Jagan ',' Just ',' Expensive ',' Doang ',' Service ',' Bad ']")</f>
        <v>['Out', 'Update', 'Bukak', 'Ngecewain', 'Ngak', 'Kayak', 'How', 'Chek', 'Paketan', 'Buy', 'Paketan', 'Bukak', ' Like ',' Gini ',' Please ',' Fix ',' Jagan ',' Just ',' Expensive ',' Doang ',' Service ',' Bad ']</v>
      </c>
      <c r="D18781" s="3">
        <v>1.0</v>
      </c>
    </row>
    <row r="18782" ht="15.75" customHeight="1">
      <c r="A18782" s="1">
        <v>19971.0</v>
      </c>
      <c r="B18782" s="3" t="s">
        <v>17767</v>
      </c>
      <c r="C18782" s="3" t="str">
        <f>IFERROR(__xludf.DUMMYFUNCTION("GOOGLETRANSLATE(B18782,""id"",""en"")"),"['Install', 'open', 'after', 'kluar', 'for a while', 'open', 'disappointing', 'customer', '']")</f>
        <v>['Install', 'open', 'after', 'kluar', 'for a while', 'open', 'disappointing', 'customer', '']</v>
      </c>
      <c r="D18782" s="3">
        <v>1.0</v>
      </c>
    </row>
    <row r="18783" ht="15.75" customHeight="1">
      <c r="A18783" s="1">
        <v>19972.0</v>
      </c>
      <c r="B18783" s="3" t="s">
        <v>17768</v>
      </c>
      <c r="C18783" s="3" t="str">
        <f>IFERROR(__xludf.DUMMYFUNCTION("GOOGLETRANSLATE(B18783,""id"",""en"")"),"['Please', 'repaired', 'open', 'application', 'difficult', 'really', 'gabisa', 'uninstall', 'trs', 'download', '']")</f>
        <v>['Please', 'repaired', 'open', 'application', 'difficult', 'really', 'gabisa', 'uninstall', 'trs', 'download', '']</v>
      </c>
      <c r="D18783" s="3">
        <v>1.0</v>
      </c>
    </row>
    <row r="18784" ht="15.75" customHeight="1">
      <c r="A18784" s="1">
        <v>19973.0</v>
      </c>
      <c r="B18784" s="3" t="s">
        <v>17769</v>
      </c>
      <c r="C18784" s="3" t="str">
        <f>IFERROR(__xludf.DUMMYFUNCTION("GOOGLETRANSLATE(B18784,""id"",""en"")"),"['update', 'woi', 'yes',' storage ',' you ',' use ',' already ',' GB ',' switch ',' pwa ',' browser ',' heavy ',' ']")</f>
        <v>['update', 'woi', 'yes',' storage ',' you ',' use ',' already ',' GB ',' switch ',' pwa ',' browser ',' heavy ',' ']</v>
      </c>
      <c r="D18784" s="3">
        <v>1.0</v>
      </c>
    </row>
    <row r="18785" ht="15.75" customHeight="1">
      <c r="A18785" s="1">
        <v>19974.0</v>
      </c>
      <c r="B18785" s="3" t="s">
        <v>17770</v>
      </c>
      <c r="C18785" s="3" t="str">
        <f>IFERROR(__xludf.DUMMYFUNCTION("GOOGLETRANSLATE(B18785,""id"",""en"")"),"['week', 'difficult', 'internet', 'card', 'Telkomsel', 'Telkomsel', 'as good', 'gini', 'loss',' quota ',' internet ',' expensive ',' slow network']")</f>
        <v>['week', 'difficult', 'internet', 'card', 'Telkomsel', 'Telkomsel', 'as good', 'gini', 'loss',' quota ',' internet ',' expensive ',' slow network']</v>
      </c>
      <c r="D18785" s="3">
        <v>1.0</v>
      </c>
    </row>
    <row r="18786" ht="15.75" customHeight="1">
      <c r="A18786" s="1">
        <v>19975.0</v>
      </c>
      <c r="B18786" s="3" t="s">
        <v>17771</v>
      </c>
      <c r="C18786" s="3" t="str">
        <f>IFERROR(__xludf.DUMMYFUNCTION("GOOGLETRANSLATE(B18786,""id"",""en"")"),"['card', 'Telkomsel', 'really', 'already', 'expensive', 'package', 'signal', 'ugly', 'really', 'inside', 'room', 'location', ' Urban ',' Turet ',' Turet ',' Signal ']")</f>
        <v>['card', 'Telkomsel', 'really', 'already', 'expensive', 'package', 'signal', 'ugly', 'really', 'inside', 'room', 'location', ' Urban ',' Turet ',' Turet ',' Signal ']</v>
      </c>
      <c r="D18786" s="3">
        <v>1.0</v>
      </c>
    </row>
    <row r="18787" ht="15.75" customHeight="1">
      <c r="A18787" s="1">
        <v>19976.0</v>
      </c>
      <c r="B18787" s="3" t="s">
        <v>17772</v>
      </c>
      <c r="C18787" s="3" t="str">
        <f>IFERROR(__xludf.DUMMYFUNCTION("GOOGLETRANSLATE(B18787,""id"",""en"")"),"['Application', 'MyTelkomsel', 'opened', 'Loding', 'appears', 'Ngebank', 'White', 'MyTelkomsel', '']")</f>
        <v>['Application', 'MyTelkomsel', 'opened', 'Loding', 'appears', 'Ngebank', 'White', 'MyTelkomsel', '']</v>
      </c>
      <c r="D18787" s="3">
        <v>1.0</v>
      </c>
    </row>
    <row r="18788" ht="15.75" customHeight="1">
      <c r="A18788" s="1">
        <v>19977.0</v>
      </c>
      <c r="B18788" s="3" t="s">
        <v>17773</v>
      </c>
      <c r="C18788" s="3" t="str">
        <f>IFERROR(__xludf.DUMMYFUNCTION("GOOGLETRANSLATE(B18788,""id"",""en"")"),"['', 'Telkomsel', 'access', 'Yesterday', 'Woy', ""]")</f>
        <v>['', 'Telkomsel', 'access', 'Yesterday', 'Woy', "]</v>
      </c>
      <c r="D18788" s="3">
        <v>1.0</v>
      </c>
    </row>
    <row r="18789" ht="15.75" customHeight="1">
      <c r="A18789" s="1">
        <v>19978.0</v>
      </c>
      <c r="B18789" s="3" t="s">
        <v>17774</v>
      </c>
      <c r="C18789" s="3" t="str">
        <f>IFERROR(__xludf.DUMMYFUNCTION("GOOGLETRANSLATE(B18789,""id"",""en"")"),"['Telkomsel', 'garbage', 'users',' Telkomsel ',' use ',' omitted ',' quota ',' unlimited ',' usage ',' month ',' Gigamax ',' replaced ',' quota ',' watch ',' weve ',' look for ',' profit ',' gini ',' donk ',' pig ',' era ',' kek ',' gini ',' regret ',' su"&amp;"bscription ' , 'Telkomsel']")</f>
        <v>['Telkomsel', 'garbage', 'users',' Telkomsel ',' use ',' omitted ',' quota ',' unlimited ',' usage ',' month ',' Gigamax ',' replaced ',' quota ',' watch ',' weve ',' look for ',' profit ',' gini ',' donk ',' pig ',' era ',' kek ',' gini ',' regret ',' subscription ' , 'Telkomsel']</v>
      </c>
      <c r="D18789" s="3">
        <v>1.0</v>
      </c>
    </row>
    <row r="18790" ht="15.75" customHeight="1">
      <c r="A18790" s="1">
        <v>19979.0</v>
      </c>
      <c r="B18790" s="3" t="s">
        <v>17775</v>
      </c>
      <c r="C18790" s="3" t="str">
        <f>IFERROR(__xludf.DUMMYFUNCTION("GOOGLETRANSLATE(B18790,""id"",""en"")"),"['Please', 'fix', 'connection', 'signal']")</f>
        <v>['Please', 'fix', 'connection', 'signal']</v>
      </c>
      <c r="D18790" s="3">
        <v>1.0</v>
      </c>
    </row>
    <row r="18791" ht="15.75" customHeight="1">
      <c r="A18791" s="1">
        <v>19980.0</v>
      </c>
      <c r="B18791" s="3" t="s">
        <v>17776</v>
      </c>
      <c r="C18791" s="3" t="str">
        <f>IFERROR(__xludf.DUMMYFUNCTION("GOOGLETRANSLATE(B18791,""id"",""en"")"),"['Please', 'admin', 'SDAH', 'APK', 'sekrang', 'difficult', 'really', 'open', 'the application', 'right', 'opened', 'sekrang', ' Open ',' Please ',' Disappointed ',' User ']")</f>
        <v>['Please', 'admin', 'SDAH', 'APK', 'sekrang', 'difficult', 'really', 'open', 'the application', 'right', 'opened', 'sekrang', ' Open ',' Please ',' Disappointed ',' User ']</v>
      </c>
      <c r="D18791" s="3">
        <v>1.0</v>
      </c>
    </row>
    <row r="18792" ht="15.75" customHeight="1">
      <c r="A18792" s="1">
        <v>19981.0</v>
      </c>
      <c r="B18792" s="3" t="s">
        <v>17777</v>
      </c>
      <c r="C18792" s="3" t="str">
        <f>IFERROR(__xludf.DUMMYFUNCTION("GOOGLETRANSLATE(B18792,""id"",""en"")"),"['Abis', 'Update', 'Application', 'Opened', 'Djancoeg', ""]")</f>
        <v>['Abis', 'Update', 'Application', 'Opened', 'Djancoeg', "]</v>
      </c>
      <c r="D18792" s="3">
        <v>1.0</v>
      </c>
    </row>
    <row r="18793" ht="15.75" customHeight="1">
      <c r="A18793" s="1">
        <v>19982.0</v>
      </c>
      <c r="B18793" s="3" t="s">
        <v>17778</v>
      </c>
      <c r="C18793" s="3" t="str">
        <f>IFERROR(__xludf.DUMMYFUNCTION("GOOGLETRANSLATE(B18793,""id"",""en"")"),"['Yesterday', 'Afternoon', 'App', 'Telkomsel', 'Open', 'Update', 'reset', 'MHN', 'Many', 'times',' TTP ',' BSA ',' MHN ',' Knfmasinya ',' before ',' update ',' msh ',' bsa ',' open ',' stlh ',' update ',' adh ',' lgi ']")</f>
        <v>['Yesterday', 'Afternoon', 'App', 'Telkomsel', 'Open', 'Update', 'reset', 'MHN', 'Many', 'times',' TTP ',' BSA ',' MHN ',' Knfmasinya ',' before ',' update ',' msh ',' bsa ',' open ',' stlh ',' update ',' adh ',' lgi ']</v>
      </c>
      <c r="D18793" s="3">
        <v>3.0</v>
      </c>
    </row>
    <row r="18794" ht="15.75" customHeight="1">
      <c r="A18794" s="1">
        <v>19983.0</v>
      </c>
      <c r="B18794" s="3" t="s">
        <v>17779</v>
      </c>
      <c r="C18794" s="3" t="str">
        <f>IFERROR(__xludf.DUMMYFUNCTION("GOOGLETRANSLATE(B18794,""id"",""en"")"),"['sgt', 'help', 'process', 'comfortable']")</f>
        <v>['sgt', 'help', 'process', 'comfortable']</v>
      </c>
      <c r="D18794" s="3">
        <v>5.0</v>
      </c>
    </row>
    <row r="18795" ht="15.75" customHeight="1">
      <c r="A18795" s="1">
        <v>19984.0</v>
      </c>
      <c r="B18795" s="3" t="s">
        <v>17780</v>
      </c>
      <c r="C18795" s="3" t="str">
        <f>IFERROR(__xludf.DUMMYFUNCTION("GOOGLETRANSLATE(B18795,""id"",""en"")"),"['Taik', 'Telkomsel', 'like', 'ilang', 'signal']")</f>
        <v>['Taik', 'Telkomsel', 'like', 'ilang', 'signal']</v>
      </c>
      <c r="D18795" s="3">
        <v>2.0</v>
      </c>
    </row>
    <row r="18796" ht="15.75" customHeight="1">
      <c r="A18796" s="1">
        <v>19985.0</v>
      </c>
      <c r="B18796" s="3" t="s">
        <v>17781</v>
      </c>
      <c r="C18796" s="3" t="str">
        <f>IFERROR(__xludf.DUMMYFUNCTION("GOOGLETRANSLATE(B18796,""id"",""en"")"),"['Really', 'application', 'help', 'thank', 'love', 'Telkomsel']")</f>
        <v>['Really', 'application', 'help', 'thank', 'love', 'Telkomsel']</v>
      </c>
      <c r="D18796" s="3">
        <v>5.0</v>
      </c>
    </row>
    <row r="18797" ht="15.75" customHeight="1">
      <c r="A18797" s="1">
        <v>19986.0</v>
      </c>
      <c r="B18797" s="3" t="s">
        <v>17782</v>
      </c>
      <c r="C18797" s="3" t="str">
        <f>IFERROR(__xludf.DUMMYFUNCTION("GOOGLETRANSLATE(B18797,""id"",""en"")"),"['Fire', 'lgi', 'area', 'like', 'difficult', 'signal']")</f>
        <v>['Fire', 'lgi', 'area', 'like', 'difficult', 'signal']</v>
      </c>
      <c r="D18797" s="3">
        <v>2.0</v>
      </c>
    </row>
    <row r="18798" ht="15.75" customHeight="1">
      <c r="A18798" s="1">
        <v>19987.0</v>
      </c>
      <c r="B18798" s="3" t="s">
        <v>17783</v>
      </c>
      <c r="C18798" s="3" t="str">
        <f>IFERROR(__xludf.DUMMYFUNCTION("GOOGLETRANSLATE(B18798,""id"",""en"")"),"['Daily', 'quota', 'lapse', 'main', 'gabisa', 'Activate', 'Sis', 'SIM', 'Telkomsel', 'Gaada', 'buy', 'Package']")</f>
        <v>['Daily', 'quota', 'lapse', 'main', 'gabisa', 'Activate', 'Sis', 'SIM', 'Telkomsel', 'Gaada', 'buy', 'Package']</v>
      </c>
      <c r="D18798" s="3">
        <v>2.0</v>
      </c>
    </row>
    <row r="18799" ht="15.75" customHeight="1">
      <c r="A18799" s="1">
        <v>19988.0</v>
      </c>
      <c r="B18799" s="3" t="s">
        <v>3656</v>
      </c>
      <c r="C18799" s="3" t="str">
        <f>IFERROR(__xludf.DUMMYFUNCTION("GOOGLETRANSLATE(B18799,""id"",""en"")"),"['', 'Telkomsel', 'opened', '']")</f>
        <v>['', 'Telkomsel', 'opened', '']</v>
      </c>
      <c r="D18799" s="3">
        <v>5.0</v>
      </c>
    </row>
    <row r="18800" ht="15.75" customHeight="1">
      <c r="A18800" s="1">
        <v>19989.0</v>
      </c>
      <c r="B18800" s="3" t="s">
        <v>17784</v>
      </c>
      <c r="C18800" s="3" t="str">
        <f>IFERROR(__xludf.DUMMYFUNCTION("GOOGLETRANSLATE(B18800,""id"",""en"")"),"['Network', 'ugly', 'price', 'package', 'expensive']")</f>
        <v>['Network', 'ugly', 'price', 'package', 'expensive']</v>
      </c>
      <c r="D18800" s="3">
        <v>3.0</v>
      </c>
    </row>
    <row r="18801" ht="15.75" customHeight="1">
      <c r="A18801" s="1">
        <v>19991.0</v>
      </c>
      <c r="B18801" s="3" t="s">
        <v>17785</v>
      </c>
      <c r="C18801" s="3" t="str">
        <f>IFERROR(__xludf.DUMMYFUNCTION("GOOGLETRANSLATE(B18801,""id"",""en"")"),"['Buy', 'Package', 'Tel', 'Tel', 'Buy', '']")</f>
        <v>['Buy', 'Package', 'Tel', 'Tel', 'Buy', '']</v>
      </c>
      <c r="D18801" s="3">
        <v>2.0</v>
      </c>
    </row>
    <row r="18802" ht="15.75" customHeight="1">
      <c r="A18802" s="1">
        <v>19992.0</v>
      </c>
      <c r="B18802" s="3" t="s">
        <v>846</v>
      </c>
      <c r="C18802" s="3" t="str">
        <f>IFERROR(__xludf.DUMMYFUNCTION("GOOGLETRANSLATE(B18802,""id"",""en"")"),"['application', 'good']")</f>
        <v>['application', 'good']</v>
      </c>
      <c r="D18802" s="3">
        <v>5.0</v>
      </c>
    </row>
    <row r="18803" ht="15.75" customHeight="1">
      <c r="A18803" s="1">
        <v>19993.0</v>
      </c>
      <c r="B18803" s="3" t="s">
        <v>17786</v>
      </c>
      <c r="C18803" s="3" t="str">
        <f>IFERROR(__xludf.DUMMYFUNCTION("GOOGLETRANSLATE(B18803,""id"",""en"")"),"['apk', 'help', 'cheap', 'fast', 'thank you', 'Telkomsel']")</f>
        <v>['apk', 'help', 'cheap', 'fast', 'thank you', 'Telkomsel']</v>
      </c>
      <c r="D18803" s="3">
        <v>5.0</v>
      </c>
    </row>
    <row r="18804" ht="15.75" customHeight="1">
      <c r="A18804" s="1">
        <v>19994.0</v>
      </c>
      <c r="B18804" s="3" t="s">
        <v>17787</v>
      </c>
      <c r="C18804" s="3" t="str">
        <f>IFERROR(__xludf.DUMMYFUNCTION("GOOGLETRANSLATE(B18804,""id"",""en"")"),"['signal', 'break up', 'severe']")</f>
        <v>['signal', 'break up', 'severe']</v>
      </c>
      <c r="D18804" s="3">
        <v>1.0</v>
      </c>
    </row>
    <row r="18805" ht="15.75" customHeight="1">
      <c r="A18805" s="1">
        <v>19995.0</v>
      </c>
      <c r="B18805" s="3" t="s">
        <v>4410</v>
      </c>
      <c r="C18805" s="3" t="str">
        <f>IFERROR(__xludf.DUMMYFUNCTION("GOOGLETRANSLATE(B18805,""id"",""en"")"),"['Help', 'Price', 'Friendly']")</f>
        <v>['Help', 'Price', 'Friendly']</v>
      </c>
      <c r="D18805" s="3">
        <v>5.0</v>
      </c>
    </row>
    <row r="18806" ht="15.75" customHeight="1">
      <c r="A18806" s="1">
        <v>19997.0</v>
      </c>
      <c r="B18806" s="3" t="s">
        <v>17788</v>
      </c>
      <c r="C18806" s="3" t="str">
        <f>IFERROR(__xludf.DUMMYFUNCTION("GOOGLETRANSLATE(B18806,""id"",""en"")"),"['Credit', 'Cut', 'Open', 'Bug', 'How', 'Forward', 'Gini']")</f>
        <v>['Credit', 'Cut', 'Open', 'Bug', 'How', 'Forward', 'Gini']</v>
      </c>
      <c r="D18806" s="3">
        <v>1.0</v>
      </c>
    </row>
    <row r="18807" ht="15.75" customHeight="1">
      <c r="A18807" s="1">
        <v>19998.0</v>
      </c>
      <c r="B18807" s="3" t="s">
        <v>17789</v>
      </c>
      <c r="C18807" s="3" t="str">
        <f>IFERROR(__xludf.DUMMYFUNCTION("GOOGLETRANSLATE(B18807,""id"",""en"")"),"['Application', 'Open', 'Sunday', '']")</f>
        <v>['Application', 'Open', 'Sunday', '']</v>
      </c>
      <c r="D18807" s="3">
        <v>1.0</v>
      </c>
    </row>
    <row r="18808" ht="15.75" customHeight="1">
      <c r="A18808" s="1">
        <v>19999.0</v>
      </c>
      <c r="B18808" s="3" t="s">
        <v>17790</v>
      </c>
      <c r="C18808" s="3" t="str">
        <f>IFERROR(__xludf.DUMMYFUNCTION("GOOGLETRANSLATE(B18808,""id"",""en"")"),"['method', 'payment', 'MyTelkomsel', 'Ovo', 'Shopeepay', 'Dana', 'updated', 'use', 'Ovo', 'payment', 'Package', 'pulse', ' ']")</f>
        <v>['method', 'payment', 'MyTelkomsel', 'Ovo', 'Shopeepay', 'Dana', 'updated', 'use', 'Ovo', 'payment', 'Package', 'pulse', ' ']</v>
      </c>
      <c r="D18808" s="3">
        <v>4.0</v>
      </c>
    </row>
    <row r="18809" ht="15.75" customHeight="1">
      <c r="A18809" s="1">
        <v>20000.0</v>
      </c>
      <c r="B18809" s="3" t="s">
        <v>17791</v>
      </c>
      <c r="C18809" s="3" t="str">
        <f>IFERROR(__xludf.DUMMYFUNCTION("GOOGLETRANSLATE(B18809,""id"",""en"")"),"['Use', 'balance', 'Pay', 'Google', 'Play', 'Min', 'Many', 'Times',' Try ',' Application ',' Update ',' Sister ',' ']")</f>
        <v>['Use', 'balance', 'Pay', 'Google', 'Play', 'Min', 'Many', 'Times',' Try ',' Application ',' Update ',' Sister ',' ']</v>
      </c>
      <c r="D18809" s="3">
        <v>1.0</v>
      </c>
    </row>
    <row r="18810" ht="15.75" customHeight="1">
      <c r="A18810" s="1">
        <v>20001.0</v>
      </c>
      <c r="B18810" s="3" t="s">
        <v>17792</v>
      </c>
      <c r="C18810" s="3" t="str">
        <f>IFERROR(__xludf.DUMMYFUNCTION("GOOGLETRANSLATE(B18810,""id"",""en"")"),"['already', 'open', 'Telkomsel', 'Telkomsel', 'kah', 'error', 'beg', 'fix', 'like', 'buy', 'packetan', 'skrng', ' Error ',' Hmm ']")</f>
        <v>['already', 'open', 'Telkomsel', 'Telkomsel', 'kah', 'error', 'beg', 'fix', 'like', 'buy', 'packetan', 'skrng', ' Error ',' Hmm ']</v>
      </c>
      <c r="D18810" s="3">
        <v>1.0</v>
      </c>
    </row>
    <row r="18811" ht="15.75" customHeight="1">
      <c r="A18811" s="1">
        <v>20002.0</v>
      </c>
      <c r="B18811" s="3" t="s">
        <v>17793</v>
      </c>
      <c r="C18811" s="3" t="str">
        <f>IFERROR(__xludf.DUMMYFUNCTION("GOOGLETRANSLATE(B18811,""id"",""en"")"),"['ampiklasiny', 'good', 'TPI', 'expensive']")</f>
        <v>['ampiklasiny', 'good', 'TPI', 'expensive']</v>
      </c>
      <c r="D18811" s="3">
        <v>2.0</v>
      </c>
    </row>
    <row r="18812" ht="15.75" customHeight="1">
      <c r="A18812" s="1">
        <v>20003.0</v>
      </c>
      <c r="B18812" s="3" t="s">
        <v>17794</v>
      </c>
      <c r="C18812" s="3" t="str">
        <f>IFERROR(__xludf.DUMMYFUNCTION("GOOGLETRANSLATE(B18812,""id"",""en"")"),"['Pay', 'expensive', 'network', 'rich', 'ngotak', 'dick']")</f>
        <v>['Pay', 'expensive', 'network', 'rich', 'ngotak', 'dick']</v>
      </c>
      <c r="D18812" s="3">
        <v>1.0</v>
      </c>
    </row>
    <row r="18813" ht="15.75" customHeight="1">
      <c r="A18813" s="1">
        <v>20004.0</v>
      </c>
      <c r="B18813" s="3" t="s">
        <v>17795</v>
      </c>
      <c r="C18813" s="3" t="str">
        <f>IFERROR(__xludf.DUMMYFUNCTION("GOOGLETRANSLATE(B18813,""id"",""en"")"),"['', 'White', 'blank', 'check', ""]")</f>
        <v>['', 'White', 'blank', 'check', "]</v>
      </c>
      <c r="D18813" s="3">
        <v>2.0</v>
      </c>
    </row>
    <row r="18814" ht="15.75" customHeight="1">
      <c r="A18814" s="1">
        <v>20005.0</v>
      </c>
      <c r="B18814" s="3" t="s">
        <v>17796</v>
      </c>
      <c r="C18814" s="3" t="str">
        <f>IFERROR(__xludf.DUMMYFUNCTION("GOOGLETRANSLATE(B18814,""id"",""en"")"),"['Help', 'transact']")</f>
        <v>['Help', 'transact']</v>
      </c>
      <c r="D18814" s="3">
        <v>5.0</v>
      </c>
    </row>
    <row r="18815" ht="15.75" customHeight="1">
      <c r="A18815" s="1">
        <v>20006.0</v>
      </c>
      <c r="B18815" s="3" t="s">
        <v>17797</v>
      </c>
      <c r="C18815" s="3" t="str">
        <f>IFERROR(__xludf.DUMMYFUNCTION("GOOGLETRANSLATE(B18815,""id"",""en"")"),"['Package', 'Data', 'Out', 'Direct', 'Suck', 'Credit', 'Suck', 'Wallet', 'Digital', ""]")</f>
        <v>['Package', 'Data', 'Out', 'Direct', 'Suck', 'Credit', 'Suck', 'Wallet', 'Digital', "]</v>
      </c>
      <c r="D18815" s="3">
        <v>1.0</v>
      </c>
    </row>
    <row r="18816" ht="15.75" customHeight="1">
      <c r="A18816" s="1">
        <v>20007.0</v>
      </c>
      <c r="B18816" s="3" t="s">
        <v>17798</v>
      </c>
      <c r="C18816" s="3" t="str">
        <f>IFERROR(__xludf.DUMMYFUNCTION("GOOGLETRANSLATE(B18816,""id"",""en"")"),"['application', 'easy', 'process', 'transaction', 'easy']")</f>
        <v>['application', 'easy', 'process', 'transaction', 'easy']</v>
      </c>
      <c r="D18816" s="3">
        <v>5.0</v>
      </c>
    </row>
    <row r="18817" ht="15.75" customHeight="1">
      <c r="A18817" s="1">
        <v>20008.0</v>
      </c>
      <c r="B18817" s="3" t="s">
        <v>17799</v>
      </c>
      <c r="C18817" s="3" t="str">
        <f>IFERROR(__xludf.DUMMYFUNCTION("GOOGLETRANSLATE(B18817,""id"",""en"")"),"['Disappointed', 'Login', 'Try', 'Method', 'Login', 'Wrong', 'Where', 'Woii', ""]")</f>
        <v>['Disappointed', 'Login', 'Try', 'Method', 'Login', 'Wrong', 'Where', 'Woii', "]</v>
      </c>
      <c r="D18817" s="3">
        <v>1.0</v>
      </c>
    </row>
    <row r="18818" ht="15.75" customHeight="1">
      <c r="A18818" s="1">
        <v>20009.0</v>
      </c>
      <c r="B18818" s="3" t="s">
        <v>17800</v>
      </c>
      <c r="C18818" s="3" t="str">
        <f>IFERROR(__xludf.DUMMYFUNCTION("GOOGLETRANSLATE(B18818,""id"",""en"")"),"['', 'Easy', 'MyTelkomsel']")</f>
        <v>['', 'Easy', 'MyTelkomsel']</v>
      </c>
      <c r="D18818" s="3">
        <v>5.0</v>
      </c>
    </row>
    <row r="18819" ht="15.75" customHeight="1">
      <c r="A18819" s="1">
        <v>20010.0</v>
      </c>
      <c r="B18819" s="3" t="s">
        <v>17801</v>
      </c>
      <c r="C18819" s="3" t="str">
        <f>IFERROR(__xludf.DUMMYFUNCTION("GOOGLETRANSLATE(B18819,""id"",""en"")"),"['KSNI', 'package', 'expensive', 'dikasi', 'application', 'MyTelkomsel', 'buy', 'Package', 'Telkomsel', 'use', 'Telkomsel', 'Must', ' Different ',' package ',' dikasi ',' number ',' ']")</f>
        <v>['KSNI', 'package', 'expensive', 'dikasi', 'application', 'MyTelkomsel', 'buy', 'Package', 'Telkomsel', 'use', 'Telkomsel', 'Must', ' Different ',' package ',' dikasi ',' number ',' ']</v>
      </c>
      <c r="D18819" s="3">
        <v>1.0</v>
      </c>
    </row>
    <row r="18820" ht="15.75" customHeight="1">
      <c r="A18820" s="1">
        <v>20011.0</v>
      </c>
      <c r="B18820" s="3" t="s">
        <v>17802</v>
      </c>
      <c r="C18820" s="3" t="str">
        <f>IFERROR(__xludf.DUMMYFUNCTION("GOOGLETRANSLATE(B18820,""id"",""en"")"),"['paan', 'damn', 'prik', 'application']")</f>
        <v>['paan', 'damn', 'prik', 'application']</v>
      </c>
      <c r="D18820" s="3">
        <v>1.0</v>
      </c>
    </row>
    <row r="18821" ht="15.75" customHeight="1">
      <c r="A18821" s="1">
        <v>20012.0</v>
      </c>
      <c r="B18821" s="3" t="s">
        <v>17803</v>
      </c>
      <c r="C18821" s="3" t="str">
        <f>IFERROR(__xludf.DUMMYFUNCTION("GOOGLETRANSLATE(B18821,""id"",""en"")"),"['quota', 'lapse', 'quota', 'daily', 'quota', 'weekly', 'buy', 'bnyk', 'lie', ""]")</f>
        <v>['quota', 'lapse', 'quota', 'daily', 'quota', 'weekly', 'buy', 'bnyk', 'lie', "]</v>
      </c>
      <c r="D18821" s="3">
        <v>1.0</v>
      </c>
    </row>
    <row r="18822" ht="15.75" customHeight="1">
      <c r="A18822" s="1">
        <v>20013.0</v>
      </c>
      <c r="B18822" s="3" t="s">
        <v>17804</v>
      </c>
      <c r="C18822" s="3" t="str">
        <f>IFERROR(__xludf.DUMMYFUNCTION("GOOGLETRANSLATE(B18822,""id"",""en"")"),"['Open', 'Tekomsel', 'Color', 'White', 'Apikasi', ""]")</f>
        <v>['Open', 'Tekomsel', 'Color', 'White', 'Apikasi', "]</v>
      </c>
      <c r="D18822" s="3">
        <v>3.0</v>
      </c>
    </row>
    <row r="18823" ht="15.75" customHeight="1">
      <c r="A18823" s="1">
        <v>20014.0</v>
      </c>
      <c r="B18823" s="3" t="s">
        <v>17805</v>
      </c>
      <c r="C18823" s="3" t="str">
        <f>IFERROR(__xludf.DUMMYFUNCTION("GOOGLETRANSLATE(B18823,""id"",""en"")"),"['enter', 'application', 'MyTelkomsel', '']")</f>
        <v>['enter', 'application', 'MyTelkomsel', '']</v>
      </c>
      <c r="D18823" s="3">
        <v>1.0</v>
      </c>
    </row>
    <row r="18824" ht="15.75" customHeight="1">
      <c r="A18824" s="1">
        <v>20015.0</v>
      </c>
      <c r="B18824" s="3" t="s">
        <v>17806</v>
      </c>
      <c r="C18824" s="3" t="str">
        <f>IFERROR(__xludf.DUMMYFUNCTION("GOOGLETRANSLATE(B18824,""id"",""en"")"),"['buy', 'package', 'giga', 'max', 'special', 'game', 'quota', 'main', 'self-independent', 'finished', 'sucked', 'play', ' Game ',' quota ',' main ',' quota ',' special ',' game ',' intact ',' used ',' severe ']")</f>
        <v>['buy', 'package', 'giga', 'max', 'special', 'game', 'quota', 'main', 'self-independent', 'finished', 'sucked', 'play', ' Game ',' quota ',' main ',' quota ',' special ',' game ',' intact ',' used ',' severe ']</v>
      </c>
      <c r="D18824" s="3">
        <v>1.0</v>
      </c>
    </row>
    <row r="18825" ht="15.75" customHeight="1">
      <c r="A18825" s="1">
        <v>20016.0</v>
      </c>
      <c r="B18825" s="3" t="s">
        <v>17807</v>
      </c>
      <c r="C18825" s="3" t="str">
        <f>IFERROR(__xludf.DUMMYFUNCTION("GOOGLETRANSLATE(B18825,""id"",""en"")"),"['Good', 'fast', 'efficient']")</f>
        <v>['Good', 'fast', 'efficient']</v>
      </c>
      <c r="D18825" s="3">
        <v>5.0</v>
      </c>
    </row>
    <row r="18826" ht="15.75" customHeight="1">
      <c r="A18826" s="1">
        <v>20017.0</v>
      </c>
      <c r="B18826" s="3" t="s">
        <v>17808</v>
      </c>
      <c r="C18826" s="3" t="str">
        <f>IFERROR(__xludf.DUMMYFUNCTION("GOOGLETRANSLATE(B18826,""id"",""en"")"),"['Help', 'Ojol', 'Indonesia']")</f>
        <v>['Help', 'Ojol', 'Indonesia']</v>
      </c>
      <c r="D18826" s="3">
        <v>5.0</v>
      </c>
    </row>
    <row r="18827" ht="15.75" customHeight="1">
      <c r="A18827" s="1">
        <v>20018.0</v>
      </c>
      <c r="B18827" s="3" t="s">
        <v>17809</v>
      </c>
      <c r="C18827" s="3" t="str">
        <f>IFERROR(__xludf.DUMMYFUNCTION("GOOGLETRANSLATE(B18827,""id"",""en"")"),"['Kartus', 'Telkomsel', 'The', 'Best', 'Signal', 'Where', 'Current', 'Paketan', 'Internet', 'Cheap', ""]")</f>
        <v>['Kartus', 'Telkomsel', 'The', 'Best', 'Signal', 'Where', 'Current', 'Paketan', 'Internet', 'Cheap', "]</v>
      </c>
      <c r="D18827" s="3">
        <v>5.0</v>
      </c>
    </row>
    <row r="18828" ht="15.75" customHeight="1">
      <c r="A18828" s="1">
        <v>20019.0</v>
      </c>
      <c r="B18828" s="3" t="s">
        <v>17810</v>
      </c>
      <c r="C18828" s="3" t="str">
        <f>IFERROR(__xludf.DUMMYFUNCTION("GOOGLETRANSLATE(B18828,""id"",""en"")"),"['like', 'promo']")</f>
        <v>['like', 'promo']</v>
      </c>
      <c r="D18828" s="3">
        <v>4.0</v>
      </c>
    </row>
    <row r="18829" ht="15.75" customHeight="1">
      <c r="A18829" s="1">
        <v>20020.0</v>
      </c>
      <c r="B18829" s="3" t="s">
        <v>17811</v>
      </c>
      <c r="C18829" s="3" t="str">
        <f>IFERROR(__xludf.DUMMYFUNCTION("GOOGLETRANSLATE(B18829,""id"",""en"")"),"['Good', 'Derah', 'indramayu']")</f>
        <v>['Good', 'Derah', 'indramayu']</v>
      </c>
      <c r="D18829" s="3">
        <v>5.0</v>
      </c>
    </row>
    <row r="18830" ht="15.75" customHeight="1">
      <c r="A18830" s="1">
        <v>20021.0</v>
      </c>
      <c r="B18830" s="3" t="s">
        <v>17812</v>
      </c>
      <c r="C18830" s="3" t="str">
        <f>IFERROR(__xludf.DUMMYFUNCTION("GOOGLETRANSLATE(B18830,""id"",""en"")"),"['', 'Maling', 'make', 'data', 'Telkomsel', 'transaction', 'anything', 'knapa', 'credit', 'take', 'a little', 'please', 'why ',' Kek ',' that's', 'Biarin', 'Nge', 'Lossin', 'Addin', 'Feature', 'Lock', 'Credit', 'Credit', 'Cut', 'strange']")</f>
        <v>['', 'Maling', 'make', 'data', 'Telkomsel', 'transaction', 'anything', 'knapa', 'credit', 'take', 'a little', 'please', 'why ',' Kek ',' that's', 'Biarin', 'Nge', 'Lossin', 'Addin', 'Feature', 'Lock', 'Credit', 'Credit', 'Cut', 'strange']</v>
      </c>
      <c r="D18830" s="3">
        <v>1.0</v>
      </c>
    </row>
    <row r="18831" ht="15.75" customHeight="1">
      <c r="A18831" s="1">
        <v>20022.0</v>
      </c>
      <c r="B18831" s="3" t="s">
        <v>17813</v>
      </c>
      <c r="C18831" s="3" t="str">
        <f>IFERROR(__xludf.DUMMYFUNCTION("GOOGLETRANSLATE(B18831,""id"",""en"")"),"['Package', 'bought', 'missing', '']")</f>
        <v>['Package', 'bought', 'missing', '']</v>
      </c>
      <c r="D18831" s="3">
        <v>3.0</v>
      </c>
    </row>
    <row r="18832" ht="15.75" customHeight="1">
      <c r="A18832" s="1">
        <v>20024.0</v>
      </c>
      <c r="B18832" s="3" t="s">
        <v>17814</v>
      </c>
      <c r="C18832" s="3" t="str">
        <f>IFERROR(__xludf.DUMMYFUNCTION("GOOGLETRANSLATE(B18832,""id"",""en"")"),"['access', 'update', '']")</f>
        <v>['access', 'update', '']</v>
      </c>
      <c r="D18832" s="3">
        <v>1.0</v>
      </c>
    </row>
    <row r="18833" ht="15.75" customHeight="1">
      <c r="A18833" s="1">
        <v>20026.0</v>
      </c>
      <c r="B18833" s="3" t="s">
        <v>17815</v>
      </c>
      <c r="C18833" s="3" t="str">
        <f>IFERROR(__xludf.DUMMYFUNCTION("GOOGLETRANSLATE(B18833,""id"",""en"")"),"['Ngak', 'Install', 'Android', 'Since', 'Update', 'Android', 'Application', 'Lost', 'Install', 'What', 'boss', ""]")</f>
        <v>['Ngak', 'Install', 'Android', 'Since', 'Update', 'Android', 'Application', 'Lost', 'Install', 'What', 'boss', "]</v>
      </c>
      <c r="D18833" s="3">
        <v>2.0</v>
      </c>
    </row>
    <row r="18834" ht="15.75" customHeight="1">
      <c r="A18834" s="1">
        <v>20027.0</v>
      </c>
      <c r="B18834" s="3" t="s">
        <v>17816</v>
      </c>
      <c r="C18834" s="3" t="str">
        <f>IFERROR(__xludf.DUMMYFUNCTION("GOOGLETRANSLATE(B18834,""id"",""en"")"),"['Good', 'Bermanaa']")</f>
        <v>['Good', 'Bermanaa']</v>
      </c>
      <c r="D18834" s="3">
        <v>2.0</v>
      </c>
    </row>
    <row r="18835" ht="15.75" customHeight="1">
      <c r="A18835" s="1">
        <v>20028.0</v>
      </c>
      <c r="B18835" s="3" t="s">
        <v>17817</v>
      </c>
      <c r="C18835" s="3" t="str">
        <f>IFERROR(__xludf.DUMMYFUNCTION("GOOGLETRANSLATE(B18835,""id"",""en"")"),"['makes it easier', 'choose', 'package', '']")</f>
        <v>['makes it easier', 'choose', 'package', '']</v>
      </c>
      <c r="D18835" s="3">
        <v>5.0</v>
      </c>
    </row>
    <row r="18836" ht="15.75" customHeight="1">
      <c r="A18836" s="1">
        <v>20029.0</v>
      </c>
      <c r="B18836" s="3" t="s">
        <v>17818</v>
      </c>
      <c r="C18836" s="3" t="str">
        <f>IFERROR(__xludf.DUMMYFUNCTION("GOOGLETRANSLATE(B18836,""id"",""en"")"),"['Ngeapain', 'enter', 'application', 'sound', 'annoying']")</f>
        <v>['Ngeapain', 'enter', 'application', 'sound', 'annoying']</v>
      </c>
      <c r="D18836" s="3">
        <v>3.0</v>
      </c>
    </row>
    <row r="18837" ht="15.75" customHeight="1">
      <c r="A18837" s="1">
        <v>20030.0</v>
      </c>
      <c r="B18837" s="3" t="s">
        <v>17819</v>
      </c>
      <c r="C18837" s="3" t="str">
        <f>IFERROR(__xludf.DUMMYFUNCTION("GOOGLETRANSLATE(B18837,""id"",""en"")"),"['Application', 'reliable']")</f>
        <v>['Application', 'reliable']</v>
      </c>
      <c r="D18837" s="3">
        <v>5.0</v>
      </c>
    </row>
    <row r="18838" ht="15.75" customHeight="1">
      <c r="A18838" s="1">
        <v>20031.0</v>
      </c>
      <c r="B18838" s="3" t="s">
        <v>17820</v>
      </c>
      <c r="C18838" s="3" t="str">
        <f>IFERROR(__xludf.DUMMYFUNCTION("GOOGLETRANSLATE(B18838,""id"",""en"")"),"['Easy', 'Search', 'Kouta', '']")</f>
        <v>['Easy', 'Search', 'Kouta', '']</v>
      </c>
      <c r="D18838" s="3">
        <v>4.0</v>
      </c>
    </row>
    <row r="18839" ht="15.75" customHeight="1">
      <c r="A18839" s="1">
        <v>20033.0</v>
      </c>
      <c r="B18839" s="3" t="s">
        <v>17821</v>
      </c>
      <c r="C18839" s="3" t="str">
        <f>IFERROR(__xludf.DUMMYFUNCTION("GOOGLETRANSLATE(B18839,""id"",""en"")"),"['', 'Metslan', 'application', 'ugly', 'use', 'card', '']")</f>
        <v>['', 'Metslan', 'application', 'ugly', 'use', 'card', '']</v>
      </c>
      <c r="D18839" s="3">
        <v>1.0</v>
      </c>
    </row>
    <row r="18840" ht="15.75" customHeight="1">
      <c r="A18840" s="1">
        <v>20034.0</v>
      </c>
      <c r="B18840" s="3" t="s">
        <v>17822</v>
      </c>
      <c r="C18840" s="3" t="str">
        <f>IFERROR(__xludf.DUMMYFUNCTION("GOOGLETRANSLATE(B18840,""id"",""en"")"),"['good luck']")</f>
        <v>['good luck']</v>
      </c>
      <c r="D18840" s="3">
        <v>2.0</v>
      </c>
    </row>
    <row r="18841" ht="15.75" customHeight="1">
      <c r="A18841" s="1">
        <v>20035.0</v>
      </c>
      <c r="B18841" s="3" t="s">
        <v>17823</v>
      </c>
      <c r="C18841" s="3" t="str">
        <f>IFERROR(__xludf.DUMMYFUNCTION("GOOGLETRANSLATE(B18841,""id"",""en"")"),"['paraahh', 'Open', 'Blank', 'White', 'Screen', 'Update', 'Okay', 'Super', 'Duper', 'ugly', ""]")</f>
        <v>['paraahh', 'Open', 'Blank', 'White', 'Screen', 'Update', 'Okay', 'Super', 'Duper', 'ugly', "]</v>
      </c>
      <c r="D18841" s="3">
        <v>1.0</v>
      </c>
    </row>
    <row r="18842" ht="15.75" customHeight="1">
      <c r="A18842" s="1">
        <v>20036.0</v>
      </c>
      <c r="B18842" s="3" t="s">
        <v>17824</v>
      </c>
      <c r="C18842" s="3" t="str">
        <f>IFERROR(__xludf.DUMMYFUNCTION("GOOGLETRANSLATE(B18842,""id"",""en"")"),"['Telkomsel', 'open', 'already', 'Apus',' download ',' APUS ',' DONWLOAD ',' GKA ',' Open ',' How ',' Solution ',' Ribet ',' cave ',' see ',' leftover ',' kouta ',' buy ',' kouta ',' ']")</f>
        <v>['Telkomsel', 'open', 'already', 'Apus',' download ',' APUS ',' DONWLOAD ',' GKA ',' Open ',' How ',' Solution ',' Ribet ',' cave ',' see ',' leftover ',' kouta ',' buy ',' kouta ',' ']</v>
      </c>
      <c r="D18842" s="3">
        <v>3.0</v>
      </c>
    </row>
    <row r="18843" ht="15.75" customHeight="1">
      <c r="A18843" s="1">
        <v>20038.0</v>
      </c>
      <c r="B18843" s="3" t="s">
        <v>17825</v>
      </c>
      <c r="C18843" s="3" t="str">
        <f>IFERROR(__xludf.DUMMYFUNCTION("GOOGLETRANSLATE(B18843,""id"",""en"")"),"['application', 'blank', 'white', 'failed', 'checkout', 'like', 'cut', 'pulse', 'signal', 'bad', 'call', 'emergency']")</f>
        <v>['application', 'blank', 'white', 'failed', 'checkout', 'like', 'cut', 'pulse', 'signal', 'bad', 'call', 'emergency']</v>
      </c>
      <c r="D18843" s="3">
        <v>1.0</v>
      </c>
    </row>
    <row r="18844" ht="15.75" customHeight="1">
      <c r="A18844" s="1">
        <v>20039.0</v>
      </c>
      <c r="B18844" s="3" t="s">
        <v>17826</v>
      </c>
      <c r="C18844" s="3" t="str">
        <f>IFERROR(__xludf.DUMMYFUNCTION("GOOGLETRANSLATE(B18844,""id"",""en"")"),"['buy', 'quota', 'a day', 'buy', 'hour', 'malem', 'active', 'clock', 'naha', 'until', 'clock', 'malem', ' The next day ',' Rungkad ',' siti ']")</f>
        <v>['buy', 'quota', 'a day', 'buy', 'hour', 'malem', 'active', 'clock', 'naha', 'until', 'clock', 'malem', ' The next day ',' Rungkad ',' siti ']</v>
      </c>
      <c r="D18844" s="3">
        <v>1.0</v>
      </c>
    </row>
    <row r="18845" ht="15.75" customHeight="1">
      <c r="A18845" s="1">
        <v>20040.0</v>
      </c>
      <c r="B18845" s="3" t="s">
        <v>17827</v>
      </c>
      <c r="C18845" s="3" t="str">
        <f>IFERROR(__xludf.DUMMYFUNCTION("GOOGLETRANSLATE(B18845,""id"",""en"")"),"['difficult', 'entry', 'ampunnnn', 'contents', 'pket', 'Dataaa', 'enter', '']")</f>
        <v>['difficult', 'entry', 'ampunnnn', 'contents', 'pket', 'Dataaa', 'enter', '']</v>
      </c>
      <c r="D18845" s="3">
        <v>1.0</v>
      </c>
    </row>
    <row r="18846" ht="15.75" customHeight="1">
      <c r="A18846" s="1">
        <v>20041.0</v>
      </c>
      <c r="B18846" s="3" t="s">
        <v>17828</v>
      </c>
      <c r="C18846" s="3" t="str">
        <f>IFERROR(__xludf.DUMMYFUNCTION("GOOGLETRANSLATE(B18846,""id"",""en"")"),"['application', 'Telkomsel', 'poor', 'accessible', 'complement', 'repairs',' repairs', 'told', 'contact', 'woy', 'work', 'operator', ' ']")</f>
        <v>['application', 'Telkomsel', 'poor', 'accessible', 'complement', 'repairs',' repairs', 'told', 'contact', 'woy', 'work', 'operator', ' ']</v>
      </c>
      <c r="D18846" s="3">
        <v>1.0</v>
      </c>
    </row>
    <row r="18847" ht="15.75" customHeight="1">
      <c r="A18847" s="1">
        <v>20042.0</v>
      </c>
      <c r="B18847" s="3" t="s">
        <v>17829</v>
      </c>
      <c r="C18847" s="3" t="str">
        <f>IFERROR(__xludf.DUMMYFUNCTION("GOOGLETRANSLATE(B18847,""id"",""en"")"),"['Application', 'a week', 'open']")</f>
        <v>['Application', 'a week', 'open']</v>
      </c>
      <c r="D18847" s="3">
        <v>2.0</v>
      </c>
    </row>
    <row r="18848" ht="15.75" customHeight="1">
      <c r="A18848" s="1">
        <v>20044.0</v>
      </c>
      <c r="B18848" s="3" t="s">
        <v>17830</v>
      </c>
      <c r="C18848" s="3" t="str">
        <f>IFERROR(__xludf.DUMMYFUNCTION("GOOGLETRANSLATE(B18848,""id"",""en"")"),"['Good', 'The application', 'satisfying']")</f>
        <v>['Good', 'The application', 'satisfying']</v>
      </c>
      <c r="D18848" s="3">
        <v>5.0</v>
      </c>
    </row>
    <row r="18849" ht="15.75" customHeight="1">
      <c r="A18849" s="1">
        <v>20045.0</v>
      </c>
      <c r="B18849" s="3" t="s">
        <v>17831</v>
      </c>
      <c r="C18849" s="3" t="str">
        <f>IFERROR(__xludf.DUMMYFUNCTION("GOOGLETRANSLATE(B18849,""id"",""en"")"),"['Benerin', 'Check', 'Quota', 'Log', 'Daily', 'Point', 'ajaa', 'Ngeblank', 'Mulu', 'already', 'Gara', 'Gara', ' Since ',' Updated ',' Burik ',' The Application ']")</f>
        <v>['Benerin', 'Check', 'Quota', 'Log', 'Daily', 'Point', 'ajaa', 'Ngeblank', 'Mulu', 'already', 'Gara', 'Gara', ' Since ',' Updated ',' Burik ',' The Application ']</v>
      </c>
      <c r="D18849" s="3">
        <v>1.0</v>
      </c>
    </row>
    <row r="18850" ht="15.75" customHeight="1">
      <c r="A18850" s="1">
        <v>20046.0</v>
      </c>
      <c r="B18850" s="3" t="s">
        <v>17832</v>
      </c>
      <c r="C18850" s="3" t="str">
        <f>IFERROR(__xludf.DUMMYFUNCTION("GOOGLETRANSLATE(B18850,""id"",""en"")"),"['Steady', 'Telkomsel', 'Helping', 'Consumer', 'Thank']")</f>
        <v>['Steady', 'Telkomsel', 'Helping', 'Consumer', 'Thank']</v>
      </c>
      <c r="D18850" s="3">
        <v>5.0</v>
      </c>
    </row>
    <row r="18851" ht="15.75" customHeight="1">
      <c r="A18851" s="1">
        <v>20047.0</v>
      </c>
      <c r="B18851" s="3" t="s">
        <v>17833</v>
      </c>
      <c r="C18851" s="3" t="str">
        <f>IFERROR(__xludf.DUMMYFUNCTION("GOOGLETRANSLATE(B18851,""id"",""en"")"),"['Upgrade', 'Application', 'MyTelkomsel', 'Direct', 'Opened', 'White', 'Screen', 'Strange', 'Please', 'Repaired', 'Kasi', 'Bintang', ' Repaired ',' Kasi ',' Bintang ',' Thank you ', ""]")</f>
        <v>['Upgrade', 'Application', 'MyTelkomsel', 'Direct', 'Opened', 'White', 'Screen', 'Strange', 'Please', 'Repaired', 'Kasi', 'Bintang', ' Repaired ',' Kasi ',' Bintang ',' Thank you ', "]</v>
      </c>
      <c r="D18851" s="3">
        <v>2.0</v>
      </c>
    </row>
    <row r="18852" ht="15.75" customHeight="1">
      <c r="A18852" s="1">
        <v>20048.0</v>
      </c>
      <c r="B18852" s="3" t="s">
        <v>17834</v>
      </c>
      <c r="C18852" s="3" t="str">
        <f>IFERROR(__xludf.DUMMYFUNCTION("GOOGLETRANSLATE(B18852,""id"",""en"")"),"['apk', 'Telkomsel', 'open', 'date', 'tlg', 'confirm', '']")</f>
        <v>['apk', 'Telkomsel', 'open', 'date', 'tlg', 'confirm', '']</v>
      </c>
      <c r="D18852" s="3">
        <v>1.0</v>
      </c>
    </row>
    <row r="18853" ht="15.75" customHeight="1">
      <c r="A18853" s="1">
        <v>20049.0</v>
      </c>
      <c r="B18853" s="3" t="s">
        <v>17835</v>
      </c>
      <c r="C18853" s="3" t="str">
        <f>IFERROR(__xludf.DUMMYFUNCTION("GOOGLETRANSLATE(B18853,""id"",""en"")"),"['Package', 'expensive', 'signal', 'abal', 'abal']")</f>
        <v>['Package', 'expensive', 'signal', 'abal', 'abal']</v>
      </c>
      <c r="D18853" s="3">
        <v>2.0</v>
      </c>
    </row>
    <row r="18854" ht="15.75" customHeight="1">
      <c r="A18854" s="1">
        <v>20050.0</v>
      </c>
      <c r="B18854" s="3" t="s">
        <v>3567</v>
      </c>
      <c r="C18854" s="3" t="str">
        <f>IFERROR(__xludf.DUMMYFUNCTION("GOOGLETRANSLATE(B18854,""id"",""en"")"),"['easy', '']")</f>
        <v>['easy', '']</v>
      </c>
      <c r="D18854" s="3">
        <v>5.0</v>
      </c>
    </row>
    <row r="18855" ht="15.75" customHeight="1">
      <c r="A18855" s="1">
        <v>20051.0</v>
      </c>
      <c r="B18855" s="3" t="s">
        <v>17836</v>
      </c>
      <c r="C18855" s="3" t="str">
        <f>IFERROR(__xludf.DUMMYFUNCTION("GOOGLETRANSLATE(B18855,""id"",""en"")"),"['oath', 'Respect', 'really', 'Telkomsel', 'price', 'expensive', 'comparable', 'signal', 'slow', 'stay', 'area', 'urban', ' forest ',' please ',' fix ',' network ',' signal ',' thank you ']")</f>
        <v>['oath', 'Respect', 'really', 'Telkomsel', 'price', 'expensive', 'comparable', 'signal', 'slow', 'stay', 'area', 'urban', ' forest ',' please ',' fix ',' network ',' signal ',' thank you ']</v>
      </c>
      <c r="D18855" s="3">
        <v>1.0</v>
      </c>
    </row>
    <row r="18856" ht="15.75" customHeight="1">
      <c r="A18856" s="1">
        <v>20052.0</v>
      </c>
      <c r="B18856" s="3" t="s">
        <v>17837</v>
      </c>
      <c r="C18856" s="3" t="str">
        <f>IFERROR(__xludf.DUMMYFUNCTION("GOOGLETRANSLATE(B18856,""id"",""en"")"),"['Telkomsel', 'poor', 'sinynya', 'open', 'application', 'slow', 'mending', 'use', 'byu', 'friend', 'good']")</f>
        <v>['Telkomsel', 'poor', 'sinynya', 'open', 'application', 'slow', 'mending', 'use', 'byu', 'friend', 'good']</v>
      </c>
      <c r="D18856" s="3">
        <v>1.0</v>
      </c>
    </row>
    <row r="18857" ht="15.75" customHeight="1">
      <c r="A18857" s="1">
        <v>20053.0</v>
      </c>
      <c r="B18857" s="3" t="s">
        <v>17838</v>
      </c>
      <c r="C18857" s="3" t="str">
        <f>IFERROR(__xludf.DUMMYFUNCTION("GOOGLETRANSLATE(B18857,""id"",""en"")"),"['Updated', '']")</f>
        <v>['Updated', '']</v>
      </c>
      <c r="D18857" s="3">
        <v>3.0</v>
      </c>
    </row>
    <row r="18858" ht="15.75" customHeight="1">
      <c r="A18858" s="1">
        <v>20054.0</v>
      </c>
      <c r="B18858" s="3" t="s">
        <v>17839</v>
      </c>
      <c r="C18858" s="3" t="str">
        <f>IFERROR(__xludf.DUMMYFUNCTION("GOOGLETRANSLATE(B18858,""id"",""en"")"),"['How', 'Telkomsel', 'Fill', 'Credit', 'Cut', 'Stay', 'How', '']")</f>
        <v>['How', 'Telkomsel', 'Fill', 'Credit', 'Cut', 'Stay', 'How', '']</v>
      </c>
      <c r="D18858" s="3">
        <v>1.0</v>
      </c>
    </row>
    <row r="18859" ht="15.75" customHeight="1">
      <c r="A18859" s="1">
        <v>20055.0</v>
      </c>
      <c r="B18859" s="3" t="s">
        <v>17840</v>
      </c>
      <c r="C18859" s="3" t="str">
        <f>IFERROR(__xludf.DUMMYFUNCTION("GOOGLETRANSLATE(B18859,""id"",""en"")"),"['bsa', 'open', 'yaa', '']")</f>
        <v>['bsa', 'open', 'yaa', '']</v>
      </c>
      <c r="D18859" s="3">
        <v>2.0</v>
      </c>
    </row>
    <row r="18860" ht="15.75" customHeight="1">
      <c r="A18860" s="1">
        <v>20056.0</v>
      </c>
      <c r="B18860" s="3" t="s">
        <v>17841</v>
      </c>
      <c r="C18860" s="3" t="str">
        <f>IFERROR(__xludf.DUMMYFUNCTION("GOOGLETRANSLATE(B18860,""id"",""en"")"),"['Section', 'opened', 'Diuninstall', 'TRS', 'Install', 'TTP', 'opened', 'Professional', ""]")</f>
        <v>['Section', 'opened', 'Diuninstall', 'TRS', 'Install', 'TTP', 'opened', 'Professional', "]</v>
      </c>
      <c r="D18860" s="3">
        <v>1.0</v>
      </c>
    </row>
    <row r="18861" ht="15.75" customHeight="1">
      <c r="A18861" s="1">
        <v>20057.0</v>
      </c>
      <c r="B18861" s="3" t="s">
        <v>17842</v>
      </c>
      <c r="C18861" s="3" t="str">
        <f>IFERROR(__xludf.DUMMYFUNCTION("GOOGLETRANSLATE(B18861,""id"",""en"")"),"['TOP', 'Help']")</f>
        <v>['TOP', 'Help']</v>
      </c>
      <c r="D18861" s="3">
        <v>5.0</v>
      </c>
    </row>
    <row r="18862" ht="15.75" customHeight="1">
      <c r="A18862" s="1">
        <v>20058.0</v>
      </c>
      <c r="B18862" s="3" t="s">
        <v>17843</v>
      </c>
      <c r="C18862" s="3" t="str">
        <f>IFERROR(__xludf.DUMMYFUNCTION("GOOGLETRANSLATE(B18862,""id"",""en"")"),"['activate', 'package', 'emergency', 'active', 'fill', 'pulse', 'direct', 'truncated', 'severe', 'nihhh']")</f>
        <v>['activate', 'package', 'emergency', 'active', 'fill', 'pulse', 'direct', 'truncated', 'severe', 'nihhh']</v>
      </c>
      <c r="D18862" s="3">
        <v>1.0</v>
      </c>
    </row>
    <row r="18863" ht="15.75" customHeight="1">
      <c r="A18863" s="1">
        <v>20059.0</v>
      </c>
      <c r="B18863" s="3" t="s">
        <v>17844</v>
      </c>
      <c r="C18863" s="3" t="str">
        <f>IFERROR(__xludf.DUMMYFUNCTION("GOOGLETRANSLATE(B18863,""id"",""en"")"),"['Disappointed', 'Application', 'Open', 'Paketan', 'Angus', 'Severe']")</f>
        <v>['Disappointed', 'Application', 'Open', 'Paketan', 'Angus', 'Severe']</v>
      </c>
      <c r="D18863" s="3">
        <v>1.0</v>
      </c>
    </row>
    <row r="18864" ht="15.75" customHeight="1">
      <c r="A18864" s="1">
        <v>20060.0</v>
      </c>
      <c r="B18864" s="3" t="s">
        <v>17845</v>
      </c>
      <c r="C18864" s="3" t="str">
        <f>IFERROR(__xludf.DUMMYFUNCTION("GOOGLETRANSLATE(B18864,""id"",""en"")"),"['promo', 'disappointing']")</f>
        <v>['promo', 'disappointing']</v>
      </c>
      <c r="D18864" s="3">
        <v>3.0</v>
      </c>
    </row>
    <row r="18865" ht="15.75" customHeight="1">
      <c r="A18865" s="1">
        <v>20061.0</v>
      </c>
      <c r="B18865" s="3" t="s">
        <v>17846</v>
      </c>
      <c r="C18865" s="3" t="str">
        <f>IFERROR(__xludf.DUMMYFUNCTION("GOOGLETRANSLATE(B18865,""id"",""en"")"),"['Telkomsel', 'Terbunstal', 'Install', 'FAIL', '']")</f>
        <v>['Telkomsel', 'Terbunstal', 'Install', 'FAIL', '']</v>
      </c>
      <c r="D18865" s="3">
        <v>1.0</v>
      </c>
    </row>
    <row r="18866" ht="15.75" customHeight="1">
      <c r="A18866" s="1">
        <v>20062.0</v>
      </c>
      <c r="B18866" s="3" t="s">
        <v>17847</v>
      </c>
      <c r="C18866" s="3" t="str">
        <f>IFERROR(__xludf.DUMMYFUNCTION("GOOGLETRANSLATE(B18866,""id"",""en"")"),"['Telkomsel', 'Reinstall', 'Time', 'Tetep', 'Way', 'Please', 'Repaired', 'Jka', 'Error', 'System', ""]")</f>
        <v>['Telkomsel', 'Reinstall', 'Time', 'Tetep', 'Way', 'Please', 'Repaired', 'Jka', 'Error', 'System', "]</v>
      </c>
      <c r="D18866" s="3">
        <v>1.0</v>
      </c>
    </row>
    <row r="18867" ht="15.75" customHeight="1">
      <c r="A18867" s="1">
        <v>20063.0</v>
      </c>
      <c r="B18867" s="3" t="s">
        <v>17848</v>
      </c>
      <c r="C18867" s="3" t="str">
        <f>IFERROR(__xludf.DUMMYFUNCTION("GOOGLETRANSLATE(B18867,""id"",""en"")"),"['pig', 'Jan', 'ngespam', 'sms', 'ajg', 'dick', '']")</f>
        <v>['pig', 'Jan', 'ngespam', 'sms', 'ajg', 'dick', '']</v>
      </c>
      <c r="D18867" s="3">
        <v>1.0</v>
      </c>
    </row>
    <row r="18868" ht="15.75" customHeight="1">
      <c r="A18868" s="1">
        <v>20064.0</v>
      </c>
      <c r="B18868" s="3" t="s">
        <v>17849</v>
      </c>
      <c r="C18868" s="3" t="str">
        <f>IFERROR(__xludf.DUMMYFUNCTION("GOOGLETRANSLATE(B18868,""id"",""en"")"),"['update', 'nge', 'bug', 'right', 'check', 'right', 'udh', 'check', 'go home', 'lgi', 'heart', 'please', ' Function ',' Message ',' Telkomsel ',' Eliminate ',' Ngak ',' Udh ',' sendin ',' message ',' via ',' sms', 'jga', 'send', 'message' , 'Via', 'Telkom"&amp;"sel', '']")</f>
        <v>['update', 'nge', 'bug', 'right', 'check', 'right', 'udh', 'check', 'go home', 'lgi', 'heart', 'please', ' Function ',' Message ',' Telkomsel ',' Eliminate ',' Ngak ',' Udh ',' sendin ',' message ',' via ',' sms', 'jga', 'send', 'message' , 'Via', 'Telkomsel', '']</v>
      </c>
      <c r="D18868" s="3">
        <v>1.0</v>
      </c>
    </row>
    <row r="18869" ht="15.75" customHeight="1">
      <c r="A18869" s="1">
        <v>20065.0</v>
      </c>
      <c r="B18869" s="3" t="s">
        <v>17850</v>
      </c>
      <c r="C18869" s="3" t="str">
        <f>IFERROR(__xludf.DUMMYFUNCTION("GOOGLETRANSLATE(B18869,""id"",""en"")"),"['Please', 'Package', 'Quota', 'YouTube', '']")</f>
        <v>['Please', 'Package', 'Quota', 'YouTube', '']</v>
      </c>
      <c r="D18869" s="3">
        <v>2.0</v>
      </c>
    </row>
    <row r="18870" ht="15.75" customHeight="1">
      <c r="A18870" s="1">
        <v>20066.0</v>
      </c>
      <c r="B18870" s="3" t="s">
        <v>17851</v>
      </c>
      <c r="C18870" s="3" t="str">
        <f>IFERROR(__xludf.DUMMYFUNCTION("GOOGLETRANSLATE(B18870,""id"",""en"")"),"['The application', 'opened', 'white', 'tok', 'look']")</f>
        <v>['The application', 'opened', 'white', 'tok', 'look']</v>
      </c>
      <c r="D18870" s="3">
        <v>1.0</v>
      </c>
    </row>
    <row r="18871" ht="15.75" customHeight="1">
      <c r="A18871" s="1">
        <v>20067.0</v>
      </c>
      <c r="B18871" s="3" t="s">
        <v>17852</v>
      </c>
      <c r="C18871" s="3" t="str">
        <f>IFERROR(__xludf.DUMMYFUNCTION("GOOGLETRANSLATE(B18871,""id"",""en"")"),"['Kenpa', 'opened', 'application', 'telkosel']")</f>
        <v>['Kenpa', 'opened', 'application', 'telkosel']</v>
      </c>
      <c r="D18871" s="3">
        <v>5.0</v>
      </c>
    </row>
    <row r="18872" ht="15.75" customHeight="1">
      <c r="A18872" s="1">
        <v>20068.0</v>
      </c>
      <c r="B18872" s="3" t="s">
        <v>17853</v>
      </c>
      <c r="C18872" s="3" t="str">
        <f>IFERROR(__xludf.DUMMYFUNCTION("GOOGLETRANSLATE(B18872,""id"",""en"")"),"['expensive', 'data', 'update', 'expensive', 'move', 'operator']")</f>
        <v>['expensive', 'data', 'update', 'expensive', 'move', 'operator']</v>
      </c>
      <c r="D18872" s="3">
        <v>1.0</v>
      </c>
    </row>
    <row r="18873" ht="15.75" customHeight="1">
      <c r="A18873" s="1">
        <v>20069.0</v>
      </c>
      <c r="B18873" s="3" t="s">
        <v>17854</v>
      </c>
      <c r="C18873" s="3" t="str">
        <f>IFERROR(__xludf.DUMMYFUNCTION("GOOGLETRANSLATE(B18873,""id"",""en"")"),"['Please', 'Sorry', 'opened', 'Since', 'Update']")</f>
        <v>['Please', 'Sorry', 'opened', 'Since', 'Update']</v>
      </c>
      <c r="D18873" s="3">
        <v>1.0</v>
      </c>
    </row>
    <row r="18874" ht="15.75" customHeight="1">
      <c r="A18874" s="1">
        <v>20070.0</v>
      </c>
      <c r="B18874" s="3" t="s">
        <v>17855</v>
      </c>
      <c r="C18874" s="3" t="str">
        <f>IFERROR(__xludf.DUMMYFUNCTION("GOOGLETRANSLATE(B18874,""id"",""en"")"),"['APK', 'cheap', 'hot', 'promo']")</f>
        <v>['APK', 'cheap', 'hot', 'promo']</v>
      </c>
      <c r="D18874" s="3">
        <v>5.0</v>
      </c>
    </row>
    <row r="18875" ht="15.75" customHeight="1">
      <c r="A18875" s="1">
        <v>20071.0</v>
      </c>
      <c r="B18875" s="3" t="s">
        <v>17856</v>
      </c>
      <c r="C18875" s="3" t="str">
        <f>IFERROR(__xludf.DUMMYFUNCTION("GOOGLETRANSLATE(B18875,""id"",""en"")"),"['UDH', 'good', 'menu', 'sometimes', 'open', 'app', 'bug', 'crash', 'disturb', 'really', 'please', 'as soon as possible,' Repaired ']")</f>
        <v>['UDH', 'good', 'menu', 'sometimes', 'open', 'app', 'bug', 'crash', 'disturb', 'really', 'please', 'as soon as possible,' Repaired ']</v>
      </c>
      <c r="D18875" s="3">
        <v>4.0</v>
      </c>
    </row>
    <row r="18876" ht="15.75" customHeight="1">
      <c r="A18876" s="1">
        <v>20072.0</v>
      </c>
      <c r="B18876" s="3" t="s">
        <v>17857</v>
      </c>
      <c r="C18876" s="3" t="str">
        <f>IFERROR(__xludf.DUMMYFUNCTION("GOOGLETRANSLATE(B18876,""id"",""en"")"),"['Please', 'fix', 'screen', 'Telkomsel', 'right', 'open', 'white', 'please', 'fix']")</f>
        <v>['Please', 'fix', 'screen', 'Telkomsel', 'right', 'open', 'white', 'please', 'fix']</v>
      </c>
      <c r="D18876" s="3">
        <v>1.0</v>
      </c>
    </row>
    <row r="18877" ht="15.75" customHeight="1">
      <c r="A18877" s="1">
        <v>20073.0</v>
      </c>
      <c r="B18877" s="3" t="s">
        <v>17858</v>
      </c>
      <c r="C18877" s="3" t="str">
        <f>IFERROR(__xludf.DUMMYFUNCTION("GOOGLETRANSLATE(B18877,""id"",""en"")"),"['Help', 'satisfying']")</f>
        <v>['Help', 'satisfying']</v>
      </c>
      <c r="D18877" s="3">
        <v>5.0</v>
      </c>
    </row>
    <row r="18878" ht="15.75" customHeight="1">
      <c r="A18878" s="1">
        <v>20074.0</v>
      </c>
      <c r="B18878" s="3" t="s">
        <v>17859</v>
      </c>
      <c r="C18878" s="3" t="str">
        <f>IFERROR(__xludf.DUMMYFUNCTION("GOOGLETRANSLATE(B18878,""id"",""en"")"),"['Blank', 'Please', 'Developer', 'fix it']")</f>
        <v>['Blank', 'Please', 'Developer', 'fix it']</v>
      </c>
      <c r="D18878" s="3">
        <v>1.0</v>
      </c>
    </row>
    <row r="18879" ht="15.75" customHeight="1">
      <c r="A18879" s="1">
        <v>20075.0</v>
      </c>
      <c r="B18879" s="3" t="s">
        <v>592</v>
      </c>
      <c r="C18879" s="3" t="str">
        <f>IFERROR(__xludf.DUMMYFUNCTION("GOOGLETRANSLATE(B18879,""id"",""en"")"),"['Telkomsel']")</f>
        <v>['Telkomsel']</v>
      </c>
      <c r="D18879" s="3">
        <v>5.0</v>
      </c>
    </row>
    <row r="18880" ht="15.75" customHeight="1">
      <c r="A18880" s="1">
        <v>20076.0</v>
      </c>
      <c r="B18880" s="3" t="s">
        <v>17860</v>
      </c>
      <c r="C18880" s="3" t="str">
        <f>IFERROR(__xludf.DUMMYFUNCTION("GOOGLETRANSLATE(B18880,""id"",""en"")"),"['Package', 'fair', 'card', 'high school', 'wife', 'package', 'cheap', 'wife', 'buy', 'high school', 'Dou', ""]")</f>
        <v>['Package', 'fair', 'card', 'high school', 'wife', 'package', 'cheap', 'wife', 'buy', 'high school', 'Dou', "]</v>
      </c>
      <c r="D18880" s="3">
        <v>3.0</v>
      </c>
    </row>
    <row r="18881" ht="15.75" customHeight="1">
      <c r="A18881" s="1">
        <v>20077.0</v>
      </c>
      <c r="B18881" s="3" t="s">
        <v>17861</v>
      </c>
      <c r="C18881" s="3" t="str">
        <f>IFERROR(__xludf.DUMMYFUNCTION("GOOGLETRANSLATE(B18881,""id"",""en"")"),"['Update']")</f>
        <v>['Update']</v>
      </c>
      <c r="D18881" s="3">
        <v>5.0</v>
      </c>
    </row>
    <row r="18882" ht="15.75" customHeight="1">
      <c r="A18882" s="1">
        <v>20078.0</v>
      </c>
      <c r="B18882" s="3" t="s">
        <v>17862</v>
      </c>
      <c r="C18882" s="3" t="str">
        <f>IFERROR(__xludf.DUMMYFUNCTION("GOOGLETRANSLATE(B18882,""id"",""en"")"),"['Good', 'update', 'opened', 'mentok', 'screen', 'white']")</f>
        <v>['Good', 'update', 'opened', 'mentok', 'screen', 'white']</v>
      </c>
      <c r="D18882" s="3">
        <v>1.0</v>
      </c>
    </row>
    <row r="18883" ht="15.75" customHeight="1">
      <c r="A18883" s="1">
        <v>20079.0</v>
      </c>
      <c r="B18883" s="3" t="s">
        <v>17863</v>
      </c>
      <c r="C18883" s="3" t="str">
        <f>IFERROR(__xludf.DUMMYFUNCTION("GOOGLETRANSLATE(B18883,""id"",""en"")"),"['Enhanced', 'program', 'discount']")</f>
        <v>['Enhanced', 'program', 'discount']</v>
      </c>
      <c r="D18883" s="3">
        <v>5.0</v>
      </c>
    </row>
    <row r="18884" ht="15.75" customHeight="1">
      <c r="A18884" s="1">
        <v>20080.0</v>
      </c>
      <c r="B18884" s="3" t="s">
        <v>17864</v>
      </c>
      <c r="C18884" s="3" t="str">
        <f>IFERROR(__xludf.DUMMYFUNCTION("GOOGLETRANSLATE(B18884,""id"",""en"")"),"['', 'Install', '']")</f>
        <v>['', 'Install', '']</v>
      </c>
      <c r="D18884" s="3">
        <v>1.0</v>
      </c>
    </row>
    <row r="18885" ht="15.75" customHeight="1">
      <c r="A18885" s="1">
        <v>20081.0</v>
      </c>
      <c r="B18885" s="3" t="s">
        <v>17865</v>
      </c>
      <c r="C18885" s="3" t="str">
        <f>IFERROR(__xludf.DUMMYFUNCTION("GOOGLETRANSLATE(B18885,""id"",""en"")"),"['Package', 'expensive', 'kek']")</f>
        <v>['Package', 'expensive', 'kek']</v>
      </c>
      <c r="D18885" s="3">
        <v>1.0</v>
      </c>
    </row>
    <row r="18886" ht="15.75" customHeight="1">
      <c r="A18886" s="1">
        <v>20082.0</v>
      </c>
      <c r="B18886" s="3" t="s">
        <v>17866</v>
      </c>
      <c r="C18886" s="3" t="str">
        <f>IFERROR(__xludf.DUMMYFUNCTION("GOOGLETRANSLATE(B18886,""id"",""en"")"),"['expensive', 'slow', 'mantavv']")</f>
        <v>['expensive', 'slow', 'mantavv']</v>
      </c>
      <c r="D18886" s="3">
        <v>1.0</v>
      </c>
    </row>
    <row r="18887" ht="15.75" customHeight="1">
      <c r="A18887" s="1">
        <v>20083.0</v>
      </c>
      <c r="B18887" s="3" t="s">
        <v>17867</v>
      </c>
      <c r="C18887" s="3" t="str">
        <f>IFERROR(__xludf.DUMMYFUNCTION("GOOGLETRANSLATE(B18887,""id"",""en"")"),"['free', 'min', '']")</f>
        <v>['free', 'min', '']</v>
      </c>
      <c r="D18887" s="3">
        <v>5.0</v>
      </c>
    </row>
    <row r="18888" ht="15.75" customHeight="1">
      <c r="A18888" s="1">
        <v>20084.0</v>
      </c>
      <c r="B18888" s="3" t="s">
        <v>17868</v>
      </c>
      <c r="C18888" s="3" t="str">
        <f>IFERROR(__xludf.DUMMYFUNCTION("GOOGLETRANSLATE(B18888,""id"",""en"")"),"['Out', 'Update', 'Open', 'Blank', 'White', 'Screen', '']")</f>
        <v>['Out', 'Update', 'Open', 'Blank', 'White', 'Screen', '']</v>
      </c>
      <c r="D18888" s="3">
        <v>4.0</v>
      </c>
    </row>
    <row r="18889" ht="15.75" customHeight="1">
      <c r="A18889" s="1">
        <v>20085.0</v>
      </c>
      <c r="B18889" s="3" t="s">
        <v>17869</v>
      </c>
      <c r="C18889" s="3" t="str">
        <f>IFERROR(__xludf.DUMMYFUNCTION("GOOGLETRANSLATE(B18889,""id"",""en"")"),"['Good', 'Service', 'Tiadk', 'Main', 'Internet', 'Direct', 'Abis', 'GB']")</f>
        <v>['Good', 'Service', 'Tiadk', 'Main', 'Internet', 'Direct', 'Abis', 'GB']</v>
      </c>
      <c r="D18889" s="3">
        <v>3.0</v>
      </c>
    </row>
    <row r="18890" ht="15.75" customHeight="1">
      <c r="A18890" s="1">
        <v>20086.0</v>
      </c>
      <c r="B18890" s="3" t="s">
        <v>667</v>
      </c>
      <c r="C18890" s="3" t="str">
        <f>IFERROR(__xludf.DUMMYFUNCTION("GOOGLETRANSLATE(B18890,""id"",""en"")"),"['Application', 'Help', ""]")</f>
        <v>['Application', 'Help', "]</v>
      </c>
      <c r="D18890" s="3">
        <v>5.0</v>
      </c>
    </row>
    <row r="18891" ht="15.75" customHeight="1">
      <c r="A18891" s="1">
        <v>20088.0</v>
      </c>
      <c r="B18891" s="3" t="s">
        <v>17870</v>
      </c>
      <c r="C18891" s="3" t="str">
        <f>IFERROR(__xludf.DUMMYFUNCTION("GOOGLETRANSLATE(B18891,""id"",""en"")"),"['Internet', 'Ngelag', 'Padahl', 'Reinstall', 'times', 'Please', 'LIGHT', 'APP', 'Useful', 'Fill', 'Data']")</f>
        <v>['Internet', 'Ngelag', 'Padahl', 'Reinstall', 'times', 'Please', 'LIGHT', 'APP', 'Useful', 'Fill', 'Data']</v>
      </c>
      <c r="D18891" s="3">
        <v>1.0</v>
      </c>
    </row>
    <row r="18892" ht="15.75" customHeight="1">
      <c r="A18892" s="1">
        <v>20090.0</v>
      </c>
      <c r="B18892" s="3" t="s">
        <v>17871</v>
      </c>
      <c r="C18892" s="3" t="str">
        <f>IFERROR(__xludf.DUMMYFUNCTION("GOOGLETRANSLATE(B18892,""id"",""en"")"),"['Open', 'signal', 'stable', 'missing', 'price', 'package', 'expensive', 'service', 'bad', 'Please', 'fix']")</f>
        <v>['Open', 'signal', 'stable', 'missing', 'price', 'package', 'expensive', 'service', 'bad', 'Please', 'fix']</v>
      </c>
      <c r="D18892" s="3">
        <v>1.0</v>
      </c>
    </row>
    <row r="18893" ht="15.75" customHeight="1">
      <c r="A18893" s="1">
        <v>20091.0</v>
      </c>
      <c r="B18893" s="3" t="s">
        <v>17872</v>
      </c>
      <c r="C18893" s="3" t="str">
        <f>IFERROR(__xludf.DUMMYFUNCTION("GOOGLETRANSLATE(B18893,""id"",""en"")"),"['Helping', 'Purchases', 'Use', 'Communication', 'Hoping', 'Package', 'Cheap', 'Helping', 'groups', 'Student', 'Student', ""]")</f>
        <v>['Helping', 'Purchases', 'Use', 'Communication', 'Hoping', 'Package', 'Cheap', 'Helping', 'groups', 'Student', 'Student', "]</v>
      </c>
      <c r="D18893" s="3">
        <v>5.0</v>
      </c>
    </row>
    <row r="18894" ht="15.75" customHeight="1">
      <c r="A18894" s="1">
        <v>20092.0</v>
      </c>
      <c r="B18894" s="3" t="s">
        <v>17873</v>
      </c>
      <c r="C18894" s="3" t="str">
        <f>IFERROR(__xludf.DUMMYFUNCTION("GOOGLETRANSLATE(B18894,""id"",""en"")"),"['Disappointed', 'Ujan', 'little', 'Internet', 'LEG', 'Jakarta', 'Forest', ""]")</f>
        <v>['Disappointed', 'Ujan', 'little', 'Internet', 'LEG', 'Jakarta', 'Forest', "]</v>
      </c>
      <c r="D18894" s="3">
        <v>1.0</v>
      </c>
    </row>
    <row r="18895" ht="15.75" customHeight="1">
      <c r="A18895" s="1">
        <v>20093.0</v>
      </c>
      <c r="B18895" s="3" t="s">
        <v>17874</v>
      </c>
      <c r="C18895" s="3" t="str">
        <f>IFERROR(__xludf.DUMMYFUNCTION("GOOGLETRANSLATE(B18895,""id"",""en"")"),"['update', 'apdate', 'open', 'blank', 'delete', 'then', 'install', 'blank']")</f>
        <v>['update', 'apdate', 'open', 'blank', 'delete', 'then', 'install', 'blank']</v>
      </c>
      <c r="D18895" s="3">
        <v>1.0</v>
      </c>
    </row>
    <row r="18896" ht="15.75" customHeight="1">
      <c r="A18896" s="1">
        <v>20094.0</v>
      </c>
      <c r="B18896" s="3" t="s">
        <v>17875</v>
      </c>
      <c r="C18896" s="3" t="str">
        <f>IFERROR(__xludf.DUMMYFUNCTION("GOOGLETRANSLATE(B18896,""id"",""en"")"),"['Apps', 'open']")</f>
        <v>['Apps', 'open']</v>
      </c>
      <c r="D18896" s="3">
        <v>3.0</v>
      </c>
    </row>
    <row r="18897" ht="15.75" customHeight="1">
      <c r="A18897" s="1">
        <v>20096.0</v>
      </c>
      <c r="B18897" s="3" t="s">
        <v>17876</v>
      </c>
      <c r="C18897" s="3" t="str">
        <f>IFERROR(__xludf.DUMMYFUNCTION("GOOGLETRANSLATE(B18897,""id"",""en"")"),"['Try', 'DLO', 'NTR', 'Good', 'Kaaih', 'Star']")</f>
        <v>['Try', 'DLO', 'NTR', 'Good', 'Kaaih', 'Star']</v>
      </c>
      <c r="D18897" s="3">
        <v>3.0</v>
      </c>
    </row>
    <row r="18898" ht="15.75" customHeight="1">
      <c r="A18898" s="1">
        <v>20097.0</v>
      </c>
      <c r="B18898" s="3" t="s">
        <v>17877</v>
      </c>
      <c r="C18898" s="3" t="str">
        <f>IFERROR(__xludf.DUMMYFUNCTION("GOOGLETRANSLATE(B18898,""id"",""en"")"),"['Package', 'Combo', 'Cheap', 'Donk', '']")</f>
        <v>['Package', 'Combo', 'Cheap', 'Donk', '']</v>
      </c>
      <c r="D18898" s="3">
        <v>5.0</v>
      </c>
    </row>
    <row r="18899" ht="15.75" customHeight="1">
      <c r="A18899" s="1">
        <v>20098.0</v>
      </c>
      <c r="B18899" s="3" t="s">
        <v>17878</v>
      </c>
      <c r="C18899" s="3" t="str">
        <f>IFERROR(__xludf.DUMMYFUNCTION("GOOGLETRANSLATE(B18899,""id"",""en"")"),"['Bagus', 'really', 'easy', 'buy', 'package']")</f>
        <v>['Bagus', 'really', 'easy', 'buy', 'package']</v>
      </c>
      <c r="D18899" s="3">
        <v>5.0</v>
      </c>
    </row>
    <row r="18900" ht="15.75" customHeight="1">
      <c r="A18900" s="1">
        <v>20099.0</v>
      </c>
      <c r="B18900" s="3" t="s">
        <v>10648</v>
      </c>
      <c r="C18900" s="3" t="str">
        <f>IFERROR(__xludf.DUMMYFUNCTION("GOOGLETRANSLATE(B18900,""id"",""en"")"),"['Star', 'Talk']")</f>
        <v>['Star', 'Talk']</v>
      </c>
      <c r="D18900" s="3">
        <v>1.0</v>
      </c>
    </row>
    <row r="18901" ht="15.75" customHeight="1">
      <c r="A18901" s="1">
        <v>20100.0</v>
      </c>
      <c r="B18901" s="3" t="s">
        <v>17879</v>
      </c>
      <c r="C18901" s="3" t="str">
        <f>IFERROR(__xludf.DUMMYFUNCTION("GOOGLETRANSLATE(B18901,""id"",""en"")"),"['Mantap', 'Combonya', 'DIAKTIPLY']")</f>
        <v>['Mantap', 'Combonya', 'DIAKTIPLY']</v>
      </c>
      <c r="D18901" s="3">
        <v>5.0</v>
      </c>
    </row>
    <row r="18902" ht="15.75" customHeight="1">
      <c r="A18902" s="1">
        <v>20101.0</v>
      </c>
      <c r="B18902" s="3" t="s">
        <v>17880</v>
      </c>
      <c r="C18902" s="3" t="str">
        <f>IFERROR(__xludf.DUMMYFUNCTION("GOOGLETRANSLATE(B18902,""id"",""en"")"),"['Help', 'easy', 'checked', 'leftover', 'pulses', '']")</f>
        <v>['Help', 'easy', 'checked', 'leftover', 'pulses', '']</v>
      </c>
      <c r="D18902" s="3">
        <v>5.0</v>
      </c>
    </row>
    <row r="18903" ht="15.75" customHeight="1">
      <c r="A18903" s="1">
        <v>20102.0</v>
      </c>
      <c r="B18903" s="3" t="s">
        <v>17881</v>
      </c>
      <c r="C18903" s="3" t="str">
        <f>IFERROR(__xludf.DUMMYFUNCTION("GOOGLETRANSLATE(B18903,""id"",""en"")"),"['update', 'application', 'opened', 'application', 'please', 'repaired', 'disappointed']")</f>
        <v>['update', 'application', 'opened', 'application', 'please', 'repaired', 'disappointed']</v>
      </c>
      <c r="D18903" s="3">
        <v>1.0</v>
      </c>
    </row>
    <row r="18904" ht="15.75" customHeight="1">
      <c r="A18904" s="1">
        <v>20103.0</v>
      </c>
      <c r="B18904" s="3" t="s">
        <v>17882</v>
      </c>
      <c r="C18904" s="3" t="str">
        <f>IFERROR(__xludf.DUMMYFUNCTION("GOOGLETRANSLATE(B18904,""id"",""en"")"),"['horrendous']")</f>
        <v>['horrendous']</v>
      </c>
      <c r="D18904" s="3">
        <v>5.0</v>
      </c>
    </row>
    <row r="18905" ht="15.75" customHeight="1">
      <c r="A18905" s="1">
        <v>20104.0</v>
      </c>
      <c r="B18905" s="3" t="s">
        <v>17883</v>
      </c>
      <c r="C18905" s="3" t="str">
        <f>IFERROR(__xludf.DUMMYFUNCTION("GOOGLETRANSLATE(B18905,""id"",""en"")"),"['Application', 'Severe', 'Open', '']")</f>
        <v>['Application', 'Severe', 'Open', '']</v>
      </c>
      <c r="D18905" s="3">
        <v>1.0</v>
      </c>
    </row>
    <row r="18906" ht="15.75" customHeight="1">
      <c r="A18906" s="1">
        <v>20105.0</v>
      </c>
      <c r="B18906" s="3" t="s">
        <v>17884</v>
      </c>
      <c r="C18906" s="3" t="str">
        <f>IFERROR(__xludf.DUMMYFUNCTION("GOOGLETRANSLATE(B18906,""id"",""en"")"),"['Good', 'Sihh', 'expensive', '']")</f>
        <v>['Good', 'Sihh', 'expensive', '']</v>
      </c>
      <c r="D18906" s="3">
        <v>3.0</v>
      </c>
    </row>
    <row r="18907" ht="15.75" customHeight="1">
      <c r="A18907" s="1">
        <v>20106.0</v>
      </c>
      <c r="B18907" s="3" t="s">
        <v>17885</v>
      </c>
      <c r="C18907" s="3" t="str">
        <f>IFERROR(__xludf.DUMMYFUNCTION("GOOGLETRANSLATE(B18907,""id"",""en"")"),"['With you', 'Telkomsel', 'makes it easy', 'Karna', 'check', 'quota', 'pls',' complicated ',' stay ',' open ',' apk ',' knp ',' UDH ',' BBRP ',' Gabisa ',' opened ',' gabisa ',' check ',' gabisa ',' get ',' bonus', 'deh', 'hadehh', 'screen', 'white' , 'Mu"&amp;"lu', 'replace', 'kek', 'color', 'colorful', 'variation', 'kzl']")</f>
        <v>['With you', 'Telkomsel', 'makes it easy', 'Karna', 'check', 'quota', 'pls',' complicated ',' stay ',' open ',' apk ',' knp ',' UDH ',' BBRP ',' Gabisa ',' opened ',' gabisa ',' check ',' gabisa ',' get ',' bonus', 'deh', 'hadehh', 'screen', 'white' , 'Mulu', 'replace', 'kek', 'color', 'colorful', 'variation', 'kzl']</v>
      </c>
      <c r="D18907" s="3">
        <v>1.0</v>
      </c>
    </row>
    <row r="18908" ht="15.75" customHeight="1">
      <c r="A18908" s="1">
        <v>20107.0</v>
      </c>
      <c r="B18908" s="3" t="s">
        <v>17886</v>
      </c>
      <c r="C18908" s="3" t="str">
        <f>IFERROR(__xludf.DUMMYFUNCTION("GOOGLETRANSLATE(B18908,""id"",""en"")"),"['', 'Love', 'Tebaik']")</f>
        <v>['', 'Love', 'Tebaik']</v>
      </c>
      <c r="D18908" s="3">
        <v>5.0</v>
      </c>
    </row>
    <row r="18909" ht="15.75" customHeight="1">
      <c r="A18909" s="1">
        <v>20108.0</v>
      </c>
      <c r="B18909" s="3" t="s">
        <v>17887</v>
      </c>
      <c r="C18909" s="3" t="str">
        <f>IFERROR(__xludf.DUMMYFUNCTION("GOOGLETRANSLATE(B18909,""id"",""en"")"),"['Sis', 'Telkomsel', 'Open']")</f>
        <v>['Sis', 'Telkomsel', 'Open']</v>
      </c>
      <c r="D18909" s="3">
        <v>5.0</v>
      </c>
    </row>
    <row r="18910" ht="15.75" customHeight="1">
      <c r="A18910" s="1">
        <v>20109.0</v>
      </c>
      <c r="B18910" s="3" t="s">
        <v>17888</v>
      </c>
      <c r="C18910" s="3" t="str">
        <f>IFERROR(__xludf.DUMMYFUNCTION("GOOGLETRANSLATE(B18910,""id"",""en"")"),"['Get', 'promo', 'nii']")</f>
        <v>['Get', 'promo', 'nii']</v>
      </c>
      <c r="D18910" s="3">
        <v>4.0</v>
      </c>
    </row>
    <row r="18911" ht="15.75" customHeight="1">
      <c r="A18911" s="1">
        <v>20110.0</v>
      </c>
      <c r="B18911" s="3" t="s">
        <v>17889</v>
      </c>
      <c r="C18911" s="3" t="str">
        <f>IFERROR(__xludf.DUMMYFUNCTION("GOOGLETRANSLATE(B18911,""id"",""en"")"),"['The application', 'Useful']")</f>
        <v>['The application', 'Useful']</v>
      </c>
      <c r="D18911" s="3">
        <v>5.0</v>
      </c>
    </row>
    <row r="18912" ht="15.75" customHeight="1">
      <c r="A18912" s="1">
        <v>20111.0</v>
      </c>
      <c r="B18912" s="3" t="s">
        <v>17890</v>
      </c>
      <c r="C18912" s="3" t="str">
        <f>IFERROR(__xludf.DUMMYFUNCTION("GOOGLETRANSLATE(B18912,""id"",""en"")"),"['multiply', 'promo', 'package', 'data', 'all', 'network', 'promo', 'package', 'call', '']")</f>
        <v>['multiply', 'promo', 'package', 'data', 'all', 'network', 'promo', 'package', 'call', '']</v>
      </c>
      <c r="D18912" s="3">
        <v>5.0</v>
      </c>
    </row>
    <row r="18913" ht="15.75" customHeight="1">
      <c r="A18913" s="1">
        <v>20113.0</v>
      </c>
      <c r="B18913" s="3" t="s">
        <v>17891</v>
      </c>
      <c r="C18913" s="3" t="str">
        <f>IFERROR(__xludf.DUMMYFUNCTION("GOOGLETRANSLATE(B18913,""id"",""en"")"),"['application', 'good', 'fast']")</f>
        <v>['application', 'good', 'fast']</v>
      </c>
      <c r="D18913" s="3">
        <v>5.0</v>
      </c>
    </row>
    <row r="18914" ht="15.75" customHeight="1">
      <c r="A18914" s="1">
        <v>20114.0</v>
      </c>
      <c r="B18914" s="3" t="s">
        <v>17892</v>
      </c>
      <c r="C18914" s="3" t="str">
        <f>IFERROR(__xludf.DUMMYFUNCTION("GOOGLETRANSLATE(B18914,""id"",""en"")"),"['network', 'fix', 'buy', 'data', 'expensive', 'signal', 'detrimental', '']")</f>
        <v>['network', 'fix', 'buy', 'data', 'expensive', 'signal', 'detrimental', '']</v>
      </c>
      <c r="D18914" s="3">
        <v>2.0</v>
      </c>
    </row>
    <row r="18915" ht="15.75" customHeight="1">
      <c r="A18915" s="1">
        <v>20115.0</v>
      </c>
      <c r="B18915" s="3" t="s">
        <v>17893</v>
      </c>
      <c r="C18915" s="3" t="str">
        <f>IFERROR(__xludf.DUMMYFUNCTION("GOOGLETRANSLATE(B18915,""id"",""en"")"),"['connection', 'road', 'min', 'stem', 'full', 'please', 'fix', 'fast', 'min', 'exam']")</f>
        <v>['connection', 'road', 'min', 'stem', 'full', 'please', 'fix', 'fast', 'min', 'exam']</v>
      </c>
      <c r="D18915" s="3">
        <v>2.0</v>
      </c>
    </row>
    <row r="18916" ht="15.75" customHeight="1">
      <c r="A18916" s="1">
        <v>20116.0</v>
      </c>
      <c r="B18916" s="3" t="s">
        <v>17894</v>
      </c>
      <c r="C18916" s="3" t="str">
        <f>IFERROR(__xludf.DUMMYFUNCTION("GOOGLETRANSLATE(B18916,""id"",""en"")"),"['A ',' Package ',' Malahl ',' expensive ',' thousand ',' thousand ',' complicated ',' really ',' beg ',' acts', ""]")</f>
        <v>['A ',' Package ',' Malahl ',' expensive ',' thousand ',' thousand ',' complicated ',' really ',' beg ',' acts', "]</v>
      </c>
      <c r="D18916" s="3">
        <v>3.0</v>
      </c>
    </row>
    <row r="18917" ht="15.75" customHeight="1">
      <c r="A18917" s="1">
        <v>20117.0</v>
      </c>
      <c r="B18917" s="3" t="s">
        <v>17895</v>
      </c>
      <c r="C18917" s="3" t="str">
        <f>IFERROR(__xludf.DUMMYFUNCTION("GOOGLETRANSLATE(B18917,""id"",""en"")"),"['used', 'system', 'Android', '']")</f>
        <v>['used', 'system', 'Android', '']</v>
      </c>
      <c r="D18917" s="3">
        <v>1.0</v>
      </c>
    </row>
    <row r="18918" ht="15.75" customHeight="1">
      <c r="A18918" s="1">
        <v>20118.0</v>
      </c>
      <c r="B18918" s="3" t="s">
        <v>17896</v>
      </c>
      <c r="C18918" s="3" t="str">
        <f>IFERROR(__xludf.DUMMYFUNCTION("GOOGLETRANSLATE(B18918,""id"",""en"")"),"['Date', 'des', 'des', 'open', 'application', 'Telkomsel', 'blank', 'white', ""]")</f>
        <v>['Date', 'des', 'des', 'open', 'application', 'Telkomsel', 'blank', 'white', "]</v>
      </c>
      <c r="D18918" s="3">
        <v>1.0</v>
      </c>
    </row>
    <row r="18919" ht="15.75" customHeight="1">
      <c r="A18919" s="1">
        <v>20119.0</v>
      </c>
      <c r="B18919" s="3" t="s">
        <v>17897</v>
      </c>
      <c r="C18919" s="3" t="str">
        <f>IFERROR(__xludf.DUMMYFUNCTION("GOOGLETRANSLATE(B18919,""id"",""en"")"),"['Signal', 'Sring', 'ilang', 'Ngegame', 'Ngelag', 'Want']")</f>
        <v>['Signal', 'Sring', 'ilang', 'Ngegame', 'Ngelag', 'Want']</v>
      </c>
      <c r="D18919" s="3">
        <v>1.0</v>
      </c>
    </row>
    <row r="18920" ht="15.75" customHeight="1">
      <c r="A18920" s="1">
        <v>20120.0</v>
      </c>
      <c r="B18920" s="3" t="s">
        <v>17898</v>
      </c>
      <c r="C18920" s="3" t="str">
        <f>IFERROR(__xludf.DUMMYFUNCTION("GOOGLETRANSLATE(B18920,""id"",""en"")"),"['Please', 'Addin', 'Features', 'Credit', 'Safe']")</f>
        <v>['Please', 'Addin', 'Features', 'Credit', 'Safe']</v>
      </c>
      <c r="D18920" s="3">
        <v>1.0</v>
      </c>
    </row>
    <row r="18921" ht="15.75" customHeight="1">
      <c r="A18921" s="1">
        <v>20121.0</v>
      </c>
      <c r="B18921" s="3" t="s">
        <v>17899</v>
      </c>
      <c r="C18921" s="3" t="str">
        <f>IFERROR(__xludf.DUMMYFUNCTION("GOOGLETRANSLATE(B18921,""id"",""en"")"),"['easy', 'steady', '']")</f>
        <v>['easy', 'steady', '']</v>
      </c>
      <c r="D18921" s="3">
        <v>5.0</v>
      </c>
    </row>
    <row r="18922" ht="15.75" customHeight="1">
      <c r="A18922" s="1">
        <v>20122.0</v>
      </c>
      <c r="B18922" s="3" t="s">
        <v>17900</v>
      </c>
      <c r="C18922" s="3" t="str">
        <f>IFERROR(__xludf.DUMMYFUNCTION("GOOGLETRANSLATE(B18922,""id"",""en"")"),"['', 'DPT', 'Install', 'MyTelkomsel', 'sdgkn', 'laen', 'thx']")</f>
        <v>['', 'DPT', 'Install', 'MyTelkomsel', 'sdgkn', 'laen', 'thx']</v>
      </c>
      <c r="D18922" s="3">
        <v>1.0</v>
      </c>
    </row>
    <row r="18923" ht="15.75" customHeight="1">
      <c r="A18923" s="1">
        <v>20123.0</v>
      </c>
      <c r="B18923" s="3" t="s">
        <v>17901</v>
      </c>
      <c r="C18923" s="3" t="str">
        <f>IFERROR(__xludf.DUMMYFUNCTION("GOOGLETRANSLATE(B18923,""id"",""en"")"),"['app', 'can', 'open', 'apakh', 'version', 'compatible', 'Samsung', 'point', 'knp', 'jdi', 'hard', 'app', ' TELKOMSEL ',' PLAY ',' Bat ',' Gegara ',' App ',' Sampe ',' Hidup ',' Function ',' Like ',' App ',' Telkomsel ', ""]")</f>
        <v>['app', 'can', 'open', 'apakh', 'version', 'compatible', 'Samsung', 'point', 'knp', 'jdi', 'hard', 'app', ' TELKOMSEL ',' PLAY ',' Bat ',' Gegara ',' App ',' Sampe ',' Hidup ',' Function ',' Like ',' App ',' Telkomsel ', "]</v>
      </c>
      <c r="D18923" s="3">
        <v>1.0</v>
      </c>
    </row>
    <row r="18924" ht="15.75" customHeight="1">
      <c r="A18924" s="1">
        <v>20124.0</v>
      </c>
      <c r="B18924" s="3" t="s">
        <v>17902</v>
      </c>
      <c r="C18924" s="3" t="str">
        <f>IFERROR(__xludf.DUMMYFUNCTION("GOOGLETRANSLATE(B18924,""id"",""en"")"),"['Telkomsel', 'Network', 'Apes', 'really', 'Mending', 'Move', 'Cui']")</f>
        <v>['Telkomsel', 'Network', 'Apes', 'really', 'Mending', 'Move', 'Cui']</v>
      </c>
      <c r="D18924" s="3">
        <v>1.0</v>
      </c>
    </row>
    <row r="18925" ht="15.75" customHeight="1">
      <c r="A18925" s="1">
        <v>20125.0</v>
      </c>
      <c r="B18925" s="3" t="s">
        <v>17903</v>
      </c>
      <c r="C18925" s="3" t="str">
        <f>IFERROR(__xludf.DUMMYFUNCTION("GOOGLETRANSLATE(B18925,""id"",""en"")"),"['Bad', 'The network', 'Telkomsel', 'bad', 'Mending', 'Move', 'Propider', 'Move', ""]")</f>
        <v>['Bad', 'The network', 'Telkomsel', 'bad', 'Mending', 'Move', 'Propider', 'Move', "]</v>
      </c>
      <c r="D18925" s="3">
        <v>4.0</v>
      </c>
    </row>
    <row r="18926" ht="15.75" customHeight="1">
      <c r="A18926" s="1">
        <v>20126.0</v>
      </c>
      <c r="B18926" s="3" t="s">
        <v>3713</v>
      </c>
      <c r="C18926" s="3" t="str">
        <f>IFERROR(__xludf.DUMMYFUNCTION("GOOGLETRANSLATE(B18926,""id"",""en"")"),"['Steady', 'APK']")</f>
        <v>['Steady', 'APK']</v>
      </c>
      <c r="D18926" s="3">
        <v>4.0</v>
      </c>
    </row>
    <row r="18927" ht="15.75" customHeight="1">
      <c r="A18927" s="1">
        <v>20127.0</v>
      </c>
      <c r="B18927" s="3" t="s">
        <v>17904</v>
      </c>
      <c r="C18927" s="3" t="str">
        <f>IFERROR(__xludf.DUMMYFUNCTION("GOOGLETRANSLATE(B18927,""id"",""en"")"),"['Network', 'Joss', 'Gandos', 'dick', 'You', 'Anjeeenk']")</f>
        <v>['Network', 'Joss', 'Gandos', 'dick', 'You', 'Anjeeenk']</v>
      </c>
      <c r="D18927" s="3">
        <v>1.0</v>
      </c>
    </row>
    <row r="18928" ht="15.75" customHeight="1">
      <c r="A18928" s="1">
        <v>20128.0</v>
      </c>
      <c r="B18928" s="3" t="s">
        <v>312</v>
      </c>
      <c r="C18928" s="3" t="str">
        <f>IFERROR(__xludf.DUMMYFUNCTION("GOOGLETRANSLATE(B18928,""id"",""en"")"),"['best']")</f>
        <v>['best']</v>
      </c>
      <c r="D18928" s="3">
        <v>5.0</v>
      </c>
    </row>
    <row r="18929" ht="15.75" customHeight="1">
      <c r="A18929" s="1">
        <v>20129.0</v>
      </c>
      <c r="B18929" s="3" t="s">
        <v>17905</v>
      </c>
      <c r="C18929" s="3" t="str">
        <f>IFERROR(__xludf.DUMMYFUNCTION("GOOGLETRANSLATE(B18929,""id"",""en"")"),"['Telkomsel', 'Login', 'Please', 'Help', 'Boss']")</f>
        <v>['Telkomsel', 'Login', 'Please', 'Help', 'Boss']</v>
      </c>
      <c r="D18929" s="3">
        <v>1.0</v>
      </c>
    </row>
    <row r="18930" ht="15.75" customHeight="1">
      <c r="A18930" s="1">
        <v>20130.0</v>
      </c>
      <c r="B18930" s="3" t="s">
        <v>17906</v>
      </c>
      <c r="C18930" s="3" t="str">
        <f>IFERROR(__xludf.DUMMYFUNCTION("GOOGLETRANSLATE(B18930,""id"",""en"")"),"['Update', 'Update']")</f>
        <v>['Update', 'Update']</v>
      </c>
      <c r="D18930" s="3">
        <v>1.0</v>
      </c>
    </row>
    <row r="18931" ht="15.75" customHeight="1">
      <c r="A18931" s="1">
        <v>20131.0</v>
      </c>
      <c r="B18931" s="3" t="s">
        <v>17907</v>
      </c>
      <c r="C18931" s="3" t="str">
        <f>IFERROR(__xludf.DUMMYFUNCTION("GOOGLETRANSLATE(B18931,""id"",""en"")"),"['After', 'Update', 'Opened', 'Blank', 'White', 'It's',' Many ',' Clear ',' Data ',' Tetep ',' Blank ',' White ',' ']")</f>
        <v>['After', 'Update', 'Opened', 'Blank', 'White', 'It's',' Many ',' Clear ',' Data ',' Tetep ',' Blank ',' White ',' ']</v>
      </c>
      <c r="D18931" s="3">
        <v>4.0</v>
      </c>
    </row>
    <row r="18932" ht="15.75" customHeight="1">
      <c r="A18932" s="1">
        <v>20132.0</v>
      </c>
      <c r="B18932" s="3" t="s">
        <v>17908</v>
      </c>
      <c r="C18932" s="3" t="str">
        <f>IFERROR(__xludf.DUMMYFUNCTION("GOOGLETRANSLATE(B18932,""id"",""en"")"),"['Good', 'coin', 'exchange']")</f>
        <v>['Good', 'coin', 'exchange']</v>
      </c>
      <c r="D18932" s="3">
        <v>5.0</v>
      </c>
    </row>
    <row r="18933" ht="15.75" customHeight="1">
      <c r="A18933" s="1">
        <v>20133.0</v>
      </c>
      <c r="B18933" s="3" t="s">
        <v>17909</v>
      </c>
      <c r="C18933" s="3" t="str">
        <f>IFERROR(__xludf.DUMMYFUNCTION("GOOGLETRANSLATE(B18933,""id"",""en"")"),"['fares', 'expensive', 'kayak', 'cheap', 'performance', 'good', ""]")</f>
        <v>['fares', 'expensive', 'kayak', 'cheap', 'performance', 'good', "]</v>
      </c>
      <c r="D18933" s="3">
        <v>1.0</v>
      </c>
    </row>
    <row r="18934" ht="15.75" customHeight="1">
      <c r="A18934" s="1">
        <v>20134.0</v>
      </c>
      <c r="B18934" s="3" t="s">
        <v>17910</v>
      </c>
      <c r="C18934" s="3" t="str">
        <f>IFERROR(__xludf.DUMMYFUNCTION("GOOGLETRANSLATE(B18934,""id"",""en"")"),"['Telkomsel', 'opened', 'white', 'doang', 'please', 'solution']")</f>
        <v>['Telkomsel', 'opened', 'white', 'doang', 'please', 'solution']</v>
      </c>
      <c r="D18934" s="3">
        <v>5.0</v>
      </c>
    </row>
    <row r="18935" ht="15.75" customHeight="1">
      <c r="A18935" s="1">
        <v>20135.0</v>
      </c>
      <c r="B18935" s="3" t="s">
        <v>2750</v>
      </c>
      <c r="C18935" s="3" t="str">
        <f>IFERROR(__xludf.DUMMYFUNCTION("GOOGLETRANSLATE(B18935,""id"",""en"")"),"['Good', 'help', ""]")</f>
        <v>['Good', 'help', "]</v>
      </c>
      <c r="D18935" s="3">
        <v>5.0</v>
      </c>
    </row>
    <row r="18936" ht="15.75" customHeight="1">
      <c r="A18936" s="1">
        <v>20136.0</v>
      </c>
      <c r="B18936" s="3" t="s">
        <v>17911</v>
      </c>
      <c r="C18936" s="3" t="str">
        <f>IFERROR(__xludf.DUMMYFUNCTION("GOOGLETRANSLATE(B18936,""id"",""en"")"),"['Credit', 'cave', 'isep', 'cave', 'telephone', 'sms',' package ',' quota ',' internet ',' pulse ',' cave ',' okib ',' Telkomsel ',' thief ']")</f>
        <v>['Credit', 'cave', 'isep', 'cave', 'telephone', 'sms',' package ',' quota ',' internet ',' pulse ',' cave ',' okib ',' Telkomsel ',' thief ']</v>
      </c>
      <c r="D18936" s="3">
        <v>1.0</v>
      </c>
    </row>
    <row r="18937" ht="15.75" customHeight="1">
      <c r="A18937" s="1">
        <v>20137.0</v>
      </c>
      <c r="B18937" s="3" t="s">
        <v>17912</v>
      </c>
      <c r="C18937" s="3" t="str">
        <f>IFERROR(__xludf.DUMMYFUNCTION("GOOGLETRANSLATE(B18937,""id"",""en"")"),"['Telkomsel', 'service', 'bad', 'no', 'solution', 'manager', 'timid', 'take', 'policy', 'official', '']")</f>
        <v>['Telkomsel', 'service', 'bad', 'no', 'solution', 'manager', 'timid', 'take', 'policy', 'official', '']</v>
      </c>
      <c r="D18937" s="3">
        <v>1.0</v>
      </c>
    </row>
    <row r="18938" ht="15.75" customHeight="1">
      <c r="A18938" s="1">
        <v>20138.0</v>
      </c>
      <c r="B18938" s="3" t="s">
        <v>17913</v>
      </c>
      <c r="C18938" s="3" t="str">
        <f>IFERROR(__xludf.DUMMYFUNCTION("GOOGLETRANSLATE(B18938,""id"",""en"")"),"['buy', 'package', 'data', 'delicious', 'cheap']")</f>
        <v>['buy', 'package', 'data', 'delicious', 'cheap']</v>
      </c>
      <c r="D18938" s="3">
        <v>5.0</v>
      </c>
    </row>
    <row r="18939" ht="15.75" customHeight="1">
      <c r="A18939" s="1">
        <v>20140.0</v>
      </c>
      <c r="B18939" s="3" t="s">
        <v>17914</v>
      </c>
      <c r="C18939" s="3" t="str">
        <f>IFERROR(__xludf.DUMMYFUNCTION("GOOGLETRANSLATE(B18939,""id"",""en"")"),"['kauta', 'unlimited', 'use', 'kauta', 'unlimited', 'use', '']")</f>
        <v>['kauta', 'unlimited', 'use', 'kauta', 'unlimited', 'use', '']</v>
      </c>
      <c r="D18939" s="3">
        <v>1.0</v>
      </c>
    </row>
    <row r="18940" ht="15.75" customHeight="1">
      <c r="A18940" s="1">
        <v>20141.0</v>
      </c>
      <c r="B18940" s="3" t="s">
        <v>17915</v>
      </c>
      <c r="C18940" s="3" t="str">
        <f>IFERROR(__xludf.DUMMYFUNCTION("GOOGLETRANSLATE(B18940,""id"",""en"")"),"['signal', 'okay', 'joss', 'trimakasih', 'telkomsel']")</f>
        <v>['signal', 'okay', 'joss', 'trimakasih', 'telkomsel']</v>
      </c>
      <c r="D18940" s="3">
        <v>5.0</v>
      </c>
    </row>
    <row r="18941" ht="15.75" customHeight="1">
      <c r="A18941" s="1">
        <v>20142.0</v>
      </c>
      <c r="B18941" s="3" t="s">
        <v>17916</v>
      </c>
      <c r="C18941" s="3" t="str">
        <f>IFERROR(__xludf.DUMMYFUNCTION("GOOGLETRANSLATE(B18941,""id"",""en"")"),"['APK', 'no', 'good', 'already', 'broken', 'update', 'my APK', 'opened', 'please', 'repair']")</f>
        <v>['APK', 'no', 'good', 'already', 'broken', 'update', 'my APK', 'opened', 'please', 'repair']</v>
      </c>
      <c r="D18941" s="3">
        <v>1.0</v>
      </c>
    </row>
    <row r="18942" ht="15.75" customHeight="1">
      <c r="A18942" s="1">
        <v>20143.0</v>
      </c>
      <c r="B18942" s="3" t="s">
        <v>17917</v>
      </c>
      <c r="C18942" s="3" t="str">
        <f>IFERROR(__xludf.DUMMYFUNCTION("GOOGLETRANSLATE(B18942,""id"",""en"")"),"['Application', 'Telkomsel', 'Open', 'How']")</f>
        <v>['Application', 'Telkomsel', 'Open', 'How']</v>
      </c>
      <c r="D18942" s="3">
        <v>2.0</v>
      </c>
    </row>
    <row r="18943" ht="15.75" customHeight="1">
      <c r="A18943" s="1">
        <v>20144.0</v>
      </c>
      <c r="B18943" s="3" t="s">
        <v>17918</v>
      </c>
      <c r="C18943" s="3" t="str">
        <f>IFERROR(__xludf.DUMMYFUNCTION("GOOGLETRANSLATE(B18943,""id"",""en"")"),"['Alhamdulillah', 'benefits', 'trimks']")</f>
        <v>['Alhamdulillah', 'benefits', 'trimks']</v>
      </c>
      <c r="D18943" s="3">
        <v>5.0</v>
      </c>
    </row>
    <row r="18944" ht="15.75" customHeight="1">
      <c r="A18944" s="1">
        <v>20145.0</v>
      </c>
      <c r="B18944" s="3" t="s">
        <v>17919</v>
      </c>
      <c r="C18944" s="3" t="str">
        <f>IFERROR(__xludf.DUMMYFUNCTION("GOOGLETRANSLATE(B18944,""id"",""en"")"),"['Application', 'MyTelkomsel', 'Sudden', 'Uninstall', 'Install', 'Application', 'Normal', 'please', 'explanation', ""]")</f>
        <v>['Application', 'MyTelkomsel', 'Sudden', 'Uninstall', 'Install', 'Application', 'Normal', 'please', 'explanation', "]</v>
      </c>
      <c r="D18944" s="3">
        <v>1.0</v>
      </c>
    </row>
    <row r="18945" ht="15.75" customHeight="1">
      <c r="A18945" s="1">
        <v>20146.0</v>
      </c>
      <c r="B18945" s="3" t="s">
        <v>9114</v>
      </c>
      <c r="C18945" s="3" t="str">
        <f>IFERROR(__xludf.DUMMYFUNCTION("GOOGLETRANSLATE(B18945,""id"",""en"")"),"['Package', 'Internet', 'expensive']")</f>
        <v>['Package', 'Internet', 'expensive']</v>
      </c>
      <c r="D18945" s="3">
        <v>2.0</v>
      </c>
    </row>
    <row r="18946" ht="15.75" customHeight="1">
      <c r="A18946" s="1">
        <v>20147.0</v>
      </c>
      <c r="B18946" s="3" t="s">
        <v>17920</v>
      </c>
      <c r="C18946" s="3" t="str">
        <f>IFERROR(__xludf.DUMMYFUNCTION("GOOGLETRANSLATE(B18946,""id"",""en"")"),"['Application', 'users', 'Telkomsel', 'check', 'quota', 'package', 'internet']")</f>
        <v>['Application', 'users', 'Telkomsel', 'check', 'quota', 'package', 'internet']</v>
      </c>
      <c r="D18946" s="3">
        <v>5.0</v>
      </c>
    </row>
    <row r="18947" ht="15.75" customHeight="1">
      <c r="A18947" s="1">
        <v>20150.0</v>
      </c>
      <c r="B18947" s="3" t="s">
        <v>17921</v>
      </c>
      <c r="C18947" s="3" t="str">
        <f>IFERROR(__xludf.DUMMYFUNCTION("GOOGLETRANSLATE(B18947,""id"",""en"")"),"['Good', 'easy', 'access']")</f>
        <v>['Good', 'easy', 'access']</v>
      </c>
      <c r="D18947" s="3">
        <v>4.0</v>
      </c>
    </row>
    <row r="18948" ht="15.75" customHeight="1">
      <c r="A18948" s="1">
        <v>20151.0</v>
      </c>
      <c r="B18948" s="3" t="s">
        <v>17922</v>
      </c>
      <c r="C18948" s="3" t="str">
        <f>IFERROR(__xludf.DUMMYFUNCTION("GOOGLETRANSLATE(B18948,""id"",""en"")"),"['msh', 'try', 'good', 'ksh', 'star']")</f>
        <v>['msh', 'try', 'good', 'ksh', 'star']</v>
      </c>
      <c r="D18948" s="3">
        <v>4.0</v>
      </c>
    </row>
    <row r="18949" ht="15.75" customHeight="1">
      <c r="A18949" s="1">
        <v>20152.0</v>
      </c>
      <c r="B18949" s="3" t="s">
        <v>17923</v>
      </c>
      <c r="C18949" s="3" t="str">
        <f>IFERROR(__xludf.DUMMYFUNCTION("GOOGLETRANSLATE(B18949,""id"",""en"")"),"['', 'good', 'okay', 'love', 'lgi']")</f>
        <v>['', 'good', 'okay', 'love', 'lgi']</v>
      </c>
      <c r="D18949" s="3">
        <v>3.0</v>
      </c>
    </row>
    <row r="18950" ht="15.75" customHeight="1">
      <c r="A18950" s="1">
        <v>20153.0</v>
      </c>
      <c r="B18950" s="3" t="s">
        <v>17924</v>
      </c>
      <c r="C18950" s="3" t="str">
        <f>IFERROR(__xludf.DUMMYFUNCTION("GOOGLETRANSLATE(B18950,""id"",""en"")"),"['Telkomsel', 'open', 'service', 'disappointing', '']")</f>
        <v>['Telkomsel', 'open', 'service', 'disappointing', '']</v>
      </c>
      <c r="D18950" s="3">
        <v>1.0</v>
      </c>
    </row>
    <row r="18951" ht="15.75" customHeight="1">
      <c r="A18951" s="1">
        <v>20154.0</v>
      </c>
      <c r="B18951" s="3" t="s">
        <v>17925</v>
      </c>
      <c r="C18951" s="3" t="str">
        <f>IFERROR(__xludf.DUMMYFUNCTION("GOOGLETRANSLATE(B18951,""id"",""en"")"),"['Woy', 'Telkomsel', 'Network', 'Benerin', 'play', 'signal', 'laq']")</f>
        <v>['Woy', 'Telkomsel', 'Network', 'Benerin', 'play', 'signal', 'laq']</v>
      </c>
      <c r="D18951" s="3">
        <v>5.0</v>
      </c>
    </row>
    <row r="18952" ht="15.75" customHeight="1">
      <c r="A18952" s="1">
        <v>20156.0</v>
      </c>
      <c r="B18952" s="3" t="s">
        <v>17926</v>
      </c>
      <c r="C18952" s="3" t="str">
        <f>IFERROR(__xludf.DUMMYFUNCTION("GOOGLETRANSLATE(B18952,""id"",""en"")"),"['suggestion', 'hard', 'kmuu', 'telkomsel', 'mending', 'price', 'package', 'kmu', 'down', 'play', 'game', 'network', ' quota ',' expensive ',' network ',' buy ',' quota ',' expensive ',' expensive ',' love ',' signal ',' play ',' game ',' onet ',' ngeleg "&amp;"' , 'play', 'pub', 'bales', 'chat', 'read', 'read', 'ngk', 'response', ""]")</f>
        <v>['suggestion', 'hard', 'kmuu', 'telkomsel', 'mending', 'price', 'package', 'kmu', 'down', 'play', 'game', 'network', ' quota ',' expensive ',' network ',' buy ',' quota ',' expensive ',' expensive ',' love ',' signal ',' play ',' game ',' onet ',' ngeleg ' , 'play', 'pub', 'bales', 'chat', 'read', 'read', 'ngk', 'response', "]</v>
      </c>
      <c r="D18952" s="3">
        <v>1.0</v>
      </c>
    </row>
    <row r="18953" ht="15.75" customHeight="1">
      <c r="A18953" s="1">
        <v>20157.0</v>
      </c>
      <c r="B18953" s="3" t="s">
        <v>17927</v>
      </c>
      <c r="C18953" s="3" t="str">
        <f>IFERROR(__xludf.DUMMYFUNCTION("GOOGLETRANSLATE(B18953,""id"",""en"")"),"['Severe', 'signal', 'Telkomsel', '']")</f>
        <v>['Severe', 'signal', 'Telkomsel', '']</v>
      </c>
      <c r="D18953" s="3">
        <v>1.0</v>
      </c>
    </row>
    <row r="18954" ht="15.75" customHeight="1">
      <c r="A18954" s="1">
        <v>20158.0</v>
      </c>
      <c r="B18954" s="3" t="s">
        <v>1167</v>
      </c>
      <c r="C18954" s="3" t="str">
        <f>IFERROR(__xludf.DUMMYFUNCTION("GOOGLETRANSLATE(B18954,""id"",""en"")"),"['help']")</f>
        <v>['help']</v>
      </c>
      <c r="D18954" s="3">
        <v>3.0</v>
      </c>
    </row>
    <row r="18955" ht="15.75" customHeight="1">
      <c r="A18955" s="1">
        <v>20159.0</v>
      </c>
      <c r="B18955" s="3" t="s">
        <v>17928</v>
      </c>
      <c r="C18955" s="3" t="str">
        <f>IFERROR(__xludf.DUMMYFUNCTION("GOOGLETRANSLATE(B18955,""id"",""en"")"),"['Steady', 'Margnon']")</f>
        <v>['Steady', 'Margnon']</v>
      </c>
      <c r="D18955" s="3">
        <v>5.0</v>
      </c>
    </row>
    <row r="18956" ht="15.75" customHeight="1">
      <c r="A18956" s="1">
        <v>20160.0</v>
      </c>
      <c r="B18956" s="3" t="s">
        <v>17929</v>
      </c>
      <c r="C18956" s="3" t="str">
        <f>IFERROR(__xludf.DUMMYFUNCTION("GOOGLETRANSLATE(B18956,""id"",""en"")"),"['Disappointed', 'BGNI']")</f>
        <v>['Disappointed', 'BGNI']</v>
      </c>
      <c r="D18956" s="3">
        <v>1.0</v>
      </c>
    </row>
    <row r="18957" ht="15.75" customHeight="1">
      <c r="A18957" s="1">
        <v>20161.0</v>
      </c>
      <c r="B18957" s="3" t="s">
        <v>17930</v>
      </c>
      <c r="C18957" s="3" t="str">
        <f>IFERROR(__xludf.DUMMYFUNCTION("GOOGLETRANSLATE(B18957,""id"",""en"")"),"['How', 'Normal', 'TMPILAN', 'Blank', 'White', 'NGK', 'Shame', 'What', ""]")</f>
        <v>['How', 'Normal', 'TMPILAN', 'Blank', 'White', 'NGK', 'Shame', 'What', "]</v>
      </c>
      <c r="D18957" s="3">
        <v>1.0</v>
      </c>
    </row>
    <row r="18958" ht="15.75" customHeight="1">
      <c r="A18958" s="1">
        <v>20162.0</v>
      </c>
      <c r="B18958" s="3" t="s">
        <v>17931</v>
      </c>
      <c r="C18958" s="3" t="str">
        <f>IFERROR(__xludf.DUMMYFUNCTION("GOOGLETRANSLATE(B18958,""id"",""en"")"),"['Week', 'Yesterday', 'Application', 'Telkomsel', 'Yesterday', 'Update', 'Open', 'Samsung', 'Error', 'Network', 'emang', 'Error', ' APK ',' Sampe ',' Times', 'Delete', 'Download', 'Tetep', 'Enter', 'Trima', 'Love', 'Hopefully', 'Fast', 'Fix', '']")</f>
        <v>['Week', 'Yesterday', 'Application', 'Telkomsel', 'Yesterday', 'Update', 'Open', 'Samsung', 'Error', 'Network', 'emang', 'Error', ' APK ',' Sampe ',' Times', 'Delete', 'Download', 'Tetep', 'Enter', 'Trima', 'Love', 'Hopefully', 'Fast', 'Fix', '']</v>
      </c>
      <c r="D18958" s="3">
        <v>1.0</v>
      </c>
    </row>
    <row r="18959" ht="15.75" customHeight="1">
      <c r="A18959" s="1">
        <v>20163.0</v>
      </c>
      <c r="B18959" s="3" t="s">
        <v>17932</v>
      </c>
      <c r="C18959" s="3" t="str">
        <f>IFERROR(__xludf.DUMMYFUNCTION("GOOGLETRANSLATE(B18959,""id"",""en"")"),"['App', 'Error', 'Gara', 'App', 'Telkomsel', 'App', 'Google', 'Playstore', 'Etc.', 'Stop', 'Maap', 'Ane', ' Uninstall ',' Error ',' ane ',' ']")</f>
        <v>['App', 'Error', 'Gara', 'App', 'Telkomsel', 'App', 'Google', 'Playstore', 'Etc.', 'Stop', 'Maap', 'Ane', ' Uninstall ',' Error ',' ane ',' ']</v>
      </c>
      <c r="D18959" s="3">
        <v>1.0</v>
      </c>
    </row>
    <row r="18960" ht="15.75" customHeight="1">
      <c r="A18960" s="1">
        <v>20164.0</v>
      </c>
      <c r="B18960" s="3" t="s">
        <v>17933</v>
      </c>
      <c r="C18960" s="3" t="str">
        <f>IFERROR(__xludf.DUMMYFUNCTION("GOOGLETRANSLATE(B18960,""id"",""en"")"),"['update', 'error', 'picture', 'white', 'doang', '']")</f>
        <v>['update', 'error', 'picture', 'white', 'doang', '']</v>
      </c>
      <c r="D18960" s="3">
        <v>1.0</v>
      </c>
    </row>
    <row r="18961" ht="15.75" customHeight="1">
      <c r="A18961" s="1">
        <v>20165.0</v>
      </c>
      <c r="B18961" s="3" t="s">
        <v>17934</v>
      </c>
      <c r="C18961" s="3" t="str">
        <f>IFERROR(__xludf.DUMMYFUNCTION("GOOGLETRANSLATE(B18961,""id"",""en"")"),"['user', 'promo', 'love', 'star', '']")</f>
        <v>['user', 'promo', 'love', 'star', '']</v>
      </c>
      <c r="D18961" s="3">
        <v>3.0</v>
      </c>
    </row>
    <row r="18962" ht="15.75" customHeight="1">
      <c r="A18962" s="1">
        <v>20166.0</v>
      </c>
      <c r="B18962" s="3" t="s">
        <v>17935</v>
      </c>
      <c r="C18962" s="3" t="str">
        <f>IFERROR(__xludf.DUMMYFUNCTION("GOOGLETRANSLATE(B18962,""id"",""en"")"),"['Top', 'Telkomsel']")</f>
        <v>['Top', 'Telkomsel']</v>
      </c>
      <c r="D18962" s="3">
        <v>5.0</v>
      </c>
    </row>
    <row r="18963" ht="15.75" customHeight="1">
      <c r="A18963" s="1">
        <v>20167.0</v>
      </c>
      <c r="B18963" s="3" t="s">
        <v>17936</v>
      </c>
      <c r="C18963" s="3" t="str">
        <f>IFERROR(__xludf.DUMMYFUNCTION("GOOGLETRANSLATE(B18963,""id"",""en"")"),"['Change', 'cellphone', 'access', 'Telkomsel']")</f>
        <v>['Change', 'cellphone', 'access', 'Telkomsel']</v>
      </c>
      <c r="D18963" s="3">
        <v>1.0</v>
      </c>
    </row>
    <row r="18964" ht="15.75" customHeight="1">
      <c r="A18964" s="1">
        <v>20168.0</v>
      </c>
      <c r="B18964" s="3" t="s">
        <v>17937</v>
      </c>
      <c r="C18964" s="3" t="str">
        <f>IFERROR(__xludf.DUMMYFUNCTION("GOOGLETRANSLATE(B18964,""id"",""en"")"),"['Koq', 'Telkomsel', 'no', 'dbuka']")</f>
        <v>['Koq', 'Telkomsel', 'no', 'dbuka']</v>
      </c>
      <c r="D18964" s="3">
        <v>5.0</v>
      </c>
    </row>
    <row r="18965" ht="15.75" customHeight="1">
      <c r="A18965" s="1">
        <v>20169.0</v>
      </c>
      <c r="B18965" s="3" t="s">
        <v>17938</v>
      </c>
      <c r="C18965" s="3" t="str">
        <f>IFERROR(__xludf.DUMMYFUNCTION("GOOGLETRANSLATE(B18965,""id"",""en"")"),"['Price', 'expensive', 'connection', 'slow']")</f>
        <v>['Price', 'expensive', 'connection', 'slow']</v>
      </c>
      <c r="D18965" s="3">
        <v>1.0</v>
      </c>
    </row>
    <row r="18966" ht="15.75" customHeight="1">
      <c r="A18966" s="1">
        <v>20171.0</v>
      </c>
      <c r="B18966" s="3" t="s">
        <v>17939</v>
      </c>
      <c r="C18966" s="3" t="str">
        <f>IFERROR(__xludf.DUMMYFUNCTION("GOOGLETRANSLATE(B18966,""id"",""en"")"),"['', 'use', 'Kouta', 'Telkomsel', 'use', 'The network', 'changed', 'Severe', 'ugly', 'friend', 'use', 'Telkomse', 'suggest ',' use ',' klau ',' run out ',' my computer ',' move ',' deh ']")</f>
        <v>['', 'use', 'Kouta', 'Telkomsel', 'use', 'The network', 'changed', 'Severe', 'ugly', 'friend', 'use', 'Telkomse', 'suggest ',' use ',' klau ',' run out ',' my computer ',' move ',' deh ']</v>
      </c>
      <c r="D18966" s="3">
        <v>1.0</v>
      </c>
    </row>
    <row r="18967" ht="15.75" customHeight="1">
      <c r="A18967" s="1">
        <v>20172.0</v>
      </c>
      <c r="B18967" s="3" t="s">
        <v>3222</v>
      </c>
      <c r="C18967" s="3" t="str">
        <f>IFERROR(__xludf.DUMMYFUNCTION("GOOGLETRANSLATE(B18967,""id"",""en"")"),"['satisfying', '']")</f>
        <v>['satisfying', '']</v>
      </c>
      <c r="D18967" s="3">
        <v>5.0</v>
      </c>
    </row>
    <row r="18968" ht="15.75" customHeight="1">
      <c r="A18968" s="1">
        <v>20173.0</v>
      </c>
      <c r="B18968" s="3" t="s">
        <v>17940</v>
      </c>
      <c r="C18968" s="3" t="str">
        <f>IFERROR(__xludf.DUMMYFUNCTION("GOOGLETRANSLATE(B18968,""id"",""en"")"),"['Tuker', 'coin', 'quota', '']")</f>
        <v>['Tuker', 'coin', 'quota', '']</v>
      </c>
      <c r="D18968" s="3">
        <v>1.0</v>
      </c>
    </row>
    <row r="18969" ht="15.75" customHeight="1">
      <c r="A18969" s="1">
        <v>20174.0</v>
      </c>
      <c r="B18969" s="3" t="s">
        <v>17941</v>
      </c>
      <c r="C18969" s="3" t="str">
        <f>IFERROR(__xludf.DUMMYFUNCTION("GOOGLETRANSLATE(B18969,""id"",""en"")"),"['application', 'update', 'date', 'gabisa', 'use', 'blank', 'white', 'apps',' uninstall ',' install ',' reinstall ',' please ',' Repair ',' ']")</f>
        <v>['application', 'update', 'date', 'gabisa', 'use', 'blank', 'white', 'apps',' uninstall ',' install ',' reinstall ',' please ',' Repair ',' ']</v>
      </c>
      <c r="D18969" s="3">
        <v>2.0</v>
      </c>
    </row>
    <row r="18970" ht="15.75" customHeight="1">
      <c r="A18970" s="1">
        <v>20175.0</v>
      </c>
      <c r="B18970" s="3" t="s">
        <v>17942</v>
      </c>
      <c r="C18970" s="3" t="str">
        <f>IFERROR(__xludf.DUMMYFUNCTION("GOOGLETRANSLATE(B18970,""id"",""en"")"),"['already', 'expensive', 'ngellag', 'expensive', 'TPI', 'ngellag', 'gapapa', 'notif', 'sms',' mulu ',' please ',' fix ',' Telkomsel ',' Skarang ',' Different ', ""]")</f>
        <v>['already', 'expensive', 'ngellag', 'expensive', 'TPI', 'ngellag', 'gapapa', 'notif', 'sms',' mulu ',' please ',' fix ',' Telkomsel ',' Skarang ',' Different ', "]</v>
      </c>
      <c r="D18970" s="3">
        <v>1.0</v>
      </c>
    </row>
    <row r="18971" ht="15.75" customHeight="1">
      <c r="A18971" s="1">
        <v>20176.0</v>
      </c>
      <c r="B18971" s="3" t="s">
        <v>17943</v>
      </c>
      <c r="C18971" s="3" t="str">
        <f>IFERROR(__xludf.DUMMYFUNCTION("GOOGLETRANSLATE(B18971,""id"",""en"")"),"['The application', 'price', 'package', 'cheap', '']")</f>
        <v>['The application', 'price', 'package', 'cheap', '']</v>
      </c>
      <c r="D18971" s="3">
        <v>5.0</v>
      </c>
    </row>
    <row r="18972" ht="15.75" customHeight="1">
      <c r="A18972" s="1">
        <v>20177.0</v>
      </c>
      <c r="B18972" s="3" t="s">
        <v>17944</v>
      </c>
      <c r="C18972" s="3" t="str">
        <f>IFERROR(__xludf.DUMMYFUNCTION("GOOGLETRANSLATE(B18972,""id"",""en"")"),"['Good', 'Points', 'Shop']")</f>
        <v>['Good', 'Points', 'Shop']</v>
      </c>
      <c r="D18972" s="3">
        <v>5.0</v>
      </c>
    </row>
    <row r="18973" ht="15.75" customHeight="1">
      <c r="A18973" s="1">
        <v>20178.0</v>
      </c>
      <c r="B18973" s="3" t="s">
        <v>17945</v>
      </c>
      <c r="C18973" s="3" t="str">
        <f>IFERROR(__xludf.DUMMYFUNCTION("GOOGLETRANSLATE(B18973,""id"",""en"")"),"['signal', 'Tiarp']")</f>
        <v>['signal', 'Tiarp']</v>
      </c>
      <c r="D18973" s="3">
        <v>1.0</v>
      </c>
    </row>
    <row r="18974" ht="15.75" customHeight="1">
      <c r="A18974" s="1">
        <v>20179.0</v>
      </c>
      <c r="B18974" s="3" t="s">
        <v>17946</v>
      </c>
      <c r="C18974" s="3" t="str">
        <f>IFERROR(__xludf.DUMMYFUNCTION("GOOGLETRANSLATE(B18974,""id"",""en"")"),"['Telkomsel', 'APK', 'slow', 'buy', 'data', 'use', 'gopay', 'clock', 'digestin', 'change', 'method', 'appears',' appear']")</f>
        <v>['Telkomsel', 'APK', 'slow', 'buy', 'data', 'use', 'gopay', 'clock', 'digestin', 'change', 'method', 'appears',' appear']</v>
      </c>
      <c r="D18974" s="3">
        <v>2.0</v>
      </c>
    </row>
    <row r="18975" ht="15.75" customHeight="1">
      <c r="A18975" s="1">
        <v>20180.0</v>
      </c>
      <c r="B18975" s="3" t="s">
        <v>12628</v>
      </c>
      <c r="C18975" s="3" t="str">
        <f>IFERROR(__xludf.DUMMYFUNCTION("GOOGLETRANSLATE(B18975,""id"",""en"")"),"['Application', 'Telkomsel']")</f>
        <v>['Application', 'Telkomsel']</v>
      </c>
      <c r="D18975" s="3">
        <v>5.0</v>
      </c>
    </row>
    <row r="18976" ht="15.75" customHeight="1">
      <c r="A18976" s="1">
        <v>20181.0</v>
      </c>
      <c r="B18976" s="3" t="s">
        <v>17947</v>
      </c>
      <c r="C18976" s="3" t="str">
        <f>IFERROR(__xludf.DUMMYFUNCTION("GOOGLETRANSLATE(B18976,""id"",""en"")"),"['Network', 'slow', 'update', 'severe', 'hrus', 'update', 'good', 'mah', 'disappointed', 'bgin', 'user', 'telkomsel']")</f>
        <v>['Network', 'slow', 'update', 'severe', 'hrus', 'update', 'good', 'mah', 'disappointed', 'bgin', 'user', 'telkomsel']</v>
      </c>
      <c r="D18976" s="3">
        <v>1.0</v>
      </c>
    </row>
    <row r="18977" ht="15.75" customHeight="1">
      <c r="A18977" s="1">
        <v>20182.0</v>
      </c>
      <c r="B18977" s="3" t="s">
        <v>17948</v>
      </c>
      <c r="C18977" s="3" t="str">
        <f>IFERROR(__xludf.DUMMYFUNCTION("GOOGLETRANSLATE(B18977,""id"",""en"")"),"['Telkomsel', 'Increase', 'Signal', 'Red', 'Boss', 'Weather', 'Overcast', 'Dropp', 'Network']")</f>
        <v>['Telkomsel', 'Increase', 'Signal', 'Red', 'Boss', 'Weather', 'Overcast', 'Dropp', 'Network']</v>
      </c>
      <c r="D18977" s="3">
        <v>5.0</v>
      </c>
    </row>
    <row r="18978" ht="15.75" customHeight="1">
      <c r="A18978" s="1">
        <v>20183.0</v>
      </c>
      <c r="B18978" s="3" t="s">
        <v>17949</v>
      </c>
      <c r="C18978" s="3" t="str">
        <f>IFERROR(__xludf.DUMMYFUNCTION("GOOGLETRANSLATE(B18978,""id"",""en"")"),"['poor', 'open']")</f>
        <v>['poor', 'open']</v>
      </c>
      <c r="D18978" s="3">
        <v>1.0</v>
      </c>
    </row>
    <row r="18979" ht="15.75" customHeight="1">
      <c r="A18979" s="1">
        <v>20184.0</v>
      </c>
      <c r="B18979" s="3" t="s">
        <v>17950</v>
      </c>
      <c r="C18979" s="3" t="str">
        <f>IFERROR(__xludf.DUMMYFUNCTION("GOOGLETRANSLATE(B18979,""id"",""en"")"),"['Customer', 'love', 'star', 'dlu', 'hope', 'service', 'useful']")</f>
        <v>['Customer', 'love', 'star', 'dlu', 'hope', 'service', 'useful']</v>
      </c>
      <c r="D18979" s="3">
        <v>3.0</v>
      </c>
    </row>
    <row r="18980" ht="15.75" customHeight="1">
      <c r="A18980" s="1">
        <v>20185.0</v>
      </c>
      <c r="B18980" s="3" t="s">
        <v>2258</v>
      </c>
      <c r="C18980" s="3" t="str">
        <f>IFERROR(__xludf.DUMMYFUNCTION("GOOGLETRANSLATE(B18980,""id"",""en"")"),"['The network', 'bad']")</f>
        <v>['The network', 'bad']</v>
      </c>
      <c r="D18980" s="3">
        <v>1.0</v>
      </c>
    </row>
    <row r="18981" ht="15.75" customHeight="1">
      <c r="A18981" s="1">
        <v>20186.0</v>
      </c>
      <c r="B18981" s="3" t="s">
        <v>17951</v>
      </c>
      <c r="C18981" s="3" t="str">
        <f>IFERROR(__xludf.DUMMYFUNCTION("GOOGLETRANSLATE(B18981,""id"",""en"")"),"['signal', 'ugly', 'difficult', 'ngeblank', 'then', 'tlong', 'donk', 'adjust', 'tariff', 'trif', 'mhal', 'service', ' minimal ',' signal ',' stagnant ',' ']")</f>
        <v>['signal', 'ugly', 'difficult', 'ngeblank', 'then', 'tlong', 'donk', 'adjust', 'tariff', 'trif', 'mhal', 'service', ' minimal ',' signal ',' stagnant ',' ']</v>
      </c>
      <c r="D18981" s="3">
        <v>1.0</v>
      </c>
    </row>
    <row r="18982" ht="15.75" customHeight="1">
      <c r="A18982" s="1">
        <v>20187.0</v>
      </c>
      <c r="B18982" s="3" t="s">
        <v>17952</v>
      </c>
      <c r="C18982" s="3" t="str">
        <f>IFERROR(__xludf.DUMMYFUNCTION("GOOGLETRANSLATE(B18982,""id"",""en"")"),"['hi', 'gave', 'solution', 'problematic', 'APK', 'please', 'download', 'version', 'because' version ',' latest ',' emg ',' problematic ',' experience ',' blang ',' white ',' entry ',' thank ',' love ']")</f>
        <v>['hi', 'gave', 'solution', 'problematic', 'APK', 'please', 'download', 'version', 'because' version ',' latest ',' emg ',' problematic ',' experience ',' blang ',' white ',' entry ',' thank ',' love ']</v>
      </c>
      <c r="D18982" s="3">
        <v>5.0</v>
      </c>
    </row>
    <row r="18983" ht="15.75" customHeight="1">
      <c r="A18983" s="1">
        <v>20189.0</v>
      </c>
      <c r="B18983" s="3" t="s">
        <v>17953</v>
      </c>
      <c r="C18983" s="3" t="str">
        <f>IFERROR(__xludf.DUMMYFUNCTION("GOOGLETRANSLATE(B18983,""id"",""en"")"),"['Ntah', 'open', 'application', 'colored', 'white', 'enter', 'veranda', '']")</f>
        <v>['Ntah', 'open', 'application', 'colored', 'white', 'enter', 'veranda', '']</v>
      </c>
      <c r="D18983" s="3">
        <v>1.0</v>
      </c>
    </row>
    <row r="18984" ht="15.75" customHeight="1">
      <c r="A18984" s="1">
        <v>20190.0</v>
      </c>
      <c r="B18984" s="3" t="s">
        <v>17954</v>
      </c>
      <c r="C18984" s="3" t="str">
        <f>IFERROR(__xludf.DUMMYFUNCTION("GOOGLETRANSLATE(B18984,""id"",""en"")"),"['Really', 'disappointed', 'buy', 'package', 'play', 'game', 'gamemax', 'expensive', 'use', 'application', 'eat', ' Download ']")</f>
        <v>['Really', 'disappointed', 'buy', 'package', 'play', 'game', 'gamemax', 'expensive', 'use', 'application', 'eat', ' Download ']</v>
      </c>
      <c r="D18984" s="3">
        <v>1.0</v>
      </c>
    </row>
    <row r="18985" ht="15.75" customHeight="1">
      <c r="A18985" s="1">
        <v>20191.0</v>
      </c>
      <c r="B18985" s="3" t="s">
        <v>17955</v>
      </c>
      <c r="C18985" s="3" t="str">
        <f>IFERROR(__xludf.DUMMYFUNCTION("GOOGLETRANSLATE(B18985,""id"",""en"")"),"['Please', 'fix', 'signal', '']")</f>
        <v>['Please', 'fix', 'signal', '']</v>
      </c>
      <c r="D18985" s="3">
        <v>3.0</v>
      </c>
    </row>
    <row r="18986" ht="15.75" customHeight="1">
      <c r="A18986" s="1">
        <v>20192.0</v>
      </c>
      <c r="B18986" s="3" t="s">
        <v>17956</v>
      </c>
      <c r="C18986" s="3" t="str">
        <f>IFERROR(__xludf.DUMMYFUNCTION("GOOGLETRANSLATE(B18986,""id"",""en"")"),"['kouta', 'watch', 'local', 'watch', 'youtube', 'suck', 'kouta', 'internet', '']")</f>
        <v>['kouta', 'watch', 'local', 'watch', 'youtube', 'suck', 'kouta', 'internet', '']</v>
      </c>
      <c r="D18986" s="3">
        <v>4.0</v>
      </c>
    </row>
    <row r="18987" ht="15.75" customHeight="1">
      <c r="A18987" s="1">
        <v>20193.0</v>
      </c>
      <c r="B18987" s="3" t="s">
        <v>17957</v>
      </c>
      <c r="C18987" s="3" t="str">
        <f>IFERROR(__xludf.DUMMYFUNCTION("GOOGLETRANSLATE(B18987,""id"",""en"")"),"['hope', 'Mantulll', '']")</f>
        <v>['hope', 'Mantulll', '']</v>
      </c>
      <c r="D18987" s="3">
        <v>5.0</v>
      </c>
    </row>
    <row r="18988" ht="15.75" customHeight="1">
      <c r="A18988" s="1">
        <v>20194.0</v>
      </c>
      <c r="B18988" s="3" t="s">
        <v>17958</v>
      </c>
      <c r="C18988" s="3" t="str">
        <f>IFERROR(__xludf.DUMMYFUNCTION("GOOGLETRANSLATE(B18988,""id"",""en"")"),"['Pantesan', 'skrg', 'bnyak', 'package', 'cheap', 'signal', 'internet', 'plung', 'severe', 'disappointed']")</f>
        <v>['Pantesan', 'skrg', 'bnyak', 'package', 'cheap', 'signal', 'internet', 'plung', 'severe', 'disappointed']</v>
      </c>
      <c r="D18988" s="3">
        <v>1.0</v>
      </c>
    </row>
    <row r="18989" ht="15.75" customHeight="1">
      <c r="A18989" s="1">
        <v>20195.0</v>
      </c>
      <c r="B18989" s="3" t="s">
        <v>17959</v>
      </c>
      <c r="C18989" s="3" t="str">
        <f>IFERROR(__xludf.DUMMYFUNCTION("GOOGLETRANSLATE(B18989,""id"",""en"")"),"['JDI', 'Open']")</f>
        <v>['JDI', 'Open']</v>
      </c>
      <c r="D18989" s="3">
        <v>1.0</v>
      </c>
    </row>
    <row r="18990" ht="15.75" customHeight="1">
      <c r="A18990" s="1">
        <v>20196.0</v>
      </c>
      <c r="B18990" s="3" t="s">
        <v>17960</v>
      </c>
      <c r="C18990" s="3" t="str">
        <f>IFERROR(__xludf.DUMMYFUNCTION("GOOGLETRANSLATE(B18990,""id"",""en"")"),"['Stressss',' buy ',' quota ',' expensive ',' signal ',' pulp ',' unlimited ',' use ',' limit ',' point ',' exchange ',' pulse ',' Fill ',' quota ',' no ',' game ',' You ',' Telkomsel ',' emang ',' signal ',' Make ',' price ',' cheap ',' already ',' expen"&amp;"sive ' , 'signal', 'slow', 'emang', 'signal', 'telkom', 'okay', 'comfortable', 'use', 'mengontololll', 'no', 'mengontololll', 'stresss']")</f>
        <v>['Stressss',' buy ',' quota ',' expensive ',' signal ',' pulp ',' unlimited ',' use ',' limit ',' point ',' exchange ',' pulse ',' Fill ',' quota ',' no ',' game ',' You ',' Telkomsel ',' emang ',' signal ',' Make ',' price ',' cheap ',' already ',' expensive ' , 'signal', 'slow', 'emang', 'signal', 'telkom', 'okay', 'comfortable', 'use', 'mengontololll', 'no', 'mengontololll', 'stresss']</v>
      </c>
      <c r="D18990" s="3">
        <v>1.0</v>
      </c>
    </row>
    <row r="18991" ht="15.75" customHeight="1">
      <c r="A18991" s="1">
        <v>20197.0</v>
      </c>
      <c r="B18991" s="3" t="s">
        <v>17961</v>
      </c>
      <c r="C18991" s="3" t="str">
        <f>IFERROR(__xludf.DUMMYFUNCTION("GOOGLETRANSLATE(B18991,""id"",""en"")"),"['Aduu', 'Telkomseku', 'disappears', 'open', '']")</f>
        <v>['Aduu', 'Telkomseku', 'disappears', 'open', '']</v>
      </c>
      <c r="D18991" s="3">
        <v>2.0</v>
      </c>
    </row>
    <row r="18992" ht="15.75" customHeight="1">
      <c r="A18992" s="1">
        <v>20198.0</v>
      </c>
      <c r="B18992" s="3" t="s">
        <v>17962</v>
      </c>
      <c r="C18992" s="3" t="str">
        <f>IFERROR(__xludf.DUMMYFUNCTION("GOOGLETRANSLATE(B18992,""id"",""en"")"),"['Telkomnyet', 'network', 'ugly', 'price', 'expensive', 'disappointed', 'Telkomnyet', ""]")</f>
        <v>['Telkomnyet', 'network', 'ugly', 'price', 'expensive', 'disappointed', 'Telkomnyet', "]</v>
      </c>
      <c r="D18992" s="3">
        <v>1.0</v>
      </c>
    </row>
    <row r="18993" ht="15.75" customHeight="1">
      <c r="A18993" s="1">
        <v>20199.0</v>
      </c>
      <c r="B18993" s="3" t="s">
        <v>17963</v>
      </c>
      <c r="C18993" s="3" t="str">
        <f>IFERROR(__xludf.DUMMYFUNCTION("GOOGLETRANSLATE(B18993,""id"",""en"")"),"['Strength', 'signal', 'please', 'update', 'his soy', 'good']")</f>
        <v>['Strength', 'signal', 'please', 'update', 'his soy', 'good']</v>
      </c>
      <c r="D18993" s="3">
        <v>1.0</v>
      </c>
    </row>
    <row r="18994" ht="15.75" customHeight="1">
      <c r="A18994" s="1">
        <v>20200.0</v>
      </c>
      <c r="B18994" s="3" t="s">
        <v>17964</v>
      </c>
      <c r="C18994" s="3" t="str">
        <f>IFERROR(__xludf.DUMMYFUNCTION("GOOGLETRANSLATE(B18994,""id"",""en"")"),"['Unfortunately', 'package', 'internet', 'open', 'check', 'pulse', 'package', 'data']")</f>
        <v>['Unfortunately', 'package', 'internet', 'open', 'check', 'pulse', 'package', 'data']</v>
      </c>
      <c r="D18994" s="3">
        <v>4.0</v>
      </c>
    </row>
    <row r="18995" ht="15.75" customHeight="1">
      <c r="A18995" s="1">
        <v>20201.0</v>
      </c>
      <c r="B18995" s="3" t="s">
        <v>17965</v>
      </c>
      <c r="C18995" s="3" t="str">
        <f>IFERROR(__xludf.DUMMYFUNCTION("GOOGLETRANSLATE(B18995,""id"",""en"")"),"['Bored', 'use', 'card', 'expensive', 'mending', 'expensive', 'bnya', 'kouta', 'uda', 'expensive', 'kouta', 'kawa', ' Little ',' Naek ',' Haji ',' ']")</f>
        <v>['Bored', 'use', 'card', 'expensive', 'mending', 'expensive', 'bnya', 'kouta', 'uda', 'expensive', 'kouta', 'kawa', ' Little ',' Naek ',' Haji ',' ']</v>
      </c>
      <c r="D18995" s="3">
        <v>1.0</v>
      </c>
    </row>
    <row r="18996" ht="15.75" customHeight="1">
      <c r="A18996" s="1">
        <v>20202.0</v>
      </c>
      <c r="B18996" s="3" t="s">
        <v>17966</v>
      </c>
      <c r="C18996" s="3" t="str">
        <f>IFERROR(__xludf.DUMMYFUNCTION("GOOGLETRANSLATE(B18996,""id"",""en"")"),"['User', 'Enter', 'Telkomsel', 'Tetep', 'Suru', 'Enter', 'Telkomsel', 'already', 'Telkomsel', 'dizzy', ""]")</f>
        <v>['User', 'Enter', 'Telkomsel', 'Tetep', 'Suru', 'Enter', 'Telkomsel', 'already', 'Telkomsel', 'dizzy', "]</v>
      </c>
      <c r="D18996" s="3">
        <v>1.0</v>
      </c>
    </row>
    <row r="18997" ht="15.75" customHeight="1">
      <c r="A18997" s="1">
        <v>20203.0</v>
      </c>
      <c r="B18997" s="3" t="s">
        <v>17967</v>
      </c>
      <c r="C18997" s="3" t="str">
        <f>IFERROR(__xludf.DUMMYFUNCTION("GOOGLETRANSLATE(B18997,""id"",""en"")"),"['Sya', 'Kurngin', 'star', 'Krna', 'Disappointed', 'Dnnn', 'Popsan', 'tdinya', 'good', 'tpi', 'skrng', 'jdi', ' Krng ',' Bgus']")</f>
        <v>['Sya', 'Kurngin', 'star', 'Krna', 'Disappointed', 'Dnnn', 'Popsan', 'tdinya', 'good', 'tpi', 'skrng', 'jdi', ' Krng ',' Bgus']</v>
      </c>
      <c r="D18997" s="3">
        <v>3.0</v>
      </c>
    </row>
    <row r="18998" ht="15.75" customHeight="1">
      <c r="A18998" s="1">
        <v>20204.0</v>
      </c>
      <c r="B18998" s="3" t="s">
        <v>17968</v>
      </c>
      <c r="C18998" s="3" t="str">
        <f>IFERROR(__xludf.DUMMYFUNCTION("GOOGLETRANSLATE(B18998,""id"",""en"")"),"['Help', 'Charging', 'reset', 'package', 'data']")</f>
        <v>['Help', 'Charging', 'reset', 'package', 'data']</v>
      </c>
      <c r="D18998" s="3">
        <v>5.0</v>
      </c>
    </row>
    <row r="18999" ht="15.75" customHeight="1">
      <c r="A18999" s="1">
        <v>20205.0</v>
      </c>
      <c r="B18999" s="3" t="s">
        <v>17969</v>
      </c>
      <c r="C18999" s="3" t="str">
        <f>IFERROR(__xludf.DUMMYFUNCTION("GOOGLETRANSLATE(B18999,""id"",""en"")"),"['Open', 'Application', 'Blank', 'White', ""]")</f>
        <v>['Open', 'Application', 'Blank', 'White', "]</v>
      </c>
      <c r="D18999" s="3">
        <v>3.0</v>
      </c>
    </row>
    <row r="19000" ht="15.75" customHeight="1">
      <c r="A19000" s="1">
        <v>20206.0</v>
      </c>
      <c r="B19000" s="3" t="s">
        <v>17970</v>
      </c>
      <c r="C19000" s="3" t="str">
        <f>IFERROR(__xludf.DUMMYFUNCTION("GOOGLETRANSLATE(B19000,""id"",""en"")"),"['', 'telkomsenya', 'knpa', 'package', 'list', 'quota', 'namba', 'dlu', 'cumn', 'skrng', 'mah', 'nmba', 'please ', 'correct it', '']")</f>
        <v>['', 'telkomsenya', 'knpa', 'package', 'list', 'quota', 'namba', 'dlu', 'cumn', 'skrng', 'mah', 'nmba', 'please ', 'correct it', '']</v>
      </c>
      <c r="D19000" s="3">
        <v>1.0</v>
      </c>
    </row>
    <row r="19001" ht="15.75" customHeight="1">
      <c r="A19001" s="1">
        <v>20207.0</v>
      </c>
      <c r="B19001" s="3" t="s">
        <v>17971</v>
      </c>
      <c r="C19001" s="3" t="str">
        <f>IFERROR(__xludf.DUMMYFUNCTION("GOOGLETRANSLATE(B19001,""id"",""en"")"),"['borrow', 'strong', 'pay']")</f>
        <v>['borrow', 'strong', 'pay']</v>
      </c>
      <c r="D19001" s="3">
        <v>4.0</v>
      </c>
    </row>
    <row r="19002" ht="15.75" customHeight="1">
      <c r="A19002" s="1">
        <v>20208.0</v>
      </c>
      <c r="B19002" s="3" t="s">
        <v>17972</v>
      </c>
      <c r="C19002" s="3" t="str">
        <f>IFERROR(__xludf.DUMMYFUNCTION("GOOGLETRANSLATE(B19002,""id"",""en"")"),"['Hello', 'use', 'Samsung', 'open', 'application', 'open', 'screen', 'white', 'Please', 'assisted', 'repaired', 'system', ' Application ',' Thanks']")</f>
        <v>['Hello', 'use', 'Samsung', 'open', 'application', 'open', 'screen', 'white', 'Please', 'assisted', 'repaired', 'system', ' Application ',' Thanks']</v>
      </c>
      <c r="D19002" s="3">
        <v>1.0</v>
      </c>
    </row>
    <row r="19003" ht="15.75" customHeight="1">
      <c r="A19003" s="1">
        <v>20209.0</v>
      </c>
      <c r="B19003" s="3" t="s">
        <v>17973</v>
      </c>
      <c r="C19003" s="3" t="str">
        <f>IFERROR(__xludf.DUMMYFUNCTION("GOOGLETRANSLATE(B19003,""id"",""en"")"),"['', 'Telkomsel', 'amazing', 'package', 'data', 'credit', 'ngilan']")</f>
        <v>['', 'Telkomsel', 'amazing', 'package', 'data', 'credit', 'ngilan']</v>
      </c>
      <c r="D19003" s="3">
        <v>2.0</v>
      </c>
    </row>
    <row r="19004" ht="15.75" customHeight="1">
      <c r="A19004" s="1">
        <v>20210.0</v>
      </c>
      <c r="B19004" s="3" t="s">
        <v>17974</v>
      </c>
      <c r="C19004" s="3" t="str">
        <f>IFERROR(__xludf.DUMMYFUNCTION("GOOGLETRANSLATE(B19004,""id"",""en"")"),"['number', 'try', 'contact', 'operator', 'chat', 'oprator', 'reply', 'skali', 'process', 'finish', 'convention', ""]")</f>
        <v>['number', 'try', 'contact', 'operator', 'chat', 'oprator', 'reply', 'skali', 'process', 'finish', 'convention', "]</v>
      </c>
      <c r="D19004" s="3">
        <v>1.0</v>
      </c>
    </row>
    <row r="19005" ht="15.75" customHeight="1">
      <c r="A19005" s="1">
        <v>20211.0</v>
      </c>
      <c r="B19005" s="3" t="s">
        <v>17975</v>
      </c>
      <c r="C19005" s="3" t="str">
        <f>IFERROR(__xludf.DUMMYFUNCTION("GOOGLETRANSLATE(B19005,""id"",""en"")"),"['', 'enter', 'Telkomsel', 'Msh', 'told', 'input', 'Telkomsel', 'weird', 'fix', 'the application']")</f>
        <v>['', 'enter', 'Telkomsel', 'Msh', 'told', 'input', 'Telkomsel', 'weird', 'fix', 'the application']</v>
      </c>
      <c r="D19005" s="3">
        <v>1.0</v>
      </c>
    </row>
    <row r="19006" ht="15.75" customHeight="1">
      <c r="A19006" s="1">
        <v>20212.0</v>
      </c>
      <c r="B19006" s="3" t="s">
        <v>17976</v>
      </c>
      <c r="C19006" s="3" t="str">
        <f>IFERROR(__xludf.DUMMYFUNCTION("GOOGLETRANSLATE(B19006,""id"",""en"")"),"['', 'Telkomsel', 'Install', 'Road', 'Install', '']")</f>
        <v>['', 'Telkomsel', 'Install', 'Road', 'Install', '']</v>
      </c>
      <c r="D19006" s="3">
        <v>5.0</v>
      </c>
    </row>
    <row r="19007" ht="15.75" customHeight="1">
      <c r="A19007" s="1">
        <v>20213.0</v>
      </c>
      <c r="B19007" s="3" t="s">
        <v>17977</v>
      </c>
      <c r="C19007" s="3" t="str">
        <f>IFERROR(__xludf.DUMMYFUNCTION("GOOGLETRANSLATE(B19007,""id"",""en"")"),"['users', 'Telkomsel', 'happy', 'service', 'Telkomsel', 'network', 'like', 'ngilani', 'network', 'slow', ""]")</f>
        <v>['users', 'Telkomsel', 'happy', 'service', 'Telkomsel', 'network', 'like', 'ngilani', 'network', 'slow', "]</v>
      </c>
      <c r="D19007" s="3">
        <v>1.0</v>
      </c>
    </row>
    <row r="19008" ht="15.75" customHeight="1">
      <c r="A19008" s="1">
        <v>20215.0</v>
      </c>
      <c r="B19008" s="3" t="s">
        <v>17978</v>
      </c>
      <c r="C19008" s="3" t="str">
        <f>IFERROR(__xludf.DUMMYFUNCTION("GOOGLETRANSLATE(B19008,""id"",""en"")"),"['pulse', 'sucked', 'use', 'internet', 'package', 'internet', 'condition', 'bets', ""]")</f>
        <v>['pulse', 'sucked', 'use', 'internet', 'package', 'internet', 'condition', 'bets', "]</v>
      </c>
      <c r="D19008" s="3">
        <v>1.0</v>
      </c>
    </row>
    <row r="19009" ht="15.75" customHeight="1">
      <c r="A19009" s="1">
        <v>20216.0</v>
      </c>
      <c r="B19009" s="3" t="s">
        <v>17979</v>
      </c>
      <c r="C19009" s="3" t="str">
        <f>IFERROR(__xludf.DUMMYFUNCTION("GOOGLETRANSLATE(B19009,""id"",""en"")"),"['Disappointed', 'buy', 'quota', 'kepake', 'just', 'internet', 'local', 'internet', 'sosmednya', 'use']")</f>
        <v>['Disappointed', 'buy', 'quota', 'kepake', 'just', 'internet', 'local', 'internet', 'sosmednya', 'use']</v>
      </c>
      <c r="D19009" s="3">
        <v>1.0</v>
      </c>
    </row>
    <row r="19010" ht="15.75" customHeight="1">
      <c r="A19010" s="1">
        <v>20217.0</v>
      </c>
      <c r="B19010" s="3" t="s">
        <v>17980</v>
      </c>
      <c r="C19010" s="3" t="str">
        <f>IFERROR(__xludf.DUMMYFUNCTION("GOOGLETRANSLATE(B19010,""id"",""en"")"),"['Lemot', 'Network']")</f>
        <v>['Lemot', 'Network']</v>
      </c>
      <c r="D19010" s="3">
        <v>1.0</v>
      </c>
    </row>
    <row r="19011" ht="15.75" customHeight="1">
      <c r="A19011" s="1">
        <v>20218.0</v>
      </c>
      <c r="B19011" s="3" t="s">
        <v>17981</v>
      </c>
      <c r="C19011" s="3" t="str">
        <f>IFERROR(__xludf.DUMMYFUNCTION("GOOGLETRANSLATE(B19011,""id"",""en"")"),"['BBRAPA', 'Telkomsel', 'No', 'Open', 'appears',' screen ',' white ',' Doang ',' Phala ',' update ',' Ininstall ',' Install ',' LGI ',' TTEP ',' SJA ',' appears', 'screen', 'White', 'Doang', 'Please', 'Member', 'Telkomsel', 'LGI', ""]")</f>
        <v>['BBRAPA', 'Telkomsel', 'No', 'Open', 'appears',' screen ',' white ',' Doang ',' Phala ',' update ',' Ininstall ',' Install ',' LGI ',' TTEP ',' SJA ',' appears', 'screen', 'White', 'Doang', 'Please', 'Member', 'Telkomsel', 'LGI', "]</v>
      </c>
      <c r="D19011" s="3">
        <v>1.0</v>
      </c>
    </row>
    <row r="19012" ht="15.75" customHeight="1">
      <c r="A19012" s="1">
        <v>20222.0</v>
      </c>
      <c r="B19012" s="3" t="s">
        <v>17982</v>
      </c>
      <c r="C19012" s="3" t="str">
        <f>IFERROR(__xludf.DUMMYFUNCTION("GOOGLETRANSLATE(B19012,""id"",""en"")"),"['Network', 'Telkomsell', 'invites', 'gelpling', 'pketan', 'doang', 'expensive', 'network', 'kayak', 'taiii']")</f>
        <v>['Network', 'Telkomsell', 'invites', 'gelpling', 'pketan', 'doang', 'expensive', 'network', 'kayak', 'taiii']</v>
      </c>
      <c r="D19012" s="3">
        <v>1.0</v>
      </c>
    </row>
    <row r="19013" ht="15.75" customHeight="1">
      <c r="A19013" s="1">
        <v>20223.0</v>
      </c>
      <c r="B19013" s="3" t="s">
        <v>17983</v>
      </c>
      <c r="C19013" s="3" t="str">
        <f>IFERROR(__xludf.DUMMYFUNCTION("GOOGLETRANSLATE(B19013,""id"",""en"")"),"['The application', 'ugly', 'kayak', 'signal', 'usage', 'data', 'expensive', '']")</f>
        <v>['The application', 'ugly', 'kayak', 'signal', 'usage', 'data', 'expensive', '']</v>
      </c>
      <c r="D19013" s="3">
        <v>1.0</v>
      </c>
    </row>
    <row r="19014" ht="15.75" customHeight="1">
      <c r="A19014" s="1">
        <v>20224.0</v>
      </c>
      <c r="B19014" s="3" t="s">
        <v>17984</v>
      </c>
      <c r="C19014" s="3" t="str">
        <f>IFERROR(__xludf.DUMMYFUNCTION("GOOGLETRANSLATE(B19014,""id"",""en"")"),"['Love', 'star', 'Telkomsel', 'fair', 'open', 'sosmed', 'youtube', 'etc.', 'leftover', 'quota', 'bonus',' die ',' Bula ',' Lalod ',' Play ',' Packs', 'Package', 'Bonus',' Special ',' Sosmed ',' YouTube ',' Etc. ',' Remnant ',' Quota ',' Bonus' , 'Lalod', "&amp;"'kayak', 'run out', 'quota', 'open', 'sosmed', 'etc.', 'so']")</f>
        <v>['Love', 'star', 'Telkomsel', 'fair', 'open', 'sosmed', 'youtube', 'etc.', 'leftover', 'quota', 'bonus',' die ',' Bula ',' Lalod ',' Play ',' Packs', 'Package', 'Bonus',' Special ',' Sosmed ',' YouTube ',' Etc. ',' Remnant ',' Quota ',' Bonus' , 'Lalod', 'kayak', 'run out', 'quota', 'open', 'sosmed', 'etc.', 'so']</v>
      </c>
      <c r="D19014" s="3">
        <v>1.0</v>
      </c>
    </row>
    <row r="19015" ht="15.75" customHeight="1">
      <c r="A19015" s="1">
        <v>20225.0</v>
      </c>
      <c r="B19015" s="3" t="s">
        <v>17985</v>
      </c>
      <c r="C19015" s="3" t="str">
        <f>IFERROR(__xludf.DUMMYFUNCTION("GOOGLETRANSLATE(B19015,""id"",""en"")"),"['Tuesday', 'his clothes',' festive ',' clothes', 'festive', 'his face', 'moody', 'Insyallah', 'bismillah', 'hope', 'lucky', 'buy', ' Headbands', 'Lulu', 'Beetle', 'at home', 'JUJU', 'Hopefully', 'Success',' Blessings', 'Forgotten', 'Follow', 'Follow', 'Y"&amp;"uk' , 'Amanda', 'Clube']")</f>
        <v>['Tuesday', 'his clothes',' festive ',' clothes', 'festive', 'his face', 'moody', 'Insyallah', 'bismillah', 'hope', 'lucky', 'buy', ' Headbands', 'Lulu', 'Beetle', 'at home', 'JUJU', 'Hopefully', 'Success',' Blessings', 'Forgotten', 'Follow', 'Follow', 'Yuk' , 'Amanda', 'Clube']</v>
      </c>
      <c r="D19015" s="3">
        <v>5.0</v>
      </c>
    </row>
    <row r="19016" ht="15.75" customHeight="1">
      <c r="A19016" s="1">
        <v>20226.0</v>
      </c>
      <c r="B19016" s="3" t="s">
        <v>17986</v>
      </c>
      <c r="C19016" s="3" t="str">
        <f>IFERROR(__xludf.DUMMYFUNCTION("GOOGLETRANSLATE(B19016,""id"",""en"")"),"['down', 'price', 'donk']")</f>
        <v>['down', 'price', 'donk']</v>
      </c>
      <c r="D19016" s="3">
        <v>4.0</v>
      </c>
    </row>
    <row r="19017" ht="15.75" customHeight="1">
      <c r="A19017" s="1">
        <v>20227.0</v>
      </c>
      <c r="B19017" s="3" t="s">
        <v>17987</v>
      </c>
      <c r="C19017" s="3" t="str">
        <f>IFERROR(__xludf.DUMMYFUNCTION("GOOGLETRANSLATE(B19017,""id"",""en"")"),"['Telkomsel', 'Semaking', 'chaotic', 'signal', 'stable', 'dropped', 'already', 'rich', 'private', 'BUMN', 'compete', 'package', ' Mahalin ',' shy ',' private ']")</f>
        <v>['Telkomsel', 'Semaking', 'chaotic', 'signal', 'stable', 'dropped', 'already', 'rich', 'private', 'BUMN', 'compete', 'package', ' Mahalin ',' shy ',' private ']</v>
      </c>
      <c r="D19017" s="3">
        <v>1.0</v>
      </c>
    </row>
    <row r="19018" ht="15.75" customHeight="1">
      <c r="A19018" s="1">
        <v>20228.0</v>
      </c>
      <c r="B19018" s="3" t="s">
        <v>17988</v>
      </c>
      <c r="C19018" s="3" t="str">
        <f>IFERROR(__xludf.DUMMYFUNCTION("GOOGLETRANSLATE(B19018,""id"",""en"")"),"['Telkomsel', 'not', 'opened', 'Try', 'dowload', 'reset', 'open', 'appears',' screen ',' blank ',' then ',' application ',' complicated ',' check ',' quota ',' yr ',' subscribe ',' Telkomsel ',' ']")</f>
        <v>['Telkomsel', 'not', 'opened', 'Try', 'dowload', 'reset', 'open', 'appears',' screen ',' blank ',' then ',' application ',' complicated ',' check ',' quota ',' yr ',' subscribe ',' Telkomsel ',' ']</v>
      </c>
      <c r="D19018" s="3">
        <v>2.0</v>
      </c>
    </row>
    <row r="19019" ht="15.75" customHeight="1">
      <c r="A19019" s="1">
        <v>20229.0</v>
      </c>
      <c r="B19019" s="3" t="s">
        <v>17989</v>
      </c>
      <c r="C19019" s="3" t="str">
        <f>IFERROR(__xludf.DUMMYFUNCTION("GOOGLETRANSLATE(B19019,""id"",""en"")"),"['How', 'Install', 'expensive', 'signal', 'ilang', '']")</f>
        <v>['How', 'Install', 'expensive', 'signal', 'ilang', '']</v>
      </c>
      <c r="D19019" s="3">
        <v>1.0</v>
      </c>
    </row>
    <row r="19020" ht="15.75" customHeight="1">
      <c r="A19020" s="1">
        <v>20230.0</v>
      </c>
      <c r="B19020" s="3" t="s">
        <v>17990</v>
      </c>
      <c r="C19020" s="3" t="str">
        <f>IFERROR(__xludf.DUMMYFUNCTION("GOOGLETRANSLATE(B19020,""id"",""en"")"),"['Continue', 'quota', 'cheap', 'access', 'internet', 'island', 'outered', 'Indonesia']")</f>
        <v>['Continue', 'quota', 'cheap', 'access', 'internet', 'island', 'outered', 'Indonesia']</v>
      </c>
      <c r="D19020" s="3">
        <v>5.0</v>
      </c>
    </row>
    <row r="19021" ht="15.75" customHeight="1">
      <c r="A19021" s="1">
        <v>20231.0</v>
      </c>
      <c r="B19021" s="3" t="s">
        <v>17991</v>
      </c>
      <c r="C19021" s="3" t="str">
        <f>IFERROR(__xludf.DUMMYFUNCTION("GOOGLETRANSLATE(B19021,""id"",""en"")"),"['hope', 'in the future', 'good', 'signal', '']")</f>
        <v>['hope', 'in the future', 'good', 'signal', '']</v>
      </c>
      <c r="D19021" s="3">
        <v>5.0</v>
      </c>
    </row>
    <row r="19022" ht="15.75" customHeight="1">
      <c r="A19022" s="1">
        <v>20232.0</v>
      </c>
      <c r="B19022" s="3" t="s">
        <v>17992</v>
      </c>
      <c r="C19022" s="3" t="str">
        <f>IFERROR(__xludf.DUMMYFUNCTION("GOOGLETRANSLATE(B19022,""id"",""en"")"),"['Help', 'buy', 'Package']")</f>
        <v>['Help', 'buy', 'Package']</v>
      </c>
      <c r="D19022" s="3">
        <v>1.0</v>
      </c>
    </row>
    <row r="19023" ht="15.75" customHeight="1">
      <c r="A19023" s="1">
        <v>20233.0</v>
      </c>
      <c r="B19023" s="3" t="s">
        <v>412</v>
      </c>
      <c r="C19023" s="3" t="str">
        <f>IFERROR(__xludf.DUMMYFUNCTION("GOOGLETRANSLATE(B19023,""id"",""en"")"),"['Good', 'The application', '']")</f>
        <v>['Good', 'The application', '']</v>
      </c>
      <c r="D19023" s="3">
        <v>5.0</v>
      </c>
    </row>
    <row r="19024" ht="15.75" customHeight="1">
      <c r="A19024" s="1">
        <v>20234.0</v>
      </c>
      <c r="B19024" s="3" t="s">
        <v>17993</v>
      </c>
      <c r="C19024" s="3" t="str">
        <f>IFERROR(__xludf.DUMMYFUNCTION("GOOGLETRANSLATE(B19024,""id"",""en"")"),"['disappointed', 'signal', 'Telkomsel', 'ugly', 'calm', 'im', 'accompany', 'lm', 'solution', 'kayak', 'Telkomsel', 'expensive', ' lag ',' Gegame ',' Weplay ',' ']")</f>
        <v>['disappointed', 'signal', 'Telkomsel', 'ugly', 'calm', 'im', 'accompany', 'lm', 'solution', 'kayak', 'Telkomsel', 'expensive', ' lag ',' Gegame ',' Weplay ',' ']</v>
      </c>
      <c r="D19024" s="3">
        <v>1.0</v>
      </c>
    </row>
    <row r="19025" ht="15.75" customHeight="1">
      <c r="A19025" s="1">
        <v>20235.0</v>
      </c>
      <c r="B19025" s="3" t="s">
        <v>17994</v>
      </c>
      <c r="C19025" s="3" t="str">
        <f>IFERROR(__xludf.DUMMYFUNCTION("GOOGLETRANSLATE(B19025,""id"",""en"")"),"['Disappointed', 'Very', 'Network', 'Telkomsel', 'Ngelag', 'Sometimes',' Disconnect ',' Connection ',' Cuman ',' Logo ',' Update ',' The Network ',' No ',' Update ',' ']")</f>
        <v>['Disappointed', 'Very', 'Network', 'Telkomsel', 'Ngelag', 'Sometimes',' Disconnect ',' Connection ',' Cuman ',' Logo ',' Update ',' The Network ',' No ',' Update ',' ']</v>
      </c>
      <c r="D19025" s="3">
        <v>1.0</v>
      </c>
    </row>
    <row r="19026" ht="15.75" customHeight="1">
      <c r="A19026" s="1">
        <v>20236.0</v>
      </c>
      <c r="B19026" s="3" t="s">
        <v>17995</v>
      </c>
      <c r="C19026" s="3" t="str">
        <f>IFERROR(__xludf.DUMMYFUNCTION("GOOGLETRANSLATE(B19026,""id"",""en"")"),"['Abis', 'Update', 'Open', 'APK', 'MyTelkomsel']")</f>
        <v>['Abis', 'Update', 'Open', 'APK', 'MyTelkomsel']</v>
      </c>
      <c r="D19026" s="3">
        <v>1.0</v>
      </c>
    </row>
    <row r="19027" ht="15.75" customHeight="1">
      <c r="A19027" s="1">
        <v>20237.0</v>
      </c>
      <c r="B19027" s="3" t="s">
        <v>17996</v>
      </c>
      <c r="C19027" s="3" t="str">
        <f>IFERROR(__xludf.DUMMYFUNCTION("GOOGLETRANSLATE(B19027,""id"",""en"")"),"['promo', 'pulses',' sufficient ',' Try ',' Register ',' Via ',' SMS ',' App ',' Credit ',' Via ',' Different ',' Price ',' Register ',' package ',' promo ',' use ',' funny ',' class', 'Telkomsel', 'Gini', ""]")</f>
        <v>['promo', 'pulses',' sufficient ',' Try ',' Register ',' Via ',' SMS ',' App ',' Credit ',' Via ',' Different ',' Price ',' Register ',' package ',' promo ',' use ',' funny ',' class', 'Telkomsel', 'Gini', "]</v>
      </c>
      <c r="D19027" s="3">
        <v>1.0</v>
      </c>
    </row>
    <row r="19028" ht="15.75" customHeight="1">
      <c r="A19028" s="1">
        <v>20238.0</v>
      </c>
      <c r="B19028" s="3" t="s">
        <v>17997</v>
      </c>
      <c r="C19028" s="3" t="str">
        <f>IFERROR(__xludf.DUMMYFUNCTION("GOOGLETRANSLATE(B19028,""id"",""en"")"),"['App', 'Samsung', 'Update', 'Latest', 'Please', 'Information', 'Min', ""]")</f>
        <v>['App', 'Samsung', 'Update', 'Latest', 'Please', 'Information', 'Min', "]</v>
      </c>
      <c r="D19028" s="3">
        <v>3.0</v>
      </c>
    </row>
    <row r="19029" ht="15.75" customHeight="1">
      <c r="A19029" s="1">
        <v>20239.0</v>
      </c>
      <c r="B19029" s="3" t="s">
        <v>17998</v>
      </c>
      <c r="C19029" s="3" t="str">
        <f>IFERROR(__xludf.DUMMYFUNCTION("GOOGLETRANSLATE(B19029,""id"",""en"")"),"['hope', 'dream', 'reality', 'amen']")</f>
        <v>['hope', 'dream', 'reality', 'amen']</v>
      </c>
      <c r="D19029" s="3">
        <v>4.0</v>
      </c>
    </row>
    <row r="19030" ht="15.75" customHeight="1">
      <c r="A19030" s="1">
        <v>20240.0</v>
      </c>
      <c r="B19030" s="3" t="s">
        <v>17999</v>
      </c>
      <c r="C19030" s="3" t="str">
        <f>IFERROR(__xludf.DUMMYFUNCTION("GOOGLETRANSLATE(B19030,""id"",""en"")"),"['User', 'subscription', 'Telkomsel', 'Application', 'Date', 'December', 'Enter', 'Check', 'Kouta', 'Login', 'screen', 'White', ' Koutaa ',' tomorrow ',' test ',' school ',' dated ',' December ',' please ',' disappointed ',' impromptu ',' please ',' repay"&amp;" ',' deliberate ',' rating ' , 'improvement', 'app']")</f>
        <v>['User', 'subscription', 'Telkomsel', 'Application', 'Date', 'December', 'Enter', 'Check', 'Kouta', 'Login', 'screen', 'White', ' Koutaa ',' tomorrow ',' test ',' school ',' dated ',' December ',' please ',' disappointed ',' impromptu ',' please ',' repay ',' deliberate ',' rating ' , 'improvement', 'app']</v>
      </c>
      <c r="D19030" s="3">
        <v>2.0</v>
      </c>
    </row>
    <row r="19031" ht="15.75" customHeight="1">
      <c r="A19031" s="1">
        <v>20241.0</v>
      </c>
      <c r="B19031" s="3" t="s">
        <v>18000</v>
      </c>
      <c r="C19031" s="3" t="str">
        <f>IFERROR(__xludf.DUMMYFUNCTION("GOOGLETRANSLATE(B19031,""id"",""en"")"),"['Kasi', 'Bintang', 'Network', 'Telkomsel', 'Sekaran', 'Tamba', 'Bad', 'Open', 'Internet', 'Broken', 'Patah', ""]")</f>
        <v>['Kasi', 'Bintang', 'Network', 'Telkomsel', 'Sekaran', 'Tamba', 'Bad', 'Open', 'Internet', 'Broken', 'Patah', "]</v>
      </c>
      <c r="D19031" s="3">
        <v>1.0</v>
      </c>
    </row>
    <row r="19032" ht="15.75" customHeight="1">
      <c r="A19032" s="1">
        <v>20242.0</v>
      </c>
      <c r="B19032" s="3" t="s">
        <v>17107</v>
      </c>
      <c r="C19032" s="3" t="str">
        <f>IFERROR(__xludf.DUMMYFUNCTION("GOOGLETRANSLATE(B19032,""id"",""en"")"),"['Telkomsel', 'Login']")</f>
        <v>['Telkomsel', 'Login']</v>
      </c>
      <c r="D19032" s="3">
        <v>1.0</v>
      </c>
    </row>
    <row r="19033" ht="15.75" customHeight="1">
      <c r="A19033" s="1">
        <v>20243.0</v>
      </c>
      <c r="B19033" s="3" t="s">
        <v>18001</v>
      </c>
      <c r="C19033" s="3" t="str">
        <f>IFERROR(__xludf.DUMMYFUNCTION("GOOGLETRANSLATE(B19033,""id"",""en"")"),"['Package', 'data', 'run out', 'pulse', 'pulse', 'sucked', ""]")</f>
        <v>['Package', 'data', 'run out', 'pulse', 'pulse', 'sucked', "]</v>
      </c>
      <c r="D19033" s="3">
        <v>1.0</v>
      </c>
    </row>
    <row r="19034" ht="15.75" customHeight="1">
      <c r="A19034" s="1">
        <v>20244.0</v>
      </c>
      <c r="B19034" s="3" t="s">
        <v>18002</v>
      </c>
      <c r="C19034" s="3" t="str">
        <f>IFERROR(__xludf.DUMMYFUNCTION("GOOGLETRANSLATE(B19034,""id"",""en"")"),"['Quality', 'Network', 'Telkomsel', 'County', 'Islands', 'Talaud', 'Trash', 'Benefit', 'People', ""]")</f>
        <v>['Quality', 'Network', 'Telkomsel', 'County', 'Islands', 'Talaud', 'Trash', 'Benefit', 'People', "]</v>
      </c>
      <c r="D19034" s="3">
        <v>1.0</v>
      </c>
    </row>
    <row r="19035" ht="15.75" customHeight="1">
      <c r="A19035" s="1">
        <v>20245.0</v>
      </c>
      <c r="B19035" s="3" t="s">
        <v>18003</v>
      </c>
      <c r="C19035" s="3" t="str">
        <f>IFERROR(__xludf.DUMMYFUNCTION("GOOGLETRANSLATE(B19035,""id"",""en"")"),"['Promo', 'Paki', 'Internet', 'TLP']")</f>
        <v>['Promo', 'Paki', 'Internet', 'TLP']</v>
      </c>
      <c r="D19035" s="3">
        <v>5.0</v>
      </c>
    </row>
    <row r="19036" ht="15.75" customHeight="1">
      <c r="A19036" s="1">
        <v>20246.0</v>
      </c>
      <c r="B19036" s="3" t="s">
        <v>18004</v>
      </c>
      <c r="C19036" s="3" t="str">
        <f>IFERROR(__xludf.DUMMYFUNCTION("GOOGLETRANSLATE(B19036,""id"",""en"")"),"['garbage', 'application', 'UDH', 'Uninstall', 'Download', 'Not', 'responding', 'Safe']")</f>
        <v>['garbage', 'application', 'UDH', 'Uninstall', 'Download', 'Not', 'responding', 'Safe']</v>
      </c>
      <c r="D19036" s="3">
        <v>1.0</v>
      </c>
    </row>
    <row r="19037" ht="15.75" customHeight="1">
      <c r="A19037" s="1">
        <v>20247.0</v>
      </c>
      <c r="B19037" s="3" t="s">
        <v>18005</v>
      </c>
      <c r="C19037" s="3" t="str">
        <f>IFERROR(__xludf.DUMMYFUNCTION("GOOGLETRANSLATE(B19037,""id"",""en"")"),"['signal', 'knotllllllllllllllllllllll', 'maen', 'right', 'win', 'signal', 'mlh', 'ngelag', 'knotllllll', 'ank', 'knotllll', ' telkomsel ',' haramnmmmmmmmnm ',' cave ',' oathin ',' entry ',' hell ',' knotlllllllllll ',' kgk ',' signal ',' coeg ',' kntolll"&amp;"llllllllllll ',' telkomsel ',' knotllllllllllllll , 'kgk', 'brain', 'signal', 'haram', 'venorita', 'knotllllllllllllllllllllllllllllllllllllllll")</f>
        <v>['signal', 'knotllllllllllllllllllllll', 'maen', 'right', 'win', 'signal', 'mlh', 'ngelag', 'knotllllll', 'ank', 'knotllll', ' telkomsel ',' haramnmmmmmmmnm ',' cave ',' oathin ',' entry ',' hell ',' knotlllllllllll ',' kgk ',' signal ',' coeg ',' kntolllllllllllllll ',' telkomsel ',' knotllllllllllllll , 'kgk', 'brain', 'signal', 'haram', 'venorita', 'knotllllllllllllllllllllllllllllllllllllllll</v>
      </c>
      <c r="D19037" s="3">
        <v>1.0</v>
      </c>
    </row>
    <row r="19038" ht="15.75" customHeight="1">
      <c r="A19038" s="1">
        <v>20248.0</v>
      </c>
      <c r="B19038" s="3" t="s">
        <v>18006</v>
      </c>
      <c r="C19038" s="3" t="str">
        <f>IFERROR(__xludf.DUMMYFUNCTION("GOOGLETRANSLATE(B19038,""id"",""en"")"),"['', 'Ribet', 'pokonya', 'good']")</f>
        <v>['', 'Ribet', 'pokonya', 'good']</v>
      </c>
      <c r="D19038" s="3">
        <v>5.0</v>
      </c>
    </row>
    <row r="19039" ht="15.75" customHeight="1">
      <c r="A19039" s="1">
        <v>20249.0</v>
      </c>
      <c r="B19039" s="3" t="s">
        <v>18007</v>
      </c>
      <c r="C19039" s="3" t="str">
        <f>IFERROR(__xludf.DUMMYFUNCTION("GOOGLETRANSLATE(B19039,""id"",""en"")"),"['hope', 'useful', 'blessing', 'user', 'Telkomsel', '']")</f>
        <v>['hope', 'useful', 'blessing', 'user', 'Telkomsel', '']</v>
      </c>
      <c r="D19039" s="3">
        <v>5.0</v>
      </c>
    </row>
    <row r="19040" ht="15.75" customHeight="1">
      <c r="A19040" s="1">
        <v>20250.0</v>
      </c>
      <c r="B19040" s="3" t="s">
        <v>18008</v>
      </c>
      <c r="C19040" s="3" t="str">
        <f>IFERROR(__xludf.DUMMYFUNCTION("GOOGLETRANSLATE(B19040,""id"",""en"")"),"['Network', 'bad', 'disappointed', 'already', 'buy', 'quota', 'expensive', 'expensive', 'service', 'network', 'bad', '']")</f>
        <v>['Network', 'bad', 'disappointed', 'already', 'buy', 'quota', 'expensive', 'expensive', 'service', 'network', 'bad', '']</v>
      </c>
      <c r="D19040" s="3">
        <v>1.0</v>
      </c>
    </row>
    <row r="19041" ht="15.75" customHeight="1">
      <c r="A19041" s="1">
        <v>20251.0</v>
      </c>
      <c r="B19041" s="3" t="s">
        <v>18009</v>
      </c>
      <c r="C19041" s="3" t="str">
        <f>IFERROR(__xludf.DUMMYFUNCTION("GOOGLETRANSLATE(B19041,""id"",""en"")"),"['Install', 'Unistall', 'APLIKADI', 'Telkomsel', 'Tetep', 'No "",' Rubbated ',' Actually ',' As ',' User ',' Tired ',' Credit ',' ',' controlled ',' Rich ',' Mihon ',' Fix ']")</f>
        <v>['Install', 'Unistall', 'APLIKADI', 'Telkomsel', 'Tetep', 'No ",' Rubbated ',' Actually ',' As ',' User ',' Tired ',' Credit ',' ',' controlled ',' Rich ',' Mihon ',' Fix ']</v>
      </c>
      <c r="D19041" s="3">
        <v>1.0</v>
      </c>
    </row>
    <row r="19042" ht="15.75" customHeight="1">
      <c r="A19042" s="1">
        <v>20252.0</v>
      </c>
      <c r="B19042" s="3" t="s">
        <v>18010</v>
      </c>
      <c r="C19042" s="3" t="str">
        <f>IFERROR(__xludf.DUMMYFUNCTION("GOOGLETRANSLATE(B19042,""id"",""en"")"),"['Sorry', 'Sis', 'Love', 'Rating', 'Star', 'Sis', 'Download', 'APK', 'Telkomsel', 'Sad', 'Really', ""]")</f>
        <v>['Sorry', 'Sis', 'Love', 'Rating', 'Star', 'Sis', 'Download', 'APK', 'Telkomsel', 'Sad', 'Really', "]</v>
      </c>
      <c r="D19042" s="3">
        <v>3.0</v>
      </c>
    </row>
    <row r="19043" ht="15.75" customHeight="1">
      <c r="A19043" s="1">
        <v>20253.0</v>
      </c>
      <c r="B19043" s="3" t="s">
        <v>18011</v>
      </c>
      <c r="C19043" s="3" t="str">
        <f>IFERROR(__xludf.DUMMYFUNCTION("GOOGLETRANSLATE(B19043,""id"",""en"")"),"['', 'Bner', 'Gau', 'Network', 'GB', 'Nglag', 'Anjng', 'Thinking', 'Bngst']")</f>
        <v>['', 'Bner', 'Gau', 'Network', 'GB', 'Nglag', 'Anjng', 'Thinking', 'Bngst']</v>
      </c>
      <c r="D19043" s="3">
        <v>1.0</v>
      </c>
    </row>
    <row r="19044" ht="15.75" customHeight="1">
      <c r="A19044" s="1">
        <v>20254.0</v>
      </c>
      <c r="B19044" s="3" t="s">
        <v>18012</v>
      </c>
      <c r="C19044" s="3" t="str">
        <f>IFERROR(__xludf.DUMMYFUNCTION("GOOGLETRANSLATE(B19044,""id"",""en"")"),"['Fix it', 'your signal', 'price', 'quota', 'internet', 'ride']")</f>
        <v>['Fix it', 'your signal', 'price', 'quota', 'internet', 'ride']</v>
      </c>
      <c r="D19044" s="3">
        <v>1.0</v>
      </c>
    </row>
    <row r="19045" ht="15.75" customHeight="1">
      <c r="A19045" s="1">
        <v>20255.0</v>
      </c>
      <c r="B19045" s="3" t="s">
        <v>18013</v>
      </c>
      <c r="C19045" s="3" t="str">
        <f>IFERROR(__xludf.DUMMYFUNCTION("GOOGLETRANSLATE(B19045,""id"",""en"")"),"['Telkomsel', 'best', 'service', 'network', 'okay', 'bangets', 'price', 'affordable', 'open', 'application', '']")</f>
        <v>['Telkomsel', 'best', 'service', 'network', 'okay', 'bangets', 'price', 'affordable', 'open', 'application', '']</v>
      </c>
      <c r="D19045" s="3">
        <v>5.0</v>
      </c>
    </row>
    <row r="19046" ht="15.75" customHeight="1">
      <c r="A19046" s="1">
        <v>20256.0</v>
      </c>
      <c r="B19046" s="3" t="s">
        <v>18014</v>
      </c>
      <c r="C19046" s="3" t="str">
        <f>IFERROR(__xludf.DUMMYFUNCTION("GOOGLETRANSLATE(B19046,""id"",""en"")"),"['Good', 'makes it easy', 'buy', 'package', 'pulse']")</f>
        <v>['Good', 'makes it easy', 'buy', 'package', 'pulse']</v>
      </c>
      <c r="D19046" s="3">
        <v>5.0</v>
      </c>
    </row>
    <row r="19047" ht="15.75" customHeight="1">
      <c r="A19047" s="1">
        <v>20257.0</v>
      </c>
      <c r="B19047" s="3" t="s">
        <v>18015</v>
      </c>
      <c r="C19047" s="3" t="str">
        <f>IFERROR(__xludf.DUMMYFUNCTION("GOOGLETRANSLATE(B19047,""id"",""en"")"),"['The network', 'MLH', 'Difficult', 'Gini', 'Good', 'Kampung', 'Skarangg', 'Hadehhh', 'Open', 'APK', 'Hard', 'Forgiveness',' GWS ',' Telkomsel ']")</f>
        <v>['The network', 'MLH', 'Difficult', 'Gini', 'Good', 'Kampung', 'Skarangg', 'Hadehhh', 'Open', 'APK', 'Hard', 'Forgiveness',' GWS ',' Telkomsel ']</v>
      </c>
      <c r="D19047" s="3">
        <v>2.0</v>
      </c>
    </row>
    <row r="19048" ht="15.75" customHeight="1">
      <c r="A19048" s="1">
        <v>20258.0</v>
      </c>
      <c r="B19048" s="3" t="s">
        <v>18016</v>
      </c>
      <c r="C19048" s="3" t="str">
        <f>IFERROR(__xludf.DUMMYFUNCTION("GOOGLETRANSLATE(B19048,""id"",""en"")"),"['Mantul', 'Easy', 'Maketin']")</f>
        <v>['Mantul', 'Easy', 'Maketin']</v>
      </c>
      <c r="D19048" s="3">
        <v>4.0</v>
      </c>
    </row>
    <row r="19049" ht="15.75" customHeight="1">
      <c r="A19049" s="1">
        <v>20259.0</v>
      </c>
      <c r="B19049" s="3" t="s">
        <v>18017</v>
      </c>
      <c r="C19049" s="3" t="str">
        <f>IFERROR(__xludf.DUMMYFUNCTION("GOOGLETRANSLATE(B19049,""id"",""en"")"),"['Network', 'Telkom', 'Kek', 'Kan', '']")</f>
        <v>['Network', 'Telkom', 'Kek', 'Kan', '']</v>
      </c>
      <c r="D19049" s="3">
        <v>1.0</v>
      </c>
    </row>
    <row r="19050" ht="15.75" customHeight="1">
      <c r="A19050" s="1">
        <v>20260.0</v>
      </c>
      <c r="B19050" s="3" t="s">
        <v>18018</v>
      </c>
      <c r="C19050" s="3" t="str">
        <f>IFERROR(__xludf.DUMMYFUNCTION("GOOGLETRANSLATE(B19050,""id"",""en"")"),"['nnya', 'forget', 'pay', 'bill', 'card', 'hello', 'discover', 'sign', 'signal', 'card', 'hello', 'lost', ' Pay ',' bills', 'lost', 'signal', 'beg', 'info', 'admin', 'active']")</f>
        <v>['nnya', 'forget', 'pay', 'bill', 'card', 'hello', 'discover', 'sign', 'signal', 'card', 'hello', 'lost', ' Pay ',' bills', 'lost', 'signal', 'beg', 'info', 'admin', 'active']</v>
      </c>
      <c r="D19050" s="3">
        <v>4.0</v>
      </c>
    </row>
    <row r="19051" ht="15.75" customHeight="1">
      <c r="A19051" s="1">
        <v>20261.0</v>
      </c>
      <c r="B19051" s="3" t="s">
        <v>18019</v>
      </c>
      <c r="C19051" s="3" t="str">
        <f>IFERROR(__xludf.DUMMYFUNCTION("GOOGLETRANSLATE(B19051,""id"",""en"")"),"['network', 'disorder', 'already', 'turn', 'network', 'smooth', 'hour', 'direct', 'thanksgiving', 'gini']")</f>
        <v>['network', 'disorder', 'already', 'turn', 'network', 'smooth', 'hour', 'direct', 'thanksgiving', 'gini']</v>
      </c>
      <c r="D19051" s="3">
        <v>1.0</v>
      </c>
    </row>
    <row r="19052" ht="15.75" customHeight="1">
      <c r="A19052" s="1">
        <v>20262.0</v>
      </c>
      <c r="B19052" s="3" t="s">
        <v>2333</v>
      </c>
      <c r="C19052" s="3" t="str">
        <f>IFERROR(__xludf.DUMMYFUNCTION("GOOGLETRANSLATE(B19052,""id"",""en"")"),"['opened', 'application', '']")</f>
        <v>['opened', 'application', '']</v>
      </c>
      <c r="D19052" s="3">
        <v>1.0</v>
      </c>
    </row>
    <row r="19053" ht="15.75" customHeight="1">
      <c r="A19053" s="1">
        <v>20263.0</v>
      </c>
      <c r="B19053" s="3" t="s">
        <v>18020</v>
      </c>
      <c r="C19053" s="3" t="str">
        <f>IFERROR(__xludf.DUMMYFUNCTION("GOOGLETRANSLATE(B19053,""id"",""en"")"),"['Login', 'Tod', 'Anjingg', 'Wait']")</f>
        <v>['Login', 'Tod', 'Anjingg', 'Wait']</v>
      </c>
      <c r="D19053" s="3">
        <v>1.0</v>
      </c>
    </row>
    <row r="19054" ht="15.75" customHeight="1">
      <c r="A19054" s="1">
        <v>20264.0</v>
      </c>
      <c r="B19054" s="3" t="s">
        <v>18021</v>
      </c>
      <c r="C19054" s="3" t="str">
        <f>IFERROR(__xludf.DUMMYFUNCTION("GOOGLETRANSLATE(B19054,""id"",""en"")"),"['Come', 'poor', 'signal', 'like', 'sometimes', 'lemoooooottt']")</f>
        <v>['Come', 'poor', 'signal', 'like', 'sometimes', 'lemoooooottt']</v>
      </c>
      <c r="D19054" s="3">
        <v>1.0</v>
      </c>
    </row>
    <row r="19055" ht="15.75" customHeight="1">
      <c r="A19055" s="1">
        <v>20265.0</v>
      </c>
      <c r="B19055" s="3" t="s">
        <v>18022</v>
      </c>
      <c r="C19055" s="3" t="str">
        <f>IFERROR(__xludf.DUMMYFUNCTION("GOOGLETRANSLATE(B19055,""id"",""en"")"),"['Telkomsel', 'signal', 'already', 'make', 'karti', 'Telkomsel', 'already', 'just', 'here', 'better', 'replace', 'card']")</f>
        <v>['Telkomsel', 'signal', 'already', 'make', 'karti', 'Telkomsel', 'already', 'just', 'here', 'better', 'replace', 'card']</v>
      </c>
      <c r="D19055" s="3">
        <v>1.0</v>
      </c>
    </row>
    <row r="19056" ht="15.75" customHeight="1">
      <c r="A19056" s="1">
        <v>20266.0</v>
      </c>
      <c r="B19056" s="3" t="s">
        <v>15554</v>
      </c>
      <c r="C19056" s="3" t="str">
        <f>IFERROR(__xludf.DUMMYFUNCTION("GOOGLETRANSLATE(B19056,""id"",""en"")"),"['Love', 'promo', 'cheap']")</f>
        <v>['Love', 'promo', 'cheap']</v>
      </c>
      <c r="D19056" s="3">
        <v>5.0</v>
      </c>
    </row>
    <row r="19057" ht="15.75" customHeight="1">
      <c r="A19057" s="1">
        <v>20267.0</v>
      </c>
      <c r="B19057" s="3" t="s">
        <v>18023</v>
      </c>
      <c r="C19057" s="3" t="str">
        <f>IFERROR(__xludf.DUMMYFUNCTION("GOOGLETRANSLATE(B19057,""id"",""en"")"),"['base', 'Telkomsel', 'cook', 'network', 'gini', 'slow', 'sick', 'heart', 'see']")</f>
        <v>['base', 'Telkomsel', 'cook', 'network', 'gini', 'slow', 'sick', 'heart', 'see']</v>
      </c>
      <c r="D19057" s="3">
        <v>1.0</v>
      </c>
    </row>
    <row r="19058" ht="15.75" customHeight="1">
      <c r="A19058" s="1">
        <v>20268.0</v>
      </c>
      <c r="B19058" s="3" t="s">
        <v>3222</v>
      </c>
      <c r="C19058" s="3" t="str">
        <f>IFERROR(__xludf.DUMMYFUNCTION("GOOGLETRANSLATE(B19058,""id"",""en"")"),"['satisfying', '']")</f>
        <v>['satisfying', '']</v>
      </c>
      <c r="D19058" s="3">
        <v>3.0</v>
      </c>
    </row>
    <row r="19059" ht="15.75" customHeight="1">
      <c r="A19059" s="1">
        <v>20269.0</v>
      </c>
      <c r="B19059" s="3" t="s">
        <v>18024</v>
      </c>
      <c r="C19059" s="3" t="str">
        <f>IFERROR(__xludf.DUMMYFUNCTION("GOOGLETRANSLATE(B19059,""id"",""en"")"),"['Bagus', 'application', 'Telkomsel']")</f>
        <v>['Bagus', 'application', 'Telkomsel']</v>
      </c>
      <c r="D19059" s="3">
        <v>4.0</v>
      </c>
    </row>
    <row r="19060" ht="15.75" customHeight="1">
      <c r="A19060" s="1">
        <v>20270.0</v>
      </c>
      <c r="B19060" s="3" t="s">
        <v>18025</v>
      </c>
      <c r="C19060" s="3" t="str">
        <f>IFERROR(__xludf.DUMMYFUNCTION("GOOGLETRANSLATE(B19060,""id"",""en"")"),"['Good', 'really', 'ribet']")</f>
        <v>['Good', 'really', 'ribet']</v>
      </c>
      <c r="D19060" s="3">
        <v>5.0</v>
      </c>
    </row>
    <row r="19061" ht="15.75" customHeight="1">
      <c r="A19061" s="1">
        <v>20271.0</v>
      </c>
      <c r="B19061" s="3" t="s">
        <v>18026</v>
      </c>
      <c r="C19061" s="3" t="str">
        <f>IFERROR(__xludf.DUMMYFUNCTION("GOOGLETRANSLATE(B19061,""id"",""en"")"),"['Males', 'TELKOM', 'Anjjj', 'MLM', 'Signal', 'Jelekkk', 'Maen', 'Game']")</f>
        <v>['Males', 'TELKOM', 'Anjjj', 'MLM', 'Signal', 'Jelekkk', 'Maen', 'Game']</v>
      </c>
      <c r="D19061" s="3">
        <v>1.0</v>
      </c>
    </row>
    <row r="19062" ht="15.75" customHeight="1">
      <c r="A19062" s="1">
        <v>20272.0</v>
      </c>
      <c r="B19062" s="3" t="s">
        <v>18027</v>
      </c>
      <c r="C19062" s="3" t="str">
        <f>IFERROR(__xludf.DUMMYFUNCTION("GOOGLETRANSLATE(B19062,""id"",""en"")"),"['Open', 'Application', 'Error']")</f>
        <v>['Open', 'Application', 'Error']</v>
      </c>
      <c r="D19062" s="3">
        <v>2.0</v>
      </c>
    </row>
    <row r="19063" ht="15.75" customHeight="1">
      <c r="A19063" s="1">
        <v>20273.0</v>
      </c>
      <c r="B19063" s="3" t="s">
        <v>18028</v>
      </c>
      <c r="C19063" s="3" t="str">
        <f>IFERROR(__xludf.DUMMYFUNCTION("GOOGLETRANSLATE(B19063,""id"",""en"")"),"['MyTelkomsel', 'opened', 'appears', 'picture', 'white', 'Please', 'MyTelkomsel', 'love', 'cause', 'thank', 'love']")</f>
        <v>['MyTelkomsel', 'opened', 'appears', 'picture', 'white', 'Please', 'MyTelkomsel', 'love', 'cause', 'thank', 'love']</v>
      </c>
      <c r="D19063" s="3">
        <v>5.0</v>
      </c>
    </row>
    <row r="19064" ht="15.75" customHeight="1">
      <c r="A19064" s="1">
        <v>20274.0</v>
      </c>
      <c r="B19064" s="3" t="s">
        <v>18029</v>
      </c>
      <c r="C19064" s="3" t="str">
        <f>IFERROR(__xludf.DUMMYFUNCTION("GOOGLETRANSLATE(B19064,""id"",""en"")"),"['Package', 'expensive', 'network', 'Pante', '']")</f>
        <v>['Package', 'expensive', 'network', 'Pante', '']</v>
      </c>
      <c r="D19064" s="3">
        <v>1.0</v>
      </c>
    </row>
    <row r="19065" ht="15.75" customHeight="1">
      <c r="A19065" s="1">
        <v>20275.0</v>
      </c>
      <c r="B19065" s="3" t="s">
        <v>18030</v>
      </c>
      <c r="C19065" s="3" t="str">
        <f>IFERROR(__xludf.DUMMYFUNCTION("GOOGLETRANSLATE(B19065,""id"",""en"")"),"['', 'opened', 'Uninstall', 'Reinstall', 'Tetep', 'Opened']")</f>
        <v>['', 'opened', 'Uninstall', 'Reinstall', 'Tetep', 'Opened']</v>
      </c>
      <c r="D19065" s="3">
        <v>1.0</v>
      </c>
    </row>
    <row r="19066" ht="15.75" customHeight="1">
      <c r="A19066" s="1">
        <v>20276.0</v>
      </c>
      <c r="B19066" s="3" t="s">
        <v>18031</v>
      </c>
      <c r="C19066" s="3" t="str">
        <f>IFERROR(__xludf.DUMMYFUNCTION("GOOGLETRANSLATE(B19066,""id"",""en"")"),"['Network', 'lgi', 'sihih', 'telkom', 'smpek', 'tired', 'see', 'network', 'stable', 'then', 'card', 'expensive', ' TPI ',' Network ',' stable ',' detrimental ',' users', 'smooth', 'watch', 'video', 'online', 'activity', 'slow', 'miss',' please ' , 'Ms.', "&amp;"'Dri', 'Telkom', ""]")</f>
        <v>['Network', 'lgi', 'sihih', 'telkom', 'smpek', 'tired', 'see', 'network', 'stable', 'then', 'card', 'expensive', ' TPI ',' Network ',' stable ',' detrimental ',' users', 'smooth', 'watch', 'video', 'online', 'activity', 'slow', 'miss',' please ' , 'Ms.', 'Dri', 'Telkom', "]</v>
      </c>
      <c r="D19066" s="3">
        <v>1.0</v>
      </c>
    </row>
    <row r="19067" ht="15.75" customHeight="1">
      <c r="A19067" s="1">
        <v>20277.0</v>
      </c>
      <c r="B19067" s="3" t="s">
        <v>18032</v>
      </c>
      <c r="C19067" s="3" t="str">
        <f>IFERROR(__xludf.DUMMYFUNCTION("GOOGLETRANSLATE(B19067,""id"",""en"")"),"['Network', 'good', 'really', 'village', 'TPI', 'darling', 'expensive', 'buy', 'pkt', 'save', '']")</f>
        <v>['Network', 'good', 'really', 'village', 'TPI', 'darling', 'expensive', 'buy', 'pkt', 'save', '']</v>
      </c>
      <c r="D19067" s="3">
        <v>5.0</v>
      </c>
    </row>
    <row r="19068" ht="15.75" customHeight="1">
      <c r="A19068" s="1">
        <v>20278.0</v>
      </c>
      <c r="B19068" s="3" t="s">
        <v>18033</v>
      </c>
      <c r="C19068" s="3" t="str">
        <f>IFERROR(__xludf.DUMMYFUNCTION("GOOGLETRANSLATE(B19068,""id"",""en"")"),"['The network', 'difficult', 'relied on', 'in the area', 'remote']")</f>
        <v>['The network', 'difficult', 'relied on', 'in the area', 'remote']</v>
      </c>
      <c r="D19068" s="3">
        <v>2.0</v>
      </c>
    </row>
    <row r="19069" ht="15.75" customHeight="1">
      <c r="A19069" s="1">
        <v>20279.0</v>
      </c>
      <c r="B19069" s="3" t="s">
        <v>18034</v>
      </c>
      <c r="C19069" s="3" t="str">
        <f>IFERROR(__xludf.DUMMYFUNCTION("GOOGLETRANSLATE(B19069,""id"",""en"")"),"['Please', 'Center', 'Please', 'Gini', 'Cook', 'Credit', 'Sumpot', 'Contents',' Buy ',' Internet ',' Sumpot ',' Karna ',' Gara ',' restart ',' Pliss', 'returned', 'pulse']")</f>
        <v>['Please', 'Center', 'Please', 'Gini', 'Cook', 'Credit', 'Sumpot', 'Contents',' Buy ',' Internet ',' Sumpot ',' Karna ',' Gara ',' restart ',' Pliss', 'returned', 'pulse']</v>
      </c>
      <c r="D19069" s="3">
        <v>2.0</v>
      </c>
    </row>
    <row r="19070" ht="15.75" customHeight="1">
      <c r="A19070" s="1">
        <v>20280.0</v>
      </c>
      <c r="B19070" s="3" t="s">
        <v>18035</v>
      </c>
      <c r="C19070" s="3" t="str">
        <f>IFERROR(__xludf.DUMMYFUNCTION("GOOGLETRANSLATE(B19070,""id"",""en"")"),"['Disappointed', 'A Week', 'Open', 'Application', 'Package', 'Data', 'Expensive', 'Disappointed', '']")</f>
        <v>['Disappointed', 'A Week', 'Open', 'Application', 'Package', 'Data', 'Expensive', 'Disappointed', '']</v>
      </c>
      <c r="D19070" s="3">
        <v>1.0</v>
      </c>
    </row>
    <row r="19071" ht="15.75" customHeight="1">
      <c r="A19071" s="1">
        <v>20281.0</v>
      </c>
      <c r="B19071" s="3" t="s">
        <v>18036</v>
      </c>
      <c r="C19071" s="3" t="str">
        <f>IFERROR(__xludf.DUMMYFUNCTION("GOOGLETRANSLATE(B19071,""id"",""en"")"),"['Disruption', 'System', 'BSA', 'BLI', 'PKET']")</f>
        <v>['Disruption', 'System', 'BSA', 'BLI', 'PKET']</v>
      </c>
      <c r="D19071" s="3">
        <v>1.0</v>
      </c>
    </row>
    <row r="19072" ht="15.75" customHeight="1">
      <c r="A19072" s="1">
        <v>20283.0</v>
      </c>
      <c r="B19072" s="3" t="s">
        <v>18037</v>
      </c>
      <c r="C19072" s="3" t="str">
        <f>IFERROR(__xludf.DUMMYFUNCTION("GOOGLETRANSLATE(B19072,""id"",""en"")"),"['Open', 'MyTelkomsel', 'Login', 'Please', 'Repair']")</f>
        <v>['Open', 'MyTelkomsel', 'Login', 'Please', 'Repair']</v>
      </c>
      <c r="D19072" s="3">
        <v>3.0</v>
      </c>
    </row>
    <row r="19073" ht="15.75" customHeight="1">
      <c r="A19073" s="1">
        <v>20284.0</v>
      </c>
      <c r="B19073" s="3" t="s">
        <v>18038</v>
      </c>
      <c r="C19073" s="3" t="str">
        <f>IFERROR(__xludf.DUMMYFUNCTION("GOOGLETRANSLATE(B19073,""id"",""en"")"),"['Network', 'ugly', 'price', 'package']")</f>
        <v>['Network', 'ugly', 'price', 'package']</v>
      </c>
      <c r="D19073" s="3">
        <v>1.0</v>
      </c>
    </row>
    <row r="19074" ht="15.75" customHeight="1">
      <c r="A19074" s="1">
        <v>20285.0</v>
      </c>
      <c r="B19074" s="3" t="s">
        <v>18039</v>
      </c>
      <c r="C19074" s="3" t="str">
        <f>IFERROR(__xludf.DUMMYFUNCTION("GOOGLETRANSLATE(B19074,""id"",""en"")"),"['Applikasih', 'good', 'just', 'open', 'ngebug']")</f>
        <v>['Applikasih', 'good', 'just', 'open', 'ngebug']</v>
      </c>
      <c r="D19074" s="3">
        <v>5.0</v>
      </c>
    </row>
    <row r="19075" ht="15.75" customHeight="1">
      <c r="A19075" s="1">
        <v>20286.0</v>
      </c>
      <c r="B19075" s="3" t="s">
        <v>18040</v>
      </c>
      <c r="C19075" s="3" t="str">
        <f>IFERROR(__xludf.DUMMYFUNCTION("GOOGLETRANSLATE(B19075,""id"",""en"")"),"['data', 'internet', 'turn off', 'internet', 'wifi', 'pulse', 'reduced', 'the application', 'slow', 'appears',' item ',' purchase ',' network ',' stable ',' kenceng ']")</f>
        <v>['data', 'internet', 'turn off', 'internet', 'wifi', 'pulse', 'reduced', 'the application', 'slow', 'appears',' item ',' purchase ',' network ',' stable ',' kenceng ']</v>
      </c>
      <c r="D19075" s="3">
        <v>1.0</v>
      </c>
    </row>
    <row r="19076" ht="15.75" customHeight="1">
      <c r="A19076" s="1">
        <v>20287.0</v>
      </c>
      <c r="B19076" s="3" t="s">
        <v>18041</v>
      </c>
      <c r="C19076" s="3" t="str">
        <f>IFERROR(__xludf.DUMMYFUNCTION("GOOGLETRANSLATE(B19076,""id"",""en"")"),"['Network', 'Benik', 'expensive', 'yes', 'good', 'kagak', '']")</f>
        <v>['Network', 'Benik', 'expensive', 'yes', 'good', 'kagak', '']</v>
      </c>
      <c r="D19076" s="3">
        <v>1.0</v>
      </c>
    </row>
    <row r="19077" ht="15.75" customHeight="1">
      <c r="A19077" s="1">
        <v>20288.0</v>
      </c>
      <c r="B19077" s="3" t="s">
        <v>18042</v>
      </c>
      <c r="C19077" s="3" t="str">
        <f>IFERROR(__xludf.DUMMYFUNCTION("GOOGLETRANSLATE(B19077,""id"",""en"")"),"['', 'Telkomsel', 'opened', 'PDAH', 'Uninstall', 'then', 'Install', 'Tetep', 'opened', 'please', 'repair']")</f>
        <v>['', 'Telkomsel', 'opened', 'PDAH', 'Uninstall', 'then', 'Install', 'Tetep', 'opened', 'please', 'repair']</v>
      </c>
      <c r="D19077" s="3">
        <v>3.0</v>
      </c>
    </row>
    <row r="19078" ht="15.75" customHeight="1">
      <c r="A19078" s="1">
        <v>20290.0</v>
      </c>
      <c r="B19078" s="3" t="s">
        <v>18043</v>
      </c>
      <c r="C19078" s="3" t="str">
        <f>IFERROR(__xludf.DUMMYFUNCTION("GOOGLETRANSLATE(B19078,""id"",""en"")"),"['Min', 'Application', 'Telkomsel', 'Open', '']")</f>
        <v>['Min', 'Application', 'Telkomsel', 'Open', '']</v>
      </c>
      <c r="D19078" s="3">
        <v>1.0</v>
      </c>
    </row>
    <row r="19079" ht="15.75" customHeight="1">
      <c r="A19079" s="1">
        <v>20291.0</v>
      </c>
      <c r="B19079" s="3" t="s">
        <v>18044</v>
      </c>
      <c r="C19079" s="3" t="str">
        <f>IFERROR(__xludf.DUMMYFUNCTION("GOOGLETRANSLATE(B19079,""id"",""en"")"),"['Sya', 'twrima', 'kasi']")</f>
        <v>['Sya', 'twrima', 'kasi']</v>
      </c>
      <c r="D19079" s="3">
        <v>5.0</v>
      </c>
    </row>
    <row r="19080" ht="15.75" customHeight="1">
      <c r="A19080" s="1">
        <v>20292.0</v>
      </c>
      <c r="B19080" s="3" t="s">
        <v>18045</v>
      </c>
      <c r="C19080" s="3" t="str">
        <f>IFERROR(__xludf.DUMMYFUNCTION("GOOGLETRANSLATE(B19080,""id"",""en"")"),"['Nge', 'blank', 'connection', 'slow', 'hadeuh', 'Telkomsel', ""]")</f>
        <v>['Nge', 'blank', 'connection', 'slow', 'hadeuh', 'Telkomsel', "]</v>
      </c>
      <c r="D19080" s="3">
        <v>1.0</v>
      </c>
    </row>
    <row r="19081" ht="15.75" customHeight="1">
      <c r="A19081" s="1">
        <v>20294.0</v>
      </c>
      <c r="B19081" s="3" t="s">
        <v>18046</v>
      </c>
      <c r="C19081" s="3" t="str">
        <f>IFERROR(__xludf.DUMMYFUNCTION("GOOGLETRANSLATE(B19081,""id"",""en"")"),"['Please', 'appears', 'package', 'complete']")</f>
        <v>['Please', 'appears', 'package', 'complete']</v>
      </c>
      <c r="D19081" s="3">
        <v>5.0</v>
      </c>
    </row>
    <row r="19082" ht="15.75" customHeight="1">
      <c r="A19082" s="1">
        <v>20296.0</v>
      </c>
      <c r="B19082" s="3" t="s">
        <v>18047</v>
      </c>
      <c r="C19082" s="3" t="str">
        <f>IFERROR(__xludf.DUMMYFUNCTION("GOOGLETRANSLATE(B19082,""id"",""en"")"),"['It's easy', 'quota', 'inet', 'promo', 'mksh']")</f>
        <v>['It's easy', 'quota', 'inet', 'promo', 'mksh']</v>
      </c>
      <c r="D19082" s="3">
        <v>5.0</v>
      </c>
    </row>
    <row r="19083" ht="15.75" customHeight="1">
      <c r="A19083" s="1">
        <v>20297.0</v>
      </c>
      <c r="B19083" s="3" t="s">
        <v>18048</v>
      </c>
      <c r="C19083" s="3" t="str">
        <f>IFERROR(__xludf.DUMMYFUNCTION("GOOGLETRANSLATE(B19083,""id"",""en"")"),"['', 'user', 'apk', 'Telkomsel', 'SNGT', 'Kekewe', 'signal', 'ngeleg', 'internet', 'slow', 'maen', 'game', 'ngeleg ',' Help ',' already ',' contact ',' Telkomsel ',' ngeleg ',' please ',' CPT ',' repaired ',' replace ',' card ',' thank you ', ""]")</f>
        <v>['', 'user', 'apk', 'Telkomsel', 'SNGT', 'Kekewe', 'signal', 'ngeleg', 'internet', 'slow', 'maen', 'game', 'ngeleg ',' Help ',' already ',' contact ',' Telkomsel ',' ngeleg ',' please ',' CPT ',' repaired ',' replace ',' card ',' thank you ', "]</v>
      </c>
      <c r="D19083" s="3">
        <v>1.0</v>
      </c>
    </row>
    <row r="19084" ht="15.75" customHeight="1">
      <c r="A19084" s="1">
        <v>20298.0</v>
      </c>
      <c r="B19084" s="3" t="s">
        <v>18049</v>
      </c>
      <c r="C19084" s="3" t="str">
        <f>IFERROR(__xludf.DUMMYFUNCTION("GOOGLETRANSLATE(B19084,""id"",""en"")"),"['Sorry', 'Mbak', 'Knp', 'Telkomsel', 'Delete', 'Install', 'Quota', 'Internet']")</f>
        <v>['Sorry', 'Mbak', 'Knp', 'Telkomsel', 'Delete', 'Install', 'Quota', 'Internet']</v>
      </c>
      <c r="D19084" s="3">
        <v>1.0</v>
      </c>
    </row>
    <row r="19085" ht="15.75" customHeight="1">
      <c r="A19085" s="1">
        <v>20299.0</v>
      </c>
      <c r="B19085" s="3" t="s">
        <v>633</v>
      </c>
      <c r="C19085" s="3" t="str">
        <f>IFERROR(__xludf.DUMMYFUNCTION("GOOGLETRANSLATE(B19085,""id"",""en"")"),"['Good', 'easy']")</f>
        <v>['Good', 'easy']</v>
      </c>
      <c r="D19085" s="3">
        <v>5.0</v>
      </c>
    </row>
    <row r="19086" ht="15.75" customHeight="1">
      <c r="A19086" s="1">
        <v>20301.0</v>
      </c>
      <c r="B19086" s="3" t="s">
        <v>18050</v>
      </c>
      <c r="C19086" s="3" t="str">
        <f>IFERROR(__xludf.DUMMYFUNCTION("GOOGLETRANSLATE(B19086,""id"",""en"")"),"['user', 'loyal', 'Telkomsel', 'moved', 'card', 'Telkomsel', 'Singal', 'bad', 'Trutama', 'area', 'Lampung', 'south', ' should be ',' related ',' fix ',' complaints', 'complaints',' users', 'change', 'respond', 'competition', 'compete', 'stay', 'waiting', "&amp;"'bankruptcy' , '']")</f>
        <v>['user', 'loyal', 'Telkomsel', 'moved', 'card', 'Telkomsel', 'Singal', 'bad', 'Trutama', 'area', 'Lampung', 'south', ' should be ',' related ',' fix ',' complaints', 'complaints',' users', 'change', 'respond', 'competition', 'compete', 'stay', 'waiting', 'bankruptcy' , '']</v>
      </c>
      <c r="D19086" s="3">
        <v>2.0</v>
      </c>
    </row>
    <row r="19087" ht="15.75" customHeight="1">
      <c r="A19087" s="1">
        <v>20302.0</v>
      </c>
      <c r="B19087" s="3" t="s">
        <v>18051</v>
      </c>
      <c r="C19087" s="3" t="str">
        <f>IFERROR(__xludf.DUMMYFUNCTION("GOOGLETRANSLATE(B19087,""id"",""en"")"),"['Baqus', 'Leet']")</f>
        <v>['Baqus', 'Leet']</v>
      </c>
      <c r="D19087" s="3">
        <v>1.0</v>
      </c>
    </row>
    <row r="19088" ht="15.75" customHeight="1">
      <c r="A19088" s="1">
        <v>20303.0</v>
      </c>
      <c r="B19088" s="3" t="s">
        <v>18052</v>
      </c>
      <c r="C19088" s="3" t="str">
        <f>IFERROR(__xludf.DUMMYFUNCTION("GOOGLETRANSLATE(B19088,""id"",""en"")"),"['Please', 'price', 'quota', 'trs',' raised ',' intentions', 'decrease', 'stay', 'price', 'please', 'customer', 'origin "" Various', 'group', '']")</f>
        <v>['Please', 'price', 'quota', 'trs',' raised ',' intentions', 'decrease', 'stay', 'price', 'please', 'customer', 'origin " Various', 'group', '']</v>
      </c>
      <c r="D19088" s="3">
        <v>3.0</v>
      </c>
    </row>
    <row r="19089" ht="15.75" customHeight="1">
      <c r="A19089" s="1">
        <v>20304.0</v>
      </c>
      <c r="B19089" s="3" t="s">
        <v>18053</v>
      </c>
      <c r="C19089" s="3" t="str">
        <f>IFERROR(__xludf.DUMMYFUNCTION("GOOGLETRANSLATE(B19089,""id"",""en"")"),"['Hallo', 'Telkomsel', 'Senyan', 'Tea', 'Benerin', 'People', 'Emotion', 'Buy', 'Kouta', 'GB', 'Senyan', 'Tea', ' bad', '']")</f>
        <v>['Hallo', 'Telkomsel', 'Senyan', 'Tea', 'Benerin', 'People', 'Emotion', 'Buy', 'Kouta', 'GB', 'Senyan', 'Tea', ' bad', '']</v>
      </c>
      <c r="D19089" s="3">
        <v>1.0</v>
      </c>
    </row>
    <row r="19090" ht="15.75" customHeight="1">
      <c r="A19090" s="1">
        <v>20305.0</v>
      </c>
      <c r="B19090" s="3" t="s">
        <v>1754</v>
      </c>
      <c r="C19090" s="3" t="str">
        <f>IFERROR(__xludf.DUMMYFUNCTION("GOOGLETRANSLATE(B19090,""id"",""en"")"),"['', 'open']")</f>
        <v>['', 'open']</v>
      </c>
      <c r="D19090" s="3">
        <v>1.0</v>
      </c>
    </row>
    <row r="19091" ht="15.75" customHeight="1">
      <c r="A19091" s="1">
        <v>20306.0</v>
      </c>
      <c r="B19091" s="3" t="s">
        <v>18054</v>
      </c>
      <c r="C19091" s="3" t="str">
        <f>IFERROR(__xludf.DUMMYFUNCTION("GOOGLETRANSLATE(B19091,""id"",""en"")"),"['', 'Good', 'Mksi']")</f>
        <v>['', 'Good', 'Mksi']</v>
      </c>
      <c r="D19091" s="3">
        <v>1.0</v>
      </c>
    </row>
    <row r="19092" ht="15.75" customHeight="1">
      <c r="A19092" s="1">
        <v>20307.0</v>
      </c>
      <c r="B19092" s="3" t="s">
        <v>18055</v>
      </c>
      <c r="C19092" s="3" t="str">
        <f>IFERROR(__xludf.DUMMYFUNCTION("GOOGLETRANSLATE(B19092,""id"",""en"")"),"['Telkomsel', 'sorry', 'really', 'package', 'expensive', 'signal', 'ugly', 'really', 'appeal', 'tri', 'please', 'high', ' Doang ',' signal ',' lag ']")</f>
        <v>['Telkomsel', 'sorry', 'really', 'package', 'expensive', 'signal', 'ugly', 'really', 'appeal', 'tri', 'please', 'high', ' Doang ',' signal ',' lag ']</v>
      </c>
      <c r="D19092" s="3">
        <v>1.0</v>
      </c>
    </row>
    <row r="19093" ht="15.75" customHeight="1">
      <c r="A19093" s="1">
        <v>20309.0</v>
      </c>
      <c r="B19093" s="3" t="s">
        <v>18056</v>
      </c>
      <c r="C19093" s="3" t="str">
        <f>IFERROR(__xludf.DUMMYFUNCTION("GOOGLETRANSLATE(B19093,""id"",""en"")"),"['Out', 'update', 'error', 'ndak', 'opened', 'the application']")</f>
        <v>['Out', 'update', 'error', 'ndak', 'opened', 'the application']</v>
      </c>
      <c r="D19093" s="3">
        <v>1.0</v>
      </c>
    </row>
    <row r="19094" ht="15.75" customHeight="1">
      <c r="A19094" s="1">
        <v>20310.0</v>
      </c>
      <c r="B19094" s="3" t="s">
        <v>18057</v>
      </c>
      <c r="C19094" s="3" t="str">
        <f>IFERROR(__xludf.DUMMYFUNCTION("GOOGLETRANSLATE(B19094,""id"",""en"")"),"['Open', 'Telkomsel', 'screen', 'White', '']")</f>
        <v>['Open', 'Telkomsel', 'screen', 'White', '']</v>
      </c>
      <c r="D19094" s="3">
        <v>2.0</v>
      </c>
    </row>
    <row r="19095" ht="15.75" customHeight="1">
      <c r="A19095" s="1">
        <v>20311.0</v>
      </c>
      <c r="B19095" s="3" t="s">
        <v>18058</v>
      </c>
      <c r="C19095" s="3" t="str">
        <f>IFERROR(__xludf.DUMMYFUNCTION("GOOGLETRANSLATE(B19095,""id"",""en"")"),"['Telkomsel', 'Application', 'Ngeblank', 'Update', 'Features', 'Sis', 'Ngeblank', 'Please', 'Thanks', ""]")</f>
        <v>['Telkomsel', 'Application', 'Ngeblank', 'Update', 'Features', 'Sis', 'Ngeblank', 'Please', 'Thanks', "]</v>
      </c>
      <c r="D19095" s="3">
        <v>1.0</v>
      </c>
    </row>
    <row r="19096" ht="15.75" customHeight="1">
      <c r="A19096" s="1">
        <v>20312.0</v>
      </c>
      <c r="B19096" s="3" t="s">
        <v>18059</v>
      </c>
      <c r="C19096" s="3" t="str">
        <f>IFERROR(__xludf.DUMMYFUNCTION("GOOGLETRANSLATE(B19096,""id"",""en"")"),"['makes it easier', 'Affairs']")</f>
        <v>['makes it easier', 'Affairs']</v>
      </c>
      <c r="D19096" s="3">
        <v>5.0</v>
      </c>
    </row>
    <row r="19097" ht="15.75" customHeight="1">
      <c r="A19097" s="1">
        <v>20313.0</v>
      </c>
      <c r="B19097" s="3" t="s">
        <v>18060</v>
      </c>
      <c r="C19097" s="3" t="str">
        <f>IFERROR(__xludf.DUMMYFUNCTION("GOOGLETRANSLATE(B19097,""id"",""en"")"),"['signal', 'like', 'ngilan', 'empty', 'ngda', 'skli', 'pdhl', 'neglect', 'storm', 'dead', 'lights', 'then' package ',' expensive ',' card ',' Ngda ',' buy ',' Telkomsel ',' NGK ',' Ngilk ',' gave ',' choice ',' package ',' Udh ',' Snyl ' , 'ganguan', 'pac"&amp;"kage', 'expensive']")</f>
        <v>['signal', 'like', 'ngilan', 'empty', 'ngda', 'skli', 'pdhl', 'neglect', 'storm', 'dead', 'lights', 'then' package ',' expensive ',' card ',' Ngda ',' buy ',' Telkomsel ',' NGK ',' Ngilk ',' gave ',' choice ',' package ',' Udh ',' Snyl ' , 'ganguan', 'package', 'expensive']</v>
      </c>
      <c r="D19097" s="3">
        <v>1.0</v>
      </c>
    </row>
    <row r="19098" ht="15.75" customHeight="1">
      <c r="A19098" s="1">
        <v>20314.0</v>
      </c>
      <c r="B19098" s="3" t="s">
        <v>18061</v>
      </c>
      <c r="C19098" s="3" t="str">
        <f>IFERROR(__xludf.DUMMYFUNCTION("GOOGLETRANSLATE(B19098,""id"",""en"")"),"['version', 'ugly', 'open', 'failed', 'gaagal', 'dizziness', 'nakya', 'makes it easier', 'difficult']")</f>
        <v>['version', 'ugly', 'open', 'failed', 'gaagal', 'dizziness', 'nakya', 'makes it easier', 'difficult']</v>
      </c>
      <c r="D19098" s="3">
        <v>1.0</v>
      </c>
    </row>
    <row r="19099" ht="15.75" customHeight="1">
      <c r="A19099" s="1">
        <v>20315.0</v>
      </c>
      <c r="B19099" s="3" t="s">
        <v>18062</v>
      </c>
      <c r="C19099" s="3" t="str">
        <f>IFERROR(__xludf.DUMMYFUNCTION("GOOGLETRANSLATE(B19099,""id"",""en"")"),"['kah', 'Telkomsel', 'network', 'only', 'good', 'waited', 'indosat', 'network', 'stable', 'sultra', 'already', 'stable', ' Bye ',' Bye ',' Telkomcrot ',' expensive ',' package ',' data ',' area ',' East ', ""]")</f>
        <v>['kah', 'Telkomsel', 'network', 'only', 'good', 'waited', 'indosat', 'network', 'stable', 'sultra', 'already', 'stable', ' Bye ',' Bye ',' Telkomcrot ',' expensive ',' package ',' data ',' area ',' East ', "]</v>
      </c>
      <c r="D19099" s="3">
        <v>1.0</v>
      </c>
    </row>
    <row r="19100" ht="15.75" customHeight="1">
      <c r="A19100" s="1">
        <v>20316.0</v>
      </c>
      <c r="B19100" s="3" t="s">
        <v>18063</v>
      </c>
      <c r="C19100" s="3" t="str">
        <f>IFERROR(__xludf.DUMMYFUNCTION("GOOGLETRANSLATE(B19100,""id"",""en"")"),"['APK', 'already', 'functioning', 'disappointed', 'really', 'ahh', 'already', 'open']")</f>
        <v>['APK', 'already', 'functioning', 'disappointed', 'really', 'ahh', 'already', 'open']</v>
      </c>
      <c r="D19100" s="3">
        <v>1.0</v>
      </c>
    </row>
    <row r="19101" ht="15.75" customHeight="1">
      <c r="A19101" s="1">
        <v>20317.0</v>
      </c>
      <c r="B19101" s="3" t="s">
        <v>18064</v>
      </c>
      <c r="C19101" s="3" t="str">
        <f>IFERROR(__xludf.DUMMYFUNCTION("GOOGLETRANSLATE(B19101,""id"",""en"")"),"['Steady', 'Betll', 'application']")</f>
        <v>['Steady', 'Betll', 'application']</v>
      </c>
      <c r="D19101" s="3">
        <v>5.0</v>
      </c>
    </row>
    <row r="19102" ht="15.75" customHeight="1">
      <c r="A19102" s="1">
        <v>20318.0</v>
      </c>
      <c r="B19102" s="3" t="s">
        <v>18065</v>
      </c>
      <c r="C19102" s="3" t="str">
        <f>IFERROR(__xludf.DUMMYFUNCTION("GOOGLETRANSLATE(B19102,""id"",""en"")"),"['Min', 'knapa', 'access',' application ',' mytelkomsel ',' already ',' uninstall ',' try ',' list ',' package ',' pulse ',' pdahal ',' Pulsely ',' ']")</f>
        <v>['Min', 'knapa', 'access',' application ',' mytelkomsel ',' already ',' uninstall ',' try ',' list ',' package ',' pulse ',' pdahal ',' Pulsely ',' ']</v>
      </c>
      <c r="D19102" s="3">
        <v>4.0</v>
      </c>
    </row>
    <row r="19103" ht="15.75" customHeight="1">
      <c r="A19103" s="1">
        <v>20319.0</v>
      </c>
      <c r="B19103" s="3" t="s">
        <v>9770</v>
      </c>
      <c r="C19103" s="3" t="str">
        <f>IFERROR(__xludf.DUMMYFUNCTION("GOOGLETRANSLATE(B19103,""id"",""en"")"),"['Hopefully', 'Win', 'Lottery']")</f>
        <v>['Hopefully', 'Win', 'Lottery']</v>
      </c>
      <c r="D19103" s="3">
        <v>5.0</v>
      </c>
    </row>
    <row r="19104" ht="15.75" customHeight="1">
      <c r="A19104" s="1">
        <v>20321.0</v>
      </c>
      <c r="B19104" s="3" t="s">
        <v>18066</v>
      </c>
      <c r="C19104" s="3" t="str">
        <f>IFERROR(__xludf.DUMMYFUNCTION("GOOGLETRANSLATE(B19104,""id"",""en"")"),"['Please', 'Doc', 'improvement', 'network', 'user', 'loyal', 'Telkomsel', 'disappointed', 'quality', 'network', 'Telkomsel', 'bad', ' Region ',' Pali ',' Sumatran ',' South ',' Village ',' Tlng ',' Root ',' Access', 'Internet', 'Watch', 'YouTube', 'Play',"&amp;" 'Games' , 'Online', 'slalu', 'constrained', 'missing']")</f>
        <v>['Please', 'Doc', 'improvement', 'network', 'user', 'loyal', 'Telkomsel', 'disappointed', 'quality', 'network', 'Telkomsel', 'bad', ' Region ',' Pali ',' Sumatran ',' South ',' Village ',' Tlng ',' Root ',' Access', 'Internet', 'Watch', 'YouTube', 'Play', 'Games' , 'Online', 'slalu', 'constrained', 'missing']</v>
      </c>
      <c r="D19104" s="3">
        <v>1.0</v>
      </c>
    </row>
    <row r="19105" ht="15.75" customHeight="1">
      <c r="A19105" s="1">
        <v>20322.0</v>
      </c>
      <c r="B19105" s="3" t="s">
        <v>18067</v>
      </c>
      <c r="C19105" s="3" t="str">
        <f>IFERROR(__xludf.DUMMYFUNCTION("GOOGLETRANSLATE(B19105,""id"",""en"")"),"['Package', 'multimedia', 'use', 'game', 'sosmed', 'pdhl', 'printed', 'description', 'sampaahh']")</f>
        <v>['Package', 'multimedia', 'use', 'game', 'sosmed', 'pdhl', 'printed', 'description', 'sampaahh']</v>
      </c>
      <c r="D19105" s="3">
        <v>1.0</v>
      </c>
    </row>
    <row r="19106" ht="15.75" customHeight="1">
      <c r="A19106" s="1">
        <v>20323.0</v>
      </c>
      <c r="B19106" s="3" t="s">
        <v>18068</v>
      </c>
      <c r="C19106" s="3" t="str">
        <f>IFERROR(__xludf.DUMMYFUNCTION("GOOGLETRANSLATE(B19106,""id"",""en"")"),"['Package', 'Data', 'expensive', 'Level', 'Disappointed', '']")</f>
        <v>['Package', 'Data', 'expensive', 'Level', 'Disappointed', '']</v>
      </c>
      <c r="D19106" s="3">
        <v>3.0</v>
      </c>
    </row>
    <row r="19107" ht="15.75" customHeight="1">
      <c r="A19107" s="1">
        <v>20324.0</v>
      </c>
      <c r="B19107" s="3" t="s">
        <v>18069</v>
      </c>
      <c r="C19107" s="3" t="str">
        <f>IFERROR(__xludf.DUMMYFUNCTION("GOOGLETRANSLATE(B19107,""id"",""en"")"),"['opened', 'Samsung', 'app', 'heavy', 'smooth', 'app', 'useful', '']")</f>
        <v>['opened', 'Samsung', 'app', 'heavy', 'smooth', 'app', 'useful', '']</v>
      </c>
      <c r="D19107" s="3">
        <v>1.0</v>
      </c>
    </row>
    <row r="19108" ht="15.75" customHeight="1">
      <c r="A19108" s="1">
        <v>20325.0</v>
      </c>
      <c r="B19108" s="3" t="s">
        <v>18070</v>
      </c>
      <c r="C19108" s="3" t="str">
        <f>IFERROR(__xludf.DUMMYFUNCTION("GOOGLETRANSLATE(B19108,""id"",""en"")"),"['Code', 'SMS']")</f>
        <v>['Code', 'SMS']</v>
      </c>
      <c r="D19108" s="3">
        <v>1.0</v>
      </c>
    </row>
    <row r="19109" ht="15.75" customHeight="1">
      <c r="A19109" s="1">
        <v>20326.0</v>
      </c>
      <c r="B19109" s="3" t="s">
        <v>18071</v>
      </c>
      <c r="C19109" s="3" t="str">
        <f>IFERROR(__xludf.DUMMYFUNCTION("GOOGLETRANSLATE(B19109,""id"",""en"")"),"['Please', 'NPA', 'Bukak', 'comment']")</f>
        <v>['Please', 'NPA', 'Bukak', 'comment']</v>
      </c>
      <c r="D19109" s="3">
        <v>2.0</v>
      </c>
    </row>
    <row r="19110" ht="15.75" customHeight="1">
      <c r="A19110" s="1">
        <v>20327.0</v>
      </c>
      <c r="B19110" s="3" t="s">
        <v>18072</v>
      </c>
      <c r="C19110" s="3" t="str">
        <f>IFERROR(__xludf.DUMMYFUNCTION("GOOGLETRANSLATE(B19110,""id"",""en"")"),"['Good', 'like', 'the application']")</f>
        <v>['Good', 'like', 'the application']</v>
      </c>
      <c r="D19110" s="3">
        <v>4.0</v>
      </c>
    </row>
    <row r="19111" ht="15.75" customHeight="1">
      <c r="A19111" s="1">
        <v>20328.0</v>
      </c>
      <c r="B19111" s="3" t="s">
        <v>18073</v>
      </c>
      <c r="C19111" s="3" t="str">
        <f>IFERROR(__xludf.DUMMYFUNCTION("GOOGLETRANSLATE(B19111,""id"",""en"")"),"['Telkomsel', 'people', 'emotion', 'buy', 'package']")</f>
        <v>['Telkomsel', 'people', 'emotion', 'buy', 'package']</v>
      </c>
      <c r="D19111" s="3">
        <v>1.0</v>
      </c>
    </row>
    <row r="19112" ht="15.75" customHeight="1">
      <c r="A19112" s="1">
        <v>20329.0</v>
      </c>
      <c r="B19112" s="3" t="s">
        <v>18074</v>
      </c>
      <c r="C19112" s="3" t="str">
        <f>IFERROR(__xludf.DUMMYFUNCTION("GOOGLETRANSLATE(B19112,""id"",""en"")"),"['users', 'Telkomsel', 'loyal', 'rich', 'switch', 'purchase', 'pulse', 'truncated', 'pulses', ""]")</f>
        <v>['users', 'Telkomsel', 'loyal', 'rich', 'switch', 'purchase', 'pulse', 'truncated', 'pulses', "]</v>
      </c>
      <c r="D19112" s="3">
        <v>1.0</v>
      </c>
    </row>
    <row r="19113" ht="15.75" customHeight="1">
      <c r="A19113" s="1">
        <v>20330.0</v>
      </c>
      <c r="B19113" s="3" t="s">
        <v>18075</v>
      </c>
      <c r="C19113" s="3" t="str">
        <f>IFERROR(__xludf.DUMMYFUNCTION("GOOGLETRANSLATE(B19113,""id"",""en"")"),"['Telkomsel', 'Jaya', 'Hopefully', 'Leading']")</f>
        <v>['Telkomsel', 'Jaya', 'Hopefully', 'Leading']</v>
      </c>
      <c r="D19113" s="3">
        <v>5.0</v>
      </c>
    </row>
    <row r="19114" ht="15.75" customHeight="1">
      <c r="A19114" s="1">
        <v>20331.0</v>
      </c>
      <c r="B19114" s="3" t="s">
        <v>18076</v>
      </c>
      <c r="C19114" s="3" t="str">
        <f>IFERROR(__xludf.DUMMYFUNCTION("GOOGLETRANSLATE(B19114,""id"",""en"")"),"['Original', 'Severe', 'Nganembin', 'Business',' Legitimate ',' Legitimate ',' Service ',' Increases', 'Donk', 'Please', 'Donk', 'Telkomsel', ' Customers', 'disappointed', 'network', 'Telkomsel', 'blur', 'provider', 'customers']")</f>
        <v>['Original', 'Severe', 'Nganembin', 'Business',' Legitimate ',' Legitimate ',' Service ',' Increases', 'Donk', 'Please', 'Donk', 'Telkomsel', ' Customers', 'disappointed', 'network', 'Telkomsel', 'blur', 'provider', 'customers']</v>
      </c>
      <c r="D19114" s="3">
        <v>1.0</v>
      </c>
    </row>
    <row r="19115" ht="15.75" customHeight="1">
      <c r="A19115" s="1">
        <v>20332.0</v>
      </c>
      <c r="B19115" s="3" t="s">
        <v>18077</v>
      </c>
      <c r="C19115" s="3" t="str">
        <f>IFERROR(__xludf.DUMMYFUNCTION("GOOGLETRANSLATE(B19115,""id"",""en"")"),"['hope', 'blessing', 'Telkomsel']")</f>
        <v>['hope', 'blessing', 'Telkomsel']</v>
      </c>
      <c r="D19115" s="3">
        <v>5.0</v>
      </c>
    </row>
    <row r="19116" ht="15.75" customHeight="1">
      <c r="A19116" s="1">
        <v>20333.0</v>
      </c>
      <c r="B19116" s="3" t="s">
        <v>92</v>
      </c>
      <c r="C19116" s="3" t="str">
        <f>IFERROR(__xludf.DUMMYFUNCTION("GOOGLETRANSLATE(B19116,""id"",""en"")"),"['Application', 'Open']")</f>
        <v>['Application', 'Open']</v>
      </c>
      <c r="D19116" s="3">
        <v>2.0</v>
      </c>
    </row>
    <row r="19117" ht="15.75" customHeight="1">
      <c r="A19117" s="1">
        <v>20334.0</v>
      </c>
      <c r="B19117" s="3" t="s">
        <v>18078</v>
      </c>
      <c r="C19117" s="3" t="str">
        <f>IFERROR(__xludf.DUMMYFUNCTION("GOOGLETRANSLATE(B19117,""id"",""en"")"),"['satisfying', 'service', 'Offer', 'then', 'package', 'package', 'internet']")</f>
        <v>['satisfying', 'service', 'Offer', 'then', 'package', 'package', 'internet']</v>
      </c>
      <c r="D19117" s="3">
        <v>5.0</v>
      </c>
    </row>
    <row r="19118" ht="15.75" customHeight="1">
      <c r="A19118" s="1">
        <v>20335.0</v>
      </c>
      <c r="B19118" s="3" t="s">
        <v>18079</v>
      </c>
      <c r="C19118" s="3" t="str">
        <f>IFERROR(__xludf.DUMMYFUNCTION("GOOGLETRANSLATE(B19118,""id"",""en"")"),"['Please', 'Increase', 'qualitations', 'signal', 'internet', 'my boss']")</f>
        <v>['Please', 'Increase', 'qualitations', 'signal', 'internet', 'my boss']</v>
      </c>
      <c r="D19118" s="3">
        <v>5.0</v>
      </c>
    </row>
    <row r="19119" ht="15.75" customHeight="1">
      <c r="A19119" s="1">
        <v>20336.0</v>
      </c>
      <c r="B19119" s="3" t="s">
        <v>18080</v>
      </c>
      <c r="C19119" s="3" t="str">
        <f>IFERROR(__xludf.DUMMYFUNCTION("GOOGLETRANSLATE(B19119,""id"",""en"")"),"['paraahhh', 'so', 'sympathy', 'times',' ugly ',' big one ',' buy ',' package ',' internet ',' pay ',' please ',' fix ',' disappointed', '']")</f>
        <v>['paraahhh', 'so', 'sympathy', 'times',' ugly ',' big one ',' buy ',' package ',' internet ',' pay ',' please ',' fix ',' disappointed', '']</v>
      </c>
      <c r="D19119" s="3">
        <v>1.0</v>
      </c>
    </row>
    <row r="19120" ht="15.75" customHeight="1">
      <c r="A19120" s="1">
        <v>20337.0</v>
      </c>
      <c r="B19120" s="3" t="s">
        <v>18081</v>
      </c>
      <c r="C19120" s="3" t="str">
        <f>IFERROR(__xludf.DUMMYFUNCTION("GOOGLETRANSLATE(B19120,""id"",""en"")"),"['Most', 'promo', 'complaints', 'customer', 'left', '']")</f>
        <v>['Most', 'promo', 'complaints', 'customer', 'left', '']</v>
      </c>
      <c r="D19120" s="3">
        <v>1.0</v>
      </c>
    </row>
    <row r="19121" ht="15.75" customHeight="1">
      <c r="A19121" s="1">
        <v>20339.0</v>
      </c>
      <c r="B19121" s="3" t="s">
        <v>18082</v>
      </c>
      <c r="C19121" s="3" t="str">
        <f>IFERROR(__xludf.DUMMYFUNCTION("GOOGLETRANSLATE(B19121,""id"",""en"")"),"['Paketan', 'cheap', 'trimakasih', ""]")</f>
        <v>['Paketan', 'cheap', 'trimakasih', "]</v>
      </c>
      <c r="D19121" s="3">
        <v>5.0</v>
      </c>
    </row>
    <row r="19122" ht="15.75" customHeight="1">
      <c r="A19122" s="1">
        <v>20340.0</v>
      </c>
      <c r="B19122" s="3" t="s">
        <v>18083</v>
      </c>
      <c r="C19122" s="3" t="str">
        <f>IFERROR(__xludf.DUMMYFUNCTION("GOOGLETRANSLATE(B19122,""id"",""en"")"),"['slow', 'wrong', 'where', 'vendor', 'use', 'Telkomsel', 'expensive', 'special', 'Telkomsel', ""]")</f>
        <v>['slow', 'wrong', 'where', 'vendor', 'use', 'Telkomsel', 'expensive', 'special', 'Telkomsel', "]</v>
      </c>
      <c r="D19122" s="3">
        <v>1.0</v>
      </c>
    </row>
    <row r="19123" ht="15.75" customHeight="1">
      <c r="A19123" s="1">
        <v>20341.0</v>
      </c>
      <c r="B19123" s="3" t="s">
        <v>18084</v>
      </c>
      <c r="C19123" s="3" t="str">
        <f>IFERROR(__xludf.DUMMYFUNCTION("GOOGLETRANSLATE(B19123,""id"",""en"")"),"['Bitntang', 'please', 'Telkomsel', 'fix', 'net', 'Kyak', 'pig', 'animal', 'Telkomsel']")</f>
        <v>['Bitntang', 'please', 'Telkomsel', 'fix', 'net', 'Kyak', 'pig', 'animal', 'Telkomsel']</v>
      </c>
      <c r="D19123" s="3">
        <v>1.0</v>
      </c>
    </row>
    <row r="19124" ht="15.75" customHeight="1">
      <c r="A19124" s="1">
        <v>20342.0</v>
      </c>
      <c r="B19124" s="3" t="s">
        <v>18085</v>
      </c>
      <c r="C19124" s="3" t="str">
        <f>IFERROR(__xludf.DUMMYFUNCTION("GOOGLETRANSLATE(B19124,""id"",""en"")"),"['Problem', 'right', 'Login', 'Telkomsel', 'White', 'Screen', 'buy', 'pulse', 'kagak', 'entry', 'seller', 'pulse', ' Enter ',' Sis', 'please', 'Jon', 'Benerin', ""]")</f>
        <v>['Problem', 'right', 'Login', 'Telkomsel', 'White', 'Screen', 'buy', 'pulse', 'kagak', 'entry', 'seller', 'pulse', ' Enter ',' Sis', 'please', 'Jon', 'Benerin', "]</v>
      </c>
      <c r="D19124" s="3">
        <v>1.0</v>
      </c>
    </row>
    <row r="19125" ht="15.75" customHeight="1">
      <c r="A19125" s="1">
        <v>20343.0</v>
      </c>
      <c r="B19125" s="3" t="s">
        <v>18086</v>
      </c>
      <c r="C19125" s="3" t="str">
        <f>IFERROR(__xludf.DUMMYFUNCTION("GOOGLETRANSLATE(B19125,""id"",""en"")"),"['NOT', 'BET', 'White', 'Screen', 'Ngebug', 'Please', 'Minn', 'Fix', 'Quality', 'Internet', 'Good', 'Very', ' ']")</f>
        <v>['NOT', 'BET', 'White', 'Screen', 'Ngebug', 'Please', 'Minn', 'Fix', 'Quality', 'Internet', 'Good', 'Very', ' ']</v>
      </c>
      <c r="D19125" s="3">
        <v>1.0</v>
      </c>
    </row>
    <row r="19126" ht="15.75" customHeight="1">
      <c r="A19126" s="1">
        <v>20344.0</v>
      </c>
      <c r="B19126" s="3" t="s">
        <v>18087</v>
      </c>
      <c r="C19126" s="3" t="str">
        <f>IFERROR(__xludf.DUMMYFUNCTION("GOOGLETRANSLATE(B19126,""id"",""en"")"),"['multiply', 'promo', 'best-selling']")</f>
        <v>['multiply', 'promo', 'best-selling']</v>
      </c>
      <c r="D19126" s="3">
        <v>5.0</v>
      </c>
    </row>
    <row r="19127" ht="15.75" customHeight="1">
      <c r="A19127" s="1">
        <v>20345.0</v>
      </c>
      <c r="B19127" s="3" t="s">
        <v>18088</v>
      </c>
      <c r="C19127" s="3" t="str">
        <f>IFERROR(__xludf.DUMMYFUNCTION("GOOGLETRANSLATE(B19127,""id"",""en"")"),"['Good', 'recommendation']")</f>
        <v>['Good', 'recommendation']</v>
      </c>
      <c r="D19127" s="3">
        <v>5.0</v>
      </c>
    </row>
    <row r="19128" ht="15.75" customHeight="1">
      <c r="A19128" s="1">
        <v>20346.0</v>
      </c>
      <c r="B19128" s="3" t="s">
        <v>18089</v>
      </c>
      <c r="C19128" s="3" t="str">
        <f>IFERROR(__xludf.DUMMYFUNCTION("GOOGLETRANSLATE(B19128,""id"",""en"")"),"['users',' Telkomsel ',' claim ',' disappointed ',' Telkomsel ',' talking ',' unlimited ',' ngak ',' limited ',' run out ',' dated ',' usage ',' ']")</f>
        <v>['users',' Telkomsel ',' claim ',' disappointed ',' Telkomsel ',' talking ',' unlimited ',' ngak ',' limited ',' run out ',' dated ',' usage ',' ']</v>
      </c>
      <c r="D19128" s="3">
        <v>1.0</v>
      </c>
    </row>
    <row r="19129" ht="15.75" customHeight="1">
      <c r="A19129" s="1">
        <v>20347.0</v>
      </c>
      <c r="B19129" s="3" t="s">
        <v>18090</v>
      </c>
      <c r="C19129" s="3" t="str">
        <f>IFERROR(__xludf.DUMMYFUNCTION("GOOGLETRANSLATE(B19129,""id"",""en"")"),"['Package', 'promo']")</f>
        <v>['Package', 'promo']</v>
      </c>
      <c r="D19129" s="3">
        <v>3.0</v>
      </c>
    </row>
    <row r="19130" ht="15.75" customHeight="1">
      <c r="A19130" s="1">
        <v>20348.0</v>
      </c>
      <c r="B19130" s="3" t="s">
        <v>2127</v>
      </c>
      <c r="C19130" s="3" t="str">
        <f>IFERROR(__xludf.DUMMYFUNCTION("GOOGLETRANSLATE(B19130,""id"",""en"")"),"['easy']")</f>
        <v>['easy']</v>
      </c>
      <c r="D19130" s="3">
        <v>5.0</v>
      </c>
    </row>
    <row r="19131" ht="15.75" customHeight="1">
      <c r="A19131" s="1">
        <v>20349.0</v>
      </c>
      <c r="B19131" s="3" t="s">
        <v>18091</v>
      </c>
      <c r="C19131" s="3" t="str">
        <f>IFERROR(__xludf.DUMMYFUNCTION("GOOGLETRANSLATE(B19131,""id"",""en"")"),"['Telkomsel', 'Telkomsel', 'Threat', 'Gini', 'Date', 'Wis',' Blank ',' Open ',' Application ',' Screen ',' Fill ',' Alias', ' White ',' tih ',' tih ',' tihhhhh ']")</f>
        <v>['Telkomsel', 'Telkomsel', 'Threat', 'Gini', 'Date', 'Wis',' Blank ',' Open ',' Application ',' Screen ',' Fill ',' Alias', ' White ',' tih ',' tih ',' tihhhhh ']</v>
      </c>
      <c r="D19131" s="3">
        <v>2.0</v>
      </c>
    </row>
    <row r="19132" ht="15.75" customHeight="1">
      <c r="A19132" s="1">
        <v>20350.0</v>
      </c>
      <c r="B19132" s="3" t="s">
        <v>18092</v>
      </c>
      <c r="C19132" s="3" t="str">
        <f>IFERROR(__xludf.DUMMYFUNCTION("GOOGLETRANSLATE(B19132,""id"",""en"")"),"['Sorry', 'Reduce', 'Bintang', 'Buy', 'Package', 'Combo', 'Sakti', 'Expensive', 'Purchase', 'Combo', 'Sakti', 'expensive', ' ']")</f>
        <v>['Sorry', 'Reduce', 'Bintang', 'Buy', 'Package', 'Combo', 'Sakti', 'Expensive', 'Purchase', 'Combo', 'Sakti', 'expensive', ' ']</v>
      </c>
      <c r="D19132" s="3">
        <v>1.0</v>
      </c>
    </row>
    <row r="19133" ht="15.75" customHeight="1">
      <c r="A19133" s="1">
        <v>20351.0</v>
      </c>
      <c r="B19133" s="3" t="s">
        <v>18093</v>
      </c>
      <c r="C19133" s="3" t="str">
        <f>IFERROR(__xludf.DUMMYFUNCTION("GOOGLETRANSLATE(B19133,""id"",""en"")"),"['', 'RESEMBLE', 'QUALITY', 'SIALAL', 'BOSS']")</f>
        <v>['', 'RESEMBLE', 'QUALITY', 'SIALAL', 'BOSS']</v>
      </c>
      <c r="D19133" s="3">
        <v>4.0</v>
      </c>
    </row>
    <row r="19134" ht="15.75" customHeight="1">
      <c r="A19134" s="1">
        <v>20352.0</v>
      </c>
      <c r="B19134" s="3" t="s">
        <v>2047</v>
      </c>
      <c r="C19134" s="3" t="str">
        <f>IFERROR(__xludf.DUMMYFUNCTION("GOOGLETRANSLATE(B19134,""id"",""en"")"),"['Application', 'Telkomsel', 'Open', '']")</f>
        <v>['Application', 'Telkomsel', 'Open', '']</v>
      </c>
      <c r="D19134" s="3">
        <v>5.0</v>
      </c>
    </row>
    <row r="19135" ht="15.75" customHeight="1">
      <c r="A19135" s="1">
        <v>20353.0</v>
      </c>
      <c r="B19135" s="3" t="s">
        <v>18094</v>
      </c>
      <c r="C19135" s="3" t="str">
        <f>IFERROR(__xludf.DUMMYFUNCTION("GOOGLETRANSLATE(B19135,""id"",""en"")"),"['Telkomsel', 'network', 'number', 'disappointed', 'signal', 'guaranteed', 'rain', 'slow', 'really', 'sinynya', 'please', 'repaired', ' The network is', 'strong', 'signal']")</f>
        <v>['Telkomsel', 'network', 'number', 'disappointed', 'signal', 'guaranteed', 'rain', 'slow', 'really', 'sinynya', 'please', 'repaired', ' The network is', 'strong', 'signal']</v>
      </c>
      <c r="D19135" s="3">
        <v>1.0</v>
      </c>
    </row>
    <row r="19136" ht="15.75" customHeight="1">
      <c r="A19136" s="1">
        <v>20354.0</v>
      </c>
      <c r="B19136" s="3" t="s">
        <v>18095</v>
      </c>
      <c r="C19136" s="3" t="str">
        <f>IFERROR(__xludf.DUMMYFUNCTION("GOOGLETRANSLATE(B19136,""id"",""en"")"),"['Spirit', 'Telkomsel', 'Sexony', 'The', 'Best', ""]")</f>
        <v>['Spirit', 'Telkomsel', 'Sexony', 'The', 'Best', "]</v>
      </c>
      <c r="D19136" s="3">
        <v>5.0</v>
      </c>
    </row>
    <row r="19137" ht="15.75" customHeight="1">
      <c r="A19137" s="1">
        <v>20355.0</v>
      </c>
      <c r="B19137" s="3" t="s">
        <v>18096</v>
      </c>
      <c r="C19137" s="3" t="str">
        <f>IFERROR(__xludf.DUMMYFUNCTION("GOOGLETRANSLATE(B19137,""id"",""en"")"),"['Application', 'petrified', 'price', ""]")</f>
        <v>['Application', 'petrified', 'price', "]</v>
      </c>
      <c r="D19137" s="3">
        <v>5.0</v>
      </c>
    </row>
    <row r="19138" ht="15.75" customHeight="1">
      <c r="A19138" s="1">
        <v>20356.0</v>
      </c>
      <c r="B19138" s="3" t="s">
        <v>18097</v>
      </c>
      <c r="C19138" s="3" t="str">
        <f>IFERROR(__xludf.DUMMYFUNCTION("GOOGLETRANSLATE(B19138,""id"",""en"")"),"['Thank you', 'Telkomsel', 'Leet', 'rivals']")</f>
        <v>['Thank you', 'Telkomsel', 'Leet', 'rivals']</v>
      </c>
      <c r="D19138" s="3">
        <v>2.0</v>
      </c>
    </row>
    <row r="19139" ht="15.75" customHeight="1">
      <c r="A19139" s="1">
        <v>20357.0</v>
      </c>
      <c r="B19139" s="3" t="s">
        <v>18098</v>
      </c>
      <c r="C19139" s="3" t="str">
        <f>IFERROR(__xludf.DUMMYFUNCTION("GOOGLETRANSLATE(B19139,""id"",""en"")"),"['Telkomsel', 'use', 'yaa', ""]")</f>
        <v>['Telkomsel', 'use', 'yaa', "]</v>
      </c>
      <c r="D19139" s="3">
        <v>5.0</v>
      </c>
    </row>
    <row r="19140" ht="15.75" customHeight="1">
      <c r="A19140" s="1">
        <v>20358.0</v>
      </c>
      <c r="B19140" s="3" t="s">
        <v>18099</v>
      </c>
      <c r="C19140" s="3" t="str">
        <f>IFERROR(__xludf.DUMMYFUNCTION("GOOGLETRANSLATE(B19140,""id"",""en"")"),"['pig', 'Gara', 'ping', 'cave', 'lngsung', 'drop', 'cave', 'lose', 'MMR', 'cave', 'down', 'anjg', ' GBLK ',' UDH ',' Cave ',' Comfortable ',' Play ',' Game ',' ']")</f>
        <v>['pig', 'Gara', 'ping', 'cave', 'lngsung', 'drop', 'cave', 'lose', 'MMR', 'cave', 'down', 'anjg', ' GBLK ',' UDH ',' Cave ',' Comfortable ',' Play ',' Game ',' ']</v>
      </c>
      <c r="D19140" s="3">
        <v>1.0</v>
      </c>
    </row>
    <row r="19141" ht="15.75" customHeight="1">
      <c r="A19141" s="1">
        <v>20359.0</v>
      </c>
      <c r="B19141" s="3" t="s">
        <v>18100</v>
      </c>
      <c r="C19141" s="3" t="str">
        <f>IFERROR(__xludf.DUMMYFUNCTION("GOOGLETRANSLATE(B19141,""id"",""en"")"),"['Friday', 'Open', 'Telkomsel', 'White', 'Screen', 'Uda', 'Reinstall', 'Sampe', 'BBR', 'Kali', 'Uda', 'Update', ' TTP ',' Kenpa ',' Uda ',' Update ',' Telkomsel ',' TTP ',' White ',' Screen ',' Ngebug ',' Sometimes', 'Open', 'Application', 'Application' ,"&amp;" 'slow', 'really', 'Uda', 'Sampe', 'Matiin', 'life', 'Matiin', 'TTP', 'please', 'Telkomsel', 'Aceated', 'Continue', ' Change ',' Provider ',' Dlu ',' Thank you ', ""]")</f>
        <v>['Friday', 'Open', 'Telkomsel', 'White', 'Screen', 'Uda', 'Reinstall', 'Sampe', 'BBR', 'Kali', 'Uda', 'Update', ' TTP ',' Kenpa ',' Uda ',' Update ',' Telkomsel ',' TTP ',' White ',' Screen ',' Ngebug ',' Sometimes', 'Open', 'Application', 'Application' , 'slow', 'really', 'Uda', 'Sampe', 'Matiin', 'life', 'Matiin', 'TTP', 'please', 'Telkomsel', 'Aceated', 'Continue', ' Change ',' Provider ',' Dlu ',' Thank you ', "]</v>
      </c>
      <c r="D19141" s="3">
        <v>1.0</v>
      </c>
    </row>
    <row r="19142" ht="15.75" customHeight="1">
      <c r="A19142" s="1">
        <v>20360.0</v>
      </c>
      <c r="B19142" s="3" t="s">
        <v>18101</v>
      </c>
      <c r="C19142" s="3" t="str">
        <f>IFERROR(__xludf.DUMMYFUNCTION("GOOGLETRANSLATE(B19142,""id"",""en"")"),"['Min', 'Application', 'Open']")</f>
        <v>['Min', 'Application', 'Open']</v>
      </c>
      <c r="D19142" s="3">
        <v>5.0</v>
      </c>
    </row>
    <row r="19143" ht="15.75" customHeight="1">
      <c r="A19143" s="1">
        <v>20361.0</v>
      </c>
      <c r="B19143" s="3" t="s">
        <v>18102</v>
      </c>
      <c r="C19143" s="3" t="str">
        <f>IFERROR(__xludf.DUMMYFUNCTION("GOOGLETRANSLATE(B19143,""id"",""en"")"),"['Network', 'Place', 'Stay']")</f>
        <v>['Network', 'Place', 'Stay']</v>
      </c>
      <c r="D19143" s="3">
        <v>5.0</v>
      </c>
    </row>
    <row r="19144" ht="15.75" customHeight="1">
      <c r="A19144" s="1">
        <v>20362.0</v>
      </c>
      <c r="B19144" s="3" t="s">
        <v>18103</v>
      </c>
      <c r="C19144" s="3" t="str">
        <f>IFERROR(__xludf.DUMMYFUNCTION("GOOGLETRANSLATE(B19144,""id"",""en"")"),"['already', 'Telkomsel', 'contents', 'pulse', 'got', 'piece', 'moved', 'operator', 'cheap', 'trusted']")</f>
        <v>['already', 'Telkomsel', 'contents', 'pulse', 'got', 'piece', 'moved', 'operator', 'cheap', 'trusted']</v>
      </c>
      <c r="D19144" s="3">
        <v>1.0</v>
      </c>
    </row>
    <row r="19145" ht="15.75" customHeight="1">
      <c r="A19145" s="1">
        <v>20363.0</v>
      </c>
      <c r="B19145" s="3" t="s">
        <v>18104</v>
      </c>
      <c r="C19145" s="3" t="str">
        <f>IFERROR(__xludf.DUMMYFUNCTION("GOOGLETRANSLATE(B19145,""id"",""en"")"),"['min', 'please', 'fix', 'bug', 'apk', 'customer', 'disappointed', 'bang', 'bug', 'gini', 'hand']")</f>
        <v>['min', 'please', 'fix', 'bug', 'apk', 'customer', 'disappointed', 'bang', 'bug', 'gini', 'hand']</v>
      </c>
      <c r="D19145" s="3">
        <v>1.0</v>
      </c>
    </row>
    <row r="19146" ht="15.75" customHeight="1">
      <c r="A19146" s="1">
        <v>20364.0</v>
      </c>
      <c r="B19146" s="3" t="s">
        <v>18105</v>
      </c>
      <c r="C19146" s="3" t="str">
        <f>IFERROR(__xludf.DUMMYFUNCTION("GOOGLETRANSLATE(B19146,""id"",""en"")"),"['Pakek', 'Telkomsel', 'fill in', 'pulse', 'pakek', 'run out', 'continuous', 'pakek', ""]")</f>
        <v>['Pakek', 'Telkomsel', 'fill in', 'pulse', 'pakek', 'run out', 'continuous', 'pakek', "]</v>
      </c>
      <c r="D19146" s="3">
        <v>1.0</v>
      </c>
    </row>
    <row r="19147" ht="15.75" customHeight="1">
      <c r="A19147" s="1">
        <v>20366.0</v>
      </c>
      <c r="B19147" s="3" t="s">
        <v>18106</v>
      </c>
      <c r="C19147" s="3" t="str">
        <f>IFERROR(__xludf.DUMMYFUNCTION("GOOGLETRANSLATE(B19147,""id"",""en"")"),"['ad', 'check', 'apk', 'promo', 'offer', 'disappointed']")</f>
        <v>['ad', 'check', 'apk', 'promo', 'offer', 'disappointed']</v>
      </c>
      <c r="D19147" s="3">
        <v>2.0</v>
      </c>
    </row>
    <row r="19148" ht="15.75" customHeight="1">
      <c r="A19148" s="1">
        <v>20367.0</v>
      </c>
      <c r="B19148" s="3" t="s">
        <v>18107</v>
      </c>
      <c r="C19148" s="3" t="str">
        <f>IFERROR(__xludf.DUMMYFUNCTION("GOOGLETRANSLATE(B19148,""id"",""en"")"),"['pulse', 'rb', 'buy', 'package', 'data', 'price', 'rb']")</f>
        <v>['pulse', 'rb', 'buy', 'package', 'data', 'price', 'rb']</v>
      </c>
      <c r="D19148" s="3">
        <v>1.0</v>
      </c>
    </row>
    <row r="19149" ht="15.75" customHeight="1">
      <c r="A19149" s="1">
        <v>20368.0</v>
      </c>
      <c r="B19149" s="3" t="s">
        <v>18108</v>
      </c>
      <c r="C19149" s="3" t="str">
        <f>IFERROR(__xludf.DUMMYFUNCTION("GOOGLETRANSLATE(B19149,""id"",""en"")"),"['update', 'open', 'the application', 'screen', 'white', 'please', 'repair', 'the application', 'opened', 'updated', 'regret', 'update']")</f>
        <v>['update', 'open', 'the application', 'screen', 'white', 'please', 'repair', 'the application', 'opened', 'updated', 'regret', 'update']</v>
      </c>
      <c r="D19149" s="3">
        <v>2.0</v>
      </c>
    </row>
    <row r="19150" ht="15.75" customHeight="1">
      <c r="A19150" s="1">
        <v>20369.0</v>
      </c>
      <c r="B19150" s="3" t="s">
        <v>18109</v>
      </c>
      <c r="C19150" s="3" t="str">
        <f>IFERROR(__xludf.DUMMYFUNCTION("GOOGLETRANSLATE(B19150,""id"",""en"")"),"['Wonder', 'Telkomsel', 'Package', 'Data', 'Multimedia', 'Establishment', 'Sekita', 'GB', 'Package', 'Ministry of Education and Culture', 'GB', 'Aware', ' quota ',' main ',' uda ',' abis', 'open', 'apk', 'at the same time', 'open', 'open', 'invlude', 'pac"&amp;"kage', 'remaining' , 'Network', 'down', 'APK', 'slow', 'access',' Telkomsel ',' Cutting ',' Credit ',' Costs', 'Access',' APK ',' Include ',' Credit ',' Uda ',' ilang ',' Disappointed ',' ']")</f>
        <v>['Wonder', 'Telkomsel', 'Package', 'Data', 'Multimedia', 'Establishment', 'Sekita', 'GB', 'Package', 'Ministry of Education and Culture', 'GB', 'Aware', ' quota ',' main ',' uda ',' abis', 'open', 'apk', 'at the same time', 'open', 'open', 'invlude', 'package', 'remaining' , 'Network', 'down', 'APK', 'slow', 'access',' Telkomsel ',' Cutting ',' Credit ',' Costs', 'Access',' APK ',' Include ',' Credit ',' Uda ',' ilang ',' Disappointed ',' ']</v>
      </c>
      <c r="D19150" s="3">
        <v>2.0</v>
      </c>
    </row>
    <row r="19151" ht="15.75" customHeight="1">
      <c r="A19151" s="1">
        <v>20370.0</v>
      </c>
      <c r="B19151" s="3" t="s">
        <v>18110</v>
      </c>
      <c r="C19151" s="3" t="str">
        <f>IFERROR(__xludf.DUMMYFUNCTION("GOOGLETRANSLATE(B19151,""id"",""en"")"),"['', 'Minahasa', 'dead', 'lights', 'feels', 'Dalem', 'Goa', 'then', 'down', 'no', 'speed']")</f>
        <v>['', 'Minahasa', 'dead', 'lights', 'feels', 'Dalem', 'Goa', 'then', 'down', 'no', 'speed']</v>
      </c>
      <c r="D19151" s="3">
        <v>2.0</v>
      </c>
    </row>
    <row r="19152" ht="15.75" customHeight="1">
      <c r="A19152" s="1">
        <v>20371.0</v>
      </c>
      <c r="B19152" s="3" t="s">
        <v>18111</v>
      </c>
      <c r="C19152" s="3" t="str">
        <f>IFERROR(__xludf.DUMMYFUNCTION("GOOGLETRANSLATE(B19152,""id"",""en"")"),"['Telkomsel', 'Telkomsel', 'Telkomsel', 'network', 'Kenceng', 'really', 'signal', 'name', 'slow', 'Telkomsel', 'download', 'upload', ' slow ',' severe ',' speed ',' MB ',' second ',' mentok ',' kb ',' second ',' download ',' upload ',' slow ',' kb ',' sec"&amp;"ond ' , 'Severe', 'play', 'game', 'online', 'ping', 'honest', 'disappointed', 'Telkomsel', 'already', 'network', 'slow', 'price', ' Quota ',' expensive ',' ']")</f>
        <v>['Telkomsel', 'Telkomsel', 'Telkomsel', 'network', 'Kenceng', 'really', 'signal', 'name', 'slow', 'Telkomsel', 'download', 'upload', ' slow ',' severe ',' speed ',' MB ',' second ',' mentok ',' kb ',' second ',' download ',' upload ',' slow ',' kb ',' second ' , 'Severe', 'play', 'game', 'online', 'ping', 'honest', 'disappointed', 'Telkomsel', 'already', 'network', 'slow', 'price', ' Quota ',' expensive ',' ']</v>
      </c>
      <c r="D19152" s="3">
        <v>1.0</v>
      </c>
    </row>
    <row r="19153" ht="15.75" customHeight="1">
      <c r="A19153" s="1">
        <v>20372.0</v>
      </c>
      <c r="B19153" s="3" t="s">
        <v>18112</v>
      </c>
      <c r="C19153" s="3" t="str">
        <f>IFERROR(__xludf.DUMMYFUNCTION("GOOGLETRANSLATE(B19153,""id"",""en"")"),"['The package', 'affordable', 'signal', 'good', 'basically', 'steady', 'soul', ""]")</f>
        <v>['The package', 'affordable', 'signal', 'good', 'basically', 'steady', 'soul', "]</v>
      </c>
      <c r="D19153" s="3">
        <v>4.0</v>
      </c>
    </row>
    <row r="19154" ht="15.75" customHeight="1">
      <c r="A19154" s="1">
        <v>20373.0</v>
      </c>
      <c r="B19154" s="3" t="s">
        <v>18113</v>
      </c>
      <c r="C19154" s="3" t="str">
        <f>IFERROR(__xludf.DUMMYFUNCTION("GOOGLETRANSLATE(B19154,""id"",""en"")"),"['Times',' Download ',' The result ',' No ',' Kerabaaa ',' Loading ',' Page ',' Sorry ',' Error ',' System ',' Points', 'Delete', ' No ',' Load ',' Memory ',' Internal ',' ']")</f>
        <v>['Times',' Download ',' The result ',' No ',' Kerabaaa ',' Loading ',' Page ',' Sorry ',' Error ',' System ',' Points', 'Delete', ' No ',' Load ',' Memory ',' Internal ',' ']</v>
      </c>
      <c r="D19154" s="3">
        <v>3.0</v>
      </c>
    </row>
    <row r="19155" ht="15.75" customHeight="1">
      <c r="A19155" s="1">
        <v>20374.0</v>
      </c>
      <c r="B19155" s="3" t="s">
        <v>18114</v>
      </c>
      <c r="C19155" s="3" t="str">
        <f>IFERROR(__xludf.DUMMYFUNCTION("GOOGLETRANSLATE(B19155,""id"",""en"")"),"['Matul', 'help']")</f>
        <v>['Matul', 'help']</v>
      </c>
      <c r="D19155" s="3">
        <v>5.0</v>
      </c>
    </row>
    <row r="19156" ht="15.75" customHeight="1">
      <c r="A19156" s="1">
        <v>20375.0</v>
      </c>
      <c r="B19156" s="3" t="s">
        <v>18115</v>
      </c>
      <c r="C19156" s="3" t="str">
        <f>IFERROR(__xludf.DUMMYFUNCTION("GOOGLETRANSLATE(B19156,""id"",""en"")"),"['application', 'trash', 'pulse', 'cut', 'buy', 'kouta', 'my computer', 'entry', 'clock', 'shy', 'kayak', 'gtu', ' Telkomsel ',' Koutaa ',' expensive ',' service ',' garbage ', ""]")</f>
        <v>['application', 'trash', 'pulse', 'cut', 'buy', 'kouta', 'my computer', 'entry', 'clock', 'shy', 'kayak', 'gtu', ' Telkomsel ',' Koutaa ',' expensive ',' service ',' garbage ', "]</v>
      </c>
      <c r="D19156" s="3">
        <v>1.0</v>
      </c>
    </row>
    <row r="19157" ht="15.75" customHeight="1">
      <c r="A19157" s="1">
        <v>20376.0</v>
      </c>
      <c r="B19157" s="3" t="s">
        <v>18116</v>
      </c>
      <c r="C19157" s="3" t="str">
        <f>IFERROR(__xludf.DUMMYFUNCTION("GOOGLETRANSLATE(B19157,""id"",""en"")"),"['Bukak', 'applicationbya', '']")</f>
        <v>['Bukak', 'applicationbya', '']</v>
      </c>
      <c r="D19157" s="3">
        <v>5.0</v>
      </c>
    </row>
    <row r="19158" ht="15.75" customHeight="1">
      <c r="A19158" s="1">
        <v>20377.0</v>
      </c>
      <c r="B19158" s="3" t="s">
        <v>18117</v>
      </c>
      <c r="C19158" s="3" t="str">
        <f>IFERROR(__xludf.DUMMYFUNCTION("GOOGLETRANSLATE(B19158,""id"",""en"")"),"['Network', 'rotten']")</f>
        <v>['Network', 'rotten']</v>
      </c>
      <c r="D19158" s="3">
        <v>1.0</v>
      </c>
    </row>
    <row r="19159" ht="15.75" customHeight="1">
      <c r="A19159" s="1">
        <v>20378.0</v>
      </c>
      <c r="B19159" s="3" t="s">
        <v>18118</v>
      </c>
      <c r="C19159" s="3" t="str">
        <f>IFERROR(__xludf.DUMMYFUNCTION("GOOGLETRANSLATE(B19159,""id"",""en"")"),"['The application', 'missing', 'upgrade', 'Android', 'installed', 'Please', 'repair']")</f>
        <v>['The application', 'missing', 'upgrade', 'Android', 'installed', 'Please', 'repair']</v>
      </c>
      <c r="D19159" s="3">
        <v>1.0</v>
      </c>
    </row>
    <row r="19160" ht="15.75" customHeight="1">
      <c r="A19160" s="1">
        <v>20379.0</v>
      </c>
      <c r="B19160" s="3" t="s">
        <v>18119</v>
      </c>
      <c r="C19160" s="3" t="str">
        <f>IFERROR(__xludf.DUMMYFUNCTION("GOOGLETRANSLATE(B19160,""id"",""en"")"),"['Telkomsel', 'Maling', 'Pulse', 'Asuu', 'Ngapa', 'Ngepain', 'Sedut', 'Credit', 'Cave', 'Search', 'Money', 'Halal']")</f>
        <v>['Telkomsel', 'Maling', 'Pulse', 'Asuu', 'Ngapa', 'Ngepain', 'Sedut', 'Credit', 'Cave', 'Search', 'Money', 'Halal']</v>
      </c>
      <c r="D19160" s="3">
        <v>1.0</v>
      </c>
    </row>
    <row r="19161" ht="15.75" customHeight="1">
      <c r="A19161" s="1">
        <v>20380.0</v>
      </c>
      <c r="B19161" s="3" t="s">
        <v>3533</v>
      </c>
      <c r="C19161" s="3" t="str">
        <f>IFERROR(__xludf.DUMMYFUNCTION("GOOGLETRANSLATE(B19161,""id"",""en"")"),"['change point']")</f>
        <v>['change point']</v>
      </c>
      <c r="D19161" s="3">
        <v>1.0</v>
      </c>
    </row>
    <row r="19162" ht="15.75" customHeight="1">
      <c r="A19162" s="1">
        <v>20381.0</v>
      </c>
      <c r="B19162" s="3" t="s">
        <v>18120</v>
      </c>
      <c r="C19162" s="3" t="str">
        <f>IFERROR(__xludf.DUMMYFUNCTION("GOOGLETRANSLATE(B19162,""id"",""en"")"),"['network', 'internet', 'play', 'game', 'use', 'Telkomsel', 'network', 'ilang', 'mending', 'use', 'provider', 'deh', ' Phone ',' GPP ',' ']")</f>
        <v>['network', 'internet', 'play', 'game', 'use', 'Telkomsel', 'network', 'ilang', 'mending', 'use', 'provider', 'deh', ' Phone ',' GPP ',' ']</v>
      </c>
      <c r="D19162" s="3">
        <v>1.0</v>
      </c>
    </row>
    <row r="19163" ht="15.75" customHeight="1">
      <c r="A19163" s="1">
        <v>20382.0</v>
      </c>
      <c r="B19163" s="3" t="s">
        <v>18121</v>
      </c>
      <c r="C19163" s="3" t="str">
        <f>IFERROR(__xludf.DUMMYFUNCTION("GOOGLETRANSLATE(B19163,""id"",""en"")"),"['week', 'open', 'application', 'display', 'screen', 'color', 'white', 'second', 'application', 'direct', 'logout', 'application', ' ']")</f>
        <v>['week', 'open', 'application', 'display', 'screen', 'color', 'white', 'second', 'application', 'direct', 'logout', 'application', ' ']</v>
      </c>
      <c r="D19163" s="3">
        <v>1.0</v>
      </c>
    </row>
    <row r="19164" ht="15.75" customHeight="1">
      <c r="A19164" s="1">
        <v>20383.0</v>
      </c>
      <c r="B19164" s="3" t="s">
        <v>18122</v>
      </c>
      <c r="C19164" s="3" t="str">
        <f>IFERROR(__xludf.DUMMYFUNCTION("GOOGLETRANSLATE(B19164,""id"",""en"")"),"['', 'Personal', 'UDH', 'Satisfied', 'APK', 'Network', 'just', 'Miggu', 'Network', 'Telkomsel', 'lag', 'Please', 'Fix ',' Customers', 'buy', 'quota', 'money', 'Telkomsel', 'Please', 'fix', 'network', 'udh', 'that way', 'thanks']")</f>
        <v>['', 'Personal', 'UDH', 'Satisfied', 'APK', 'Network', 'just', 'Miggu', 'Network', 'Telkomsel', 'lag', 'Please', 'Fix ',' Customers', 'buy', 'quota', 'money', 'Telkomsel', 'Please', 'fix', 'network', 'udh', 'that way', 'thanks']</v>
      </c>
      <c r="D19164" s="3">
        <v>3.0</v>
      </c>
    </row>
    <row r="19165" ht="15.75" customHeight="1">
      <c r="A19165" s="1">
        <v>20384.0</v>
      </c>
      <c r="B19165" s="3" t="s">
        <v>18123</v>
      </c>
      <c r="C19165" s="3" t="str">
        <f>IFERROR(__xludf.DUMMYFUNCTION("GOOGLETRANSLATE(B19165,""id"",""en"")"),"['HBIS', 'Update', 'Application', 'Telkomsel', 'Open', '']")</f>
        <v>['HBIS', 'Update', 'Application', 'Telkomsel', 'Open', '']</v>
      </c>
      <c r="D19165" s="3">
        <v>1.0</v>
      </c>
    </row>
    <row r="19166" ht="15.75" customHeight="1">
      <c r="A19166" s="1">
        <v>20385.0</v>
      </c>
      <c r="B19166" s="3" t="s">
        <v>18124</v>
      </c>
      <c r="C19166" s="3" t="str">
        <f>IFERROR(__xludf.DUMMYFUNCTION("GOOGLETRANSLATE(B19166,""id"",""en"")"),"['Faithful', 'Please', 'PKET', 'Quota', 'Cheap', 'Dikiitt', 'Ahhhh', 'Overall', 'Okeee']")</f>
        <v>['Faithful', 'Please', 'PKET', 'Quota', 'Cheap', 'Dikiitt', 'Ahhhh', 'Overall', 'Okeee']</v>
      </c>
      <c r="D19166" s="3">
        <v>5.0</v>
      </c>
    </row>
    <row r="19167" ht="15.75" customHeight="1">
      <c r="A19167" s="1">
        <v>20386.0</v>
      </c>
      <c r="B19167" s="3" t="s">
        <v>18125</v>
      </c>
      <c r="C19167" s="3" t="str">
        <f>IFERROR(__xludf.DUMMYFUNCTION("GOOGLETRANSLATE(B19167,""id"",""en"")"),"['White', 'blank', 'UDH', 'BBR', 'HRI', 'BGTU', 'Uninstall', 'Install', 'restart', 'TTP', 'White', 'blank']")</f>
        <v>['White', 'blank', 'UDH', 'BBR', 'HRI', 'BGTU', 'Uninstall', 'Install', 'restart', 'TTP', 'White', 'blank']</v>
      </c>
      <c r="D19167" s="3">
        <v>3.0</v>
      </c>
    </row>
    <row r="19168" ht="15.75" customHeight="1">
      <c r="A19168" s="1">
        <v>20387.0</v>
      </c>
      <c r="B19168" s="3" t="s">
        <v>18126</v>
      </c>
      <c r="C19168" s="3" t="str">
        <f>IFERROR(__xludf.DUMMYFUNCTION("GOOGLETRANSLATE(B19168,""id"",""en"")"),"['how', 'bryar', 'open']")</f>
        <v>['how', 'bryar', 'open']</v>
      </c>
      <c r="D19168" s="3">
        <v>5.0</v>
      </c>
    </row>
    <row r="19169" ht="15.75" customHeight="1">
      <c r="A19169" s="1">
        <v>20388.0</v>
      </c>
      <c r="B19169" s="3" t="s">
        <v>5112</v>
      </c>
      <c r="C19169" s="3" t="str">
        <f>IFERROR(__xludf.DUMMYFUNCTION("GOOGLETRANSLATE(B19169,""id"",""en"")"),"['interesting']")</f>
        <v>['interesting']</v>
      </c>
      <c r="D19169" s="3">
        <v>5.0</v>
      </c>
    </row>
    <row r="19170" ht="15.75" customHeight="1">
      <c r="A19170" s="1">
        <v>20389.0</v>
      </c>
      <c r="B19170" s="3" t="s">
        <v>18127</v>
      </c>
      <c r="C19170" s="3" t="str">
        <f>IFERROR(__xludf.DUMMYFUNCTION("GOOGLETRANSLATE(B19170,""id"",""en"")"),"['Complain', 'Email', 'Chat', 'Stuck', 'Logo', 'Log', 'Ask', 'Tepot', 'Tele', 'Clock', 'Waiting', 'Solution', ' Results', 'response', 'congratulations',' Indra ',' YABG ',' magabut ',' solution ',' keep ',' performance ',' hope ',' experience ',' Natural "&amp;"',' disappointed ' , 'service', 'Telkomsel', '']")</f>
        <v>['Complain', 'Email', 'Chat', 'Stuck', 'Logo', 'Log', 'Ask', 'Tepot', 'Tele', 'Clock', 'Waiting', 'Solution', ' Results', 'response', 'congratulations',' Indra ',' YABG ',' magabut ',' solution ',' keep ',' performance ',' hope ',' experience ',' Natural ',' disappointed ' , 'service', 'Telkomsel', '']</v>
      </c>
      <c r="D19170" s="3">
        <v>1.0</v>
      </c>
    </row>
    <row r="19171" ht="15.75" customHeight="1">
      <c r="A19171" s="1">
        <v>20390.0</v>
      </c>
      <c r="B19171" s="3" t="s">
        <v>18128</v>
      </c>
      <c r="C19171" s="3" t="str">
        <f>IFERROR(__xludf.DUMMYFUNCTION("GOOGLETRANSLATE(B19171,""id"",""en"")"),"['Telkomsel', 'The application', 'Ngeblank']")</f>
        <v>['Telkomsel', 'The application', 'Ngeblank']</v>
      </c>
      <c r="D19171" s="3">
        <v>5.0</v>
      </c>
    </row>
    <row r="19172" ht="15.75" customHeight="1">
      <c r="A19172" s="1">
        <v>20391.0</v>
      </c>
      <c r="B19172" s="3" t="s">
        <v>18129</v>
      </c>
      <c r="C19172" s="3" t="str">
        <f>IFERROR(__xludf.DUMMYFUNCTION("GOOGLETRANSLATE(B19172,""id"",""en"")"),"['standard', 'Good', 'Ouch', 'Costumer', 'Service', 'value', 'poor', 'Telkomsel', 'cutting', 'pulses',' daily ',' settlement ',' Telkomsel ',' SPT ',' formality ',' finish ',' star ',' ']")</f>
        <v>['standard', 'Good', 'Ouch', 'Costumer', 'Service', 'value', 'poor', 'Telkomsel', 'cutting', 'pulses',' daily ',' settlement ',' Telkomsel ',' SPT ',' formality ',' finish ',' star ',' ']</v>
      </c>
      <c r="D19172" s="3">
        <v>1.0</v>
      </c>
    </row>
    <row r="19173" ht="15.75" customHeight="1">
      <c r="A19173" s="1">
        <v>20392.0</v>
      </c>
      <c r="B19173" s="3" t="s">
        <v>18130</v>
      </c>
      <c r="C19173" s="3" t="str">
        <f>IFERROR(__xludf.DUMMYFUNCTION("GOOGLETRANSLATE(B19173,""id"",""en"")"),"['Update', 'No', 'Open', 'Delicious', 'Use', 'Version', 'Open', 'Application']")</f>
        <v>['Update', 'No', 'Open', 'Delicious', 'Use', 'Version', 'Open', 'Application']</v>
      </c>
      <c r="D19173" s="3">
        <v>3.0</v>
      </c>
    </row>
    <row r="19174" ht="15.75" customHeight="1">
      <c r="A19174" s="1">
        <v>20393.0</v>
      </c>
      <c r="B19174" s="3" t="s">
        <v>18131</v>
      </c>
      <c r="C19174" s="3" t="str">
        <f>IFERROR(__xludf.DUMMYFUNCTION("GOOGLETRANSLATE(B19174,""id"",""en"")"),"['Signal', 'Severe', 'home', 'Telkom', 'Jln', 'Panjaitan', 'Deh', 'HRS', 'Coment', 'Respont', 'Complaint', 'Signal', ' Telkomsel ']")</f>
        <v>['Signal', 'Severe', 'home', 'Telkom', 'Jln', 'Panjaitan', 'Deh', 'HRS', 'Coment', 'Respont', 'Complaint', 'Signal', ' Telkomsel ']</v>
      </c>
      <c r="D19174" s="3">
        <v>1.0</v>
      </c>
    </row>
    <row r="19175" ht="15.75" customHeight="1">
      <c r="A19175" s="1">
        <v>20394.0</v>
      </c>
      <c r="B19175" s="3" t="s">
        <v>18132</v>
      </c>
      <c r="C19175" s="3" t="str">
        <f>IFERROR(__xludf.DUMMYFUNCTION("GOOGLETRANSLATE(B19175,""id"",""en"")"),"['Following', 'renewal', 'difficult', 'open', 'application', 'Telkomsel']")</f>
        <v>['Following', 'renewal', 'difficult', 'open', 'application', 'Telkomsel']</v>
      </c>
      <c r="D19175" s="3">
        <v>1.0</v>
      </c>
    </row>
    <row r="19176" ht="15.75" customHeight="1">
      <c r="A19176" s="1">
        <v>20396.0</v>
      </c>
      <c r="B19176" s="3" t="s">
        <v>18133</v>
      </c>
      <c r="C19176" s="3" t="str">
        <f>IFERROR(__xludf.DUMMYFUNCTION("GOOGLETRANSLATE(B19176,""id"",""en"")"),"['disappointing', 'application', 'telkomse']")</f>
        <v>['disappointing', 'application', 'telkomse']</v>
      </c>
      <c r="D19176" s="3">
        <v>1.0</v>
      </c>
    </row>
    <row r="19177" ht="15.75" customHeight="1">
      <c r="A19177" s="1">
        <v>20397.0</v>
      </c>
      <c r="B19177" s="3" t="s">
        <v>18134</v>
      </c>
      <c r="C19177" s="3" t="str">
        <f>IFERROR(__xludf.DUMMYFUNCTION("GOOGLETRANSLATE(B19177,""id"",""en"")"),"['The network', 'slow', 'skali', 'hmmmm', 'like', ""]")</f>
        <v>['The network', 'slow', 'skali', 'hmmmm', 'like', "]</v>
      </c>
      <c r="D19177" s="3">
        <v>3.0</v>
      </c>
    </row>
    <row r="19178" ht="15.75" customHeight="1">
      <c r="A19178" s="1">
        <v>20398.0</v>
      </c>
      <c r="B19178" s="3" t="s">
        <v>18135</v>
      </c>
      <c r="C19178" s="3" t="str">
        <f>IFERROR(__xludf.DUMMYFUNCTION("GOOGLETRANSLATE(B19178,""id"",""en"")"),"['sophisticated', 'compete', 'someliteness', 'keloluran', 'internet', 'steady', 'continue', ""]")</f>
        <v>['sophisticated', 'compete', 'someliteness', 'keloluran', 'internet', 'steady', 'continue', "]</v>
      </c>
      <c r="D19178" s="3">
        <v>1.0</v>
      </c>
    </row>
    <row r="19179" ht="15.75" customHeight="1">
      <c r="A19179" s="1">
        <v>20399.0</v>
      </c>
      <c r="B19179" s="3" t="s">
        <v>18136</v>
      </c>
      <c r="C19179" s="3" t="str">
        <f>IFERROR(__xludf.DUMMYFUNCTION("GOOGLETRANSLATE(B19179,""id"",""en"")"),"['Disappointed', 'Telkom', 'Skrng', 'Network', 'Sampe', 'Like', 'Dead', 'On', 'Dead', 'Fight', 'Figure', 'Vouch', ' telkom ',' quota ',' until ',' skrng ',' blm ',' entry ']")</f>
        <v>['Disappointed', 'Telkom', 'Skrng', 'Network', 'Sampe', 'Like', 'Dead', 'On', 'Dead', 'Fight', 'Figure', 'Vouch', ' telkom ',' quota ',' until ',' skrng ',' blm ',' entry ']</v>
      </c>
      <c r="D19179" s="3">
        <v>1.0</v>
      </c>
    </row>
    <row r="19180" ht="15.75" customHeight="1">
      <c r="A19180" s="1">
        <v>20400.0</v>
      </c>
      <c r="B19180" s="3" t="s">
        <v>18137</v>
      </c>
      <c r="C19180" s="3" t="str">
        <f>IFERROR(__xludf.DUMMYFUNCTION("GOOGLETRANSLATE(B19180,""id"",""en"")"),"['application', 'Telkomsel', 'missing', 'install', 'alternating', 'failed']")</f>
        <v>['application', 'Telkomsel', 'missing', 'install', 'alternating', 'failed']</v>
      </c>
      <c r="D19180" s="3">
        <v>1.0</v>
      </c>
    </row>
    <row r="19181" ht="15.75" customHeight="1">
      <c r="A19181" s="1">
        <v>20401.0</v>
      </c>
      <c r="B19181" s="3" t="s">
        <v>18138</v>
      </c>
      <c r="C19181" s="3" t="str">
        <f>IFERROR(__xludf.DUMMYFUNCTION("GOOGLETRANSLATE(B19181,""id"",""en"")"),"['prepaid', 'migration', 'postpaid', 'easy', 'via', 'telephone', 'right', 'already', 'postpaid', 'prepaid', 'non', 'activate', ' Grapari ',' missing ',' number ',' my beautiful ',' regret ',' ']")</f>
        <v>['prepaid', 'migration', 'postpaid', 'easy', 'via', 'telephone', 'right', 'already', 'postpaid', 'prepaid', 'non', 'activate', ' Grapari ',' missing ',' number ',' my beautiful ',' regret ',' ']</v>
      </c>
      <c r="D19181" s="3">
        <v>3.0</v>
      </c>
    </row>
    <row r="19182" ht="15.75" customHeight="1">
      <c r="A19182" s="1">
        <v>20403.0</v>
      </c>
      <c r="B19182" s="3" t="s">
        <v>18139</v>
      </c>
      <c r="C19182" s="3" t="str">
        <f>IFERROR(__xludf.DUMMYFUNCTION("GOOGLETRANSLATE(B19182,""id"",""en"")"),"['mksh', 'already', 'good', 'service', 'Telkomsel', '']")</f>
        <v>['mksh', 'already', 'good', 'service', 'Telkomsel', '']</v>
      </c>
      <c r="D19182" s="3">
        <v>4.0</v>
      </c>
    </row>
    <row r="19183" ht="15.75" customHeight="1">
      <c r="A19183" s="1">
        <v>20404.0</v>
      </c>
      <c r="B19183" s="3" t="s">
        <v>18140</v>
      </c>
      <c r="C19183" s="3" t="str">
        <f>IFERROR(__xludf.DUMMYFUNCTION("GOOGLETRANSLATE(B19183,""id"",""en"")"),"['TBTB', 'Telkomsel', 'Ter', 'Uninstall', 'Try', 'Download', 'Failed', 'Please', 'Repaired', '']")</f>
        <v>['TBTB', 'Telkomsel', 'Ter', 'Uninstall', 'Try', 'Download', 'Failed', 'Please', 'Repaired', '']</v>
      </c>
      <c r="D19183" s="3">
        <v>1.0</v>
      </c>
    </row>
    <row r="19184" ht="15.75" customHeight="1">
      <c r="A19184" s="1">
        <v>20405.0</v>
      </c>
      <c r="B19184" s="3" t="s">
        <v>18141</v>
      </c>
      <c r="C19184" s="3" t="str">
        <f>IFERROR(__xludf.DUMMYFUNCTION("GOOGLETRANSLATE(B19184,""id"",""en"")"),"['Please', 'Telkomsel', 'Cook', 'Credit', 'Safe', 'Asik', 'Internet', 'Package', 'Out', 'Automatic', 'Credit', 'drained', ' Look ',' Provider ',' Next ',' Comfortable ',' use it ',' Afraid ',' Credit ',' Out ',' drained ',' right ',' quota ',' Out ']")</f>
        <v>['Please', 'Telkomsel', 'Cook', 'Credit', 'Safe', 'Asik', 'Internet', 'Package', 'Out', 'Automatic', 'Credit', 'drained', ' Look ',' Provider ',' Next ',' Comfortable ',' use it ',' Afraid ',' Credit ',' Out ',' drained ',' right ',' quota ',' Out ']</v>
      </c>
      <c r="D19184" s="3">
        <v>1.0</v>
      </c>
    </row>
    <row r="19185" ht="15.75" customHeight="1">
      <c r="A19185" s="1">
        <v>20406.0</v>
      </c>
      <c r="B19185" s="3" t="s">
        <v>18142</v>
      </c>
      <c r="C19185" s="3" t="str">
        <f>IFERROR(__xludf.DUMMYFUNCTION("GOOGLETRANSLATE(B19185,""id"",""en"")"),"['min', 'Telkomsel', 'belongs',' open ',' just ',' screen ',' white ',' doang ',' open ',' appear ',' user ',' Telkomsel ',' disappointed', '']")</f>
        <v>['min', 'Telkomsel', 'belongs',' open ',' just ',' screen ',' white ',' doang ',' open ',' appear ',' user ',' Telkomsel ',' disappointed', '']</v>
      </c>
      <c r="D19185" s="3">
        <v>1.0</v>
      </c>
    </row>
    <row r="19186" ht="15.75" customHeight="1">
      <c r="A19186" s="1">
        <v>20407.0</v>
      </c>
      <c r="B19186" s="3" t="s">
        <v>18143</v>
      </c>
      <c r="C19186" s="3" t="str">
        <f>IFERROR(__xludf.DUMMYFUNCTION("GOOGLETRANSLATE(B19186,""id"",""en"")"),"['Price', 'Package', 'Colently', '']")</f>
        <v>['Price', 'Package', 'Colently', '']</v>
      </c>
      <c r="D19186" s="3">
        <v>4.0</v>
      </c>
    </row>
    <row r="19187" ht="15.75" customHeight="1">
      <c r="A19187" s="1">
        <v>20408.0</v>
      </c>
      <c r="B19187" s="3" t="s">
        <v>18144</v>
      </c>
      <c r="C19187" s="3" t="str">
        <f>IFERROR(__xludf.DUMMYFUNCTION("GOOGLETRANSLATE(B19187,""id"",""en"")"),"['updated', 'opened', 'white', 'doang', '']")</f>
        <v>['updated', 'opened', 'white', 'doang', '']</v>
      </c>
      <c r="D19187" s="3">
        <v>5.0</v>
      </c>
    </row>
    <row r="19188" ht="15.75" customHeight="1">
      <c r="A19188" s="1">
        <v>20409.0</v>
      </c>
      <c r="B19188" s="3" t="s">
        <v>18145</v>
      </c>
      <c r="C19188" s="3" t="str">
        <f>IFERROR(__xludf.DUMMYFUNCTION("GOOGLETRANSLATE(B19188,""id"",""en"")"),"['version', 'apk', 'Telkomsel', 'aims',' access', 'ugly', 'aka', 'person', 'poor', 'people', 'rich', 'good', ' Support ',' ']")</f>
        <v>['version', 'apk', 'Telkomsel', 'aims',' access', 'ugly', 'aka', 'person', 'poor', 'people', 'rich', 'good', ' Support ',' ']</v>
      </c>
      <c r="D19188" s="3">
        <v>2.0</v>
      </c>
    </row>
    <row r="19189" ht="15.75" customHeight="1">
      <c r="A19189" s="1">
        <v>20410.0</v>
      </c>
      <c r="B19189" s="3" t="s">
        <v>18146</v>
      </c>
      <c r="C19189" s="3" t="str">
        <f>IFERROR(__xludf.DUMMYFUNCTION("GOOGLETRANSLATE(B19189,""id"",""en"")"),"['signal', 'good', 'severe', 'network', 'smartfren', 'win', 'expensive', 'doang']")</f>
        <v>['signal', 'good', 'severe', 'network', 'smartfren', 'win', 'expensive', 'doang']</v>
      </c>
      <c r="D19189" s="3">
        <v>1.0</v>
      </c>
    </row>
    <row r="19190" ht="15.75" customHeight="1">
      <c r="A19190" s="1">
        <v>20411.0</v>
      </c>
      <c r="B19190" s="3" t="s">
        <v>18147</v>
      </c>
      <c r="C19190" s="3" t="str">
        <f>IFERROR(__xludf.DUMMYFUNCTION("GOOGLETRANSLATE(B19190,""id"",""en"")"),"['Star', 'Transaction', 'Purchase', 'Package', 'Data', 'Application', 'Resolved', 'Please', 'Repaired', 'System', 'Thank', 'Love', ' ']")</f>
        <v>['Star', 'Transaction', 'Purchase', 'Package', 'Data', 'Application', 'Resolved', 'Please', 'Repaired', 'System', 'Thank', 'Love', ' ']</v>
      </c>
      <c r="D19190" s="3">
        <v>2.0</v>
      </c>
    </row>
    <row r="19191" ht="15.75" customHeight="1">
      <c r="A19191" s="1">
        <v>20412.0</v>
      </c>
      <c r="B19191" s="3" t="s">
        <v>18148</v>
      </c>
      <c r="C19191" s="3" t="str">
        <f>IFERROR(__xludf.DUMMYFUNCTION("GOOGLETRANSLATE(B19191,""id"",""en"")"),"['Here', 'internet', 'stable', 'like', 'Telkomsel']")</f>
        <v>['Here', 'internet', 'stable', 'like', 'Telkomsel']</v>
      </c>
      <c r="D19191" s="3">
        <v>1.0</v>
      </c>
    </row>
    <row r="19192" ht="15.75" customHeight="1">
      <c r="A19192" s="1">
        <v>20413.0</v>
      </c>
      <c r="B19192" s="3" t="s">
        <v>18149</v>
      </c>
      <c r="C19192" s="3" t="str">
        <f>IFERROR(__xludf.DUMMYFUNCTION("GOOGLETRANSLATE(B19192,""id"",""en"")"),"['', 'love', 'ATI', 'star', 'love', 'star', 'because' the application ',' vangke ',' really ',' open ',' ngeblank ',' white ',' Telkomsel ',' gini ',' really ',' tens', 'severe', 'Telkomsel', 'living', 'customers',' times', 'paraaahh', 'aaaah', 'really', "&amp;"'Ugly', 'Season', 'here', 'Telkomsel']")</f>
        <v>['', 'love', 'ATI', 'star', 'love', 'star', 'because' the application ',' vangke ',' really ',' open ',' ngeblank ',' white ',' Telkomsel ',' gini ',' really ',' tens', 'severe', 'Telkomsel', 'living', 'customers',' times', 'paraaahh', 'aaaah', 'really', 'Ugly', 'Season', 'here', 'Telkomsel']</v>
      </c>
      <c r="D19192" s="3">
        <v>1.0</v>
      </c>
    </row>
    <row r="19193" ht="15.75" customHeight="1">
      <c r="A19193" s="1">
        <v>20414.0</v>
      </c>
      <c r="B19193" s="3" t="s">
        <v>18150</v>
      </c>
      <c r="C19193" s="3" t="str">
        <f>IFERROR(__xludf.DUMMYFUNCTION("GOOGLETRANSLATE(B19193,""id"",""en"")"),"['Hot', 'game']")</f>
        <v>['Hot', 'game']</v>
      </c>
      <c r="D19193" s="3">
        <v>4.0</v>
      </c>
    </row>
    <row r="19194" ht="15.75" customHeight="1">
      <c r="A19194" s="1">
        <v>20415.0</v>
      </c>
      <c r="B19194" s="3" t="s">
        <v>3118</v>
      </c>
      <c r="C19194" s="3" t="str">
        <f>IFERROR(__xludf.DUMMYFUNCTION("GOOGLETRANSLATE(B19194,""id"",""en"")"),"['disappointing']")</f>
        <v>['disappointing']</v>
      </c>
      <c r="D19194" s="3">
        <v>1.0</v>
      </c>
    </row>
    <row r="19195" ht="15.75" customHeight="1">
      <c r="A19195" s="1">
        <v>20416.0</v>
      </c>
      <c r="B19195" s="3" t="s">
        <v>18151</v>
      </c>
      <c r="C19195" s="3" t="str">
        <f>IFERROR(__xludf.DUMMYFUNCTION("GOOGLETRANSLATE(B19195,""id"",""en"")"),"['The application', 'slow', 'open', 'application', 'loading', 'difficult', '']")</f>
        <v>['The application', 'slow', 'open', 'application', 'loading', 'difficult', '']</v>
      </c>
      <c r="D19195" s="3">
        <v>2.0</v>
      </c>
    </row>
    <row r="19196" ht="15.75" customHeight="1">
      <c r="A19196" s="1">
        <v>20417.0</v>
      </c>
      <c r="B19196" s="3" t="s">
        <v>18152</v>
      </c>
      <c r="C19196" s="3" t="str">
        <f>IFERROR(__xludf.DUMMYFUNCTION("GOOGLETRANSLATE(B19196,""id"",""en"")"),"['Operator', 'Network', 'Stable', 'Region', '']")</f>
        <v>['Operator', 'Network', 'Stable', 'Region', '']</v>
      </c>
      <c r="D19196" s="3">
        <v>1.0</v>
      </c>
    </row>
    <row r="19197" ht="15.75" customHeight="1">
      <c r="A19197" s="1">
        <v>20418.0</v>
      </c>
      <c r="B19197" s="3" t="s">
        <v>18153</v>
      </c>
      <c r="C19197" s="3" t="str">
        <f>IFERROR(__xludf.DUMMYFUNCTION("GOOGLETRANSLATE(B19197,""id"",""en"")"),"['Telkomsel', 'skrg', 'strange', 'cut', 'pulse', 'list', 'package', 'activate', 'data', 'cellular']")</f>
        <v>['Telkomsel', 'skrg', 'strange', 'cut', 'pulse', 'list', 'package', 'activate', 'data', 'cellular']</v>
      </c>
      <c r="D19197" s="3">
        <v>1.0</v>
      </c>
    </row>
    <row r="19198" ht="15.75" customHeight="1">
      <c r="A19198" s="1">
        <v>20419.0</v>
      </c>
      <c r="B19198" s="3" t="s">
        <v>3713</v>
      </c>
      <c r="C19198" s="3" t="str">
        <f>IFERROR(__xludf.DUMMYFUNCTION("GOOGLETRANSLATE(B19198,""id"",""en"")"),"['Steady', 'APK']")</f>
        <v>['Steady', 'APK']</v>
      </c>
      <c r="D19198" s="3">
        <v>5.0</v>
      </c>
    </row>
    <row r="19199" ht="15.75" customHeight="1">
      <c r="A19199" s="1">
        <v>20420.0</v>
      </c>
      <c r="B19199" s="3" t="s">
        <v>18154</v>
      </c>
      <c r="C19199" s="3" t="str">
        <f>IFERROR(__xludf.DUMMYFUNCTION("GOOGLETRANSLATE(B19199,""id"",""en"")"),"['', 'Telkomsel', 'opened', 'please', 'repaired', 'times', 'open', 'White', 'screen', 'error']")</f>
        <v>['', 'Telkomsel', 'opened', 'please', 'repaired', 'times', 'open', 'White', 'screen', 'error']</v>
      </c>
      <c r="D19199" s="3">
        <v>1.0</v>
      </c>
    </row>
    <row r="19200" ht="15.75" customHeight="1">
      <c r="A19200" s="1">
        <v>20421.0</v>
      </c>
      <c r="B19200" s="3" t="s">
        <v>18155</v>
      </c>
      <c r="C19200" s="3" t="str">
        <f>IFERROR(__xludf.DUMMYFUNCTION("GOOGLETRANSLATE(B19200,""id"",""en"")"),"['already', 'cool', 'system', 'lock', 'pulse', 'quota', 'abis', 'ngampil', 'pulse', 'plis', 'wait', 'update']")</f>
        <v>['already', 'cool', 'system', 'lock', 'pulse', 'quota', 'abis', 'ngampil', 'pulse', 'plis', 'wait', 'update']</v>
      </c>
      <c r="D19200" s="3">
        <v>5.0</v>
      </c>
    </row>
    <row r="19201" ht="15.75" customHeight="1">
      <c r="A19201" s="1">
        <v>20422.0</v>
      </c>
      <c r="B19201" s="3" t="s">
        <v>18156</v>
      </c>
      <c r="C19201" s="3" t="str">
        <f>IFERROR(__xludf.DUMMYFUNCTION("GOOGLETRANSLATE(B19201,""id"",""en"")"),"['Gmnaa', 'Telkomsel', 'enter', 'screen', 'white']")</f>
        <v>['Gmnaa', 'Telkomsel', 'enter', 'screen', 'white']</v>
      </c>
      <c r="D19201" s="3">
        <v>1.0</v>
      </c>
    </row>
    <row r="19202" ht="15.75" customHeight="1">
      <c r="A19202" s="1">
        <v>20423.0</v>
      </c>
      <c r="B19202" s="3" t="s">
        <v>18157</v>
      </c>
      <c r="C19202" s="3" t="str">
        <f>IFERROR(__xludf.DUMMYFUNCTION("GOOGLETRANSLATE(B19202,""id"",""en"")"),"['Not bad', 'Helping', 'User', 'Network', 'Indosat']")</f>
        <v>['Not bad', 'Helping', 'User', 'Network', 'Indosat']</v>
      </c>
      <c r="D19202" s="3">
        <v>5.0</v>
      </c>
    </row>
    <row r="19203" ht="15.75" customHeight="1">
      <c r="A19203" s="1">
        <v>20425.0</v>
      </c>
      <c r="B19203" s="3" t="s">
        <v>18158</v>
      </c>
      <c r="C19203" s="3" t="str">
        <f>IFERROR(__xludf.DUMMYFUNCTION("GOOGLETRANSLATE(B19203,""id"",""en"")"),"['choice', 'package', 'internet', 'easy']")</f>
        <v>['choice', 'package', 'internet', 'easy']</v>
      </c>
      <c r="D19203" s="3">
        <v>5.0</v>
      </c>
    </row>
    <row r="19204" ht="15.75" customHeight="1">
      <c r="A19204" s="1">
        <v>20426.0</v>
      </c>
      <c r="B19204" s="3" t="s">
        <v>18159</v>
      </c>
      <c r="C19204" s="3" t="str">
        <f>IFERROR(__xludf.DUMMYFUNCTION("GOOGLETRANSLATE(B19204,""id"",""en"")"),"['Help', 'tense']")</f>
        <v>['Help', 'tense']</v>
      </c>
      <c r="D19204" s="3">
        <v>1.0</v>
      </c>
    </row>
    <row r="19205" ht="15.75" customHeight="1">
      <c r="A19205" s="1">
        <v>20427.0</v>
      </c>
      <c r="B19205" s="3" t="s">
        <v>18160</v>
      </c>
      <c r="C19205" s="3" t="str">
        <f>IFERROR(__xludf.DUMMYFUNCTION("GOOGLETRANSLATE(B19205,""id"",""en"")"),"['What', 'buy', 'quota', 'game', 'MLBB', 'right', 'play', 'MLBB', 'quota', 'game', 'reduced', 'empty "",' Quota ',' Regular ',' Please ',' Fix ',' Buy ',' Quota ',' Game ',' Used ']")</f>
        <v>['What', 'buy', 'quota', 'game', 'MLBB', 'right', 'play', 'MLBB', 'quota', 'game', 'reduced', 'empty ",' Quota ',' Regular ',' Please ',' Fix ',' Buy ',' Quota ',' Game ',' Used ']</v>
      </c>
      <c r="D19205" s="3">
        <v>2.0</v>
      </c>
    </row>
    <row r="19206" ht="15.75" customHeight="1">
      <c r="A19206" s="1">
        <v>20428.0</v>
      </c>
      <c r="B19206" s="3" t="s">
        <v>18161</v>
      </c>
      <c r="C19206" s="3" t="str">
        <f>IFERROR(__xludf.DUMMYFUNCTION("GOOGLETRANSLATE(B19206,""id"",""en"")"),"['Help', 'Customer', 'Package', 'Combo', 'Sakti', 'Phone', 'SMS', 'Eledied', '']")</f>
        <v>['Help', 'Customer', 'Package', 'Combo', 'Sakti', 'Phone', 'SMS', 'Eledied', '']</v>
      </c>
      <c r="D19206" s="3">
        <v>1.0</v>
      </c>
    </row>
    <row r="19207" ht="15.75" customHeight="1">
      <c r="A19207" s="1">
        <v>20429.0</v>
      </c>
      <c r="B19207" s="3" t="s">
        <v>18162</v>
      </c>
      <c r="C19207" s="3" t="str">
        <f>IFERROR(__xludf.DUMMYFUNCTION("GOOGLETRANSLATE(B19207,""id"",""en"")"),"['', 'update', 'good', 'disappointing', 'enter', 'application', 'difficult', 'sometimes',' like ',' ngeblank ',' white ',' screen ',' then then ',' skrg ',' quota ',' internet ',' omg ',' ngilank ',' application ',' telkomsel ',' buy ',' quota ',' phone '"&amp;",' customer ',' service ', 'Make it', 'report', 'appears', 'internet', 'omg', 'ntar', 'ngilan', 'please', 'increase', '']")</f>
        <v>['', 'update', 'good', 'disappointing', 'enter', 'application', 'difficult', 'sometimes',' like ',' ngeblank ',' white ',' screen ',' then then ',' skrg ',' quota ',' internet ',' omg ',' ngilank ',' application ',' telkomsel ',' buy ',' quota ',' phone ',' customer ',' service ', 'Make it', 'report', 'appears', 'internet', 'omg', 'ntar', 'ngilan', 'please', 'increase', '']</v>
      </c>
      <c r="D19207" s="3">
        <v>1.0</v>
      </c>
    </row>
    <row r="19208" ht="15.75" customHeight="1">
      <c r="A19208" s="1">
        <v>20430.0</v>
      </c>
      <c r="B19208" s="3" t="s">
        <v>18163</v>
      </c>
      <c r="C19208" s="3" t="str">
        <f>IFERROR(__xludf.DUMMYFUNCTION("GOOGLETRANSLATE(B19208,""id"",""en"")"),"['Cheap', 'buy', 'Telkomsel']")</f>
        <v>['Cheap', 'buy', 'Telkomsel']</v>
      </c>
      <c r="D19208" s="3">
        <v>5.0</v>
      </c>
    </row>
    <row r="19209" ht="15.75" customHeight="1">
      <c r="A19209" s="1">
        <v>20431.0</v>
      </c>
      <c r="B19209" s="3" t="s">
        <v>18164</v>
      </c>
      <c r="C19209" s="3" t="str">
        <f>IFERROR(__xludf.DUMMYFUNCTION("GOOGLETRANSLATE(B19209,""id"",""en"")"),"['signal', 'battered', 'severe', 'ugly', 'slow', 'package', 'expensive', 'service', 'satisfying', 'signal', 'lose', 'high school', ' Negri ',' Jiran ',' Maxis', 'Jeshhhhhh']")</f>
        <v>['signal', 'battered', 'severe', 'ugly', 'slow', 'package', 'expensive', 'service', 'satisfying', 'signal', 'lose', 'high school', ' Negri ',' Jiran ',' Maxis', 'Jeshhhhhh']</v>
      </c>
      <c r="D19209" s="3">
        <v>1.0</v>
      </c>
    </row>
    <row r="19210" ht="15.75" customHeight="1">
      <c r="A19210" s="1">
        <v>20432.0</v>
      </c>
      <c r="B19210" s="3" t="s">
        <v>18165</v>
      </c>
      <c r="C19210" s="3" t="str">
        <f>IFERROR(__xludf.DUMMYFUNCTION("GOOGLETRANSLATE(B19210,""id"",""en"")"),"['Sample', 'Download', 'Telkomsell', 'Yesterday', 'Download']")</f>
        <v>['Sample', 'Download', 'Telkomsell', 'Yesterday', 'Download']</v>
      </c>
      <c r="D19210" s="3">
        <v>1.0</v>
      </c>
    </row>
    <row r="19211" ht="15.75" customHeight="1">
      <c r="A19211" s="1">
        <v>20433.0</v>
      </c>
      <c r="B19211" s="3" t="s">
        <v>18166</v>
      </c>
      <c r="C19211" s="3" t="str">
        <f>IFERROR(__xludf.DUMMYFUNCTION("GOOGLETRANSLATE(B19211,""id"",""en"")"),"['Credit', 'Cutting', 'Approval', 'Contents',' Credit ',' date ',' des', 'check', 'pulse', 'stay', 'pulses',' min ',' ']")</f>
        <v>['Credit', 'Cutting', 'Approval', 'Contents',' Credit ',' date ',' des', 'check', 'pulse', 'stay', 'pulses',' min ',' ']</v>
      </c>
      <c r="D19211" s="3">
        <v>2.0</v>
      </c>
    </row>
    <row r="19212" ht="15.75" customHeight="1">
      <c r="A19212" s="1">
        <v>20434.0</v>
      </c>
      <c r="B19212" s="3" t="s">
        <v>18167</v>
      </c>
      <c r="C19212" s="3" t="str">
        <f>IFERROR(__xludf.DUMMYFUNCTION("GOOGLETRANSLATE(B19212,""id"",""en"")"),"['hope', 'age']")</f>
        <v>['hope', 'age']</v>
      </c>
      <c r="D19212" s="3">
        <v>5.0</v>
      </c>
    </row>
    <row r="19213" ht="15.75" customHeight="1">
      <c r="A19213" s="1">
        <v>20435.0</v>
      </c>
      <c r="B19213" s="3" t="s">
        <v>18168</v>
      </c>
      <c r="C19213" s="3" t="str">
        <f>IFERROR(__xludf.DUMMYFUNCTION("GOOGLETRANSLATE(B19213,""id"",""en"")"),"['subscribe', 'many years',' here ',' package ',' expensive ',' expensive ',' moved ',' next door ',' already ',' signal ',' ugly ',' the package ',' expensive ',' love ',' cheap ',' package ',' subscribe ']")</f>
        <v>['subscribe', 'many years',' here ',' package ',' expensive ',' expensive ',' moved ',' next door ',' already ',' signal ',' ugly ',' the package ',' expensive ',' love ',' cheap ',' package ',' subscribe ']</v>
      </c>
      <c r="D19213" s="3">
        <v>1.0</v>
      </c>
    </row>
    <row r="19214" ht="15.75" customHeight="1">
      <c r="A19214" s="1">
        <v>20436.0</v>
      </c>
      <c r="B19214" s="3" t="s">
        <v>18169</v>
      </c>
      <c r="C19214" s="3" t="str">
        <f>IFERROR(__xludf.DUMMYFUNCTION("GOOGLETRANSLATE(B19214,""id"",""en"")"),"['Ngebug', 'Mulu', 'Duh', 'Udal', 'subscribe', 'really', 'Telkomsel', 'ACIKIKI', 'open', 'buy', 'package', 'data', ' Try ',' Fix ',' Application ',' Telkomsel ',' sophisticated ',' priority ',' convenience ',' Customer ',' Min ', ""]")</f>
        <v>['Ngebug', 'Mulu', 'Duh', 'Udal', 'subscribe', 'really', 'Telkomsel', 'ACIKIKI', 'open', 'buy', 'package', 'data', ' Try ',' Fix ',' Application ',' Telkomsel ',' sophisticated ',' priority ',' convenience ',' Customer ',' Min ', "]</v>
      </c>
      <c r="D19214" s="3">
        <v>2.0</v>
      </c>
    </row>
    <row r="19215" ht="15.75" customHeight="1">
      <c r="A19215" s="1">
        <v>20437.0</v>
      </c>
      <c r="B19215" s="3" t="s">
        <v>18170</v>
      </c>
      <c r="C19215" s="3" t="str">
        <f>IFERROR(__xludf.DUMMYFUNCTION("GOOGLETRANSLATE(B19215,""id"",""en"")"),"['Help', 'skli']")</f>
        <v>['Help', 'skli']</v>
      </c>
      <c r="D19215" s="3">
        <v>5.0</v>
      </c>
    </row>
    <row r="19216" ht="15.75" customHeight="1">
      <c r="A19216" s="1">
        <v>20438.0</v>
      </c>
      <c r="B19216" s="3" t="s">
        <v>18171</v>
      </c>
      <c r="C19216" s="3" t="str">
        <f>IFERROR(__xludf.DUMMYFUNCTION("GOOGLETRANSLATE(B19216,""id"",""en"")"),"['Disappointed', 'really', 'buy', 'pulse', 'direct', 'chick', 'extra', 'monetary', 'what', 'how', 'Disable', 'package', ' automatically ',' pepotong ',' pulse ',' that's', 'emang', 'gini', 'telkomsel', 'disappointing', 'use', 'features',' ask ',' veronika"&amp;" ',' menbantu ' , 'Pecat', 'Feature', 'Veronika']")</f>
        <v>['Disappointed', 'really', 'buy', 'pulse', 'direct', 'chick', 'extra', 'monetary', 'what', 'how', 'Disable', 'package', ' automatically ',' pepotong ',' pulse ',' that's', 'emang', 'gini', 'telkomsel', 'disappointing', 'use', 'features',' ask ',' veronika ',' menbantu ' , 'Pecat', 'Feature', 'Veronika']</v>
      </c>
      <c r="D19216" s="3">
        <v>1.0</v>
      </c>
    </row>
    <row r="19217" ht="15.75" customHeight="1">
      <c r="A19217" s="1">
        <v>20439.0</v>
      </c>
      <c r="B19217" s="3" t="s">
        <v>18172</v>
      </c>
      <c r="C19217" s="3" t="str">
        <f>IFERROR(__xludf.DUMMYFUNCTION("GOOGLETRANSLATE(B19217,""id"",""en"")"),"['Disappointed', 'users',' Telkomsel ',' times', 'contents',' reset ',' package ',' data ',' Telkomsel ',' network ',' disappointing ',' stable ',' Please ',' repaired ',' ']")</f>
        <v>['Disappointed', 'users',' Telkomsel ',' times', 'contents',' reset ',' package ',' data ',' Telkomsel ',' network ',' disappointing ',' stable ',' Please ',' repaired ',' ']</v>
      </c>
      <c r="D19217" s="3">
        <v>2.0</v>
      </c>
    </row>
    <row r="19218" ht="15.75" customHeight="1">
      <c r="A19218" s="1">
        <v>20440.0</v>
      </c>
      <c r="B19218" s="3" t="s">
        <v>18173</v>
      </c>
      <c r="C19218" s="3" t="str">
        <f>IFERROR(__xludf.DUMMYFUNCTION("GOOGLETRANSLATE(B19218,""id"",""en"")"),"['Severe', 'Since', 'Update', 'Application', 'Opened']")</f>
        <v>['Severe', 'Since', 'Update', 'Application', 'Opened']</v>
      </c>
      <c r="D19218" s="3">
        <v>2.0</v>
      </c>
    </row>
    <row r="19219" ht="15.75" customHeight="1">
      <c r="A19219" s="1">
        <v>20441.0</v>
      </c>
      <c r="B19219" s="3" t="s">
        <v>18174</v>
      </c>
      <c r="C19219" s="3" t="str">
        <f>IFERROR(__xludf.DUMMYFUNCTION("GOOGLETRANSLATE(B19219,""id"",""en"")"),"['Disappointed', 'really', 'fill in', 'pulse', 'right', 'open', 'Telkomsel', 'direct', 'run out', 'right', 'open', 'Telkomsel', ' pulses', 'try', 'do', 'purchase', 'biaa', 'reset', 'pulses',' already ',' finished ']")</f>
        <v>['Disappointed', 'really', 'fill in', 'pulse', 'right', 'open', 'Telkomsel', 'direct', 'run out', 'right', 'open', 'Telkomsel', ' pulses', 'try', 'do', 'purchase', 'biaa', 'reset', 'pulses',' already ',' finished ']</v>
      </c>
      <c r="D19219" s="3">
        <v>1.0</v>
      </c>
    </row>
    <row r="19220" ht="15.75" customHeight="1">
      <c r="A19220" s="1">
        <v>20442.0</v>
      </c>
      <c r="B19220" s="3" t="s">
        <v>18175</v>
      </c>
      <c r="C19220" s="3" t="str">
        <f>IFERROR(__xludf.DUMMYFUNCTION("GOOGLETRANSLATE(B19220,""id"",""en"")"),"['Likes', 'Telkomsel', 'JDI', 'Easy', '']")</f>
        <v>['Likes', 'Telkomsel', 'JDI', 'Easy', '']</v>
      </c>
      <c r="D19220" s="3">
        <v>5.0</v>
      </c>
    </row>
    <row r="19221" ht="15.75" customHeight="1">
      <c r="A19221" s="1">
        <v>20443.0</v>
      </c>
      <c r="B19221" s="3" t="s">
        <v>18176</v>
      </c>
      <c r="C19221" s="3" t="str">
        <f>IFERROR(__xludf.DUMMYFUNCTION("GOOGLETRANSLATE(B19221,""id"",""en"")"),"['how', 'the applications',' no ',' feel ',' uninstall ',' Application ',' right ',' packagein ',' quota ',' search ',' Telkomsel ',' no ',' Trs', 'Playstore', 'Install', 'Install', 'No', 'No', 'really', 'deh', 'error', 'Telkomsel', ""]")</f>
        <v>['how', 'the applications',' no ',' feel ',' uninstall ',' Application ',' right ',' packagein ',' quota ',' search ',' Telkomsel ',' no ',' Trs', 'Playstore', 'Install', 'Install', 'No', 'No', 'really', 'deh', 'error', 'Telkomsel', "]</v>
      </c>
      <c r="D19221" s="3">
        <v>1.0</v>
      </c>
    </row>
    <row r="19222" ht="15.75" customHeight="1">
      <c r="A19222" s="1">
        <v>20444.0</v>
      </c>
      <c r="B19222" s="3" t="s">
        <v>18177</v>
      </c>
      <c r="C19222" s="3" t="str">
        <f>IFERROR(__xludf.DUMMYFUNCTION("GOOGLETRANSLATE(B19222,""id"",""en"")"),"['Network', 'Leet', 'Severe', 'Nge', 'Njink', '']")</f>
        <v>['Network', 'Leet', 'Severe', 'Nge', 'Njink', '']</v>
      </c>
      <c r="D19222" s="3">
        <v>1.0</v>
      </c>
    </row>
    <row r="19223" ht="15.75" customHeight="1">
      <c r="A19223" s="1">
        <v>20445.0</v>
      </c>
      <c r="B19223" s="3" t="s">
        <v>18178</v>
      </c>
      <c r="C19223" s="3" t="str">
        <f>IFERROR(__xludf.DUMMYFUNCTION("GOOGLETRANSLATE(B19223,""id"",""en"")"),"['application', 'opened', 'solution', '']")</f>
        <v>['application', 'opened', 'solution', '']</v>
      </c>
      <c r="D19223" s="3">
        <v>1.0</v>
      </c>
    </row>
    <row r="19224" ht="15.75" customHeight="1">
      <c r="A19224" s="1">
        <v>20446.0</v>
      </c>
      <c r="B19224" s="3" t="s">
        <v>18179</v>
      </c>
      <c r="C19224" s="3" t="str">
        <f>IFERROR(__xludf.DUMMYFUNCTION("GOOGLETRANSLATE(B19224,""id"",""en"")"),"['Min', 'Application', 'Telkomsel', 'Opened']")</f>
        <v>['Min', 'Application', 'Telkomsel', 'Opened']</v>
      </c>
      <c r="D19224" s="3">
        <v>4.0</v>
      </c>
    </row>
    <row r="19225" ht="15.75" customHeight="1">
      <c r="A19225" s="1">
        <v>20447.0</v>
      </c>
      <c r="B19225" s="3" t="s">
        <v>18180</v>
      </c>
      <c r="C19225" s="3" t="str">
        <f>IFERROR(__xludf.DUMMYFUNCTION("GOOGLETRANSLATE(B19225,""id"",""en"")"),"['signal', 'ugly', 'price', 'expensive']")</f>
        <v>['signal', 'ugly', 'price', 'expensive']</v>
      </c>
      <c r="D19225" s="3">
        <v>1.0</v>
      </c>
    </row>
    <row r="19226" ht="15.75" customHeight="1">
      <c r="A19226" s="1">
        <v>20448.0</v>
      </c>
      <c r="B19226" s="3" t="s">
        <v>18181</v>
      </c>
      <c r="C19226" s="3" t="str">
        <f>IFERROR(__xludf.DUMMYFUNCTION("GOOGLETRANSLATE(B19226,""id"",""en"")"),"['Operator', 'Taii', 'here', 'ugly', 'lie', 'buy', 'package', 'internet', 'contents',' quota ',' main ',' unlimited ',' Watch ',' sosmed ',' Tiktok ',' quota ',' main ',' run out ',' strange ',' worse ',' buy ',' package ',' special ',' sosmed ',' tiktok "&amp;"' , 'and then', 'run out', 'quota', 'main', 'quota', 'sosmed', 'speed', 'tissue', 'different', 'price', 'package', 'ngk', ' Cheap ',' please ',' repaired ',' yaa ']")</f>
        <v>['Operator', 'Taii', 'here', 'ugly', 'lie', 'buy', 'package', 'internet', 'contents',' quota ',' main ',' unlimited ',' Watch ',' sosmed ',' Tiktok ',' quota ',' main ',' run out ',' strange ',' worse ',' buy ',' package ',' special ',' sosmed ',' tiktok ' , 'and then', 'run out', 'quota', 'main', 'quota', 'sosmed', 'speed', 'tissue', 'different', 'price', 'package', 'ngk', ' Cheap ',' please ',' repaired ',' yaa ']</v>
      </c>
      <c r="D19226" s="3">
        <v>1.0</v>
      </c>
    </row>
    <row r="19227" ht="15.75" customHeight="1">
      <c r="A19227" s="1">
        <v>20449.0</v>
      </c>
      <c r="B19227" s="3" t="s">
        <v>18182</v>
      </c>
      <c r="C19227" s="3" t="str">
        <f>IFERROR(__xludf.DUMMYFUNCTION("GOOGLETRANSLATE(B19227,""id"",""en"")"),"['quota', 'Ter', 'expensive']")</f>
        <v>['quota', 'Ter', 'expensive']</v>
      </c>
      <c r="D19227" s="3">
        <v>5.0</v>
      </c>
    </row>
    <row r="19228" ht="15.75" customHeight="1">
      <c r="A19228" s="1">
        <v>20450.0</v>
      </c>
      <c r="B19228" s="3" t="s">
        <v>18183</v>
      </c>
      <c r="C19228" s="3" t="str">
        <f>IFERROR(__xludf.DUMMYFUNCTION("GOOGLETRANSLATE(B19228,""id"",""en"")"),"['work', 'unlimited', 'YouTube', 'satisfying']")</f>
        <v>['work', 'unlimited', 'YouTube', 'satisfying']</v>
      </c>
      <c r="D19228" s="3">
        <v>4.0</v>
      </c>
    </row>
    <row r="19229" ht="15.75" customHeight="1">
      <c r="A19229" s="1">
        <v>20451.0</v>
      </c>
      <c r="B19229" s="3" t="s">
        <v>18184</v>
      </c>
      <c r="C19229" s="3" t="str">
        <f>IFERROR(__xludf.DUMMYFUNCTION("GOOGLETRANSLATE(B19229,""id"",""en"")"),"['Hi', 'Telkomsel', 'here', 'your signal', 'worrying', 'bad', 'home', 'dkt', 'airport', 'village', 'signal', 'threat']")</f>
        <v>['Hi', 'Telkomsel', 'here', 'your signal', 'worrying', 'bad', 'home', 'dkt', 'airport', 'village', 'signal', 'threat']</v>
      </c>
      <c r="D19229" s="3">
        <v>1.0</v>
      </c>
    </row>
    <row r="19230" ht="15.75" customHeight="1">
      <c r="A19230" s="1">
        <v>20452.0</v>
      </c>
      <c r="B19230" s="3" t="s">
        <v>18185</v>
      </c>
      <c r="C19230" s="3" t="str">
        <f>IFERROR(__xludf.DUMMYFUNCTION("GOOGLETRANSLATE(B19230,""id"",""en"")"),"['already', 'HR', 'APK', 'bsa', 'open', 'please', 'donk', 'repaired', 'here', 'difficult', 'wifi']")</f>
        <v>['already', 'HR', 'APK', 'bsa', 'open', 'please', 'donk', 'repaired', 'here', 'difficult', 'wifi']</v>
      </c>
      <c r="D19230" s="3">
        <v>3.0</v>
      </c>
    </row>
    <row r="19231" ht="15.75" customHeight="1">
      <c r="A19231" s="1">
        <v>20453.0</v>
      </c>
      <c r="B19231" s="3" t="s">
        <v>3567</v>
      </c>
      <c r="C19231" s="3" t="str">
        <f>IFERROR(__xludf.DUMMYFUNCTION("GOOGLETRANSLATE(B19231,""id"",""en"")"),"['easy', '']")</f>
        <v>['easy', '']</v>
      </c>
      <c r="D19231" s="3">
        <v>5.0</v>
      </c>
    </row>
    <row r="19232" ht="15.75" customHeight="1">
      <c r="A19232" s="1">
        <v>20454.0</v>
      </c>
      <c r="B19232" s="3" t="s">
        <v>18186</v>
      </c>
      <c r="C19232" s="3" t="str">
        <f>IFERROR(__xludf.DUMMYFUNCTION("GOOGLETRANSLATE(B19232,""id"",""en"")"),"['suggestion', 'application', 'MyTelkomsel', 'extra', 'pitur', 'key', 'pulse', 'aware', 'package', 'run out', 'pulses',' internet ',' Ajah ',' Genesis', 'RB', 'Credit', 'Shame', 'Internet', 'Package', 'Out']")</f>
        <v>['suggestion', 'application', 'MyTelkomsel', 'extra', 'pitur', 'key', 'pulse', 'aware', 'package', 'run out', 'pulses',' internet ',' Ajah ',' Genesis', 'RB', 'Credit', 'Shame', 'Internet', 'Package', 'Out']</v>
      </c>
      <c r="D19232" s="3">
        <v>2.0</v>
      </c>
    </row>
    <row r="19233" ht="15.75" customHeight="1">
      <c r="A19233" s="1">
        <v>20455.0</v>
      </c>
      <c r="B19233" s="3" t="s">
        <v>18187</v>
      </c>
      <c r="C19233" s="3" t="str">
        <f>IFERROR(__xludf.DUMMYFUNCTION("GOOGLETRANSLATE(B19233,""id"",""en"")"),"['Good', 'Telkomsel', 'thank you']")</f>
        <v>['Good', 'Telkomsel', 'thank you']</v>
      </c>
      <c r="D19233" s="3">
        <v>5.0</v>
      </c>
    </row>
    <row r="19234" ht="15.75" customHeight="1">
      <c r="A19234" s="1">
        <v>20456.0</v>
      </c>
      <c r="B19234" s="3" t="s">
        <v>18188</v>
      </c>
      <c r="C19234" s="3" t="str">
        <f>IFERROR(__xludf.DUMMYFUNCTION("GOOGLETRANSLATE(B19234,""id"",""en"")"),"['Application', 'Ngblank', 'Update', 'TTP', 'Install', 'reset', 'TTP', 'color', 'White', 'Bener', ""]")</f>
        <v>['Application', 'Ngblank', 'Update', 'TTP', 'Install', 'reset', 'TTP', 'color', 'White', 'Bener', "]</v>
      </c>
      <c r="D19234" s="3">
        <v>1.0</v>
      </c>
    </row>
    <row r="19235" ht="15.75" customHeight="1">
      <c r="A19235" s="1">
        <v>20457.0</v>
      </c>
      <c r="B19235" s="3" t="s">
        <v>18189</v>
      </c>
      <c r="C19235" s="3" t="str">
        <f>IFERROR(__xludf.DUMMYFUNCTION("GOOGLETRANSLATE(B19235,""id"",""en"")"),"['oath', 'Lho', 'Season', 'really', 'play', 'ngelagnya', 'maen', 'school', 'difficult', 'buy', 'expensive', 'expensive', ' its quality ',' gini ',' buy ',' unlimited ',' sosmed ',' game ',' ngellag ',' forgiveness', 'dahlah', ""]")</f>
        <v>['oath', 'Lho', 'Season', 'really', 'play', 'ngelagnya', 'maen', 'school', 'difficult', 'buy', 'expensive', 'expensive', ' its quality ',' gini ',' buy ',' unlimited ',' sosmed ',' game ',' ngellag ',' forgiveness', 'dahlah', "]</v>
      </c>
      <c r="D19235" s="3">
        <v>1.0</v>
      </c>
    </row>
    <row r="19236" ht="15.75" customHeight="1">
      <c r="A19236" s="1">
        <v>20458.0</v>
      </c>
      <c r="B19236" s="3" t="s">
        <v>18190</v>
      </c>
      <c r="C19236" s="3" t="str">
        <f>IFERROR(__xludf.DUMMYFUNCTION("GOOGLETRANSLATE(B19236,""id"",""en"")"),"['Please', 'fix', 'signal', 'Telkomsel', 'fill in', 'pulse', 'TPI', 'Snyl', 'ugly', 'mah', 'dizzy', '']")</f>
        <v>['Please', 'fix', 'signal', 'Telkomsel', 'fill in', 'pulse', 'TPI', 'Snyl', 'ugly', 'mah', 'dizzy', '']</v>
      </c>
      <c r="D19236" s="3">
        <v>1.0</v>
      </c>
    </row>
    <row r="19237" ht="15.75" customHeight="1">
      <c r="A19237" s="1">
        <v>20459.0</v>
      </c>
      <c r="B19237" s="3" t="s">
        <v>18191</v>
      </c>
      <c r="C19237" s="3" t="str">
        <f>IFERROR(__xludf.DUMMYFUNCTION("GOOGLETRANSLATE(B19237,""id"",""en"")"),"['package', 'expensive', 'buy', 'network', 'error', 'card']")</f>
        <v>['package', 'expensive', 'buy', 'network', 'error', 'card']</v>
      </c>
      <c r="D19237" s="3">
        <v>5.0</v>
      </c>
    </row>
    <row r="19238" ht="15.75" customHeight="1">
      <c r="A19238" s="1">
        <v>20460.0</v>
      </c>
      <c r="B19238" s="3" t="s">
        <v>18192</v>
      </c>
      <c r="C19238" s="3" t="str">
        <f>IFERROR(__xludf.DUMMYFUNCTION("GOOGLETRANSLATE(B19238,""id"",""en"")"),"['Okeh', 'sanagt', 'help', 'power']")</f>
        <v>['Okeh', 'sanagt', 'help', 'power']</v>
      </c>
      <c r="D19238" s="3">
        <v>1.0</v>
      </c>
    </row>
    <row r="19239" ht="15.75" customHeight="1">
      <c r="A19239" s="1">
        <v>20461.0</v>
      </c>
      <c r="B19239" s="3" t="s">
        <v>18193</v>
      </c>
      <c r="C19239" s="3" t="str">
        <f>IFERROR(__xludf.DUMMYFUNCTION("GOOGLETRANSLATE(B19239,""id"",""en"")"),"['MyTelkomsel', 'expanded', 'Open']")</f>
        <v>['MyTelkomsel', 'expanded', 'Open']</v>
      </c>
      <c r="D19239" s="3">
        <v>1.0</v>
      </c>
    </row>
    <row r="19240" ht="15.75" customHeight="1">
      <c r="A19240" s="1">
        <v>20462.0</v>
      </c>
      <c r="B19240" s="3" t="s">
        <v>18194</v>
      </c>
      <c r="C19240" s="3" t="str">
        <f>IFERROR(__xludf.DUMMYFUNCTION("GOOGLETRANSLATE(B19240,""id"",""en"")"),"['crazy', 'updated', 'enter', 'screen', 'white', 'until', 'GPP', 'hurt', ""]")</f>
        <v>['crazy', 'updated', 'enter', 'screen', 'white', 'until', 'GPP', 'hurt', "]</v>
      </c>
      <c r="D19240" s="3">
        <v>1.0</v>
      </c>
    </row>
    <row r="19241" ht="15.75" customHeight="1">
      <c r="A19241" s="1">
        <v>20463.0</v>
      </c>
      <c r="B19241" s="3" t="s">
        <v>18195</v>
      </c>
      <c r="C19241" s="3" t="str">
        <f>IFERROR(__xludf.DUMMYFUNCTION("GOOGLETRANSLATE(B19241,""id"",""en"")"),"['Practical', 'notification', 'fast']")</f>
        <v>['Practical', 'notification', 'fast']</v>
      </c>
      <c r="D19241" s="3">
        <v>4.0</v>
      </c>
    </row>
    <row r="19242" ht="15.75" customHeight="1">
      <c r="A19242" s="1">
        <v>20464.0</v>
      </c>
      <c r="B19242" s="3" t="s">
        <v>18196</v>
      </c>
      <c r="C19242" s="3" t="str">
        <f>IFERROR(__xludf.DUMMYFUNCTION("GOOGLETRANSLATE(B19242,""id"",""en"")"),"['application', 'error', 'access', '']")</f>
        <v>['application', 'error', 'access', '']</v>
      </c>
      <c r="D19242" s="3">
        <v>5.0</v>
      </c>
    </row>
    <row r="19243" ht="15.75" customHeight="1">
      <c r="A19243" s="1">
        <v>20465.0</v>
      </c>
      <c r="B19243" s="3" t="s">
        <v>18197</v>
      </c>
      <c r="C19243" s="3" t="str">
        <f>IFERROR(__xludf.DUMMYFUNCTION("GOOGLETRANSLATE(B19243,""id"",""en"")"),"['Maki', 'Gouboug', 'signal', 'yahh']")</f>
        <v>['Maki', 'Gouboug', 'signal', 'yahh']</v>
      </c>
      <c r="D19243" s="3">
        <v>1.0</v>
      </c>
    </row>
    <row r="19244" ht="15.75" customHeight="1">
      <c r="A19244" s="1">
        <v>20466.0</v>
      </c>
      <c r="B19244" s="3" t="s">
        <v>18198</v>
      </c>
      <c r="C19244" s="3" t="str">
        <f>IFERROR(__xludf.DUMMYFUNCTION("GOOGLETRANSLATE(B19244,""id"",""en"")"),"['Please', 'Fix', 'Android', 'installed', '']")</f>
        <v>['Please', 'Fix', 'Android', 'installed', '']</v>
      </c>
      <c r="D19244" s="3">
        <v>1.0</v>
      </c>
    </row>
    <row r="19245" ht="15.75" customHeight="1">
      <c r="A19245" s="1">
        <v>20467.0</v>
      </c>
      <c r="B19245" s="3" t="s">
        <v>18199</v>
      </c>
      <c r="C19245" s="3" t="str">
        <f>IFERROR(__xludf.DUMMYFUNCTION("GOOGLETRANSLATE(B19245,""id"",""en"")"),"['seed', 'skrng', 'love']")</f>
        <v>['seed', 'skrng', 'love']</v>
      </c>
      <c r="D19245" s="3">
        <v>2.0</v>
      </c>
    </row>
    <row r="19246" ht="15.75" customHeight="1">
      <c r="A19246" s="1">
        <v>20468.0</v>
      </c>
      <c r="B19246" s="3" t="s">
        <v>18200</v>
      </c>
      <c r="C19246" s="3" t="str">
        <f>IFERROR(__xludf.DUMMYFUNCTION("GOOGLETRANSLATE(B19246,""id"",""en"")"),"['Star', 'Changed', 'Difficult', 'Enter', 'Nge', 'Blank', 'White', 'Screen', 'Litu', 'Doang', 'Teruuussss', ""]")</f>
        <v>['Star', 'Changed', 'Difficult', 'Enter', 'Nge', 'Blank', 'White', 'Screen', 'Litu', 'Doang', 'Teruuussss', "]</v>
      </c>
      <c r="D19246" s="3">
        <v>1.0</v>
      </c>
    </row>
    <row r="19247" ht="15.75" customHeight="1">
      <c r="A19247" s="1">
        <v>20469.0</v>
      </c>
      <c r="B19247" s="3" t="s">
        <v>18201</v>
      </c>
      <c r="C19247" s="3" t="str">
        <f>IFERROR(__xludf.DUMMYFUNCTION("GOOGLETRANSLATE(B19247,""id"",""en"")"),"['Congratulations',' Afternoon ',' Card ',' Telkomsel ',' Application ',' Telkomsel ',' Download ',' Satisfied ',' Application ',' Restless', 'Karna', 'Buy', ' package ',' data ',' run out ',' pulse ',' left ',' truncated ',' please ',' Telkomsel ',' pay "&amp;"attention ',' make ',' setting ',' mangorkan ',' pulses' , 'Package', 'Data', 'Out', 'Comfortable', 'Credit', 'left', ""]")</f>
        <v>['Congratulations',' Afternoon ',' Card ',' Telkomsel ',' Application ',' Telkomsel ',' Download ',' Satisfied ',' Application ',' Restless', 'Karna', 'Buy', ' package ',' data ',' run out ',' pulse ',' left ',' truncated ',' please ',' Telkomsel ',' pay attention ',' make ',' setting ',' mangorkan ',' pulses' , 'Package', 'Data', 'Out', 'Comfortable', 'Credit', 'left', "]</v>
      </c>
      <c r="D19247" s="3">
        <v>5.0</v>
      </c>
    </row>
    <row r="19248" ht="15.75" customHeight="1">
      <c r="A19248" s="1">
        <v>20470.0</v>
      </c>
      <c r="B19248" s="3" t="s">
        <v>18202</v>
      </c>
      <c r="C19248" s="3" t="str">
        <f>IFERROR(__xludf.DUMMYFUNCTION("GOOGLETRANSLATE(B19248,""id"",""en"")"),"['Application', 'Telkomsel', 'Updated', 'Opened', 'Assisted', 'Kah', 'PTogram', 'Beta', 'Full', 'Update', 'Application']")</f>
        <v>['Application', 'Telkomsel', 'Updated', 'Opened', 'Assisted', 'Kah', 'PTogram', 'Beta', 'Full', 'Update', 'Application']</v>
      </c>
      <c r="D19248" s="3">
        <v>2.0</v>
      </c>
    </row>
    <row r="19249" ht="15.75" customHeight="1">
      <c r="A19249" s="1">
        <v>20471.0</v>
      </c>
      <c r="B19249" s="3" t="s">
        <v>18203</v>
      </c>
      <c r="C19249" s="3" t="str">
        <f>IFERROR(__xludf.DUMMYFUNCTION("GOOGLETRANSLATE(B19249,""id"",""en"")"),"['Kasi', 'star', 'APL', 'Help', 'Download', 'right', 'fill', 'pket', 'lgi', 'open', 'screen', 'white', ' Doang ',' Auto ',' Delete ',' APL ']")</f>
        <v>['Kasi', 'star', 'APL', 'Help', 'Download', 'right', 'fill', 'pket', 'lgi', 'open', 'screen', 'white', ' Doang ',' Auto ',' Delete ',' APL ']</v>
      </c>
      <c r="D19249" s="3">
        <v>1.0</v>
      </c>
    </row>
    <row r="19250" ht="15.75" customHeight="1">
      <c r="A19250" s="1">
        <v>20473.0</v>
      </c>
      <c r="B19250" s="3" t="s">
        <v>18204</v>
      </c>
      <c r="C19250" s="3" t="str">
        <f>IFERROR(__xludf.DUMMYFUNCTION("GOOGLETRANSLATE(B19250,""id"",""en"")"),"['Paketan', 'combo', ""]")</f>
        <v>['Paketan', 'combo', "]</v>
      </c>
      <c r="D19250" s="3">
        <v>3.0</v>
      </c>
    </row>
    <row r="19251" ht="15.75" customHeight="1">
      <c r="A19251" s="1">
        <v>20474.0</v>
      </c>
      <c r="B19251" s="3" t="s">
        <v>18205</v>
      </c>
      <c r="C19251" s="3" t="str">
        <f>IFERROR(__xludf.DUMMYFUNCTION("GOOGLETRANSLATE(B19251,""id"",""en"")"),"['signal', 'Telkomsel', 'Sometimes', 'Good', 'Sometimes', 'Bad', 'Maless', '']")</f>
        <v>['signal', 'Telkomsel', 'Sometimes', 'Good', 'Sometimes', 'Bad', 'Maless', '']</v>
      </c>
      <c r="D19251" s="3">
        <v>2.0</v>
      </c>
    </row>
    <row r="19252" ht="15.75" customHeight="1">
      <c r="A19252" s="1">
        <v>20475.0</v>
      </c>
      <c r="B19252" s="3" t="s">
        <v>18206</v>
      </c>
      <c r="C19252" s="3" t="str">
        <f>IFERROR(__xludf.DUMMYFUNCTION("GOOGLETRANSLATE(B19252,""id"",""en"")"),"['makes it easier', 'tuk', 'review', 'Telkomsel', 'data', 'promo', 'bonus']")</f>
        <v>['makes it easier', 'tuk', 'review', 'Telkomsel', 'data', 'promo', 'bonus']</v>
      </c>
      <c r="D19252" s="3">
        <v>4.0</v>
      </c>
    </row>
    <row r="19253" ht="15.75" customHeight="1">
      <c r="A19253" s="1">
        <v>20476.0</v>
      </c>
      <c r="B19253" s="3" t="s">
        <v>18207</v>
      </c>
      <c r="C19253" s="3" t="str">
        <f>IFERROR(__xludf.DUMMYFUNCTION("GOOGLETRANSLATE(B19253,""id"",""en"")"),"['easy', 'hopefully', 'developed', 'application', 'Telkomsel', 'heart', 'Jaya', 'Jaya', 'easy', 'hopefully', 'purchase', 'data', ' inexpensive', '']")</f>
        <v>['easy', 'hopefully', 'developed', 'application', 'Telkomsel', 'heart', 'Jaya', 'Jaya', 'easy', 'hopefully', 'purchase', 'data', ' inexpensive', '']</v>
      </c>
      <c r="D19253" s="3">
        <v>5.0</v>
      </c>
    </row>
    <row r="19254" ht="15.75" customHeight="1">
      <c r="A19254" s="1">
        <v>20477.0</v>
      </c>
      <c r="B19254" s="3" t="s">
        <v>18208</v>
      </c>
      <c r="C19254" s="3" t="str">
        <f>IFERROR(__xludf.DUMMYFUNCTION("GOOGLETRANSLATE(B19254,""id"",""en"")"),"['reset', 'factory', 'donload', 'tlkomsel', 'open', 'please', 'suggestion', 'gyma', 'nakya']")</f>
        <v>['reset', 'factory', 'donload', 'tlkomsel', 'open', 'please', 'suggestion', 'gyma', 'nakya']</v>
      </c>
      <c r="D19254" s="3">
        <v>1.0</v>
      </c>
    </row>
    <row r="19255" ht="15.75" customHeight="1">
      <c r="A19255" s="1">
        <v>20478.0</v>
      </c>
      <c r="B19255" s="3" t="s">
        <v>18209</v>
      </c>
      <c r="C19255" s="3" t="str">
        <f>IFERROR(__xludf.DUMMYFUNCTION("GOOGLETRANSLATE(B19255,""id"",""en"")"),"['Good', 'there', 'ugly', 'buy', 'pulse', 'packagein', 'data', 'zonk', 'pulse', 'lost', 'package', 'data', ' Lost ',' Bagimana ',' Solution ',' ']")</f>
        <v>['Good', 'there', 'ugly', 'buy', 'pulse', 'packagein', 'data', 'zonk', 'pulse', 'lost', 'package', 'data', ' Lost ',' Bagimana ',' Solution ',' ']</v>
      </c>
      <c r="D19255" s="3">
        <v>2.0</v>
      </c>
    </row>
    <row r="19256" ht="15.75" customHeight="1">
      <c r="A19256" s="1">
        <v>20480.0</v>
      </c>
      <c r="B19256" s="3" t="s">
        <v>18210</v>
      </c>
      <c r="C19256" s="3" t="str">
        <f>IFERROR(__xludf.DUMMYFUNCTION("GOOGLETRANSLATE(B19256,""id"",""en"")"),"['Phone', 'card', 'Hello', 'because' ugly ',' restricted ',' pay ',' date ',' distop ',' smpe ',' date ',' paid ',' poko ',' mesnyesal ',' stop ',' active ',' nga ',' solution ']")</f>
        <v>['Phone', 'card', 'Hello', 'because' ugly ',' restricted ',' pay ',' date ',' distop ',' smpe ',' date ',' paid ',' poko ',' mesnyesal ',' stop ',' active ',' nga ',' solution ']</v>
      </c>
      <c r="D19256" s="3">
        <v>1.0</v>
      </c>
    </row>
    <row r="19257" ht="15.75" customHeight="1">
      <c r="A19257" s="1">
        <v>20481.0</v>
      </c>
      <c r="B19257" s="3" t="s">
        <v>18211</v>
      </c>
      <c r="C19257" s="3" t="str">
        <f>IFERROR(__xludf.DUMMYFUNCTION("GOOGLETRANSLATE(B19257,""id"",""en"")"),"['blank', 'the application', 'use']")</f>
        <v>['blank', 'the application', 'use']</v>
      </c>
      <c r="D19257" s="3">
        <v>3.0</v>
      </c>
    </row>
    <row r="19258" ht="15.75" customHeight="1">
      <c r="A19258" s="1">
        <v>20482.0</v>
      </c>
      <c r="B19258" s="3" t="s">
        <v>18212</v>
      </c>
      <c r="C19258" s="3" t="str">
        <f>IFERROR(__xludf.DUMMYFUNCTION("GOOGLETRANSLATE(B19258,""id"",""en"")"),"['Enhanced', 'Customer', 'Check', 'Cock', 'Combo', 'Sakti', 'Sell', 'Combo', 'Sakti', 'Telkomsel']")</f>
        <v>['Enhanced', 'Customer', 'Check', 'Cock', 'Combo', 'Sakti', 'Sell', 'Combo', 'Sakti', 'Telkomsel']</v>
      </c>
      <c r="D19258" s="3">
        <v>5.0</v>
      </c>
    </row>
    <row r="19259" ht="15.75" customHeight="1">
      <c r="A19259" s="1">
        <v>20483.0</v>
      </c>
      <c r="B19259" s="3" t="s">
        <v>18213</v>
      </c>
      <c r="C19259" s="3" t="str">
        <f>IFERROR(__xludf.DUMMYFUNCTION("GOOGLETRANSLATE(B19259,""id"",""en"")"),"['difficult', 'opened', 'gmn', 'neh', 'telkm', 'tlg', 'fix', 'quality', ""]")</f>
        <v>['difficult', 'opened', 'gmn', 'neh', 'telkm', 'tlg', 'fix', 'quality', "]</v>
      </c>
      <c r="D19259" s="3">
        <v>1.0</v>
      </c>
    </row>
    <row r="19260" ht="15.75" customHeight="1">
      <c r="A19260" s="1">
        <v>20484.0</v>
      </c>
      <c r="B19260" s="3" t="s">
        <v>18214</v>
      </c>
      <c r="C19260" s="3" t="str">
        <f>IFERROR(__xludf.DUMMYFUNCTION("GOOGLETRANSLATE(B19260,""id"",""en"")"),"['Out', 'update', 'opened', 'color', 'white', 'doank', 'version', 'failed', 'min', 'tlng', 'evaluated', 'versiny', ' ']")</f>
        <v>['Out', 'update', 'opened', 'color', 'white', 'doank', 'version', 'failed', 'min', 'tlng', 'evaluated', 'versiny', ' ']</v>
      </c>
      <c r="D19260" s="3">
        <v>2.0</v>
      </c>
    </row>
    <row r="19261" ht="15.75" customHeight="1">
      <c r="A19261" s="1">
        <v>20486.0</v>
      </c>
      <c r="B19261" s="3" t="s">
        <v>18215</v>
      </c>
      <c r="C19261" s="3" t="str">
        <f>IFERROR(__xludf.DUMMYFUNCTION("GOOGLETRANSLATE(B19261,""id"",""en"")"),"['Miyakan', 'promo', 'card', 'sympathy', '']")</f>
        <v>['Miyakan', 'promo', 'card', 'sympathy', '']</v>
      </c>
      <c r="D19261" s="3">
        <v>5.0</v>
      </c>
    </row>
    <row r="19262" ht="15.75" customHeight="1">
      <c r="A19262" s="1">
        <v>20487.0</v>
      </c>
      <c r="B19262" s="3" t="s">
        <v>18216</v>
      </c>
      <c r="C19262" s="3" t="str">
        <f>IFERROR(__xludf.DUMMYFUNCTION("GOOGLETRANSLATE(B19262,""id"",""en"")"),"['star', 'Telkom', 'area', 'jump', 'that's',' signal ',' minute ',' jump ',' minute ',' what ',' comfortable ',' Telkom ',' Signal ',' Kek ',' Gini ',' Severe ',' Severe ',' ']")</f>
        <v>['star', 'Telkom', 'area', 'jump', 'that's',' signal ',' minute ',' jump ',' minute ',' what ',' comfortable ',' Telkom ',' Signal ',' Kek ',' Gini ',' Severe ',' Severe ',' ']</v>
      </c>
      <c r="D19262" s="3">
        <v>1.0</v>
      </c>
    </row>
    <row r="19263" ht="15.75" customHeight="1">
      <c r="A19263" s="1">
        <v>20489.0</v>
      </c>
      <c r="B19263" s="3" t="s">
        <v>18217</v>
      </c>
      <c r="C19263" s="3" t="str">
        <f>IFERROR(__xludf.DUMMYFUNCTION("GOOGLETRANSLATE(B19263,""id"",""en"")"),"['network', 'Telkomsel', 'Taik', 'play', 'game', 'online', 'ping', 'taik', 'package', 'data', 'expensive', 'please', ' Fix ',' Network ',' Telkomsel ',' troubling ']")</f>
        <v>['network', 'Telkomsel', 'Taik', 'play', 'game', 'online', 'ping', 'taik', 'package', 'data', 'expensive', 'please', ' Fix ',' Network ',' Telkomsel ',' troubling ']</v>
      </c>
      <c r="D19263" s="3">
        <v>1.0</v>
      </c>
    </row>
    <row r="19264" ht="15.75" customHeight="1">
      <c r="A19264" s="1">
        <v>20490.0</v>
      </c>
      <c r="B19264" s="3" t="s">
        <v>18218</v>
      </c>
      <c r="C19264" s="3" t="str">
        <f>IFERROR(__xludf.DUMMYFUNCTION("GOOGLETRANSLATE(B19264,""id"",""en"")"),"['application', 'doang', 'update', 'signal', 'down', 'thank you', 'telkomnyet']")</f>
        <v>['application', 'doang', 'update', 'signal', 'down', 'thank you', 'telkomnyet']</v>
      </c>
      <c r="D19264" s="3">
        <v>1.0</v>
      </c>
    </row>
    <row r="19265" ht="15.75" customHeight="1">
      <c r="A19265" s="1">
        <v>20491.0</v>
      </c>
      <c r="B19265" s="3" t="s">
        <v>18219</v>
      </c>
      <c r="C19265" s="3" t="str">
        <f>IFERROR(__xludf.DUMMYFUNCTION("GOOGLETRANSLATE(B19265,""id"",""en"")"),"['bug', 'right', 'open', 'network', 'direct', 'ilang', ""]")</f>
        <v>['bug', 'right', 'open', 'network', 'direct', 'ilang', "]</v>
      </c>
      <c r="D19265" s="3">
        <v>2.0</v>
      </c>
    </row>
    <row r="19266" ht="15.75" customHeight="1">
      <c r="A19266" s="1">
        <v>20492.0</v>
      </c>
      <c r="B19266" s="3" t="s">
        <v>18220</v>
      </c>
      <c r="C19266" s="3" t="str">
        <f>IFERROR(__xludf.DUMMYFUNCTION("GOOGLETRANSLATE(B19266,""id"",""en"")"),"['Application', 'MyTelkomsel', 'Install', '']")</f>
        <v>['Application', 'MyTelkomsel', 'Install', '']</v>
      </c>
      <c r="D19266" s="3">
        <v>5.0</v>
      </c>
    </row>
    <row r="19267" ht="15.75" customHeight="1">
      <c r="A19267" s="1">
        <v>20493.0</v>
      </c>
      <c r="B19267" s="3" t="s">
        <v>18221</v>
      </c>
      <c r="C19267" s="3" t="str">
        <f>IFERROR(__xludf.DUMMYFUNCTION("GOOGLETRANSLATE(B19267,""id"",""en"")"),"['Network', 'stable', 'play', 'game', 'pepahhhhh', 'signal', 'stable']")</f>
        <v>['Network', 'stable', 'play', 'game', 'pepahhhhh', 'signal', 'stable']</v>
      </c>
      <c r="D19267" s="3">
        <v>1.0</v>
      </c>
    </row>
    <row r="19268" ht="15.75" customHeight="1">
      <c r="A19268" s="1">
        <v>20494.0</v>
      </c>
      <c r="B19268" s="3" t="s">
        <v>18222</v>
      </c>
      <c r="C19268" s="3" t="str">
        <f>IFERROR(__xludf.DUMMYFUNCTION("GOOGLETRANSLATE(B19268,""id"",""en"")"),"['Honey', 'Pay', 'Use', 'Virtual', 'Account', 'HRS', 'Pay', 'Use', 'Application', 'Muter', 'Muter', 'Rich', ' Enact ',' ']")</f>
        <v>['Honey', 'Pay', 'Use', 'Virtual', 'Account', 'HRS', 'Pay', 'Use', 'Application', 'Muter', 'Muter', 'Rich', ' Enact ',' ']</v>
      </c>
      <c r="D19268" s="3">
        <v>2.0</v>
      </c>
    </row>
    <row r="19269" ht="15.75" customHeight="1">
      <c r="A19269" s="1">
        <v>20495.0</v>
      </c>
      <c r="B19269" s="3" t="s">
        <v>4434</v>
      </c>
      <c r="C19269" s="3" t="str">
        <f>IFERROR(__xludf.DUMMYFUNCTION("GOOGLETRANSLATE(B19269,""id"",""en"")"),"['Application', 'opened', '']")</f>
        <v>['Application', 'opened', '']</v>
      </c>
      <c r="D19269" s="3">
        <v>1.0</v>
      </c>
    </row>
    <row r="19270" ht="15.75" customHeight="1">
      <c r="A19270" s="1">
        <v>20496.0</v>
      </c>
      <c r="B19270" s="3" t="s">
        <v>18223</v>
      </c>
      <c r="C19270" s="3" t="str">
        <f>IFERROR(__xludf.DUMMYFUNCTION("GOOGLETRANSLATE(B19270,""id"",""en"")"),"['Kasi', 'Star', 'APK', 'UPDATED', 'UPEDAN', 'Please', 'what', 'Updated', '']")</f>
        <v>['Kasi', 'Star', 'APK', 'UPDATED', 'UPEDAN', 'Please', 'what', 'Updated', '']</v>
      </c>
      <c r="D19270" s="3">
        <v>2.0</v>
      </c>
    </row>
    <row r="19271" ht="15.75" customHeight="1">
      <c r="A19271" s="1">
        <v>20497.0</v>
      </c>
      <c r="B19271" s="3" t="s">
        <v>18224</v>
      </c>
      <c r="C19271" s="3" t="str">
        <f>IFERROR(__xludf.DUMMYFUNCTION("GOOGLETRANSLATE(B19271,""id"",""en"")"),"['Alhamdulillah', 'APK', 'Good', 'Buy', 'Package', 'Data', 'Murmer', 'Choice', 'Accept', 'Love', 'Telkomsel']")</f>
        <v>['Alhamdulillah', 'APK', 'Good', 'Buy', 'Package', 'Data', 'Murmer', 'Choice', 'Accept', 'Love', 'Telkomsel']</v>
      </c>
      <c r="D19271" s="3">
        <v>5.0</v>
      </c>
    </row>
    <row r="19272" ht="15.75" customHeight="1">
      <c r="A19272" s="1">
        <v>20498.0</v>
      </c>
      <c r="B19272" s="3" t="s">
        <v>18225</v>
      </c>
      <c r="C19272" s="3" t="str">
        <f>IFERROR(__xludf.DUMMYFUNCTION("GOOGLETRANSLATE(B19272,""id"",""en"")"),"['Network', 'Telkomsel', 'ngeleg', 'ngeleg', 'quality', 'network', 'quota', 'spec', 'good', 'play', 'game', 'ngeleg']")</f>
        <v>['Network', 'Telkomsel', 'ngeleg', 'ngeleg', 'quality', 'network', 'quota', 'spec', 'good', 'play', 'game', 'ngeleg']</v>
      </c>
      <c r="D19272" s="3">
        <v>1.0</v>
      </c>
    </row>
    <row r="19273" ht="15.75" customHeight="1">
      <c r="A19273" s="1">
        <v>20499.0</v>
      </c>
      <c r="B19273" s="3" t="s">
        <v>18226</v>
      </c>
      <c r="C19273" s="3" t="str">
        <f>IFERROR(__xludf.DUMMYFUNCTION("GOOGLETRANSLATE(B19273,""id"",""en"")"),"['Not bad', 'cheap']")</f>
        <v>['Not bad', 'cheap']</v>
      </c>
      <c r="D19273" s="3">
        <v>3.0</v>
      </c>
    </row>
    <row r="19274" ht="15.75" customHeight="1">
      <c r="A19274" s="1">
        <v>20500.0</v>
      </c>
      <c r="B19274" s="3" t="s">
        <v>18227</v>
      </c>
      <c r="C19274" s="3" t="str">
        <f>IFERROR(__xludf.DUMMYFUNCTION("GOOGLETRANSLATE(B19274,""id"",""en"")"),"['Slalu', 'mnganggu', 'people', 'run out', 'package', 'buy', 'Dak', 'love', 'ad', ""]")</f>
        <v>['Slalu', 'mnganggu', 'people', 'run out', 'package', 'buy', 'Dak', 'love', 'ad', "]</v>
      </c>
      <c r="D19274" s="3">
        <v>3.0</v>
      </c>
    </row>
    <row r="19275" ht="15.75" customHeight="1">
      <c r="A19275" s="1">
        <v>20501.0</v>
      </c>
      <c r="B19275" s="3" t="s">
        <v>18228</v>
      </c>
      <c r="C19275" s="3" t="str">
        <f>IFERROR(__xludf.DUMMYFUNCTION("GOOGLETRANSLATE(B19275,""id"",""en"")"),"['Use', 'APK', 'Nyesekkkkk']")</f>
        <v>['Use', 'APK', 'Nyesekkkkk']</v>
      </c>
      <c r="D19275" s="3">
        <v>1.0</v>
      </c>
    </row>
    <row r="19276" ht="15.75" customHeight="1">
      <c r="A19276" s="1">
        <v>20502.0</v>
      </c>
      <c r="B19276" s="3" t="s">
        <v>18229</v>
      </c>
      <c r="C19276" s="3" t="str">
        <f>IFERROR(__xludf.DUMMYFUNCTION("GOOGLETRANSLATE(B19276,""id"",""en"")"),"['Cool', 'promo']")</f>
        <v>['Cool', 'promo']</v>
      </c>
      <c r="D19276" s="3">
        <v>5.0</v>
      </c>
    </row>
    <row r="19277" ht="15.75" customHeight="1">
      <c r="A19277" s="1">
        <v>20503.0</v>
      </c>
      <c r="B19277" s="3" t="s">
        <v>18230</v>
      </c>
      <c r="C19277" s="3" t="str">
        <f>IFERROR(__xludf.DUMMYFUNCTION("GOOGLETRANSLATE(B19277,""id"",""en"")"),"['', 'Accessible', 'Blank', 'White', 'Screen', 'then', 'Uninstall']")</f>
        <v>['', 'Accessible', 'Blank', 'White', 'Screen', 'then', 'Uninstall']</v>
      </c>
      <c r="D19277" s="3">
        <v>1.0</v>
      </c>
    </row>
    <row r="19278" ht="15.75" customHeight="1">
      <c r="A19278" s="1">
        <v>20504.0</v>
      </c>
      <c r="B19278" s="3" t="s">
        <v>18231</v>
      </c>
      <c r="C19278" s="3" t="str">
        <f>IFERROR(__xludf.DUMMYFUNCTION("GOOGLETRANSLATE(B19278,""id"",""en"")"),"['card', 'expensive', 'signal', 'rotten']")</f>
        <v>['card', 'expensive', 'signal', 'rotten']</v>
      </c>
      <c r="D19278" s="3">
        <v>1.0</v>
      </c>
    </row>
    <row r="19279" ht="15.75" customHeight="1">
      <c r="A19279" s="1">
        <v>20505.0</v>
      </c>
      <c r="B19279" s="3" t="s">
        <v>18232</v>
      </c>
      <c r="C19279" s="3" t="str">
        <f>IFERROR(__xludf.DUMMYFUNCTION("GOOGLETRANSLATE(B19279,""id"",""en"")"),"['Package', 'unlimited', 'gamemax', 'according to', 'play', 'game', 'run', 'should', 'lag', 'pay', ""]")</f>
        <v>['Package', 'unlimited', 'gamemax', 'according to', 'play', 'game', 'run', 'should', 'lag', 'pay', "]</v>
      </c>
      <c r="D19279" s="3">
        <v>1.0</v>
      </c>
    </row>
    <row r="19280" ht="15.75" customHeight="1">
      <c r="A19280" s="1">
        <v>20507.0</v>
      </c>
      <c r="B19280" s="3" t="s">
        <v>18233</v>
      </c>
      <c r="C19280" s="3" t="str">
        <f>IFERROR(__xludf.DUMMYFUNCTION("GOOGLETRANSLATE(B19280,""id"",""en"")"),"['Update', 'Heavy', 'Ancok', 'Ngasu', ""]")</f>
        <v>['Update', 'Heavy', 'Ancok', 'Ngasu', "]</v>
      </c>
      <c r="D19280" s="3">
        <v>1.0</v>
      </c>
    </row>
    <row r="19281" ht="15.75" customHeight="1">
      <c r="A19281" s="1">
        <v>20508.0</v>
      </c>
      <c r="B19281" s="3" t="s">
        <v>18234</v>
      </c>
      <c r="C19281" s="3" t="str">
        <f>IFERROR(__xludf.DUMMYFUNCTION("GOOGLETRANSLATE(B19281,""id"",""en"")"),"['Application', 'good', 'sekli']")</f>
        <v>['Application', 'good', 'sekli']</v>
      </c>
      <c r="D19281" s="3">
        <v>5.0</v>
      </c>
    </row>
    <row r="19282" ht="15.75" customHeight="1">
      <c r="A19282" s="1">
        <v>20509.0</v>
      </c>
      <c r="B19282" s="3" t="s">
        <v>18235</v>
      </c>
      <c r="C19282" s="3" t="str">
        <f>IFERROR(__xludf.DUMMYFUNCTION("GOOGLETRANSLATE(B19282,""id"",""en"")"),"['application', 'opened', 'display', 'screen', 'ngeblang', 'then', 'already', 'install', 'Install', 'reset', 'tetepnsama', 'ajah']")</f>
        <v>['application', 'opened', 'display', 'screen', 'ngeblang', 'then', 'already', 'install', 'Install', 'reset', 'tetepnsama', 'ajah']</v>
      </c>
      <c r="D19282" s="3">
        <v>2.0</v>
      </c>
    </row>
    <row r="19283" ht="15.75" customHeight="1">
      <c r="A19283" s="1">
        <v>20510.0</v>
      </c>
      <c r="B19283" s="3" t="s">
        <v>18236</v>
      </c>
      <c r="C19283" s="3" t="str">
        <f>IFERROR(__xludf.DUMMYFUNCTION("GOOGLETRANSLATE(B19283,""id"",""en"")"),"['Telkomsel', 'signal', 'lag', 'Severe', 'Pakek', 'Telkomsel', 'expensive', 'TPI', 'BURIK']")</f>
        <v>['Telkomsel', 'signal', 'lag', 'Severe', 'Pakek', 'Telkomsel', 'expensive', 'TPI', 'BURIK']</v>
      </c>
      <c r="D19283" s="3">
        <v>1.0</v>
      </c>
    </row>
    <row r="19284" ht="15.75" customHeight="1">
      <c r="A19284" s="1">
        <v>20511.0</v>
      </c>
      <c r="B19284" s="3" t="s">
        <v>18237</v>
      </c>
      <c r="C19284" s="3" t="str">
        <f>IFERROR(__xludf.DUMMYFUNCTION("GOOGLETRANSLATE(B19284,""id"",""en"")"),"['package', 'MIFI', 'omitted', 'update']")</f>
        <v>['package', 'MIFI', 'omitted', 'update']</v>
      </c>
      <c r="D19284" s="3">
        <v>1.0</v>
      </c>
    </row>
    <row r="19285" ht="15.75" customHeight="1">
      <c r="A19285" s="1">
        <v>20512.0</v>
      </c>
      <c r="B19285" s="3" t="s">
        <v>18238</v>
      </c>
      <c r="C19285" s="3" t="str">
        <f>IFERROR(__xludf.DUMMYFUNCTION("GOOGLETRANSLATE(B19285,""id"",""en"")"),"['Out', 'update', 'app', 'broken', 'screen', 'white', 'doang', 'appear']")</f>
        <v>['Out', 'update', 'app', 'broken', 'screen', 'white', 'doang', 'appear']</v>
      </c>
      <c r="D19285" s="3">
        <v>1.0</v>
      </c>
    </row>
    <row r="19286" ht="15.75" customHeight="1">
      <c r="A19286" s="1">
        <v>20513.0</v>
      </c>
      <c r="B19286" s="3" t="s">
        <v>18239</v>
      </c>
      <c r="C19286" s="3" t="str">
        <f>IFERROR(__xludf.DUMMYFUNCTION("GOOGLETRANSLATE(B19286,""id"",""en"")"),"['Application', 'Telkomsel', 'no', 'open', ""]")</f>
        <v>['Application', 'Telkomsel', 'no', 'open', "]</v>
      </c>
      <c r="D19286" s="3">
        <v>1.0</v>
      </c>
    </row>
    <row r="19287" ht="15.75" customHeight="1">
      <c r="A19287" s="1">
        <v>20515.0</v>
      </c>
      <c r="B19287" s="3" t="s">
        <v>18240</v>
      </c>
      <c r="C19287" s="3" t="str">
        <f>IFERROR(__xludf.DUMMYFUNCTION("GOOGLETRANSLATE(B19287,""id"",""en"")"),"['network', 'network', 'smooth', 'right', 'try', 'yutube', 'base', 'telkomsel', 'kagak', 'apk', 'kayak', '']")</f>
        <v>['network', 'network', 'smooth', 'right', 'try', 'yutube', 'base', 'telkomsel', 'kagak', 'apk', 'kayak', '']</v>
      </c>
      <c r="D19287" s="3">
        <v>1.0</v>
      </c>
    </row>
    <row r="19288" ht="15.75" customHeight="1">
      <c r="A19288" s="1">
        <v>20517.0</v>
      </c>
      <c r="B19288" s="3" t="s">
        <v>18241</v>
      </c>
      <c r="C19288" s="3" t="str">
        <f>IFERROR(__xludf.DUMMYFUNCTION("GOOGLETRANSLATE(B19288,""id"",""en"")"),"['Package', 'Sakti']")</f>
        <v>['Package', 'Sakti']</v>
      </c>
      <c r="D19288" s="3">
        <v>5.0</v>
      </c>
    </row>
    <row r="19289" ht="15.75" customHeight="1">
      <c r="A19289" s="1">
        <v>20518.0</v>
      </c>
      <c r="B19289" s="3" t="s">
        <v>18242</v>
      </c>
      <c r="C19289" s="3" t="str">
        <f>IFERROR(__xludf.DUMMYFUNCTION("GOOGLETRANSLATE(B19289,""id"",""en"")"),"['Application', 'Useful', 'Update', 'Update', 'Opened', 'SumpaH', 'OUT', 'Update', 'Content', 'Package', 'Internet', 'Already', ' Fill ',' plsa ',' ']")</f>
        <v>['Application', 'Useful', 'Update', 'Update', 'Opened', 'SumpaH', 'OUT', 'Update', 'Content', 'Package', 'Internet', 'Already', ' Fill ',' plsa ',' ']</v>
      </c>
      <c r="D19289" s="3">
        <v>1.0</v>
      </c>
    </row>
    <row r="19290" ht="15.75" customHeight="1">
      <c r="A19290" s="1">
        <v>20519.0</v>
      </c>
      <c r="B19290" s="3" t="s">
        <v>18243</v>
      </c>
      <c r="C19290" s="3" t="str">
        <f>IFERROR(__xludf.DUMMYFUNCTION("GOOGLETRANSLATE(B19290,""id"",""en"")"),"['Disappointed', 'APK', 'Error', 'Network', 'Dragus', 'Region', '']")</f>
        <v>['Disappointed', 'APK', 'Error', 'Network', 'Dragus', 'Region', '']</v>
      </c>
      <c r="D19290" s="3">
        <v>2.0</v>
      </c>
    </row>
    <row r="19291" ht="15.75" customHeight="1">
      <c r="A19291" s="1">
        <v>20520.0</v>
      </c>
      <c r="B19291" s="3" t="s">
        <v>18244</v>
      </c>
      <c r="C19291" s="3" t="str">
        <f>IFERROR(__xludf.DUMMYFUNCTION("GOOGLETRANSLATE(B19291,""id"",""en"")"),"['Gas', 'thin', 'bran']")</f>
        <v>['Gas', 'thin', 'bran']</v>
      </c>
      <c r="D19291" s="3">
        <v>5.0</v>
      </c>
    </row>
    <row r="19292" ht="15.75" customHeight="1">
      <c r="A19292" s="1">
        <v>20521.0</v>
      </c>
      <c r="B19292" s="3" t="s">
        <v>18245</v>
      </c>
      <c r="C19292" s="3" t="str">
        <f>IFERROR(__xludf.DUMMYFUNCTION("GOOGLETRANSLATE(B19292,""id"",""en"")"),"['Cool', 'staple', '']")</f>
        <v>['Cool', 'staple', '']</v>
      </c>
      <c r="D19292" s="3">
        <v>5.0</v>
      </c>
    </row>
    <row r="19293" ht="15.75" customHeight="1">
      <c r="A19293" s="1">
        <v>20522.0</v>
      </c>
      <c r="B19293" s="3" t="s">
        <v>18246</v>
      </c>
      <c r="C19293" s="3" t="str">
        <f>IFERROR(__xludf.DUMMYFUNCTION("GOOGLETRANSLATE(B19293,""id"",""en"")"),"['Telkomsel', 'steady', 'sinynya', 'nyelusup', 'cheating', 'island', 'Java', 'success', 'Telkomsel', ""]")</f>
        <v>['Telkomsel', 'steady', 'sinynya', 'nyelusup', 'cheating', 'island', 'Java', 'success', 'Telkomsel', "]</v>
      </c>
      <c r="D19293" s="3">
        <v>5.0</v>
      </c>
    </row>
    <row r="19294" ht="15.75" customHeight="1">
      <c r="A19294" s="1">
        <v>20523.0</v>
      </c>
      <c r="B19294" s="3" t="s">
        <v>18247</v>
      </c>
      <c r="C19294" s="3" t="str">
        <f>IFERROR(__xludf.DUMMYFUNCTION("GOOGLETRANSLATE(B19294,""id"",""en"")"),"['Application', 'opened', 'White', 'Screen', 'Doank']")</f>
        <v>['Application', 'opened', 'White', 'Screen', 'Doank']</v>
      </c>
      <c r="D19294" s="3">
        <v>1.0</v>
      </c>
    </row>
    <row r="19295" ht="15.75" customHeight="1">
      <c r="A19295" s="1">
        <v>20524.0</v>
      </c>
      <c r="B19295" s="3" t="s">
        <v>18248</v>
      </c>
      <c r="C19295" s="3" t="str">
        <f>IFERROR(__xludf.DUMMYFUNCTION("GOOGLETRANSLATE(B19295,""id"",""en"")"),"['Network', 'Kayak', 'Content']")</f>
        <v>['Network', 'Kayak', 'Content']</v>
      </c>
      <c r="D19295" s="3">
        <v>1.0</v>
      </c>
    </row>
    <row r="19296" ht="15.75" customHeight="1">
      <c r="A19296" s="1">
        <v>20525.0</v>
      </c>
      <c r="B19296" s="3" t="s">
        <v>18249</v>
      </c>
      <c r="C19296" s="3" t="str">
        <f>IFERROR(__xludf.DUMMYFUNCTION("GOOGLETRANSLATE(B19296,""id"",""en"")"),"['buy', 'package', 'unlimited', 'GB', 'HR', 'run out', 'his time', 'date', 'quota', 'multimedia', 'GB', 'already', ' lemoooooottttt ',' ajaaaa ',' times', 'disappointed', 'weve', 'joke', 'GB', 'right', 'his time', 'already', 'out', 'quota', 'times' , 'quo"&amp;"ta', 'GB', 'She', 'leftover', 'GB', 'Network', 'already', 'kacauu', 'quota', 'GB', 'slow', 'gini', ' ']")</f>
        <v>['buy', 'package', 'unlimited', 'GB', 'HR', 'run out', 'his time', 'date', 'quota', 'multimedia', 'GB', 'already', ' lemoooooottttt ',' ajaaaa ',' times', 'disappointed', 'weve', 'joke', 'GB', 'right', 'his time', 'already', 'out', 'quota', 'times' , 'quota', 'GB', 'She', 'leftover', 'GB', 'Network', 'already', 'kacauu', 'quota', 'GB', 'slow', 'gini', ' ']</v>
      </c>
      <c r="D19296" s="3">
        <v>1.0</v>
      </c>
    </row>
    <row r="19297" ht="15.75" customHeight="1">
      <c r="A19297" s="1">
        <v>20526.0</v>
      </c>
      <c r="B19297" s="3" t="s">
        <v>18250</v>
      </c>
      <c r="C19297" s="3" t="str">
        <f>IFERROR(__xludf.DUMMYFUNCTION("GOOGLETRANSLATE(B19297,""id"",""en"")"),"['please', 'love', 'package', 'internet', 'get', 'number', 'matur', 'nuhun', '']")</f>
        <v>['please', 'love', 'package', 'internet', 'get', 'number', 'matur', 'nuhun', '']</v>
      </c>
      <c r="D19297" s="3">
        <v>5.0</v>
      </c>
    </row>
    <row r="19298" ht="15.75" customHeight="1">
      <c r="A19298" s="1">
        <v>20527.0</v>
      </c>
      <c r="B19298" s="3" t="s">
        <v>18251</v>
      </c>
      <c r="C19298" s="3" t="str">
        <f>IFERROR(__xludf.DUMMYFUNCTION("GOOGLETRANSLATE(B19298,""id"",""en"")"),"['Signyle', 'weak', 'Dida', 'Gadingrejo', 'City', 'Pasuruan']")</f>
        <v>['Signyle', 'weak', 'Dida', 'Gadingrejo', 'City', 'Pasuruan']</v>
      </c>
      <c r="D19298" s="3">
        <v>1.0</v>
      </c>
    </row>
    <row r="19299" ht="15.75" customHeight="1">
      <c r="A19299" s="1">
        <v>20528.0</v>
      </c>
      <c r="B19299" s="3" t="s">
        <v>18252</v>
      </c>
      <c r="C19299" s="3" t="str">
        <f>IFERROR(__xludf.DUMMYFUNCTION("GOOGLETRANSLATE(B19299,""id"",""en"")"),"['original', 'offer', 'rich', 'buy', 'voucher', 'counter', 'kaga', 'fortunately']")</f>
        <v>['original', 'offer', 'rich', 'buy', 'voucher', 'counter', 'kaga', 'fortunately']</v>
      </c>
      <c r="D19299" s="3">
        <v>2.0</v>
      </c>
    </row>
    <row r="19300" ht="15.75" customHeight="1">
      <c r="A19300" s="1">
        <v>20529.0</v>
      </c>
      <c r="B19300" s="3" t="s">
        <v>18253</v>
      </c>
      <c r="C19300" s="3" t="str">
        <f>IFERROR(__xludf.DUMMYFUNCTION("GOOGLETRANSLATE(B19300,""id"",""en"")"),"['Please', 'Increase', 'Application', 'The Network', 'Disruption', 'Sekang', 'Lemot', ""]")</f>
        <v>['Please', 'Increase', 'Application', 'The Network', 'Disruption', 'Sekang', 'Lemot', "]</v>
      </c>
      <c r="D19300" s="3">
        <v>2.0</v>
      </c>
    </row>
    <row r="19301" ht="15.75" customHeight="1">
      <c r="A19301" s="1">
        <v>20530.0</v>
      </c>
      <c r="B19301" s="3" t="s">
        <v>18254</v>
      </c>
      <c r="C19301" s="3" t="str">
        <f>IFERROR(__xludf.DUMMYFUNCTION("GOOGLETRANSLATE(B19301,""id"",""en"")"),"['Telkomsel', 'Network', 'ugly', 'pdhal', 'dkt', 'asramahaji', 'airport', 'please', 'fix', 'vacation', 'buy', 'packetan', ' Expensive ',' signal ',' Zong ', ""]")</f>
        <v>['Telkomsel', 'Network', 'ugly', 'pdhal', 'dkt', 'asramahaji', 'airport', 'please', 'fix', 'vacation', 'buy', 'packetan', ' Expensive ',' signal ',' Zong ', "]</v>
      </c>
      <c r="D19301" s="3">
        <v>3.0</v>
      </c>
    </row>
    <row r="19302" ht="15.75" customHeight="1">
      <c r="A19302" s="1">
        <v>20531.0</v>
      </c>
      <c r="B19302" s="3" t="s">
        <v>18255</v>
      </c>
      <c r="C19302" s="3" t="str">
        <f>IFERROR(__xludf.DUMMYFUNCTION("GOOGLETRANSLATE(B19302,""id"",""en"")"),"['Update', 'Udeh', 'Install', 'Download', 'Update', 'finished', 'Update', 'Stuck', 'Pekah', 'Developernye']")</f>
        <v>['Update', 'Udeh', 'Install', 'Download', 'Update', 'finished', 'Update', 'Stuck', 'Pekah', 'Developernye']</v>
      </c>
      <c r="D19302" s="3">
        <v>1.0</v>
      </c>
    </row>
    <row r="19303" ht="15.75" customHeight="1">
      <c r="A19303" s="1">
        <v>20532.0</v>
      </c>
      <c r="B19303" s="3" t="s">
        <v>18256</v>
      </c>
      <c r="C19303" s="3" t="str">
        <f>IFERROR(__xludf.DUMMYFUNCTION("GOOGLETRANSLATE(B19303,""id"",""en"")"),"['Telkomsel', 'operator', 'well-known', 'network', 'Severe', 'Please', 'fix', 'network', 'buy', 'package', 'expensive', 'network', ' in accordance']")</f>
        <v>['Telkomsel', 'operator', 'well-known', 'network', 'Severe', 'Please', 'fix', 'network', 'buy', 'package', 'expensive', 'network', ' in accordance']</v>
      </c>
      <c r="D19303" s="3">
        <v>1.0</v>
      </c>
    </row>
    <row r="19304" ht="15.75" customHeight="1">
      <c r="A19304" s="1">
        <v>20533.0</v>
      </c>
      <c r="B19304" s="3" t="s">
        <v>18257</v>
      </c>
      <c r="C19304" s="3" t="str">
        <f>IFERROR(__xludf.DUMMYFUNCTION("GOOGLETRANSLATE(B19304,""id"",""en"")"),"['digin', 'page', 'blank', 'loading', '']")</f>
        <v>['digin', 'page', 'blank', 'loading', '']</v>
      </c>
      <c r="D19304" s="3">
        <v>3.0</v>
      </c>
    </row>
    <row r="19305" ht="15.75" customHeight="1">
      <c r="A19305" s="1">
        <v>20534.0</v>
      </c>
      <c r="B19305" s="3" t="s">
        <v>18258</v>
      </c>
      <c r="C19305" s="3" t="str">
        <f>IFERROR(__xludf.DUMMYFUNCTION("GOOGLETRANSLATE(B19305,""id"",""en"")"),"['Please', 'admin', 'no', 'enter', 'the application']")</f>
        <v>['Please', 'admin', 'no', 'enter', 'the application']</v>
      </c>
      <c r="D19305" s="3">
        <v>5.0</v>
      </c>
    </row>
    <row r="19306" ht="15.75" customHeight="1">
      <c r="A19306" s="1">
        <v>20535.0</v>
      </c>
      <c r="B19306" s="3" t="s">
        <v>18259</v>
      </c>
      <c r="C19306" s="3" t="str">
        <f>IFERROR(__xludf.DUMMYFUNCTION("GOOGLETRANSLATE(B19306,""id"",""en"")"),"['application', 'ugly', 'open', '']")</f>
        <v>['application', 'ugly', 'open', '']</v>
      </c>
      <c r="D19306" s="3">
        <v>1.0</v>
      </c>
    </row>
    <row r="19307" ht="15.75" customHeight="1">
      <c r="A19307" s="1">
        <v>20538.0</v>
      </c>
      <c r="B19307" s="3" t="s">
        <v>18260</v>
      </c>
      <c r="C19307" s="3" t="str">
        <f>IFERROR(__xludf.DUMMYFUNCTION("GOOGLETRANSLATE(B19307,""id"",""en"")"),"['for me', 'Pay']")</f>
        <v>['for me', 'Pay']</v>
      </c>
      <c r="D19307" s="3">
        <v>3.0</v>
      </c>
    </row>
    <row r="19308" ht="15.75" customHeight="1">
      <c r="A19308" s="1">
        <v>20540.0</v>
      </c>
      <c r="B19308" s="3" t="s">
        <v>18261</v>
      </c>
      <c r="C19308" s="3" t="str">
        <f>IFERROR(__xludf.DUMMYFUNCTION("GOOGLETRANSLATE(B19308,""id"",""en"")"),"['Download', 'enter', 'application']")</f>
        <v>['Download', 'enter', 'application']</v>
      </c>
      <c r="D19308" s="3">
        <v>1.0</v>
      </c>
    </row>
    <row r="19309" ht="15.75" customHeight="1">
      <c r="A19309" s="1">
        <v>20541.0</v>
      </c>
      <c r="B19309" s="3" t="s">
        <v>18262</v>
      </c>
      <c r="C19309" s="3" t="str">
        <f>IFERROR(__xludf.DUMMYFUNCTION("GOOGLETRANSLATE(B19309,""id"",""en"")"),"['fast', 'efficient']")</f>
        <v>['fast', 'efficient']</v>
      </c>
      <c r="D19309" s="3">
        <v>5.0</v>
      </c>
    </row>
    <row r="19310" ht="15.75" customHeight="1">
      <c r="A19310" s="1">
        <v>20542.0</v>
      </c>
      <c r="B19310" s="3" t="s">
        <v>18263</v>
      </c>
      <c r="C19310" s="3" t="str">
        <f>IFERROR(__xludf.DUMMYFUNCTION("GOOGLETRANSLATE(B19310,""id"",""en"")"),"['already', 'access', 'wonder', '']")</f>
        <v>['already', 'access', 'wonder', '']</v>
      </c>
      <c r="D19310" s="3">
        <v>2.0</v>
      </c>
    </row>
    <row r="19311" ht="15.75" customHeight="1">
      <c r="A19311" s="1">
        <v>20543.0</v>
      </c>
      <c r="B19311" s="3" t="s">
        <v>18264</v>
      </c>
      <c r="C19311" s="3" t="str">
        <f>IFERROR(__xludf.DUMMYFUNCTION("GOOGLETRANSLATE(B19311,""id"",""en"")"),"['Delicious', 'ganguan']")</f>
        <v>['Delicious', 'ganguan']</v>
      </c>
      <c r="D19311" s="3">
        <v>1.0</v>
      </c>
    </row>
    <row r="19312" ht="15.75" customHeight="1">
      <c r="A19312" s="1">
        <v>20544.0</v>
      </c>
      <c r="B19312" s="3" t="s">
        <v>18265</v>
      </c>
      <c r="C19312" s="3" t="str">
        <f>IFERROR(__xludf.DUMMYFUNCTION("GOOGLETRANSLATE(B19312,""id"",""en"")"),"['Patent', 'Times', 'Telkomsel', 'Nii', ""]")</f>
        <v>['Patent', 'Times', 'Telkomsel', 'Nii', "]</v>
      </c>
      <c r="D19312" s="3">
        <v>5.0</v>
      </c>
    </row>
    <row r="19313" ht="15.75" customHeight="1">
      <c r="A19313" s="1">
        <v>20545.0</v>
      </c>
      <c r="B19313" s="3" t="s">
        <v>18266</v>
      </c>
      <c r="C19313" s="3" t="str">
        <f>IFERROR(__xludf.DUMMYFUNCTION("GOOGLETRANSLATE(B19313,""id"",""en"")"),"['Satisfied', 'Helpful']")</f>
        <v>['Satisfied', 'Helpful']</v>
      </c>
      <c r="D19313" s="3">
        <v>5.0</v>
      </c>
    </row>
    <row r="19314" ht="15.75" customHeight="1">
      <c r="A19314" s="1">
        <v>20546.0</v>
      </c>
      <c r="B19314" s="3" t="s">
        <v>18267</v>
      </c>
      <c r="C19314" s="3" t="str">
        <f>IFERROR(__xludf.DUMMYFUNCTION("GOOGLETRANSLATE(B19314,""id"",""en"")"),"['price', 'package', 'internet', 'expensive', 'vendor', 'network', 'sometimes',' likes', 'error', 'customer', 'loyal', 'Telkomsel', ' Top ',' ']")</f>
        <v>['price', 'package', 'internet', 'expensive', 'vendor', 'network', 'sometimes',' likes', 'error', 'customer', 'loyal', 'Telkomsel', ' Top ',' ']</v>
      </c>
      <c r="D19314" s="3">
        <v>4.0</v>
      </c>
    </row>
    <row r="19315" ht="15.75" customHeight="1">
      <c r="A19315" s="1">
        <v>20547.0</v>
      </c>
      <c r="B19315" s="3" t="s">
        <v>18268</v>
      </c>
      <c r="C19315" s="3" t="str">
        <f>IFERROR(__xludf.DUMMYFUNCTION("GOOGLETRANSLATE(B19315,""id"",""en"")"),"['Telkomsel', 'okay', 'fooling', 'selling', 'quote']")</f>
        <v>['Telkomsel', 'okay', 'fooling', 'selling', 'quote']</v>
      </c>
      <c r="D19315" s="3">
        <v>5.0</v>
      </c>
    </row>
    <row r="19316" ht="15.75" customHeight="1">
      <c r="A19316" s="1">
        <v>20548.0</v>
      </c>
      <c r="B19316" s="3" t="s">
        <v>18269</v>
      </c>
      <c r="C19316" s="3" t="str">
        <f>IFERROR(__xludf.DUMMYFUNCTION("GOOGLETRANSLATE(B19316,""id"",""en"")"),"['Facilitates', 'Tranksaksi', 'Thank you', 'Telkomsel', ""]")</f>
        <v>['Facilitates', 'Tranksaksi', 'Thank you', 'Telkomsel', "]</v>
      </c>
      <c r="D19316" s="3">
        <v>5.0</v>
      </c>
    </row>
    <row r="19317" ht="15.75" customHeight="1">
      <c r="A19317" s="1">
        <v>20549.0</v>
      </c>
      <c r="B19317" s="3" t="s">
        <v>18270</v>
      </c>
      <c r="C19317" s="3" t="str">
        <f>IFERROR(__xludf.DUMMYFUNCTION("GOOGLETRANSLATE(B19317,""id"",""en"")"),"['pulse', 'sumps', 'package', 'times', 'experience', 'loss', 'gini', ""]")</f>
        <v>['pulse', 'sumps', 'package', 'times', 'experience', 'loss', 'gini', "]</v>
      </c>
      <c r="D19317" s="3">
        <v>1.0</v>
      </c>
    </row>
    <row r="19318" ht="15.75" customHeight="1">
      <c r="A19318" s="1">
        <v>20550.0</v>
      </c>
      <c r="B19318" s="3" t="s">
        <v>18271</v>
      </c>
      <c r="C19318" s="3" t="str">
        <f>IFERROR(__xludf.DUMMYFUNCTION("GOOGLETRANSLATE(B19318,""id"",""en"")"),"['buy', 'quota', 'GB', 'difficult', 'bngt', 'package', 'gamukun', 'enter', 'pulse', 'finished', 'suction', 'severe', ' Telkomsel ']")</f>
        <v>['buy', 'quota', 'GB', 'difficult', 'bngt', 'package', 'gamukun', 'enter', 'pulse', 'finished', 'suction', 'severe', ' Telkomsel ']</v>
      </c>
      <c r="D19318" s="3">
        <v>1.0</v>
      </c>
    </row>
    <row r="19319" ht="15.75" customHeight="1">
      <c r="A19319" s="1">
        <v>20552.0</v>
      </c>
      <c r="B19319" s="3" t="s">
        <v>18272</v>
      </c>
      <c r="C19319" s="3" t="str">
        <f>IFERROR(__xludf.DUMMYFUNCTION("GOOGLETRANSLATE(B19319,""id"",""en"")"),"['Network', 'Network', 'Troubled', 'Ngegame', 'Santing', 'Karna', 'Emotion', 'Network', 'Telkomsel']")</f>
        <v>['Network', 'Network', 'Troubled', 'Ngegame', 'Santing', 'Karna', 'Emotion', 'Network', 'Telkomsel']</v>
      </c>
      <c r="D19319" s="3">
        <v>1.0</v>
      </c>
    </row>
    <row r="19320" ht="15.75" customHeight="1">
      <c r="A19320" s="1">
        <v>20553.0</v>
      </c>
      <c r="B19320" s="3" t="s">
        <v>18273</v>
      </c>
      <c r="C19320" s="3" t="str">
        <f>IFERROR(__xludf.DUMMYFUNCTION("GOOGLETRANSLATE(B19320,""id"",""en"")"),"['Increases',' Signal ',' Region ',' Karna ',' Stable ',' Current ',' Signal ',' Please ',' Response ',' Addition ',' Tower ',' BTS ',' Try ',' Address', 'Stone', 'King', 'Kec', 'Cliff', 'Kab', 'Lawang', 'Prov', 'Sum', 'Seli', 'Thank you', ""]")</f>
        <v>['Increases',' Signal ',' Region ',' Karna ',' Stable ',' Current ',' Signal ',' Please ',' Response ',' Addition ',' Tower ',' BTS ',' Try ',' Address', 'Stone', 'King', 'Kec', 'Cliff', 'Kab', 'Lawang', 'Prov', 'Sum', 'Seli', 'Thank you', "]</v>
      </c>
      <c r="D19320" s="3">
        <v>4.0</v>
      </c>
    </row>
    <row r="19321" ht="15.75" customHeight="1">
      <c r="A19321" s="1">
        <v>20554.0</v>
      </c>
      <c r="B19321" s="3" t="s">
        <v>18274</v>
      </c>
      <c r="C19321" s="3" t="str">
        <f>IFERROR(__xludf.DUMMYFUNCTION("GOOGLETRANSLATE(B19321,""id"",""en"")"),"['', 'content', 'pulse', 'sumps', 'mulu', 'love', 'star', 'disappointed', 'Telkomsel']")</f>
        <v>['', 'content', 'pulse', 'sumps', 'mulu', 'love', 'star', 'disappointed', 'Telkomsel']</v>
      </c>
      <c r="D19321" s="3">
        <v>1.0</v>
      </c>
    </row>
    <row r="19322" ht="15.75" customHeight="1">
      <c r="A19322" s="1">
        <v>20555.0</v>
      </c>
      <c r="B19322" s="3" t="s">
        <v>18275</v>
      </c>
      <c r="C19322" s="3" t="str">
        <f>IFERROR(__xludf.DUMMYFUNCTION("GOOGLETRANSLATE(B19322,""id"",""en"")"),"['strange', 'SLAMA', 'PKAI', 'Telkimsel', 'GPP', 'buy', 'quota', 'contents',' can ',' all ',' chat ',' Veronic ',' Boot ',' can ',' smkin ',' smkin ',' ugly ',' sihh ']")</f>
        <v>['strange', 'SLAMA', 'PKAI', 'Telkimsel', 'GPP', 'buy', 'quota', 'contents',' can ',' all ',' chat ',' Veronic ',' Boot ',' can ',' smkin ',' smkin ',' ugly ',' sihh ']</v>
      </c>
      <c r="D19322" s="3">
        <v>1.0</v>
      </c>
    </row>
    <row r="19323" ht="15.75" customHeight="1">
      <c r="A19323" s="1">
        <v>20556.0</v>
      </c>
      <c r="B19323" s="3" t="s">
        <v>18276</v>
      </c>
      <c r="C19323" s="3" t="str">
        <f>IFERROR(__xludf.DUMMYFUNCTION("GOOGLETRANSLATE(B19323,""id"",""en"")"),"['Slow', 'please', 'Customized']")</f>
        <v>['Slow', 'please', 'Customized']</v>
      </c>
      <c r="D19323" s="3">
        <v>4.0</v>
      </c>
    </row>
    <row r="19324" ht="15.75" customHeight="1">
      <c r="A19324" s="1">
        <v>20557.0</v>
      </c>
      <c r="B19324" s="3" t="s">
        <v>18277</v>
      </c>
      <c r="C19324" s="3" t="str">
        <f>IFERROR(__xludf.DUMMYFUNCTION("GOOGLETRANSLATE(B19324,""id"",""en"")"),"['operator', 'robbed', 'package', 'data', 'buy', 'package', 'sosmed', 'pulse', 'tetep', 'brushed', 'run out']")</f>
        <v>['operator', 'robbed', 'package', 'data', 'buy', 'package', 'sosmed', 'pulse', 'tetep', 'brushed', 'run out']</v>
      </c>
      <c r="D19324" s="3">
        <v>1.0</v>
      </c>
    </row>
    <row r="19325" ht="15.75" customHeight="1">
      <c r="A19325" s="1">
        <v>20559.0</v>
      </c>
      <c r="B19325" s="3" t="s">
        <v>18278</v>
      </c>
      <c r="C19325" s="3" t="str">
        <f>IFERROR(__xludf.DUMMYFUNCTION("GOOGLETRANSLATE(B19325,""id"",""en"")"),"['Severe', 'really', 'tsel', 'no' slow ',' sinya ',' fox ',' right ',' disappointing ']")</f>
        <v>['Severe', 'really', 'tsel', 'no' slow ',' sinya ',' fox ',' right ',' disappointing ']</v>
      </c>
      <c r="D19325" s="3">
        <v>1.0</v>
      </c>
    </row>
    <row r="19326" ht="15.75" customHeight="1">
      <c r="A19326" s="1">
        <v>20560.0</v>
      </c>
      <c r="B19326" s="3" t="s">
        <v>18279</v>
      </c>
      <c r="C19326" s="3" t="str">
        <f>IFERROR(__xludf.DUMMYFUNCTION("GOOGLETRANSLATE(B19326,""id"",""en"")"),"['please', 'network', 'telkom', 'fix', 'ganguan', 'difficult']")</f>
        <v>['please', 'network', 'telkom', 'fix', 'ganguan', 'difficult']</v>
      </c>
      <c r="D19326" s="3">
        <v>1.0</v>
      </c>
    </row>
    <row r="19327" ht="15.75" customHeight="1">
      <c r="A19327" s="1">
        <v>20561.0</v>
      </c>
      <c r="B19327" s="3" t="s">
        <v>18280</v>
      </c>
      <c r="C19327" s="3" t="str">
        <f>IFERROR(__xludf.DUMMYFUNCTION("GOOGLETRANSLATE(B19327,""id"",""en"")"),"['Hopefully', 'Gift', 'Car', 'Lottery', 'Prize', 'Reedem', 'Points',' Car ',' Telkomsel ',' Aamiin ',' Allah ',' Rabb ',' ']")</f>
        <v>['Hopefully', 'Gift', 'Car', 'Lottery', 'Prize', 'Reedem', 'Points',' Car ',' Telkomsel ',' Aamiin ',' Allah ',' Rabb ',' ']</v>
      </c>
      <c r="D19327" s="3">
        <v>5.0</v>
      </c>
    </row>
    <row r="19328" ht="15.75" customHeight="1">
      <c r="A19328" s="1">
        <v>20562.0</v>
      </c>
      <c r="B19328" s="3" t="s">
        <v>18281</v>
      </c>
      <c r="C19328" s="3" t="str">
        <f>IFERROR(__xludf.DUMMYFUNCTION("GOOGLETRANSLATE(B19328,""id"",""en"")"),"['Help', 'Kerenn', ""]")</f>
        <v>['Help', 'Kerenn', "]</v>
      </c>
      <c r="D19328" s="3">
        <v>5.0</v>
      </c>
    </row>
    <row r="19329" ht="15.75" customHeight="1">
      <c r="A19329" s="1">
        <v>20564.0</v>
      </c>
      <c r="B19329" s="3" t="s">
        <v>18282</v>
      </c>
      <c r="C19329" s="3" t="str">
        <f>IFERROR(__xludf.DUMMYFUNCTION("GOOGLETRANSLATE(B19329,""id"",""en"")"),"['Telkomsel', 'please', 'already', 'expensive', 'signal', 'kek', 'chapter', '']")</f>
        <v>['Telkomsel', 'please', 'already', 'expensive', 'signal', 'kek', 'chapter', '']</v>
      </c>
      <c r="D19329" s="3">
        <v>1.0</v>
      </c>
    </row>
    <row r="19330" ht="15.75" customHeight="1">
      <c r="A19330" s="1">
        <v>20565.0</v>
      </c>
      <c r="B19330" s="3" t="s">
        <v>18283</v>
      </c>
      <c r="C19330" s="3" t="str">
        <f>IFERROR(__xludf.DUMMYFUNCTION("GOOGLETRANSLATE(B19330,""id"",""en"")"),"['opened', 'min', '']")</f>
        <v>['opened', 'min', '']</v>
      </c>
      <c r="D19330" s="3">
        <v>5.0</v>
      </c>
    </row>
    <row r="19331" ht="15.75" customHeight="1">
      <c r="A19331" s="1">
        <v>20566.0</v>
      </c>
      <c r="B19331" s="3" t="s">
        <v>18284</v>
      </c>
      <c r="C19331" s="3" t="str">
        <f>IFERROR(__xludf.DUMMYFUNCTION("GOOGLETRANSLATE(B19331,""id"",""en"")"),"['contents',' reset ',' pulse ',' use ',' link ',' choice ',' then ',' payment ',' use ',' shoppi ',' pay ',' already ',' really disappointed']")</f>
        <v>['contents',' reset ',' pulse ',' use ',' link ',' choice ',' then ',' payment ',' use ',' shoppi ',' pay ',' already ',' really disappointed']</v>
      </c>
      <c r="D19331" s="3">
        <v>3.0</v>
      </c>
    </row>
    <row r="19332" ht="15.75" customHeight="1">
      <c r="A19332" s="1">
        <v>20567.0</v>
      </c>
      <c r="B19332" s="3" t="s">
        <v>18285</v>
      </c>
      <c r="C19332" s="3" t="str">
        <f>IFERROR(__xludf.DUMMYFUNCTION("GOOGLETRANSLATE(B19332,""id"",""en"")"),"['jdi', 'bsa', 'open', 'application']")</f>
        <v>['jdi', 'bsa', 'open', 'application']</v>
      </c>
      <c r="D19332" s="3">
        <v>5.0</v>
      </c>
    </row>
    <row r="19333" ht="15.75" customHeight="1">
      <c r="A19333" s="1">
        <v>20568.0</v>
      </c>
      <c r="B19333" s="3" t="s">
        <v>18286</v>
      </c>
      <c r="C19333" s="3" t="str">
        <f>IFERROR(__xludf.DUMMYFUNCTION("GOOGLETRANSLATE(B19333,""id"",""en"")"),"['update', 'version', 'newest', 'poor', 'application', 'open', '']")</f>
        <v>['update', 'version', 'newest', 'poor', 'application', 'open', '']</v>
      </c>
      <c r="D19333" s="3">
        <v>1.0</v>
      </c>
    </row>
    <row r="19334" ht="15.75" customHeight="1">
      <c r="A19334" s="1">
        <v>20569.0</v>
      </c>
      <c r="B19334" s="3" t="s">
        <v>18287</v>
      </c>
      <c r="C19334" s="3" t="str">
        <f>IFERROR(__xludf.DUMMYFUNCTION("GOOGLETRANSLATE(B19334,""id"",""en"")"),"['Comfortable', 'Wear', 'MyTelkomsel', 'Package', 'Combo', 'Max', 'Shop', 'Plusin', 'Variatiah']")</f>
        <v>['Comfortable', 'Wear', 'MyTelkomsel', 'Package', 'Combo', 'Max', 'Shop', 'Plusin', 'Variatiah']</v>
      </c>
      <c r="D19334" s="3">
        <v>5.0</v>
      </c>
    </row>
    <row r="19335" ht="15.75" customHeight="1">
      <c r="A19335" s="1">
        <v>20570.0</v>
      </c>
      <c r="B19335" s="3" t="s">
        <v>18288</v>
      </c>
      <c r="C19335" s="3" t="str">
        <f>IFERROR(__xludf.DUMMYFUNCTION("GOOGLETRANSLATE(B19335,""id"",""en"")"),"['Hoe', 'signal', 'jdi', 'play', 'game']")</f>
        <v>['Hoe', 'signal', 'jdi', 'play', 'game']</v>
      </c>
      <c r="D19335" s="3">
        <v>2.0</v>
      </c>
    </row>
    <row r="19336" ht="15.75" customHeight="1">
      <c r="A19336" s="1">
        <v>20571.0</v>
      </c>
      <c r="B19336" s="3" t="s">
        <v>18289</v>
      </c>
      <c r="C19336" s="3" t="str">
        <f>IFERROR(__xludf.DUMMYFUNCTION("GOOGLETRANSLATE(B19336,""id"",""en"")"),"['Forced', 'Star', 'Reduce', 'Open', 'Application', 'Telkomsel', 'Loading', 'Slow', 'Telkomsel', 'Network', ""]")</f>
        <v>['Forced', 'Star', 'Reduce', 'Open', 'Application', 'Telkomsel', 'Loading', 'Slow', 'Telkomsel', 'Network', "]</v>
      </c>
      <c r="D19336" s="3">
        <v>3.0</v>
      </c>
    </row>
    <row r="19337" ht="15.75" customHeight="1">
      <c r="A19337" s="1">
        <v>20572.0</v>
      </c>
      <c r="B19337" s="3" t="s">
        <v>18290</v>
      </c>
      <c r="C19337" s="3" t="str">
        <f>IFERROR(__xludf.DUMMYFUNCTION("GOOGLETRANSLATE(B19337,""id"",""en"")"),"['Ngblank', 'open', 'troublesome', 'need', 'Shars', 'skali', 'pdahal', 'palman']")</f>
        <v>['Ngblank', 'open', 'troublesome', 'need', 'Shars', 'skali', 'pdahal', 'palman']</v>
      </c>
      <c r="D19337" s="3">
        <v>1.0</v>
      </c>
    </row>
    <row r="19338" ht="15.75" customHeight="1">
      <c r="A19338" s="1">
        <v>20573.0</v>
      </c>
      <c r="B19338" s="3" t="s">
        <v>18291</v>
      </c>
      <c r="C19338" s="3" t="str">
        <f>IFERROR(__xludf.DUMMYFUNCTION("GOOGLETRANSLATE(B19338,""id"",""en"")"),"['Good', 'already', 'update', 'okay', 'kayak', 'said', 'comment', 'white', 'screen', 'gabisa', 'entered', 'repeated', ' Alhamdulillah ',' that's', 'already', 'update', '']")</f>
        <v>['Good', 'already', 'update', 'okay', 'kayak', 'said', 'comment', 'white', 'screen', 'gabisa', 'entered', 'repeated', ' Alhamdulillah ',' that's', 'already', 'update', '']</v>
      </c>
      <c r="D19338" s="3">
        <v>4.0</v>
      </c>
    </row>
    <row r="19339" ht="15.75" customHeight="1">
      <c r="A19339" s="1">
        <v>20574.0</v>
      </c>
      <c r="B19339" s="3" t="s">
        <v>18292</v>
      </c>
      <c r="C19339" s="3" t="str">
        <f>IFERROR(__xludf.DUMMYFUNCTION("GOOGLETRANSLATE(B19339,""id"",""en"")"),"['Ngblank', 'White', 'TRZ', 'Ngak', 'Open', ""]")</f>
        <v>['Ngblank', 'White', 'TRZ', 'Ngak', 'Open', "]</v>
      </c>
      <c r="D19339" s="3">
        <v>1.0</v>
      </c>
    </row>
    <row r="19340" ht="15.75" customHeight="1">
      <c r="A19340" s="1">
        <v>20575.0</v>
      </c>
      <c r="B19340" s="3" t="s">
        <v>18293</v>
      </c>
      <c r="C19340" s="3" t="str">
        <f>IFERROR(__xludf.DUMMYFUNCTION("GOOGLETRANSLATE(B19340,""id"",""en"")"),"['Disappointed', 'Ama', 'Telkomsel', 'quota', 'gamemax', 'play', 'pubmobile', '']")</f>
        <v>['Disappointed', 'Ama', 'Telkomsel', 'quota', 'gamemax', 'play', 'pubmobile', '']</v>
      </c>
      <c r="D19340" s="3">
        <v>1.0</v>
      </c>
    </row>
    <row r="19341" ht="15.75" customHeight="1">
      <c r="A19341" s="1">
        <v>20576.0</v>
      </c>
      <c r="B19341" s="3" t="s">
        <v>18294</v>
      </c>
      <c r="C19341" s="3" t="str">
        <f>IFERROR(__xludf.DUMMYFUNCTION("GOOGLETRANSLATE(B19341,""id"",""en"")"),"['Application', 'Install', 'UDH', 'Install', 'Application', 'Ter', 'Uninstall', 'Try', 'Install', 'reset']")</f>
        <v>['Application', 'Install', 'UDH', 'Install', 'Application', 'Ter', 'Uninstall', 'Try', 'Install', 'reset']</v>
      </c>
      <c r="D19341" s="3">
        <v>2.0</v>
      </c>
    </row>
    <row r="19342" ht="15.75" customHeight="1">
      <c r="A19342" s="1">
        <v>20577.0</v>
      </c>
      <c r="B19342" s="3" t="s">
        <v>18295</v>
      </c>
      <c r="C19342" s="3" t="str">
        <f>IFERROR(__xludf.DUMMYFUNCTION("GOOGLETRANSLATE(B19342,""id"",""en"")"),"['Thank God', 'It's', 'Easy', 'Error', 'Easy', 'Buy', 'Package', 'Shoppe', 'Cashback', 'MKCH', 'Telkomsel']")</f>
        <v>['Thank God', 'It's', 'Easy', 'Error', 'Easy', 'Buy', 'Package', 'Shoppe', 'Cashback', 'MKCH', 'Telkomsel']</v>
      </c>
      <c r="D19342" s="3">
        <v>5.0</v>
      </c>
    </row>
    <row r="19343" ht="15.75" customHeight="1">
      <c r="A19343" s="1">
        <v>20578.0</v>
      </c>
      <c r="B19343" s="3" t="s">
        <v>18296</v>
      </c>
      <c r="C19343" s="3" t="str">
        <f>IFERROR(__xludf.DUMMYFUNCTION("GOOGLETRANSLATE(B19343,""id"",""en"")"),"['Telkomsel', 'funny', 'users',' Telkomsel ',' bid ',' interesting ',' Telkomsel ',' package ',' internet ',' cheap ',' Meriahh ',' dummers', ' "", 'users', 'interesting', 'interesting', 'Telkomsel', 'Gaessssss', 'sory', 'love', 'star', 'customers', 'heav"&amp;"y', 'disappointed']")</f>
        <v>['Telkomsel', 'funny', 'users',' Telkomsel ',' bid ',' interesting ',' Telkomsel ',' package ',' internet ',' cheap ',' Meriahh ',' dummers', ' ", 'users', 'interesting', 'interesting', 'Telkomsel', 'Gaessssss', 'sory', 'love', 'star', 'customers', 'heavy', 'disappointed']</v>
      </c>
      <c r="D19343" s="3">
        <v>1.0</v>
      </c>
    </row>
    <row r="19344" ht="15.75" customHeight="1">
      <c r="A19344" s="1">
        <v>20580.0</v>
      </c>
      <c r="B19344" s="3" t="s">
        <v>18297</v>
      </c>
      <c r="C19344" s="3" t="str">
        <f>IFERROR(__xludf.DUMMYFUNCTION("GOOGLETRANSLATE(B19344,""id"",""en"")"),"['Update', 'Update', 'Application', 'Opened', '']")</f>
        <v>['Update', 'Update', 'Application', 'Opened', '']</v>
      </c>
      <c r="D19344" s="3">
        <v>1.0</v>
      </c>
    </row>
    <row r="19345" ht="15.75" customHeight="1">
      <c r="A19345" s="1">
        <v>20581.0</v>
      </c>
      <c r="B19345" s="3" t="s">
        <v>18298</v>
      </c>
      <c r="C19345" s="3" t="str">
        <f>IFERROR(__xludf.DUMMYFUNCTION("GOOGLETRANSLATE(B19345,""id"",""en"")"),"['depends', 'signal', 'package', 'lucky', 'dapp', 'bonus', 'Telkomsel']")</f>
        <v>['depends', 'signal', 'package', 'lucky', 'dapp', 'bonus', 'Telkomsel']</v>
      </c>
      <c r="D19345" s="3">
        <v>4.0</v>
      </c>
    </row>
    <row r="19346" ht="15.75" customHeight="1">
      <c r="A19346" s="1">
        <v>20582.0</v>
      </c>
      <c r="B19346" s="3" t="s">
        <v>18299</v>
      </c>
      <c r="C19346" s="3" t="str">
        <f>IFERROR(__xludf.DUMMYFUNCTION("GOOGLETRANSLATE(B19346,""id"",""en"")"),"['Application', 'open', 'tlg', ""]")</f>
        <v>['Application', 'open', 'tlg', "]</v>
      </c>
      <c r="D19346" s="3">
        <v>3.0</v>
      </c>
    </row>
    <row r="19347" ht="15.75" customHeight="1">
      <c r="A19347" s="1">
        <v>20583.0</v>
      </c>
      <c r="B19347" s="3" t="s">
        <v>2381</v>
      </c>
      <c r="C19347" s="3" t="str">
        <f>IFERROR(__xludf.DUMMYFUNCTION("GOOGLETRANSLATE(B19347,""id"",""en"")"),"['application', 'ugly']")</f>
        <v>['application', 'ugly']</v>
      </c>
      <c r="D19347" s="3">
        <v>5.0</v>
      </c>
    </row>
    <row r="19348" ht="15.75" customHeight="1">
      <c r="A19348" s="1">
        <v>20584.0</v>
      </c>
      <c r="B19348" s="3" t="s">
        <v>18300</v>
      </c>
      <c r="C19348" s="3" t="str">
        <f>IFERROR(__xludf.DUMMYFUNCTION("GOOGLETRANSLATE(B19348,""id"",""en"")"),"['application', 'good', 'Telkomsel', 'kah', 'balance', 'funds', '']")</f>
        <v>['application', 'good', 'Telkomsel', 'kah', 'balance', 'funds', '']</v>
      </c>
      <c r="D19348" s="3">
        <v>5.0</v>
      </c>
    </row>
    <row r="19349" ht="15.75" customHeight="1">
      <c r="A19349" s="1">
        <v>20585.0</v>
      </c>
      <c r="B19349" s="3" t="s">
        <v>18301</v>
      </c>
      <c r="C19349" s="3" t="str">
        <f>IFERROR(__xludf.DUMMYFUNCTION("GOOGLETRANSLATE(B19349,""id"",""en"")"),"['', 'Cheap', 'Price', 'Package', 'Data', 'Telkomsel', 'User', 'Betah', 'Card', 'Telkomsel']")</f>
        <v>['', 'Cheap', 'Price', 'Package', 'Data', 'Telkomsel', 'User', 'Betah', 'Card', 'Telkomsel']</v>
      </c>
      <c r="D19349" s="3">
        <v>1.0</v>
      </c>
    </row>
    <row r="19350" ht="15.75" customHeight="1">
      <c r="A19350" s="1">
        <v>20586.0</v>
      </c>
      <c r="B19350" s="3" t="s">
        <v>18302</v>
      </c>
      <c r="C19350" s="3" t="str">
        <f>IFERROR(__xludf.DUMMYFUNCTION("GOOGLETRANSLATE(B19350,""id"",""en"")"),"['ask', 'GB', 'trs',' use ',' run out ',' right ',' check ',' apk ',' telkom ',' leftover ',' GB ',' where ',' MB ',' Missing ',' Bug ',' How ',' That's', 'Credit', 'Out', 'Gara', 'Gara', 'APK', 'Quota', 'Quota', 'How' , '']")</f>
        <v>['ask', 'GB', 'trs',' use ',' run out ',' right ',' check ',' apk ',' telkom ',' leftover ',' GB ',' where ',' MB ',' Missing ',' Bug ',' How ',' That's', 'Credit', 'Out', 'Gara', 'Gara', 'APK', 'Quota', 'Quota', 'How' , '']</v>
      </c>
      <c r="D19350" s="3">
        <v>1.0</v>
      </c>
    </row>
    <row r="19351" ht="15.75" customHeight="1">
      <c r="A19351" s="1">
        <v>20587.0</v>
      </c>
      <c r="B19351" s="3" t="s">
        <v>18303</v>
      </c>
      <c r="C19351" s="3" t="str">
        <f>IFERROR(__xludf.DUMMYFUNCTION("GOOGLETRANSLATE(B19351,""id"",""en"")"),"['Gabisa', 'weak']")</f>
        <v>['Gabisa', 'weak']</v>
      </c>
      <c r="D19351" s="3">
        <v>1.0</v>
      </c>
    </row>
    <row r="19352" ht="15.75" customHeight="1">
      <c r="A19352" s="1">
        <v>20588.0</v>
      </c>
      <c r="B19352" s="3" t="s">
        <v>18304</v>
      </c>
      <c r="C19352" s="3" t="str">
        <f>IFERROR(__xludf.DUMMYFUNCTION("GOOGLETRANSLATE(B19352,""id"",""en"")"),"['Thank you', 'Telkom', 'cell']")</f>
        <v>['Thank you', 'Telkom', 'cell']</v>
      </c>
      <c r="D19352" s="3">
        <v>5.0</v>
      </c>
    </row>
    <row r="19353" ht="15.75" customHeight="1">
      <c r="A19353" s="1">
        <v>20589.0</v>
      </c>
      <c r="B19353" s="3" t="s">
        <v>18305</v>
      </c>
      <c r="C19353" s="3" t="str">
        <f>IFERROR(__xludf.DUMMYFUNCTION("GOOGLETRANSLATE(B19353,""id"",""en"")"),"['Credit', 'Out', 'Different', 'Operator', 'System', 'Integrated', 'Semborah', 'Sucking', 'Credit']")</f>
        <v>['Credit', 'Out', 'Different', 'Operator', 'System', 'Integrated', 'Semborah', 'Sucking', 'Credit']</v>
      </c>
      <c r="D19353" s="3">
        <v>1.0</v>
      </c>
    </row>
    <row r="19354" ht="15.75" customHeight="1">
      <c r="A19354" s="1">
        <v>20590.0</v>
      </c>
      <c r="B19354" s="3" t="s">
        <v>18306</v>
      </c>
      <c r="C19354" s="3" t="str">
        <f>IFERROR(__xludf.DUMMYFUNCTION("GOOGLETRANSLATE(B19354,""id"",""en"")"),"['', 'Tower', 'Network', 'Full', 'Speed', 'Kasi', 'Limit', 'Operator', 'Ngeselin', 'Really', 'Please', 'Kasi', 'Peringan ',' Download ',' MB ',' Hour ',' PDHAL ',' Tower ']")</f>
        <v>['', 'Tower', 'Network', 'Full', 'Speed', 'Kasi', 'Limit', 'Operator', 'Ngeselin', 'Really', 'Please', 'Kasi', 'Peringan ',' Download ',' MB ',' Hour ',' PDHAL ',' Tower ']</v>
      </c>
      <c r="D19354" s="3">
        <v>2.0</v>
      </c>
    </row>
    <row r="19355" ht="15.75" customHeight="1">
      <c r="A19355" s="1">
        <v>20591.0</v>
      </c>
      <c r="B19355" s="3" t="s">
        <v>18307</v>
      </c>
      <c r="C19355" s="3" t="str">
        <f>IFERROR(__xludf.DUMMYFUNCTION("GOOGLETRANSLATE(B19355,""id"",""en"")"),"['Mantapp', 'Good', 'APK']")</f>
        <v>['Mantapp', 'Good', 'APK']</v>
      </c>
      <c r="D19355" s="3">
        <v>5.0</v>
      </c>
    </row>
    <row r="19356" ht="15.75" customHeight="1">
      <c r="A19356" s="1">
        <v>20592.0</v>
      </c>
      <c r="B19356" s="3" t="s">
        <v>18308</v>
      </c>
      <c r="C19356" s="3" t="str">
        <f>IFERROR(__xludf.DUMMYFUNCTION("GOOGLETRANSLATE(B19356,""id"",""en"")"),"['Good', 'good', 'peli', 'package', 'pulse', 'interested', 'network', 'active']")</f>
        <v>['Good', 'good', 'peli', 'package', 'pulse', 'interested', 'network', 'active']</v>
      </c>
      <c r="D19356" s="3">
        <v>3.0</v>
      </c>
    </row>
    <row r="19357" ht="15.75" customHeight="1">
      <c r="A19357" s="1">
        <v>20593.0</v>
      </c>
      <c r="B19357" s="3" t="s">
        <v>18309</v>
      </c>
      <c r="C19357" s="3" t="str">
        <f>IFERROR(__xludf.DUMMYFUNCTION("GOOGLETRANSLATE(B19357,""id"",""en"")"),"['buy', 'quota', 'leftover', 'quota', 'GB', 'scorched', 'run out', 'date', 'week', 'buy', 'money', 'unlimited', ' Max ',' unlimited ',' buy ',' Points', 'failed', 'Send', 'proof', 'send', 'picture', 'please', 'Telkomsel', 'your subscription', 'right' , 'A"&amp;"ndroid', 'Disappointed', 'Please', 'Fix']")</f>
        <v>['buy', 'quota', 'leftover', 'quota', 'GB', 'scorched', 'run out', 'date', 'week', 'buy', 'money', 'unlimited', ' Max ',' unlimited ',' buy ',' Points', 'failed', 'Send', 'proof', 'send', 'picture', 'please', 'Telkomsel', 'your subscription', 'right' , 'Android', 'Disappointed', 'Please', 'Fix']</v>
      </c>
      <c r="D19357" s="3">
        <v>1.0</v>
      </c>
    </row>
    <row r="19358" ht="15.75" customHeight="1">
      <c r="A19358" s="1">
        <v>20595.0</v>
      </c>
      <c r="B19358" s="3" t="s">
        <v>18310</v>
      </c>
      <c r="C19358" s="3" t="str">
        <f>IFERROR(__xludf.DUMMYFUNCTION("GOOGLETRANSLATE(B19358,""id"",""en"")"),"['MyTelkomsel', 'Promo', 'Combo', 'Sakti']")</f>
        <v>['MyTelkomsel', 'Promo', 'Combo', 'Sakti']</v>
      </c>
      <c r="D19358" s="3">
        <v>4.0</v>
      </c>
    </row>
    <row r="19359" ht="15.75" customHeight="1">
      <c r="A19359" s="1">
        <v>20596.0</v>
      </c>
      <c r="B19359" s="3" t="s">
        <v>18311</v>
      </c>
      <c r="C19359" s="3" t="str">
        <f>IFERROR(__xludf.DUMMYFUNCTION("GOOGLETRANSLATE(B19359,""id"",""en"")"),"['', 'Dipake', 'ngblank', 'trusss', 'ugly', 'bgtttt']")</f>
        <v>['', 'Dipake', 'ngblank', 'trusss', 'ugly', 'bgtttt']</v>
      </c>
      <c r="D19359" s="3">
        <v>1.0</v>
      </c>
    </row>
    <row r="19360" ht="15.75" customHeight="1">
      <c r="A19360" s="1">
        <v>20597.0</v>
      </c>
      <c r="B19360" s="3" t="s">
        <v>18312</v>
      </c>
      <c r="C19360" s="3" t="str">
        <f>IFERROR(__xludf.DUMMYFUNCTION("GOOGLETRANSLATE(B19360,""id"",""en"")"),"['The application', 'no', 'likes', 'GMNA', 'Please', 'explanation', 'GMNA', 'go', 'trmakasih']")</f>
        <v>['The application', 'no', 'likes', 'GMNA', 'Please', 'explanation', 'GMNA', 'go', 'trmakasih']</v>
      </c>
      <c r="D19360" s="3">
        <v>4.0</v>
      </c>
    </row>
    <row r="19361" ht="15.75" customHeight="1">
      <c r="A19361" s="1">
        <v>20598.0</v>
      </c>
      <c r="B19361" s="3" t="s">
        <v>18313</v>
      </c>
      <c r="C19361" s="3" t="str">
        <f>IFERROR(__xludf.DUMMYFUNCTION("GOOGLETRANSLATE(B19361,""id"",""en"")"),"['easy', 'safe', 'in', 'transaction', 'thank', 'love', 'Telkomsel']")</f>
        <v>['easy', 'safe', 'in', 'transaction', 'thank', 'love', 'Telkomsel']</v>
      </c>
      <c r="D19361" s="3">
        <v>5.0</v>
      </c>
    </row>
    <row r="19362" ht="15.75" customHeight="1">
      <c r="A19362" s="1">
        <v>20599.0</v>
      </c>
      <c r="B19362" s="3" t="s">
        <v>18314</v>
      </c>
      <c r="C19362" s="3" t="str">
        <f>IFERROR(__xludf.DUMMYFUNCTION("GOOGLETRANSLATE(B19362,""id"",""en"")"),"['Please', 'Package', 'Internet', 'Mail', 'Cheap', 'Lebing', 'Update', 'Spends', 'Quota', 'Internet']")</f>
        <v>['Please', 'Package', 'Internet', 'Mail', 'Cheap', 'Lebing', 'Update', 'Spends', 'Quota', 'Internet']</v>
      </c>
      <c r="D19362" s="3">
        <v>2.0</v>
      </c>
    </row>
    <row r="19363" ht="15.75" customHeight="1">
      <c r="A19363" s="1">
        <v>20600.0</v>
      </c>
      <c r="B19363" s="3" t="s">
        <v>18315</v>
      </c>
      <c r="C19363" s="3" t="str">
        <f>IFERROR(__xludf.DUMMYFUNCTION("GOOGLETRANSLATE(B19363,""id"",""en"")"),"['buy', 'package', 'unlimited', 'youtube', 'kouta', 'main', 'reduced']")</f>
        <v>['buy', 'package', 'unlimited', 'youtube', 'kouta', 'main', 'reduced']</v>
      </c>
      <c r="D19363" s="3">
        <v>1.0</v>
      </c>
    </row>
    <row r="19364" ht="15.75" customHeight="1">
      <c r="A19364" s="1">
        <v>20601.0</v>
      </c>
      <c r="B19364" s="3" t="s">
        <v>18316</v>
      </c>
      <c r="C19364" s="3" t="str">
        <f>IFERROR(__xludf.DUMMYFUNCTION("GOOGLETRANSLATE(B19364,""id"",""en"")"),"['for', 'Develover', 'Please', 'Hold', 'Package', 'Game', 'Max']")</f>
        <v>['for', 'Develover', 'Please', 'Hold', 'Package', 'Game', 'Max']</v>
      </c>
      <c r="D19364" s="3">
        <v>5.0</v>
      </c>
    </row>
    <row r="19365" ht="15.75" customHeight="1">
      <c r="A19365" s="1">
        <v>20602.0</v>
      </c>
      <c r="B19365" s="3" t="s">
        <v>18317</v>
      </c>
      <c r="C19365" s="3" t="str">
        <f>IFERROR(__xludf.DUMMYFUNCTION("GOOGLETRANSLATE(B19365,""id"",""en"")"),"['Telkomsel', 'best', 'skrg', 'slow']")</f>
        <v>['Telkomsel', 'best', 'skrg', 'slow']</v>
      </c>
      <c r="D19365" s="3">
        <v>3.0</v>
      </c>
    </row>
    <row r="19366" ht="15.75" customHeight="1">
      <c r="A19366" s="1">
        <v>20603.0</v>
      </c>
      <c r="B19366" s="3" t="s">
        <v>18318</v>
      </c>
      <c r="C19366" s="3" t="str">
        <f>IFERROR(__xludf.DUMMYFUNCTION("GOOGLETRANSLATE(B19366,""id"",""en"")"),"['price', 'quota', 'raised', 'just', 'MLS', 'Pakek', 'Telkom']")</f>
        <v>['price', 'quota', 'raised', 'just', 'MLS', 'Pakek', 'Telkom']</v>
      </c>
      <c r="D19366" s="3">
        <v>1.0</v>
      </c>
    </row>
    <row r="19367" ht="15.75" customHeight="1">
      <c r="A19367" s="1">
        <v>20604.0</v>
      </c>
      <c r="B19367" s="3" t="s">
        <v>18319</v>
      </c>
      <c r="C19367" s="3" t="str">
        <f>IFERROR(__xludf.DUMMYFUNCTION("GOOGLETRANSLATE(B19367,""id"",""en"")"),"['application', 'useful', 'spend', 'quota', 'open', 'screen', 'white', 'appear']")</f>
        <v>['application', 'useful', 'spend', 'quota', 'open', 'screen', 'white', 'appear']</v>
      </c>
      <c r="D19367" s="3">
        <v>1.0</v>
      </c>
    </row>
    <row r="19368" ht="15.75" customHeight="1">
      <c r="A19368" s="1">
        <v>20605.0</v>
      </c>
      <c r="B19368" s="3" t="s">
        <v>18320</v>
      </c>
      <c r="C19368" s="3" t="str">
        <f>IFERROR(__xludf.DUMMYFUNCTION("GOOGLETRANSLATE(B19368,""id"",""en"")"),"['Telkomsel', 'like', 'recycling', 'reset', 'number', 'card', 'already', 'dead', 'active', 'what,' sometimes ',' contact ',' Already ',' Different ',' People ',' Reply ',' Whatsaap ',' Severe ',' Udh ',' Number ',' Telkomsel ',' Danger ',' Very ']")</f>
        <v>['Telkomsel', 'like', 'recycling', 'reset', 'number', 'card', 'already', 'dead', 'active', 'what,' sometimes ',' contact ',' Already ',' Different ',' People ',' Reply ',' Whatsaap ',' Severe ',' Udh ',' Number ',' Telkomsel ',' Danger ',' Very ']</v>
      </c>
      <c r="D19368" s="3">
        <v>2.0</v>
      </c>
    </row>
    <row r="19369" ht="15.75" customHeight="1">
      <c r="A19369" s="1">
        <v>20606.0</v>
      </c>
      <c r="B19369" s="3" t="s">
        <v>18321</v>
      </c>
      <c r="C19369" s="3" t="str">
        <f>IFERROR(__xludf.DUMMYFUNCTION("GOOGLETRANSLATE(B19369,""id"",""en"")"),"['hope', 'package', 'cheap', '']")</f>
        <v>['hope', 'package', 'cheap', '']</v>
      </c>
      <c r="D19369" s="3">
        <v>5.0</v>
      </c>
    </row>
    <row r="19370" ht="15.75" customHeight="1">
      <c r="A19370" s="1">
        <v>20607.0</v>
      </c>
      <c r="B19370" s="3" t="s">
        <v>18322</v>
      </c>
      <c r="C19370" s="3" t="str">
        <f>IFERROR(__xludf.DUMMYFUNCTION("GOOGLETRANSLATE(B19370,""id"",""en"")"),"['signal', 'skrg', 'severe']")</f>
        <v>['signal', 'skrg', 'severe']</v>
      </c>
      <c r="D19370" s="3">
        <v>1.0</v>
      </c>
    </row>
    <row r="19371" ht="15.75" customHeight="1">
      <c r="A19371" s="1">
        <v>20608.0</v>
      </c>
      <c r="B19371" s="3" t="s">
        <v>18323</v>
      </c>
      <c r="C19371" s="3" t="str">
        <f>IFERROR(__xludf.DUMMYFUNCTION("GOOGLETRANSLATE(B19371,""id"",""en"")"),"['updated', 'severe']")</f>
        <v>['updated', 'severe']</v>
      </c>
      <c r="D19371" s="3">
        <v>1.0</v>
      </c>
    </row>
    <row r="19372" ht="15.75" customHeight="1">
      <c r="A19372" s="1">
        <v>20609.0</v>
      </c>
      <c r="B19372" s="3" t="s">
        <v>18324</v>
      </c>
      <c r="C19372" s="3" t="str">
        <f>IFERROR(__xludf.DUMMYFUNCTION("GOOGLETRANSLATE(B19372,""id"",""en"")"),"['price', 'package', 'expensive', 'gini', 'mending', 'buy', ""]")</f>
        <v>['price', 'package', 'expensive', 'gini', 'mending', 'buy', "]</v>
      </c>
      <c r="D19372" s="3">
        <v>3.0</v>
      </c>
    </row>
    <row r="19373" ht="15.75" customHeight="1">
      <c r="A19373" s="1">
        <v>20610.0</v>
      </c>
      <c r="B19373" s="3" t="s">
        <v>18325</v>
      </c>
      <c r="C19373" s="3" t="str">
        <f>IFERROR(__xludf.DUMMYFUNCTION("GOOGLETRANSLATE(B19373,""id"",""en"")"),"['Update', 'Display', 'APK', 'Blank', 'White', 'Display', 'Please', 'Fix', 'Thanks']")</f>
        <v>['Update', 'Display', 'APK', 'Blank', 'White', 'Display', 'Please', 'Fix', 'Thanks']</v>
      </c>
      <c r="D19373" s="3">
        <v>1.0</v>
      </c>
    </row>
    <row r="19374" ht="15.75" customHeight="1">
      <c r="A19374" s="1">
        <v>20611.0</v>
      </c>
      <c r="B19374" s="3" t="s">
        <v>18326</v>
      </c>
      <c r="C19374" s="3" t="str">
        <f>IFERROR(__xludf.DUMMYFUNCTION("GOOGLETRANSLATE(B19374,""id"",""en"")"),"['Please', 'signal', 'fix', 'buy', 'package', 'expensive', 'expensive', 'signal', 'difficult', 'please', 'fix', 'all', ' Thank you ',' hopefully ',' fast ',' fix ',' ']")</f>
        <v>['Please', 'signal', 'fix', 'buy', 'package', 'expensive', 'expensive', 'signal', 'difficult', 'please', 'fix', 'all', ' Thank you ',' hopefully ',' fast ',' fix ',' ']</v>
      </c>
      <c r="D19374" s="3">
        <v>1.0</v>
      </c>
    </row>
    <row r="19375" ht="15.75" customHeight="1">
      <c r="A19375" s="1">
        <v>20612.0</v>
      </c>
      <c r="B19375" s="3" t="s">
        <v>3307</v>
      </c>
      <c r="C19375" s="3" t="str">
        <f>IFERROR(__xludf.DUMMYFUNCTION("GOOGLETRANSLATE(B19375,""id"",""en"")"),"['Application', 'Useful']")</f>
        <v>['Application', 'Useful']</v>
      </c>
      <c r="D19375" s="3">
        <v>1.0</v>
      </c>
    </row>
    <row r="19376" ht="15.75" customHeight="1">
      <c r="A19376" s="1">
        <v>20613.0</v>
      </c>
      <c r="B19376" s="3" t="s">
        <v>18327</v>
      </c>
      <c r="C19376" s="3" t="str">
        <f>IFERROR(__xludf.DUMMYFUNCTION("GOOGLETRANSLATE(B19376,""id"",""en"")"),"['Accessible', 'already', 'Harini', 'Season', 'Jhon']")</f>
        <v>['Accessible', 'already', 'Harini', 'Season', 'Jhon']</v>
      </c>
      <c r="D19376" s="3">
        <v>3.0</v>
      </c>
    </row>
    <row r="19377" ht="15.75" customHeight="1">
      <c r="A19377" s="1">
        <v>20615.0</v>
      </c>
      <c r="B19377" s="3" t="s">
        <v>18328</v>
      </c>
      <c r="C19377" s="3" t="str">
        <f>IFERROR(__xludf.DUMMYFUNCTION("GOOGLETRANSLATE(B19377,""id"",""en"")"),"['application', 'blank', 'color', 'white']")</f>
        <v>['application', 'blank', 'color', 'white']</v>
      </c>
      <c r="D19377" s="3">
        <v>1.0</v>
      </c>
    </row>
    <row r="19378" ht="15.75" customHeight="1">
      <c r="A19378" s="1">
        <v>20616.0</v>
      </c>
      <c r="B19378" s="3" t="s">
        <v>18329</v>
      </c>
      <c r="C19378" s="3" t="str">
        <f>IFERROR(__xludf.DUMMYFUNCTION("GOOGLETRANSLATE(B19378,""id"",""en"")"),"['blank', 'white', 'QPlication', 'NGASAL', 'Test']")</f>
        <v>['blank', 'white', 'QPlication', 'NGASAL', 'Test']</v>
      </c>
      <c r="D19378" s="3">
        <v>1.0</v>
      </c>
    </row>
    <row r="19379" ht="15.75" customHeight="1">
      <c r="A19379" s="1">
        <v>20617.0</v>
      </c>
      <c r="B19379" s="3" t="s">
        <v>18330</v>
      </c>
      <c r="C19379" s="3" t="str">
        <f>IFERROR(__xludf.DUMMYFUNCTION("GOOGLETRANSLATE(B19379,""id"",""en"")"),"['Raying', 'Application', 'Update', 'Update', 'Open', '']")</f>
        <v>['Raying', 'Application', 'Update', 'Update', 'Open', '']</v>
      </c>
      <c r="D19379" s="3">
        <v>1.0</v>
      </c>
    </row>
    <row r="19380" ht="15.75" customHeight="1">
      <c r="A19380" s="1">
        <v>20618.0</v>
      </c>
      <c r="B19380" s="3" t="s">
        <v>18331</v>
      </c>
      <c r="C19380" s="3" t="str">
        <f>IFERROR(__xludf.DUMMYFUNCTION("GOOGLETRANSLATE(B19380,""id"",""en"")"),"['Signal', 'BURIK', 'Price', 'Official']")</f>
        <v>['Signal', 'BURIK', 'Price', 'Official']</v>
      </c>
      <c r="D19380" s="3">
        <v>1.0</v>
      </c>
    </row>
    <row r="19381" ht="15.75" customHeight="1">
      <c r="A19381" s="1">
        <v>20619.0</v>
      </c>
      <c r="B19381" s="3" t="s">
        <v>18332</v>
      </c>
      <c r="C19381" s="3" t="str">
        <f>IFERROR(__xludf.DUMMYFUNCTION("GOOGLETRANSLATE(B19381,""id"",""en"")"),"['check', 'pulse', 'ngblank', 'screen', 'devloeper', '']")</f>
        <v>['check', 'pulse', 'ngblank', 'screen', 'devloeper', '']</v>
      </c>
      <c r="D19381" s="3">
        <v>1.0</v>
      </c>
    </row>
    <row r="19382" ht="15.75" customHeight="1">
      <c r="A19382" s="1">
        <v>20620.0</v>
      </c>
      <c r="B19382" s="3" t="s">
        <v>18333</v>
      </c>
      <c r="C19382" s="3" t="str">
        <f>IFERROR(__xludf.DUMMYFUNCTION("GOOGLETRANSLATE(B19382,""id"",""en"")"),"['Disappointed', 'package', 'expensive', 'payment', '']")</f>
        <v>['Disappointed', 'package', 'expensive', 'payment', '']</v>
      </c>
      <c r="D19382" s="3">
        <v>1.0</v>
      </c>
    </row>
    <row r="19383" ht="15.75" customHeight="1">
      <c r="A19383" s="1">
        <v>20621.0</v>
      </c>
      <c r="B19383" s="3" t="s">
        <v>18334</v>
      </c>
      <c r="C19383" s="3" t="str">
        <f>IFERROR(__xludf.DUMMYFUNCTION("GOOGLETRANSLATE(B19383,""id"",""en"")"),"['Package', 'MyTelkomsel', 'expensive', '']")</f>
        <v>['Package', 'MyTelkomsel', 'expensive', '']</v>
      </c>
      <c r="D19383" s="3">
        <v>2.0</v>
      </c>
    </row>
    <row r="19384" ht="15.75" customHeight="1">
      <c r="A19384" s="1">
        <v>20622.0</v>
      </c>
      <c r="B19384" s="3" t="s">
        <v>18335</v>
      </c>
      <c r="C19384" s="3" t="str">
        <f>IFERROR(__xludf.DUMMYFUNCTION("GOOGLETRANSLATE(B19384,""id"",""en"")"),"['Network', 'Telkomsel', 'Bad', 'Setabil', 'Main', 'Game', 'Online', 'Auto', 'Severe', 'Please', 'Repair', 'Network', ' Telkomsel ',' Strengthen ',' Indonesia ']")</f>
        <v>['Network', 'Telkomsel', 'Bad', 'Setabil', 'Main', 'Game', 'Online', 'Auto', 'Severe', 'Please', 'Repair', 'Network', ' Telkomsel ',' Strengthen ',' Indonesia ']</v>
      </c>
      <c r="D19384" s="3">
        <v>1.0</v>
      </c>
    </row>
    <row r="19385" ht="15.75" customHeight="1">
      <c r="A19385" s="1">
        <v>20623.0</v>
      </c>
      <c r="B19385" s="3" t="s">
        <v>18336</v>
      </c>
      <c r="C19385" s="3" t="str">
        <f>IFERROR(__xludf.DUMMYFUNCTION("GOOGLETRANSLATE(B19385,""id"",""en"")"),"['Fix', 'Your Signal', 'Telkomsel', 'Takalar', 'Cave', 'Play', 'Game', 'Red', 'Sousal', 'Cave', 'Kasi', 'Bintang', ' ']")</f>
        <v>['Fix', 'Your Signal', 'Telkomsel', 'Takalar', 'Cave', 'Play', 'Game', 'Red', 'Sousal', 'Cave', 'Kasi', 'Bintang', ' ']</v>
      </c>
      <c r="D19385" s="3">
        <v>1.0</v>
      </c>
    </row>
    <row r="19386" ht="15.75" customHeight="1">
      <c r="A19386" s="1">
        <v>20624.0</v>
      </c>
      <c r="B19386" s="3" t="s">
        <v>18337</v>
      </c>
      <c r="C19386" s="3" t="str">
        <f>IFERROR(__xludf.DUMMYFUNCTION("GOOGLETRANSLATE(B19386,""id"",""en"")"),"['Network', 'Sometimes', 'Good']")</f>
        <v>['Network', 'Sometimes', 'Good']</v>
      </c>
      <c r="D19386" s="3">
        <v>3.0</v>
      </c>
    </row>
    <row r="19387" ht="15.75" customHeight="1">
      <c r="A19387" s="1">
        <v>20625.0</v>
      </c>
      <c r="B19387" s="3" t="s">
        <v>18338</v>
      </c>
      <c r="C19387" s="3" t="str">
        <f>IFERROR(__xludf.DUMMYFUNCTION("GOOGLETRANSLATE(B19387,""id"",""en"")"),"['Culun', 'really', 'signal', 'Telkomsel', 'compared', 'Telkomsel', 'provider', 'ruler', 'hold', 'area', 'try', 'check', ' The area ',' Cipayung ',' Depok ',' Area ',' urban ',' Mbak ',' Mas', 'Sinyal', 'Lemot', 'Region', 'Peace', 'Telkomsel', 'Provider' "&amp;", 'Best', 'proof', 'open', 'youtube', 'buffering', 'wait', 'minute', 'brought', 'play', 'game', 'login', 'lag', ' Heavy ',' Severe ',' ']")</f>
        <v>['Culun', 'really', 'signal', 'Telkomsel', 'compared', 'Telkomsel', 'provider', 'ruler', 'hold', 'area', 'try', 'check', ' The area ',' Cipayung ',' Depok ',' Area ',' urban ',' Mbak ',' Mas', 'Sinyal', 'Lemot', 'Region', 'Peace', 'Telkomsel', 'Provider' , 'Best', 'proof', 'open', 'youtube', 'buffering', 'wait', 'minute', 'brought', 'play', 'game', 'login', 'lag', ' Heavy ',' Severe ',' ']</v>
      </c>
      <c r="D19387" s="3">
        <v>1.0</v>
      </c>
    </row>
    <row r="19388" ht="15.75" customHeight="1">
      <c r="A19388" s="1">
        <v>20626.0</v>
      </c>
      <c r="B19388" s="3" t="s">
        <v>18339</v>
      </c>
      <c r="C19388" s="3" t="str">
        <f>IFERROR(__xludf.DUMMYFUNCTION("GOOGLETRANSLATE(B19388,""id"",""en"")"),"['Disappointed', 'Telkomsel', 'surprised', 'network', 'slow', 'times', 'led', 'Kolo', 'Telkomsel']")</f>
        <v>['Disappointed', 'Telkomsel', 'surprised', 'network', 'slow', 'times', 'led', 'Kolo', 'Telkomsel']</v>
      </c>
      <c r="D19388" s="3">
        <v>1.0</v>
      </c>
    </row>
    <row r="19389" ht="15.75" customHeight="1">
      <c r="A19389" s="1">
        <v>20627.0</v>
      </c>
      <c r="B19389" s="3" t="s">
        <v>18340</v>
      </c>
      <c r="C19389" s="3" t="str">
        <f>IFERROR(__xludf.DUMMYFUNCTION("GOOGLETRANSLATE(B19389,""id"",""en"")"),"['App', 'Error', 'Bukak', 'Samsung', 'version', 'Android', '']")</f>
        <v>['App', 'Error', 'Bukak', 'Samsung', 'version', 'Android', '']</v>
      </c>
      <c r="D19389" s="3">
        <v>3.0</v>
      </c>
    </row>
    <row r="19390" ht="15.75" customHeight="1">
      <c r="A19390" s="1">
        <v>20628.0</v>
      </c>
      <c r="B19390" s="3" t="s">
        <v>18341</v>
      </c>
      <c r="C19390" s="3" t="str">
        <f>IFERROR(__xludf.DUMMYFUNCTION("GOOGLETRANSLATE(B19390,""id"",""en"")"),"['hate', 'network', 'Telkomsel', 'skarang', 'Telkomsel', 'open', 'knapa', 'min', '']")</f>
        <v>['hate', 'network', 'Telkomsel', 'skarang', 'Telkomsel', 'open', 'knapa', 'min', '']</v>
      </c>
      <c r="D19390" s="3">
        <v>1.0</v>
      </c>
    </row>
    <row r="19391" ht="15.75" customHeight="1">
      <c r="A19391" s="1">
        <v>20629.0</v>
      </c>
      <c r="B19391" s="3" t="s">
        <v>18342</v>
      </c>
      <c r="C19391" s="3" t="str">
        <f>IFERROR(__xludf.DUMMYFUNCTION("GOOGLETRANSLATE(B19391,""id"",""en"")"),"['opened', 'nggbleng', 'need', 'really', 'check', 'package', 'buy', 'package', 'internet', 'please', 'fix', 'comfortable', ' Use ',' Application ',' MyTelkomsel ']")</f>
        <v>['opened', 'nggbleng', 'need', 'really', 'check', 'package', 'buy', 'package', 'internet', 'please', 'fix', 'comfortable', ' Use ',' Application ',' MyTelkomsel ']</v>
      </c>
      <c r="D19391" s="3">
        <v>1.0</v>
      </c>
    </row>
    <row r="19392" ht="15.75" customHeight="1">
      <c r="A19392" s="1">
        <v>20630.0</v>
      </c>
      <c r="B19392" s="3" t="s">
        <v>18343</v>
      </c>
      <c r="C19392" s="3" t="str">
        <f>IFERROR(__xludf.DUMMYFUNCTION("GOOGLETRANSLATE(B19392,""id"",""en"")"),"['Telkomsel', 'Bapukkk', 'Signal', 'Kesian', 'times', 'Ngeluh', 'Tetep', 'Change', 'Improvement', 'expensive', 'yes', ""]")</f>
        <v>['Telkomsel', 'Bapukkk', 'Signal', 'Kesian', 'times', 'Ngeluh', 'Tetep', 'Change', 'Improvement', 'expensive', 'yes', "]</v>
      </c>
      <c r="D19392" s="3">
        <v>1.0</v>
      </c>
    </row>
    <row r="19393" ht="15.75" customHeight="1">
      <c r="A19393" s="1">
        <v>20631.0</v>
      </c>
      <c r="B19393" s="3" t="s">
        <v>18344</v>
      </c>
      <c r="C19393" s="3" t="str">
        <f>IFERROR(__xludf.DUMMYFUNCTION("GOOGLETRANSLATE(B19393,""id"",""en"")"),"['MHN', 'Help', 'Application', 'DAK', 'Open']")</f>
        <v>['MHN', 'Help', 'Application', 'DAK', 'Open']</v>
      </c>
      <c r="D19393" s="3">
        <v>5.0</v>
      </c>
    </row>
    <row r="19394" ht="15.75" customHeight="1">
      <c r="A19394" s="1">
        <v>20632.0</v>
      </c>
      <c r="B19394" s="3" t="s">
        <v>18345</v>
      </c>
      <c r="C19394" s="3" t="str">
        <f>IFERROR(__xludf.DUMMYFUNCTION("GOOGLETRANSLATE(B19394,""id"",""en"")"),"['Application', 'Ngeblank', 'appears', 'screen', 'white', 'update', 'uninstall', 'contamebel', 'android', 'please', 'help', ""]")</f>
        <v>['Application', 'Ngeblank', 'appears', 'screen', 'white', 'update', 'uninstall', 'contamebel', 'android', 'please', 'help', "]</v>
      </c>
      <c r="D19394" s="3">
        <v>1.0</v>
      </c>
    </row>
    <row r="19395" ht="15.75" customHeight="1">
      <c r="A19395" s="1">
        <v>20633.0</v>
      </c>
      <c r="B19395" s="3" t="s">
        <v>18346</v>
      </c>
      <c r="C19395" s="3" t="str">
        <f>IFERROR(__xludf.DUMMYFUNCTION("GOOGLETRANSLATE(B19395,""id"",""en"")"),"['difficult', 'follow', 'quiz', 'lose', 'exchange', 'point', 'want', 'donk', 'win', ""]")</f>
        <v>['difficult', 'follow', 'quiz', 'lose', 'exchange', 'point', 'want', 'donk', 'win', "]</v>
      </c>
      <c r="D19395" s="3">
        <v>5.0</v>
      </c>
    </row>
    <row r="19396" ht="15.75" customHeight="1">
      <c r="A19396" s="1">
        <v>20634.0</v>
      </c>
      <c r="B19396" s="3" t="s">
        <v>18347</v>
      </c>
      <c r="C19396" s="3" t="str">
        <f>IFERROR(__xludf.DUMMYFUNCTION("GOOGLETRANSLATE(B19396,""id"",""en"")"),"['', 'Attention', 'installed', 'maximum', 'detrimental', 'consumer', 'access',' slow ',' restart ',' reset ',' apk ',' uninstall ',' Install ',' reset ',' normal ',' detrimental ',' quota ',' MB ',' normal ',' just ',' info ',' pulse ',' good ',' accordin"&amp;"g to ',' performance ', 'has', 'pause', 'loading', 'detrimental', 'consumer', 'merchandise', 'pulses', 'varied', 'murmer', 'consumers', 'in the past', 'pandemic', "" ]")</f>
        <v>['', 'Attention', 'installed', 'maximum', 'detrimental', 'consumer', 'access',' slow ',' restart ',' reset ',' apk ',' uninstall ',' Install ',' reset ',' normal ',' detrimental ',' quota ',' MB ',' normal ',' just ',' info ',' pulse ',' good ',' according to ',' performance ', 'has', 'pause', 'loading', 'detrimental', 'consumer', 'merchandise', 'pulses', 'varied', 'murmer', 'consumers', 'in the past', 'pandemic', " ]</v>
      </c>
      <c r="D19396" s="3">
        <v>1.0</v>
      </c>
    </row>
    <row r="19397" ht="15.75" customHeight="1">
      <c r="A19397" s="1">
        <v>20635.0</v>
      </c>
      <c r="B19397" s="3" t="s">
        <v>18348</v>
      </c>
      <c r="C19397" s="3" t="str">
        <f>IFERROR(__xludf.DUMMYFUNCTION("GOOGLETRANSLATE(B19397,""id"",""en"")"),"['Sorry', 'number', 'late', 'put it', 'bgmn', 'ngibleya', 'number', 'application', 'contents', 'success', 'blm', 'report']")</f>
        <v>['Sorry', 'number', 'late', 'put it', 'bgmn', 'ngibleya', 'number', 'application', 'contents', 'success', 'blm', 'report']</v>
      </c>
      <c r="D19397" s="3">
        <v>4.0</v>
      </c>
    </row>
    <row r="19398" ht="15.75" customHeight="1">
      <c r="A19398" s="1">
        <v>20636.0</v>
      </c>
      <c r="B19398" s="3" t="s">
        <v>18349</v>
      </c>
      <c r="C19398" s="3" t="str">
        <f>IFERROR(__xludf.DUMMYFUNCTION("GOOGLETRANSLATE(B19398,""id"",""en"")"),"['Please', 'Signal', 'Riau', 'Region', 'Optimal', 'Severe', 'Very', 'Signal']")</f>
        <v>['Please', 'Signal', 'Riau', 'Region', 'Optimal', 'Severe', 'Very', 'Signal']</v>
      </c>
      <c r="D19398" s="3">
        <v>3.0</v>
      </c>
    </row>
    <row r="19399" ht="15.75" customHeight="1">
      <c r="A19399" s="1">
        <v>20637.0</v>
      </c>
      <c r="B19399" s="3" t="s">
        <v>18350</v>
      </c>
      <c r="C19399" s="3" t="str">
        <f>IFERROR(__xludf.DUMMYFUNCTION("GOOGLETRANSLATE(B19399,""id"",""en"")"),"['Update', 'Nge', 'blank', ""]")</f>
        <v>['Update', 'Nge', 'blank', "]</v>
      </c>
      <c r="D19399" s="3">
        <v>5.0</v>
      </c>
    </row>
    <row r="19400" ht="15.75" customHeight="1">
      <c r="A19400" s="1">
        <v>20638.0</v>
      </c>
      <c r="B19400" s="3" t="s">
        <v>18351</v>
      </c>
      <c r="C19400" s="3" t="str">
        <f>IFERROR(__xludf.DUMMYFUNCTION("GOOGLETRANSLATE(B19400,""id"",""en"")"),"['package', 'expensive', 'network', 'kayak', 'nt', '']")</f>
        <v>['package', 'expensive', 'network', 'kayak', 'nt', '']</v>
      </c>
      <c r="D19400" s="3">
        <v>1.0</v>
      </c>
    </row>
    <row r="19401" ht="15.75" customHeight="1">
      <c r="A19401" s="1">
        <v>20639.0</v>
      </c>
      <c r="B19401" s="3" t="s">
        <v>18352</v>
      </c>
      <c r="C19401" s="3" t="str">
        <f>IFERROR(__xludf.DUMMYFUNCTION("GOOGLETRANSLATE(B19401,""id"",""en"")"),"['card', 'expensive', 'price', 'package', 'quota']")</f>
        <v>['card', 'expensive', 'price', 'package', 'quota']</v>
      </c>
      <c r="D19401" s="3">
        <v>2.0</v>
      </c>
    </row>
    <row r="19402" ht="15.75" customHeight="1">
      <c r="A19402" s="1">
        <v>20640.0</v>
      </c>
      <c r="B19402" s="3" t="s">
        <v>18353</v>
      </c>
      <c r="C19402" s="3" t="str">
        <f>IFERROR(__xludf.DUMMYFUNCTION("GOOGLETRANSLATE(B19402,""id"",""en"")"),"['application', 'update', 'opened', 'appears',' screen ',' empty ',' error ',' the application ',' gadget ',' before ',' upadate ',' normal ',' Remove ',' application ',' ']")</f>
        <v>['application', 'update', 'opened', 'appears',' screen ',' empty ',' error ',' the application ',' gadget ',' before ',' upadate ',' normal ',' Remove ',' application ',' ']</v>
      </c>
      <c r="D19402" s="3">
        <v>1.0</v>
      </c>
    </row>
    <row r="19403" ht="15.75" customHeight="1">
      <c r="A19403" s="1">
        <v>20642.0</v>
      </c>
      <c r="B19403" s="3" t="s">
        <v>18354</v>
      </c>
      <c r="C19403" s="3" t="str">
        <f>IFERROR(__xludf.DUMMYFUNCTION("GOOGLETRANSLATE(B19403,""id"",""en"")"),"['right', 'update']")</f>
        <v>['right', 'update']</v>
      </c>
      <c r="D19403" s="3">
        <v>1.0</v>
      </c>
    </row>
    <row r="19404" ht="15.75" customHeight="1">
      <c r="A19404" s="1">
        <v>20643.0</v>
      </c>
      <c r="B19404" s="3" t="s">
        <v>18355</v>
      </c>
      <c r="C19404" s="3" t="str">
        <f>IFERROR(__xludf.DUMMYFUNCTION("GOOGLETRANSLATE(B19404,""id"",""en"")"),"['application', 'blank', 'white', '']")</f>
        <v>['application', 'blank', 'white', '']</v>
      </c>
      <c r="D19404" s="3">
        <v>1.0</v>
      </c>
    </row>
    <row r="19405" ht="15.75" customHeight="1">
      <c r="A19405" s="1">
        <v>20644.0</v>
      </c>
      <c r="B19405" s="3" t="s">
        <v>18356</v>
      </c>
      <c r="C19405" s="3" t="str">
        <f>IFERROR(__xludf.DUMMYFUNCTION("GOOGLETRANSLATE(B19405,""id"",""en"")"),"['Application', 'Different', 'Application', 'friend', 'MyTelkomsel', 'TMN', 'Menu', 'Shopping', 'Fill', 'Package', 'Package', 'Unlimited', ' KNP ',' menu ',' shopping ',' Application ',' MyTelkomsel ',' Sediki ',' Please ',' enlightenment ',' Telkomsel ',"&amp;"' Customer ',' loyal ',' Telkomsel ',' mkasih ' , 'Package', 'unlimited', 'menu', 'MyTelkomsel', 'bought', 'network', 'slow', 'signal', 'ilang', 'loading', 'sedii', '']")</f>
        <v>['Application', 'Different', 'Application', 'friend', 'MyTelkomsel', 'TMN', 'Menu', 'Shopping', 'Fill', 'Package', 'Package', 'Unlimited', ' KNP ',' menu ',' shopping ',' Application ',' MyTelkomsel ',' Sediki ',' Please ',' enlightenment ',' Telkomsel ',' Customer ',' loyal ',' Telkomsel ',' mkasih ' , 'Package', 'unlimited', 'menu', 'MyTelkomsel', 'bought', 'network', 'slow', 'signal', 'ilang', 'loading', 'sedii', '']</v>
      </c>
      <c r="D19405" s="3">
        <v>3.0</v>
      </c>
    </row>
    <row r="19406" ht="15.75" customHeight="1">
      <c r="A19406" s="1">
        <v>20645.0</v>
      </c>
      <c r="B19406" s="3" t="s">
        <v>18357</v>
      </c>
      <c r="C19406" s="3" t="str">
        <f>IFERROR(__xludf.DUMMYFUNCTION("GOOGLETRANSLATE(B19406,""id"",""en"")"),"['Hah', 'deliberate', 'kindemen', 'APK', 'right', 'Install', '']")</f>
        <v>['Hah', 'deliberate', 'kindemen', 'APK', 'right', 'Install', '']</v>
      </c>
      <c r="D19406" s="3">
        <v>3.0</v>
      </c>
    </row>
    <row r="19407" ht="15.75" customHeight="1">
      <c r="A19407" s="1">
        <v>20646.0</v>
      </c>
      <c r="B19407" s="3" t="s">
        <v>18358</v>
      </c>
      <c r="C19407" s="3" t="str">
        <f>IFERROR(__xludf.DUMMYFUNCTION("GOOGLETRANSLATE(B19407,""id"",""en"")"),"['Error']")</f>
        <v>['Error']</v>
      </c>
      <c r="D19407" s="3">
        <v>1.0</v>
      </c>
    </row>
    <row r="19408" ht="15.75" customHeight="1">
      <c r="A19408" s="1">
        <v>20647.0</v>
      </c>
      <c r="B19408" s="3" t="s">
        <v>18359</v>
      </c>
      <c r="C19408" s="3" t="str">
        <f>IFERROR(__xludf.DUMMYFUNCTION("GOOGLETRANSLATE(B19408,""id"",""en"")"),"['Application', 'Telokomsel', 'Severe', 'Open', 'Shy']")</f>
        <v>['Application', 'Telokomsel', 'Severe', 'Open', 'Shy']</v>
      </c>
      <c r="D19408" s="3">
        <v>1.0</v>
      </c>
    </row>
    <row r="19409" ht="15.75" customHeight="1">
      <c r="A19409" s="1">
        <v>20648.0</v>
      </c>
      <c r="B19409" s="3" t="s">
        <v>18360</v>
      </c>
      <c r="C19409" s="3" t="str">
        <f>IFERROR(__xludf.DUMMYFUNCTION("GOOGLETRANSLATE(B19409,""id"",""en"")"),"['bad', 'network', 'bad', 'yes', 'move', 'position', 'step', 'signal', 'ilang', ""]")</f>
        <v>['bad', 'network', 'bad', 'yes', 'move', 'position', 'step', 'signal', 'ilang', "]</v>
      </c>
      <c r="D19409" s="3">
        <v>1.0</v>
      </c>
    </row>
    <row r="19410" ht="15.75" customHeight="1">
      <c r="A19410" s="1">
        <v>20649.0</v>
      </c>
      <c r="B19410" s="3" t="s">
        <v>18361</v>
      </c>
      <c r="C19410" s="3" t="str">
        <f>IFERROR(__xludf.DUMMYFUNCTION("GOOGLETRANSLATE(B19410,""id"",""en"")"),"['', 'Application', 'Telkomsel', 'Ngak', 'opened', 'Update']")</f>
        <v>['', 'Application', 'Telkomsel', 'Ngak', 'opened', 'Update']</v>
      </c>
      <c r="D19410" s="3">
        <v>5.0</v>
      </c>
    </row>
    <row r="19411" ht="15.75" customHeight="1">
      <c r="A19411" s="1">
        <v>20650.0</v>
      </c>
      <c r="B19411" s="3" t="s">
        <v>18362</v>
      </c>
      <c r="C19411" s="3" t="str">
        <f>IFERROR(__xludf.DUMMYFUNCTION("GOOGLETRANSLATE(B19411,""id"",""en"")"),"['TOP', 'SGT', 'help', 'contents', 'package', 'data', '']")</f>
        <v>['TOP', 'SGT', 'help', 'contents', 'package', 'data', '']</v>
      </c>
      <c r="D19411" s="3">
        <v>5.0</v>
      </c>
    </row>
    <row r="19412" ht="15.75" customHeight="1">
      <c r="A19412" s="1">
        <v>20651.0</v>
      </c>
      <c r="B19412" s="3" t="s">
        <v>18363</v>
      </c>
      <c r="C19412" s="3" t="str">
        <f>IFERROR(__xludf.DUMMYFUNCTION("GOOGLETRANSLATE(B19412,""id"",""en"")"),"['center', 'help', 'bales',' bales', 'oertnyan', 'repetition', 'upload', 'screenshot', 'upload', 'bales',' brpa ',' emng ',' Thinking ',' work ',' mantengin ',' chat ',' IUG ',' Affairs', 'nnti', 'passing', 'dlu', 'tar', 'close', 'admin', 'karna' , 'Tsel'"&amp;", 'Original', 'Disappointed']")</f>
        <v>['center', 'help', 'bales',' bales', 'oertnyan', 'repetition', 'upload', 'screenshot', 'upload', 'bales',' brpa ',' emng ',' Thinking ',' work ',' mantengin ',' chat ',' IUG ',' Affairs', 'nnti', 'passing', 'dlu', 'tar', 'close', 'admin', 'karna' , 'Tsel', 'Original', 'Disappointed']</v>
      </c>
      <c r="D19412" s="3">
        <v>2.0</v>
      </c>
    </row>
    <row r="19413" ht="15.75" customHeight="1">
      <c r="A19413" s="1">
        <v>20653.0</v>
      </c>
      <c r="B19413" s="3" t="s">
        <v>18364</v>
      </c>
      <c r="C19413" s="3" t="str">
        <f>IFERROR(__xludf.DUMMYFUNCTION("GOOGLETRANSLATE(B19413,""id"",""en"")"),"['Install', 'reset', 'ngeblank', 'gajelas']")</f>
        <v>['Install', 'reset', 'ngeblank', 'gajelas']</v>
      </c>
      <c r="D19413" s="3">
        <v>2.0</v>
      </c>
    </row>
    <row r="19414" ht="15.75" customHeight="1">
      <c r="A19414" s="1">
        <v>20654.0</v>
      </c>
      <c r="B19414" s="3" t="s">
        <v>18365</v>
      </c>
      <c r="C19414" s="3" t="str">
        <f>IFERROR(__xludf.DUMMYFUNCTION("GOOGLETRANSLATE(B19414,""id"",""en"")"),"['already', 'packagein', 'ttp', 'sucked', 'pulse', 'strange', 'nii', 'use', 'according to', 'contents',' package ',' data ',' ']")</f>
        <v>['already', 'packagein', 'ttp', 'sucked', 'pulse', 'strange', 'nii', 'use', 'according to', 'contents',' package ',' data ',' ']</v>
      </c>
      <c r="D19414" s="3">
        <v>1.0</v>
      </c>
    </row>
    <row r="19415" ht="15.75" customHeight="1">
      <c r="A19415" s="1">
        <v>20656.0</v>
      </c>
      <c r="B19415" s="3" t="s">
        <v>18366</v>
      </c>
      <c r="C19415" s="3" t="str">
        <f>IFERROR(__xludf.DUMMYFUNCTION("GOOGLETRANSLATE(B19415,""id"",""en"")"),"['Error', 'Mulu', '']")</f>
        <v>['Error', 'Mulu', '']</v>
      </c>
      <c r="D19415" s="3">
        <v>3.0</v>
      </c>
    </row>
    <row r="19416" ht="15.75" customHeight="1">
      <c r="A19416" s="1">
        <v>20657.0</v>
      </c>
      <c r="B19416" s="3" t="s">
        <v>18367</v>
      </c>
      <c r="C19416" s="3" t="str">
        <f>IFERROR(__xludf.DUMMYFUNCTION("GOOGLETRANSLATE(B19416,""id"",""en"")"),"['Gokil', 'Apeli', 'Kasi', 'boss']")</f>
        <v>['Gokil', 'Apeli', 'Kasi', 'boss']</v>
      </c>
      <c r="D19416" s="3">
        <v>3.0</v>
      </c>
    </row>
    <row r="19417" ht="15.75" customHeight="1">
      <c r="A19417" s="1">
        <v>20658.0</v>
      </c>
      <c r="B19417" s="3" t="s">
        <v>18368</v>
      </c>
      <c r="C19417" s="3" t="str">
        <f>IFERROR(__xludf.DUMMYFUNCTION("GOOGLETRANSLATE(B19417,""id"",""en"")"),"['Good', 'less', 'rates', 'superdeal']")</f>
        <v>['Good', 'less', 'rates', 'superdeal']</v>
      </c>
      <c r="D19417" s="3">
        <v>5.0</v>
      </c>
    </row>
    <row r="19418" ht="15.75" customHeight="1">
      <c r="A19418" s="1">
        <v>20659.0</v>
      </c>
      <c r="B19418" s="3" t="s">
        <v>18369</v>
      </c>
      <c r="C19418" s="3" t="str">
        <f>IFERROR(__xludf.DUMMYFUNCTION("GOOGLETRANSLATE(B19418,""id"",""en"")"),"['application', 'confusing', 'open', 'told', 'update', 'tetep', 'open', 'crazy']")</f>
        <v>['application', 'confusing', 'open', 'told', 'update', 'tetep', 'open', 'crazy']</v>
      </c>
      <c r="D19418" s="3">
        <v>1.0</v>
      </c>
    </row>
    <row r="19419" ht="15.75" customHeight="1">
      <c r="A19419" s="1">
        <v>20660.0</v>
      </c>
      <c r="B19419" s="3" t="s">
        <v>18370</v>
      </c>
      <c r="C19419" s="3" t="str">
        <f>IFERROR(__xludf.DUMMYFUNCTION("GOOGLETRANSLATE(B19419,""id"",""en"")"),"['Isa', 'Kekeke']")</f>
        <v>['Isa', 'Kekeke']</v>
      </c>
      <c r="D19419" s="3">
        <v>1.0</v>
      </c>
    </row>
    <row r="19420" ht="15.75" customHeight="1">
      <c r="A19420" s="1">
        <v>20661.0</v>
      </c>
      <c r="B19420" s="3" t="s">
        <v>18371</v>
      </c>
      <c r="C19420" s="3" t="str">
        <f>IFERROR(__xludf.DUMMYFUNCTION("GOOGLETRANSLATE(B19420,""id"",""en"")"),"['Star', 'Delete', 'Delete', 'Left Behind', 'Telkomsel', 'Tens',' Sousal ',' Good ',' Price ',' Quotes', 'expensive', 'because', ' The network is', 'stable', 'its network', 'ugly', ""]")</f>
        <v>['Star', 'Delete', 'Delete', 'Left Behind', 'Telkomsel', 'Tens',' Sousal ',' Good ',' Price ',' Quotes', 'expensive', 'because', ' The network is', 'stable', 'its network', 'ugly', "]</v>
      </c>
      <c r="D19420" s="3">
        <v>1.0</v>
      </c>
    </row>
    <row r="19421" ht="15.75" customHeight="1">
      <c r="A19421" s="1">
        <v>20662.0</v>
      </c>
      <c r="B19421" s="3" t="s">
        <v>18372</v>
      </c>
      <c r="C19421" s="3" t="str">
        <f>IFERROR(__xludf.DUMMYFUNCTION("GOOGLETRANSLATE(B19421,""id"",""en"")"),"['access', '']")</f>
        <v>['access', '']</v>
      </c>
      <c r="D19421" s="3">
        <v>1.0</v>
      </c>
    </row>
    <row r="19422" ht="15.75" customHeight="1">
      <c r="A19422" s="1">
        <v>20663.0</v>
      </c>
      <c r="B19422" s="3" t="s">
        <v>18373</v>
      </c>
      <c r="C19422" s="3" t="str">
        <f>IFERROR(__xludf.DUMMYFUNCTION("GOOGLETRANSLATE(B19422,""id"",""en"")"),"['Setia', 'Telkomsel']")</f>
        <v>['Setia', 'Telkomsel']</v>
      </c>
      <c r="D19422" s="3">
        <v>5.0</v>
      </c>
    </row>
    <row r="19423" ht="15.75" customHeight="1">
      <c r="A19423" s="1">
        <v>20664.0</v>
      </c>
      <c r="B19423" s="3" t="s">
        <v>18374</v>
      </c>
      <c r="C19423" s="3" t="str">
        <f>IFERROR(__xludf.DUMMYFUNCTION("GOOGLETRANSLATE(B19423,""id"",""en"")"),"['proud', 'Telkomsel', '']")</f>
        <v>['proud', 'Telkomsel', '']</v>
      </c>
      <c r="D19423" s="3">
        <v>5.0</v>
      </c>
    </row>
    <row r="19424" ht="15.75" customHeight="1">
      <c r="A19424" s="1">
        <v>20665.0</v>
      </c>
      <c r="B19424" s="3" t="s">
        <v>18375</v>
      </c>
      <c r="C19424" s="3" t="str">
        <f>IFERROR(__xludf.DUMMYFUNCTION("GOOGLETRANSLATE(B19424,""id"",""en"")"),"['Open', 'Sagat', 'sorry']")</f>
        <v>['Open', 'Sagat', 'sorry']</v>
      </c>
      <c r="D19424" s="3">
        <v>1.0</v>
      </c>
    </row>
    <row r="19425" ht="15.75" customHeight="1">
      <c r="A19425" s="1">
        <v>20666.0</v>
      </c>
      <c r="B19425" s="3" t="s">
        <v>18376</v>
      </c>
      <c r="C19425" s="3" t="str">
        <f>IFERROR(__xludf.DUMMYFUNCTION("GOOGLETRANSLATE(B19425,""id"",""en"")"),"['buy', 'pulse', 'buy', 'package', 'transaction', 'purchase', 'package', 'internet', 'expensive']")</f>
        <v>['buy', 'pulse', 'buy', 'package', 'transaction', 'purchase', 'package', 'internet', 'expensive']</v>
      </c>
      <c r="D19425" s="3">
        <v>3.0</v>
      </c>
    </row>
    <row r="19426" ht="15.75" customHeight="1">
      <c r="A19426" s="1">
        <v>20667.0</v>
      </c>
      <c r="B19426" s="3" t="s">
        <v>18377</v>
      </c>
      <c r="C19426" s="3" t="str">
        <f>IFERROR(__xludf.DUMMYFUNCTION("GOOGLETRANSLATE(B19426,""id"",""en"")"),"['already', 'application', 'annoying', 'bbanget', 'open', 'blank', 'screen', 'doang', 'enter', 'application', 'crash', 'open']")</f>
        <v>['already', 'application', 'annoying', 'bbanget', 'open', 'blank', 'screen', 'doang', 'enter', 'application', 'crash', 'open']</v>
      </c>
      <c r="D19426" s="3">
        <v>1.0</v>
      </c>
    </row>
    <row r="19427" ht="15.75" customHeight="1">
      <c r="A19427" s="1">
        <v>20668.0</v>
      </c>
      <c r="B19427" s="3" t="s">
        <v>18378</v>
      </c>
      <c r="C19427" s="3" t="str">
        <f>IFERROR(__xludf.DUMMYFUNCTION("GOOGLETRANSLATE(B19427,""id"",""en"")"),"['Simatability', 'complicated', 'network', 'good', 'good', 'dered', 'card', 'fox', 'Hello', 'complete', 'shared', 'Hadeh']")</f>
        <v>['Simatability', 'complicated', 'network', 'good', 'good', 'dered', 'card', 'fox', 'Hello', 'complete', 'shared', 'Hadeh']</v>
      </c>
      <c r="D19427" s="3">
        <v>5.0</v>
      </c>
    </row>
    <row r="19428" ht="15.75" customHeight="1">
      <c r="A19428" s="1">
        <v>20669.0</v>
      </c>
      <c r="B19428" s="3" t="s">
        <v>18379</v>
      </c>
      <c r="C19428" s="3" t="str">
        <f>IFERROR(__xludf.DUMMYFUNCTION("GOOGLETRANSLATE(B19428,""id"",""en"")"),"['use', 'Telkomsel', 'get', 'profit', 'price', 'decent', 'compare', 'hope', 'Uklum']")</f>
        <v>['use', 'Telkomsel', 'get', 'profit', 'price', 'decent', 'compare', 'hope', 'Uklum']</v>
      </c>
      <c r="D19428" s="3">
        <v>1.0</v>
      </c>
    </row>
    <row r="19429" ht="15.75" customHeight="1">
      <c r="A19429" s="1">
        <v>20670.0</v>
      </c>
      <c r="B19429" s="3" t="s">
        <v>18380</v>
      </c>
      <c r="C19429" s="3" t="str">
        <f>IFERROR(__xludf.DUMMYFUNCTION("GOOGLETRANSLATE(B19429,""id"",""en"")"),"['installed', 'bln', 'update', 'reset', 'factory', 'Samsung', 'ultra', '']")</f>
        <v>['installed', 'bln', 'update', 'reset', 'factory', 'Samsung', 'ultra', '']</v>
      </c>
      <c r="D19429" s="3">
        <v>1.0</v>
      </c>
    </row>
    <row r="19430" ht="15.75" customHeight="1">
      <c r="A19430" s="1">
        <v>20671.0</v>
      </c>
      <c r="B19430" s="3" t="s">
        <v>18381</v>
      </c>
      <c r="C19430" s="3" t="str">
        <f>IFERROR(__xludf.DUMMYFUNCTION("GOOGLETRANSLATE(B19430,""id"",""en"")"),"['Applykasi', 'Open', 'Dowload', 'Tlong']")</f>
        <v>['Applykasi', 'Open', 'Dowload', 'Tlong']</v>
      </c>
      <c r="D19430" s="3">
        <v>5.0</v>
      </c>
    </row>
    <row r="19431" ht="15.75" customHeight="1">
      <c r="A19431" s="1">
        <v>20672.0</v>
      </c>
      <c r="B19431" s="3" t="s">
        <v>18382</v>
      </c>
      <c r="C19431" s="3" t="str">
        <f>IFERROR(__xludf.DUMMYFUNCTION("GOOGLETRANSLATE(B19431,""id"",""en"")"),"['crazy', 'yaa', 'already', 'list', 'package', 'data', 'smpai', 'clock', 'wktunnya', 'already', 'finished', ' Credit ',' Sya ',' Hbis', 'GRA', 'Data', 'Life']")</f>
        <v>['crazy', 'yaa', 'already', 'list', 'package', 'data', 'smpai', 'clock', 'wktunnya', 'already', 'finished', ' Credit ',' Sya ',' Hbis', 'GRA', 'Data', 'Life']</v>
      </c>
      <c r="D19431" s="3">
        <v>1.0</v>
      </c>
    </row>
    <row r="19432" ht="15.75" customHeight="1">
      <c r="A19432" s="1">
        <v>20673.0</v>
      </c>
      <c r="B19432" s="3" t="s">
        <v>15320</v>
      </c>
      <c r="C19432" s="3" t="str">
        <f>IFERROR(__xludf.DUMMYFUNCTION("GOOGLETRANSLATE(B19432,""id"",""en"")"),"['signal', 'enhanced']")</f>
        <v>['signal', 'enhanced']</v>
      </c>
      <c r="D19432" s="3">
        <v>5.0</v>
      </c>
    </row>
    <row r="19433" ht="15.75" customHeight="1">
      <c r="A19433" s="1">
        <v>20674.0</v>
      </c>
      <c r="B19433" s="3" t="s">
        <v>18383</v>
      </c>
      <c r="C19433" s="3" t="str">
        <f>IFERROR(__xludf.DUMMYFUNCTION("GOOGLETRANSLATE(B19433,""id"",""en"")"),"['Steady', 'pisan', 'euy']")</f>
        <v>['Steady', 'pisan', 'euy']</v>
      </c>
      <c r="D19433" s="3">
        <v>5.0</v>
      </c>
    </row>
    <row r="19434" ht="15.75" customHeight="1">
      <c r="A19434" s="1">
        <v>20676.0</v>
      </c>
      <c r="B19434" s="3" t="s">
        <v>18384</v>
      </c>
      <c r="C19434" s="3" t="str">
        <f>IFERROR(__xludf.DUMMYFUNCTION("GOOGLETRANSLATE(B19434,""id"",""en"")"),"['signal', 'rotten']")</f>
        <v>['signal', 'rotten']</v>
      </c>
      <c r="D19434" s="3">
        <v>1.0</v>
      </c>
    </row>
    <row r="19435" ht="15.75" customHeight="1">
      <c r="A19435" s="1">
        <v>20678.0</v>
      </c>
      <c r="B19435" s="3" t="s">
        <v>18385</v>
      </c>
      <c r="C19435" s="3" t="str">
        <f>IFERROR(__xludf.DUMMYFUNCTION("GOOGLETRANSLATE(B19435,""id"",""en"")"),"['already', 'buy', 'package', 'unlimited', 'youtube', 'mother', 'mlh', 'quota', 'main', 'detrimental', 'bngsd', 'already', ' Buy ',' Dipake ',' ']")</f>
        <v>['already', 'buy', 'package', 'unlimited', 'youtube', 'mother', 'mlh', 'quota', 'main', 'detrimental', 'bngsd', 'already', ' Buy ',' Dipake ',' ']</v>
      </c>
      <c r="D19435" s="3">
        <v>1.0</v>
      </c>
    </row>
    <row r="19436" ht="15.75" customHeight="1">
      <c r="A19436" s="1">
        <v>20679.0</v>
      </c>
      <c r="B19436" s="3" t="s">
        <v>18386</v>
      </c>
      <c r="C19436" s="3" t="str">
        <f>IFERROR(__xludf.DUMMYFUNCTION("GOOGLETRANSLATE(B19436,""id"",""en"")"),"['gini', 'update', 'version', 'latest', 'update', 'opened', 'update', 'screen', 'white', 'already', 'try', 'uninstall', ' Install ',' screen ',' white ',' loss', 'kouta', 'update', 'uninstall', 'install']")</f>
        <v>['gini', 'update', 'version', 'latest', 'update', 'opened', 'update', 'screen', 'white', 'already', 'try', 'uninstall', ' Install ',' screen ',' white ',' loss', 'kouta', 'update', 'uninstall', 'install']</v>
      </c>
      <c r="D19436" s="3">
        <v>1.0</v>
      </c>
    </row>
    <row r="19437" ht="15.75" customHeight="1">
      <c r="A19437" s="1">
        <v>20680.0</v>
      </c>
      <c r="B19437" s="3" t="s">
        <v>18387</v>
      </c>
      <c r="C19437" s="3" t="str">
        <f>IFERROR(__xludf.DUMMYFUNCTION("GOOGLETRANSLATE(B19437,""id"",""en"")"),"['Out', 'update', 'difficult', 'enter', 'application', 'Telkomsel']")</f>
        <v>['Out', 'update', 'difficult', 'enter', 'application', 'Telkomsel']</v>
      </c>
      <c r="D19437" s="3">
        <v>1.0</v>
      </c>
    </row>
    <row r="19438" ht="15.75" customHeight="1">
      <c r="A19438" s="1">
        <v>20681.0</v>
      </c>
      <c r="B19438" s="3" t="s">
        <v>18388</v>
      </c>
      <c r="C19438" s="3" t="str">
        <f>IFERROR(__xludf.DUMMYFUNCTION("GOOGLETRANSLATE(B19438,""id"",""en"")"),"['Please', 'buy', 'quota', 'game', 'right', 'open', 'game', 'ngeleg', 'ngeleg', 'open', 'smooth']")</f>
        <v>['Please', 'buy', 'quota', 'game', 'right', 'open', 'game', 'ngeleg', 'ngeleg', 'open', 'smooth']</v>
      </c>
      <c r="D19438" s="3">
        <v>1.0</v>
      </c>
    </row>
    <row r="19439" ht="15.75" customHeight="1">
      <c r="A19439" s="1">
        <v>20682.0</v>
      </c>
      <c r="B19439" s="3" t="s">
        <v>18389</v>
      </c>
      <c r="C19439" s="3" t="str">
        <f>IFERROR(__xludf.DUMMYFUNCTION("GOOGLETRANSLATE(B19439,""id"",""en"")"),"['Severe', 'Telkomsel', 'Send', 'Email', 'Application', 'Telkomsel', 'Open', 'Disorders',' Unistal ',' Tetep ',' Access', 'Please', ' The info ']")</f>
        <v>['Severe', 'Telkomsel', 'Send', 'Email', 'Application', 'Telkomsel', 'Open', 'Disorders',' Unistal ',' Tetep ',' Access', 'Please', ' The info ']</v>
      </c>
      <c r="D19439" s="3">
        <v>2.0</v>
      </c>
    </row>
    <row r="19440" ht="15.75" customHeight="1">
      <c r="A19440" s="1">
        <v>20683.0</v>
      </c>
      <c r="B19440" s="3" t="s">
        <v>18390</v>
      </c>
      <c r="C19440" s="3" t="str">
        <f>IFERROR(__xludf.DUMMYFUNCTION("GOOGLETRANSLATE(B19440,""id"",""en"")"),"['Good', 'Bangat', 'Telkomsel', '']")</f>
        <v>['Good', 'Bangat', 'Telkomsel', '']</v>
      </c>
      <c r="D19440" s="3">
        <v>5.0</v>
      </c>
    </row>
    <row r="19441" ht="15.75" customHeight="1">
      <c r="A19441" s="1">
        <v>20684.0</v>
      </c>
      <c r="B19441" s="3" t="s">
        <v>18391</v>
      </c>
      <c r="C19441" s="3" t="str">
        <f>IFERROR(__xludf.DUMMYFUNCTION("GOOGLETRANSLATE(B19441,""id"",""en"")"),"['Jaya', 'Mainstay', 'Stay', 'Region', 'Plosok']")</f>
        <v>['Jaya', 'Mainstay', 'Stay', 'Region', 'Plosok']</v>
      </c>
      <c r="D19441" s="3">
        <v>5.0</v>
      </c>
    </row>
    <row r="19442" ht="15.75" customHeight="1">
      <c r="A19442" s="1">
        <v>20685.0</v>
      </c>
      <c r="B19442" s="3" t="s">
        <v>18392</v>
      </c>
      <c r="C19442" s="3" t="str">
        <f>IFERROR(__xludf.DUMMYFUNCTION("GOOGLETRANSLATE(B19442,""id"",""en"")"),"['steady', 'service', 'card', 'reduced', 'purchase', 'package', 'data', 'expensive', '']")</f>
        <v>['steady', 'service', 'card', 'reduced', 'purchase', 'package', 'data', 'expensive', '']</v>
      </c>
      <c r="D19442" s="3">
        <v>5.0</v>
      </c>
    </row>
    <row r="19443" ht="15.75" customHeight="1">
      <c r="A19443" s="1">
        <v>20686.0</v>
      </c>
      <c r="B19443" s="3" t="s">
        <v>18393</v>
      </c>
      <c r="C19443" s="3" t="str">
        <f>IFERROR(__xludf.DUMMYFUNCTION("GOOGLETRANSLATE(B19443,""id"",""en"")"),"['accessed', 'open', 'color', 'white', 'install', 'times', 'result', 'open', 'beg', 'clarity', 'Telkomsel', 'thank you']")</f>
        <v>['accessed', 'open', 'color', 'white', 'install', 'times', 'result', 'open', 'beg', 'clarity', 'Telkomsel', 'thank you']</v>
      </c>
      <c r="D19443" s="3">
        <v>2.0</v>
      </c>
    </row>
    <row r="19444" ht="15.75" customHeight="1">
      <c r="A19444" s="1">
        <v>20687.0</v>
      </c>
      <c r="B19444" s="3" t="s">
        <v>18394</v>
      </c>
      <c r="C19444" s="3" t="str">
        <f>IFERROR(__xludf.DUMMYFUNCTION("GOOGLETRANSLATE(B19444,""id"",""en"")"),"['', 'update', 'bother']")</f>
        <v>['', 'update', 'bother']</v>
      </c>
      <c r="D19444" s="3">
        <v>1.0</v>
      </c>
    </row>
    <row r="19445" ht="15.75" customHeight="1">
      <c r="A19445" s="1">
        <v>20688.0</v>
      </c>
      <c r="B19445" s="3" t="s">
        <v>18395</v>
      </c>
      <c r="C19445" s="3" t="str">
        <f>IFERROR(__xludf.DUMMYFUNCTION("GOOGLETRANSLATE(B19445,""id"",""en"")"),"['application', 'good', 'promo', 'package', 'geratis']")</f>
        <v>['application', 'good', 'promo', 'package', 'geratis']</v>
      </c>
      <c r="D19445" s="3">
        <v>5.0</v>
      </c>
    </row>
    <row r="19446" ht="15.75" customHeight="1">
      <c r="A19446" s="1">
        <v>20689.0</v>
      </c>
      <c r="B19446" s="3" t="s">
        <v>18396</v>
      </c>
      <c r="C19446" s="3" t="str">
        <f>IFERROR(__xludf.DUMMYFUNCTION("GOOGLETRANSLATE(B19446,""id"",""en"")"),"['thank', 'love', 'application', 'Telkomsel', 'help']")</f>
        <v>['thank', 'love', 'application', 'Telkomsel', 'help']</v>
      </c>
      <c r="D19446" s="3">
        <v>5.0</v>
      </c>
    </row>
    <row r="19447" ht="15.75" customHeight="1">
      <c r="A19447" s="1">
        <v>20690.0</v>
      </c>
      <c r="B19447" s="3" t="s">
        <v>18397</v>
      </c>
      <c r="C19447" s="3" t="str">
        <f>IFERROR(__xludf.DUMMYFUNCTION("GOOGLETRANSLATE(B19447,""id"",""en"")"),"['Assalamualaikum', 'Sis', 'Login', 'Telkomsel', 'Network', 'Good', 'Please', 'Fix', 'Sis']")</f>
        <v>['Assalamualaikum', 'Sis', 'Login', 'Telkomsel', 'Network', 'Good', 'Please', 'Fix', 'Sis']</v>
      </c>
      <c r="D19447" s="3">
        <v>1.0</v>
      </c>
    </row>
    <row r="19448" ht="15.75" customHeight="1">
      <c r="A19448" s="1">
        <v>20691.0</v>
      </c>
      <c r="B19448" s="3" t="s">
        <v>18398</v>
      </c>
      <c r="C19448" s="3" t="str">
        <f>IFERROR(__xludf.DUMMYFUNCTION("GOOGLETRANSLATE(B19448,""id"",""en"")"),"['Rely on', 'because of', 'Error', 'just', 'times', 'Try', 'Error']")</f>
        <v>['Rely on', 'because of', 'Error', 'just', 'times', 'Try', 'Error']</v>
      </c>
      <c r="D19448" s="3">
        <v>3.0</v>
      </c>
    </row>
    <row r="19449" ht="15.75" customHeight="1">
      <c r="A19449" s="1">
        <v>20692.0</v>
      </c>
      <c r="B19449" s="3" t="s">
        <v>18399</v>
      </c>
      <c r="C19449" s="3" t="str">
        <f>IFERROR(__xludf.DUMMYFUNCTION("GOOGLETRANSLATE(B19449,""id"",""en"")"),"['Jaringn', 'Internet', 'Telkomsel', 'slow', 'Increase', 'Okay']")</f>
        <v>['Jaringn', 'Internet', 'Telkomsel', 'slow', 'Increase', 'Okay']</v>
      </c>
      <c r="D19449" s="3">
        <v>2.0</v>
      </c>
    </row>
    <row r="19450" ht="15.75" customHeight="1">
      <c r="A19450" s="1">
        <v>20693.0</v>
      </c>
      <c r="B19450" s="3" t="s">
        <v>18400</v>
      </c>
      <c r="C19450" s="3" t="str">
        <f>IFERROR(__xludf.DUMMYFUNCTION("GOOGLETRANSLATE(B19450,""id"",""en"")"),"['Ngeblank', 'White', 'Doang', 'Opened', 'Severe', 'Reinstall', 'Nerkali', 'Times']")</f>
        <v>['Ngeblank', 'White', 'Doang', 'Opened', 'Severe', 'Reinstall', 'Nerkali', 'Times']</v>
      </c>
      <c r="D19450" s="3">
        <v>2.0</v>
      </c>
    </row>
    <row r="19451" ht="15.75" customHeight="1">
      <c r="A19451" s="1">
        <v>20694.0</v>
      </c>
      <c r="B19451" s="3" t="s">
        <v>18401</v>
      </c>
      <c r="C19451" s="3" t="str">
        <f>IFERROR(__xludf.DUMMYFUNCTION("GOOGLETRANSLATE(B19451,""id"",""en"")"),"['update', 'device', 'soft', 'application', 'Telkomsel', 'missing', 'Search', 'Play', 'Store', 'Install', ""]")</f>
        <v>['update', 'device', 'soft', 'application', 'Telkomsel', 'missing', 'Search', 'Play', 'Store', 'Install', "]</v>
      </c>
      <c r="D19451" s="3">
        <v>1.0</v>
      </c>
    </row>
    <row r="19452" ht="15.75" customHeight="1">
      <c r="A19452" s="1">
        <v>20695.0</v>
      </c>
      <c r="B19452" s="3" t="s">
        <v>18402</v>
      </c>
      <c r="C19452" s="3" t="str">
        <f>IFERROR(__xludf.DUMMYFUNCTION("GOOGLETRANSLATE(B19452,""id"",""en"")"),"['Application', 'good', 'update', 'nge', 'blank', 'white', 'please', 'repair', 'Telkomsel']")</f>
        <v>['Application', 'good', 'update', 'nge', 'blank', 'white', 'please', 'repair', 'Telkomsel']</v>
      </c>
      <c r="D19452" s="3">
        <v>5.0</v>
      </c>
    </row>
    <row r="19453" ht="15.75" customHeight="1">
      <c r="A19453" s="1">
        <v>20696.0</v>
      </c>
      <c r="B19453" s="3" t="s">
        <v>6352</v>
      </c>
      <c r="C19453" s="3" t="str">
        <f>IFERROR(__xludf.DUMMYFUNCTION("GOOGLETRANSLATE(B19453,""id"",""en"")"),"['useful', '']")</f>
        <v>['useful', '']</v>
      </c>
      <c r="D19453" s="3">
        <v>1.0</v>
      </c>
    </row>
    <row r="19454" ht="15.75" customHeight="1">
      <c r="A19454" s="1">
        <v>20697.0</v>
      </c>
      <c r="B19454" s="3" t="s">
        <v>18403</v>
      </c>
      <c r="C19454" s="3" t="str">
        <f>IFERROR(__xludf.DUMMYFUNCTION("GOOGLETRANSLATE(B19454,""id"",""en"")"),"['Didding', 'Enter', 'Untul', 'Log', 'Enter', 'Apalai', 'See']")</f>
        <v>['Didding', 'Enter', 'Untul', 'Log', 'Enter', 'Apalai', 'See']</v>
      </c>
      <c r="D19454" s="3">
        <v>1.0</v>
      </c>
    </row>
    <row r="19455" ht="15.75" customHeight="1">
      <c r="A19455" s="1">
        <v>20698.0</v>
      </c>
      <c r="B19455" s="3" t="s">
        <v>18404</v>
      </c>
      <c r="C19455" s="3" t="str">
        <f>IFERROR(__xludf.DUMMYFUNCTION("GOOGLETRANSLATE(B19455,""id"",""en"")"),"['The application', 'ugly', 'heavy', 'opened', 'ODAHAL', 'Mobile', 'RAM', 'GB', 'internal', 'GB', 'use', 'below slow', '']")</f>
        <v>['The application', 'ugly', 'heavy', 'opened', 'ODAHAL', 'Mobile', 'RAM', 'GB', 'internal', 'GB', 'use', 'below slow', '']</v>
      </c>
      <c r="D19455" s="3">
        <v>1.0</v>
      </c>
    </row>
    <row r="19456" ht="15.75" customHeight="1">
      <c r="A19456" s="1">
        <v>20699.0</v>
      </c>
      <c r="B19456" s="3" t="s">
        <v>18405</v>
      </c>
      <c r="C19456" s="3" t="str">
        <f>IFERROR(__xludf.DUMMYFUNCTION("GOOGLETRANSLATE(B19456,""id"",""en"")"),"['application', 'opened', 'display', 'screen', 'white', '']")</f>
        <v>['application', 'opened', 'display', 'screen', 'white', '']</v>
      </c>
      <c r="D19456" s="3">
        <v>1.0</v>
      </c>
    </row>
    <row r="19457" ht="15.75" customHeight="1">
      <c r="A19457" s="1">
        <v>20700.0</v>
      </c>
      <c r="B19457" s="3" t="s">
        <v>11495</v>
      </c>
      <c r="C19457" s="3" t="str">
        <f>IFERROR(__xludf.DUMMYFUNCTION("GOOGLETRANSLATE(B19457,""id"",""en"")"),"['application', 'open', '']")</f>
        <v>['application', 'open', '']</v>
      </c>
      <c r="D19457" s="3">
        <v>1.0</v>
      </c>
    </row>
    <row r="19458" ht="15.75" customHeight="1">
      <c r="A19458" s="1">
        <v>20701.0</v>
      </c>
      <c r="B19458" s="3" t="s">
        <v>1158</v>
      </c>
      <c r="C19458" s="3" t="str">
        <f>IFERROR(__xludf.DUMMYFUNCTION("GOOGLETRANSLATE(B19458,""id"",""en"")"),"['Good', 'The application']")</f>
        <v>['Good', 'The application']</v>
      </c>
      <c r="D19458" s="3">
        <v>5.0</v>
      </c>
    </row>
    <row r="19459" ht="15.75" customHeight="1">
      <c r="A19459" s="1">
        <v>20702.0</v>
      </c>
      <c r="B19459" s="3" t="s">
        <v>18406</v>
      </c>
      <c r="C19459" s="3" t="str">
        <f>IFERROR(__xludf.DUMMYFUNCTION("GOOGLETRANSLATE(B19459,""id"",""en"")"),"['regret', 'application', 'package', 'application', 'disappear', 'application', 'update', 'used', 'replaced', 'package', 'Telkomsel', 'treat', ' Customer ',' Semema ',' MENA ',' Members', 'comfort', 'users',' ']")</f>
        <v>['regret', 'application', 'package', 'application', 'disappear', 'application', 'update', 'used', 'replaced', 'package', 'Telkomsel', 'treat', ' Customer ',' Semema ',' MENA ',' Members', 'comfort', 'users',' ']</v>
      </c>
      <c r="D19459" s="3">
        <v>1.0</v>
      </c>
    </row>
    <row r="19460" ht="15.75" customHeight="1">
      <c r="A19460" s="1">
        <v>20703.0</v>
      </c>
      <c r="B19460" s="3" t="s">
        <v>18407</v>
      </c>
      <c r="C19460" s="3" t="str">
        <f>IFERROR(__xludf.DUMMYFUNCTION("GOOGLETRANSLATE(B19460,""id"",""en"")"),"['Please', 'LGI', 'LGI', 'DlG', 'Package', 'Internet', 'Ojeg', 'Online', 'Cheap', 'Internet', 'Narik', 'Thxs',' success', '']")</f>
        <v>['Please', 'LGI', 'LGI', 'DlG', 'Package', 'Internet', 'Ojeg', 'Online', 'Cheap', 'Internet', 'Narik', 'Thxs',' success', '']</v>
      </c>
      <c r="D19460" s="3">
        <v>5.0</v>
      </c>
    </row>
    <row r="19461" ht="15.75" customHeight="1">
      <c r="A19461" s="1">
        <v>20704.0</v>
      </c>
      <c r="B19461" s="3" t="s">
        <v>18408</v>
      </c>
      <c r="C19461" s="3" t="str">
        <f>IFERROR(__xludf.DUMMYFUNCTION("GOOGLETRANSLATE(B19461,""id"",""en"")"),"['access',' APS ',' Telkomsel ',' ugly ',' SMS ',' quota ',' national ',' run out ',' check ',' leftover ',' quota ',' APS ',' Telkomsel ',' appears', 'screen', 'white', 'disappointing', '']")</f>
        <v>['access',' APS ',' Telkomsel ',' ugly ',' SMS ',' quota ',' national ',' run out ',' check ',' leftover ',' quota ',' APS ',' Telkomsel ',' appears', 'screen', 'white', 'disappointing', '']</v>
      </c>
      <c r="D19461" s="3">
        <v>1.0</v>
      </c>
    </row>
    <row r="19462" ht="15.75" customHeight="1">
      <c r="A19462" s="1">
        <v>20705.0</v>
      </c>
      <c r="B19462" s="3" t="s">
        <v>18409</v>
      </c>
      <c r="C19462" s="3" t="str">
        <f>IFERROR(__xludf.DUMMYFUNCTION("GOOGLETRANSLATE(B19462,""id"",""en"")"),"['iyaaa', 'application', 'word', 'again', 'open', 'ngebug', 'white', 'gtu', 'suits', 'expedition', '']")</f>
        <v>['iyaaa', 'application', 'word', 'again', 'open', 'ngebug', 'white', 'gtu', 'suits', 'expedition', '']</v>
      </c>
      <c r="D19462" s="3">
        <v>5.0</v>
      </c>
    </row>
    <row r="19463" ht="15.75" customHeight="1">
      <c r="A19463" s="1">
        <v>20706.0</v>
      </c>
      <c r="B19463" s="3" t="s">
        <v>18410</v>
      </c>
      <c r="C19463" s="3" t="str">
        <f>IFERROR(__xludf.DUMMYFUNCTION("GOOGLETRANSLATE(B19463,""id"",""en"")"),"['Synity', 'Telkomsel', 'ugly', 'kayak']")</f>
        <v>['Synity', 'Telkomsel', 'ugly', 'kayak']</v>
      </c>
      <c r="D19463" s="3">
        <v>1.0</v>
      </c>
    </row>
    <row r="19464" ht="15.75" customHeight="1">
      <c r="A19464" s="1">
        <v>20707.0</v>
      </c>
      <c r="B19464" s="3" t="s">
        <v>18411</v>
      </c>
      <c r="C19464" s="3" t="str">
        <f>IFERROR(__xludf.DUMMYFUNCTION("GOOGLETRANSLATE(B19464,""id"",""en"")"),"['easy', 'comfortable', 'fast', 'trusted']")</f>
        <v>['easy', 'comfortable', 'fast', 'trusted']</v>
      </c>
      <c r="D19464" s="3">
        <v>5.0</v>
      </c>
    </row>
    <row r="19465" ht="15.75" customHeight="1">
      <c r="A19465" s="1">
        <v>20708.0</v>
      </c>
      <c r="B19465" s="3" t="s">
        <v>18412</v>
      </c>
      <c r="C19465" s="3" t="str">
        <f>IFERROR(__xludf.DUMMYFUNCTION("GOOGLETRANSLATE(B19465,""id"",""en"")"),"['already', 'SERES', 'update', 'back', 'again', 'signal', 'lagg']")</f>
        <v>['already', 'SERES', 'update', 'back', 'again', 'signal', 'lagg']</v>
      </c>
      <c r="D19465" s="3">
        <v>1.0</v>
      </c>
    </row>
    <row r="19466" ht="15.75" customHeight="1">
      <c r="A19466" s="1">
        <v>20709.0</v>
      </c>
      <c r="B19466" s="3" t="s">
        <v>18413</v>
      </c>
      <c r="C19466" s="3" t="str">
        <f>IFERROR(__xludf.DUMMYFUNCTION("GOOGLETRANSLATE(B19466,""id"",""en"")"),"['hard', 'already', 'open', 'ngeblank', 'comfortable', 'use', 'tekomsel']")</f>
        <v>['hard', 'already', 'open', 'ngeblank', 'comfortable', 'use', 'tekomsel']</v>
      </c>
      <c r="D19466" s="3">
        <v>1.0</v>
      </c>
    </row>
    <row r="19467" ht="15.75" customHeight="1">
      <c r="A19467" s="1">
        <v>20710.0</v>
      </c>
      <c r="B19467" s="3" t="s">
        <v>18414</v>
      </c>
      <c r="C19467" s="3" t="str">
        <f>IFERROR(__xludf.DUMMYFUNCTION("GOOGLETRANSLATE(B19467,""id"",""en"")"),"['ugly', 'application', 'forced', 'update', 'update', 'dak', 'enter']")</f>
        <v>['ugly', 'application', 'forced', 'update', 'update', 'dak', 'enter']</v>
      </c>
      <c r="D19467" s="3">
        <v>1.0</v>
      </c>
    </row>
    <row r="19468" ht="15.75" customHeight="1">
      <c r="A19468" s="1">
        <v>20711.0</v>
      </c>
      <c r="B19468" s="3" t="s">
        <v>18415</v>
      </c>
      <c r="C19468" s="3" t="str">
        <f>IFERROR(__xludf.DUMMYFUNCTION("GOOGLETRANSLATE(B19468,""id"",""en"")"),"['Telkomsel', 'network', 'bad', 'lose', 'Indosat', 'speed']")</f>
        <v>['Telkomsel', 'network', 'bad', 'lose', 'Indosat', 'speed']</v>
      </c>
      <c r="D19468" s="3">
        <v>1.0</v>
      </c>
    </row>
    <row r="19469" ht="15.75" customHeight="1">
      <c r="A19469" s="1">
        <v>20712.0</v>
      </c>
      <c r="B19469" s="3" t="s">
        <v>18416</v>
      </c>
      <c r="C19469" s="3" t="str">
        <f>IFERROR(__xludf.DUMMYFUNCTION("GOOGLETRANSLATE(B19469,""id"",""en"")"),"['Send', 'Gift', 'Package', 'Credit', 'Send', 'OTP', '']")</f>
        <v>['Send', 'Gift', 'Package', 'Credit', 'Send', 'OTP', '']</v>
      </c>
      <c r="D19469" s="3">
        <v>3.0</v>
      </c>
    </row>
    <row r="19470" ht="15.75" customHeight="1">
      <c r="A19470" s="1">
        <v>20713.0</v>
      </c>
      <c r="B19470" s="3" t="s">
        <v>18417</v>
      </c>
      <c r="C19470" s="3" t="str">
        <f>IFERROR(__xludf.DUMMYFUNCTION("GOOGLETRANSLATE(B19470,""id"",""en"")"),"['Alhamdulillah', 'Help', 'Information']")</f>
        <v>['Alhamdulillah', 'Help', 'Information']</v>
      </c>
      <c r="D19470" s="3">
        <v>5.0</v>
      </c>
    </row>
    <row r="19471" ht="15.75" customHeight="1">
      <c r="A19471" s="1">
        <v>20714.0</v>
      </c>
      <c r="B19471" s="3" t="s">
        <v>18418</v>
      </c>
      <c r="C19471" s="3" t="str">
        <f>IFERROR(__xludf.DUMMYFUNCTION("GOOGLETRANSLATE(B19471,""id"",""en"")"),"['Not bad', 'BLI', 'quota']")</f>
        <v>['Not bad', 'BLI', 'quota']</v>
      </c>
      <c r="D19471" s="3">
        <v>3.0</v>
      </c>
    </row>
    <row r="19472" ht="15.75" customHeight="1">
      <c r="A19472" s="1">
        <v>20715.0</v>
      </c>
      <c r="B19472" s="3" t="s">
        <v>18419</v>
      </c>
      <c r="C19472" s="3" t="str">
        <f>IFERROR(__xludf.DUMMYFUNCTION("GOOGLETRANSLATE(B19472,""id"",""en"")"),"['enter', 'enter']")</f>
        <v>['enter', 'enter']</v>
      </c>
      <c r="D19472" s="3">
        <v>1.0</v>
      </c>
    </row>
    <row r="19473" ht="15.75" customHeight="1">
      <c r="A19473" s="1">
        <v>20716.0</v>
      </c>
      <c r="B19473" s="3" t="s">
        <v>18420</v>
      </c>
      <c r="C19473" s="3" t="str">
        <f>IFERROR(__xludf.DUMMYFUNCTION("GOOGLETRANSLATE(B19473,""id"",""en"")"),"['already']")</f>
        <v>['already']</v>
      </c>
      <c r="D19473" s="3">
        <v>5.0</v>
      </c>
    </row>
    <row r="19474" ht="15.75" customHeight="1">
      <c r="A19474" s="1">
        <v>20717.0</v>
      </c>
      <c r="B19474" s="3" t="s">
        <v>18421</v>
      </c>
      <c r="C19474" s="3" t="str">
        <f>IFERROR(__xludf.DUMMYFUNCTION("GOOGLETRANSLATE(B19474,""id"",""en"")"),"['TDI', 'clock', 'check', 'pulse', 'msh', 'filled', 'pulse', 'pulse', 'kog', ""]")</f>
        <v>['TDI', 'clock', 'check', 'pulse', 'msh', 'filled', 'pulse', 'pulse', 'kog', "]</v>
      </c>
      <c r="D19474" s="3">
        <v>3.0</v>
      </c>
    </row>
    <row r="19475" ht="15.75" customHeight="1">
      <c r="A19475" s="1">
        <v>20719.0</v>
      </c>
      <c r="B19475" s="3" t="s">
        <v>18422</v>
      </c>
      <c r="C19475" s="3" t="str">
        <f>IFERROR(__xludf.DUMMYFUNCTION("GOOGLETRANSLATE(B19475,""id"",""en"")"),"['crazy', 'Telkom', 'Lemott']")</f>
        <v>['crazy', 'Telkom', 'Lemott']</v>
      </c>
      <c r="D19475" s="3">
        <v>1.0</v>
      </c>
    </row>
    <row r="19476" ht="15.75" customHeight="1">
      <c r="A19476" s="1">
        <v>20720.0</v>
      </c>
      <c r="B19476" s="3" t="s">
        <v>18423</v>
      </c>
      <c r="C19476" s="3" t="str">
        <f>IFERROR(__xludf.DUMMYFUNCTION("GOOGLETRANSLATE(B19476,""id"",""en"")"),"['Love', 'Price', 'Quota', 'Internet', 'Not bad', 'expensive', 'Recomend', 'People', 'Village', 'Price', 'Expensive', 'Connection', ' "", 'suggestion', 'Tingkat', 'connection', 'Internet', 'Bener', 'Bener', 'Slow', 'Area', 'Rural']")</f>
        <v>['Love', 'Price', 'Quota', 'Internet', 'Not bad', 'expensive', 'Recomend', 'People', 'Village', 'Price', 'Expensive', 'Connection', ' ", 'suggestion', 'Tingkat', 'connection', 'Internet', 'Bener', 'Bener', 'Slow', 'Area', 'Rural']</v>
      </c>
      <c r="D19476" s="3">
        <v>2.0</v>
      </c>
    </row>
    <row r="19477" ht="15.75" customHeight="1">
      <c r="A19477" s="1">
        <v>20721.0</v>
      </c>
      <c r="B19477" s="3" t="s">
        <v>18424</v>
      </c>
      <c r="C19477" s="3" t="str">
        <f>IFERROR(__xludf.DUMMYFUNCTION("GOOGLETRANSLATE(B19477,""id"",""en"")"),"['Out', 'update', 'open', 'appears', 'screen', 'white']")</f>
        <v>['Out', 'update', 'open', 'appears', 'screen', 'white']</v>
      </c>
      <c r="D19477" s="3">
        <v>2.0</v>
      </c>
    </row>
    <row r="19478" ht="15.75" customHeight="1">
      <c r="A19478" s="1">
        <v>20722.0</v>
      </c>
      <c r="B19478" s="3" t="s">
        <v>18425</v>
      </c>
      <c r="C19478" s="3" t="str">
        <f>IFERROR(__xludf.DUMMYFUNCTION("GOOGLETRANSLATE(B19478,""id"",""en"")"),"['Package', 'YouTube', 'spent', 'Kouta', 'main']")</f>
        <v>['Package', 'YouTube', 'spent', 'Kouta', 'main']</v>
      </c>
      <c r="D19478" s="3">
        <v>1.0</v>
      </c>
    </row>
    <row r="19479" ht="15.75" customHeight="1">
      <c r="A19479" s="1">
        <v>20723.0</v>
      </c>
      <c r="B19479" s="3" t="s">
        <v>15645</v>
      </c>
      <c r="C19479" s="3" t="str">
        <f>IFERROR(__xludf.DUMMYFUNCTION("GOOGLETRANSLATE(B19479,""id"",""en"")"),"['Application', 'steady']")</f>
        <v>['Application', 'steady']</v>
      </c>
      <c r="D19479" s="3">
        <v>1.0</v>
      </c>
    </row>
    <row r="19480" ht="15.75" customHeight="1">
      <c r="A19480" s="1">
        <v>20724.0</v>
      </c>
      <c r="B19480" s="3" t="s">
        <v>18426</v>
      </c>
      <c r="C19480" s="3" t="str">
        <f>IFERROR(__xludf.DUMMYFUNCTION("GOOGLETRANSLATE(B19480,""id"",""en"")"),"['already', 'udpate', 'open', 'gmn']")</f>
        <v>['already', 'udpate', 'open', 'gmn']</v>
      </c>
      <c r="D19480" s="3">
        <v>1.0</v>
      </c>
    </row>
    <row r="19481" ht="15.75" customHeight="1">
      <c r="A19481" s="1">
        <v>20725.0</v>
      </c>
      <c r="B19481" s="3" t="s">
        <v>18427</v>
      </c>
      <c r="C19481" s="3" t="str">
        <f>IFERROR(__xludf.DUMMYFUNCTION("GOOGLETRANSLATE(B19481,""id"",""en"")"),"['Application', 'Telkomsel', 'knp', 'jdi', 'kyak', 'gni', 'already', 'update', 'reset', 'msih', 'open']")</f>
        <v>['Application', 'Telkomsel', 'knp', 'jdi', 'kyak', 'gni', 'already', 'update', 'reset', 'msih', 'open']</v>
      </c>
      <c r="D19481" s="3">
        <v>1.0</v>
      </c>
    </row>
    <row r="19482" ht="15.75" customHeight="1">
      <c r="A19482" s="1">
        <v>20726.0</v>
      </c>
      <c r="B19482" s="3" t="s">
        <v>18428</v>
      </c>
      <c r="C19482" s="3" t="str">
        <f>IFERROR(__xludf.DUMMYFUNCTION("GOOGLETRANSLATE(B19482,""id"",""en"")"),"['The application', 'bgs', 'promo', 'interesting']")</f>
        <v>['The application', 'bgs', 'promo', 'interesting']</v>
      </c>
      <c r="D19482" s="3">
        <v>5.0</v>
      </c>
    </row>
    <row r="19483" ht="15.75" customHeight="1">
      <c r="A19483" s="1">
        <v>20727.0</v>
      </c>
      <c r="B19483" s="3" t="s">
        <v>18429</v>
      </c>
      <c r="C19483" s="3" t="str">
        <f>IFERROR(__xludf.DUMMYFUNCTION("GOOGLETRANSLATE(B19483,""id"",""en"")"),"['Response', 'Customer', 'Service', 'Waiting', 'Connected', 'Turn', 'Connected', 'Help', 'Complaints',' Consumer ',' Please ',' Fix ',' thank you']")</f>
        <v>['Response', 'Customer', 'Service', 'Waiting', 'Connected', 'Turn', 'Connected', 'Help', 'Complaints',' Consumer ',' Please ',' Fix ',' thank you']</v>
      </c>
      <c r="D19483" s="3">
        <v>1.0</v>
      </c>
    </row>
    <row r="19484" ht="15.75" customHeight="1">
      <c r="A19484" s="1">
        <v>20728.0</v>
      </c>
      <c r="B19484" s="3" t="s">
        <v>18430</v>
      </c>
      <c r="C19484" s="3" t="str">
        <f>IFERROR(__xludf.DUMMYFUNCTION("GOOGLETRANSLATE(B19484,""id"",""en"")"),"['shopping', 'check', 'quota', 'feel', 'easy', ""]")</f>
        <v>['shopping', 'check', 'quota', 'feel', 'easy', "]</v>
      </c>
      <c r="D19484" s="3">
        <v>5.0</v>
      </c>
    </row>
    <row r="19485" ht="15.75" customHeight="1">
      <c r="A19485" s="1">
        <v>20729.0</v>
      </c>
      <c r="B19485" s="3" t="s">
        <v>18431</v>
      </c>
      <c r="C19485" s="3" t="str">
        <f>IFERROR(__xludf.DUMMYFUNCTION("GOOGLETRANSLATE(B19485,""id"",""en"")"),"['signal', 'nyungsep', 'tlong', 'repaired', 'team', 'expensive', 'doang', 'quality', '']")</f>
        <v>['signal', 'nyungsep', 'tlong', 'repaired', 'team', 'expensive', 'doang', 'quality', '']</v>
      </c>
      <c r="D19485" s="3">
        <v>1.0</v>
      </c>
    </row>
    <row r="19486" ht="15.75" customHeight="1">
      <c r="A19486" s="1">
        <v>20730.0</v>
      </c>
      <c r="B19486" s="3" t="s">
        <v>18432</v>
      </c>
      <c r="C19486" s="3" t="str">
        <f>IFERROR(__xludf.DUMMYFUNCTION("GOOGLETRANSLATE(B19486,""id"",""en"")"),"['hope', 'get', 'gift', 'Allah', 'Amin', 'Robbalalamin']")</f>
        <v>['hope', 'get', 'gift', 'Allah', 'Amin', 'Robbalalamin']</v>
      </c>
      <c r="D19486" s="3">
        <v>5.0</v>
      </c>
    </row>
    <row r="19487" ht="15.75" customHeight="1">
      <c r="A19487" s="1">
        <v>20731.0</v>
      </c>
      <c r="B19487" s="3" t="s">
        <v>18433</v>
      </c>
      <c r="C19487" s="3" t="str">
        <f>IFERROR(__xludf.DUMMYFUNCTION("GOOGLETRANSLATE(B19487,""id"",""en"")"),"['Credit', 'Take', 'Mulu', 'quota', 'Since', 'MyTelkomsel', 'Delete', 'Credit', 'Take', '']")</f>
        <v>['Credit', 'Take', 'Mulu', 'quota', 'Since', 'MyTelkomsel', 'Delete', 'Credit', 'Take', '']</v>
      </c>
      <c r="D19487" s="3">
        <v>1.0</v>
      </c>
    </row>
    <row r="19488" ht="15.75" customHeight="1">
      <c r="A19488" s="1">
        <v>20732.0</v>
      </c>
      <c r="B19488" s="3" t="s">
        <v>18434</v>
      </c>
      <c r="C19488" s="3" t="str">
        <f>IFERROR(__xludf.DUMMYFUNCTION("GOOGLETRANSLATE(B19488,""id"",""en"")"),"['Telkomsel', 'in front']")</f>
        <v>['Telkomsel', 'in front']</v>
      </c>
      <c r="D19488" s="3">
        <v>4.0</v>
      </c>
    </row>
    <row r="19489" ht="15.75" customHeight="1">
      <c r="A19489" s="1">
        <v>20733.0</v>
      </c>
      <c r="B19489" s="3" t="s">
        <v>18435</v>
      </c>
      <c r="C19489" s="3" t="str">
        <f>IFERROR(__xludf.DUMMYFUNCTION("GOOGLETRANSLATE(B19489,""id"",""en"")"),"['Win', 'Gift', 'Tuk', 'Aceh', 'Heboh']")</f>
        <v>['Win', 'Gift', 'Tuk', 'Aceh', 'Heboh']</v>
      </c>
      <c r="D19489" s="3">
        <v>5.0</v>
      </c>
    </row>
    <row r="19490" ht="15.75" customHeight="1">
      <c r="A19490" s="1">
        <v>20734.0</v>
      </c>
      <c r="B19490" s="3" t="s">
        <v>18436</v>
      </c>
      <c r="C19490" s="3" t="str">
        <f>IFERROR(__xludf.DUMMYFUNCTION("GOOGLETRANSLATE(B19490,""id"",""en"")"),"['emang', 'best', 'kli', 'telkomsel']")</f>
        <v>['emang', 'best', 'kli', 'telkomsel']</v>
      </c>
      <c r="D19490" s="3">
        <v>5.0</v>
      </c>
    </row>
    <row r="19491" ht="15.75" customHeight="1">
      <c r="A19491" s="1">
        <v>20736.0</v>
      </c>
      <c r="B19491" s="3" t="s">
        <v>18437</v>
      </c>
      <c r="C19491" s="3" t="str">
        <f>IFERROR(__xludf.DUMMYFUNCTION("GOOGLETRANSLATE(B19491,""id"",""en"")"),"['Buy', 'Package', 'Unlimited', 'Max', 'GB', 'RB', 'Kouta', 'Main', 'Out', 'Kouta', 'Multimedia', 'GB', ' YouTube, 'despcription', 'Package', 'APL', 'Multimedia', 'YouTube', 'Facebook', 'Etc.', 'users', 'Telkomsel', 'Disappointed', 'Nggk', 'as soon as' , "&amp;"'Fupnya', 'ngeselin', 'loss', ""]")</f>
        <v>['Buy', 'Package', 'Unlimited', 'Max', 'GB', 'RB', 'Kouta', 'Main', 'Out', 'Kouta', 'Multimedia', 'GB', ' YouTube, 'despcription', 'Package', 'APL', 'Multimedia', 'YouTube', 'Facebook', 'Etc.', 'users', 'Telkomsel', 'Disappointed', 'Nggk', 'as soon as' , 'Fupnya', 'ngeselin', 'loss', "]</v>
      </c>
      <c r="D19491" s="3">
        <v>1.0</v>
      </c>
    </row>
    <row r="19492" ht="15.75" customHeight="1">
      <c r="A19492" s="1">
        <v>20737.0</v>
      </c>
      <c r="B19492" s="3" t="s">
        <v>18438</v>
      </c>
      <c r="C19492" s="3" t="str">
        <f>IFERROR(__xludf.DUMMYFUNCTION("GOOGLETRANSLATE(B19492,""id"",""en"")"),"['Kaga', 'buy', 'package', 'data', 'pdahal', 'pulse', 'sufficient', 'mah', 'usually', 'lwat', 'browser', 'Bukn', ' Lwat ',' APK ',' APK ',' Painting ',' Min ',' ']")</f>
        <v>['Kaga', 'buy', 'package', 'data', 'pdahal', 'pulse', 'sufficient', 'mah', 'usually', 'lwat', 'browser', 'Bukn', ' Lwat ',' APK ',' APK ',' Painting ',' Min ',' ']</v>
      </c>
      <c r="D19492" s="3">
        <v>2.0</v>
      </c>
    </row>
    <row r="19493" ht="15.75" customHeight="1">
      <c r="A19493" s="1">
        <v>20738.0</v>
      </c>
      <c r="B19493" s="3" t="s">
        <v>18439</v>
      </c>
      <c r="C19493" s="3" t="str">
        <f>IFERROR(__xludf.DUMMYFUNCTION("GOOGLETRANSLATE(B19493,""id"",""en"")"),"['Cepet', 'really', 'good', 'really']")</f>
        <v>['Cepet', 'really', 'good', 'really']</v>
      </c>
      <c r="D19493" s="3">
        <v>5.0</v>
      </c>
    </row>
    <row r="19494" ht="15.75" customHeight="1">
      <c r="A19494" s="1">
        <v>20739.0</v>
      </c>
      <c r="B19494" s="3" t="s">
        <v>18440</v>
      </c>
      <c r="C19494" s="3" t="str">
        <f>IFERROR(__xludf.DUMMYFUNCTION("GOOGLETRANSLATE(B19494,""id"",""en"")"),"['failed', 'download', 'alternating', 'download', 'failed', 'spend', 'quota', 'nich', 'application']")</f>
        <v>['failed', 'download', 'alternating', 'download', 'failed', 'spend', 'quota', 'nich', 'application']</v>
      </c>
      <c r="D19494" s="3">
        <v>1.0</v>
      </c>
    </row>
    <row r="19495" ht="15.75" customHeight="1">
      <c r="A19495" s="1">
        <v>20740.0</v>
      </c>
      <c r="B19495" s="3" t="s">
        <v>18441</v>
      </c>
      <c r="C19495" s="3" t="str">
        <f>IFERROR(__xludf.DUMMYFUNCTION("GOOGLETRANSLATE(B19495,""id"",""en"")"),"['Price', 'ajja', 'boss']")</f>
        <v>['Price', 'ajja', 'boss']</v>
      </c>
      <c r="D19495" s="3">
        <v>5.0</v>
      </c>
    </row>
    <row r="19496" ht="15.75" customHeight="1">
      <c r="A19496" s="1">
        <v>20741.0</v>
      </c>
      <c r="B19496" s="3" t="s">
        <v>18442</v>
      </c>
      <c r="C19496" s="3" t="str">
        <f>IFERROR(__xludf.DUMMYFUNCTION("GOOGLETRANSLATE(B19496,""id"",""en"")"),"['Network', 'Gnya', 'slow', 'area', 'countryside', '']")</f>
        <v>['Network', 'Gnya', 'slow', 'area', 'countryside', '']</v>
      </c>
      <c r="D19496" s="3">
        <v>1.0</v>
      </c>
    </row>
    <row r="19497" ht="15.75" customHeight="1">
      <c r="A19497" s="1">
        <v>20742.0</v>
      </c>
      <c r="B19497" s="3" t="s">
        <v>18443</v>
      </c>
      <c r="C19497" s="3" t="str">
        <f>IFERROR(__xludf.DUMMYFUNCTION("GOOGLETRANSLATE(B19497,""id"",""en"")"),"['Reduce', 'Update', 'Fix', 'Network', 'Nusa', 'Southeast', 'East', 'Flores', 'Ende']")</f>
        <v>['Reduce', 'Update', 'Fix', 'Network', 'Nusa', 'Southeast', 'East', 'Flores', 'Ende']</v>
      </c>
      <c r="D19497" s="3">
        <v>3.0</v>
      </c>
    </row>
    <row r="19498" ht="15.75" customHeight="1">
      <c r="A19498" s="1">
        <v>20743.0</v>
      </c>
      <c r="B19498" s="3" t="s">
        <v>18444</v>
      </c>
      <c r="C19498" s="3" t="str">
        <f>IFERROR(__xludf.DUMMYFUNCTION("GOOGLETRANSLATE(B19498,""id"",""en"")"),"['Telkomsel', 'given', 'package', 'internet', 'cheap', 'assessment', 'change', 'combo', 'Sakti', 'application', 'Telkomsel', 'price', ' down ',' thank ',' love ']")</f>
        <v>['Telkomsel', 'given', 'package', 'internet', 'cheap', 'assessment', 'change', 'combo', 'Sakti', 'application', 'Telkomsel', 'price', ' down ',' thank ',' love ']</v>
      </c>
      <c r="D19498" s="3">
        <v>1.0</v>
      </c>
    </row>
    <row r="19499" ht="15.75" customHeight="1">
      <c r="A19499" s="1">
        <v>20744.0</v>
      </c>
      <c r="B19499" s="3" t="s">
        <v>18445</v>
      </c>
      <c r="C19499" s="3" t="str">
        <f>IFERROR(__xludf.DUMMYFUNCTION("GOOGLETRANSLATE(B19499,""id"",""en"")"),"['WOI', 'Min', 'Open', 'Gakniat', 'APK', 'Mending', 'Please', 'Benerin']")</f>
        <v>['WOI', 'Min', 'Open', 'Gakniat', 'APK', 'Mending', 'Please', 'Benerin']</v>
      </c>
      <c r="D19499" s="3">
        <v>5.0</v>
      </c>
    </row>
    <row r="19500" ht="15.75" customHeight="1">
      <c r="A19500" s="1">
        <v>20745.0</v>
      </c>
      <c r="B19500" s="3" t="s">
        <v>18446</v>
      </c>
      <c r="C19500" s="3" t="str">
        <f>IFERROR(__xludf.DUMMYFUNCTION("GOOGLETRANSLATE(B19500,""id"",""en"")"),"['Update', 'Application', 'Turn', 'Update', 'Open', 'The Application', 'Hadeehhh', 'Kuciwa', 'Kucawaa', 'Bintang', 'Sajalaah', ""]")</f>
        <v>['Update', 'Application', 'Turn', 'Update', 'Open', 'The Application', 'Hadeehhh', 'Kuciwa', 'Kucawaa', 'Bintang', 'Sajalaah', "]</v>
      </c>
      <c r="D19500" s="3">
        <v>1.0</v>
      </c>
    </row>
    <row r="19501" ht="15.75" customHeight="1">
      <c r="A19501" s="1">
        <v>20746.0</v>
      </c>
      <c r="B19501" s="3" t="s">
        <v>18447</v>
      </c>
      <c r="C19501" s="3" t="str">
        <f>IFERROR(__xludf.DUMMYFUNCTION("GOOGLETRANSLATE(B19501,""id"",""en"")"),"['Musntaap', 'Bray', 'Network', 'extensive']")</f>
        <v>['Musntaap', 'Bray', 'Network', 'extensive']</v>
      </c>
      <c r="D19501" s="3">
        <v>5.0</v>
      </c>
    </row>
    <row r="19502" ht="15.75" customHeight="1">
      <c r="A19502" s="1">
        <v>20747.0</v>
      </c>
      <c r="B19502" s="3" t="s">
        <v>18448</v>
      </c>
      <c r="C19502" s="3" t="str">
        <f>IFERROR(__xludf.DUMMYFUNCTION("GOOGLETRANSLATE(B19502,""id"",""en"")"),"['good, thank you']")</f>
        <v>['good, thank you']</v>
      </c>
      <c r="D19502" s="3">
        <v>5.0</v>
      </c>
    </row>
    <row r="19503" ht="15.75" customHeight="1">
      <c r="A19503" s="1">
        <v>20748.0</v>
      </c>
      <c r="B19503" s="3" t="s">
        <v>18449</v>
      </c>
      <c r="C19503" s="3" t="str">
        <f>IFERROR(__xludf.DUMMYFUNCTION("GOOGLETRANSLATE(B19503,""id"",""en"")"),"['telephone', 'Jaringa', 'bodies',' buy ',' package ',' network ',' ngerugin ',' user ',' maen ',' game ',' lust ',' stable ',' Nge ',' lag ',' wanted ',' support ',' reality ',' nil ',' blm ',' maximum ',' please ',' eighta ',' good ',' network ',' trick"&amp;"s' , 'like this', '']")</f>
        <v>['telephone', 'Jaringa', 'bodies',' buy ',' package ',' network ',' ngerugin ',' user ',' maen ',' game ',' lust ',' stable ',' Nge ',' lag ',' wanted ',' support ',' reality ',' nil ',' blm ',' maximum ',' please ',' eighta ',' good ',' network ',' tricks' , 'like this', '']</v>
      </c>
      <c r="D19503" s="3">
        <v>1.0</v>
      </c>
    </row>
    <row r="19504" ht="15.75" customHeight="1">
      <c r="A19504" s="1">
        <v>20749.0</v>
      </c>
      <c r="B19504" s="3" t="s">
        <v>18450</v>
      </c>
      <c r="C19504" s="3" t="str">
        <f>IFERROR(__xludf.DUMMYFUNCTION("GOOGLETRANSLATE(B19504,""id"",""en"")"),"['user', 'Telkomsel', 'circles',' rich ',' standard ',' poor ',' faqir ',' users', 'Telkomsel', 'many years',' disappointed ',' network ',' slow ',' price ',' expensive ',' expensive ',' telkomsel ',' fortunate ',' price ',' friendly ',' circles', 'please"&amp;"', 'donk', 'customize', 'price' , 'Kulitasnya', 'quality', 'updated', 'satisfying', 'customer', 'thank', 'love', ""]")</f>
        <v>['user', 'Telkomsel', 'circles',' rich ',' standard ',' poor ',' faqir ',' users', 'Telkomsel', 'many years',' disappointed ',' network ',' slow ',' price ',' expensive ',' expensive ',' telkomsel ',' fortunate ',' price ',' friendly ',' circles', 'please', 'donk', 'customize', 'price' , 'Kulitasnya', 'quality', 'updated', 'satisfying', 'customer', 'thank', 'love', "]</v>
      </c>
      <c r="D19504" s="3">
        <v>1.0</v>
      </c>
    </row>
    <row r="19505" ht="15.75" customHeight="1">
      <c r="A19505" s="1">
        <v>20750.0</v>
      </c>
      <c r="B19505" s="3" t="s">
        <v>18451</v>
      </c>
      <c r="C19505" s="3" t="str">
        <f>IFERROR(__xludf.DUMMYFUNCTION("GOOGLETRANSLATE(B19505,""id"",""en"")"),"['Sousal', 'ugly', 'night']")</f>
        <v>['Sousal', 'ugly', 'night']</v>
      </c>
      <c r="D19505" s="3">
        <v>5.0</v>
      </c>
    </row>
    <row r="19506" ht="15.75" customHeight="1">
      <c r="A19506" s="1">
        <v>20751.0</v>
      </c>
      <c r="B19506" s="3" t="s">
        <v>18452</v>
      </c>
      <c r="C19506" s="3" t="str">
        <f>IFERROR(__xludf.DUMMYFUNCTION("GOOGLETRANSLATE(B19506,""id"",""en"")"),"['Addin', 'promo', 'internet']")</f>
        <v>['Addin', 'promo', 'internet']</v>
      </c>
      <c r="D19506" s="3">
        <v>5.0</v>
      </c>
    </row>
    <row r="19507" ht="15.75" customHeight="1">
      <c r="A19507" s="1">
        <v>20752.0</v>
      </c>
      <c r="B19507" s="3" t="s">
        <v>18453</v>
      </c>
      <c r="C19507" s="3" t="str">
        <f>IFERROR(__xludf.DUMMYFUNCTION("GOOGLETRANSLATE(B19507,""id"",""en"")"),"['Min', 'Please', 'Telkomsel', 'Opened', '']")</f>
        <v>['Min', 'Please', 'Telkomsel', 'Opened', '']</v>
      </c>
      <c r="D19507" s="3">
        <v>2.0</v>
      </c>
    </row>
    <row r="19508" ht="15.75" customHeight="1">
      <c r="A19508" s="1">
        <v>20753.0</v>
      </c>
      <c r="B19508" s="3" t="s">
        <v>18454</v>
      </c>
      <c r="C19508" s="3" t="str">
        <f>IFERROR(__xludf.DUMMYFUNCTION("GOOGLETRANSLATE(B19508,""id"",""en"")"),"['buy', 'quota', 'pulse', 'right', 'buy', 'process', 'wait', 'buy', 'many', 'times']")</f>
        <v>['buy', 'quota', 'pulse', 'right', 'buy', 'process', 'wait', 'buy', 'many', 'times']</v>
      </c>
      <c r="D19508" s="3">
        <v>1.0</v>
      </c>
    </row>
    <row r="19509" ht="15.75" customHeight="1">
      <c r="A19509" s="1">
        <v>20754.0</v>
      </c>
      <c r="B19509" s="3" t="s">
        <v>18455</v>
      </c>
      <c r="C19509" s="3" t="str">
        <f>IFERROR(__xludf.DUMMYFUNCTION("GOOGLETRANSLATE(B19509,""id"",""en"")"),"['signal', 'sad', 'use', 'bound', 'data', '']")</f>
        <v>['signal', 'sad', 'use', 'bound', 'data', '']</v>
      </c>
      <c r="D19509" s="3">
        <v>1.0</v>
      </c>
    </row>
    <row r="19510" ht="15.75" customHeight="1">
      <c r="A19510" s="1">
        <v>20755.0</v>
      </c>
      <c r="B19510" s="3" t="s">
        <v>18456</v>
      </c>
      <c r="C19510" s="3" t="str">
        <f>IFERROR(__xludf.DUMMYFUNCTION("GOOGLETRANSLATE(B19510,""id"",""en"")"),"['Russy', 'A LIVING', 'LIFE', 'PKE', 'Telkomsel', 'Network', 'Crazy', 'Troubled', 'Basic', 'Network', 'Lemot', 'Udh', ' price ',' expensive ',' network ',' gol ',' problematic ',' base ',' network ',' bad ',' ']")</f>
        <v>['Russy', 'A LIVING', 'LIFE', 'PKE', 'Telkomsel', 'Network', 'Crazy', 'Troubled', 'Basic', 'Network', 'Lemot', 'Udh', ' price ',' expensive ',' network ',' gol ',' problematic ',' base ',' network ',' bad ',' ']</v>
      </c>
      <c r="D19510" s="3">
        <v>1.0</v>
      </c>
    </row>
    <row r="19511" ht="15.75" customHeight="1">
      <c r="A19511" s="1">
        <v>20756.0</v>
      </c>
      <c r="B19511" s="3" t="s">
        <v>18457</v>
      </c>
      <c r="C19511" s="3" t="str">
        <f>IFERROR(__xludf.DUMMYFUNCTION("GOOGLETRANSLATE(B19511,""id"",""en"")"),"['application', 'use', 'complicated', 'use it', 'Delete', 'dizziness',' requirements', 'open it', 'application', 'operator', 'easy', 'delicious',' use it ',' delete ',' detrimental ',' application ',' cheats', 'consumer', '']")</f>
        <v>['application', 'use', 'complicated', 'use it', 'Delete', 'dizziness',' requirements', 'open it', 'application', 'operator', 'easy', 'delicious',' use it ',' delete ',' detrimental ',' application ',' cheats', 'consumer', '']</v>
      </c>
      <c r="D19511" s="3">
        <v>1.0</v>
      </c>
    </row>
    <row r="19512" ht="15.75" customHeight="1">
      <c r="A19512" s="1">
        <v>20757.0</v>
      </c>
      <c r="B19512" s="3" t="s">
        <v>18458</v>
      </c>
      <c r="C19512" s="3" t="str">
        <f>IFERROR(__xludf.DUMMYFUNCTION("GOOGLETRANSLATE(B19512,""id"",""en"")"),"['Hope', 'Jripping', 'Bgus', 'lgi']")</f>
        <v>['Hope', 'Jripping', 'Bgus', 'lgi']</v>
      </c>
      <c r="D19512" s="3">
        <v>5.0</v>
      </c>
    </row>
    <row r="19513" ht="15.75" customHeight="1">
      <c r="A19513" s="1">
        <v>20758.0</v>
      </c>
      <c r="B19513" s="3" t="s">
        <v>18459</v>
      </c>
      <c r="C19513" s="3" t="str">
        <f>IFERROR(__xludf.DUMMYFUNCTION("GOOGLETRANSLATE(B19513,""id"",""en"")"),"['Sis',' Telkomsel ',' UDH ',' Good ',' The network ',' UDH ',' Kece ',' Bngt ',' Price ',' Package ',' LGI ',' LGI ',' Sis', 'expensive', 'Ama', 'snack', 'Please', 'Sis',' Kasih ',' KMI ',' PKET ',' Price ',' Low ',' a little ',' Mksi ' , '']")</f>
        <v>['Sis',' Telkomsel ',' UDH ',' Good ',' The network ',' UDH ',' Kece ',' Bngt ',' Price ',' Package ',' LGI ',' LGI ',' Sis', 'expensive', 'Ama', 'snack', 'Please', 'Sis',' Kasih ',' KMI ',' PKET ',' Price ',' Low ',' a little ',' Mksi ' , '']</v>
      </c>
      <c r="D19513" s="3">
        <v>4.0</v>
      </c>
    </row>
    <row r="19514" ht="15.75" customHeight="1">
      <c r="A19514" s="1">
        <v>20760.0</v>
      </c>
      <c r="B19514" s="3" t="s">
        <v>18460</v>
      </c>
      <c r="C19514" s="3" t="str">
        <f>IFERROR(__xludf.DUMMYFUNCTION("GOOGLETRANSLATE(B19514,""id"",""en"")"),"['Application', 'Blanx', 'Open', 'Why', ""]")</f>
        <v>['Application', 'Blanx', 'Open', 'Why', "]</v>
      </c>
      <c r="D19514" s="3">
        <v>1.0</v>
      </c>
    </row>
    <row r="19515" ht="15.75" customHeight="1">
      <c r="A19515" s="1">
        <v>20761.0</v>
      </c>
      <c r="B19515" s="3" t="s">
        <v>18461</v>
      </c>
      <c r="C19515" s="3" t="str">
        <f>IFERROR(__xludf.DUMMYFUNCTION("GOOGLETRANSLATE(B19515,""id"",""en"")"),"['fast', 'safe']")</f>
        <v>['fast', 'safe']</v>
      </c>
      <c r="D19515" s="3">
        <v>5.0</v>
      </c>
    </row>
    <row r="19516" ht="15.75" customHeight="1">
      <c r="A19516" s="1">
        <v>20762.0</v>
      </c>
      <c r="B19516" s="3" t="s">
        <v>18462</v>
      </c>
      <c r="C19516" s="3" t="str">
        <f>IFERROR(__xludf.DUMMYFUNCTION("GOOGLETRANSLATE(B19516,""id"",""en"")"),"['It's easy', 'buy', 'package', 'data', 'balance', 'pulse']")</f>
        <v>['It's easy', 'buy', 'package', 'data', 'balance', 'pulse']</v>
      </c>
      <c r="D19516" s="3">
        <v>5.0</v>
      </c>
    </row>
    <row r="19517" ht="15.75" customHeight="1">
      <c r="A19517" s="1">
        <v>20763.0</v>
      </c>
      <c r="B19517" s="3" t="s">
        <v>18463</v>
      </c>
      <c r="C19517" s="3" t="str">
        <f>IFERROR(__xludf.DUMMYFUNCTION("GOOGLETRANSLATE(B19517,""id"",""en"")"),"['TOP', ""]")</f>
        <v>['TOP', "]</v>
      </c>
      <c r="D19517" s="3">
        <v>3.0</v>
      </c>
    </row>
    <row r="19518" ht="15.75" customHeight="1">
      <c r="A19518" s="1">
        <v>20764.0</v>
      </c>
      <c r="B19518" s="3" t="s">
        <v>18464</v>
      </c>
      <c r="C19518" s="3" t="str">
        <f>IFERROR(__xludf.DUMMYFUNCTION("GOOGLETRANSLATE(B19518,""id"",""en"")"),"['update', 'application', 'no', 'open', 'poor', '']")</f>
        <v>['update', 'application', 'no', 'open', 'poor', '']</v>
      </c>
      <c r="D19518" s="3">
        <v>1.0</v>
      </c>
    </row>
    <row r="19519" ht="15.75" customHeight="1">
      <c r="A19519" s="1">
        <v>20765.0</v>
      </c>
      <c r="B19519" s="3" t="s">
        <v>18465</v>
      </c>
      <c r="C19519" s="3" t="str">
        <f>IFERROR(__xludf.DUMMYFUNCTION("GOOGLETRANSLATE(B19519,""id"",""en"")"),"['APLKSI', 'Tsel', 'Kbuka', 'Blank', 'White', 'TRS', 'KLWR', 'SNDRI', '']")</f>
        <v>['APLKSI', 'Tsel', 'Kbuka', 'Blank', 'White', 'TRS', 'KLWR', 'SNDRI', '']</v>
      </c>
      <c r="D19519" s="3">
        <v>1.0</v>
      </c>
    </row>
    <row r="19520" ht="15.75" customHeight="1">
      <c r="A19520" s="1">
        <v>20766.0</v>
      </c>
      <c r="B19520" s="3" t="s">
        <v>18466</v>
      </c>
      <c r="C19520" s="3" t="str">
        <f>IFERROR(__xludf.DUMMYFUNCTION("GOOGLETRANSLATE(B19520,""id"",""en"")"),"['Sorry', 'boss', 'Kenpa', 'Tumben', 'Application', 'Difficult', 'Enter', 'Check', 'Mhon', 'Solution', 'Boss', 'Serimaksih']")</f>
        <v>['Sorry', 'boss', 'Kenpa', 'Tumben', 'Application', 'Difficult', 'Enter', 'Check', 'Mhon', 'Solution', 'Boss', 'Serimaksih']</v>
      </c>
      <c r="D19520" s="3">
        <v>3.0</v>
      </c>
    </row>
    <row r="19521" ht="15.75" customHeight="1">
      <c r="A19521" s="1">
        <v>20767.0</v>
      </c>
      <c r="B19521" s="3" t="s">
        <v>18467</v>
      </c>
      <c r="C19521" s="3" t="str">
        <f>IFERROR(__xludf.DUMMYFUNCTION("GOOGLETRANSLATE(B19521,""id"",""en"")"),"['ugly', 'network', 'Telkomsel', 'price', 'package', 'expensive', 'just', 'quality', 'network', 'sad', 'please', 'fix', ' its service ',' custemer ']")</f>
        <v>['ugly', 'network', 'Telkomsel', 'price', 'package', 'expensive', 'just', 'quality', 'network', 'sad', 'please', 'fix', ' its service ',' custemer ']</v>
      </c>
      <c r="D19521" s="3">
        <v>1.0</v>
      </c>
    </row>
    <row r="19522" ht="15.75" customHeight="1">
      <c r="A19522" s="1">
        <v>20768.0</v>
      </c>
      <c r="B19522" s="3" t="s">
        <v>18468</v>
      </c>
      <c r="C19522" s="3" t="str">
        <f>IFERROR(__xludf.DUMMYFUNCTION("GOOGLETRANSLATE(B19522,""id"",""en"")"),"['Points', 'Reedem']")</f>
        <v>['Points', 'Reedem']</v>
      </c>
      <c r="D19522" s="3">
        <v>2.0</v>
      </c>
    </row>
    <row r="19523" ht="15.75" customHeight="1">
      <c r="A19523" s="1">
        <v>20769.0</v>
      </c>
      <c r="B19523" s="3" t="s">
        <v>18469</v>
      </c>
      <c r="C19523" s="3" t="str">
        <f>IFERROR(__xludf.DUMMYFUNCTION("GOOGLETRANSLATE(B19523,""id"",""en"")"),"['Min', 'already', 'love', 'star', 'get', 'quota', 'free', ""]")</f>
        <v>['Min', 'already', 'love', 'star', 'get', 'quota', 'free', "]</v>
      </c>
      <c r="D19523" s="3">
        <v>5.0</v>
      </c>
    </row>
    <row r="19524" ht="15.75" customHeight="1">
      <c r="A19524" s="1">
        <v>20770.0</v>
      </c>
      <c r="B19524" s="3" t="s">
        <v>18470</v>
      </c>
      <c r="C19524" s="3" t="str">
        <f>IFERROR(__xludf.DUMMYFUNCTION("GOOGLETRANSLATE(B19524,""id"",""en"")"),"['network', 'fart', 'expensive', 'doang', 'package', 'fart', 'network']")</f>
        <v>['network', 'fart', 'expensive', 'doang', 'package', 'fart', 'network']</v>
      </c>
      <c r="D19524" s="3">
        <v>1.0</v>
      </c>
    </row>
    <row r="19525" ht="15.75" customHeight="1">
      <c r="A19525" s="1">
        <v>20771.0</v>
      </c>
      <c r="B19525" s="3" t="s">
        <v>18471</v>
      </c>
      <c r="C19525" s="3" t="str">
        <f>IFERROR(__xludf.DUMMYFUNCTION("GOOGLETRANSLATE(B19525,""id"",""en"")"),"['Love', 'because', 'number', 'only', 'Different', 'price', 'expensive']")</f>
        <v>['Love', 'because', 'number', 'only', 'Different', 'price', 'expensive']</v>
      </c>
      <c r="D19525" s="3">
        <v>4.0</v>
      </c>
    </row>
    <row r="19526" ht="15.75" customHeight="1">
      <c r="A19526" s="1">
        <v>20772.0</v>
      </c>
      <c r="B19526" s="3" t="s">
        <v>1148</v>
      </c>
      <c r="C19526" s="3" t="str">
        <f>IFERROR(__xludf.DUMMYFUNCTION("GOOGLETRANSLATE(B19526,""id"",""en"")"),"['Application', 'opened']")</f>
        <v>['Application', 'opened']</v>
      </c>
      <c r="D19526" s="3">
        <v>1.0</v>
      </c>
    </row>
    <row r="19527" ht="15.75" customHeight="1">
      <c r="A19527" s="1">
        <v>20773.0</v>
      </c>
      <c r="B19527" s="3" t="s">
        <v>18472</v>
      </c>
      <c r="C19527" s="3" t="str">
        <f>IFERROR(__xludf.DUMMYFUNCTION("GOOGLETRANSLATE(B19527,""id"",""en"")"),"['easy', 'satisfied', 'choose', 'package', 'mna', 'likes']")</f>
        <v>['easy', 'satisfied', 'choose', 'package', 'mna', 'likes']</v>
      </c>
      <c r="D19527" s="3">
        <v>5.0</v>
      </c>
    </row>
    <row r="19528" ht="15.75" customHeight="1">
      <c r="A19528" s="1">
        <v>20774.0</v>
      </c>
      <c r="B19528" s="3" t="s">
        <v>18473</v>
      </c>
      <c r="C19528" s="3" t="str">
        <f>IFERROR(__xludf.DUMMYFUNCTION("GOOGLETRANSLATE(B19528,""id"",""en"")"),"['expandable', 'access']")</f>
        <v>['expandable', 'access']</v>
      </c>
      <c r="D19528" s="3">
        <v>1.0</v>
      </c>
    </row>
    <row r="19529" ht="15.75" customHeight="1">
      <c r="A19529" s="1">
        <v>20775.0</v>
      </c>
      <c r="B19529" s="3" t="s">
        <v>18474</v>
      </c>
      <c r="C19529" s="3" t="str">
        <f>IFERROR(__xludf.DUMMYFUNCTION("GOOGLETRANSLATE(B19529,""id"",""en"")"),"['', 'Telkomsel', 'version', 'Latest', 'Open', 'Android', 'Samsung', 'Update', 'Open', 'Application', 'Update', 'Version', 'Open ',' screen ',' white ']")</f>
        <v>['', 'Telkomsel', 'version', 'Latest', 'Open', 'Android', 'Samsung', 'Update', 'Open', 'Application', 'Update', 'Version', 'Open ',' screen ',' white ']</v>
      </c>
      <c r="D19529" s="3">
        <v>1.0</v>
      </c>
    </row>
    <row r="19530" ht="15.75" customHeight="1">
      <c r="A19530" s="1">
        <v>20776.0</v>
      </c>
      <c r="B19530" s="3" t="s">
        <v>18475</v>
      </c>
      <c r="C19530" s="3" t="str">
        <f>IFERROR(__xludf.DUMMYFUNCTION("GOOGLETRANSLATE(B19530,""id"",""en"")"),"['Telkomsel', 'signal', 'DANCOK']")</f>
        <v>['Telkomsel', 'signal', 'DANCOK']</v>
      </c>
      <c r="D19530" s="3">
        <v>1.0</v>
      </c>
    </row>
    <row r="19531" ht="15.75" customHeight="1">
      <c r="A19531" s="1">
        <v>20777.0</v>
      </c>
      <c r="B19531" s="3" t="s">
        <v>18476</v>
      </c>
      <c r="C19531" s="3" t="str">
        <f>IFERROR(__xludf.DUMMYFUNCTION("GOOGLETRANSLATE(B19531,""id"",""en"")"),"['Contents',' credit ',' Rb ',' bonus', 'credit', 'rb', 'turn', 'dpaketne', 'cut', 'internet', 'rb', 'love', ' Bonus', 'pls',' ']")</f>
        <v>['Contents',' credit ',' Rb ',' bonus', 'credit', 'rb', 'turn', 'dpaketne', 'cut', 'internet', 'rb', 'love', ' Bonus', 'pls',' ']</v>
      </c>
      <c r="D19531" s="3">
        <v>1.0</v>
      </c>
    </row>
    <row r="19532" ht="15.75" customHeight="1">
      <c r="A19532" s="1">
        <v>20778.0</v>
      </c>
      <c r="B19532" s="3" t="s">
        <v>18477</v>
      </c>
      <c r="C19532" s="3" t="str">
        <f>IFERROR(__xludf.DUMMYFUNCTION("GOOGLETRANSLATE(B19532,""id"",""en"")"),"['upgraded', 'stupid']")</f>
        <v>['upgraded', 'stupid']</v>
      </c>
      <c r="D19532" s="3">
        <v>1.0</v>
      </c>
    </row>
    <row r="19533" ht="15.75" customHeight="1">
      <c r="A19533" s="1">
        <v>20779.0</v>
      </c>
      <c r="B19533" s="3" t="s">
        <v>18478</v>
      </c>
      <c r="C19533" s="3" t="str">
        <f>IFERROR(__xludf.DUMMYFUNCTION("GOOGLETRANSLATE(B19533,""id"",""en"")"),"['Please', 'fix', 'network', 'missing', 'minutes']")</f>
        <v>['Please', 'fix', 'network', 'missing', 'minutes']</v>
      </c>
      <c r="D19533" s="3">
        <v>1.0</v>
      </c>
    </row>
    <row r="19534" ht="15.75" customHeight="1">
      <c r="A19534" s="1">
        <v>20780.0</v>
      </c>
      <c r="B19534" s="3" t="s">
        <v>18479</v>
      </c>
      <c r="C19534" s="3" t="str">
        <f>IFERROR(__xludf.DUMMYFUNCTION("GOOGLETRANSLATE(B19534,""id"",""en"")"),"[ 'Pling', 'jaringannnnmmmmmmmnnnnnnnnnnnnmmmmnmmnnnnnnnnnnnnnnnnnnnnn', 'Ko']")</f>
        <v>[ 'Pling', 'jaringannnnmmmmmmmnnnnnnnnnnnnmmmmnmmnnnnnnnnnnnnnnnnnnnnn', 'Ko']</v>
      </c>
      <c r="D19534" s="3">
        <v>1.0</v>
      </c>
    </row>
    <row r="19535" ht="15.75" customHeight="1">
      <c r="A19535" s="1">
        <v>20781.0</v>
      </c>
      <c r="B19535" s="3" t="s">
        <v>18480</v>
      </c>
      <c r="C19535" s="3" t="str">
        <f>IFERROR(__xludf.DUMMYFUNCTION("GOOGLETRANSLATE(B19535,""id"",""en"")"),"['try', 'ksh', 'dlu', 'good', 'apk', 'telkomsel', 'dlm', 'serve', 'customer']")</f>
        <v>['try', 'ksh', 'dlu', 'good', 'apk', 'telkomsel', 'dlm', 'serve', 'customer']</v>
      </c>
      <c r="D19535" s="3">
        <v>3.0</v>
      </c>
    </row>
    <row r="19536" ht="15.75" customHeight="1">
      <c r="A19536" s="1">
        <v>20782.0</v>
      </c>
      <c r="B19536" s="3" t="s">
        <v>18481</v>
      </c>
      <c r="C19536" s="3" t="str">
        <f>IFERROR(__xludf.DUMMYFUNCTION("GOOGLETRANSLATE(B19536,""id"",""en"")"),"['signal', 'no', 'no', 'signal']")</f>
        <v>['signal', 'no', 'no', 'signal']</v>
      </c>
      <c r="D19536" s="3">
        <v>2.0</v>
      </c>
    </row>
    <row r="19537" ht="15.75" customHeight="1">
      <c r="A19537" s="1">
        <v>20783.0</v>
      </c>
      <c r="B19537" s="3" t="s">
        <v>18482</v>
      </c>
      <c r="C19537" s="3" t="str">
        <f>IFERROR(__xludf.DUMMYFUNCTION("GOOGLETRANSLATE(B19537,""id"",""en"")"),"['Application', 'Open', 'Signal', 'Telkomsel', 'lag', 'Full', 'Display', '']")</f>
        <v>['Application', 'Open', 'Signal', 'Telkomsel', 'lag', 'Full', 'Display', '']</v>
      </c>
      <c r="D19537" s="3">
        <v>1.0</v>
      </c>
    </row>
    <row r="19538" ht="15.75" customHeight="1">
      <c r="A19538" s="1">
        <v>20784.0</v>
      </c>
      <c r="B19538" s="3" t="s">
        <v>18483</v>
      </c>
      <c r="C19538" s="3" t="str">
        <f>IFERROR(__xludf.DUMMYFUNCTION("GOOGLETRANSLATE(B19538,""id"",""en"")"),"['Application', 'Open', 'Application', 'picture', 'just', 'screen', 'white', 'Season', ""]")</f>
        <v>['Application', 'Open', 'Application', 'picture', 'just', 'screen', 'white', 'Season', "]</v>
      </c>
      <c r="D19538" s="3">
        <v>1.0</v>
      </c>
    </row>
    <row r="19539" ht="15.75" customHeight="1">
      <c r="A19539" s="1">
        <v>20785.0</v>
      </c>
      <c r="B19539" s="3" t="s">
        <v>18484</v>
      </c>
      <c r="C19539" s="3" t="str">
        <f>IFERROR(__xludf.DUMMYFUNCTION("GOOGLETRANSLATE(B19539,""id"",""en"")"),"['Please', 'Located', 'little', 'quota']")</f>
        <v>['Please', 'Located', 'little', 'quota']</v>
      </c>
      <c r="D19539" s="3">
        <v>5.0</v>
      </c>
    </row>
    <row r="19540" ht="15.75" customHeight="1">
      <c r="A19540" s="1">
        <v>20786.0</v>
      </c>
      <c r="B19540" s="3" t="s">
        <v>18485</v>
      </c>
      <c r="C19540" s="3" t="str">
        <f>IFERROR(__xludf.DUMMYFUNCTION("GOOGLETRANSLATE(B19540,""id"",""en"")"),"['dead', 'lights',' network ',' direct ',' meek ',' ujan ',' little ',' already ',' lag ',' how ',' cave ',' wapped ',' KLH ',' Mulu ',' ngentod ']")</f>
        <v>['dead', 'lights',' network ',' direct ',' meek ',' ujan ',' little ',' already ',' lag ',' how ',' cave ',' wapped ',' KLH ',' Mulu ',' ngentod ']</v>
      </c>
      <c r="D19540" s="3">
        <v>1.0</v>
      </c>
    </row>
    <row r="19541" ht="15.75" customHeight="1">
      <c r="A19541" s="1">
        <v>20787.0</v>
      </c>
      <c r="B19541" s="3" t="s">
        <v>18486</v>
      </c>
      <c r="C19541" s="3" t="str">
        <f>IFERROR(__xludf.DUMMYFUNCTION("GOOGLETRANSLATE(B19541,""id"",""en"")"),"['user', 'card', 'Telkomsel', 'already', 'tens', 'love', 'star', 'direct', 'hopefully', 'in the future', 'increase', ""]")</f>
        <v>['user', 'card', 'Telkomsel', 'already', 'tens', 'love', 'star', 'direct', 'hopefully', 'in the future', 'increase', "]</v>
      </c>
      <c r="D19541" s="3">
        <v>5.0</v>
      </c>
    </row>
    <row r="19542" ht="15.75" customHeight="1">
      <c r="A19542" s="1">
        <v>20788.0</v>
      </c>
      <c r="B19542" s="3" t="s">
        <v>18487</v>
      </c>
      <c r="C19542" s="3" t="str">
        <f>IFERROR(__xludf.DUMMYFUNCTION("GOOGLETRANSLATE(B19542,""id"",""en"")"),"['Download', 'run out', 'data', 'pulse', 'use', 'wifi']")</f>
        <v>['Download', 'run out', 'data', 'pulse', 'use', 'wifi']</v>
      </c>
      <c r="D19542" s="3">
        <v>1.0</v>
      </c>
    </row>
    <row r="19543" ht="15.75" customHeight="1">
      <c r="A19543" s="1">
        <v>20789.0</v>
      </c>
      <c r="B19543" s="3" t="s">
        <v>18488</v>
      </c>
      <c r="C19543" s="3" t="str">
        <f>IFERROR(__xludf.DUMMYFUNCTION("GOOGLETRANSLATE(B19543,""id"",""en"")"),"['Telkomsel', 'rotten', 'game', '']")</f>
        <v>['Telkomsel', 'rotten', 'game', '']</v>
      </c>
      <c r="D19543" s="3">
        <v>1.0</v>
      </c>
    </row>
    <row r="19544" ht="15.75" customHeight="1">
      <c r="A19544" s="1">
        <v>20790.0</v>
      </c>
      <c r="B19544" s="3" t="s">
        <v>18489</v>
      </c>
      <c r="C19544" s="3" t="str">
        <f>IFERROR(__xludf.DUMMYFUNCTION("GOOGLETRANSLATE(B19544,""id"",""en"")"),"['Please', 'help', 'lowering', 'type', 'card', 'gold', 'silver', 'expensive', 'package', 'internet']")</f>
        <v>['Please', 'help', 'lowering', 'type', 'card', 'gold', 'silver', 'expensive', 'package', 'internet']</v>
      </c>
      <c r="D19544" s="3">
        <v>5.0</v>
      </c>
    </row>
    <row r="19545" ht="15.75" customHeight="1">
      <c r="A19545" s="1">
        <v>20791.0</v>
      </c>
      <c r="B19545" s="3" t="s">
        <v>18490</v>
      </c>
      <c r="C19545" s="3" t="str">
        <f>IFERROR(__xludf.DUMMYFUNCTION("GOOGLETRANSLATE(B19545,""id"",""en"")"),"['Kaaih', 'star', 'good', 'love', 'star', '']")</f>
        <v>['Kaaih', 'star', 'good', 'love', 'star', '']</v>
      </c>
      <c r="D19545" s="3">
        <v>1.0</v>
      </c>
    </row>
    <row r="19546" ht="15.75" customHeight="1">
      <c r="A19546" s="1">
        <v>20792.0</v>
      </c>
      <c r="B19546" s="3" t="s">
        <v>18491</v>
      </c>
      <c r="C19546" s="3" t="str">
        <f>IFERROR(__xludf.DUMMYFUNCTION("GOOGLETRANSLATE(B19546,""id"",""en"")"),"['Telekomsel', 'Come', 'Bad', 'The network', 'lazy', 'Change', 'Disappointed', 'Disappointed', 'Heavy', 'PDHAL', 'Customer', 'Faithful', ' Play ',' Good ',' Network ',' Bad ',' ']")</f>
        <v>['Telekomsel', 'Come', 'Bad', 'The network', 'lazy', 'Change', 'Disappointed', 'Disappointed', 'Heavy', 'PDHAL', 'Customer', 'Faithful', ' Play ',' Good ',' Network ',' Bad ',' ']</v>
      </c>
      <c r="D19546" s="3">
        <v>1.0</v>
      </c>
    </row>
    <row r="19547" ht="15.75" customHeight="1">
      <c r="A19547" s="1">
        <v>20793.0</v>
      </c>
      <c r="B19547" s="3" t="s">
        <v>18492</v>
      </c>
      <c r="C19547" s="3" t="str">
        <f>IFERROR(__xludf.DUMMYFUNCTION("GOOGLETRANSLATE(B19547,""id"",""en"")"),"['Network', 'You', 'Repaired', 'User', 'Naikan', 'Price', 'Package', '']")</f>
        <v>['Network', 'You', 'Repaired', 'User', 'Naikan', 'Price', 'Package', '']</v>
      </c>
      <c r="D19547" s="3">
        <v>1.0</v>
      </c>
    </row>
    <row r="19548" ht="15.75" customHeight="1">
      <c r="A19548" s="1">
        <v>20794.0</v>
      </c>
      <c r="B19548" s="3" t="s">
        <v>18493</v>
      </c>
      <c r="C19548" s="3" t="str">
        <f>IFERROR(__xludf.DUMMYFUNCTION("GOOGLETRANSLATE(B19548,""id"",""en"")"),"['Network', 'stable', 'troubling', 'already', 'package', 'expensive', 'plus',' network ',' slow ',' strange ',' really ',' network ',' Telkomsel ',' Please ',' Fix ',' The Network ',' The Network ',' Strong ',' Koq ',' Slow ',' Lemot ',' Clock ',' Strong "&amp;"',' The Network ',' Deket ' , 'Tower', 'Network', 'Kzl', '']")</f>
        <v>['Network', 'stable', 'troubling', 'already', 'package', 'expensive', 'plus',' network ',' slow ',' strange ',' really ',' network ',' Telkomsel ',' Please ',' Fix ',' The Network ',' The Network ',' Strong ',' Koq ',' Slow ',' Lemot ',' Clock ',' Strong ',' The Network ',' Deket ' , 'Tower', 'Network', 'Kzl', '']</v>
      </c>
      <c r="D19548" s="3">
        <v>1.0</v>
      </c>
    </row>
    <row r="19549" ht="15.75" customHeight="1">
      <c r="A19549" s="1">
        <v>20795.0</v>
      </c>
      <c r="B19549" s="3" t="s">
        <v>18494</v>
      </c>
      <c r="C19549" s="3" t="str">
        <f>IFERROR(__xludf.DUMMYFUNCTION("GOOGLETRANSLATE(B19549,""id"",""en"")"),"['', 'Error', 'Disappear', 'App', 'Open', 'Application', 'Donk', 'Why', 'Telkomsel', 'Healthy']")</f>
        <v>['', 'Error', 'Disappear', 'App', 'Open', 'Application', 'Donk', 'Why', 'Telkomsel', 'Healthy']</v>
      </c>
      <c r="D19549" s="3">
        <v>2.0</v>
      </c>
    </row>
    <row r="19550" ht="15.75" customHeight="1">
      <c r="A19550" s="1">
        <v>20796.0</v>
      </c>
      <c r="B19550" s="3" t="s">
        <v>859</v>
      </c>
      <c r="C19550" s="3" t="str">
        <f>IFERROR(__xludf.DUMMYFUNCTION("GOOGLETRANSLATE(B19550,""id"",""en"")"),"['help', '']")</f>
        <v>['help', '']</v>
      </c>
      <c r="D19550" s="3">
        <v>5.0</v>
      </c>
    </row>
    <row r="19551" ht="15.75" customHeight="1">
      <c r="A19551" s="1">
        <v>20797.0</v>
      </c>
      <c r="B19551" s="3" t="s">
        <v>18495</v>
      </c>
      <c r="C19551" s="3" t="str">
        <f>IFERROR(__xludf.DUMMYFUNCTION("GOOGLETRANSLATE(B19551,""id"",""en"")"),"['Download', 'Telkomsel', 'installed', 'Telakus', 'Download']")</f>
        <v>['Download', 'Telkomsel', 'installed', 'Telakus', 'Download']</v>
      </c>
      <c r="D19551" s="3">
        <v>5.0</v>
      </c>
    </row>
    <row r="19552" ht="15.75" customHeight="1">
      <c r="A19552" s="1">
        <v>20798.0</v>
      </c>
      <c r="B19552" s="3" t="s">
        <v>18496</v>
      </c>
      <c r="C19552" s="3" t="str">
        <f>IFERROR(__xludf.DUMMYFUNCTION("GOOGLETRANSLATE(B19552,""id"",""en"")"),"['Please', 'Package', 'Internet', 'Daily', 'Add', 'Home']")</f>
        <v>['Please', 'Package', 'Internet', 'Daily', 'Add', 'Home']</v>
      </c>
      <c r="D19552" s="3">
        <v>4.0</v>
      </c>
    </row>
    <row r="19553" ht="15.75" customHeight="1">
      <c r="A19553" s="1">
        <v>20799.0</v>
      </c>
      <c r="B19553" s="3" t="s">
        <v>18497</v>
      </c>
      <c r="C19553" s="3" t="str">
        <f>IFERROR(__xludf.DUMMYFUNCTION("GOOGLETRANSLATE(B19553,""id"",""en"")"),"['Sis',' Update ',' Telkomsel ',' screen ',' White ',' Image ',' Install ',' Install ',' The result ',' screen ',' White ',' what ',' Yaa ', ""]")</f>
        <v>['Sis',' Update ',' Telkomsel ',' screen ',' White ',' Image ',' Install ',' Install ',' The result ',' screen ',' White ',' what ',' Yaa ', "]</v>
      </c>
      <c r="D19553" s="3">
        <v>4.0</v>
      </c>
    </row>
    <row r="19554" ht="15.75" customHeight="1">
      <c r="A19554" s="1">
        <v>20800.0</v>
      </c>
      <c r="B19554" s="3" t="s">
        <v>18498</v>
      </c>
      <c r="C19554" s="3" t="str">
        <f>IFERROR(__xludf.DUMMYFUNCTION("GOOGLETRANSLATE(B19554,""id"",""en"")"),"['APK', 'updated', 'opened', 'APK', 'responding', ""]")</f>
        <v>['APK', 'updated', 'opened', 'APK', 'responding', "]</v>
      </c>
      <c r="D19554" s="3">
        <v>1.0</v>
      </c>
    </row>
    <row r="19555" ht="15.75" customHeight="1">
      <c r="A19555" s="1">
        <v>20801.0</v>
      </c>
      <c r="B19555" s="3" t="s">
        <v>18499</v>
      </c>
      <c r="C19555" s="3" t="str">
        <f>IFERROR(__xludf.DUMMYFUNCTION("GOOGLETRANSLATE(B19555,""id"",""en"")"),"['signal', 'network', 'difficult', 'mentang', 'UDH', 'appears',' slow ',' subscription ',' Telkomsel ',' Udh ',' Slalu ',' Disaster ',' difficult ',' network ',' Kmarin ',' updated ',' update ',' mulu ']")</f>
        <v>['signal', 'network', 'difficult', 'mentang', 'UDH', 'appears',' slow ',' subscription ',' Telkomsel ',' Udh ',' Slalu ',' Disaster ',' difficult ',' network ',' Kmarin ',' updated ',' update ',' mulu ']</v>
      </c>
      <c r="D19555" s="3">
        <v>2.0</v>
      </c>
    </row>
    <row r="19556" ht="15.75" customHeight="1">
      <c r="A19556" s="1">
        <v>20802.0</v>
      </c>
      <c r="B19556" s="3" t="s">
        <v>18500</v>
      </c>
      <c r="C19556" s="3" t="str">
        <f>IFERROR(__xludf.DUMMYFUNCTION("GOOGLETRANSLATE(B19556,""id"",""en"")"),"['report', 'failed', 'open', 'billing', 'card', 'Hello', 'fast', 'response', 'reported', 'October', 'settlement', 'report', ' times', 'process',' open ',' billing ',' pin ',' standard ',' repaired ',' estimation ',' settlement ',' response ',' wait ',' ph"&amp;"one ', ""]")</f>
        <v>['report', 'failed', 'open', 'billing', 'card', 'Hello', 'fast', 'response', 'reported', 'October', 'settlement', 'report', ' times', 'process',' open ',' billing ',' pin ',' standard ',' repaired ',' estimation ',' settlement ',' response ',' wait ',' phone ', "]</v>
      </c>
      <c r="D19556" s="3">
        <v>3.0</v>
      </c>
    </row>
    <row r="19557" ht="15.75" customHeight="1">
      <c r="A19557" s="1">
        <v>20803.0</v>
      </c>
      <c r="B19557" s="3" t="s">
        <v>18501</v>
      </c>
      <c r="C19557" s="3" t="str">
        <f>IFERROR(__xludf.DUMMYFUNCTION("GOOGLETRANSLATE(B19557,""id"",""en"")"),"['Woy', 'application', 'Nge', 'blang', 'white', 'me', 'restart', 'I', 'go', 'setting', 'clean', 'cache', ' Tetep ',' Nge ',' Blang ',' Blz ',' Experts', 'Telkomsel']")</f>
        <v>['Woy', 'application', 'Nge', 'blang', 'white', 'me', 'restart', 'I', 'go', 'setting', 'clean', 'cache', ' Tetep ',' Nge ',' Blang ',' Blz ',' Experts', 'Telkomsel']</v>
      </c>
      <c r="D19557" s="3">
        <v>2.0</v>
      </c>
    </row>
    <row r="19558" ht="15.75" customHeight="1">
      <c r="A19558" s="1">
        <v>20804.0</v>
      </c>
      <c r="B19558" s="3" t="s">
        <v>18502</v>
      </c>
      <c r="C19558" s="3" t="str">
        <f>IFERROR(__xludf.DUMMYFUNCTION("GOOGLETRANSLATE(B19558,""id"",""en"")"),"['Hopefully', 'signal', 'NGK', 'LEG']")</f>
        <v>['Hopefully', 'signal', 'NGK', 'LEG']</v>
      </c>
      <c r="D19558" s="3">
        <v>4.0</v>
      </c>
    </row>
    <row r="19559" ht="15.75" customHeight="1">
      <c r="A19559" s="1">
        <v>20805.0</v>
      </c>
      <c r="B19559" s="3" t="s">
        <v>31</v>
      </c>
      <c r="C19559" s="3" t="str">
        <f>IFERROR(__xludf.DUMMYFUNCTION("GOOGLETRANSLATE(B19559,""id"",""en"")"),"['Application', 'Open', '']")</f>
        <v>['Application', 'Open', '']</v>
      </c>
      <c r="D19559" s="3">
        <v>2.0</v>
      </c>
    </row>
    <row r="19560" ht="15.75" customHeight="1">
      <c r="A19560" s="1">
        <v>20806.0</v>
      </c>
      <c r="B19560" s="3" t="s">
        <v>18503</v>
      </c>
      <c r="C19560" s="3" t="str">
        <f>IFERROR(__xludf.DUMMYFUNCTION("GOOGLETRANSLATE(B19560,""id"",""en"")"),"['try', 'run', 'smooth', 'love', 'star', ""]")</f>
        <v>['try', 'run', 'smooth', 'love', 'star', "]</v>
      </c>
      <c r="D19560" s="3">
        <v>2.0</v>
      </c>
    </row>
    <row r="19561" ht="15.75" customHeight="1">
      <c r="A19561" s="1">
        <v>20807.0</v>
      </c>
      <c r="B19561" s="3" t="s">
        <v>18504</v>
      </c>
      <c r="C19561" s="3" t="str">
        <f>IFERROR(__xludf.DUMMYFUNCTION("GOOGLETRANSLATE(B19561,""id"",""en"")"),"['dlu', 'signal', 'dibanggain', 'skrng', 'udh', 'package', 'expensive', 'slow']")</f>
        <v>['dlu', 'signal', 'dibanggain', 'skrng', 'udh', 'package', 'expensive', 'slow']</v>
      </c>
      <c r="D19561" s="3">
        <v>1.0</v>
      </c>
    </row>
    <row r="19562" ht="15.75" customHeight="1">
      <c r="A19562" s="1">
        <v>20808.0</v>
      </c>
      <c r="B19562" s="3" t="s">
        <v>18505</v>
      </c>
      <c r="C19562" s="3" t="str">
        <f>IFERROR(__xludf.DUMMYFUNCTION("GOOGLETRANSLATE(B19562,""id"",""en"")"),"['rare', 'promo', 'nya']")</f>
        <v>['rare', 'promo', 'nya']</v>
      </c>
      <c r="D19562" s="3">
        <v>1.0</v>
      </c>
    </row>
    <row r="19563" ht="15.75" customHeight="1">
      <c r="A19563" s="1">
        <v>20809.0</v>
      </c>
      <c r="B19563" s="3" t="s">
        <v>18506</v>
      </c>
      <c r="C19563" s="3" t="str">
        <f>IFERROR(__xludf.DUMMYFUNCTION("GOOGLETRANSLATE(B19563,""id"",""en"")"),"['Severe', 'enter', 'Application', 'Telkomsel', 'UDH', 'HARD', 'GMN', 'Application', '']")</f>
        <v>['Severe', 'enter', 'Application', 'Telkomsel', 'UDH', 'HARD', 'GMN', 'Application', '']</v>
      </c>
      <c r="D19563" s="3">
        <v>1.0</v>
      </c>
    </row>
    <row r="19564" ht="15.75" customHeight="1">
      <c r="A19564" s="1">
        <v>20810.0</v>
      </c>
      <c r="B19564" s="3" t="s">
        <v>18507</v>
      </c>
      <c r="C19564" s="3" t="str">
        <f>IFERROR(__xludf.DUMMYFUNCTION("GOOGLETRANSLATE(B19564,""id"",""en"")"),"['signal', 'Telkomsel', 'thank', 'love']")</f>
        <v>['signal', 'Telkomsel', 'thank', 'love']</v>
      </c>
      <c r="D19564" s="3">
        <v>5.0</v>
      </c>
    </row>
    <row r="19565" ht="15.75" customHeight="1">
      <c r="A19565" s="1">
        <v>20811.0</v>
      </c>
      <c r="B19565" s="3" t="s">
        <v>18508</v>
      </c>
      <c r="C19565" s="3" t="str">
        <f>IFERROR(__xludf.DUMMYFUNCTION("GOOGLETRANSLATE(B19565,""id"",""en"")"),"['Sometimes', 'times', 'enter', 'application', 'like', 'force', 'close']")</f>
        <v>['Sometimes', 'times', 'enter', 'application', 'like', 'force', 'close']</v>
      </c>
      <c r="D19565" s="3">
        <v>1.0</v>
      </c>
    </row>
    <row r="19566" ht="15.75" customHeight="1">
      <c r="A19566" s="1">
        <v>20812.0</v>
      </c>
      <c r="B19566" s="3" t="s">
        <v>18509</v>
      </c>
      <c r="C19566" s="3" t="str">
        <f>IFERROR(__xludf.DUMMYFUNCTION("GOOGLETRANSLATE(B19566,""id"",""en"")"),"['Telkomsel', 'the network', 'good', 'promo', 'quota', 'cheap', 'really']")</f>
        <v>['Telkomsel', 'the network', 'good', 'promo', 'quota', 'cheap', 'really']</v>
      </c>
      <c r="D19566" s="3">
        <v>5.0</v>
      </c>
    </row>
    <row r="19567" ht="15.75" customHeight="1">
      <c r="A19567" s="1">
        <v>20813.0</v>
      </c>
      <c r="B19567" s="3" t="s">
        <v>18510</v>
      </c>
      <c r="C19567" s="3" t="str">
        <f>IFERROR(__xludf.DUMMYFUNCTION("GOOGLETRANSLATE(B19567,""id"",""en"")"),"['', 'Telkomsel', 'Okay', ""]")</f>
        <v>['', 'Telkomsel', 'Okay', "]</v>
      </c>
      <c r="D19567" s="3">
        <v>5.0</v>
      </c>
    </row>
    <row r="19568" ht="15.75" customHeight="1">
      <c r="A19568" s="1">
        <v>20814.0</v>
      </c>
      <c r="B19568" s="3" t="s">
        <v>18511</v>
      </c>
      <c r="C19568" s="3" t="str">
        <f>IFERROR(__xludf.DUMMYFUNCTION("GOOGLETRANSLATE(B19568,""id"",""en"")"),"['Network', 'Burik', 'anjg', 'price', 'expensive', 'quality', 'network', 'BURIK', '']")</f>
        <v>['Network', 'Burik', 'anjg', 'price', 'expensive', 'quality', 'network', 'BURIK', '']</v>
      </c>
      <c r="D19568" s="3">
        <v>1.0</v>
      </c>
    </row>
    <row r="19569" ht="15.75" customHeight="1">
      <c r="A19569" s="1">
        <v>20815.0</v>
      </c>
      <c r="B19569" s="3" t="s">
        <v>18512</v>
      </c>
      <c r="C19569" s="3" t="str">
        <f>IFERROR(__xludf.DUMMYFUNCTION("GOOGLETRANSLATE(B19569,""id"",""en"")"),"['Check', 'Daily', 'Program', 'Daily', 'Check', 'Version', 'Latest', 'Contact', 'Support', 'Admin', 'Following', 'Hint', ' Suggestions', 'Operators',' Please ',' Bug ',' Fix ']")</f>
        <v>['Check', 'Daily', 'Program', 'Daily', 'Check', 'Version', 'Latest', 'Contact', 'Support', 'Admin', 'Following', 'Hint', ' Suggestions', 'Operators',' Please ',' Bug ',' Fix ']</v>
      </c>
      <c r="D19569" s="3">
        <v>5.0</v>
      </c>
    </row>
    <row r="19570" ht="15.75" customHeight="1">
      <c r="A19570" s="1">
        <v>20816.0</v>
      </c>
      <c r="B19570" s="3" t="s">
        <v>18513</v>
      </c>
      <c r="C19570" s="3" t="str">
        <f>IFERROR(__xludf.DUMMYFUNCTION("GOOGLETRANSLATE(B19570,""id"",""en"")"),"['The application', 'help', 'easy', 'steady']")</f>
        <v>['The application', 'help', 'easy', 'steady']</v>
      </c>
      <c r="D19570" s="3">
        <v>5.0</v>
      </c>
    </row>
    <row r="19571" ht="15.75" customHeight="1">
      <c r="A19571" s="1">
        <v>20817.0</v>
      </c>
      <c r="B19571" s="3" t="s">
        <v>18514</v>
      </c>
      <c r="C19571" s="3" t="str">
        <f>IFERROR(__xludf.DUMMYFUNCTION("GOOGLETRANSLATE(B19571,""id"",""en"")"),"['Knp', 'skrg', 'network', 'Telkomsel', 'slow', 'quota', 'bnyak', 'TPI', 'difficult', 'access', 'internet']")</f>
        <v>['Knp', 'skrg', 'network', 'Telkomsel', 'slow', 'quota', 'bnyak', 'TPI', 'difficult', 'access', 'internet']</v>
      </c>
      <c r="D19571" s="3">
        <v>4.0</v>
      </c>
    </row>
    <row r="19572" ht="15.75" customHeight="1">
      <c r="A19572" s="1">
        <v>20818.0</v>
      </c>
      <c r="B19572" s="3" t="s">
        <v>18515</v>
      </c>
      <c r="C19572" s="3" t="str">
        <f>IFERROR(__xludf.DUMMYFUNCTION("GOOGLETRANSLATE(B19572,""id"",""en"")"),"['Please', 'Fixed', 'Network', 'Price', 'Official', 'Signal', 'Disabled']")</f>
        <v>['Please', 'Fixed', 'Network', 'Price', 'Official', 'Signal', 'Disabled']</v>
      </c>
      <c r="D19572" s="3">
        <v>1.0</v>
      </c>
    </row>
    <row r="19573" ht="15.75" customHeight="1">
      <c r="A19573" s="1">
        <v>20819.0</v>
      </c>
      <c r="B19573" s="3" t="s">
        <v>18516</v>
      </c>
      <c r="C19573" s="3" t="str">
        <f>IFERROR(__xludf.DUMMYFUNCTION("GOOGLETRANSLATE(B19573,""id"",""en"")"),"['It's easy', 'Kouta', 'left']")</f>
        <v>['It's easy', 'Kouta', 'left']</v>
      </c>
      <c r="D19573" s="3">
        <v>5.0</v>
      </c>
    </row>
    <row r="19574" ht="15.75" customHeight="1">
      <c r="A19574" s="1">
        <v>20820.0</v>
      </c>
      <c r="B19574" s="3" t="s">
        <v>18517</v>
      </c>
      <c r="C19574" s="3" t="str">
        <f>IFERROR(__xludf.DUMMYFUNCTION("GOOGLETRANSLATE(B19574,""id"",""en"")"),"['The network', 'slow', 'really', 'package', 'expensive', 'krna', 'slow']")</f>
        <v>['The network', 'slow', 'really', 'package', 'expensive', 'krna', 'slow']</v>
      </c>
      <c r="D19574" s="3">
        <v>1.0</v>
      </c>
    </row>
    <row r="19575" ht="15.75" customHeight="1">
      <c r="A19575" s="1">
        <v>20821.0</v>
      </c>
      <c r="B19575" s="3" t="s">
        <v>18518</v>
      </c>
      <c r="C19575" s="3" t="str">
        <f>IFERROR(__xludf.DUMMYFUNCTION("GOOGLETRANSLATE(B19575,""id"",""en"")"),"['screen', 'white', 'appears', 'menu', 'apk', 'please', 'please', 'really', 'please', 'please', 'please', 'please' Please, 'Please', 'Love', '']")</f>
        <v>['screen', 'white', 'appears', 'menu', 'apk', 'please', 'please', 'really', 'please', 'please', 'please', 'please' Please, 'Please', 'Love', '']</v>
      </c>
      <c r="D19575" s="3">
        <v>1.0</v>
      </c>
    </row>
    <row r="19576" ht="15.75" customHeight="1">
      <c r="A19576" s="1">
        <v>20823.0</v>
      </c>
      <c r="B19576" s="3" t="s">
        <v>18519</v>
      </c>
      <c r="C19576" s="3" t="str">
        <f>IFERROR(__xludf.DUMMYFUNCTION("GOOGLETRANSLATE(B19576,""id"",""en"")"),"['Section', 'Cook', 'Rain', 'Disruption', 'Signal', 'Lost', 'Outback', 'Provider', 'Best']")</f>
        <v>['Section', 'Cook', 'Rain', 'Disruption', 'Signal', 'Lost', 'Outback', 'Provider', 'Best']</v>
      </c>
      <c r="D19576" s="3">
        <v>1.0</v>
      </c>
    </row>
    <row r="19577" ht="15.75" customHeight="1">
      <c r="A19577" s="1">
        <v>20824.0</v>
      </c>
      <c r="B19577" s="3" t="s">
        <v>14098</v>
      </c>
      <c r="C19577" s="3" t="str">
        <f>IFERROR(__xludf.DUMMYFUNCTION("GOOGLETRANSLATE(B19577,""id"",""en"")"),"['Success', 'Telkomsel']")</f>
        <v>['Success', 'Telkomsel']</v>
      </c>
      <c r="D19577" s="3">
        <v>5.0</v>
      </c>
    </row>
    <row r="19578" ht="15.75" customHeight="1">
      <c r="A19578" s="1">
        <v>20825.0</v>
      </c>
      <c r="B19578" s="3" t="s">
        <v>18520</v>
      </c>
      <c r="C19578" s="3" t="str">
        <f>IFERROR(__xludf.DUMMYFUNCTION("GOOGLETRANSLATE(B19578,""id"",""en"")"),"['Loading', 'laaaaama', 'quota']")</f>
        <v>['Loading', 'laaaaama', 'quota']</v>
      </c>
      <c r="D19578" s="3">
        <v>1.0</v>
      </c>
    </row>
    <row r="19579" ht="15.75" customHeight="1">
      <c r="A19579" s="1">
        <v>20826.0</v>
      </c>
      <c r="B19579" s="3" t="s">
        <v>18521</v>
      </c>
      <c r="C19579" s="3" t="str">
        <f>IFERROR(__xludf.DUMMYFUNCTION("GOOGLETRANSLATE(B19579,""id"",""en"")"),"['Package', 'cheap', 'put', 'veranda', 'difficult', 'search']")</f>
        <v>['Package', 'cheap', 'put', 'veranda', 'difficult', 'search']</v>
      </c>
      <c r="D19579" s="3">
        <v>5.0</v>
      </c>
    </row>
    <row r="19580" ht="15.75" customHeight="1">
      <c r="A19580" s="1">
        <v>20827.0</v>
      </c>
      <c r="B19580" s="3" t="s">
        <v>18522</v>
      </c>
      <c r="C19580" s="3" t="str">
        <f>IFERROR(__xludf.DUMMYFUNCTION("GOOGLETRANSLATE(B19580,""id"",""en"")"),"['like', 'Ngebug', 'cuk']")</f>
        <v>['like', 'Ngebug', 'cuk']</v>
      </c>
      <c r="D19580" s="3">
        <v>5.0</v>
      </c>
    </row>
    <row r="19581" ht="15.75" customHeight="1">
      <c r="A19581" s="1">
        <v>20828.0</v>
      </c>
      <c r="B19581" s="3" t="s">
        <v>18523</v>
      </c>
      <c r="C19581" s="3" t="str">
        <f>IFERROR(__xludf.DUMMYFUNCTION("GOOGLETRANSLATE(B19581,""id"",""en"")"),"['signal', 'full', 'indicator', 'connection', 'garbage', 'that's',' slogan ',' connection ',' throughout ',' dirty ',' indonesia ',' signal ',' rubbish', '']")</f>
        <v>['signal', 'full', 'indicator', 'connection', 'garbage', 'that's',' slogan ',' connection ',' throughout ',' dirty ',' indonesia ',' signal ',' rubbish', '']</v>
      </c>
      <c r="D19581" s="3">
        <v>2.0</v>
      </c>
    </row>
    <row r="19582" ht="15.75" customHeight="1">
      <c r="A19582" s="1">
        <v>20829.0</v>
      </c>
      <c r="B19582" s="3" t="s">
        <v>18524</v>
      </c>
      <c r="C19582" s="3" t="str">
        <f>IFERROR(__xludf.DUMMYFUNCTION("GOOGLETRANSLATE(B19582,""id"",""en"")"),"['Please', 'Fix', 'Application', 'Telkomsel', 'Already', 'Gax', 'Open', 'Install', 'Times', 'GAX']")</f>
        <v>['Please', 'Fix', 'Application', 'Telkomsel', 'Already', 'Gax', 'Open', 'Install', 'Times', 'GAX']</v>
      </c>
      <c r="D19582" s="3">
        <v>1.0</v>
      </c>
    </row>
    <row r="19583" ht="15.75" customHeight="1">
      <c r="A19583" s="1">
        <v>20830.0</v>
      </c>
      <c r="B19583" s="3" t="s">
        <v>18525</v>
      </c>
      <c r="C19583" s="3" t="str">
        <f>IFERROR(__xludf.DUMMYFUNCTION("GOOGLETRANSLATE(B19583,""id"",""en"")"),"['network', 'gini', 'net', 'expensive', 'network', 'funny', '']")</f>
        <v>['network', 'gini', 'net', 'expensive', 'network', 'funny', '']</v>
      </c>
      <c r="D19583" s="3">
        <v>1.0</v>
      </c>
    </row>
    <row r="19584" ht="15.75" customHeight="1">
      <c r="A19584" s="1">
        <v>20831.0</v>
      </c>
      <c r="B19584" s="3" t="s">
        <v>18526</v>
      </c>
      <c r="C19584" s="3" t="str">
        <f>IFERROR(__xludf.DUMMYFUNCTION("GOOGLETRANSLATE(B19584,""id"",""en"")"),"['Please', 'Unlimited', 'SOSCAT', 'GAMES', 'Music', 'Unlimited', 'Rich', 'Keong', 'Slow', 'Really', 'Loading', 'Minutes',' Make ',' Package ',' Main ']")</f>
        <v>['Please', 'Unlimited', 'SOSCAT', 'GAMES', 'Music', 'Unlimited', 'Rich', 'Keong', 'Slow', 'Really', 'Loading', 'Minutes',' Make ',' Package ',' Main ']</v>
      </c>
      <c r="D19584" s="3">
        <v>5.0</v>
      </c>
    </row>
    <row r="19585" ht="15.75" customHeight="1">
      <c r="A19585" s="1">
        <v>20832.0</v>
      </c>
      <c r="B19585" s="3" t="s">
        <v>18527</v>
      </c>
      <c r="C19585" s="3" t="str">
        <f>IFERROR(__xludf.DUMMYFUNCTION("GOOGLETRANSLATE(B19585,""id"",""en"")"),"['Price', 'expensive', 'the rest', 'good', 'network', 'bad', 'internet', 'slow', 'area', 'chorist', '']")</f>
        <v>['Price', 'expensive', 'the rest', 'good', 'network', 'bad', 'internet', 'slow', 'area', 'chorist', '']</v>
      </c>
      <c r="D19585" s="3">
        <v>1.0</v>
      </c>
    </row>
    <row r="19586" ht="15.75" customHeight="1">
      <c r="A19586" s="1">
        <v>20833.0</v>
      </c>
      <c r="B19586" s="3" t="s">
        <v>9821</v>
      </c>
      <c r="C19586" s="3" t="str">
        <f>IFERROR(__xludf.DUMMYFUNCTION("GOOGLETRANSLATE(B19586,""id"",""en"")"),"['slow connection']")</f>
        <v>['slow connection']</v>
      </c>
      <c r="D19586" s="3">
        <v>5.0</v>
      </c>
    </row>
    <row r="19587" ht="15.75" customHeight="1">
      <c r="A19587" s="1">
        <v>20834.0</v>
      </c>
      <c r="B19587" s="3" t="s">
        <v>18528</v>
      </c>
      <c r="C19587" s="3" t="str">
        <f>IFERROR(__xludf.DUMMYFUNCTION("GOOGLETRANSLATE(B19587,""id"",""en"")"),"['ugly', 'signal', 'Next to', 'Solution', 'Customer', 'Move', 'People', 'Quality', 'Kayak', 'Sinyal']")</f>
        <v>['ugly', 'signal', 'Next to', 'Solution', 'Customer', 'Move', 'People', 'Quality', 'Kayak', 'Sinyal']</v>
      </c>
      <c r="D19587" s="3">
        <v>1.0</v>
      </c>
    </row>
    <row r="19588" ht="15.75" customHeight="1">
      <c r="A19588" s="1">
        <v>20835.0</v>
      </c>
      <c r="B19588" s="3" t="s">
        <v>18529</v>
      </c>
      <c r="C19588" s="3" t="str">
        <f>IFERROR(__xludf.DUMMYFUNCTION("GOOGLETRANSLATE(B19588,""id"",""en"")"),"['Help', 'really', 'comfortable']")</f>
        <v>['Help', 'really', 'comfortable']</v>
      </c>
      <c r="D19588" s="3">
        <v>4.0</v>
      </c>
    </row>
    <row r="19589" ht="15.75" customHeight="1">
      <c r="A19589" s="1">
        <v>20836.0</v>
      </c>
      <c r="B19589" s="3" t="s">
        <v>18530</v>
      </c>
      <c r="C19589" s="3" t="str">
        <f>IFERROR(__xludf.DUMMYFUNCTION("GOOGLETRANSLATE(B19589,""id"",""en"")"),"['hope', 'quota', 'cheap', '']")</f>
        <v>['hope', 'quota', 'cheap', '']</v>
      </c>
      <c r="D19589" s="3">
        <v>3.0</v>
      </c>
    </row>
    <row r="19590" ht="15.75" customHeight="1">
      <c r="A19590" s="1">
        <v>20837.0</v>
      </c>
      <c r="B19590" s="3" t="s">
        <v>18531</v>
      </c>
      <c r="C19590" s="3" t="str">
        <f>IFERROR(__xludf.DUMMYFUNCTION("GOOGLETRANSLATE(B19590,""id"",""en"")"),"['Grade', 'Leet', 'Good', 'Fix', '']")</f>
        <v>['Grade', 'Leet', 'Good', 'Fix', '']</v>
      </c>
      <c r="D19590" s="3">
        <v>1.0</v>
      </c>
    </row>
    <row r="19591" ht="15.75" customHeight="1">
      <c r="A19591" s="1">
        <v>20838.0</v>
      </c>
      <c r="B19591" s="3" t="s">
        <v>565</v>
      </c>
      <c r="C19591" s="3" t="str">
        <f>IFERROR(__xludf.DUMMYFUNCTION("GOOGLETRANSLATE(B19591,""id"",""en"")"),"['Not bad', 'good', 'help']")</f>
        <v>['Not bad', 'good', 'help']</v>
      </c>
      <c r="D19591" s="3">
        <v>4.0</v>
      </c>
    </row>
    <row r="19592" ht="15.75" customHeight="1">
      <c r="A19592" s="1">
        <v>20839.0</v>
      </c>
      <c r="B19592" s="3" t="s">
        <v>18532</v>
      </c>
      <c r="C19592" s="3" t="str">
        <f>IFERROR(__xludf.DUMMYFUNCTION("GOOGLETRANSLATE(B19592,""id"",""en"")"),"['package', 'gamesmax', 'code', 'voucher', 'diamond', 'enter', '']")</f>
        <v>['package', 'gamesmax', 'code', 'voucher', 'diamond', 'enter', '']</v>
      </c>
      <c r="D19592" s="3">
        <v>1.0</v>
      </c>
    </row>
    <row r="19593" ht="15.75" customHeight="1">
      <c r="A19593" s="1">
        <v>20840.0</v>
      </c>
      <c r="B19593" s="3" t="s">
        <v>18533</v>
      </c>
      <c r="C19593" s="3" t="str">
        <f>IFERROR(__xludf.DUMMYFUNCTION("GOOGLETRANSLATE(B19593,""id"",""en"")"),"['Telkomsel', 'slow', 'expensive']")</f>
        <v>['Telkomsel', 'slow', 'expensive']</v>
      </c>
      <c r="D19593" s="3">
        <v>1.0</v>
      </c>
    </row>
    <row r="19594" ht="15.75" customHeight="1">
      <c r="A19594" s="1">
        <v>20841.0</v>
      </c>
      <c r="B19594" s="3" t="s">
        <v>18534</v>
      </c>
      <c r="C19594" s="3" t="str">
        <f>IFERROR(__xludf.DUMMYFUNCTION("GOOGLETRANSLATE(B19594,""id"",""en"")"),"['Min', 'Telkomsel', 'Open', 'Sya', 'Uninstall', 'Download', 'Tetep', ""]")</f>
        <v>['Min', 'Telkomsel', 'Open', 'Sya', 'Uninstall', 'Download', 'Tetep', "]</v>
      </c>
      <c r="D19594" s="3">
        <v>2.0</v>
      </c>
    </row>
    <row r="19595" ht="15.75" customHeight="1">
      <c r="A19595" s="1">
        <v>20842.0</v>
      </c>
      <c r="B19595" s="3" t="s">
        <v>18535</v>
      </c>
      <c r="C19595" s="3" t="str">
        <f>IFERROR(__xludf.DUMMYFUNCTION("GOOGLETRANSLATE(B19595,""id"",""en"")"),"['example', 'operator', 'appreciates', 'user', 'loyal', 'given', 'promo', 'cheap', 'user', 'user', 'love']")</f>
        <v>['example', 'operator', 'appreciates', 'user', 'loyal', 'given', 'promo', 'cheap', 'user', 'user', 'love']</v>
      </c>
      <c r="D19595" s="3">
        <v>1.0</v>
      </c>
    </row>
    <row r="19596" ht="15.75" customHeight="1">
      <c r="A19596" s="1">
        <v>20843.0</v>
      </c>
      <c r="B19596" s="3" t="s">
        <v>18536</v>
      </c>
      <c r="C19596" s="3" t="str">
        <f>IFERROR(__xludf.DUMMYFUNCTION("GOOGLETRANSLATE(B19596,""id"",""en"")"),"['Signal', 'UDH', 'Kya', 'Operator', 'Thin', 'Old', 'Cave', 'Disappointed', 'Karna', 'Drumah', 'Lmbat', 'Enter', ' The room ',' DMANA ',' Direct ',' Lost ',' Lost ',' Operator ',' Neighbor ', ""]")</f>
        <v>['Signal', 'UDH', 'Kya', 'Operator', 'Thin', 'Old', 'Cave', 'Disappointed', 'Karna', 'Drumah', 'Lmbat', 'Enter', ' The room ',' DMANA ',' Direct ',' Lost ',' Lost ',' Operator ',' Neighbor ', "]</v>
      </c>
      <c r="D19596" s="3">
        <v>1.0</v>
      </c>
    </row>
    <row r="19597" ht="15.75" customHeight="1">
      <c r="A19597" s="1">
        <v>20844.0</v>
      </c>
      <c r="B19597" s="3" t="s">
        <v>18537</v>
      </c>
      <c r="C19597" s="3" t="str">
        <f>IFERROR(__xludf.DUMMYFUNCTION("GOOGLETRANSLATE(B19597,""id"",""en"")"),"['The application', 'help', 'thank', 'love', 'present', 'MyTelkomsel']")</f>
        <v>['The application', 'help', 'thank', 'love', 'present', 'MyTelkomsel']</v>
      </c>
      <c r="D19597" s="3">
        <v>5.0</v>
      </c>
    </row>
    <row r="19598" ht="15.75" customHeight="1">
      <c r="A19598" s="1">
        <v>20846.0</v>
      </c>
      <c r="B19598" s="3" t="s">
        <v>18538</v>
      </c>
      <c r="C19598" s="3" t="str">
        <f>IFERROR(__xludf.DUMMYFUNCTION("GOOGLETRANSLATE(B19598,""id"",""en"")"),"['Telkomsel', 'package', 'expensive', 'according to', 'high school', 'network', 'Facebook', 'slow', 'forgiveness', 'NQJIS']")</f>
        <v>['Telkomsel', 'package', 'expensive', 'according to', 'high school', 'network', 'Facebook', 'slow', 'forgiveness', 'NQJIS']</v>
      </c>
      <c r="D19598" s="3">
        <v>1.0</v>
      </c>
    </row>
    <row r="19599" ht="15.75" customHeight="1">
      <c r="A19599" s="1">
        <v>20847.0</v>
      </c>
      <c r="B19599" s="3" t="s">
        <v>18539</v>
      </c>
      <c r="C19599" s="3" t="str">
        <f>IFERROR(__xludf.DUMMYFUNCTION("GOOGLETRANSLATE(B19599,""id"",""en"")"),"['satisfying', 'service', 'good']")</f>
        <v>['satisfying', 'service', 'good']</v>
      </c>
      <c r="D19599" s="3">
        <v>5.0</v>
      </c>
    </row>
    <row r="19600" ht="15.75" customHeight="1">
      <c r="A19600" s="1">
        <v>20848.0</v>
      </c>
      <c r="B19600" s="3" t="s">
        <v>18540</v>
      </c>
      <c r="C19600" s="3" t="str">
        <f>IFERROR(__xludf.DUMMYFUNCTION("GOOGLETRANSLATE(B19600,""id"",""en"")"),"['Network', 'Telkomsel', 'tends to', 'stable', ""]")</f>
        <v>['Network', 'Telkomsel', 'tends to', 'stable', "]</v>
      </c>
      <c r="D19600" s="3">
        <v>1.0</v>
      </c>
    </row>
    <row r="19601" ht="15.75" customHeight="1">
      <c r="A19601" s="1">
        <v>20849.0</v>
      </c>
      <c r="B19601" s="3" t="s">
        <v>18541</v>
      </c>
      <c r="C19601" s="3" t="str">
        <f>IFERROR(__xludf.DUMMYFUNCTION("GOOGLETRANSLATE(B19601,""id"",""en"")"),"['Please', 'That's',' Credit ',' Safe ',' Telkomsel ',' Gvlk ',' Credit ',' Take ',' Mulu ',' Udh ',' Package ',' Telkomsel ',' Expensive ',' ']")</f>
        <v>['Please', 'That's',' Credit ',' Safe ',' Telkomsel ',' Gvlk ',' Credit ',' Take ',' Mulu ',' Udh ',' Package ',' Telkomsel ',' Expensive ',' ']</v>
      </c>
      <c r="D19601" s="3">
        <v>1.0</v>
      </c>
    </row>
    <row r="19602" ht="15.75" customHeight="1">
      <c r="A19602" s="1">
        <v>20850.0</v>
      </c>
      <c r="B19602" s="3" t="s">
        <v>18542</v>
      </c>
      <c r="C19602" s="3" t="str">
        <f>IFERROR(__xludf.DUMMYFUNCTION("GOOGLETRANSLATE(B19602,""id"",""en"")"),"['Knpa', 'After', 'Download', 'Telkomsel', 'Open', 'Kasi', 'Suggestion']")</f>
        <v>['Knpa', 'After', 'Download', 'Telkomsel', 'Open', 'Kasi', 'Suggestion']</v>
      </c>
      <c r="D19602" s="3">
        <v>5.0</v>
      </c>
    </row>
    <row r="19603" ht="15.75" customHeight="1">
      <c r="A19603" s="1">
        <v>20851.0</v>
      </c>
      <c r="B19603" s="3" t="s">
        <v>18543</v>
      </c>
      <c r="C19603" s="3" t="str">
        <f>IFERROR(__xludf.DUMMYFUNCTION("GOOGLETRANSLATE(B19603,""id"",""en"")"),"['already', 'install', 'open', 'the application', 'appears', 'screen', 'white', '']")</f>
        <v>['already', 'install', 'open', 'the application', 'appears', 'screen', 'white', '']</v>
      </c>
      <c r="D19603" s="3">
        <v>4.0</v>
      </c>
    </row>
    <row r="19604" ht="15.75" customHeight="1">
      <c r="A19604" s="1">
        <v>20852.0</v>
      </c>
      <c r="B19604" s="3" t="s">
        <v>18544</v>
      </c>
      <c r="C19604" s="3" t="str">
        <f>IFERROR(__xludf.DUMMYFUNCTION("GOOGLETRANSLATE(B19604,""id"",""en"")"),"['Nge', 'Leq', 'woiiii']")</f>
        <v>['Nge', 'Leq', 'woiiii']</v>
      </c>
      <c r="D19604" s="3">
        <v>1.0</v>
      </c>
    </row>
    <row r="19605" ht="15.75" customHeight="1">
      <c r="A19605" s="1">
        <v>20853.0</v>
      </c>
      <c r="B19605" s="3" t="s">
        <v>18545</v>
      </c>
      <c r="C19605" s="3" t="str">
        <f>IFERROR(__xludf.DUMMYFUNCTION("GOOGLETRANSLATE(B19605,""id"",""en"")"),"['Network', 'ugly']")</f>
        <v>['Network', 'ugly']</v>
      </c>
      <c r="D19605" s="3">
        <v>1.0</v>
      </c>
    </row>
    <row r="19606" ht="15.75" customHeight="1">
      <c r="A19606" s="1">
        <v>20854.0</v>
      </c>
      <c r="B19606" s="3" t="s">
        <v>18546</v>
      </c>
      <c r="C19606" s="3" t="str">
        <f>IFERROR(__xludf.DUMMYFUNCTION("GOOGLETRANSLATE(B19606,""id"",""en"")"),"['loss', 'buy', 'expensive', 'expensive', 'loss', 'TPI', 'signal', 'kek', 'snail', 'sampe', 'kek', 'gini']")</f>
        <v>['loss', 'buy', 'expensive', 'expensive', 'loss', 'TPI', 'signal', 'kek', 'snail', 'sampe', 'kek', 'gini']</v>
      </c>
      <c r="D19606" s="3">
        <v>1.0</v>
      </c>
    </row>
    <row r="19607" ht="15.75" customHeight="1">
      <c r="A19607" s="1">
        <v>20855.0</v>
      </c>
      <c r="B19607" s="3" t="s">
        <v>18547</v>
      </c>
      <c r="C19607" s="3" t="str">
        <f>IFERROR(__xludf.DUMMYFUNCTION("GOOGLETRANSLATE(B19607,""id"",""en"")"),"['Telkomsel', 'cell', 'signal', 'battered']")</f>
        <v>['Telkomsel', 'cell', 'signal', 'battered']</v>
      </c>
      <c r="D19607" s="3">
        <v>1.0</v>
      </c>
    </row>
    <row r="19608" ht="15.75" customHeight="1">
      <c r="A19608" s="1">
        <v>20856.0</v>
      </c>
      <c r="B19608" s="3" t="s">
        <v>18548</v>
      </c>
      <c r="C19608" s="3" t="str">
        <f>IFERROR(__xludf.DUMMYFUNCTION("GOOGLETRANSLATE(B19608,""id"",""en"")"),"['Open', 'screen', 'White', 'Loading']")</f>
        <v>['Open', 'screen', 'White', 'Loading']</v>
      </c>
      <c r="D19608" s="3">
        <v>1.0</v>
      </c>
    </row>
    <row r="19609" ht="15.75" customHeight="1">
      <c r="A19609" s="1">
        <v>20857.0</v>
      </c>
      <c r="B19609" s="3" t="s">
        <v>18549</v>
      </c>
      <c r="C19609" s="3" t="str">
        <f>IFERROR(__xludf.DUMMYFUNCTION("GOOGLETRANSLATE(B19609,""id"",""en"")"),"['application', 'nngak', 'Install', 'failed', 'already', 'repeated', 'no', 'solution', 'no', 'the application', 'see', 'left', ' the quota ',' buy ',' package ',' thank ',' love ']")</f>
        <v>['application', 'nngak', 'Install', 'failed', 'already', 'repeated', 'no', 'solution', 'no', 'the application', 'see', 'left', ' the quota ',' buy ',' package ',' thank ',' love ']</v>
      </c>
      <c r="D19609" s="3">
        <v>5.0</v>
      </c>
    </row>
    <row r="19610" ht="15.75" customHeight="1">
      <c r="A19610" s="1">
        <v>20858.0</v>
      </c>
      <c r="B19610" s="3" t="s">
        <v>18550</v>
      </c>
      <c r="C19610" s="3" t="str">
        <f>IFERROR(__xludf.DUMMYFUNCTION("GOOGLETRANSLATE(B19610,""id"",""en"")"),"['', 'Install', 'no ""]")</f>
        <v>['', 'Install', 'no "]</v>
      </c>
      <c r="D19610" s="3">
        <v>1.0</v>
      </c>
    </row>
    <row r="19611" ht="15.75" customHeight="1">
      <c r="A19611" s="1">
        <v>20859.0</v>
      </c>
      <c r="B19611" s="3" t="s">
        <v>18551</v>
      </c>
      <c r="C19611" s="3" t="str">
        <f>IFERROR(__xludf.DUMMYFUNCTION("GOOGLETRANSLATE(B19611,""id"",""en"")"),"['Thank you', 'Hotpromo', 'help']")</f>
        <v>['Thank you', 'Hotpromo', 'help']</v>
      </c>
      <c r="D19611" s="3">
        <v>5.0</v>
      </c>
    </row>
    <row r="19612" ht="15.75" customHeight="1">
      <c r="A19612" s="1">
        <v>20860.0</v>
      </c>
      <c r="B19612" s="3" t="s">
        <v>18552</v>
      </c>
      <c r="C19612" s="3" t="str">
        <f>IFERROR(__xludf.DUMMYFUNCTION("GOOGLETRANSLATE(B19612,""id"",""en"")"),"['The application', 'opened', 'contents',' package ',' data ',' era ',' digit ',' number ',' disappointing ',' Telkomsel ',' sorry ',' star ',' ']")</f>
        <v>['The application', 'opened', 'contents',' package ',' data ',' era ',' digit ',' number ',' disappointing ',' Telkomsel ',' sorry ',' star ',' ']</v>
      </c>
      <c r="D19612" s="3">
        <v>1.0</v>
      </c>
    </row>
    <row r="19613" ht="15.75" customHeight="1">
      <c r="A19613" s="1">
        <v>20861.0</v>
      </c>
      <c r="B19613" s="3" t="s">
        <v>18553</v>
      </c>
      <c r="C19613" s="3" t="str">
        <f>IFERROR(__xludf.DUMMYFUNCTION("GOOGLETRANSLATE(B19613,""id"",""en"")"),"['Package', 'data', 'internet', 'Please', 'reduced', 'price', 'people', 'groups', 'down', 'expensive', 'trimkasih', ""]")</f>
        <v>['Package', 'data', 'internet', 'Please', 'reduced', 'price', 'people', 'groups', 'down', 'expensive', 'trimkasih', "]</v>
      </c>
      <c r="D19613" s="3">
        <v>5.0</v>
      </c>
    </row>
    <row r="19614" ht="15.75" customHeight="1">
      <c r="A19614" s="1">
        <v>20862.0</v>
      </c>
      <c r="B19614" s="3" t="s">
        <v>18554</v>
      </c>
      <c r="C19614" s="3" t="str">
        <f>IFERROR(__xludf.DUMMYFUNCTION("GOOGLETRANSLATE(B19614,""id"",""en"")"),"['ugly', 'signal', 'diked', 'min', 'jngan', 'pksain', 'kasian', 'buy', 'expensive', 'ngekame', 'good', 'ugly', ' good ',' ugly ',' mulu ',' ugly ',' regret ',' bngt ',' telkomsel ',' udh ',' ugly ',' gini ',' hadeh ']")</f>
        <v>['ugly', 'signal', 'diked', 'min', 'jngan', 'pksain', 'kasian', 'buy', 'expensive', 'ngekame', 'good', 'ugly', ' good ',' ugly ',' mulu ',' ugly ',' regret ',' bngt ',' telkomsel ',' udh ',' ugly ',' gini ',' hadeh ']</v>
      </c>
      <c r="D19614" s="3">
        <v>1.0</v>
      </c>
    </row>
    <row r="19615" ht="15.75" customHeight="1">
      <c r="A19615" s="1">
        <v>20863.0</v>
      </c>
      <c r="B19615" s="3" t="s">
        <v>18555</v>
      </c>
      <c r="C19615" s="3" t="str">
        <f>IFERROR(__xludf.DUMMYFUNCTION("GOOGLETRANSLATE(B19615,""id"",""en"")"),"['Network', 'Telkomsel', 'bad', 'comfortable', '']")</f>
        <v>['Network', 'Telkomsel', 'bad', 'comfortable', '']</v>
      </c>
      <c r="D19615" s="3">
        <v>1.0</v>
      </c>
    </row>
    <row r="19616" ht="15.75" customHeight="1">
      <c r="A19616" s="1">
        <v>20864.0</v>
      </c>
      <c r="B19616" s="3" t="s">
        <v>18556</v>
      </c>
      <c r="C19616" s="3" t="str">
        <f>IFERROR(__xludf.DUMMYFUNCTION("GOOGLETRANSLATE(B19616,""id"",""en"")"),"['ugly', 'really', 'service', 'contents',' pulse ',' thousand ',' sumps', 'the application', 'zonk', 'gag', 'entry', 'tell', ' Click ',' Lint ',' Link ',' Links', 'Expired', 'Pekah', 'Very', 'Anyway', 'ugly', 'poll']")</f>
        <v>['ugly', 'really', 'service', 'contents',' pulse ',' thousand ',' sumps', 'the application', 'zonk', 'gag', 'entry', 'tell', ' Click ',' Lint ',' Link ',' Links', 'Expired', 'Pekah', 'Very', 'Anyway', 'ugly', 'poll']</v>
      </c>
      <c r="D19616" s="3">
        <v>1.0</v>
      </c>
    </row>
    <row r="19617" ht="15.75" customHeight="1">
      <c r="A19617" s="1">
        <v>20865.0</v>
      </c>
      <c r="B19617" s="3" t="s">
        <v>18557</v>
      </c>
      <c r="C19617" s="3" t="str">
        <f>IFERROR(__xludf.DUMMYFUNCTION("GOOGLETRANSLATE(B19617,""id"",""en"")"),"['Just', 'Update', 'Heng', 'Enga', 'Loading', 'Already', 'Loss', 'Data', 'Upload', 'Price', 'Expensive']")</f>
        <v>['Just', 'Update', 'Heng', 'Enga', 'Loading', 'Already', 'Loss', 'Data', 'Upload', 'Price', 'Expensive']</v>
      </c>
      <c r="D19617" s="3">
        <v>1.0</v>
      </c>
    </row>
    <row r="19618" ht="15.75" customHeight="1">
      <c r="A19618" s="1">
        <v>20866.0</v>
      </c>
      <c r="B19618" s="3" t="s">
        <v>18558</v>
      </c>
      <c r="C19618" s="3" t="str">
        <f>IFERROR(__xludf.DUMMYFUNCTION("GOOGLETRANSLATE(B19618,""id"",""en"")"),"['Please', 'repaired', 'min', 'apk', 'already', 'succeed', 'veranda', 'check', 'enter', 'data', 'pulse', 'reduced']")</f>
        <v>['Please', 'repaired', 'min', 'apk', 'already', 'succeed', 'veranda', 'check', 'enter', 'data', 'pulse', 'reduced']</v>
      </c>
      <c r="D19618" s="3">
        <v>1.0</v>
      </c>
    </row>
    <row r="19619" ht="15.75" customHeight="1">
      <c r="A19619" s="1">
        <v>20867.0</v>
      </c>
      <c r="B19619" s="3" t="s">
        <v>18559</v>
      </c>
      <c r="C19619" s="3" t="str">
        <f>IFERROR(__xludf.DUMMYFUNCTION("GOOGLETRANSLATE(B19619,""id"",""en"")"),"['access', 'enter', 'application', 'open', 'color', 'white', 'via', 'twitter', 'no', 'also']")</f>
        <v>['access', 'enter', 'application', 'open', 'color', 'white', 'via', 'twitter', 'no', 'also']</v>
      </c>
      <c r="D19619" s="3">
        <v>1.0</v>
      </c>
    </row>
    <row r="19620" ht="15.75" customHeight="1">
      <c r="A19620" s="1">
        <v>20868.0</v>
      </c>
      <c r="B19620" s="3" t="s">
        <v>18560</v>
      </c>
      <c r="C19620" s="3" t="str">
        <f>IFERROR(__xludf.DUMMYFUNCTION("GOOGLETRANSLATE(B19620,""id"",""en"")"),"['', 'rain', 'dead', 'lights',' signal ',' ugly ',' UDH ',' signal ',' ugly ',' buy ',' quota ',' expensive ',' pensi ',' use ',' Telkom ',' Please ',' repaired ',' signal ',' ugly ',' already ',' criticism ',' signal ',' ugly ',' family ',' pensi ', 'Use"&amp;"', 'Telkom', '']")</f>
        <v>['', 'rain', 'dead', 'lights',' signal ',' ugly ',' UDH ',' signal ',' ugly ',' buy ',' quota ',' expensive ',' pensi ',' use ',' Telkom ',' Please ',' repaired ',' signal ',' ugly ',' already ',' criticism ',' signal ',' ugly ',' family ',' pensi ', 'Use', 'Telkom', '']</v>
      </c>
      <c r="D19620" s="3">
        <v>1.0</v>
      </c>
    </row>
    <row r="19621" ht="15.75" customHeight="1">
      <c r="A19621" s="1">
        <v>20869.0</v>
      </c>
      <c r="B19621" s="3" t="s">
        <v>18561</v>
      </c>
      <c r="C19621" s="3" t="str">
        <f>IFERROR(__xludf.DUMMYFUNCTION("GOOGLETRANSLATE(B19621,""id"",""en"")"),"['Mintak', 'please', 'times',' please ',' network ',' slow ',' siiiii ',' klau ',' blan ',' quota ',' cellphone ',' slow ',' Klau ',' BLI ',' quota ',' slow ',' times', 'see', 'video', 'oath', 'application', 'severe', 'times',' jngn ',' smpai ' , 'Banting"&amp;"in', 'because' slow ',' network ',' min ',' bli ',' quota ',' knp ',' slow ',' kayk ',' gini ',' regret ',' Min ',' ']")</f>
        <v>['Mintak', 'please', 'times',' please ',' network ',' slow ',' siiiii ',' klau ',' blan ',' quota ',' cellphone ',' slow ',' Klau ',' BLI ',' quota ',' slow ',' times', 'see', 'video', 'oath', 'application', 'severe', 'times',' jngn ',' smpai ' , 'Bantingin', 'because' slow ',' network ',' min ',' bli ',' quota ',' knp ',' slow ',' kayk ',' gini ',' regret ',' Min ',' ']</v>
      </c>
      <c r="D19621" s="3">
        <v>1.0</v>
      </c>
    </row>
    <row r="19622" ht="15.75" customHeight="1">
      <c r="A19622" s="1">
        <v>20870.0</v>
      </c>
      <c r="B19622" s="3" t="s">
        <v>18562</v>
      </c>
      <c r="C19622" s="3" t="str">
        <f>IFERROR(__xludf.DUMMYFUNCTION("GOOGLETRANSLATE(B19622,""id"",""en"")"),"['experience', 'signal', 'bad', 'please', 'repaired', 'platform', 'big', 'service', 'really', 'fix it']")</f>
        <v>['experience', 'signal', 'bad', 'please', 'repaired', 'platform', 'big', 'service', 'really', 'fix it']</v>
      </c>
      <c r="D19622" s="3">
        <v>1.0</v>
      </c>
    </row>
    <row r="19623" ht="15.75" customHeight="1">
      <c r="A19623" s="1">
        <v>20871.0</v>
      </c>
      <c r="B19623" s="3" t="s">
        <v>18563</v>
      </c>
      <c r="C19623" s="3" t="str">
        <f>IFERROR(__xludf.DUMMYFUNCTION("GOOGLETRANSLATE(B19623,""id"",""en"")"),"['Application', 'Telkomsel', 'Open', 'Delete', 'Data', 'Please', 'Info', '']")</f>
        <v>['Application', 'Telkomsel', 'Open', 'Delete', 'Data', 'Please', 'Info', '']</v>
      </c>
      <c r="D19623" s="3">
        <v>5.0</v>
      </c>
    </row>
    <row r="19624" ht="15.75" customHeight="1">
      <c r="A19624" s="1">
        <v>20872.0</v>
      </c>
      <c r="B19624" s="3" t="s">
        <v>18564</v>
      </c>
      <c r="C19624" s="3" t="str">
        <f>IFERROR(__xludf.DUMMYFUNCTION("GOOGLETRANSLATE(B19624,""id"",""en"")"),"['signal', 'difficult', 'bro']")</f>
        <v>['signal', 'difficult', 'bro']</v>
      </c>
      <c r="D19624" s="3">
        <v>1.0</v>
      </c>
    </row>
    <row r="19625" ht="15.75" customHeight="1">
      <c r="A19625" s="1">
        <v>20873.0</v>
      </c>
      <c r="B19625" s="3" t="s">
        <v>18565</v>
      </c>
      <c r="C19625" s="3" t="str">
        <f>IFERROR(__xludf.DUMMYFUNCTION("GOOGLETRANSLATE(B19625,""id"",""en"")"),"['Price', 'Package', 'Internet', 'Please', ""]")</f>
        <v>['Price', 'Package', 'Internet', 'Please', "]</v>
      </c>
      <c r="D19625" s="3">
        <v>1.0</v>
      </c>
    </row>
    <row r="19626" ht="15.75" customHeight="1">
      <c r="A19626" s="1">
        <v>20874.0</v>
      </c>
      <c r="B19626" s="3" t="s">
        <v>18566</v>
      </c>
      <c r="C19626" s="3" t="str">
        <f>IFERROR(__xludf.DUMMYFUNCTION("GOOGLETRANSLATE(B19626,""id"",""en"")"),"['Package', 'pulse', 'cheap']")</f>
        <v>['Package', 'pulse', 'cheap']</v>
      </c>
      <c r="D19626" s="3">
        <v>1.0</v>
      </c>
    </row>
    <row r="19627" ht="15.75" customHeight="1">
      <c r="A19627" s="1">
        <v>20875.0</v>
      </c>
      <c r="B19627" s="3" t="s">
        <v>18567</v>
      </c>
      <c r="C19627" s="3" t="str">
        <f>IFERROR(__xludf.DUMMYFUNCTION("GOOGLETRANSLATE(B19627,""id"",""en"")"),"['Woe', 'Telkomsel', 'network', 'kek', 'pig', 'slow', 'forgiveness', 'play', 'game', 'satisfaction']")</f>
        <v>['Woe', 'Telkomsel', 'network', 'kek', 'pig', 'slow', 'forgiveness', 'play', 'game', 'satisfaction']</v>
      </c>
      <c r="D19627" s="3">
        <v>1.0</v>
      </c>
    </row>
    <row r="19628" ht="15.75" customHeight="1">
      <c r="A19628" s="1">
        <v>20876.0</v>
      </c>
      <c r="B19628" s="3" t="s">
        <v>18568</v>
      </c>
      <c r="C19628" s="3" t="str">
        <f>IFERROR(__xludf.DUMMYFUNCTION("GOOGLETRANSLATE(B19628,""id"",""en"")"),"['Telkomsel', 'sane', 'brief', 'crazy', 'package', 'internet', 'expensive', 'network', 'good', 'already', 'teach', 'Tobak', ' Update ',' Network ',' already ',' Network ',' Severe ',' ']")</f>
        <v>['Telkomsel', 'sane', 'brief', 'crazy', 'package', 'internet', 'expensive', 'network', 'good', 'already', 'teach', 'Tobak', ' Update ',' Network ',' already ',' Network ',' Severe ',' ']</v>
      </c>
      <c r="D19628" s="3">
        <v>1.0</v>
      </c>
    </row>
    <row r="19629" ht="15.75" customHeight="1">
      <c r="A19629" s="1">
        <v>20877.0</v>
      </c>
      <c r="B19629" s="3" t="s">
        <v>18569</v>
      </c>
      <c r="C19629" s="3" t="str">
        <f>IFERROR(__xludf.DUMMYFUNCTION("GOOGLETRANSLATE(B19629,""id"",""en"")"),"['Open', 'screen', 'just', 'white', 'sudh', 'repeat', 'times', 'try', 'install', 'reset']")</f>
        <v>['Open', 'screen', 'just', 'white', 'sudh', 'repeat', 'times', 'try', 'install', 'reset']</v>
      </c>
      <c r="D19629" s="3">
        <v>1.0</v>
      </c>
    </row>
    <row r="19630" ht="15.75" customHeight="1">
      <c r="A19630" s="1">
        <v>20878.0</v>
      </c>
      <c r="B19630" s="3" t="s">
        <v>18570</v>
      </c>
      <c r="C19630" s="3" t="str">
        <f>IFERROR(__xludf.DUMMYFUNCTION("GOOGLETRANSLATE(B19630,""id"",""en"")"),"['application', 'no', 'see', 'leftover', 'package', 'telephone', 'no', 'already', 'shear', 'display', 'quota']")</f>
        <v>['application', 'no', 'see', 'leftover', 'package', 'telephone', 'no', 'already', 'shear', 'display', 'quota']</v>
      </c>
      <c r="D19630" s="3">
        <v>1.0</v>
      </c>
    </row>
    <row r="19631" ht="15.75" customHeight="1">
      <c r="A19631" s="1">
        <v>20879.0</v>
      </c>
      <c r="B19631" s="3" t="s">
        <v>18571</v>
      </c>
      <c r="C19631" s="3" t="str">
        <f>IFERROR(__xludf.DUMMYFUNCTION("GOOGLETRANSLATE(B19631,""id"",""en"")"),"['Nailing', 'Points',' App ',' already ',' hundreds', 'pawn', 'TPI', 'see', 'ajj', 'bored', 'nama', 'browsing', ' Game ',' Promo ',' Diamond ',' Ivent ',' Diamond ']")</f>
        <v>['Nailing', 'Points',' App ',' already ',' hundreds', 'pawn', 'TPI', 'see', 'ajj', 'bored', 'nama', 'browsing', ' Game ',' Promo ',' Diamond ',' Ivent ',' Diamond ']</v>
      </c>
      <c r="D19631" s="3">
        <v>1.0</v>
      </c>
    </row>
    <row r="19632" ht="15.75" customHeight="1">
      <c r="A19632" s="1">
        <v>20880.0</v>
      </c>
      <c r="B19632" s="3" t="s">
        <v>18572</v>
      </c>
      <c r="C19632" s="3" t="str">
        <f>IFERROR(__xludf.DUMMYFUNCTION("GOOGLETRANSLATE(B19632,""id"",""en"")"),"['APL', 'good', 'really', 'fast', 'process', 'purchase', 'package']")</f>
        <v>['APL', 'good', 'really', 'fast', 'process', 'purchase', 'package']</v>
      </c>
      <c r="D19632" s="3">
        <v>5.0</v>
      </c>
    </row>
    <row r="19633" ht="15.75" customHeight="1">
      <c r="A19633" s="1">
        <v>20881.0</v>
      </c>
      <c r="B19633" s="3" t="s">
        <v>18573</v>
      </c>
      <c r="C19633" s="3" t="str">
        <f>IFERROR(__xludf.DUMMYFUNCTION("GOOGLETRANSLATE(B19633,""id"",""en"")"),"['Good', 'love', 'star']")</f>
        <v>['Good', 'love', 'star']</v>
      </c>
      <c r="D19633" s="3">
        <v>4.0</v>
      </c>
    </row>
    <row r="19634" ht="15.75" customHeight="1">
      <c r="A19634" s="1">
        <v>20882.0</v>
      </c>
      <c r="B19634" s="3" t="s">
        <v>18574</v>
      </c>
      <c r="C19634" s="3" t="str">
        <f>IFERROR(__xludf.DUMMYFUNCTION("GOOGLETRANSLATE(B19634,""id"",""en"")"),"['dear', 'package', 'limitite', 'GB', 'limitit', 'Tiktok', ""]")</f>
        <v>['dear', 'package', 'limitite', 'GB', 'limitit', 'Tiktok', "]</v>
      </c>
      <c r="D19634" s="3">
        <v>3.0</v>
      </c>
    </row>
    <row r="19635" ht="15.75" customHeight="1">
      <c r="A19635" s="1">
        <v>20883.0</v>
      </c>
      <c r="B19635" s="3" t="s">
        <v>18575</v>
      </c>
      <c r="C19635" s="3" t="str">
        <f>IFERROR(__xludf.DUMMYFUNCTION("GOOGLETRANSLATE(B19635,""id"",""en"")"),"['difficult', '']")</f>
        <v>['difficult', '']</v>
      </c>
      <c r="D19635" s="3">
        <v>1.0</v>
      </c>
    </row>
    <row r="19636" ht="15.75" customHeight="1">
      <c r="A19636" s="1">
        <v>20884.0</v>
      </c>
      <c r="B19636" s="3" t="s">
        <v>18576</v>
      </c>
      <c r="C19636" s="3" t="str">
        <f>IFERROR(__xludf.DUMMYFUNCTION("GOOGLETRANSLATE(B19636,""id"",""en"")"),"['Hopefully', 'made easier', 'Telkom']")</f>
        <v>['Hopefully', 'made easier', 'Telkom']</v>
      </c>
      <c r="D19636" s="3">
        <v>3.0</v>
      </c>
    </row>
    <row r="19637" ht="15.75" customHeight="1">
      <c r="A19637" s="1">
        <v>20885.0</v>
      </c>
      <c r="B19637" s="3" t="s">
        <v>18577</v>
      </c>
      <c r="C19637" s="3" t="str">
        <f>IFERROR(__xludf.DUMMYFUNCTION("GOOGLETRANSLATE(B19637,""id"",""en"")"),"['Notice', 'pulses',' used ',' internet ',' kouta ',' as a result ',' pulse ',' rupiah ',' telkomsel ',' eat ',' pulse ',' confirm ',' Paraaaahhh ',' ']")</f>
        <v>['Notice', 'pulses',' used ',' internet ',' kouta ',' as a result ',' pulse ',' rupiah ',' telkomsel ',' eat ',' pulse ',' confirm ',' Paraaaahhh ',' ']</v>
      </c>
      <c r="D19637" s="3">
        <v>1.0</v>
      </c>
    </row>
    <row r="19638" ht="15.75" customHeight="1">
      <c r="A19638" s="1">
        <v>20886.0</v>
      </c>
      <c r="B19638" s="3" t="s">
        <v>18578</v>
      </c>
      <c r="C19638" s="3" t="str">
        <f>IFERROR(__xludf.DUMMYFUNCTION("GOOGLETRANSLATE(B19638,""id"",""en"")"),"['Open', 'the application']")</f>
        <v>['Open', 'the application']</v>
      </c>
      <c r="D19638" s="3">
        <v>2.0</v>
      </c>
    </row>
    <row r="19639" ht="15.75" customHeight="1">
      <c r="A19639" s="1">
        <v>20887.0</v>
      </c>
      <c r="B19639" s="3" t="s">
        <v>18579</v>
      </c>
      <c r="C19639" s="3" t="str">
        <f>IFERROR(__xludf.DUMMYFUNCTION("GOOGLETRANSLATE(B19639,""id"",""en"")"),"['open', 'Install', 'reset', 'pdhl', 'already', 'times', 'uninstall', 'installed', 'open']")</f>
        <v>['open', 'Install', 'reset', 'pdhl', 'already', 'times', 'uninstall', 'installed', 'open']</v>
      </c>
      <c r="D19639" s="3">
        <v>1.0</v>
      </c>
    </row>
    <row r="19640" ht="15.75" customHeight="1">
      <c r="A19640" s="1">
        <v>20888.0</v>
      </c>
      <c r="B19640" s="3" t="s">
        <v>18580</v>
      </c>
      <c r="C19640" s="3" t="str">
        <f>IFERROR(__xludf.DUMMYFUNCTION("GOOGLETRANSLATE(B19640,""id"",""en"")"),"['Narik', 'Maxim', 'Telkomsel', 'network', 'super', 'slow', 'until', 'buy', 'card', 'sometimes',' network ',' missing ',' replace ',' smartfren ',' im ',' orders', 'please', 'fix', 'network', 'internet', 'until', 'toxic', 'blinking', 'losing', 'operator' "&amp;", '']")</f>
        <v>['Narik', 'Maxim', 'Telkomsel', 'network', 'super', 'slow', 'until', 'buy', 'card', 'sometimes',' network ',' missing ',' replace ',' smartfren ',' im ',' orders', 'please', 'fix', 'network', 'internet', 'until', 'toxic', 'blinking', 'losing', 'operator' , '']</v>
      </c>
      <c r="D19640" s="3">
        <v>1.0</v>
      </c>
    </row>
    <row r="19641" ht="15.75" customHeight="1">
      <c r="A19641" s="1">
        <v>20889.0</v>
      </c>
      <c r="B19641" s="3" t="s">
        <v>18581</v>
      </c>
      <c r="C19641" s="3" t="str">
        <f>IFERROR(__xludf.DUMMYFUNCTION("GOOGLETRANSLATE(B19641,""id"",""en"")"),"['Leading', 'Trusted', 'for', 'Profider', 'Indonesia']")</f>
        <v>['Leading', 'Trusted', 'for', 'Profider', 'Indonesia']</v>
      </c>
      <c r="D19641" s="3">
        <v>4.0</v>
      </c>
    </row>
    <row r="19642" ht="15.75" customHeight="1">
      <c r="A19642" s="1">
        <v>20890.0</v>
      </c>
      <c r="B19642" s="3" t="s">
        <v>18582</v>
      </c>
      <c r="C19642" s="3" t="str">
        <f>IFERROR(__xludf.DUMMYFUNCTION("GOOGLETRANSLATE(B19642,""id"",""en"")"),"['steady', 'show', 'promo', 'cheap']")</f>
        <v>['steady', 'show', 'promo', 'cheap']</v>
      </c>
      <c r="D19642" s="3">
        <v>5.0</v>
      </c>
    </row>
    <row r="19643" ht="15.75" customHeight="1">
      <c r="A19643" s="1">
        <v>20891.0</v>
      </c>
      <c r="B19643" s="3" t="s">
        <v>18583</v>
      </c>
      <c r="C19643" s="3" t="str">
        <f>IFERROR(__xludf.DUMMYFUNCTION("GOOGLETRANSLATE(B19643,""id"",""en"")"),"['Sorry', 'min', 'signal', 'internet', 'slow', 'severe', 'please', 'fix', 'min', 'serious', 'trims', '']")</f>
        <v>['Sorry', 'min', 'signal', 'internet', 'slow', 'severe', 'please', 'fix', 'min', 'serious', 'trims', '']</v>
      </c>
      <c r="D19643" s="3">
        <v>1.0</v>
      </c>
    </row>
    <row r="19644" ht="15.75" customHeight="1">
      <c r="A19644" s="1">
        <v>20892.0</v>
      </c>
      <c r="B19644" s="3" t="s">
        <v>18584</v>
      </c>
      <c r="C19644" s="3" t="str">
        <f>IFERROR(__xludf.DUMMYFUNCTION("GOOGLETRANSLATE(B19644,""id"",""en"")"),"['The application', 'good', 'the application', 'like', 'Eroorr', 'times', 'login', 'enter', 'Nomr', 'telephone', ""]")</f>
        <v>['The application', 'good', 'the application', 'like', 'Eroorr', 'times', 'login', 'enter', 'Nomr', 'telephone', "]</v>
      </c>
      <c r="D19644" s="3">
        <v>4.0</v>
      </c>
    </row>
    <row r="19645" ht="15.75" customHeight="1">
      <c r="A19645" s="1">
        <v>20893.0</v>
      </c>
      <c r="B19645" s="3" t="s">
        <v>18585</v>
      </c>
      <c r="C19645" s="3" t="str">
        <f>IFERROR(__xludf.DUMMYFUNCTION("GOOGLETRANSLATE(B19645,""id"",""en"")"),"['expensive', 'doang', 'connection', 'kgk', 'good']")</f>
        <v>['expensive', 'doang', 'connection', 'kgk', 'good']</v>
      </c>
      <c r="D19645" s="3">
        <v>1.0</v>
      </c>
    </row>
    <row r="19646" ht="15.75" customHeight="1">
      <c r="A19646" s="1">
        <v>20894.0</v>
      </c>
      <c r="B19646" s="3" t="s">
        <v>18586</v>
      </c>
      <c r="C19646" s="3" t="str">
        <f>IFERROR(__xludf.DUMMYFUNCTION("GOOGLETRANSLATE(B19646,""id"",""en"")"),"['price', 'quota', 'reach', 'medium', 'hope', 'tsel', 'network', 'favorite', 'access',' people ',' thinking ',' price ',' Sorry ',' users', 'Telkomsel', 'replace', 'card', 'package', 'internet', 'dng', 'card', 'price', 'affordable']")</f>
        <v>['price', 'quota', 'reach', 'medium', 'hope', 'tsel', 'network', 'favorite', 'access',' people ',' thinking ',' price ',' Sorry ',' users', 'Telkomsel', 'replace', 'card', 'package', 'internet', 'dng', 'card', 'price', 'affordable']</v>
      </c>
      <c r="D19646" s="3">
        <v>1.0</v>
      </c>
    </row>
    <row r="19647" ht="15.75" customHeight="1">
      <c r="A19647" s="1">
        <v>20895.0</v>
      </c>
      <c r="B19647" s="3" t="s">
        <v>18587</v>
      </c>
      <c r="C19647" s="3" t="str">
        <f>IFERROR(__xludf.DUMMYFUNCTION("GOOGLETRANSLATE(B19647,""id"",""en"")"),"['network', 'urgent', 'expensive', 'doang', 'can', 'sms',' use ',' data ',' non ',' package ',' biarin ',' use ',' Data ',' operators', 'credit', 'TTP', 'Cut', 'Use', 'Data', 'Mangsuddd', 'Amatttt']")</f>
        <v>['network', 'urgent', 'expensive', 'doang', 'can', 'sms',' use ',' data ',' non ',' package ',' biarin ',' use ',' Data ',' operators', 'credit', 'TTP', 'Cut', 'Use', 'Data', 'Mangsuddd', 'Amatttt']</v>
      </c>
      <c r="D19647" s="3">
        <v>1.0</v>
      </c>
    </row>
    <row r="19648" ht="15.75" customHeight="1">
      <c r="A19648" s="1">
        <v>20896.0</v>
      </c>
      <c r="B19648" s="3" t="s">
        <v>18588</v>
      </c>
      <c r="C19648" s="3" t="str">
        <f>IFERROR(__xludf.DUMMYFUNCTION("GOOGLETRANSLATE(B19648,""id"",""en"")"),"['dwonlod', 'already', 'msih', 'blm', 'kbuka', 'dngn', 'Telkomsel', '']")</f>
        <v>['dwonlod', 'already', 'msih', 'blm', 'kbuka', 'dngn', 'Telkomsel', '']</v>
      </c>
      <c r="D19648" s="3">
        <v>5.0</v>
      </c>
    </row>
    <row r="19649" ht="15.75" customHeight="1">
      <c r="A19649" s="1">
        <v>20897.0</v>
      </c>
      <c r="B19649" s="3" t="s">
        <v>18589</v>
      </c>
      <c r="C19649" s="3" t="str">
        <f>IFERROR(__xludf.DUMMYFUNCTION("GOOGLETRANSLATE(B19649,""id"",""en"")"),"['France', 'Upgrade', 'Napahhh', 'Paketan', 'Upgrade', 'Application']")</f>
        <v>['France', 'Upgrade', 'Napahhh', 'Paketan', 'Upgrade', 'Application']</v>
      </c>
      <c r="D19649" s="3">
        <v>1.0</v>
      </c>
    </row>
    <row r="19650" ht="15.75" customHeight="1">
      <c r="A19650" s="1">
        <v>20898.0</v>
      </c>
      <c r="B19650" s="3" t="s">
        <v>18590</v>
      </c>
      <c r="C19650" s="3" t="str">
        <f>IFERROR(__xludf.DUMMYFUNCTION("GOOGLETRANSLATE(B19650,""id"",""en"")"),"['Level', 'lgi', 'free', 'promo', 'mkasi']")</f>
        <v>['Level', 'lgi', 'free', 'promo', 'mkasi']</v>
      </c>
      <c r="D19650" s="3">
        <v>5.0</v>
      </c>
    </row>
    <row r="19651" ht="15.75" customHeight="1">
      <c r="A19651" s="1">
        <v>20899.0</v>
      </c>
      <c r="B19651" s="3" t="s">
        <v>18591</v>
      </c>
      <c r="C19651" s="3" t="str">
        <f>IFERROR(__xludf.DUMMYFUNCTION("GOOGLETRANSLATE(B19651,""id"",""en"")"),"['Nelp', 'Connect', 'Sound', 'heard', 'opponent', 'Talk', 'second', 'walk', 'Cutting', 'Credit', 'Turn Off', 'Tel', ' Talk ',' Normal ',' intentional ', ""]")</f>
        <v>['Nelp', 'Connect', 'Sound', 'heard', 'opponent', 'Talk', 'second', 'walk', 'Cutting', 'Credit', 'Turn Off', 'Tel', ' Talk ',' Normal ',' intentional ', "]</v>
      </c>
      <c r="D19651" s="3">
        <v>2.0</v>
      </c>
    </row>
    <row r="19652" ht="15.75" customHeight="1">
      <c r="A19652" s="1">
        <v>20900.0</v>
      </c>
      <c r="B19652" s="3" t="s">
        <v>18592</v>
      </c>
      <c r="C19652" s="3" t="str">
        <f>IFERROR(__xludf.DUMMYFUNCTION("GOOGLETRANSLATE(B19652,""id"",""en"")"),"['', 'Ngeta', 'Telkomsel', 'expensive', 'quality', 'cheap', 'stray', 'pay', 'Try', 'told', 'employees',' Maen ',' Pegangsaan ',' Toll ',' signal ',' just ',' line ',' area ',' situ ',' full ',' employee ',' check ',' signal ',' system ',' result ', 'Have'"&amp;", 'employees', 'plunge', 'direct', 'field', 'magabut', ""]")</f>
        <v>['', 'Ngeta', 'Telkomsel', 'expensive', 'quality', 'cheap', 'stray', 'pay', 'Try', 'told', 'employees',' Maen ',' Pegangsaan ',' Toll ',' signal ',' just ',' line ',' area ',' situ ',' full ',' employee ',' check ',' signal ',' system ',' result ', 'Have', 'employees', 'plunge', 'direct', 'field', 'magabut', "]</v>
      </c>
      <c r="D19652" s="3">
        <v>1.0</v>
      </c>
    </row>
    <row r="19653" ht="15.75" customHeight="1">
      <c r="A19653" s="1">
        <v>20901.0</v>
      </c>
      <c r="B19653" s="3" t="s">
        <v>18593</v>
      </c>
      <c r="C19653" s="3" t="str">
        <f>IFERROR(__xludf.DUMMYFUNCTION("GOOGLETRANSLATE(B19653,""id"",""en"")"),"['already', 'delete', 'Install', 'Ngak', 'enter', 'Telkomsel', 'picture', 'white', 'please', 'fix']")</f>
        <v>['already', 'delete', 'Install', 'Ngak', 'enter', 'Telkomsel', 'picture', 'white', 'please', 'fix']</v>
      </c>
      <c r="D19653" s="3">
        <v>3.0</v>
      </c>
    </row>
    <row r="19654" ht="15.75" customHeight="1">
      <c r="A19654" s="1">
        <v>20902.0</v>
      </c>
      <c r="B19654" s="3" t="s">
        <v>18594</v>
      </c>
      <c r="C19654" s="3" t="str">
        <f>IFERROR(__xludf.DUMMYFUNCTION("GOOGLETRANSLATE(B19654,""id"",""en"")"),"['repeat', 'times', 'exchange', 'Points', 'TPI', 'Slalu', 'gift', 'none', 'dream', 'sustenance', ""]")</f>
        <v>['repeat', 'times', 'exchange', 'Points', 'TPI', 'Slalu', 'gift', 'none', 'dream', 'sustenance', "]</v>
      </c>
      <c r="D19654" s="3">
        <v>1.0</v>
      </c>
    </row>
    <row r="19655" ht="15.75" customHeight="1">
      <c r="A19655" s="1">
        <v>20903.0</v>
      </c>
      <c r="B19655" s="3" t="s">
        <v>18595</v>
      </c>
      <c r="C19655" s="3" t="str">
        <f>IFERROR(__xludf.DUMMYFUNCTION("GOOGLETRANSLATE(B19655,""id"",""en"")"),"['Telkomsel', 'already', 'buy', 'pulse', 'enter', 'dri', 'counter', 'already', 'success', 'entry']")</f>
        <v>['Telkomsel', 'already', 'buy', 'pulse', 'enter', 'dri', 'counter', 'already', 'success', 'entry']</v>
      </c>
      <c r="D19655" s="3">
        <v>1.0</v>
      </c>
    </row>
    <row r="19656" ht="15.75" customHeight="1">
      <c r="A19656" s="1">
        <v>20904.0</v>
      </c>
      <c r="B19656" s="3" t="s">
        <v>18596</v>
      </c>
      <c r="C19656" s="3" t="str">
        <f>IFERROR(__xludf.DUMMYFUNCTION("GOOGLETRANSLATE(B19656,""id"",""en"")"),"['Fix', 'Network', 'Plosok', 'country']")</f>
        <v>['Fix', 'Network', 'Plosok', 'country']</v>
      </c>
      <c r="D19656" s="3">
        <v>5.0</v>
      </c>
    </row>
    <row r="19657" ht="15.75" customHeight="1">
      <c r="A19657" s="1">
        <v>20905.0</v>
      </c>
      <c r="B19657" s="3" t="s">
        <v>18597</v>
      </c>
      <c r="C19657" s="3" t="str">
        <f>IFERROR(__xludf.DUMMYFUNCTION("GOOGLETRANSLATE(B19657,""id"",""en"")"),"['Network', 'Telkomsel', 'Ngelag']")</f>
        <v>['Network', 'Telkomsel', 'Ngelag']</v>
      </c>
      <c r="D19657" s="3">
        <v>2.0</v>
      </c>
    </row>
    <row r="19658" ht="15.75" customHeight="1">
      <c r="A19658" s="1">
        <v>20906.0</v>
      </c>
      <c r="B19658" s="3" t="s">
        <v>18598</v>
      </c>
      <c r="C19658" s="3" t="str">
        <f>IFERROR(__xludf.DUMMYFUNCTION("GOOGLETRANSLATE(B19658,""id"",""en"")"),"['Open', 'Telkomsel', 'White', 'Screen', 'already', 'White', 'Screen']")</f>
        <v>['Open', 'Telkomsel', 'White', 'Screen', 'already', 'White', 'Screen']</v>
      </c>
      <c r="D19658" s="3">
        <v>1.0</v>
      </c>
    </row>
    <row r="19659" ht="15.75" customHeight="1">
      <c r="A19659" s="1">
        <v>20907.0</v>
      </c>
      <c r="B19659" s="3" t="s">
        <v>18599</v>
      </c>
      <c r="C19659" s="3" t="str">
        <f>IFERROR(__xludf.DUMMYFUNCTION("GOOGLETRANSLATE(B19659,""id"",""en"")"),"['already', 'cave', 'apk', 'beyum', 'really', 'spend', 'package', 'download', 'delete', 'gtu', 'then', 'open']")</f>
        <v>['already', 'cave', 'apk', 'beyum', 'really', 'spend', 'package', 'download', 'delete', 'gtu', 'then', 'open']</v>
      </c>
      <c r="D19659" s="3">
        <v>1.0</v>
      </c>
    </row>
    <row r="19660" ht="15.75" customHeight="1">
      <c r="A19660" s="1">
        <v>20908.0</v>
      </c>
      <c r="B19660" s="3" t="s">
        <v>18600</v>
      </c>
      <c r="C19660" s="3" t="str">
        <f>IFERROR(__xludf.DUMMYFUNCTION("GOOGLETRANSLATE(B19660,""id"",""en"")"),"['Easy', 'Pay']")</f>
        <v>['Easy', 'Pay']</v>
      </c>
      <c r="D19660" s="3">
        <v>5.0</v>
      </c>
    </row>
    <row r="19661" ht="15.75" customHeight="1">
      <c r="A19661" s="1">
        <v>20909.0</v>
      </c>
      <c r="B19661" s="3" t="s">
        <v>18601</v>
      </c>
      <c r="C19661" s="3" t="str">
        <f>IFERROR(__xludf.DUMMYFUNCTION("GOOGLETRANSLATE(B19661,""id"",""en"")"),"['Forced', 'Post', 'Pay', 'SIM', 'Card', 'Blocked', 'Active', 'Out', 'Follow', 'Select', 'Bill', 'Low', ' Often ',' Application ',' JKN ',' Acts', 'Salah', 'Only', 'Code', 'OTP', 'Credit', 'SMS', 'Submit', 'Help', 'Chat' , 'Veronika', 'love', 'solution', "&amp;"'raising', 'limit', 'raises', 'limit', 'bill', 'take off', 'service', 'dilapidated', '']")</f>
        <v>['Forced', 'Post', 'Pay', 'SIM', 'Card', 'Blocked', 'Active', 'Out', 'Follow', 'Select', 'Bill', 'Low', ' Often ',' Application ',' JKN ',' Acts', 'Salah', 'Only', 'Code', 'OTP', 'Credit', 'SMS', 'Submit', 'Help', 'Chat' , 'Veronika', 'love', 'solution', 'raising', 'limit', 'raises', 'limit', 'bill', 'take off', 'service', 'dilapidated', '']</v>
      </c>
      <c r="D19661" s="3">
        <v>1.0</v>
      </c>
    </row>
    <row r="19662" ht="15.75" customHeight="1">
      <c r="A19662" s="1">
        <v>20910.0</v>
      </c>
      <c r="B19662" s="3" t="s">
        <v>18602</v>
      </c>
      <c r="C19662" s="3" t="str">
        <f>IFERROR(__xludf.DUMMYFUNCTION("GOOGLETRANSLATE(B19662,""id"",""en"")"),"['', 'disappointed', 'contents',' pls', 'pls',' directly ',' truncated ',' truncated ',' confirm ',' truncated ',' exposed ',' pket ',' extra ',' pls', 'apply', 'hri', 'app', 'printed', 'package', 'internet', 'solution', 'bgaimna', '']")</f>
        <v>['', 'disappointed', 'contents',' pls', 'pls',' directly ',' truncated ',' truncated ',' confirm ',' truncated ',' exposed ',' pket ',' extra ',' pls', 'apply', 'hri', 'app', 'printed', 'package', 'internet', 'solution', 'bgaimna', '']</v>
      </c>
      <c r="D19662" s="3">
        <v>1.0</v>
      </c>
    </row>
    <row r="19663" ht="15.75" customHeight="1">
      <c r="A19663" s="1">
        <v>20911.0</v>
      </c>
      <c r="B19663" s="3" t="s">
        <v>18603</v>
      </c>
      <c r="C19663" s="3" t="str">
        <f>IFERROR(__xludf.DUMMYFUNCTION("GOOGLETRANSLATE(B19663,""id"",""en"")"),"['Telkomsel', 'Please', 'Note', 'Development', 'Network', 'Region', 'Rural', 'Desa', 'Outback', 'Agarkami', 'City', 'Enjoy', ' Network ',' Telkomsel ',' Disorders', 'Example', 'Disorders',' Network ',' Natural ',' Pedasan ',' Dead ',' Lights', 'Network', "&amp;"'Telkomsel', 'Lost' , 'Rain', 'Network', 'missing', 'obstacles']")</f>
        <v>['Telkomsel', 'Please', 'Note', 'Development', 'Network', 'Region', 'Rural', 'Desa', 'Outback', 'Agarkami', 'City', 'Enjoy', ' Network ',' Telkomsel ',' Disorders', 'Example', 'Disorders',' Network ',' Natural ',' Pedasan ',' Dead ',' Lights', 'Network', 'Telkomsel', 'Lost' , 'Rain', 'Network', 'missing', 'obstacles']</v>
      </c>
      <c r="D19663" s="3">
        <v>1.0</v>
      </c>
    </row>
    <row r="19664" ht="15.75" customHeight="1">
      <c r="A19664" s="1">
        <v>20912.0</v>
      </c>
      <c r="B19664" s="3" t="s">
        <v>18604</v>
      </c>
      <c r="C19664" s="3" t="str">
        <f>IFERROR(__xludf.DUMMYFUNCTION("GOOGLETRANSLATE(B19664,""id"",""en"")"),"['Please', 'Package', 'Anlimitid']")</f>
        <v>['Please', 'Package', 'Anlimitid']</v>
      </c>
      <c r="D19664" s="3">
        <v>1.0</v>
      </c>
    </row>
    <row r="19665" ht="15.75" customHeight="1">
      <c r="A19665" s="1">
        <v>20913.0</v>
      </c>
      <c r="B19665" s="3" t="s">
        <v>18605</v>
      </c>
      <c r="C19665" s="3" t="str">
        <f>IFERROR(__xludf.DUMMYFUNCTION("GOOGLETRANSLATE(B19665,""id"",""en"")"),"['Upgrade', 'open', 'yahhh']")</f>
        <v>['Upgrade', 'open', 'yahhh']</v>
      </c>
      <c r="D19665" s="3">
        <v>5.0</v>
      </c>
    </row>
    <row r="19666" ht="15.75" customHeight="1">
      <c r="A19666" s="1">
        <v>20914.0</v>
      </c>
      <c r="B19666" s="3" t="s">
        <v>18606</v>
      </c>
      <c r="C19666" s="3" t="str">
        <f>IFERROR(__xludf.DUMMYFUNCTION("GOOGLETRANSLATE(B19666,""id"",""en"")"),"['why', 'open', 'pdahal', 'buy', 'package', '']")</f>
        <v>['why', 'open', 'pdahal', 'buy', 'package', '']</v>
      </c>
      <c r="D19666" s="3">
        <v>2.0</v>
      </c>
    </row>
    <row r="19667" ht="15.75" customHeight="1">
      <c r="A19667" s="1">
        <v>20915.0</v>
      </c>
      <c r="B19667" s="3" t="s">
        <v>18607</v>
      </c>
      <c r="C19667" s="3" t="str">
        <f>IFERROR(__xludf.DUMMYFUNCTION("GOOGLETRANSLATE(B19667,""id"",""en"")"),"['Yesterday', 'update', 'the application', 'open', 'skrg', 'right', 'update', 'stuck', 'screen', 'white', 'do "",' please ',' Fix ',' Min ',' ']")</f>
        <v>['Yesterday', 'update', 'the application', 'open', 'skrg', 'right', 'update', 'stuck', 'screen', 'white', 'do ",' please ',' Fix ',' Min ',' ']</v>
      </c>
      <c r="D19667" s="3">
        <v>3.0</v>
      </c>
    </row>
    <row r="19668" ht="15.75" customHeight="1">
      <c r="A19668" s="1">
        <v>20916.0</v>
      </c>
      <c r="B19668" s="3" t="s">
        <v>18608</v>
      </c>
      <c r="C19668" s="3" t="str">
        <f>IFERROR(__xludf.DUMMYFUNCTION("GOOGLETRANSLATE(B19668,""id"",""en"")"),"['Telkomsel', 'Network', 'Slow', 'really', 'stop', 'Telkomsel', 'already', 'bangrut', 'kah', 'network', 'slow', 'right']")</f>
        <v>['Telkomsel', 'Network', 'Slow', 'really', 'stop', 'Telkomsel', 'already', 'bangrut', 'kah', 'network', 'slow', 'right']</v>
      </c>
      <c r="D19668" s="3">
        <v>1.0</v>
      </c>
    </row>
    <row r="19669" ht="15.75" customHeight="1">
      <c r="A19669" s="1">
        <v>20917.0</v>
      </c>
      <c r="B19669" s="3" t="s">
        <v>18609</v>
      </c>
      <c r="C19669" s="3" t="str">
        <f>IFERROR(__xludf.DUMMYFUNCTION("GOOGLETRANSLATE(B19669,""id"",""en"")"),"['Please', 'Price', 'Expensive', 'Consumer', 'Satisfied', 'Register', 'Package', 'Humania', 'Sometimes',' Confused ',' Choose ',' Package ',' a month ',' GB ',' SIA ',' GB ',' Sometimes', 'Shame', 'GB', 'Weekly', 'AKTF']")</f>
        <v>['Please', 'Price', 'Expensive', 'Consumer', 'Satisfied', 'Register', 'Package', 'Humania', 'Sometimes',' Confused ',' Choose ',' Package ',' a month ',' GB ',' SIA ',' GB ',' Sometimes', 'Shame', 'GB', 'Weekly', 'AKTF']</v>
      </c>
      <c r="D19669" s="3">
        <v>1.0</v>
      </c>
    </row>
    <row r="19670" ht="15.75" customHeight="1">
      <c r="A19670" s="1">
        <v>20918.0</v>
      </c>
      <c r="B19670" s="3" t="s">
        <v>18610</v>
      </c>
      <c r="C19670" s="3" t="str">
        <f>IFERROR(__xludf.DUMMYFUNCTION("GOOGLETRANSLATE(B19670,""id"",""en"")"),"['Wei', 'buy', 'package', 'call', 'a month', 'run out', 'so', 'boss', 'maling', 'money', 'person']")</f>
        <v>['Wei', 'buy', 'package', 'call', 'a month', 'run out', 'so', 'boss', 'maling', 'money', 'person']</v>
      </c>
      <c r="D19670" s="3">
        <v>1.0</v>
      </c>
    </row>
    <row r="19671" ht="15.75" customHeight="1">
      <c r="A19671" s="1">
        <v>20919.0</v>
      </c>
      <c r="B19671" s="3" t="s">
        <v>18611</v>
      </c>
      <c r="C19671" s="3" t="str">
        <f>IFERROR(__xludf.DUMMYFUNCTION("GOOGLETRANSLATE(B19671,""id"",""en"")"),"['MyTelkomsel', 'provides', 'Dark', 'mode', 'mode', 'dark', 'tasty', 'seen']")</f>
        <v>['MyTelkomsel', 'provides', 'Dark', 'mode', 'mode', 'dark', 'tasty', 'seen']</v>
      </c>
      <c r="D19671" s="3">
        <v>5.0</v>
      </c>
    </row>
    <row r="19672" ht="15.75" customHeight="1">
      <c r="A19672" s="1">
        <v>20920.0</v>
      </c>
      <c r="B19672" s="3" t="s">
        <v>659</v>
      </c>
      <c r="C19672" s="3" t="str">
        <f>IFERROR(__xludf.DUMMYFUNCTION("GOOGLETRANSLATE(B19672,""id"",""en"")"),"['Application', 'Help']")</f>
        <v>['Application', 'Help']</v>
      </c>
      <c r="D19672" s="3">
        <v>5.0</v>
      </c>
    </row>
    <row r="19673" ht="15.75" customHeight="1">
      <c r="A19673" s="1">
        <v>20921.0</v>
      </c>
      <c r="B19673" s="3" t="s">
        <v>18612</v>
      </c>
      <c r="C19673" s="3" t="str">
        <f>IFERROR(__xludf.DUMMYFUNCTION("GOOGLETRANSLATE(B19673,""id"",""en"")"),"['It's easier for', 'peancan']")</f>
        <v>['It's easier for', 'peancan']</v>
      </c>
      <c r="D19673" s="3">
        <v>5.0</v>
      </c>
    </row>
    <row r="19674" ht="15.75" customHeight="1">
      <c r="A19674" s="1">
        <v>20922.0</v>
      </c>
      <c r="B19674" s="3" t="s">
        <v>18613</v>
      </c>
      <c r="C19674" s="3" t="str">
        <f>IFERROR(__xludf.DUMMYFUNCTION("GOOGLETRANSLATE(B19674,""id"",""en"")"),"['network', 'internet', 'speed', 'download', 'lose']")</f>
        <v>['network', 'internet', 'speed', 'download', 'lose']</v>
      </c>
      <c r="D19674" s="3">
        <v>1.0</v>
      </c>
    </row>
    <row r="19675" ht="15.75" customHeight="1">
      <c r="A19675" s="1">
        <v>20923.0</v>
      </c>
      <c r="B19675" s="3" t="s">
        <v>18614</v>
      </c>
      <c r="C19675" s="3" t="str">
        <f>IFERROR(__xludf.DUMMYFUNCTION("GOOGLETRANSLATE(B19675,""id"",""en"")"),"['Dininaikin', 'thousand', 'skrng', 'card', 'Different', 'package', 'perverted']")</f>
        <v>['Dininaikin', 'thousand', 'skrng', 'card', 'Different', 'package', 'perverted']</v>
      </c>
      <c r="D19675" s="3">
        <v>1.0</v>
      </c>
    </row>
    <row r="19676" ht="15.75" customHeight="1">
      <c r="A19676" s="1">
        <v>20924.0</v>
      </c>
      <c r="B19676" s="3" t="s">
        <v>18615</v>
      </c>
      <c r="C19676" s="3" t="str">
        <f>IFERROR(__xludf.DUMMYFUNCTION("GOOGLETRANSLATE(B19676,""id"",""en"")"),"['Please', 'Send', 'Promo', 'Cheap']")</f>
        <v>['Please', 'Send', 'Promo', 'Cheap']</v>
      </c>
      <c r="D19676" s="3">
        <v>3.0</v>
      </c>
    </row>
    <row r="19677" ht="15.75" customHeight="1">
      <c r="A19677" s="1">
        <v>20925.0</v>
      </c>
      <c r="B19677" s="3" t="s">
        <v>18616</v>
      </c>
      <c r="C19677" s="3" t="str">
        <f>IFERROR(__xludf.DUMMYFUNCTION("GOOGLETRANSLATE(B19677,""id"",""en"")"),"['APK', 'good', 'buy', 'package', 'internet']")</f>
        <v>['APK', 'good', 'buy', 'package', 'internet']</v>
      </c>
      <c r="D19677" s="3">
        <v>5.0</v>
      </c>
    </row>
    <row r="19678" ht="15.75" customHeight="1">
      <c r="A19678" s="1">
        <v>20926.0</v>
      </c>
      <c r="B19678" s="3" t="s">
        <v>18617</v>
      </c>
      <c r="C19678" s="3" t="str">
        <f>IFERROR(__xludf.DUMMYFUNCTION("GOOGLETRANSLATE(B19678,""id"",""en"")"),"['Kasi', 'star', 'Mintak', 'Install', 'reset', 'mala', 'ok', 'Bukak', 'mentok', 'puti']")</f>
        <v>['Kasi', 'star', 'Mintak', 'Install', 'reset', 'mala', 'ok', 'Bukak', 'mentok', 'puti']</v>
      </c>
      <c r="D19678" s="3">
        <v>1.0</v>
      </c>
    </row>
    <row r="19679" ht="15.75" customHeight="1">
      <c r="A19679" s="1">
        <v>20927.0</v>
      </c>
      <c r="B19679" s="3" t="s">
        <v>18618</v>
      </c>
      <c r="C19679" s="3" t="str">
        <f>IFERROR(__xludf.DUMMYFUNCTION("GOOGLETRANSLATE(B19679,""id"",""en"")"),"['Telkomsel', 'Flood', 'Gift', 'Moga', ""]")</f>
        <v>['Telkomsel', 'Flood', 'Gift', 'Moga', "]</v>
      </c>
      <c r="D19679" s="3">
        <v>5.0</v>
      </c>
    </row>
    <row r="19680" ht="15.75" customHeight="1">
      <c r="A19680" s="1">
        <v>20928.0</v>
      </c>
      <c r="B19680" s="3" t="s">
        <v>18619</v>
      </c>
      <c r="C19680" s="3" t="str">
        <f>IFERROR(__xludf.DUMMYFUNCTION("GOOGLETRANSLATE(B19680,""id"",""en"")"),"['Good', 'really', 'my apk']")</f>
        <v>['Good', 'really', 'my apk']</v>
      </c>
      <c r="D19680" s="3">
        <v>5.0</v>
      </c>
    </row>
    <row r="19681" ht="15.75" customHeight="1">
      <c r="A19681" s="1">
        <v>20929.0</v>
      </c>
      <c r="B19681" s="3" t="s">
        <v>18620</v>
      </c>
      <c r="C19681" s="3" t="str">
        <f>IFERROR(__xludf.DUMMYFUNCTION("GOOGLETRANSLATE(B19681,""id"",""en"")"),"['hope', 'Exchange', 'Points',' Car ',' Mercy ',' GLA ',' Aminnn ',' Update ',' Click ',' Application ',' Telkomsel ',' appears', ' screen ',' white ',' empty ',' awaited ',' that's', 'many', 'uninstall', 'download', 'enter', 'application', 'how', 'loyal'"&amp;", 'use' , 'sympathy', 'please', 'fixed', ""]")</f>
        <v>['hope', 'Exchange', 'Points',' Car ',' Mercy ',' GLA ',' Aminnn ',' Update ',' Click ',' Application ',' Telkomsel ',' appears', ' screen ',' white ',' empty ',' awaited ',' that's', 'many', 'uninstall', 'download', 'enter', 'application', 'how', 'loyal', 'use' , 'sympathy', 'please', 'fixed', "]</v>
      </c>
      <c r="D19681" s="3">
        <v>4.0</v>
      </c>
    </row>
    <row r="19682" ht="15.75" customHeight="1">
      <c r="A19682" s="1">
        <v>20931.0</v>
      </c>
      <c r="B19682" s="3" t="s">
        <v>18621</v>
      </c>
      <c r="C19682" s="3" t="str">
        <f>IFERROR(__xludf.DUMMYFUNCTION("GOOGLETRANSLATE(B19682,""id"",""en"")"),"['access',' enter ',' application ',' Telkomsel ',' difficult ',' quota ',' full ',' signal ',' okay ',' application ',' mah ',' light ',' aduuuh ']")</f>
        <v>['access',' enter ',' application ',' Telkomsel ',' difficult ',' quota ',' full ',' signal ',' okay ',' application ',' mah ',' light ',' aduuuh ']</v>
      </c>
      <c r="D19682" s="3">
        <v>1.0</v>
      </c>
    </row>
    <row r="19683" ht="15.75" customHeight="1">
      <c r="A19683" s="1">
        <v>20933.0</v>
      </c>
      <c r="B19683" s="3" t="s">
        <v>18622</v>
      </c>
      <c r="C19683" s="3" t="str">
        <f>IFERROR(__xludf.DUMMYFUNCTION("GOOGLETRANSLATE(B19683,""id"",""en"")"),"['signal', 'city', 'garbage', 'package', 'expensive', 'TPI', 'signal', 'reliable', 'provider', 'lbh', 'yrs',' megalodon ',' rubbish']")</f>
        <v>['signal', 'city', 'garbage', 'package', 'expensive', 'TPI', 'signal', 'reliable', 'provider', 'lbh', 'yrs',' megalodon ',' rubbish']</v>
      </c>
      <c r="D19683" s="3">
        <v>1.0</v>
      </c>
    </row>
    <row r="19684" ht="15.75" customHeight="1">
      <c r="A19684" s="1">
        <v>20934.0</v>
      </c>
      <c r="B19684" s="3" t="s">
        <v>18623</v>
      </c>
      <c r="C19684" s="3" t="str">
        <f>IFERROR(__xludf.DUMMYFUNCTION("GOOGLETRANSLATE(B19684,""id"",""en"")"),"['Access', 'The application', 'UDH', 'Open']")</f>
        <v>['Access', 'The application', 'UDH', 'Open']</v>
      </c>
      <c r="D19684" s="3">
        <v>2.0</v>
      </c>
    </row>
    <row r="19685" ht="15.75" customHeight="1">
      <c r="A19685" s="1">
        <v>20935.0</v>
      </c>
      <c r="B19685" s="3" t="s">
        <v>18624</v>
      </c>
      <c r="C19685" s="3" t="str">
        <f>IFERROR(__xludf.DUMMYFUNCTION("GOOGLETRANSLATE(B19685,""id"",""en"")"),"['Ngga', 'Telkomsel', 'Rada', 'error', 'Season', 'buy', 'quota', 'process', 'entering', 'improved', 'rating', 'addin']")</f>
        <v>['Ngga', 'Telkomsel', 'Rada', 'error', 'Season', 'buy', 'quota', 'process', 'entering', 'improved', 'rating', 'addin']</v>
      </c>
      <c r="D19685" s="3">
        <v>3.0</v>
      </c>
    </row>
    <row r="19686" ht="15.75" customHeight="1">
      <c r="A19686" s="1">
        <v>20936.0</v>
      </c>
      <c r="B19686" s="3" t="s">
        <v>391</v>
      </c>
      <c r="C19686" s="3" t="str">
        <f>IFERROR(__xludf.DUMMYFUNCTION("GOOGLETRANSLATE(B19686,""id"",""en"")"),"['December', 'application', 'opened', '']")</f>
        <v>['December', 'application', 'opened', '']</v>
      </c>
      <c r="D19686" s="3">
        <v>1.0</v>
      </c>
    </row>
    <row r="19687" ht="15.75" customHeight="1">
      <c r="A19687" s="1">
        <v>20937.0</v>
      </c>
      <c r="B19687" s="3" t="s">
        <v>18625</v>
      </c>
      <c r="C19687" s="3" t="str">
        <f>IFERROR(__xludf.DUMMYFUNCTION("GOOGLETRANSLATE(B19687,""id"",""en"")"),"['network', 'lag', 'chek', 'ilang', 'right', 'told', 'repeated', 'gajelas', 'oath']")</f>
        <v>['network', 'lag', 'chek', 'ilang', 'right', 'told', 'repeated', 'gajelas', 'oath']</v>
      </c>
      <c r="D19687" s="3">
        <v>1.0</v>
      </c>
    </row>
    <row r="19688" ht="15.75" customHeight="1">
      <c r="A19688" s="1">
        <v>20938.0</v>
      </c>
      <c r="B19688" s="3" t="s">
        <v>18626</v>
      </c>
      <c r="C19688" s="3" t="str">
        <f>IFERROR(__xludf.DUMMYFUNCTION("GOOGLETRANSLATE(B19688,""id"",""en"")"),"['Good', 'APK', 'easy', 'buy', 'package', 'gift', 'interesting']")</f>
        <v>['Good', 'APK', 'easy', 'buy', 'package', 'gift', 'interesting']</v>
      </c>
      <c r="D19688" s="3">
        <v>5.0</v>
      </c>
    </row>
    <row r="19689" ht="15.75" customHeight="1">
      <c r="A19689" s="1">
        <v>20939.0</v>
      </c>
      <c r="B19689" s="3" t="s">
        <v>18627</v>
      </c>
      <c r="C19689" s="3" t="str">
        <f>IFERROR(__xludf.DUMMYFUNCTION("GOOGLETRANSLATE(B19689,""id"",""en"")"),"['Satisfied', 'Network', 'Package', 'Cheap', '']")</f>
        <v>['Satisfied', 'Network', 'Package', 'Cheap', '']</v>
      </c>
      <c r="D19689" s="3">
        <v>5.0</v>
      </c>
    </row>
    <row r="19690" ht="15.75" customHeight="1">
      <c r="A19690" s="1">
        <v>20940.0</v>
      </c>
      <c r="B19690" s="3" t="s">
        <v>18628</v>
      </c>
      <c r="C19690" s="3" t="str">
        <f>IFERROR(__xludf.DUMMYFUNCTION("GOOGLETRANSLATE(B19690,""id"",""en"")"),"['What', 'Telkomsel', 'already', 'buy', 'expensive', 'eh', 'kasi', 'network', 'ugly', 'should', 'good', 'proof', ' already ',' tower ',' mean ',' how ', ""]")</f>
        <v>['What', 'Telkomsel', 'already', 'buy', 'expensive', 'eh', 'kasi', 'network', 'ugly', 'should', 'good', 'proof', ' already ',' tower ',' mean ',' how ', "]</v>
      </c>
      <c r="D19690" s="3">
        <v>1.0</v>
      </c>
    </row>
    <row r="19691" ht="15.75" customHeight="1">
      <c r="A19691" s="1">
        <v>20941.0</v>
      </c>
      <c r="B19691" s="3" t="s">
        <v>18629</v>
      </c>
      <c r="C19691" s="3" t="str">
        <f>IFERROR(__xludf.DUMMYFUNCTION("GOOGLETRANSLATE(B19691,""id"",""en"")"),"['Woy', 'telkom', 'koq', 'gini', 'package', 'abis',' pdhl ',' ngambit ',' save ',' kouta ',' right ',' transfer ',' koq ',' cut ',' abis', 'koq', 'buy', 'kouta', 'koq', 'severe', 'pulse', 'buy', 'kouta', 'koq', 'left' , '']")</f>
        <v>['Woy', 'telkom', 'koq', 'gini', 'package', 'abis',' pdhl ',' ngambit ',' save ',' kouta ',' right ',' transfer ',' koq ',' cut ',' abis', 'koq', 'buy', 'kouta', 'koq', 'severe', 'pulse', 'buy', 'kouta', 'koq', 'left' , '']</v>
      </c>
      <c r="D19691" s="3">
        <v>1.0</v>
      </c>
    </row>
    <row r="19692" ht="15.75" customHeight="1">
      <c r="A19692" s="1">
        <v>20942.0</v>
      </c>
      <c r="B19692" s="3" t="s">
        <v>15108</v>
      </c>
      <c r="C19692" s="3" t="str">
        <f>IFERROR(__xludf.DUMMYFUNCTION("GOOGLETRANSLATE(B19692,""id"",""en"")"),"['', 'good']")</f>
        <v>['', 'good']</v>
      </c>
      <c r="D19692" s="3">
        <v>5.0</v>
      </c>
    </row>
    <row r="19693" ht="15.75" customHeight="1">
      <c r="A19693" s="1">
        <v>20943.0</v>
      </c>
      <c r="B19693" s="3" t="s">
        <v>18630</v>
      </c>
      <c r="C19693" s="3" t="str">
        <f>IFERROR(__xludf.DUMMYFUNCTION("GOOGLETRANSLATE(B19693,""id"",""en"")"),"['Upgrade', 'BLM', 'Try', 'Okay']")</f>
        <v>['Upgrade', 'BLM', 'Try', 'Okay']</v>
      </c>
      <c r="D19693" s="3">
        <v>3.0</v>
      </c>
    </row>
    <row r="19694" ht="15.75" customHeight="1">
      <c r="A19694" s="1">
        <v>20944.0</v>
      </c>
      <c r="B19694" s="3" t="s">
        <v>18631</v>
      </c>
      <c r="C19694" s="3" t="str">
        <f>IFERROR(__xludf.DUMMYFUNCTION("GOOGLETRANSLATE(B19694,""id"",""en"")"),"['Simple', 'cheap', 'steady']")</f>
        <v>['Simple', 'cheap', 'steady']</v>
      </c>
      <c r="D19694" s="3">
        <v>5.0</v>
      </c>
    </row>
    <row r="19695" ht="15.75" customHeight="1">
      <c r="A19695" s="1">
        <v>20945.0</v>
      </c>
      <c r="B19695" s="3" t="s">
        <v>18632</v>
      </c>
      <c r="C19695" s="3" t="str">
        <f>IFERROR(__xludf.DUMMYFUNCTION("GOOGLETRANSLATE(B19695,""id"",""en"")"),"['App', 'opened', 'knp', '']")</f>
        <v>['App', 'opened', 'knp', '']</v>
      </c>
      <c r="D19695" s="3">
        <v>2.0</v>
      </c>
    </row>
    <row r="19696" ht="15.75" customHeight="1">
      <c r="A19696" s="1">
        <v>20946.0</v>
      </c>
      <c r="B19696" s="3" t="s">
        <v>18633</v>
      </c>
      <c r="C19696" s="3" t="str">
        <f>IFERROR(__xludf.DUMMYFUNCTION("GOOGLETRANSLATE(B19696,""id"",""en"")"),"['', 'Telkomsel', 'good', 'bonus', 'per year', 'customer', 'loyal', 'Telkomsel', 'thank you', '']")</f>
        <v>['', 'Telkomsel', 'good', 'bonus', 'per year', 'customer', 'loyal', 'Telkomsel', 'thank you', '']</v>
      </c>
      <c r="D19696" s="3">
        <v>5.0</v>
      </c>
    </row>
    <row r="19697" ht="15.75" customHeight="1">
      <c r="A19697" s="1">
        <v>20947.0</v>
      </c>
      <c r="B19697" s="3" t="s">
        <v>18634</v>
      </c>
      <c r="C19697" s="3" t="str">
        <f>IFERROR(__xludf.DUMMYFUNCTION("GOOGLETRANSLATE(B19697,""id"",""en"")"),"['upgraded', 'open', 'the application', '']")</f>
        <v>['upgraded', 'open', 'the application', '']</v>
      </c>
      <c r="D19697" s="3">
        <v>2.0</v>
      </c>
    </row>
    <row r="19698" ht="15.75" customHeight="1">
      <c r="A19698" s="1">
        <v>20948.0</v>
      </c>
      <c r="B19698" s="3" t="s">
        <v>18635</v>
      </c>
      <c r="C19698" s="3" t="str">
        <f>IFERROR(__xludf.DUMMYFUNCTION("GOOGLETRANSLATE(B19698,""id"",""en"")"),"['Increase', 'Signal', 'Game']")</f>
        <v>['Increase', 'Signal', 'Game']</v>
      </c>
      <c r="D19698" s="3">
        <v>5.0</v>
      </c>
    </row>
    <row r="19699" ht="15.75" customHeight="1">
      <c r="A19699" s="1">
        <v>20949.0</v>
      </c>
      <c r="B19699" s="3" t="s">
        <v>18636</v>
      </c>
      <c r="C19699" s="3" t="str">
        <f>IFERROR(__xludf.DUMMYFUNCTION("GOOGLETRANSLATE(B19699,""id"",""en"")"),"['connection', 'signal', 'difficult']")</f>
        <v>['connection', 'signal', 'difficult']</v>
      </c>
      <c r="D19699" s="3">
        <v>2.0</v>
      </c>
    </row>
    <row r="19700" ht="15.75" customHeight="1">
      <c r="A19700" s="1">
        <v>20950.0</v>
      </c>
      <c r="B19700" s="3" t="s">
        <v>18637</v>
      </c>
      <c r="C19700" s="3" t="str">
        <f>IFERROR(__xludf.DUMMYFUNCTION("GOOGLETRANSLATE(B19700,""id"",""en"")"),"['Change', 'Operator', 'Kayak', 'Gini', 'Telkomsel', 'Region', 'Madura', 'Pamekasan', 'Galis',' Signal ',' Severe ',' Play ',' Game ',' Mobile ',' Legends', 'Cave', 'Kasik', 'Bintang', 'Seklian', '']")</f>
        <v>['Change', 'Operator', 'Kayak', 'Gini', 'Telkomsel', 'Region', 'Madura', 'Pamekasan', 'Galis',' Signal ',' Severe ',' Play ',' Game ',' Mobile ',' Legends', 'Cave', 'Kasik', 'Bintang', 'Seklian', '']</v>
      </c>
      <c r="D19700" s="3">
        <v>1.0</v>
      </c>
    </row>
    <row r="19701" ht="15.75" customHeight="1">
      <c r="A19701" s="1">
        <v>20951.0</v>
      </c>
      <c r="B19701" s="3" t="s">
        <v>18638</v>
      </c>
      <c r="C19701" s="3" t="str">
        <f>IFERROR(__xludf.DUMMYFUNCTION("GOOGLETRANSLATE(B19701,""id"",""en"")"),"['buy', 'package', 'disappointing']")</f>
        <v>['buy', 'package', 'disappointing']</v>
      </c>
      <c r="D19701" s="3">
        <v>1.0</v>
      </c>
    </row>
    <row r="19702" ht="15.75" customHeight="1">
      <c r="A19702" s="1">
        <v>20952.0</v>
      </c>
      <c r="B19702" s="3" t="s">
        <v>18639</v>
      </c>
      <c r="C19702" s="3" t="str">
        <f>IFERROR(__xludf.DUMMYFUNCTION("GOOGLETRANSLATE(B19702,""id"",""en"")"),"['times', 'water', 'men']")</f>
        <v>['times', 'water', 'men']</v>
      </c>
      <c r="D19702" s="3">
        <v>5.0</v>
      </c>
    </row>
    <row r="19703" ht="15.75" customHeight="1">
      <c r="A19703" s="1">
        <v>20953.0</v>
      </c>
      <c r="B19703" s="3" t="s">
        <v>18640</v>
      </c>
      <c r="C19703" s="3" t="str">
        <f>IFERROR(__xludf.DUMMYFUNCTION("GOOGLETRANSLATE(B19703,""id"",""en"")"),"['gabisa', 'login', 'ngestuck', 'response', 'screen', 'white', 'beg', 'fix', 'please', 'response', ""]")</f>
        <v>['gabisa', 'login', 'ngestuck', 'response', 'screen', 'white', 'beg', 'fix', 'please', 'response', "]</v>
      </c>
      <c r="D19703" s="3">
        <v>2.0</v>
      </c>
    </row>
    <row r="19704" ht="15.75" customHeight="1">
      <c r="A19704" s="1">
        <v>20954.0</v>
      </c>
      <c r="B19704" s="3" t="s">
        <v>18641</v>
      </c>
      <c r="C19704" s="3" t="str">
        <f>IFERROR(__xludf.DUMMYFUNCTION("GOOGLETRANSLATE(B19704,""id"",""en"")"),"['Star', 'Talk', ""]")</f>
        <v>['Star', 'Talk', "]</v>
      </c>
      <c r="D19704" s="3">
        <v>5.0</v>
      </c>
    </row>
    <row r="19705" ht="15.75" customHeight="1">
      <c r="A19705" s="1">
        <v>20955.0</v>
      </c>
      <c r="B19705" s="3" t="s">
        <v>18642</v>
      </c>
      <c r="C19705" s="3" t="str">
        <f>IFERROR(__xludf.DUMMYFUNCTION("GOOGLETRANSLATE(B19705,""id"",""en"")"),"['Kouta', 'Kencengan', 'YouTube', 'unlimited', 'right', 'watch', 'youtube', 'reduced', 'kouta', 'main', 'internet', 'no', ' ']")</f>
        <v>['Kouta', 'Kencengan', 'YouTube', 'unlimited', 'right', 'watch', 'youtube', 'reduced', 'kouta', 'main', 'internet', 'no', ' ']</v>
      </c>
      <c r="D19705" s="3">
        <v>1.0</v>
      </c>
    </row>
    <row r="19706" ht="15.75" customHeight="1">
      <c r="A19706" s="1">
        <v>20956.0</v>
      </c>
      <c r="B19706" s="3" t="s">
        <v>18643</v>
      </c>
      <c r="C19706" s="3" t="str">
        <f>IFERROR(__xludf.DUMMYFUNCTION("GOOGLETRANSLATE(B19706,""id"",""en"")"),"['The application', 'open', 'already', 'update', 'opened']")</f>
        <v>['The application', 'open', 'already', 'update', 'opened']</v>
      </c>
      <c r="D19706" s="3">
        <v>1.0</v>
      </c>
    </row>
    <row r="19707" ht="15.75" customHeight="1">
      <c r="A19707" s="1">
        <v>20957.0</v>
      </c>
      <c r="B19707" s="3" t="s">
        <v>18644</v>
      </c>
      <c r="C19707" s="3" t="str">
        <f>IFERROR(__xludf.DUMMYFUNCTION("GOOGLETRANSLATE(B19707,""id"",""en"")"),"['signal', 'nggk', 'dancok', 'signal', 'telkomsel', 'emng', 'nggk', 'use', 'signal', 'signal', 'pig']")</f>
        <v>['signal', 'nggk', 'dancok', 'signal', 'telkomsel', 'emng', 'nggk', 'use', 'signal', 'signal', 'pig']</v>
      </c>
      <c r="D19707" s="3">
        <v>1.0</v>
      </c>
    </row>
    <row r="19708" ht="15.75" customHeight="1">
      <c r="A19708" s="1">
        <v>20959.0</v>
      </c>
      <c r="B19708" s="3" t="s">
        <v>18645</v>
      </c>
      <c r="C19708" s="3" t="str">
        <f>IFERROR(__xludf.DUMMYFUNCTION("GOOGLETRANSLATE(B19708,""id"",""en"")"),"['Out', 'update', 'Android', 'MyTelkomsel', 'failed', 'installed', '']")</f>
        <v>['Out', 'update', 'Android', 'MyTelkomsel', 'failed', 'installed', '']</v>
      </c>
      <c r="D19708" s="3">
        <v>1.0</v>
      </c>
    </row>
    <row r="19709" ht="15.75" customHeight="1">
      <c r="A19709" s="1">
        <v>20960.0</v>
      </c>
      <c r="B19709" s="3" t="s">
        <v>18646</v>
      </c>
      <c r="C19709" s="3" t="str">
        <f>IFERROR(__xludf.DUMMYFUNCTION("GOOGLETRANSLATE(B19709,""id"",""en"")"),"['', 'Telkomsel', 'Outrr', 'ordinary', ""]")</f>
        <v>['', 'Telkomsel', 'Outrr', 'ordinary', "]</v>
      </c>
      <c r="D19709" s="3">
        <v>5.0</v>
      </c>
    </row>
    <row r="19710" ht="15.75" customHeight="1">
      <c r="A19710" s="1">
        <v>20961.0</v>
      </c>
      <c r="B19710" s="3" t="s">
        <v>18647</v>
      </c>
      <c r="C19710" s="3" t="str">
        <f>IFERROR(__xludf.DUMMYFUNCTION("GOOGLETRANSLATE(B19710,""id"",""en"")"),"['APK', 'Function', 'Samsung', '']")</f>
        <v>['APK', 'Function', 'Samsung', '']</v>
      </c>
      <c r="D19710" s="3">
        <v>1.0</v>
      </c>
    </row>
    <row r="19711" ht="15.75" customHeight="1">
      <c r="A19711" s="1">
        <v>20962.0</v>
      </c>
      <c r="B19711" s="3" t="s">
        <v>18648</v>
      </c>
      <c r="C19711" s="3" t="str">
        <f>IFERROR(__xludf.DUMMYFUNCTION("GOOGLETRANSLATE(B19711,""id"",""en"")"),"['bner', 'bner', 'Telkomsel', 'skrg', 'blood', 'network', 'like', 'lost', 'ngleg', 'forgiveness',' chest ',' aink ',' ']")</f>
        <v>['bner', 'bner', 'Telkomsel', 'skrg', 'blood', 'network', 'like', 'lost', 'ngleg', 'forgiveness',' chest ',' aink ',' ']</v>
      </c>
      <c r="D19711" s="3">
        <v>1.0</v>
      </c>
    </row>
    <row r="19712" ht="15.75" customHeight="1">
      <c r="A19712" s="1">
        <v>20963.0</v>
      </c>
      <c r="B19712" s="3" t="s">
        <v>18649</v>
      </c>
      <c r="C19712" s="3" t="str">
        <f>IFERROR(__xludf.DUMMYFUNCTION("GOOGLETRANSLATE(B19712,""id"",""en"")"),"['Sorry', 'Sis', 'Download', 'The Application', 'Sis', ""]")</f>
        <v>['Sorry', 'Sis', 'Download', 'The Application', 'Sis', "]</v>
      </c>
      <c r="D19712" s="3">
        <v>1.0</v>
      </c>
    </row>
    <row r="19713" ht="15.75" customHeight="1">
      <c r="A19713" s="1">
        <v>20964.0</v>
      </c>
      <c r="B19713" s="3" t="s">
        <v>18650</v>
      </c>
      <c r="C19713" s="3" t="str">
        <f>IFERROR(__xludf.DUMMYFUNCTION("GOOGLETRANSLATE(B19713,""id"",""en"")"),"['knp', 'nggk', 'open', 'application', 'cma', 'blank', 'white']")</f>
        <v>['knp', 'nggk', 'open', 'application', 'cma', 'blank', 'white']</v>
      </c>
      <c r="D19713" s="3">
        <v>1.0</v>
      </c>
    </row>
    <row r="19714" ht="15.75" customHeight="1">
      <c r="A19714" s="1">
        <v>20966.0</v>
      </c>
      <c r="B19714" s="3" t="s">
        <v>18651</v>
      </c>
      <c r="C19714" s="3" t="str">
        <f>IFERROR(__xludf.DUMMYFUNCTION("GOOGLETRANSLATE(B19714,""id"",""en"")"),"['Help', 'facilitate', 'transaction', 'purchase', 'package', 'data']")</f>
        <v>['Help', 'facilitate', 'transaction', 'purchase', 'package', 'data']</v>
      </c>
      <c r="D19714" s="3">
        <v>5.0</v>
      </c>
    </row>
    <row r="19715" ht="15.75" customHeight="1">
      <c r="A19715" s="1">
        <v>20967.0</v>
      </c>
      <c r="B19715" s="3" t="s">
        <v>18652</v>
      </c>
      <c r="C19715" s="3" t="str">
        <f>IFERROR(__xludf.DUMMYFUNCTION("GOOGLETRANSLATE(B19715,""id"",""en"")"),"['Sorry', 'Telkomsel', 'response', 'slow', 'fast', 'message', 'computer', 'please', 'activate', 'number', 'charred', ' Have ',' Twitter ',' ehh ',' chat ',' ilang ',' parahhhhhhh ']")</f>
        <v>['Sorry', 'Telkomsel', 'response', 'slow', 'fast', 'message', 'computer', 'please', 'activate', 'number', 'charred', ' Have ',' Twitter ',' ehh ',' chat ',' ilang ',' parahhhhhhh ']</v>
      </c>
      <c r="D19715" s="3">
        <v>1.0</v>
      </c>
    </row>
    <row r="19716" ht="15.75" customHeight="1">
      <c r="A19716" s="1">
        <v>20968.0</v>
      </c>
      <c r="B19716" s="3" t="s">
        <v>18653</v>
      </c>
      <c r="C19716" s="3" t="str">
        <f>IFERROR(__xludf.DUMMYFUNCTION("GOOGLETRANSLATE(B19716,""id"",""en"")"),"['Ngelegg', 'times', 'org', 'maen', 'red', 'tros', 'ngefeed', 'steady', 'telkom', 'cheap']")</f>
        <v>['Ngelegg', 'times', 'org', 'maen', 'red', 'tros', 'ngefeed', 'steady', 'telkom', 'cheap']</v>
      </c>
      <c r="D19716" s="3">
        <v>1.0</v>
      </c>
    </row>
    <row r="19717" ht="15.75" customHeight="1">
      <c r="A19717" s="1">
        <v>20969.0</v>
      </c>
      <c r="B19717" s="3" t="s">
        <v>1555</v>
      </c>
      <c r="C19717" s="3" t="str">
        <f>IFERROR(__xludf.DUMMYFUNCTION("GOOGLETRANSLATE(B19717,""id"",""en"")"),"['application', 'open', '']")</f>
        <v>['application', 'open', '']</v>
      </c>
      <c r="D19717" s="3">
        <v>1.0</v>
      </c>
    </row>
    <row r="19718" ht="15.75" customHeight="1">
      <c r="A19718" s="1">
        <v>20970.0</v>
      </c>
      <c r="B19718" s="3" t="s">
        <v>18654</v>
      </c>
      <c r="C19718" s="3" t="str">
        <f>IFERROR(__xludf.DUMMYFUNCTION("GOOGLETRANSLATE(B19718,""id"",""en"")"),"['Active', 'Hangus', ""]")</f>
        <v>['Active', 'Hangus', "]</v>
      </c>
      <c r="D19718" s="3">
        <v>5.0</v>
      </c>
    </row>
    <row r="19719" ht="15.75" customHeight="1">
      <c r="A19719" s="1">
        <v>20971.0</v>
      </c>
      <c r="B19719" s="3" t="s">
        <v>18655</v>
      </c>
      <c r="C19719" s="3" t="str">
        <f>IFERROR(__xludf.DUMMYFUNCTION("GOOGLETRANSLATE(B19719,""id"",""en"")"),"['Telkomsel', 'opened', 'appears', 'just', 'screen', 'white', 'Please', 'advice', ""]")</f>
        <v>['Telkomsel', 'opened', 'appears', 'just', 'screen', 'white', 'Please', 'advice', "]</v>
      </c>
      <c r="D19719" s="3">
        <v>1.0</v>
      </c>
    </row>
    <row r="19720" ht="15.75" customHeight="1">
      <c r="A19720" s="1">
        <v>20972.0</v>
      </c>
      <c r="B19720" s="3" t="s">
        <v>13413</v>
      </c>
      <c r="C19720" s="3" t="str">
        <f>IFERROR(__xludf.DUMMYFUNCTION("GOOGLETRANSLATE(B19720,""id"",""en"")"),"['MyTelkomsel', 'Open']")</f>
        <v>['MyTelkomsel', 'Open']</v>
      </c>
      <c r="D19720" s="3">
        <v>3.0</v>
      </c>
    </row>
    <row r="19721" ht="15.75" customHeight="1">
      <c r="A19721" s="1">
        <v>20973.0</v>
      </c>
      <c r="B19721" s="3" t="s">
        <v>18656</v>
      </c>
      <c r="C19721" s="3" t="str">
        <f>IFERROR(__xludf.DUMMYFUNCTION("GOOGLETRANSLATE(B19721,""id"",""en"")"),"['APK', 'Heavy', 'Function']")</f>
        <v>['APK', 'Heavy', 'Function']</v>
      </c>
      <c r="D19721" s="3">
        <v>1.0</v>
      </c>
    </row>
    <row r="19722" ht="15.75" customHeight="1">
      <c r="A19722" s="1">
        <v>20974.0</v>
      </c>
      <c r="B19722" s="3" t="s">
        <v>18657</v>
      </c>
      <c r="C19722" s="3" t="str">
        <f>IFERROR(__xludf.DUMMYFUNCTION("GOOGLETRANSLATE(B19722,""id"",""en"")"),"['update', 'application', 'difficult', 'login', ""]")</f>
        <v>['update', 'application', 'difficult', 'login', "]</v>
      </c>
      <c r="D19722" s="3">
        <v>1.0</v>
      </c>
    </row>
    <row r="19723" ht="15.75" customHeight="1">
      <c r="A19723" s="1">
        <v>20975.0</v>
      </c>
      <c r="B19723" s="3" t="s">
        <v>18658</v>
      </c>
      <c r="C19723" s="3" t="str">
        <f>IFERROR(__xludf.DUMMYFUNCTION("GOOGLETRANSLATE(B19723,""id"",""en"")"),"['Severe', 'severe', 'threat', 'check', 'quota', 'signal', 'downd', 'comparable', 'price']")</f>
        <v>['Severe', 'severe', 'threat', 'check', 'quota', 'signal', 'downd', 'comparable', 'price']</v>
      </c>
      <c r="D19723" s="3">
        <v>2.0</v>
      </c>
    </row>
    <row r="19724" ht="15.75" customHeight="1">
      <c r="A19724" s="1">
        <v>20976.0</v>
      </c>
      <c r="B19724" s="3" t="s">
        <v>18659</v>
      </c>
      <c r="C19724" s="3" t="str">
        <f>IFERROR(__xludf.DUMMYFUNCTION("GOOGLETRANSLATE(B19724,""id"",""en"")"),"['open', 'application', 'Telkomsel', 'ganguan', 'what', 'Please', 'experteness']")</f>
        <v>['open', 'application', 'Telkomsel', 'ganguan', 'what', 'Please', 'experteness']</v>
      </c>
      <c r="D19724" s="3">
        <v>5.0</v>
      </c>
    </row>
    <row r="19725" ht="15.75" customHeight="1">
      <c r="A19725" s="1">
        <v>20978.0</v>
      </c>
      <c r="B19725" s="3" t="s">
        <v>18660</v>
      </c>
      <c r="C19725" s="3" t="str">
        <f>IFERROR(__xludf.DUMMYFUNCTION("GOOGLETRANSLATE(B19725,""id"",""en"")"),"['renewal', 'application', 'Telkomsel', 'open', 'screen', 'white', 'diuninstall', 'download', 'smpai', 'msh', 'opened', 'solution', ' ']")</f>
        <v>['renewal', 'application', 'Telkomsel', 'open', 'screen', 'white', 'diuninstall', 'download', 'smpai', 'msh', 'opened', 'solution', ' ']</v>
      </c>
      <c r="D19725" s="3">
        <v>1.0</v>
      </c>
    </row>
    <row r="19726" ht="15.75" customHeight="1">
      <c r="A19726" s="1">
        <v>20979.0</v>
      </c>
      <c r="B19726" s="3" t="s">
        <v>18661</v>
      </c>
      <c r="C19726" s="3" t="str">
        <f>IFERROR(__xludf.DUMMYFUNCTION("GOOGLETRANSLATE(B19726,""id"",""en"")"),"['Fix', 'Network', 'kntle']")</f>
        <v>['Fix', 'Network', 'kntle']</v>
      </c>
      <c r="D19726" s="3">
        <v>1.0</v>
      </c>
    </row>
    <row r="19727" ht="15.75" customHeight="1">
      <c r="A19727" s="1">
        <v>20980.0</v>
      </c>
      <c r="B19727" s="3" t="s">
        <v>15434</v>
      </c>
      <c r="C19727" s="3" t="str">
        <f>IFERROR(__xludf.DUMMYFUNCTION("GOOGLETRANSLATE(B19727,""id"",""en"")"),"['signal', 'Telkomsel', '']")</f>
        <v>['signal', 'Telkomsel', '']</v>
      </c>
      <c r="D19727" s="3">
        <v>5.0</v>
      </c>
    </row>
    <row r="19728" ht="15.75" customHeight="1">
      <c r="A19728" s="1">
        <v>20981.0</v>
      </c>
      <c r="B19728" s="3" t="s">
        <v>11503</v>
      </c>
      <c r="C19728" s="3" t="str">
        <f>IFERROR(__xludf.DUMMYFUNCTION("GOOGLETRANSLATE(B19728,""id"",""en"")"),"['Telkomsel', 'Open', '']")</f>
        <v>['Telkomsel', 'Open', '']</v>
      </c>
      <c r="D19728" s="3">
        <v>2.0</v>
      </c>
    </row>
    <row r="19729" ht="15.75" customHeight="1">
      <c r="A19729" s="1">
        <v>20982.0</v>
      </c>
      <c r="B19729" s="3" t="s">
        <v>18662</v>
      </c>
      <c r="C19729" s="3" t="str">
        <f>IFERROR(__xludf.DUMMYFUNCTION("GOOGLETRANSLATE(B19729,""id"",""en"")"),"['Application', 'Pulp', 'Load', 'Eat', 'Quota', 'Gede', 'Developer', 'Ngaco', 'Apps', 'Optimized', ""]")</f>
        <v>['Application', 'Pulp', 'Load', 'Eat', 'Quota', 'Gede', 'Developer', 'Ngaco', 'Apps', 'Optimized', "]</v>
      </c>
      <c r="D19729" s="3">
        <v>1.0</v>
      </c>
    </row>
    <row r="19730" ht="15.75" customHeight="1">
      <c r="A19730" s="1">
        <v>20983.0</v>
      </c>
      <c r="B19730" s="3" t="s">
        <v>18663</v>
      </c>
      <c r="C19730" s="3" t="str">
        <f>IFERROR(__xludf.DUMMYFUNCTION("GOOGLETRANSLATE(B19730,""id"",""en"")"),"['Safety', 'Call', 'Unlimited', 'Telkomsel']")</f>
        <v>['Safety', 'Call', 'Unlimited', 'Telkomsel']</v>
      </c>
      <c r="D19730" s="3">
        <v>5.0</v>
      </c>
    </row>
    <row r="19731" ht="15.75" customHeight="1">
      <c r="A19731" s="1">
        <v>20984.0</v>
      </c>
      <c r="B19731" s="3" t="s">
        <v>18664</v>
      </c>
      <c r="C19731" s="3" t="str">
        <f>IFERROR(__xludf.DUMMYFUNCTION("GOOGLETRANSLATE(B19731,""id"",""en"")"),"['Telkomsel', 'Open', 'Kayak', 'Error', 'That's', 'Please', 'Response', 'Min']")</f>
        <v>['Telkomsel', 'Open', 'Kayak', 'Error', 'That's', 'Please', 'Response', 'Min']</v>
      </c>
      <c r="D19731" s="3">
        <v>1.0</v>
      </c>
    </row>
    <row r="19732" ht="15.75" customHeight="1">
      <c r="A19732" s="1">
        <v>20985.0</v>
      </c>
      <c r="B19732" s="3" t="s">
        <v>18665</v>
      </c>
      <c r="C19732" s="3" t="str">
        <f>IFERROR(__xludf.DUMMYFUNCTION("GOOGLETRANSLATE(B19732,""id"",""en"")"),"['Package', 'Telkomsel', 'expensive', 'brother', 'The network', 'LEG']")</f>
        <v>['Package', 'Telkomsel', 'expensive', 'brother', 'The network', 'LEG']</v>
      </c>
      <c r="D19732" s="3">
        <v>2.0</v>
      </c>
    </row>
    <row r="19733" ht="15.75" customHeight="1">
      <c r="A19733" s="1">
        <v>20986.0</v>
      </c>
      <c r="B19733" s="3" t="s">
        <v>18666</v>
      </c>
      <c r="C19733" s="3" t="str">
        <f>IFERROR(__xludf.DUMMYFUNCTION("GOOGLETRANSLATE(B19733,""id"",""en"")"),"['Enhanced', 'promo', 'MOTELIN', 'CUSTOMER']")</f>
        <v>['Enhanced', 'promo', 'MOTELIN', 'CUSTOMER']</v>
      </c>
      <c r="D19733" s="3">
        <v>5.0</v>
      </c>
    </row>
    <row r="19734" ht="15.75" customHeight="1">
      <c r="A19734" s="1">
        <v>20987.0</v>
      </c>
      <c r="B19734" s="3" t="s">
        <v>18667</v>
      </c>
      <c r="C19734" s="3" t="str">
        <f>IFERROR(__xludf.DUMMYFUNCTION("GOOGLETRANSLATE(B19734,""id"",""en"")"),"['buy', 'package', 'difficult', 'pulse', 'buy', 'package', 'price', 'sms',' enter ',' pulse ',' sufficient ',' buy ',' Package ',' Please ',' ']")</f>
        <v>['buy', 'package', 'difficult', 'pulse', 'buy', 'package', 'price', 'sms',' enter ',' pulse ',' sufficient ',' buy ',' Package ',' Please ',' ']</v>
      </c>
      <c r="D19734" s="3">
        <v>1.0</v>
      </c>
    </row>
    <row r="19735" ht="15.75" customHeight="1">
      <c r="A19735" s="1">
        <v>20990.0</v>
      </c>
      <c r="B19735" s="3" t="s">
        <v>18668</v>
      </c>
      <c r="C19735" s="3" t="str">
        <f>IFERROR(__xludf.DUMMYFUNCTION("GOOGLETRANSLATE(B19735,""id"",""en"")"),"['Application', 'difficult', 'opened', '']")</f>
        <v>['Application', 'difficult', 'opened', '']</v>
      </c>
      <c r="D19735" s="3">
        <v>2.0</v>
      </c>
    </row>
    <row r="19736" ht="15.75" customHeight="1">
      <c r="A19736" s="1">
        <v>20991.0</v>
      </c>
      <c r="B19736" s="3" t="s">
        <v>18669</v>
      </c>
      <c r="C19736" s="3" t="str">
        <f>IFERROR(__xludf.DUMMYFUNCTION("GOOGLETRANSLATE(B19736,""id"",""en"")"),"['application', 'open', 'please', 'help']")</f>
        <v>['application', 'open', 'please', 'help']</v>
      </c>
      <c r="D19736" s="3">
        <v>1.0</v>
      </c>
    </row>
    <row r="19737" ht="15.75" customHeight="1">
      <c r="A19737" s="1">
        <v>20992.0</v>
      </c>
      <c r="B19737" s="3" t="s">
        <v>18670</v>
      </c>
      <c r="C19737" s="3" t="str">
        <f>IFERROR(__xludf.DUMMYFUNCTION("GOOGLETRANSLATE(B19737,""id"",""en"")"),"['TelkomTod', 'Kouta', 'Price', 'Official', 'Network', 'Reservoir']")</f>
        <v>['TelkomTod', 'Kouta', 'Price', 'Official', 'Network', 'Reservoir']</v>
      </c>
      <c r="D19737" s="3">
        <v>1.0</v>
      </c>
    </row>
    <row r="19738" ht="15.75" customHeight="1">
      <c r="A19738" s="1">
        <v>20993.0</v>
      </c>
      <c r="B19738" s="3" t="s">
        <v>18671</v>
      </c>
      <c r="C19738" s="3" t="str">
        <f>IFERROR(__xludf.DUMMYFUNCTION("GOOGLETRANSLATE(B19738,""id"",""en"")"),"['Min', 'opened', 'APK', 'Whitescreen']")</f>
        <v>['Min', 'opened', 'APK', 'Whitescreen']</v>
      </c>
      <c r="D19738" s="3">
        <v>1.0</v>
      </c>
    </row>
    <row r="19739" ht="15.75" customHeight="1">
      <c r="A19739" s="1">
        <v>20994.0</v>
      </c>
      <c r="B19739" s="3" t="s">
        <v>18672</v>
      </c>
      <c r="C19739" s="3" t="str">
        <f>IFERROR(__xludf.DUMMYFUNCTION("GOOGLETRANSLATE(B19739,""id"",""en"")"),"['just', 'update', 'opened', 'appears', 'screen', 'white', 'update', 'progress', 'setback', 'super', 'slow', ""]")</f>
        <v>['just', 'update', 'opened', 'appears', 'screen', 'white', 'update', 'progress', 'setback', 'super', 'slow', "]</v>
      </c>
      <c r="D19739" s="3">
        <v>1.0</v>
      </c>
    </row>
    <row r="19740" ht="15.75" customHeight="1">
      <c r="A19740" s="1">
        <v>20995.0</v>
      </c>
      <c r="B19740" s="3" t="s">
        <v>18673</v>
      </c>
      <c r="C19740" s="3" t="str">
        <f>IFERROR(__xludf.DUMMYFUNCTION("GOOGLETRANSLATE(B19740,""id"",""en"")"),"['Min', 'APK', 'MyTelkomsel', 'Open', 'screen', 'White', 'Min', 'buy', 'quota', 'Disney', ""]")</f>
        <v>['Min', 'APK', 'MyTelkomsel', 'Open', 'screen', 'White', 'Min', 'buy', 'quota', 'Disney', "]</v>
      </c>
      <c r="D19740" s="3">
        <v>5.0</v>
      </c>
    </row>
    <row r="19741" ht="15.75" customHeight="1">
      <c r="A19741" s="1">
        <v>20996.0</v>
      </c>
      <c r="B19741" s="3" t="s">
        <v>18674</v>
      </c>
      <c r="C19741" s="3" t="str">
        <f>IFERROR(__xludf.DUMMYFUNCTION("GOOGLETRANSLATE(B19741,""id"",""en"")"),"['The network', 'knpa', 'sihih', 'sucking', 'play', 'games', 'telephone', 'directly', 'right', 'UDH', 'Lansung', ""]")</f>
        <v>['The network', 'knpa', 'sihih', 'sucking', 'play', 'games', 'telephone', 'directly', 'right', 'UDH', 'Lansung', "]</v>
      </c>
      <c r="D19741" s="3">
        <v>1.0</v>
      </c>
    </row>
    <row r="19742" ht="15.75" customHeight="1">
      <c r="A19742" s="1">
        <v>20997.0</v>
      </c>
      <c r="B19742" s="3" t="s">
        <v>18675</v>
      </c>
      <c r="C19742" s="3" t="str">
        <f>IFERROR(__xludf.DUMMYFUNCTION("GOOGLETRANSLATE(B19742,""id"",""en"")"),"['price', 'signal', 'rotten', 'signal', 'full', 'trouble', 'all day']")</f>
        <v>['price', 'signal', 'rotten', 'signal', 'full', 'trouble', 'all day']</v>
      </c>
      <c r="D19742" s="3">
        <v>1.0</v>
      </c>
    </row>
    <row r="19743" ht="15.75" customHeight="1">
      <c r="A19743" s="1">
        <v>20998.0</v>
      </c>
      <c r="B19743" s="3" t="s">
        <v>18676</v>
      </c>
      <c r="C19743" s="3" t="str">
        <f>IFERROR(__xludf.DUMMYFUNCTION("GOOGLETRANSLATE(B19743,""id"",""en"")"),"['apk', 'dilapidated', 'want', 'pay', 'writing', 'check', 'connection', 'minute', 'connection', 'cave', 'wifi', 'delete', ' APK ',' card ',' already ',' lag ',' expensive ',' price ',' package ']")</f>
        <v>['apk', 'dilapidated', 'want', 'pay', 'writing', 'check', 'connection', 'minute', 'connection', 'cave', 'wifi', 'delete', ' APK ',' card ',' already ',' lag ',' expensive ',' price ',' package ']</v>
      </c>
      <c r="D19743" s="3">
        <v>1.0</v>
      </c>
    </row>
    <row r="19744" ht="15.75" customHeight="1">
      <c r="A19744" s="1">
        <v>20999.0</v>
      </c>
      <c r="B19744" s="3" t="s">
        <v>18677</v>
      </c>
      <c r="C19744" s="3" t="str">
        <f>IFERROR(__xludf.DUMMYFUNCTION("GOOGLETRANSLATE(B19744,""id"",""en"")"),"['already', 'update', 'open', 'APL', 'kntle']")</f>
        <v>['already', 'update', 'open', 'APL', 'kntle']</v>
      </c>
      <c r="D19744" s="3">
        <v>1.0</v>
      </c>
    </row>
    <row r="19745" ht="15.75" customHeight="1">
      <c r="A19745" s="1">
        <v>21000.0</v>
      </c>
      <c r="B19745" s="3" t="s">
        <v>18678</v>
      </c>
      <c r="C19745" s="3" t="str">
        <f>IFERROR(__xludf.DUMMYFUNCTION("GOOGLETRANSLATE(B19745,""id"",""en"")"),"['Severe', 'the application', 'opened', 'signal', 'strong', 'blank', 'spotnya', 'regret', 'move', 'post', 'pay']")</f>
        <v>['Severe', 'the application', 'opened', 'signal', 'strong', 'blank', 'spotnya', 'regret', 'move', 'post', 'pay']</v>
      </c>
      <c r="D19745" s="3">
        <v>1.0</v>
      </c>
    </row>
    <row r="19746" ht="15.75" customHeight="1">
      <c r="A19746" s="1">
        <v>21001.0</v>
      </c>
      <c r="B19746" s="3" t="s">
        <v>18679</v>
      </c>
      <c r="C19746" s="3" t="str">
        <f>IFERROR(__xludf.DUMMYFUNCTION("GOOGLETRANSLATE(B19746,""id"",""en"")"),"['signal', 'Benerin', 'COKK']")</f>
        <v>['signal', 'Benerin', 'COKK']</v>
      </c>
      <c r="D19746" s="3">
        <v>1.0</v>
      </c>
    </row>
    <row r="19747" ht="15.75" customHeight="1">
      <c r="A19747" s="1">
        <v>21002.0</v>
      </c>
      <c r="B19747" s="3" t="s">
        <v>18680</v>
      </c>
      <c r="C19747" s="3" t="str">
        <f>IFERROR(__xludf.DUMMYFUNCTION("GOOGLETRANSLATE(B19747,""id"",""en"")"),"['Update', 'Android', 'Application', 'Telkomsel', 'installed']")</f>
        <v>['Update', 'Android', 'Application', 'Telkomsel', 'installed']</v>
      </c>
      <c r="D19747" s="3">
        <v>5.0</v>
      </c>
    </row>
    <row r="19748" ht="15.75" customHeight="1">
      <c r="A19748" s="1">
        <v>21003.0</v>
      </c>
      <c r="B19748" s="3" t="s">
        <v>18681</v>
      </c>
      <c r="C19748" s="3" t="str">
        <f>IFERROR(__xludf.DUMMYFUNCTION("GOOGLETRANSLATE(B19748,""id"",""en"")"),"['apk', 'tidk', 'open']")</f>
        <v>['apk', 'tidk', 'open']</v>
      </c>
      <c r="D19748" s="3">
        <v>2.0</v>
      </c>
    </row>
    <row r="19749" ht="15.75" customHeight="1">
      <c r="A19749" s="1">
        <v>21004.0</v>
      </c>
      <c r="B19749" s="3" t="s">
        <v>18682</v>
      </c>
      <c r="C19749" s="3" t="str">
        <f>IFERROR(__xludf.DUMMYFUNCTION("GOOGLETRANSLATE(B19749,""id"",""en"")"),"['The application', 'open', 'here', 'NOT', 'good', 'annoyed', 'user', ""]")</f>
        <v>['The application', 'open', 'here', 'NOT', 'good', 'annoyed', 'user', "]</v>
      </c>
      <c r="D19749" s="3">
        <v>1.0</v>
      </c>
    </row>
    <row r="19750" ht="15.75" customHeight="1">
      <c r="A19750" s="1">
        <v>21005.0</v>
      </c>
      <c r="B19750" s="3" t="s">
        <v>18683</v>
      </c>
      <c r="C19750" s="3" t="str">
        <f>IFERROR(__xludf.DUMMYFUNCTION("GOOGLETRANSLATE(B19750,""id"",""en"")"),"['signal', 'doubt', ""]")</f>
        <v>['signal', 'doubt', "]</v>
      </c>
      <c r="D19750" s="3">
        <v>5.0</v>
      </c>
    </row>
    <row r="19751" ht="15.75" customHeight="1">
      <c r="A19751" s="1">
        <v>21006.0</v>
      </c>
      <c r="B19751" s="3" t="s">
        <v>18684</v>
      </c>
      <c r="C19751" s="3" t="str">
        <f>IFERROR(__xludf.DUMMYFUNCTION("GOOGLETRANSLATE(B19751,""id"",""en"")"),"['Provider', 'Internet', 'Leech', 'land', 'package', 'expensive', 'play', 'mobile', 'Legend', 'lag', 'minute', 'open', ' Eyes', 'Telkomsel', 'Bangkeh', '']")</f>
        <v>['Provider', 'Internet', 'Leech', 'land', 'package', 'expensive', 'play', 'mobile', 'Legend', 'lag', 'minute', 'open', ' Eyes', 'Telkomsel', 'Bangkeh', '']</v>
      </c>
      <c r="D19751" s="3">
        <v>1.0</v>
      </c>
    </row>
    <row r="19752" ht="15.75" customHeight="1">
      <c r="A19752" s="1">
        <v>21007.0</v>
      </c>
      <c r="B19752" s="3" t="s">
        <v>18685</v>
      </c>
      <c r="C19752" s="3" t="str">
        <f>IFERROR(__xludf.DUMMYFUNCTION("GOOGLETRANSLATE(B19752,""id"",""en"")"),"['Try', 'fix', 'pulse', 'key', 'no', 'sumps',' blame ',' data ',' no ',' quota ',' thank ',' love ',' Telkomsel ',' ']")</f>
        <v>['Try', 'fix', 'pulse', 'key', 'no', 'sumps',' blame ',' data ',' no ',' quota ',' thank ',' love ',' Telkomsel ',' ']</v>
      </c>
      <c r="D19752" s="3">
        <v>5.0</v>
      </c>
    </row>
    <row r="19753" ht="15.75" customHeight="1">
      <c r="A19753" s="1">
        <v>21008.0</v>
      </c>
      <c r="B19753" s="3" t="s">
        <v>18686</v>
      </c>
      <c r="C19753" s="3" t="str">
        <f>IFERROR(__xludf.DUMMYFUNCTION("GOOGLETRANSLATE(B19753,""id"",""en"")"),"['Bapikin', 'quota', 'cheap', 'doonggg']")</f>
        <v>['Bapikin', 'quota', 'cheap', 'doonggg']</v>
      </c>
      <c r="D19753" s="3">
        <v>5.0</v>
      </c>
    </row>
    <row r="19754" ht="15.75" customHeight="1">
      <c r="A19754" s="1">
        <v>21009.0</v>
      </c>
      <c r="B19754" s="3" t="s">
        <v>18687</v>
      </c>
      <c r="C19754" s="3" t="str">
        <f>IFERROR(__xludf.DUMMYFUNCTION("GOOGLETRANSLATE(B19754,""id"",""en"")"),"['Abis', 'update', 'open', 'feature', 'lock', 'pulse', 'best', '']")</f>
        <v>['Abis', 'update', 'open', 'feature', 'lock', 'pulse', 'best', '']</v>
      </c>
      <c r="D19754" s="3">
        <v>1.0</v>
      </c>
    </row>
    <row r="19755" ht="15.75" customHeight="1">
      <c r="A19755" s="1">
        <v>21010.0</v>
      </c>
      <c r="B19755" s="3" t="s">
        <v>18688</v>
      </c>
      <c r="C19755" s="3" t="str">
        <f>IFERROR(__xludf.DUMMYFUNCTION("GOOGLETRANSLATE(B19755,""id"",""en"")"),"['steady', 'makes it easier', 'transaction', 'purchase']")</f>
        <v>['steady', 'makes it easier', 'transaction', 'purchase']</v>
      </c>
      <c r="D19755" s="3">
        <v>5.0</v>
      </c>
    </row>
    <row r="19756" ht="15.75" customHeight="1">
      <c r="A19756" s="1">
        <v>21011.0</v>
      </c>
      <c r="B19756" s="3" t="s">
        <v>18689</v>
      </c>
      <c r="C19756" s="3" t="str">
        <f>IFERROR(__xludf.DUMMYFUNCTION("GOOGLETRANSLATE(B19756,""id"",""en"")"),"['Paketan', 'expensive', 'really', 'disorder']")</f>
        <v>['Paketan', 'expensive', 'really', 'disorder']</v>
      </c>
      <c r="D19756" s="3">
        <v>1.0</v>
      </c>
    </row>
    <row r="19757" ht="15.75" customHeight="1">
      <c r="A19757" s="1">
        <v>21012.0</v>
      </c>
      <c r="B19757" s="3" t="s">
        <v>18690</v>
      </c>
      <c r="C19757" s="3" t="str">
        <f>IFERROR(__xludf.DUMMYFUNCTION("GOOGLETRANSLATE(B19757,""id"",""en"")"),"['Cheap', 'buy', 'quota']")</f>
        <v>['Cheap', 'buy', 'quota']</v>
      </c>
      <c r="D19757" s="3">
        <v>5.0</v>
      </c>
    </row>
    <row r="19758" ht="15.75" customHeight="1">
      <c r="A19758" s="1">
        <v>21013.0</v>
      </c>
      <c r="B19758" s="3" t="s">
        <v>18691</v>
      </c>
      <c r="C19758" s="3" t="str">
        <f>IFERROR(__xludf.DUMMYFUNCTION("GOOGLETRANSLATE(B19758,""id"",""en"")"),"['UDH', 'buy', 'pulse', 'RB', 'right', 'Login', 'Telkomsell', 'Rb', 'loss']")</f>
        <v>['UDH', 'buy', 'pulse', 'RB', 'right', 'Login', 'Telkomsell', 'Rb', 'loss']</v>
      </c>
      <c r="D19758" s="3">
        <v>1.0</v>
      </c>
    </row>
    <row r="19759" ht="15.75" customHeight="1">
      <c r="A19759" s="1">
        <v>21014.0</v>
      </c>
      <c r="B19759" s="3" t="s">
        <v>18692</v>
      </c>
      <c r="C19759" s="3" t="str">
        <f>IFERROR(__xludf.DUMMYFUNCTION("GOOGLETRANSLATE(B19759,""id"",""en"")"),"['Kaga', 'Install', 'Android', 'Bintang', '']")</f>
        <v>['Kaga', 'Install', 'Android', 'Bintang', '']</v>
      </c>
      <c r="D19759" s="3">
        <v>1.0</v>
      </c>
    </row>
    <row r="19760" ht="15.75" customHeight="1">
      <c r="A19760" s="1">
        <v>21015.0</v>
      </c>
      <c r="B19760" s="3" t="s">
        <v>18693</v>
      </c>
      <c r="C19760" s="3" t="str">
        <f>IFERROR(__xludf.DUMMYFUNCTION("GOOGLETRANSLATE(B19760,""id"",""en"")"),"['APK', 'used', 'iPhone', 'parahh', ""]")</f>
        <v>['APK', 'used', 'iPhone', 'parahh', "]</v>
      </c>
      <c r="D19760" s="3">
        <v>1.0</v>
      </c>
    </row>
    <row r="19761" ht="15.75" customHeight="1">
      <c r="A19761" s="1">
        <v>21016.0</v>
      </c>
      <c r="B19761" s="3" t="s">
        <v>18694</v>
      </c>
      <c r="C19761" s="3" t="str">
        <f>IFERROR(__xludf.DUMMYFUNCTION("GOOGLETRANSLATE(B19761,""id"",""en"")"),"['Please', 'Package', 'Combo', 'Sakti', 'Lost', 'Yesterday', 'Choice', 'GB', 'GB', 'Please', 'Outin', 'Choice', 'Choice']")</f>
        <v>['Please', 'Package', 'Combo', 'Sakti', 'Lost', 'Yesterday', 'Choice', 'GB', 'GB', 'Please', 'Outin', 'Choice', 'Choice']</v>
      </c>
      <c r="D19761" s="3">
        <v>1.0</v>
      </c>
    </row>
    <row r="19762" ht="15.75" customHeight="1">
      <c r="A19762" s="1">
        <v>21017.0</v>
      </c>
      <c r="B19762" s="3" t="s">
        <v>18695</v>
      </c>
      <c r="C19762" s="3" t="str">
        <f>IFERROR(__xludf.DUMMYFUNCTION("GOOGLETRANSLATE(B19762,""id"",""en"")"),"['Unreg', 'no', 'get', 'SMS', 'Balesan']")</f>
        <v>['Unreg', 'no', 'get', 'SMS', 'Balesan']</v>
      </c>
      <c r="D19762" s="3">
        <v>1.0</v>
      </c>
    </row>
    <row r="19763" ht="15.75" customHeight="1">
      <c r="A19763" s="1">
        <v>21018.0</v>
      </c>
      <c r="B19763" s="3" t="s">
        <v>18696</v>
      </c>
      <c r="C19763" s="3" t="str">
        <f>IFERROR(__xludf.DUMMYFUNCTION("GOOGLETRANSLATE(B19763,""id"",""en"")"),"['Lottery', 'Points', 'Win', 'The question', 'Lottery', 'Points', ""]")</f>
        <v>['Lottery', 'Points', 'Win', 'The question', 'Lottery', 'Points', "]</v>
      </c>
      <c r="D19763" s="3">
        <v>3.0</v>
      </c>
    </row>
    <row r="19764" ht="15.75" customHeight="1">
      <c r="A19764" s="1">
        <v>21019.0</v>
      </c>
      <c r="B19764" s="3" t="s">
        <v>18697</v>
      </c>
      <c r="C19764" s="3" t="str">
        <f>IFERROR(__xludf.DUMMYFUNCTION("GOOGLETRANSLATE(B19764,""id"",""en"")"),"['apk', 'ugly', 'downlod', 'regret']")</f>
        <v>['apk', 'ugly', 'downlod', 'regret']</v>
      </c>
      <c r="D19764" s="3">
        <v>1.0</v>
      </c>
    </row>
    <row r="19765" ht="15.75" customHeight="1">
      <c r="A19765" s="1">
        <v>21020.0</v>
      </c>
      <c r="B19765" s="3" t="s">
        <v>18698</v>
      </c>
      <c r="C19765" s="3" t="str">
        <f>IFERROR(__xludf.DUMMYFUNCTION("GOOGLETRANSLATE(B19765,""id"",""en"")"),"['Sis', 'Telkomsel', 'Open', '']")</f>
        <v>['Sis', 'Telkomsel', 'Open', '']</v>
      </c>
      <c r="D19765" s="3">
        <v>1.0</v>
      </c>
    </row>
    <row r="19766" ht="15.75" customHeight="1">
      <c r="A19766" s="1">
        <v>21021.0</v>
      </c>
      <c r="B19766" s="3" t="s">
        <v>18699</v>
      </c>
      <c r="C19766" s="3" t="str">
        <f>IFERROR(__xludf.DUMMYFUNCTION("GOOGLETRANSLATE(B19766,""id"",""en"")"),"['', 'cheap', 'actually', 'good', 'village', 'Sayanx', ""]")</f>
        <v>['', 'cheap', 'actually', 'good', 'village', 'Sayanx', "]</v>
      </c>
      <c r="D19766" s="3">
        <v>5.0</v>
      </c>
    </row>
    <row r="19767" ht="15.75" customHeight="1">
      <c r="A19767" s="1">
        <v>21022.0</v>
      </c>
      <c r="B19767" s="3" t="s">
        <v>18700</v>
      </c>
      <c r="C19767" s="3" t="str">
        <f>IFERROR(__xludf.DUMMYFUNCTION("GOOGLETRANSLATE(B19767,""id"",""en"")"),"['Help', 'Gaes', ""]")</f>
        <v>['Help', 'Gaes', "]</v>
      </c>
      <c r="D19767" s="3">
        <v>5.0</v>
      </c>
    </row>
    <row r="19768" ht="15.75" customHeight="1">
      <c r="A19768" s="1">
        <v>21023.0</v>
      </c>
      <c r="B19768" s="3" t="s">
        <v>18701</v>
      </c>
      <c r="C19768" s="3" t="str">
        <f>IFERROR(__xludf.DUMMYFUNCTION("GOOGLETRANSLATE(B19768,""id"",""en"")"),"['Package', 'combo', 'bwat', 'dwnlod']")</f>
        <v>['Package', 'combo', 'bwat', 'dwnlod']</v>
      </c>
      <c r="D19768" s="3">
        <v>5.0</v>
      </c>
    </row>
    <row r="19769" ht="15.75" customHeight="1">
      <c r="A19769" s="1">
        <v>21025.0</v>
      </c>
      <c r="B19769" s="3" t="s">
        <v>18702</v>
      </c>
      <c r="C19769" s="3" t="str">
        <f>IFERROR(__xludf.DUMMYFUNCTION("GOOGLETRANSLATE(B19769,""id"",""en"")"),"['Saha', 'open', 'update', 'blank', 'white', 'please', 'fix']")</f>
        <v>['Saha', 'open', 'update', 'blank', 'white', 'please', 'fix']</v>
      </c>
      <c r="D19769" s="3">
        <v>1.0</v>
      </c>
    </row>
    <row r="19770" ht="15.75" customHeight="1">
      <c r="A19770" s="1">
        <v>21026.0</v>
      </c>
      <c r="B19770" s="3" t="s">
        <v>18703</v>
      </c>
      <c r="C19770" s="3" t="str">
        <f>IFERROR(__xludf.DUMMYFUNCTION("GOOGLETRANSLATE(B19770,""id"",""en"")"),"['Install', 'Android', 'Please', 'Updated']")</f>
        <v>['Install', 'Android', 'Please', 'Updated']</v>
      </c>
      <c r="D19770" s="3">
        <v>1.0</v>
      </c>
    </row>
    <row r="19771" ht="15.75" customHeight="1">
      <c r="A19771" s="1">
        <v>21027.0</v>
      </c>
      <c r="B19771" s="3" t="s">
        <v>18704</v>
      </c>
      <c r="C19771" s="3" t="str">
        <f>IFERROR(__xludf.DUMMYFUNCTION("GOOGLETRANSLATE(B19771,""id"",""en"")"),"['ugly', 'network', 'already', 'unlimited', 'expensive', 'good', 'network', 'please', 'truly', 'the network', ""]")</f>
        <v>['ugly', 'network', 'already', 'unlimited', 'expensive', 'good', 'network', 'please', 'truly', 'the network', "]</v>
      </c>
      <c r="D19771" s="3">
        <v>1.0</v>
      </c>
    </row>
    <row r="19772" ht="15.75" customHeight="1">
      <c r="A19772" s="1">
        <v>21028.0</v>
      </c>
      <c r="B19772" s="3" t="s">
        <v>18705</v>
      </c>
      <c r="C19772" s="3" t="str">
        <f>IFERROR(__xludf.DUMMYFUNCTION("GOOGLETRANSLATE(B19772,""id"",""en"")"),"['APK', 'opened', 'screen', 'white']")</f>
        <v>['APK', 'opened', 'screen', 'white']</v>
      </c>
      <c r="D19772" s="3">
        <v>1.0</v>
      </c>
    </row>
    <row r="19773" ht="15.75" customHeight="1">
      <c r="A19773" s="1">
        <v>21029.0</v>
      </c>
      <c r="B19773" s="3" t="s">
        <v>18706</v>
      </c>
      <c r="C19773" s="3" t="str">
        <f>IFERROR(__xludf.DUMMYFUNCTION("GOOGLETRANSLATE(B19773,""id"",""en"")"),"['Tauni', 'Telkomsel', 'super', 'bad', 'open', 'slow', 'forgiveness',' play ',' what do ',' please ',' repair ',' the network ',' ']")</f>
        <v>['Tauni', 'Telkomsel', 'super', 'bad', 'open', 'slow', 'forgiveness',' play ',' what do ',' please ',' repair ',' the network ',' ']</v>
      </c>
      <c r="D19773" s="3">
        <v>1.0</v>
      </c>
    </row>
    <row r="19774" ht="15.75" customHeight="1">
      <c r="A19774" s="1">
        <v>21030.0</v>
      </c>
      <c r="B19774" s="3" t="s">
        <v>18707</v>
      </c>
      <c r="C19774" s="3" t="str">
        <f>IFERROR(__xludf.DUMMYFUNCTION("GOOGLETRANSLATE(B19774,""id"",""en"")"),"['Blank', 'White', 'Doan']")</f>
        <v>['Blank', 'White', 'Doan']</v>
      </c>
      <c r="D19774" s="3">
        <v>3.0</v>
      </c>
    </row>
    <row r="19775" ht="15.75" customHeight="1">
      <c r="A19775" s="1">
        <v>21031.0</v>
      </c>
      <c r="B19775" s="3" t="s">
        <v>18708</v>
      </c>
      <c r="C19775" s="3" t="str">
        <f>IFERROR(__xludf.DUMMYFUNCTION("GOOGLETRANSLATE(B19775,""id"",""en"")"),"['already', 'thank', 'love', 'Telkomsel']")</f>
        <v>['already', 'thank', 'love', 'Telkomsel']</v>
      </c>
      <c r="D19775" s="3">
        <v>5.0</v>
      </c>
    </row>
    <row r="19776" ht="15.75" customHeight="1">
      <c r="A19776" s="1">
        <v>21032.0</v>
      </c>
      <c r="B19776" s="3" t="s">
        <v>18709</v>
      </c>
      <c r="C19776" s="3" t="str">
        <f>IFERROR(__xludf.DUMMYFUNCTION("GOOGLETRANSLATE(B19776,""id"",""en"")"),"['Kayak', 'Taik', 'Application', 'Updated', 'Open', 'Screen', 'White', 'Thn', 'Use', 'Telkomsel', 'Disappointed', ""]")</f>
        <v>['Kayak', 'Taik', 'Application', 'Updated', 'Open', 'Screen', 'White', 'Thn', 'Use', 'Telkomsel', 'Disappointed', "]</v>
      </c>
      <c r="D19776" s="3">
        <v>1.0</v>
      </c>
    </row>
    <row r="19777" ht="15.75" customHeight="1">
      <c r="A19777" s="1">
        <v>21033.0</v>
      </c>
      <c r="B19777" s="3" t="s">
        <v>18710</v>
      </c>
      <c r="C19777" s="3" t="str">
        <f>IFERROR(__xludf.DUMMYFUNCTION("GOOGLETRANSLATE(B19777,""id"",""en"")"),"['Knpa', 'Telkomsel', 'Open', 'The Application']")</f>
        <v>['Knpa', 'Telkomsel', 'Open', 'The Application']</v>
      </c>
      <c r="D19777" s="3">
        <v>5.0</v>
      </c>
    </row>
    <row r="19778" ht="15.75" customHeight="1">
      <c r="A19778" s="1">
        <v>21034.0</v>
      </c>
      <c r="B19778" s="3" t="s">
        <v>18711</v>
      </c>
      <c r="C19778" s="3" t="str">
        <f>IFERROR(__xludf.DUMMYFUNCTION("GOOGLETRANSLATE(B19778,""id"",""en"")"),"['Telkomsel', 'package', 'expensive', '']")</f>
        <v>['Telkomsel', 'package', 'expensive', '']</v>
      </c>
      <c r="D19778" s="3">
        <v>2.0</v>
      </c>
    </row>
    <row r="19779" ht="15.75" customHeight="1">
      <c r="A19779" s="1">
        <v>21035.0</v>
      </c>
      <c r="B19779" s="3" t="s">
        <v>18712</v>
      </c>
      <c r="C19779" s="3" t="str">
        <f>IFERROR(__xludf.DUMMYFUNCTION("GOOGLETRANSLATE(B19779,""id"",""en"")"),"['signal', 'Changed', '']")</f>
        <v>['signal', 'Changed', '']</v>
      </c>
      <c r="D19779" s="3">
        <v>2.0</v>
      </c>
    </row>
    <row r="19780" ht="15.75" customHeight="1">
      <c r="A19780" s="1">
        <v>21036.0</v>
      </c>
      <c r="B19780" s="3" t="s">
        <v>18713</v>
      </c>
      <c r="C19780" s="3" t="str">
        <f>IFERROR(__xludf.DUMMYFUNCTION("GOOGLETRANSLATE(B19780,""id"",""en"")"),"['Package', 'expensive', 'TPI', 'slow', 'eat', 'salary', 'blind', 'employee', 'Telkomsel']")</f>
        <v>['Package', 'expensive', 'TPI', 'slow', 'eat', 'salary', 'blind', 'employee', 'Telkomsel']</v>
      </c>
      <c r="D19780" s="3">
        <v>1.0</v>
      </c>
    </row>
    <row r="19781" ht="15.75" customHeight="1">
      <c r="A19781" s="1">
        <v>21037.0</v>
      </c>
      <c r="B19781" s="3" t="s">
        <v>18714</v>
      </c>
      <c r="C19781" s="3" t="str">
        <f>IFERROR(__xludf.DUMMYFUNCTION("GOOGLETRANSLATE(B19781,""id"",""en"")"),"['promo', 'package', 'expensive', '']")</f>
        <v>['promo', 'package', 'expensive', '']</v>
      </c>
      <c r="D19781" s="3">
        <v>1.0</v>
      </c>
    </row>
    <row r="19782" ht="15.75" customHeight="1">
      <c r="A19782" s="1">
        <v>21038.0</v>
      </c>
      <c r="B19782" s="3" t="s">
        <v>18715</v>
      </c>
      <c r="C19782" s="3" t="str">
        <f>IFERROR(__xludf.DUMMYFUNCTION("GOOGLETRANSLATE(B19782,""id"",""en"")"),"['signal', 'ugly', 'baget', 'kagak', 'rich']")</f>
        <v>['signal', 'ugly', 'baget', 'kagak', 'rich']</v>
      </c>
      <c r="D19782" s="3">
        <v>1.0</v>
      </c>
    </row>
    <row r="19783" ht="15.75" customHeight="1">
      <c r="A19783" s="1">
        <v>21039.0</v>
      </c>
      <c r="B19783" s="3" t="s">
        <v>18716</v>
      </c>
      <c r="C19783" s="3" t="str">
        <f>IFERROR(__xludf.DUMMYFUNCTION("GOOGLETRANSLATE(B19783,""id"",""en"")"),"['', 'star', 'package', 'game', 'max', 'pub', 'mobile']")</f>
        <v>['', 'star', 'package', 'game', 'max', 'pub', 'mobile']</v>
      </c>
      <c r="D19783" s="3">
        <v>1.0</v>
      </c>
    </row>
    <row r="19784" ht="15.75" customHeight="1">
      <c r="A19784" s="1">
        <v>21040.0</v>
      </c>
      <c r="B19784" s="3" t="s">
        <v>2727</v>
      </c>
      <c r="C19784" s="3" t="str">
        <f>IFERROR(__xludf.DUMMYFUNCTION("GOOGLETRANSLATE(B19784,""id"",""en"")"),"['Opened', '']")</f>
        <v>['Opened', '']</v>
      </c>
      <c r="D19784" s="3">
        <v>2.0</v>
      </c>
    </row>
    <row r="19785" ht="15.75" customHeight="1">
      <c r="A19785" s="1">
        <v>21041.0</v>
      </c>
      <c r="B19785" s="3" t="s">
        <v>18717</v>
      </c>
      <c r="C19785" s="3" t="str">
        <f>IFERROR(__xludf.DUMMYFUNCTION("GOOGLETRANSLATE(B19785,""id"",""en"")"),"['Help', 'Counter']")</f>
        <v>['Help', 'Counter']</v>
      </c>
      <c r="D19785" s="3">
        <v>5.0</v>
      </c>
    </row>
    <row r="19786" ht="15.75" customHeight="1">
      <c r="A19786" s="1">
        <v>21042.0</v>
      </c>
      <c r="B19786" s="3" t="s">
        <v>18718</v>
      </c>
      <c r="C19786" s="3" t="str">
        <f>IFERROR(__xludf.DUMMYFUNCTION("GOOGLETRANSLATE(B19786,""id"",""en"")"),"['God willing', 'winner', '']")</f>
        <v>['God willing', 'winner', '']</v>
      </c>
      <c r="D19786" s="3">
        <v>5.0</v>
      </c>
    </row>
    <row r="19787" ht="15.75" customHeight="1">
      <c r="A19787" s="1">
        <v>21043.0</v>
      </c>
      <c r="B19787" s="3" t="s">
        <v>18719</v>
      </c>
      <c r="C19787" s="3" t="str">
        <f>IFERROR(__xludf.DUMMYFUNCTION("GOOGLETRANSLATE(B19787,""id"",""en"")"),"['Exchange', 'Points', 'pulses', '']")</f>
        <v>['Exchange', 'Points', 'pulses', '']</v>
      </c>
      <c r="D19787" s="3">
        <v>1.0</v>
      </c>
    </row>
    <row r="19788" ht="15.75" customHeight="1">
      <c r="A19788" s="1">
        <v>21044.0</v>
      </c>
      <c r="B19788" s="3" t="s">
        <v>18720</v>
      </c>
      <c r="C19788" s="3" t="str">
        <f>IFERROR(__xludf.DUMMYFUNCTION("GOOGLETRANSLATE(B19788,""id"",""en"")"),"['Luka', 'Application', 'Update', 'Hadeh', ""]")</f>
        <v>['Luka', 'Application', 'Update', 'Hadeh', "]</v>
      </c>
      <c r="D19788" s="3">
        <v>1.0</v>
      </c>
    </row>
    <row r="19789" ht="15.75" customHeight="1">
      <c r="A19789" s="1">
        <v>21045.0</v>
      </c>
      <c r="B19789" s="3" t="s">
        <v>18721</v>
      </c>
      <c r="C19789" s="3" t="str">
        <f>IFERROR(__xludf.DUMMYFUNCTION("GOOGLETRANSLATE(B19789,""id"",""en"")"),"['', 'Change', 'card', 'card', 'fed up', 'network', 'slow', '']")</f>
        <v>['', 'Change', 'card', 'card', 'fed up', 'network', 'slow', '']</v>
      </c>
      <c r="D19789" s="3">
        <v>1.0</v>
      </c>
    </row>
    <row r="19790" ht="15.75" customHeight="1">
      <c r="A19790" s="1">
        <v>21046.0</v>
      </c>
      <c r="B19790" s="3" t="s">
        <v>18722</v>
      </c>
      <c r="C19790" s="3" t="str">
        <f>IFERROR(__xludf.DUMMYFUNCTION("GOOGLETRANSLATE(B19790,""id"",""en"")"),"['Please', 'repaired', 'application', 'Telkomsel', 'open', 'contents', 'package', 'internet', ""]")</f>
        <v>['Please', 'repaired', 'application', 'Telkomsel', 'open', 'contents', 'package', 'internet', "]</v>
      </c>
      <c r="D19790" s="3">
        <v>4.0</v>
      </c>
    </row>
    <row r="19791" ht="15.75" customHeight="1">
      <c r="A19791" s="1">
        <v>21047.0</v>
      </c>
      <c r="B19791" s="3" t="s">
        <v>18723</v>
      </c>
      <c r="C19791" s="3" t="str">
        <f>IFERROR(__xludf.DUMMYFUNCTION("GOOGLETRANSLATE(B19791,""id"",""en"")"),"['price', 'package', 'doang', 'expensive', 'quality', 'signal', 'noticed', 'expensive', 'expensive', 'service', 'bad']")</f>
        <v>['price', 'package', 'doang', 'expensive', 'quality', 'signal', 'noticed', 'expensive', 'expensive', 'service', 'bad']</v>
      </c>
      <c r="D19791" s="3">
        <v>1.0</v>
      </c>
    </row>
    <row r="19792" ht="15.75" customHeight="1">
      <c r="A19792" s="1">
        <v>21048.0</v>
      </c>
      <c r="B19792" s="3" t="s">
        <v>18724</v>
      </c>
      <c r="C19792" s="3" t="str">
        <f>IFERROR(__xludf.DUMMYFUNCTION("GOOGLETRANSLATE(B19792,""id"",""en"")"),"['Child', 'Haram', 'Package', 'Expensive', 'Network', 'Pantek']")</f>
        <v>['Child', 'Haram', 'Package', 'Expensive', 'Network', 'Pantek']</v>
      </c>
      <c r="D19792" s="3">
        <v>1.0</v>
      </c>
    </row>
    <row r="19793" ht="15.75" customHeight="1">
      <c r="A19793" s="1">
        <v>21049.0</v>
      </c>
      <c r="B19793" s="3" t="s">
        <v>18725</v>
      </c>
      <c r="C19793" s="3" t="str">
        <f>IFERROR(__xludf.DUMMYFUNCTION("GOOGLETRANSLATE(B19793,""id"",""en"")"),"['difficult', 'buy', 'package', 'application', 'fail', 'comfortable', 'use', 'expensive', 'little', 'direct', 'response']")</f>
        <v>['difficult', 'buy', 'package', 'application', 'fail', 'comfortable', 'use', 'expensive', 'little', 'direct', 'response']</v>
      </c>
      <c r="D19793" s="3">
        <v>1.0</v>
      </c>
    </row>
    <row r="19794" ht="15.75" customHeight="1">
      <c r="A19794" s="1">
        <v>21050.0</v>
      </c>
      <c r="B19794" s="3" t="s">
        <v>180</v>
      </c>
      <c r="C19794" s="3" t="str">
        <f>IFERROR(__xludf.DUMMYFUNCTION("GOOGLETRANSLATE(B19794,""id"",""en"")"),"['hopefully']")</f>
        <v>['hopefully']</v>
      </c>
      <c r="D19794" s="3">
        <v>5.0</v>
      </c>
    </row>
    <row r="19795" ht="15.75" customHeight="1">
      <c r="A19795" s="1">
        <v>21051.0</v>
      </c>
      <c r="B19795" s="3" t="s">
        <v>18726</v>
      </c>
      <c r="C19795" s="3" t="str">
        <f>IFERROR(__xludf.DUMMYFUNCTION("GOOGLETRANSLATE(B19795,""id"",""en"")"),"['network', 'area', 'ugly', 'change', 'already', 'report', ""]")</f>
        <v>['network', 'area', 'ugly', 'change', 'already', 'report', "]</v>
      </c>
      <c r="D19795" s="3">
        <v>1.0</v>
      </c>
    </row>
    <row r="19796" ht="15.75" customHeight="1">
      <c r="A19796" s="1">
        <v>21053.0</v>
      </c>
      <c r="B19796" s="3" t="s">
        <v>18727</v>
      </c>
      <c r="C19796" s="3" t="str">
        <f>IFERROR(__xludf.DUMMYFUNCTION("GOOGLETRANSLATE(B19796,""id"",""en"")"),"['Ngga', 'open', 'App', 'UDH', 'Sunday', 'Since', 'Update', 'Version', 'Knp', 'Open', 'App', 'Udh', ' ',' Love ',' Bintang ',' ']")</f>
        <v>['Ngga', 'open', 'App', 'UDH', 'Sunday', 'Since', 'Update', 'Version', 'Knp', 'Open', 'App', 'Udh', ' ',' Love ',' Bintang ',' ']</v>
      </c>
      <c r="D19796" s="3">
        <v>1.0</v>
      </c>
    </row>
    <row r="19797" ht="15.75" customHeight="1">
      <c r="A19797" s="1">
        <v>21054.0</v>
      </c>
      <c r="B19797" s="3" t="s">
        <v>18728</v>
      </c>
      <c r="C19797" s="3" t="str">
        <f>IFERROR(__xludf.DUMMYFUNCTION("GOOGLETRANSLATE(B19797,""id"",""en"")"),"['app', 'difficult', 'min', 'nakya', 'description', 'anything']")</f>
        <v>['app', 'difficult', 'min', 'nakya', 'description', 'anything']</v>
      </c>
      <c r="D19797" s="3">
        <v>3.0</v>
      </c>
    </row>
    <row r="19798" ht="15.75" customHeight="1">
      <c r="A19798" s="1">
        <v>21055.0</v>
      </c>
      <c r="B19798" s="3" t="s">
        <v>18729</v>
      </c>
      <c r="C19798" s="3" t="str">
        <f>IFERROR(__xludf.DUMMYFUNCTION("GOOGLETRANSLATE(B19798,""id"",""en"")"),"['application', 'knpa', 'already', 'update', 'open', '']")</f>
        <v>['application', 'knpa', 'already', 'update', 'open', '']</v>
      </c>
      <c r="D19798" s="3">
        <v>1.0</v>
      </c>
    </row>
    <row r="19799" ht="15.75" customHeight="1">
      <c r="A19799" s="1">
        <v>21056.0</v>
      </c>
      <c r="B19799" s="3" t="s">
        <v>18730</v>
      </c>
      <c r="C19799" s="3" t="str">
        <f>IFERROR(__xludf.DUMMYFUNCTION("GOOGLETRANSLATE(B19799,""id"",""en"")"),"['Package', 'expensive', 'signal', 'ugly']")</f>
        <v>['Package', 'expensive', 'signal', 'ugly']</v>
      </c>
      <c r="D19799" s="3">
        <v>1.0</v>
      </c>
    </row>
    <row r="19800" ht="15.75" customHeight="1">
      <c r="A19800" s="1">
        <v>21057.0</v>
      </c>
      <c r="B19800" s="3" t="s">
        <v>18731</v>
      </c>
      <c r="C19800" s="3" t="str">
        <f>IFERROR(__xludf.DUMMYFUNCTION("GOOGLETRANSLATE(B19800,""id"",""en"")"),"['confused', 'gift', 'pay', 'link', 'ovo', 'application', 'mytelkomsel', '']")</f>
        <v>['confused', 'gift', 'pay', 'link', 'ovo', 'application', 'mytelkomsel', '']</v>
      </c>
      <c r="D19800" s="3">
        <v>5.0</v>
      </c>
    </row>
    <row r="19801" ht="15.75" customHeight="1">
      <c r="A19801" s="1">
        <v>21058.0</v>
      </c>
      <c r="B19801" s="3" t="s">
        <v>18732</v>
      </c>
      <c r="C19801" s="3" t="str">
        <f>IFERROR(__xludf.DUMMYFUNCTION("GOOGLETRANSLATE(B19801,""id"",""en"")"),"['', 'steady']")</f>
        <v>['', 'steady']</v>
      </c>
      <c r="D19801" s="3">
        <v>5.0</v>
      </c>
    </row>
    <row r="19802" ht="15.75" customHeight="1">
      <c r="A19802" s="1">
        <v>21059.0</v>
      </c>
      <c r="B19802" s="3" t="s">
        <v>18733</v>
      </c>
      <c r="C19802" s="3" t="str">
        <f>IFERROR(__xludf.DUMMYFUNCTION("GOOGLETRANSLATE(B19802,""id"",""en"")"),"['Network', 'slow', 'really', 'sympathy', 'high', 'doang']")</f>
        <v>['Network', 'slow', 'really', 'sympathy', 'high', 'doang']</v>
      </c>
      <c r="D19802" s="3">
        <v>1.0</v>
      </c>
    </row>
    <row r="19803" ht="15.75" customHeight="1">
      <c r="A19803" s="1">
        <v>21060.0</v>
      </c>
      <c r="B19803" s="3" t="s">
        <v>18734</v>
      </c>
      <c r="C19803" s="3" t="str">
        <f>IFERROR(__xludf.DUMMYFUNCTION("GOOGLETRANSLATE(B19803,""id"",""en"")"),"['Package', 'data', 'internet', 'buy', 'location', 'purchase', 'package', 'because' help ',' in the past ',' difficult ',' pandemic ',' Covid ',' customers', 'disappointed', 'rules',' apply ',' Telkomsel ',' ']")</f>
        <v>['Package', 'data', 'internet', 'buy', 'location', 'purchase', 'package', 'because' help ',' in the past ',' difficult ',' pandemic ',' Covid ',' customers', 'disappointed', 'rules',' apply ',' Telkomsel ',' ']</v>
      </c>
      <c r="D19803" s="3">
        <v>1.0</v>
      </c>
    </row>
    <row r="19804" ht="15.75" customHeight="1">
      <c r="A19804" s="1">
        <v>21061.0</v>
      </c>
      <c r="B19804" s="3" t="s">
        <v>18735</v>
      </c>
      <c r="C19804" s="3" t="str">
        <f>IFERROR(__xludf.DUMMYFUNCTION("GOOGLETRANSLATE(B19804,""id"",""en"")"),"['cave', 'fair']")</f>
        <v>['cave', 'fair']</v>
      </c>
      <c r="D19804" s="3">
        <v>3.0</v>
      </c>
    </row>
    <row r="19805" ht="15.75" customHeight="1">
      <c r="A19805" s="1">
        <v>21062.0</v>
      </c>
      <c r="B19805" s="3" t="s">
        <v>18736</v>
      </c>
      <c r="C19805" s="3" t="str">
        <f>IFERROR(__xludf.DUMMYFUNCTION("GOOGLETRANSLATE(B19805,""id"",""en"")"),"['', 'content', 'super', 'fast', 'contents',' super ',' slow ',' slow ',' jammed ',' open ',' application ',' light ',' wait ',' minutes', 'price', 'expensive', 'network', 'cheap', 'turn', 'quota', 'out', 'kagak', 'slow', 'recommended', 'Nian', 'Kapok', '"&amp;"Kapok', 'Kapok', 'Kapok', 'Kapok', 'Fill', 'Quota', 'Delicious',' Change ',' Card ',' Telkomsel ',' Special ',' Receive ',' telephone ',' Lenaaaaak ',' ']")</f>
        <v>['', 'content', 'super', 'fast', 'contents',' super ',' slow ',' slow ',' jammed ',' open ',' application ',' light ',' wait ',' minutes', 'price', 'expensive', 'network', 'cheap', 'turn', 'quota', 'out', 'kagak', 'slow', 'recommended', 'Nian', 'Kapok', 'Kapok', 'Kapok', 'Kapok', 'Kapok', 'Fill', 'Quota', 'Delicious',' Change ',' Card ',' Telkomsel ',' Special ',' Receive ',' telephone ',' Lenaaaaak ',' ']</v>
      </c>
      <c r="D19805" s="3">
        <v>1.0</v>
      </c>
    </row>
    <row r="19806" ht="15.75" customHeight="1">
      <c r="A19806" s="1">
        <v>21063.0</v>
      </c>
      <c r="B19806" s="3" t="s">
        <v>18737</v>
      </c>
      <c r="C19806" s="3" t="str">
        <f>IFERROR(__xludf.DUMMYFUNCTION("GOOGLETRANSLATE(B19806,""id"",""en"")"),"['', 'Telkomsel', 'skg', 'like', 'error', 'please', 'fix']")</f>
        <v>['', 'Telkomsel', 'skg', 'like', 'error', 'please', 'fix']</v>
      </c>
      <c r="D19806" s="3">
        <v>1.0</v>
      </c>
    </row>
    <row r="19807" ht="15.75" customHeight="1">
      <c r="A19807" s="1">
        <v>21064.0</v>
      </c>
      <c r="B19807" s="3" t="s">
        <v>18738</v>
      </c>
      <c r="C19807" s="3" t="str">
        <f>IFERROR(__xludf.DUMMYFUNCTION("GOOGLETRANSLATE(B19807,""id"",""en"")"),"['', 'edit', 'love', 'star', 'Yesterday', 'Telkomsel', 'Error', 'MLU', 'now', 'no', 'easy', 'ksna', 'lnacar ']")</f>
        <v>['', 'edit', 'love', 'star', 'Yesterday', 'Telkomsel', 'Error', 'MLU', 'now', 'no', 'easy', 'ksna', 'lnacar ']</v>
      </c>
      <c r="D19807" s="3">
        <v>5.0</v>
      </c>
    </row>
    <row r="19808" ht="15.75" customHeight="1">
      <c r="A19808" s="1">
        <v>21065.0</v>
      </c>
      <c r="B19808" s="3" t="s">
        <v>18739</v>
      </c>
      <c r="C19808" s="3" t="str">
        <f>IFERROR(__xludf.DUMMYFUNCTION("GOOGLETRANSLATE(B19808,""id"",""en"")"),"['difficult', 'login', 'enter', 'sms',' verification ',' fit ',' clicked ',' magiclink ',' web ',' told ',' login ',' what ',' "", 'Try', 'I mean', 'Ngisibetin', 'org',""]")</f>
        <v>['difficult', 'login', 'enter', 'sms',' verification ',' fit ',' clicked ',' magiclink ',' web ',' told ',' login ',' what ',' ", 'Try', 'I mean', 'Ngisibetin', 'org',"]</v>
      </c>
      <c r="D19808" s="3">
        <v>2.0</v>
      </c>
    </row>
    <row r="19809" ht="15.75" customHeight="1">
      <c r="A19809" s="1">
        <v>21066.0</v>
      </c>
      <c r="B19809" s="3" t="s">
        <v>18740</v>
      </c>
      <c r="C19809" s="3" t="str">
        <f>IFERROR(__xludf.DUMMYFUNCTION("GOOGLETRANSLATE(B19809,""id"",""en"")"),"['already', 'donated', 'application', 'opened', 'screen', 'white', 'Telkomsel']")</f>
        <v>['already', 'donated', 'application', 'opened', 'screen', 'white', 'Telkomsel']</v>
      </c>
      <c r="D19809" s="3">
        <v>2.0</v>
      </c>
    </row>
    <row r="19810" ht="15.75" customHeight="1">
      <c r="A19810" s="1">
        <v>21068.0</v>
      </c>
      <c r="B19810" s="3" t="s">
        <v>18741</v>
      </c>
      <c r="C19810" s="3" t="str">
        <f>IFERROR(__xludf.DUMMYFUNCTION("GOOGLETRANSLATE(B19810,""id"",""en"")"),"['how']")</f>
        <v>['how']</v>
      </c>
      <c r="D19810" s="3">
        <v>1.0</v>
      </c>
    </row>
    <row r="19811" ht="15.75" customHeight="1">
      <c r="A19811" s="1">
        <v>21069.0</v>
      </c>
      <c r="B19811" s="3" t="s">
        <v>18742</v>
      </c>
      <c r="C19811" s="3" t="str">
        <f>IFERROR(__xludf.DUMMYFUNCTION("GOOGLETRANSLATE(B19811,""id"",""en"")"),"['WOI', 'Benerin', 'Quality', 'Signal', 'Satisfied', 'Karna', 'Pay', 'Expensive', '']")</f>
        <v>['WOI', 'Benerin', 'Quality', 'Signal', 'Satisfied', 'Karna', 'Pay', 'Expensive', '']</v>
      </c>
      <c r="D19811" s="3">
        <v>1.0</v>
      </c>
    </row>
    <row r="19812" ht="15.75" customHeight="1">
      <c r="A19812" s="1">
        <v>21070.0</v>
      </c>
      <c r="B19812" s="3" t="s">
        <v>18743</v>
      </c>
      <c r="C19812" s="3" t="str">
        <f>IFERROR(__xludf.DUMMYFUNCTION("GOOGLETRANSLATE(B19812,""id"",""en"")"),"['update', 'ver', 'newest', 'kagak', 'open', 'web', 'strange', 'disappointing']")</f>
        <v>['update', 'ver', 'newest', 'kagak', 'open', 'web', 'strange', 'disappointing']</v>
      </c>
      <c r="D19812" s="3">
        <v>1.0</v>
      </c>
    </row>
    <row r="19813" ht="15.75" customHeight="1">
      <c r="A19813" s="1">
        <v>21071.0</v>
      </c>
      <c r="B19813" s="3" t="s">
        <v>18744</v>
      </c>
      <c r="C19813" s="3" t="str">
        <f>IFERROR(__xludf.DUMMYFUNCTION("GOOGLETRANSLATE(B19813,""id"",""en"")"),"['Please', 'Sorry', 'Telkomsel', 'Open', 'Login', 'Enter']")</f>
        <v>['Please', 'Sorry', 'Telkomsel', 'Open', 'Login', 'Enter']</v>
      </c>
      <c r="D19813" s="3">
        <v>3.0</v>
      </c>
    </row>
    <row r="19814" ht="15.75" customHeight="1">
      <c r="A19814" s="1">
        <v>21072.0</v>
      </c>
      <c r="B19814" s="3" t="s">
        <v>18745</v>
      </c>
      <c r="C19814" s="3" t="str">
        <f>IFERROR(__xludf.DUMMYFUNCTION("GOOGLETRANSLATE(B19814,""id"",""en"")"),"['Please', 'Kasi', 'bonus', 'orng', 'donlot']")</f>
        <v>['Please', 'Kasi', 'bonus', 'orng', 'donlot']</v>
      </c>
      <c r="D19814" s="3">
        <v>1.0</v>
      </c>
    </row>
    <row r="19815" ht="15.75" customHeight="1">
      <c r="A19815" s="1">
        <v>21073.0</v>
      </c>
      <c r="B19815" s="3" t="s">
        <v>18746</v>
      </c>
      <c r="C19815" s="3" t="str">
        <f>IFERROR(__xludf.DUMMYFUNCTION("GOOGLETRANSLATE(B19815,""id"",""en"")"),"['Promo', 'promo', 'cheap']")</f>
        <v>['Promo', 'promo', 'cheap']</v>
      </c>
      <c r="D19815" s="3">
        <v>5.0</v>
      </c>
    </row>
    <row r="19816" ht="15.75" customHeight="1">
      <c r="A19816" s="1">
        <v>21074.0</v>
      </c>
      <c r="B19816" s="3" t="s">
        <v>18747</v>
      </c>
      <c r="C19816" s="3" t="str">
        <f>IFERROR(__xludf.DUMMYFUNCTION("GOOGLETRANSLATE(B19816,""id"",""en"")"),"['Application', 'Upgrade', 'Support', 'Open']")</f>
        <v>['Application', 'Upgrade', 'Support', 'Open']</v>
      </c>
      <c r="D19816" s="3">
        <v>4.0</v>
      </c>
    </row>
    <row r="19817" ht="15.75" customHeight="1">
      <c r="A19817" s="1">
        <v>21075.0</v>
      </c>
      <c r="B19817" s="3" t="s">
        <v>18748</v>
      </c>
      <c r="C19817" s="3" t="str">
        <f>IFERROR(__xludf.DUMMYFUNCTION("GOOGLETRANSLATE(B19817,""id"",""en"")"),"['network', 'kek', 'network', 'full', 'TPI', 'feels',' can ',' how ',' Developer ',' package ',' marijuana ',' TPI ',' network ',' eek ']")</f>
        <v>['network', 'kek', 'network', 'full', 'TPI', 'feels',' can ',' how ',' Developer ',' package ',' marijuana ',' TPI ',' network ',' eek ']</v>
      </c>
      <c r="D19817" s="3">
        <v>1.0</v>
      </c>
    </row>
    <row r="19818" ht="15.75" customHeight="1">
      <c r="A19818" s="1">
        <v>21077.0</v>
      </c>
      <c r="B19818" s="3" t="s">
        <v>643</v>
      </c>
      <c r="C19818" s="3" t="str">
        <f>IFERROR(__xludf.DUMMYFUNCTION("GOOGLETRANSLATE(B19818,""id"",""en"")"),"['Good', 'fast']")</f>
        <v>['Good', 'fast']</v>
      </c>
      <c r="D19818" s="3">
        <v>5.0</v>
      </c>
    </row>
    <row r="19819" ht="15.75" customHeight="1">
      <c r="A19819" s="1">
        <v>21078.0</v>
      </c>
      <c r="B19819" s="3" t="s">
        <v>18749</v>
      </c>
      <c r="C19819" s="3" t="str">
        <f>IFERROR(__xludf.DUMMYFUNCTION("GOOGLETRANSLATE(B19819,""id"",""en"")"),"['knapa', 'Telkomsel', 'trouble', 'network', 'data', 'difficult', 'trouble', 'work', 'online']")</f>
        <v>['knapa', 'Telkomsel', 'trouble', 'network', 'data', 'difficult', 'trouble', 'work', 'online']</v>
      </c>
      <c r="D19819" s="3">
        <v>2.0</v>
      </c>
    </row>
    <row r="19820" ht="15.75" customHeight="1">
      <c r="A19820" s="1">
        <v>21079.0</v>
      </c>
      <c r="B19820" s="3" t="s">
        <v>18750</v>
      </c>
      <c r="C19820" s="3" t="str">
        <f>IFERROR(__xludf.DUMMYFUNCTION("GOOGLETRANSLATE(B19820,""id"",""en"")"),"['Telkomsel', 'nngk', 'open', 'already', 'download', 'brp', 'times', 'nngk', 'kak', 'admin', '']")</f>
        <v>['Telkomsel', 'nngk', 'open', 'already', 'download', 'brp', 'times', 'nngk', 'kak', 'admin', '']</v>
      </c>
      <c r="D19820" s="3">
        <v>5.0</v>
      </c>
    </row>
    <row r="19821" ht="15.75" customHeight="1">
      <c r="A19821" s="1">
        <v>21080.0</v>
      </c>
      <c r="B19821" s="3" t="s">
        <v>18751</v>
      </c>
      <c r="C19821" s="3" t="str">
        <f>IFERROR(__xludf.DUMMYFUNCTION("GOOGLETRANSLATE(B19821,""id"",""en"")"),"['Help', 'promo', 'cheap', '']")</f>
        <v>['Help', 'promo', 'cheap', '']</v>
      </c>
      <c r="D19821" s="3">
        <v>5.0</v>
      </c>
    </row>
    <row r="19822" ht="15.75" customHeight="1">
      <c r="A19822" s="1">
        <v>21081.0</v>
      </c>
      <c r="B19822" s="3" t="s">
        <v>18752</v>
      </c>
      <c r="C19822" s="3" t="str">
        <f>IFERROR(__xludf.DUMMYFUNCTION("GOOGLETRANSLATE(B19822,""id"",""en"")"),"['Update', 'Open', 'Sis', 'Already', 'Uninstall', 'Install', 'Reset', 'What', 'Sis', ""]")</f>
        <v>['Update', 'Open', 'Sis', 'Already', 'Uninstall', 'Install', 'Reset', 'What', 'Sis', "]</v>
      </c>
      <c r="D19822" s="3">
        <v>5.0</v>
      </c>
    </row>
    <row r="19823" ht="15.75" customHeight="1">
      <c r="A19823" s="1">
        <v>21083.0</v>
      </c>
      <c r="B19823" s="3" t="s">
        <v>18753</v>
      </c>
      <c r="C19823" s="3" t="str">
        <f>IFERROR(__xludf.DUMMYFUNCTION("GOOGLETRANSLATE(B19823,""id"",""en"")"),"['Can't', 'entry', 'Veronika', 'no']")</f>
        <v>['Can't', 'entry', 'Veronika', 'no']</v>
      </c>
      <c r="D19823" s="3">
        <v>1.0</v>
      </c>
    </row>
    <row r="19824" ht="15.75" customHeight="1">
      <c r="A19824" s="1">
        <v>21084.0</v>
      </c>
      <c r="B19824" s="3" t="s">
        <v>18754</v>
      </c>
      <c r="C19824" s="3" t="str">
        <f>IFERROR(__xludf.DUMMYFUNCTION("GOOGLETRANSLATE(B19824,""id"",""en"")"),"['Good', 'package', 'internet', 'expensive']")</f>
        <v>['Good', 'package', 'internet', 'expensive']</v>
      </c>
      <c r="D19824" s="3">
        <v>5.0</v>
      </c>
    </row>
    <row r="19825" ht="15.75" customHeight="1">
      <c r="A19825" s="1">
        <v>21085.0</v>
      </c>
      <c r="B19825" s="3" t="s">
        <v>18755</v>
      </c>
      <c r="C19825" s="3" t="str">
        <f>IFERROR(__xludf.DUMMYFUNCTION("GOOGLETRANSLATE(B19825,""id"",""en"")"),"['strange', 'application', 'right', 'open', 'screen', 'white', 'doang', 'pepahhhhhhh', 'application', 'poor']")</f>
        <v>['strange', 'application', 'right', 'open', 'screen', 'white', 'doang', 'pepahhhhhhh', 'application', 'poor']</v>
      </c>
      <c r="D19825" s="3">
        <v>1.0</v>
      </c>
    </row>
    <row r="19826" ht="15.75" customHeight="1">
      <c r="A19826" s="1">
        <v>21086.0</v>
      </c>
      <c r="B19826" s="3" t="s">
        <v>18756</v>
      </c>
      <c r="C19826" s="3" t="str">
        <f>IFERROR(__xludf.DUMMYFUNCTION("GOOGLETRANSLATE(B19826,""id"",""en"")"),"['', 'apk', 'Telkomsel', 'login', 'picture', 'white', 'login', 'how', 'UDH', 'Delete', 'Data', 'then' login ',' Tetep ',' then ',' UDH ',' Delete ',' APK ',' then 'login', 'Tetep', ""]")</f>
        <v>['', 'apk', 'Telkomsel', 'login', 'picture', 'white', 'login', 'how', 'UDH', 'Delete', 'Data', 'then' login ',' Tetep ',' then ',' UDH ',' Delete ',' APK ',' then 'login', 'Tetep', "]</v>
      </c>
      <c r="D19826" s="3">
        <v>2.0</v>
      </c>
    </row>
    <row r="19827" ht="15.75" customHeight="1">
      <c r="A19827" s="1">
        <v>21087.0</v>
      </c>
      <c r="B19827" s="3" t="s">
        <v>18757</v>
      </c>
      <c r="C19827" s="3" t="str">
        <f>IFERROR(__xludf.DUMMYFUNCTION("GOOGLETRANSLATE(B19827,""id"",""en"")"),"['Network', 'difficult', 'card', 'era']")</f>
        <v>['Network', 'difficult', 'card', 'era']</v>
      </c>
      <c r="D19827" s="3">
        <v>2.0</v>
      </c>
    </row>
    <row r="19828" ht="15.75" customHeight="1">
      <c r="A19828" s="1">
        <v>21088.0</v>
      </c>
      <c r="B19828" s="3" t="s">
        <v>18758</v>
      </c>
      <c r="C19828" s="3" t="str">
        <f>IFERROR(__xludf.DUMMYFUNCTION("GOOGLETRANSLATE(B19828,""id"",""en"")"),"['Good', 'signal', 'ilang', 'trs', 'expensive']")</f>
        <v>['Good', 'signal', 'ilang', 'trs', 'expensive']</v>
      </c>
      <c r="D19828" s="3">
        <v>1.0</v>
      </c>
    </row>
    <row r="19829" ht="15.75" customHeight="1">
      <c r="A19829" s="1">
        <v>21089.0</v>
      </c>
      <c r="B19829" s="3" t="s">
        <v>18759</v>
      </c>
      <c r="C19829" s="3" t="str">
        <f>IFERROR(__xludf.DUMMYFUNCTION("GOOGLETRANSLATE(B19829,""id"",""en"")"),"['The price', 'Package', 'Munge']")</f>
        <v>['The price', 'Package', 'Munge']</v>
      </c>
      <c r="D19829" s="3">
        <v>5.0</v>
      </c>
    </row>
    <row r="19830" ht="15.75" customHeight="1">
      <c r="A19830" s="1">
        <v>21090.0</v>
      </c>
      <c r="B19830" s="3" t="s">
        <v>18760</v>
      </c>
      <c r="C19830" s="3" t="str">
        <f>IFERROR(__xludf.DUMMYFUNCTION("GOOGLETRANSLATE(B19830,""id"",""en"")"),"['Buy', 'Package', 'Disney', 'Hot', 'Star']")</f>
        <v>['Buy', 'Package', 'Disney', 'Hot', 'Star']</v>
      </c>
      <c r="D19830" s="3">
        <v>2.0</v>
      </c>
    </row>
    <row r="19831" ht="15.75" customHeight="1">
      <c r="A19831" s="1">
        <v>21091.0</v>
      </c>
      <c r="B19831" s="3" t="s">
        <v>18761</v>
      </c>
      <c r="C19831" s="3" t="str">
        <f>IFERROR(__xludf.DUMMYFUNCTION("GOOGLETRANSLATE(B19831,""id"",""en"")"),"['', 'Open', 'Ahh', ""]")</f>
        <v>['', 'Open', 'Ahh', "]</v>
      </c>
      <c r="D19831" s="3">
        <v>2.0</v>
      </c>
    </row>
    <row r="19832" ht="15.75" customHeight="1">
      <c r="A19832" s="1">
        <v>21092.0</v>
      </c>
      <c r="B19832" s="3" t="s">
        <v>18762</v>
      </c>
      <c r="C19832" s="3" t="str">
        <f>IFERROR(__xludf.DUMMYFUNCTION("GOOGLETRANSLATE(B19832,""id"",""en"")"),"['Mending', 'tri', 'axis',' severe ',' telkampret ',' frequency ',' contents', 'pulse', 'data', 'tsel', 'guarantee', 'package', ' expensive ',' buy ',' pulse ',' data ',' except ',' active ',' guaranteed ',' package ',' cheap ',' ']")</f>
        <v>['Mending', 'tri', 'axis',' severe ',' telkampret ',' frequency ',' contents', 'pulse', 'data', 'tsel', 'guarantee', 'package', ' expensive ',' buy ',' pulse ',' data ',' except ',' active ',' guaranteed ',' package ',' cheap ',' ']</v>
      </c>
      <c r="D19832" s="3">
        <v>1.0</v>
      </c>
    </row>
    <row r="19833" ht="15.75" customHeight="1">
      <c r="A19833" s="1">
        <v>21093.0</v>
      </c>
      <c r="B19833" s="3" t="s">
        <v>4750</v>
      </c>
      <c r="C19833" s="3" t="str">
        <f>IFERROR(__xludf.DUMMYFUNCTION("GOOGLETRANSLATE(B19833,""id"",""en"")"),"['The application', 'opened']")</f>
        <v>['The application', 'opened']</v>
      </c>
      <c r="D19833" s="3">
        <v>5.0</v>
      </c>
    </row>
    <row r="19834" ht="15.75" customHeight="1">
      <c r="A19834" s="1">
        <v>21094.0</v>
      </c>
      <c r="B19834" s="3" t="s">
        <v>18763</v>
      </c>
      <c r="C19834" s="3" t="str">
        <f>IFERROR(__xludf.DUMMYFUNCTION("GOOGLETRANSLATE(B19834,""id"",""en"")"),"['Upset', 'Telkomsel', 'KOQ', 'Lemot', 'Bener', 'Lost', 'Provider', 'Pay', 'Expensive', 'Expensive', 'Thn', 'sympathy', ' Thn ',' Move ',' Hello ',' KOQ ',' Signal ',' Severe ',' Oath ',' Kapok ',' Sympathy ',' Pay ',' Expensive ',' His Father ',' His Mel"&amp;"ine ' , 'Becus', '']")</f>
        <v>['Upset', 'Telkomsel', 'KOQ', 'Lemot', 'Bener', 'Lost', 'Provider', 'Pay', 'Expensive', 'Expensive', 'Thn', 'sympathy', ' Thn ',' Move ',' Hello ',' KOQ ',' Signal ',' Severe ',' Oath ',' Kapok ',' Sympathy ',' Pay ',' Expensive ',' His Father ',' His Meline ' , 'Becus', '']</v>
      </c>
      <c r="D19834" s="3">
        <v>1.0</v>
      </c>
    </row>
    <row r="19835" ht="15.75" customHeight="1">
      <c r="A19835" s="1">
        <v>21095.0</v>
      </c>
      <c r="B19835" s="3" t="s">
        <v>18764</v>
      </c>
      <c r="C19835" s="3" t="str">
        <f>IFERROR(__xludf.DUMMYFUNCTION("GOOGLETRANSLATE(B19835,""id"",""en"")"),"['', 'knp', 'signal', 'slow', 'severe']")</f>
        <v>['', 'knp', 'signal', 'slow', 'severe']</v>
      </c>
      <c r="D19835" s="3">
        <v>1.0</v>
      </c>
    </row>
    <row r="19836" ht="15.75" customHeight="1">
      <c r="A19836" s="1">
        <v>21096.0</v>
      </c>
      <c r="B19836" s="3" t="s">
        <v>18765</v>
      </c>
      <c r="C19836" s="3" t="str">
        <f>IFERROR(__xludf.DUMMYFUNCTION("GOOGLETRANSLATE(B19836,""id"",""en"")"),"['Sihh', 'APS', 'Used', 'Screen', 'White', 'Doang', 'Already', 'Uninstall', 'Install', 'Ber', 'reset', ' Tetep ',' Gini ',' Wrong ',' Ngadu ',' Where ',' Nihh ',' Help ',' Makasih ']")</f>
        <v>['Sihh', 'APS', 'Used', 'Screen', 'White', 'Doang', 'Already', 'Uninstall', 'Install', 'Ber', 'reset', ' Tetep ',' Gini ',' Wrong ',' Ngadu ',' Where ',' Nihh ',' Help ',' Makasih ']</v>
      </c>
      <c r="D19836" s="3">
        <v>1.0</v>
      </c>
    </row>
    <row r="19837" ht="15.75" customHeight="1">
      <c r="A19837" s="1">
        <v>21097.0</v>
      </c>
      <c r="B19837" s="3" t="s">
        <v>1125</v>
      </c>
      <c r="C19837" s="3" t="str">
        <f>IFERROR(__xludf.DUMMYFUNCTION("GOOGLETRANSLATE(B19837,""id"",""en"")"),"['enter']")</f>
        <v>['enter']</v>
      </c>
      <c r="D19837" s="3">
        <v>3.0</v>
      </c>
    </row>
    <row r="19838" ht="15.75" customHeight="1">
      <c r="A19838" s="1">
        <v>21098.0</v>
      </c>
      <c r="B19838" s="3" t="s">
        <v>18766</v>
      </c>
      <c r="C19838" s="3" t="str">
        <f>IFERROR(__xludf.DUMMYFUNCTION("GOOGLETRANSLATE(B19838,""id"",""en"")"),"['How', 'Telkomsel', 'open', 'just', 'white']")</f>
        <v>['How', 'Telkomsel', 'open', 'just', 'white']</v>
      </c>
      <c r="D19838" s="3">
        <v>1.0</v>
      </c>
    </row>
    <row r="19839" ht="15.75" customHeight="1">
      <c r="A19839" s="1">
        <v>21099.0</v>
      </c>
      <c r="B19839" s="3" t="s">
        <v>18767</v>
      </c>
      <c r="C19839" s="3" t="str">
        <f>IFERROR(__xludf.DUMMYFUNCTION("GOOGLETRANSLATE(B19839,""id"",""en"")"),"['Wear', 'application', 'MyTelkomsel', 'easy', 'transact', 'purchase', 'package', 'data', 'internet', 'hope', 'hope', ""]")</f>
        <v>['Wear', 'application', 'MyTelkomsel', 'easy', 'transact', 'purchase', 'package', 'data', 'internet', 'hope', 'hope', "]</v>
      </c>
      <c r="D19839" s="3">
        <v>5.0</v>
      </c>
    </row>
    <row r="19840" ht="15.75" customHeight="1">
      <c r="A19840" s="1">
        <v>21100.0</v>
      </c>
      <c r="B19840" s="3" t="s">
        <v>18768</v>
      </c>
      <c r="C19840" s="3" t="str">
        <f>IFERROR(__xludf.DUMMYFUNCTION("GOOGLETRANSLATE(B19840,""id"",""en"")"),"['Disposable', 'Telkomsel', 'Please', 'Fix', 'Jarigan', 'Ride', 'Price', 'Jarigan', 'Kayak', 'Taik', 'Price', 'Rich', ' Mas', 'Njir', 'Jarigan', 'Kayak', 'Gini', 'Mending', 'Disband', 'Sympathy', 'Fraud', 'Public', 'Kayak', 'Gini', 'Cave' , 'Rich', 'garba"&amp;"ge', 'card', 'buy', 'package', 'anjirrrrrrrrrrrrrrr', '']")</f>
        <v>['Disposable', 'Telkomsel', 'Please', 'Fix', 'Jarigan', 'Ride', 'Price', 'Jarigan', 'Kayak', 'Taik', 'Price', 'Rich', ' Mas', 'Njir', 'Jarigan', 'Kayak', 'Gini', 'Mending', 'Disband', 'Sympathy', 'Fraud', 'Public', 'Kayak', 'Gini', 'Cave' , 'Rich', 'garbage', 'card', 'buy', 'package', 'anjirrrrrrrrrrrrrrr', '']</v>
      </c>
      <c r="D19840" s="3">
        <v>1.0</v>
      </c>
    </row>
    <row r="19841" ht="15.75" customHeight="1">
      <c r="A19841" s="1">
        <v>21101.0</v>
      </c>
      <c r="B19841" s="3" t="s">
        <v>18769</v>
      </c>
      <c r="C19841" s="3" t="str">
        <f>IFERROR(__xludf.DUMMYFUNCTION("GOOGLETRANSLATE(B19841,""id"",""en"")"),"['Telkomsel', 'knp', 'network', 'you', 'expensive', 'doang', 'network', 'ugly', 'katane', 'muter', 'doang']")</f>
        <v>['Telkomsel', 'knp', 'network', 'you', 'expensive', 'doang', 'network', 'ugly', 'katane', 'muter', 'doang']</v>
      </c>
      <c r="D19841" s="3">
        <v>1.0</v>
      </c>
    </row>
    <row r="19842" ht="15.75" customHeight="1">
      <c r="A19842" s="1">
        <v>21102.0</v>
      </c>
      <c r="B19842" s="3" t="s">
        <v>18770</v>
      </c>
      <c r="C19842" s="3" t="str">
        <f>IFERROR(__xludf.DUMMYFUNCTION("GOOGLETRANSLATE(B19842,""id"",""en"")"),"['Error', 'Sometimes', 'Sometimes', 'Cook', 'Move', 'Card', 'Session', 'Out', 'Ngerni', 'I mean']")</f>
        <v>['Error', 'Sometimes', 'Sometimes', 'Cook', 'Move', 'Card', 'Session', 'Out', 'Ngerni', 'I mean']</v>
      </c>
      <c r="D19842" s="3">
        <v>2.0</v>
      </c>
    </row>
    <row r="19843" ht="15.75" customHeight="1">
      <c r="A19843" s="1">
        <v>21103.0</v>
      </c>
      <c r="B19843" s="3" t="s">
        <v>18771</v>
      </c>
      <c r="C19843" s="3" t="str">
        <f>IFERROR(__xludf.DUMMYFUNCTION("GOOGLETRANSLATE(B19843,""id"",""en"")"),"['application', 'pulp', 'maen', 'nyolong', 'pulse', 'person', 'usually']")</f>
        <v>['application', 'pulp', 'maen', 'nyolong', 'pulse', 'person', 'usually']</v>
      </c>
      <c r="D19843" s="3">
        <v>1.0</v>
      </c>
    </row>
    <row r="19844" ht="15.75" customHeight="1">
      <c r="A19844" s="1">
        <v>21105.0</v>
      </c>
      <c r="B19844" s="3" t="s">
        <v>18772</v>
      </c>
      <c r="C19844" s="3" t="str">
        <f>IFERROR(__xludf.DUMMYFUNCTION("GOOGLETRANSLATE(B19844,""id"",""en"")"),"['sick', 'heart', 'pulse', 'cut', 'job']")</f>
        <v>['sick', 'heart', 'pulse', 'cut', 'job']</v>
      </c>
      <c r="D19844" s="3">
        <v>1.0</v>
      </c>
    </row>
    <row r="19845" ht="15.75" customHeight="1">
      <c r="A19845" s="1">
        <v>21106.0</v>
      </c>
      <c r="B19845" s="3" t="s">
        <v>18773</v>
      </c>
      <c r="C19845" s="3" t="str">
        <f>IFERROR(__xludf.DUMMYFUNCTION("GOOGLETRANSLATE(B19845,""id"",""en"")"),"['satisfying', 'Thank you', 'Telkomsel']")</f>
        <v>['satisfying', 'Thank you', 'Telkomsel']</v>
      </c>
      <c r="D19845" s="3">
        <v>4.0</v>
      </c>
    </row>
    <row r="19846" ht="15.75" customHeight="1">
      <c r="A19846" s="1">
        <v>21107.0</v>
      </c>
      <c r="B19846" s="3" t="s">
        <v>18774</v>
      </c>
      <c r="C19846" s="3" t="str">
        <f>IFERROR(__xludf.DUMMYFUNCTION("GOOGLETRANSLATE(B19846,""id"",""en"")"),"['Plislah', 'replace', 'number', 'no', 'how', 'Season', ""]")</f>
        <v>['Plislah', 'replace', 'number', 'no', 'how', 'Season', "]</v>
      </c>
      <c r="D19846" s="3">
        <v>2.0</v>
      </c>
    </row>
    <row r="19847" ht="15.75" customHeight="1">
      <c r="A19847" s="1">
        <v>21108.0</v>
      </c>
      <c r="B19847" s="3" t="s">
        <v>18775</v>
      </c>
      <c r="C19847" s="3" t="str">
        <f>IFERROR(__xludf.DUMMYFUNCTION("GOOGLETRANSLATE(B19847,""id"",""en"")"),"['hi', 'update', 'Yesterday', 'no', 'enter', 'application', 'MyTelkomsel', 'update', 'enter', 'the application', 'I mean', 'no', ' Enter ',' kayak ',' boyak ',' screen ',' white ',' thanks', ""]")</f>
        <v>['hi', 'update', 'Yesterday', 'no', 'enter', 'application', 'MyTelkomsel', 'update', 'enter', 'the application', 'I mean', 'no', ' Enter ',' kayak ',' boyak ',' screen ',' white ',' thanks', "]</v>
      </c>
      <c r="D19847" s="3">
        <v>2.0</v>
      </c>
    </row>
    <row r="19848" ht="15.75" customHeight="1">
      <c r="A19848" s="1">
        <v>21109.0</v>
      </c>
      <c r="B19848" s="3" t="s">
        <v>18776</v>
      </c>
      <c r="C19848" s="3" t="str">
        <f>IFERROR(__xludf.DUMMYFUNCTION("GOOGLETRANSLATE(B19848,""id"",""en"")"),"['Min', 'Please', 'Sorry', 'APK', 'Telkomsel', 'Open', 'Errr', 'truss', 'Please', 'As soon as', 'Fix', ""]")</f>
        <v>['Min', 'Please', 'Sorry', 'APK', 'Telkomsel', 'Open', 'Errr', 'truss', 'Please', 'As soon as', 'Fix', "]</v>
      </c>
      <c r="D19848" s="3">
        <v>4.0</v>
      </c>
    </row>
    <row r="19849" ht="15.75" customHeight="1">
      <c r="A19849" s="1">
        <v>21110.0</v>
      </c>
      <c r="B19849" s="3" t="s">
        <v>18777</v>
      </c>
      <c r="C19849" s="3" t="str">
        <f>IFERROR(__xludf.DUMMYFUNCTION("GOOGLETRANSLATE(B19849,""id"",""en"")"),"['WOI', 'min', 'please', 'fix', 'network', 'play', 'game', 'network', 'redhh', 'muluuu', 'quota', 'fill', ' Ngellag ',' tololong ',' min ',' fix ',' ']")</f>
        <v>['WOI', 'min', 'please', 'fix', 'network', 'play', 'game', 'network', 'redhh', 'muluuu', 'quota', 'fill', ' Ngellag ',' tololong ',' min ',' fix ',' ']</v>
      </c>
      <c r="D19849" s="3">
        <v>1.0</v>
      </c>
    </row>
    <row r="19850" ht="15.75" customHeight="1">
      <c r="A19850" s="1">
        <v>21111.0</v>
      </c>
      <c r="B19850" s="3" t="s">
        <v>18778</v>
      </c>
      <c r="C19850" s="3" t="str">
        <f>IFERROR(__xludf.DUMMYFUNCTION("GOOGLETRANSLATE(B19850,""id"",""en"")"),"['Uda', 'Install', 'Telkomsel', 'right', 'update', 'cellphone', 'Telkomsel', 'missing', 'download']")</f>
        <v>['Uda', 'Install', 'Telkomsel', 'right', 'update', 'cellphone', 'Telkomsel', 'missing', 'download']</v>
      </c>
      <c r="D19850" s="3">
        <v>1.0</v>
      </c>
    </row>
    <row r="19851" ht="15.75" customHeight="1">
      <c r="A19851" s="1">
        <v>21112.0</v>
      </c>
      <c r="B19851" s="3" t="s">
        <v>18779</v>
      </c>
      <c r="C19851" s="3" t="str">
        <f>IFERROR(__xludf.DUMMYFUNCTION("GOOGLETRANSLATE(B19851,""id"",""en"")"),"['Telkomsel', 'aware', 'expensive', 'network', 'slow', ""]")</f>
        <v>['Telkomsel', 'aware', 'expensive', 'network', 'slow', "]</v>
      </c>
      <c r="D19851" s="3">
        <v>1.0</v>
      </c>
    </row>
    <row r="19852" ht="15.75" customHeight="1">
      <c r="A19852" s="1">
        <v>21113.0</v>
      </c>
      <c r="B19852" s="3" t="s">
        <v>18780</v>
      </c>
      <c r="C19852" s="3" t="str">
        <f>IFERROR(__xludf.DUMMYFUNCTION("GOOGLETRANSLATE(B19852,""id"",""en"")"),"['updated', 'open', 'then', 'how', 'solution', 'comfortable', '']")</f>
        <v>['updated', 'open', 'then', 'how', 'solution', 'comfortable', '']</v>
      </c>
      <c r="D19852" s="3">
        <v>2.0</v>
      </c>
    </row>
    <row r="19853" ht="15.75" customHeight="1">
      <c r="A19853" s="1">
        <v>21114.0</v>
      </c>
      <c r="B19853" s="3" t="s">
        <v>18781</v>
      </c>
      <c r="C19853" s="3" t="str">
        <f>IFERROR(__xludf.DUMMYFUNCTION("GOOGLETRANSLATE(B19853,""id"",""en"")"),"['Please', 'love', 'promo', 'normal', 'card', 'expensive', 'that way', 'mkch', 'wasss', '']")</f>
        <v>['Please', 'love', 'promo', 'normal', 'card', 'expensive', 'that way', 'mkch', 'wasss', '']</v>
      </c>
      <c r="D19853" s="3">
        <v>5.0</v>
      </c>
    </row>
    <row r="19854" ht="15.75" customHeight="1">
      <c r="A19854" s="1">
        <v>21115.0</v>
      </c>
      <c r="B19854" s="3" t="s">
        <v>18782</v>
      </c>
      <c r="C19854" s="3" t="str">
        <f>IFERROR(__xludf.DUMMYFUNCTION("GOOGLETRANSLATE(B19854,""id"",""en"")"),"['Update', 'application', 'Open', 'Try', 'Many', 'Disappointed', 'Points', 'Collected', 'Lost']")</f>
        <v>['Update', 'application', 'Open', 'Try', 'Many', 'Disappointed', 'Points', 'Collected', 'Lost']</v>
      </c>
      <c r="D19854" s="3">
        <v>1.0</v>
      </c>
    </row>
    <row r="19855" ht="15.75" customHeight="1">
      <c r="A19855" s="1">
        <v>21116.0</v>
      </c>
      <c r="B19855" s="3" t="s">
        <v>18783</v>
      </c>
      <c r="C19855" s="3" t="str">
        <f>IFERROR(__xludf.DUMMYFUNCTION("GOOGLETRANSLATE(B19855,""id"",""en"")"),"['Good', 'package', 'Giganet', 'expensive', '']")</f>
        <v>['Good', 'package', 'Giganet', 'expensive', '']</v>
      </c>
      <c r="D19855" s="3">
        <v>5.0</v>
      </c>
    </row>
    <row r="19856" ht="15.75" customHeight="1">
      <c r="A19856" s="1">
        <v>21117.0</v>
      </c>
      <c r="B19856" s="3" t="s">
        <v>18784</v>
      </c>
      <c r="C19856" s="3" t="str">
        <f>IFERROR(__xludf.DUMMYFUNCTION("GOOGLETRANSLATE(B19856,""id"",""en"")"),"['Benerin', 'signal', 'ilang', 'Mulu']")</f>
        <v>['Benerin', 'signal', 'ilang', 'Mulu']</v>
      </c>
      <c r="D19856" s="3">
        <v>1.0</v>
      </c>
    </row>
    <row r="19857" ht="15.75" customHeight="1">
      <c r="A19857" s="1">
        <v>21118.0</v>
      </c>
      <c r="B19857" s="3" t="s">
        <v>18785</v>
      </c>
      <c r="C19857" s="3" t="str">
        <f>IFERROR(__xludf.DUMMYFUNCTION("GOOGLETRANSLATE(B19857,""id"",""en"")"),"['Application', 'Uldate', 'Samsung', 'Road', 'please', 'repaired', ""]")</f>
        <v>['Application', 'Uldate', 'Samsung', 'Road', 'please', 'repaired', "]</v>
      </c>
      <c r="D19857" s="3">
        <v>1.0</v>
      </c>
    </row>
    <row r="19858" ht="15.75" customHeight="1">
      <c r="A19858" s="1">
        <v>21119.0</v>
      </c>
      <c r="B19858" s="3" t="s">
        <v>18786</v>
      </c>
      <c r="C19858" s="3" t="str">
        <f>IFERROR(__xludf.DUMMYFUNCTION("GOOGLETRANSLATE(B19858,""id"",""en"")"),"['', 'Telkomsel', 'Nga', 'enter', 'Telkomsel', 'buy', 'package', 'data', 'right', 'enter', 'nga', 'enter', 'please ',' Adjust ',' Nga ',' enter ',' please ',' improvement ',' yaa ']")</f>
        <v>['', 'Telkomsel', 'Nga', 'enter', 'Telkomsel', 'buy', 'package', 'data', 'right', 'enter', 'nga', 'enter', 'please ',' Adjust ',' Nga ',' enter ',' please ',' improvement ',' yaa ']</v>
      </c>
      <c r="D19858" s="3">
        <v>2.0</v>
      </c>
    </row>
    <row r="19859" ht="15.75" customHeight="1">
      <c r="A19859" s="1">
        <v>21120.0</v>
      </c>
      <c r="B19859" s="3" t="s">
        <v>18787</v>
      </c>
      <c r="C19859" s="3" t="str">
        <f>IFERROR(__xludf.DUMMYFUNCTION("GOOGLETRANSLATE(B19859,""id"",""en"")"),"['Facilitates', 'Purchase', 'Package']")</f>
        <v>['Facilitates', 'Purchase', 'Package']</v>
      </c>
      <c r="D19859" s="3">
        <v>5.0</v>
      </c>
    </row>
    <row r="19860" ht="15.75" customHeight="1">
      <c r="A19860" s="1">
        <v>21121.0</v>
      </c>
      <c r="B19860" s="3" t="s">
        <v>18788</v>
      </c>
      <c r="C19860" s="3" t="str">
        <f>IFERROR(__xludf.DUMMYFUNCTION("GOOGLETRANSLATE(B19860,""id"",""en"")"),"['Love', 'that's like', 'signal', 'area', 'maximum', '']")</f>
        <v>['Love', 'that's like', 'signal', 'area', 'maximum', '']</v>
      </c>
      <c r="D19860" s="3">
        <v>3.0</v>
      </c>
    </row>
    <row r="19861" ht="15.75" customHeight="1">
      <c r="A19861" s="1">
        <v>21122.0</v>
      </c>
      <c r="B19861" s="3" t="s">
        <v>18789</v>
      </c>
      <c r="C19861" s="3" t="str">
        <f>IFERROR(__xludf.DUMMYFUNCTION("GOOGLETRANSLATE(B19861,""id"",""en"")"),"['Try', 'Kasi', 'Feature', 'Select', 'Package']")</f>
        <v>['Try', 'Kasi', 'Feature', 'Select', 'Package']</v>
      </c>
      <c r="D19861" s="3">
        <v>1.0</v>
      </c>
    </row>
    <row r="19862" ht="15.75" customHeight="1">
      <c r="A19862" s="1">
        <v>21123.0</v>
      </c>
      <c r="B19862" s="3" t="s">
        <v>18790</v>
      </c>
      <c r="C19862" s="3" t="str">
        <f>IFERROR(__xludf.DUMMYFUNCTION("GOOGLETRANSLATE(B19862,""id"",""en"")"),"['package', 'internet', 'expensive', 'please', 'check', 'friend', 'cheap', 'mosok', 'GB', 'price', 'one hundred', 'thousand']")</f>
        <v>['package', 'internet', 'expensive', 'please', 'check', 'friend', 'cheap', 'mosok', 'GB', 'price', 'one hundred', 'thousand']</v>
      </c>
      <c r="D19862" s="3">
        <v>1.0</v>
      </c>
    </row>
    <row r="19863" ht="15.75" customHeight="1">
      <c r="A19863" s="1">
        <v>21124.0</v>
      </c>
      <c r="B19863" s="3" t="s">
        <v>18791</v>
      </c>
      <c r="C19863" s="3" t="str">
        <f>IFERROR(__xludf.DUMMYFUNCTION("GOOGLETRANSLATE(B19863,""id"",""en"")"),"['knapa', 'likksel', 'opened', ""]")</f>
        <v>['knapa', 'likksel', 'opened', "]</v>
      </c>
      <c r="D19863" s="3">
        <v>3.0</v>
      </c>
    </row>
    <row r="19864" ht="15.75" customHeight="1">
      <c r="A19864" s="1">
        <v>21125.0</v>
      </c>
      <c r="B19864" s="3" t="s">
        <v>18792</v>
      </c>
      <c r="C19864" s="3" t="str">
        <f>IFERROR(__xludf.DUMMYFUNCTION("GOOGLETRANSLATE(B19864,""id"",""en"")"),"['application', 'company', 'application', 'poor', 'hbs',' update ',' nda ',' open ',' cmn ',' screen ',' white ',' uninstall ',' Install ',' reset ',' brp ',' times', 'msh', 'screen', 'white', 'poor']")</f>
        <v>['application', 'company', 'application', 'poor', 'hbs',' update ',' nda ',' open ',' cmn ',' screen ',' white ',' uninstall ',' Install ',' reset ',' brp ',' times', 'msh', 'screen', 'white', 'poor']</v>
      </c>
      <c r="D19864" s="3">
        <v>1.0</v>
      </c>
    </row>
    <row r="19865" ht="15.75" customHeight="1">
      <c r="A19865" s="1">
        <v>21126.0</v>
      </c>
      <c r="B19865" s="3" t="s">
        <v>15872</v>
      </c>
      <c r="C19865" s="3" t="str">
        <f>IFERROR(__xludf.DUMMYFUNCTION("GOOGLETRANSLATE(B19865,""id"",""en"")"),"['Knpa', 'opened']")</f>
        <v>['Knpa', 'opened']</v>
      </c>
      <c r="D19865" s="3">
        <v>5.0</v>
      </c>
    </row>
    <row r="19866" ht="15.75" customHeight="1">
      <c r="A19866" s="1">
        <v>21127.0</v>
      </c>
      <c r="B19866" s="3" t="s">
        <v>18793</v>
      </c>
      <c r="C19866" s="3" t="str">
        <f>IFERROR(__xludf.DUMMYFUNCTION("GOOGLETRANSLATE(B19866,""id"",""en"")"),"['Updated', 'Support', 'in all', ""]")</f>
        <v>['Updated', 'Support', 'in all', "]</v>
      </c>
      <c r="D19866" s="3">
        <v>1.0</v>
      </c>
    </row>
    <row r="19867" ht="15.75" customHeight="1">
      <c r="A19867" s="1">
        <v>21128.0</v>
      </c>
      <c r="B19867" s="3" t="s">
        <v>18794</v>
      </c>
      <c r="C19867" s="3" t="str">
        <f>IFERROR(__xludf.DUMMYFUNCTION("GOOGLETRANSLATE(B19867,""id"",""en"")"),"['Network', 'missing', 'already', 'situ', 'expensive', 'network', 'ugly', 'really', '']")</f>
        <v>['Network', 'missing', 'already', 'situ', 'expensive', 'network', 'ugly', 'really', '']</v>
      </c>
      <c r="D19867" s="3">
        <v>2.0</v>
      </c>
    </row>
    <row r="19868" ht="15.75" customHeight="1">
      <c r="A19868" s="1">
        <v>21130.0</v>
      </c>
      <c r="B19868" s="3" t="s">
        <v>18795</v>
      </c>
      <c r="C19868" s="3" t="str">
        <f>IFERROR(__xludf.DUMMYFUNCTION("GOOGLETRANSLATE(B19868,""id"",""en"")"),"['Telkomsel', 'contents',' reset ',' pulse ',' notif ',' home ',' check ',' left ',' suck ',' pulse ',' confirm ',' use ',' pulse ',' check ',' borrow ',' pulse ',' emergency ',' please ',' explanation ',' open ',' difficult ',' st-gh ',' die ',' beg ',' "&amp;"explanation ' , 'Change', 'Provider', '']")</f>
        <v>['Telkomsel', 'contents',' reset ',' pulse ',' notif ',' home ',' check ',' left ',' suck ',' pulse ',' confirm ',' use ',' pulse ',' check ',' borrow ',' pulse ',' emergency ',' please ',' explanation ',' open ',' difficult ',' st-gh ',' die ',' beg ',' explanation ' , 'Change', 'Provider', '']</v>
      </c>
      <c r="D19868" s="3">
        <v>2.0</v>
      </c>
    </row>
    <row r="19869" ht="15.75" customHeight="1">
      <c r="A19869" s="1">
        <v>21131.0</v>
      </c>
      <c r="B19869" s="3" t="s">
        <v>18796</v>
      </c>
      <c r="C19869" s="3" t="str">
        <f>IFERROR(__xludf.DUMMYFUNCTION("GOOGLETRANSLATE(B19869,""id"",""en"")"),"['Download', 'please', 'repaired']")</f>
        <v>['Download', 'please', 'repaired']</v>
      </c>
      <c r="D19869" s="3">
        <v>1.0</v>
      </c>
    </row>
    <row r="19870" ht="15.75" customHeight="1">
      <c r="A19870" s="1">
        <v>21132.0</v>
      </c>
      <c r="B19870" s="3" t="s">
        <v>18797</v>
      </c>
      <c r="C19870" s="3" t="str">
        <f>IFERROR(__xludf.DUMMYFUNCTION("GOOGLETRANSLATE(B19870,""id"",""en"")"),"['Package', 'expensive', 'kouta', 'gembel']")</f>
        <v>['Package', 'expensive', 'kouta', 'gembel']</v>
      </c>
      <c r="D19870" s="3">
        <v>5.0</v>
      </c>
    </row>
    <row r="19871" ht="15.75" customHeight="1">
      <c r="A19871" s="1">
        <v>21133.0</v>
      </c>
      <c r="B19871" s="3" t="s">
        <v>18798</v>
      </c>
      <c r="C19871" s="3" t="str">
        <f>IFERROR(__xludf.DUMMYFUNCTION("GOOGLETRANSLATE(B19871,""id"",""en"")"),"['Steady', 'The network']")</f>
        <v>['Steady', 'The network']</v>
      </c>
      <c r="D19871" s="3">
        <v>5.0</v>
      </c>
    </row>
    <row r="19872" ht="15.75" customHeight="1">
      <c r="A19872" s="1">
        <v>21134.0</v>
      </c>
      <c r="B19872" s="3" t="s">
        <v>18799</v>
      </c>
      <c r="C19872" s="3" t="str">
        <f>IFERROR(__xludf.DUMMYFUNCTION("GOOGLETRANSLATE(B19872,""id"",""en"")"),"['', 'MyTelkomsel', 'skrng', 'difficult', 'bnget', 'open', 'application', 'respond', 'jdi', 'difficult', 'buy', 'quota', 'yng ',' Payment ',' Gopay ',' ']")</f>
        <v>['', 'MyTelkomsel', 'skrng', 'difficult', 'bnget', 'open', 'application', 'respond', 'jdi', 'difficult', 'buy', 'quota', 'yng ',' Payment ',' Gopay ',' ']</v>
      </c>
      <c r="D19872" s="3">
        <v>2.0</v>
      </c>
    </row>
    <row r="19873" ht="15.75" customHeight="1">
      <c r="A19873" s="1">
        <v>21135.0</v>
      </c>
      <c r="B19873" s="3" t="s">
        <v>18800</v>
      </c>
      <c r="C19873" s="3" t="str">
        <f>IFERROR(__xludf.DUMMYFUNCTION("GOOGLETRANSLATE(B19873,""id"",""en"")"),"['Lally', 'promo', 'giganet', 'min']")</f>
        <v>['Lally', 'promo', 'giganet', 'min']</v>
      </c>
      <c r="D19873" s="3">
        <v>5.0</v>
      </c>
    </row>
    <row r="19874" ht="15.75" customHeight="1">
      <c r="A19874" s="1">
        <v>21136.0</v>
      </c>
      <c r="B19874" s="3" t="s">
        <v>18801</v>
      </c>
      <c r="C19874" s="3" t="str">
        <f>IFERROR(__xludf.DUMMYFUNCTION("GOOGLETRANSLATE(B19874,""id"",""en"")"),"['no', 'loading', 'game', 'right', 'play', 'enter', 'game', 'right', 'already', 'finished', 'parahh', ""]")</f>
        <v>['no', 'loading', 'game', 'right', 'play', 'enter', 'game', 'right', 'already', 'finished', 'parahh', "]</v>
      </c>
      <c r="D19874" s="3">
        <v>1.0</v>
      </c>
    </row>
    <row r="19875" ht="15.75" customHeight="1">
      <c r="A19875" s="1">
        <v>21137.0</v>
      </c>
      <c r="B19875" s="3" t="s">
        <v>18802</v>
      </c>
      <c r="C19875" s="3" t="str">
        <f>IFERROR(__xludf.DUMMYFUNCTION("GOOGLETRANSLATE(B19875,""id"",""en"")"),"['Good', 'ngeapain', 'see', 'already', 'good']")</f>
        <v>['Good', 'ngeapain', 'see', 'already', 'good']</v>
      </c>
      <c r="D19875" s="3">
        <v>5.0</v>
      </c>
    </row>
    <row r="19876" ht="15.75" customHeight="1">
      <c r="A19876" s="1">
        <v>21138.0</v>
      </c>
      <c r="B19876" s="3" t="s">
        <v>18803</v>
      </c>
      <c r="C19876" s="3" t="str">
        <f>IFERROR(__xludf.DUMMYFUNCTION("GOOGLETRANSLATE(B19876,""id"",""en"")"),"['Please', 'Network', 'Bad', 'Internet', 'Please', 'Bangett', 'Help', 'Telkomsel']")</f>
        <v>['Please', 'Network', 'Bad', 'Internet', 'Please', 'Bangett', 'Help', 'Telkomsel']</v>
      </c>
      <c r="D19876" s="3">
        <v>3.0</v>
      </c>
    </row>
    <row r="19877" ht="15.75" customHeight="1">
      <c r="A19877" s="1">
        <v>21139.0</v>
      </c>
      <c r="B19877" s="3" t="s">
        <v>18804</v>
      </c>
      <c r="C19877" s="3" t="str">
        <f>IFERROR(__xludf.DUMMYFUNCTION("GOOGLETRANSLATE(B19877,""id"",""en"")"),"['Ngeggame', 'tasty', 'repair', 'skali']")</f>
        <v>['Ngeggame', 'tasty', 'repair', 'skali']</v>
      </c>
      <c r="D19877" s="3">
        <v>1.0</v>
      </c>
    </row>
    <row r="19878" ht="15.75" customHeight="1">
      <c r="A19878" s="1">
        <v>21140.0</v>
      </c>
      <c r="B19878" s="3" t="s">
        <v>18805</v>
      </c>
      <c r="C19878" s="3" t="str">
        <f>IFERROR(__xludf.DUMMYFUNCTION("GOOGLETRANSLATE(B19878,""id"",""en"")"),"['why', 'package', 'quota', 'Different', 'Different']")</f>
        <v>['why', 'package', 'quota', 'Different', 'Different']</v>
      </c>
      <c r="D19878" s="3">
        <v>2.0</v>
      </c>
    </row>
    <row r="19879" ht="15.75" customHeight="1">
      <c r="A19879" s="1">
        <v>21141.0</v>
      </c>
      <c r="B19879" s="3" t="s">
        <v>18806</v>
      </c>
      <c r="C19879" s="3" t="str">
        <f>IFERROR(__xludf.DUMMYFUNCTION("GOOGLETRANSLATE(B19879,""id"",""en"")"),"['Stay', 'Multimedia', 'Multimedia', 'smooth', 'turn', 'Fill', 'Package', 'Full', 'Unlimited', 'Ngelag', 'Maen', 'Game', ' MOBA ',' Analog ',' Jumping ',' Region ',' Palembang ',' Please ',' Check ', ""]")</f>
        <v>['Stay', 'Multimedia', 'Multimedia', 'smooth', 'turn', 'Fill', 'Package', 'Full', 'Unlimited', 'Ngelag', 'Maen', 'Game', ' MOBA ',' Analog ',' Jumping ',' Region ',' Palembang ',' Please ',' Check ', "]</v>
      </c>
      <c r="D19879" s="3">
        <v>1.0</v>
      </c>
    </row>
    <row r="19880" ht="15.75" customHeight="1">
      <c r="A19880" s="1">
        <v>21142.0</v>
      </c>
      <c r="B19880" s="3" t="s">
        <v>18807</v>
      </c>
      <c r="C19880" s="3" t="str">
        <f>IFERROR(__xludf.DUMMYFUNCTION("GOOGLETRANSLATE(B19880,""id"",""en"")"),"['Redownload', 'Yesterday', 'Abis', 'update', 'device', 'application', 'ngilan']")</f>
        <v>['Redownload', 'Yesterday', 'Abis', 'update', 'device', 'application', 'ngilan']</v>
      </c>
      <c r="D19880" s="3">
        <v>3.0</v>
      </c>
    </row>
    <row r="19881" ht="15.75" customHeight="1">
      <c r="A19881" s="1">
        <v>21143.0</v>
      </c>
      <c r="B19881" s="3" t="s">
        <v>18808</v>
      </c>
      <c r="C19881" s="3" t="str">
        <f>IFERROR(__xludf.DUMMYFUNCTION("GOOGLETRANSLATE(B19881,""id"",""en"")"),"['easy', 'trans', 'witness']")</f>
        <v>['easy', 'trans', 'witness']</v>
      </c>
      <c r="D19881" s="3">
        <v>5.0</v>
      </c>
    </row>
    <row r="19882" ht="15.75" customHeight="1">
      <c r="A19882" s="1">
        <v>21144.0</v>
      </c>
      <c r="B19882" s="3" t="s">
        <v>18809</v>
      </c>
      <c r="C19882" s="3" t="str">
        <f>IFERROR(__xludf.DUMMYFUNCTION("GOOGLETRANSLATE(B19882,""id"",""en"")"),"['apps', 'heavy', 'bangeettt']")</f>
        <v>['apps', 'heavy', 'bangeettt']</v>
      </c>
      <c r="D19882" s="3">
        <v>2.0</v>
      </c>
    </row>
    <row r="19883" ht="15.75" customHeight="1">
      <c r="A19883" s="1">
        <v>21147.0</v>
      </c>
      <c r="B19883" s="3" t="s">
        <v>18810</v>
      </c>
      <c r="C19883" s="3" t="str">
        <f>IFERROR(__xludf.DUMMYFUNCTION("GOOGLETRANSLATE(B19883,""id"",""en"")"),"['Downloaded', 'failed', 'installed', 'it events',' Samsung ',' update ',' software ',' December ',' hope ',' admin ',' read ',' repaired ',' Please ',' response ',' ']")</f>
        <v>['Downloaded', 'failed', 'installed', 'it events',' Samsung ',' update ',' software ',' December ',' hope ',' admin ',' read ',' repaired ',' Please ',' response ',' ']</v>
      </c>
      <c r="D19883" s="3">
        <v>1.0</v>
      </c>
    </row>
    <row r="19884" ht="15.75" customHeight="1">
      <c r="A19884" s="1">
        <v>21149.0</v>
      </c>
      <c r="B19884" s="3" t="s">
        <v>18811</v>
      </c>
      <c r="C19884" s="3" t="str">
        <f>IFERROR(__xludf.DUMMYFUNCTION("GOOGLETRANSLATE(B19884,""id"",""en"")"),"['Provider', 'Best', 'National']")</f>
        <v>['Provider', 'Best', 'National']</v>
      </c>
      <c r="D19884" s="3">
        <v>5.0</v>
      </c>
    </row>
    <row r="19885" ht="15.75" customHeight="1">
      <c r="A19885" s="1">
        <v>21150.0</v>
      </c>
      <c r="B19885" s="3" t="s">
        <v>18812</v>
      </c>
      <c r="C19885" s="3" t="str">
        <f>IFERROR(__xludf.DUMMYFUNCTION("GOOGLETRANSLATE(B19885,""id"",""en"")"),"['', 'Open', 'dumbfound']")</f>
        <v>['', 'Open', 'dumbfound']</v>
      </c>
      <c r="D19885" s="3">
        <v>1.0</v>
      </c>
    </row>
    <row r="19886" ht="15.75" customHeight="1">
      <c r="A19886" s="1">
        <v>21151.0</v>
      </c>
      <c r="B19886" s="3" t="s">
        <v>18813</v>
      </c>
      <c r="C19886" s="3" t="str">
        <f>IFERROR(__xludf.DUMMYFUNCTION("GOOGLETRANSLATE(B19886,""id"",""en"")"),"['Application', 'Telkomsel', 'Install', 'Ber', 'Times', 'Times', 'Try', '']")</f>
        <v>['Application', 'Telkomsel', 'Install', 'Ber', 'Times', 'Times', 'Try', '']</v>
      </c>
      <c r="D19886" s="3">
        <v>1.0</v>
      </c>
    </row>
    <row r="19887" ht="15.75" customHeight="1">
      <c r="A19887" s="1">
        <v>21152.0</v>
      </c>
      <c r="B19887" s="3" t="s">
        <v>18814</v>
      </c>
      <c r="C19887" s="3" t="str">
        <f>IFERROR(__xludf.DUMMYFUNCTION("GOOGLETRANSLATE(B19887,""id"",""en"")"),"['The application', 'Nastyl', 'then', 'downlod', 'many', 'times', 'try', 'please', 'fix']")</f>
        <v>['The application', 'Nastyl', 'then', 'downlod', 'many', 'times', 'try', 'please', 'fix']</v>
      </c>
      <c r="D19887" s="3">
        <v>1.0</v>
      </c>
    </row>
    <row r="19888" ht="15.75" customHeight="1">
      <c r="A19888" s="1">
        <v>21153.0</v>
      </c>
      <c r="B19888" s="3" t="s">
        <v>18815</v>
      </c>
      <c r="C19888" s="3" t="str">
        <f>IFERROR(__xludf.DUMMYFUNCTION("GOOGLETRANSLATE(B19888,""id"",""en"")"),"['Force', 'close', 'poor', 'update', '']")</f>
        <v>['Force', 'close', 'poor', 'update', '']</v>
      </c>
      <c r="D19888" s="3">
        <v>1.0</v>
      </c>
    </row>
    <row r="19889" ht="15.75" customHeight="1">
      <c r="A19889" s="1">
        <v>21154.0</v>
      </c>
      <c r="B19889" s="3" t="s">
        <v>18816</v>
      </c>
      <c r="C19889" s="3" t="str">
        <f>IFERROR(__xludf.DUMMYFUNCTION("GOOGLETRANSLATE(B19889,""id"",""en"")"),"['Application', 'opened', 'tired', 'deh']")</f>
        <v>['Application', 'opened', 'tired', 'deh']</v>
      </c>
      <c r="D19889" s="3">
        <v>1.0</v>
      </c>
    </row>
    <row r="19890" ht="15.75" customHeight="1">
      <c r="A19890" s="1">
        <v>21156.0</v>
      </c>
      <c r="B19890" s="3" t="s">
        <v>18817</v>
      </c>
      <c r="C19890" s="3" t="str">
        <f>IFERROR(__xludf.DUMMYFUNCTION("GOOGLETRANSLATE(B19890,""id"",""en"")"),"['Contents',' pulse ',' rb ',' buy ',' package ',' combo ',' max ',' GB ',' a month ',' open ',' application ',' Telkomsel ',' buy ',' package ',' combo ',' data ',' thousand ',' missing ',' vain ',' vain ',' open ',' application ',' telkomsel ',' wifi ',"&amp;"' open ' , 'application', 'loading', 'data', 'ilang', 'thousand', 'gini', 'take', 'make', 'price', 'thousand', 'return', 'thousand', ' is lost']")</f>
        <v>['Contents',' pulse ',' rb ',' buy ',' package ',' combo ',' max ',' GB ',' a month ',' open ',' application ',' Telkomsel ',' buy ',' package ',' combo ',' data ',' thousand ',' missing ',' vain ',' vain ',' open ',' application ',' telkomsel ',' wifi ',' open ' , 'application', 'loading', 'data', 'ilang', 'thousand', 'gini', 'take', 'make', 'price', 'thousand', 'return', 'thousand', ' is lost']</v>
      </c>
      <c r="D19890" s="3">
        <v>1.0</v>
      </c>
    </row>
    <row r="19891" ht="15.75" customHeight="1">
      <c r="A19891" s="1">
        <v>21157.0</v>
      </c>
      <c r="B19891" s="3" t="s">
        <v>18818</v>
      </c>
      <c r="C19891" s="3" t="str">
        <f>IFERROR(__xludf.DUMMYFUNCTION("GOOGLETRANSLATE(B19891,""id"",""en"")"),"['easy', 'buy', 'package']")</f>
        <v>['easy', 'buy', 'package']</v>
      </c>
      <c r="D19891" s="3">
        <v>5.0</v>
      </c>
    </row>
    <row r="19892" ht="15.75" customHeight="1">
      <c r="A19892" s="1">
        <v>21158.0</v>
      </c>
      <c r="B19892" s="3" t="s">
        <v>18819</v>
      </c>
      <c r="C19892" s="3" t="str">
        <f>IFERROR(__xludf.DUMMYFUNCTION("GOOGLETRANSLATE(B19892,""id"",""en"")"),"['Contents', 'Credit', 'Cut', 'Subscribe', 'Whatever', 'Pekahhh']")</f>
        <v>['Contents', 'Credit', 'Cut', 'Subscribe', 'Whatever', 'Pekahhh']</v>
      </c>
      <c r="D19892" s="3">
        <v>1.0</v>
      </c>
    </row>
    <row r="19893" ht="15.75" customHeight="1">
      <c r="A19893" s="1">
        <v>21159.0</v>
      </c>
      <c r="B19893" s="3" t="s">
        <v>18820</v>
      </c>
      <c r="C19893" s="3" t="str">
        <f>IFERROR(__xludf.DUMMYFUNCTION("GOOGLETRANSLATE(B19893,""id"",""en"")"),"['Provider', 'package', 'expensive', 'signal', 'ugly', 'really', 'garbage']")</f>
        <v>['Provider', 'package', 'expensive', 'signal', 'ugly', 'really', 'garbage']</v>
      </c>
      <c r="D19893" s="3">
        <v>1.0</v>
      </c>
    </row>
    <row r="19894" ht="15.75" customHeight="1">
      <c r="A19894" s="1">
        <v>21161.0</v>
      </c>
      <c r="B19894" s="3" t="s">
        <v>18821</v>
      </c>
      <c r="C19894" s="3" t="str">
        <f>IFERROR(__xludf.DUMMYFUNCTION("GOOGLETRANSLATE(B19894,""id"",""en"")"),"['satisfying', 'Customer', '']")</f>
        <v>['satisfying', 'Customer', '']</v>
      </c>
      <c r="D19894" s="3">
        <v>5.0</v>
      </c>
    </row>
    <row r="19895" ht="15.75" customHeight="1">
      <c r="A19895" s="1">
        <v>21162.0</v>
      </c>
      <c r="B19895" s="3" t="s">
        <v>18822</v>
      </c>
      <c r="C19895" s="3" t="str">
        <f>IFERROR(__xludf.DUMMYFUNCTION("GOOGLETRANSLATE(B19895,""id"",""en"")"),"['Increase', 'strength', 'network', 'remote', 'village']")</f>
        <v>['Increase', 'strength', 'network', 'remote', 'village']</v>
      </c>
      <c r="D19895" s="3">
        <v>4.0</v>
      </c>
    </row>
    <row r="19896" ht="15.75" customHeight="1">
      <c r="A19896" s="1">
        <v>21163.0</v>
      </c>
      <c r="B19896" s="3" t="s">
        <v>18823</v>
      </c>
      <c r="C19896" s="3" t="str">
        <f>IFERROR(__xludf.DUMMYFUNCTION("GOOGLETRANSLATE(B19896,""id"",""en"")"),"['application', 'promo', 'sometimes', 'bug', 'detrimental']")</f>
        <v>['application', 'promo', 'sometimes', 'bug', 'detrimental']</v>
      </c>
      <c r="D19896" s="3">
        <v>3.0</v>
      </c>
    </row>
    <row r="19897" ht="15.75" customHeight="1">
      <c r="A19897" s="1">
        <v>21164.0</v>
      </c>
      <c r="B19897" s="3" t="s">
        <v>18824</v>
      </c>
      <c r="C19897" s="3" t="str">
        <f>IFERROR(__xludf.DUMMYFUNCTION("GOOGLETRANSLATE(B19897,""id"",""en"")"),"['Msuk', 'MyTelkomsel']")</f>
        <v>['Msuk', 'MyTelkomsel']</v>
      </c>
      <c r="D19897" s="3">
        <v>2.0</v>
      </c>
    </row>
    <row r="19898" ht="15.75" customHeight="1">
      <c r="A19898" s="1">
        <v>21165.0</v>
      </c>
      <c r="B19898" s="3" t="s">
        <v>18825</v>
      </c>
      <c r="C19898" s="3" t="str">
        <f>IFERROR(__xludf.DUMMYFUNCTION("GOOGLETRANSLATE(B19898,""id"",""en"")"),"['Semau', '']")</f>
        <v>['Semau', '']</v>
      </c>
      <c r="D19898" s="3">
        <v>1.0</v>
      </c>
    </row>
    <row r="19899" ht="15.75" customHeight="1">
      <c r="A19899" s="1">
        <v>21166.0</v>
      </c>
      <c r="B19899" s="3" t="s">
        <v>18826</v>
      </c>
      <c r="C19899" s="3" t="str">
        <f>IFERROR(__xludf.DUMMYFUNCTION("GOOGLETRANSLATE(B19899,""id"",""en"")"),"['refurbished', 'go', 'gmn']")</f>
        <v>['refurbished', 'go', 'gmn']</v>
      </c>
      <c r="D19899" s="3">
        <v>1.0</v>
      </c>
    </row>
    <row r="19900" ht="15.75" customHeight="1">
      <c r="A19900" s="1">
        <v>21167.0</v>
      </c>
      <c r="B19900" s="3" t="s">
        <v>18827</v>
      </c>
      <c r="C19900" s="3" t="str">
        <f>IFERROR(__xludf.DUMMYFUNCTION("GOOGLETRANSLATE(B19900,""id"",""en"")"),"['', 'The application', 'Open', '']")</f>
        <v>['', 'The application', 'Open', '']</v>
      </c>
      <c r="D19900" s="3">
        <v>5.0</v>
      </c>
    </row>
    <row r="19901" ht="15.75" customHeight="1">
      <c r="A19901" s="1">
        <v>21168.0</v>
      </c>
      <c r="B19901" s="3" t="s">
        <v>659</v>
      </c>
      <c r="C19901" s="3" t="str">
        <f>IFERROR(__xludf.DUMMYFUNCTION("GOOGLETRANSLATE(B19901,""id"",""en"")"),"['Application', 'Help']")</f>
        <v>['Application', 'Help']</v>
      </c>
      <c r="D19901" s="3">
        <v>5.0</v>
      </c>
    </row>
    <row r="19902" ht="15.75" customHeight="1">
      <c r="A19902" s="1">
        <v>21169.0</v>
      </c>
      <c r="B19902" s="3" t="s">
        <v>18828</v>
      </c>
      <c r="C19902" s="3" t="str">
        <f>IFERROR(__xludf.DUMMYFUNCTION("GOOGLETRANSLATE(B19902,""id"",""en"")"),"['Please', 'data', 'free', 'like', 'friend', 'sya']")</f>
        <v>['Please', 'data', 'free', 'like', 'friend', 'sya']</v>
      </c>
      <c r="D19902" s="3">
        <v>5.0</v>
      </c>
    </row>
    <row r="19903" ht="15.75" customHeight="1">
      <c r="A19903" s="1">
        <v>21170.0</v>
      </c>
      <c r="B19903" s="3" t="s">
        <v>18829</v>
      </c>
      <c r="C19903" s="3" t="str">
        <f>IFERROR(__xludf.DUMMYFUNCTION("GOOGLETRANSLATE(B19903,""id"",""en"")"),"['boss']")</f>
        <v>['boss']</v>
      </c>
      <c r="D19903" s="3">
        <v>3.0</v>
      </c>
    </row>
    <row r="19904" ht="15.75" customHeight="1">
      <c r="A19904" s="1">
        <v>21171.0</v>
      </c>
      <c r="B19904" s="3" t="s">
        <v>18830</v>
      </c>
      <c r="C19904" s="3" t="str">
        <f>IFERROR(__xludf.DUMMYFUNCTION("GOOGLETRANSLATE(B19904,""id"",""en"")"),"['Knp', 'Telkomsel', 'upgrade', 'gabisa', 'opened', '']")</f>
        <v>['Knp', 'Telkomsel', 'upgrade', 'gabisa', 'opened', '']</v>
      </c>
      <c r="D19904" s="3">
        <v>1.0</v>
      </c>
    </row>
    <row r="19905" ht="15.75" customHeight="1">
      <c r="A19905" s="1">
        <v>21172.0</v>
      </c>
      <c r="B19905" s="3" t="s">
        <v>18831</v>
      </c>
      <c r="C19905" s="3" t="str">
        <f>IFERROR(__xludf.DUMMYFUNCTION("GOOGLETRANSLATE(B19905,""id"",""en"")"),"['Telkomsel', 'disappointing', 'signal', 'difficult', 'comfortable', 'please', 'fix', 'net', 'Langanan', 'veryekee']")</f>
        <v>['Telkomsel', 'disappointing', 'signal', 'difficult', 'comfortable', 'please', 'fix', 'net', 'Langanan', 'veryekee']</v>
      </c>
      <c r="D19905" s="3">
        <v>1.0</v>
      </c>
    </row>
    <row r="19906" ht="15.75" customHeight="1">
      <c r="A19906" s="1">
        <v>21173.0</v>
      </c>
      <c r="B19906" s="3" t="s">
        <v>18832</v>
      </c>
      <c r="C19906" s="3" t="str">
        <f>IFERROR(__xludf.DUMMYFUNCTION("GOOGLETRANSLATE(B19906,""id"",""en"")"),"['Please', 'Telkomsel', 'Fix', 'APK', 'Open', 'APK', 'White', 'Screen', 'Open', 'Please', 'Fix', '']")</f>
        <v>['Please', 'Telkomsel', 'Fix', 'APK', 'Open', 'APK', 'White', 'Screen', 'Open', 'Please', 'Fix', '']</v>
      </c>
      <c r="D19906" s="3">
        <v>1.0</v>
      </c>
    </row>
    <row r="19907" ht="15.75" customHeight="1">
      <c r="A19907" s="1">
        <v>21174.0</v>
      </c>
      <c r="B19907" s="3" t="s">
        <v>18833</v>
      </c>
      <c r="C19907" s="3" t="str">
        <f>IFERROR(__xludf.DUMMYFUNCTION("GOOGLETRANSLATE(B19907,""id"",""en"")"),"['thank', 'love', 'tsel', 'quality', 'ready', 'ngegame', 'smooth', 'Jaya', ""]")</f>
        <v>['thank', 'love', 'tsel', 'quality', 'ready', 'ngegame', 'smooth', 'Jaya', "]</v>
      </c>
      <c r="D19907" s="3">
        <v>5.0</v>
      </c>
    </row>
    <row r="19908" ht="15.75" customHeight="1">
      <c r="A19908" s="1">
        <v>21175.0</v>
      </c>
      <c r="B19908" s="3" t="s">
        <v>18834</v>
      </c>
      <c r="C19908" s="3" t="str">
        <f>IFERROR(__xludf.DUMMYFUNCTION("GOOGLETRANSLATE(B19908,""id"",""en"")"),"['Paketan', 'Data', 'expensive', 'GB', 'just', 'GB', ""]")</f>
        <v>['Paketan', 'Data', 'expensive', 'GB', 'just', 'GB', "]</v>
      </c>
      <c r="D19908" s="3">
        <v>2.0</v>
      </c>
    </row>
    <row r="19909" ht="15.75" customHeight="1">
      <c r="A19909" s="1">
        <v>21176.0</v>
      </c>
      <c r="B19909" s="3" t="s">
        <v>18835</v>
      </c>
      <c r="C19909" s="3" t="str">
        <f>IFERROR(__xludf.DUMMYFUNCTION("GOOGLETRANSLATE(B19909,""id"",""en"")"),"['Bug', 'Loading', 'Check', 'Loading', 'Awaited', 'Loading', 'Muter', 'Please', 'Fix', 'Make', 'Consumer', 'Comfortable', ' application']")</f>
        <v>['Bug', 'Loading', 'Check', 'Loading', 'Awaited', 'Loading', 'Muter', 'Please', 'Fix', 'Make', 'Consumer', 'Comfortable', ' application']</v>
      </c>
      <c r="D19909" s="3">
        <v>2.0</v>
      </c>
    </row>
    <row r="19910" ht="15.75" customHeight="1">
      <c r="A19910" s="1">
        <v>21177.0</v>
      </c>
      <c r="B19910" s="3" t="s">
        <v>18836</v>
      </c>
      <c r="C19910" s="3" t="str">
        <f>IFERROR(__xludf.DUMMYFUNCTION("GOOGLETRANSLATE(B19910,""id"",""en"")"),"['Disappointed', 'open', 'date', 'Sep', 'boro', 'open', 'told', 'contact', '']")</f>
        <v>['Disappointed', 'open', 'date', 'Sep', 'boro', 'open', 'told', 'contact', '']</v>
      </c>
      <c r="D19910" s="3">
        <v>1.0</v>
      </c>
    </row>
    <row r="19911" ht="15.75" customHeight="1">
      <c r="A19911" s="1">
        <v>21178.0</v>
      </c>
      <c r="B19911" s="3" t="s">
        <v>18837</v>
      </c>
      <c r="C19911" s="3" t="str">
        <f>IFERROR(__xludf.DUMMYFUNCTION("GOOGLETRANSLATE(B19911,""id"",""en"")"),"['buy', 'package', 'gacha', 'package', 'expensive', 'signal', 'slow']")</f>
        <v>['buy', 'package', 'gacha', 'package', 'expensive', 'signal', 'slow']</v>
      </c>
      <c r="D19911" s="3">
        <v>1.0</v>
      </c>
    </row>
    <row r="19912" ht="15.75" customHeight="1">
      <c r="A19912" s="1">
        <v>21180.0</v>
      </c>
      <c r="B19912" s="3" t="s">
        <v>18838</v>
      </c>
      <c r="C19912" s="3" t="str">
        <f>IFERROR(__xludf.DUMMYFUNCTION("GOOGLETRANSLATE(B19912,""id"",""en"")"),"['Update', 'Musti', 'cellphone', 'bits',' cellphone ',' bits', 'blank', 'white', 'abis',' update ',' right ',' moved ',' Bit ',' Normal ',' Times', 'Update', 'Mandatory', 'Bit', 'Notification', '']")</f>
        <v>['Update', 'Musti', 'cellphone', 'bits',' cellphone ',' bits', 'blank', 'white', 'abis',' update ',' right ',' moved ',' Bit ',' Normal ',' Times', 'Update', 'Mandatory', 'Bit', 'Notification', '']</v>
      </c>
      <c r="D19912" s="3">
        <v>4.0</v>
      </c>
    </row>
    <row r="19913" ht="15.75" customHeight="1">
      <c r="A19913" s="1">
        <v>21181.0</v>
      </c>
      <c r="B19913" s="3" t="s">
        <v>18839</v>
      </c>
      <c r="C19913" s="3" t="str">
        <f>IFERROR(__xludf.DUMMYFUNCTION("GOOGLETRANSLATE(B19913,""id"",""en"")"),"['Application', 'Telkomsel', 'Uninstall', 'right', 'Install', 'reset', ""]")</f>
        <v>['Application', 'Telkomsel', 'Uninstall', 'right', 'Install', 'reset', "]</v>
      </c>
      <c r="D19913" s="3">
        <v>3.0</v>
      </c>
    </row>
    <row r="19914" ht="15.75" customHeight="1">
      <c r="A19914" s="1">
        <v>21182.0</v>
      </c>
      <c r="B19914" s="3" t="s">
        <v>18840</v>
      </c>
      <c r="C19914" s="3" t="str">
        <f>IFERROR(__xludf.DUMMYFUNCTION("GOOGLETRANSLATE(B19914,""id"",""en"")"),"['Since', 'updated', 'opened', 'application', 'Uninstall', 'no', 'open']")</f>
        <v>['Since', 'updated', 'opened', 'application', 'Uninstall', 'no', 'open']</v>
      </c>
      <c r="D19914" s="3">
        <v>1.0</v>
      </c>
    </row>
    <row r="19915" ht="15.75" customHeight="1">
      <c r="A19915" s="1">
        <v>21183.0</v>
      </c>
      <c r="B19915" s="3" t="s">
        <v>18841</v>
      </c>
      <c r="C19915" s="3" t="str">
        <f>IFERROR(__xludf.DUMMYFUNCTION("GOOGLETRANSLATE(B19915,""id"",""en"")"),"['Bad', 'opened', 'Application']")</f>
        <v>['Bad', 'opened', 'Application']</v>
      </c>
      <c r="D19915" s="3">
        <v>1.0</v>
      </c>
    </row>
    <row r="19916" ht="15.75" customHeight="1">
      <c r="A19916" s="1">
        <v>21184.0</v>
      </c>
      <c r="B19916" s="3" t="s">
        <v>18842</v>
      </c>
      <c r="C19916" s="3" t="str">
        <f>IFERROR(__xludf.DUMMYFUNCTION("GOOGLETRANSLATE(B19916,""id"",""en"")"),"['Satisfied', 'Catch', 'Service', 'Telkomsel', 'Suggestions', 'Enhanced', 'Strength', 'Sinyal', '']")</f>
        <v>['Satisfied', 'Catch', 'Service', 'Telkomsel', 'Suggestions', 'Enhanced', 'Strength', 'Sinyal', '']</v>
      </c>
      <c r="D19916" s="3">
        <v>5.0</v>
      </c>
    </row>
    <row r="19917" ht="15.75" customHeight="1">
      <c r="A19917" s="1">
        <v>21185.0</v>
      </c>
      <c r="B19917" s="3" t="s">
        <v>18843</v>
      </c>
      <c r="C19917" s="3" t="str">
        <f>IFERROR(__xludf.DUMMYFUNCTION("GOOGLETRANSLATE(B19917,""id"",""en"")"),"['Application', 'Telkomsel', 'Open', 'already', 'Uninstall', 'Download', 'Tidqk', 'go']")</f>
        <v>['Application', 'Telkomsel', 'Open', 'already', 'Uninstall', 'Download', 'Tidqk', 'go']</v>
      </c>
      <c r="D19917" s="3">
        <v>1.0</v>
      </c>
    </row>
    <row r="19918" ht="15.75" customHeight="1">
      <c r="A19918" s="1">
        <v>21186.0</v>
      </c>
      <c r="B19918" s="3" t="s">
        <v>18844</v>
      </c>
      <c r="C19918" s="3" t="str">
        <f>IFERROR(__xludf.DUMMYFUNCTION("GOOGLETRANSLATE(B19918,""id"",""en"")"),"['Login', 'entry']")</f>
        <v>['Login', 'entry']</v>
      </c>
      <c r="D19918" s="3">
        <v>4.0</v>
      </c>
    </row>
    <row r="19919" ht="15.75" customHeight="1">
      <c r="A19919" s="1">
        <v>21187.0</v>
      </c>
      <c r="B19919" s="3" t="s">
        <v>18845</v>
      </c>
      <c r="C19919" s="3" t="str">
        <f>IFERROR(__xludf.DUMMYFUNCTION("GOOGLETRANSLATE(B19919,""id"",""en"")"),"['Disappointed', 'Consistent', 'Package', 'Promo', 'December', 'Date', 'Choice', 'Menu', 'Buy', 'Package', 'Delete', 'Telkomsel', ' hahaha ',' ngakak ']")</f>
        <v>['Disappointed', 'Consistent', 'Package', 'Promo', 'December', 'Date', 'Choice', 'Menu', 'Buy', 'Package', 'Delete', 'Telkomsel', ' hahaha ',' ngakak ']</v>
      </c>
      <c r="D19919" s="3">
        <v>1.0</v>
      </c>
    </row>
    <row r="19920" ht="15.75" customHeight="1">
      <c r="A19920" s="1">
        <v>21188.0</v>
      </c>
      <c r="B19920" s="3" t="s">
        <v>18846</v>
      </c>
      <c r="C19920" s="3" t="str">
        <f>IFERROR(__xludf.DUMMYFUNCTION("GOOGLETRANSLATE(B19920,""id"",""en"")"),"['Enter', 'Telkomsel', '']")</f>
        <v>['Enter', 'Telkomsel', '']</v>
      </c>
      <c r="D19920" s="3">
        <v>3.0</v>
      </c>
    </row>
    <row r="19921" ht="15.75" customHeight="1">
      <c r="A19921" s="1">
        <v>21189.0</v>
      </c>
      <c r="B19921" s="3" t="s">
        <v>18847</v>
      </c>
      <c r="C19921" s="3" t="str">
        <f>IFERROR(__xludf.DUMMYFUNCTION("GOOGLETRANSLATE(B19921,""id"",""en"")"),"['steady', 'offer', 'price', 'package', 'cheap', '']")</f>
        <v>['steady', 'offer', 'price', 'package', 'cheap', '']</v>
      </c>
      <c r="D19921" s="3">
        <v>5.0</v>
      </c>
    </row>
    <row r="19922" ht="15.75" customHeight="1">
      <c r="A19922" s="1">
        <v>21190.0</v>
      </c>
      <c r="B19922" s="3" t="s">
        <v>18848</v>
      </c>
      <c r="C19922" s="3" t="str">
        <f>IFERROR(__xludf.DUMMYFUNCTION("GOOGLETRANSLATE(B19922,""id"",""en"")"),"['Steady', 'use', 'Telkomsel', '']")</f>
        <v>['Steady', 'use', 'Telkomsel', '']</v>
      </c>
      <c r="D19922" s="3">
        <v>5.0</v>
      </c>
    </row>
    <row r="19923" ht="15.75" customHeight="1">
      <c r="A19923" s="1">
        <v>21191.0</v>
      </c>
      <c r="B19923" s="3" t="s">
        <v>1392</v>
      </c>
      <c r="C19923" s="3" t="str">
        <f>IFERROR(__xludf.DUMMYFUNCTION("GOOGLETRANSLATE(B19923,""id"",""en"")"),"['network', '']")</f>
        <v>['network', '']</v>
      </c>
      <c r="D19923" s="3">
        <v>4.0</v>
      </c>
    </row>
    <row r="19924" ht="15.75" customHeight="1">
      <c r="A19924" s="1">
        <v>21192.0</v>
      </c>
      <c r="B19924" s="3" t="s">
        <v>18849</v>
      </c>
      <c r="C19924" s="3" t="str">
        <f>IFERROR(__xludf.DUMMYFUNCTION("GOOGLETRANSLATE(B19924,""id"",""en"")"),"['Open', 'Application', 'appears',' White ',' Doang ',' What ',' Yaa ',' Already ',' Delete ',' Download ',' Tetep ',' Already ',' download ',' delete ',' already ',' times', 'that's',' buy ',' screen ',' white ',' doang ',' appear ']")</f>
        <v>['Open', 'Application', 'appears',' White ',' Doang ',' What ',' Yaa ',' Already ',' Delete ',' Download ',' Tetep ',' Already ',' download ',' delete ',' already ',' times', 'that's',' buy ',' screen ',' white ',' doang ',' appear ']</v>
      </c>
      <c r="D19924" s="3">
        <v>1.0</v>
      </c>
    </row>
    <row r="19925" ht="15.75" customHeight="1">
      <c r="A19925" s="1">
        <v>21193.0</v>
      </c>
      <c r="B19925" s="3" t="s">
        <v>18850</v>
      </c>
      <c r="C19925" s="3" t="str">
        <f>IFERROR(__xludf.DUMMYFUNCTION("GOOGLETRANSLATE(B19925,""id"",""en"")"),"['', 'Telkomsel', 'Dihati']")</f>
        <v>['', 'Telkomsel', 'Dihati']</v>
      </c>
      <c r="D19925" s="3">
        <v>5.0</v>
      </c>
    </row>
    <row r="19926" ht="15.75" customHeight="1">
      <c r="A19926" s="1">
        <v>21194.0</v>
      </c>
      <c r="B19926" s="3" t="s">
        <v>18851</v>
      </c>
      <c r="C19926" s="3" t="str">
        <f>IFERROR(__xludf.DUMMYFUNCTION("GOOGLETRANSLATE(B19926,""id"",""en"")"),"['already', 'Install', 'Install', 'Tetep', 'no', 'open', ""]")</f>
        <v>['already', 'Install', 'Install', 'Tetep', 'no', 'open', "]</v>
      </c>
      <c r="D19926" s="3">
        <v>2.0</v>
      </c>
    </row>
    <row r="19927" ht="15.75" customHeight="1">
      <c r="A19927" s="1">
        <v>21195.0</v>
      </c>
      <c r="B19927" s="3" t="s">
        <v>18852</v>
      </c>
      <c r="C19927" s="3" t="str">
        <f>IFERROR(__xludf.DUMMYFUNCTION("GOOGLETRANSLATE(B19927,""id"",""en"")"),"['Out', 'update', 'gabisa', 'open']")</f>
        <v>['Out', 'update', 'gabisa', 'open']</v>
      </c>
      <c r="D19927" s="3">
        <v>1.0</v>
      </c>
    </row>
    <row r="19928" ht="15.75" customHeight="1">
      <c r="A19928" s="1">
        <v>21196.0</v>
      </c>
      <c r="B19928" s="3" t="s">
        <v>18853</v>
      </c>
      <c r="C19928" s="3" t="str">
        <f>IFERROR(__xludf.DUMMYFUNCTION("GOOGLETRANSLATE(B19928,""id"",""en"")"),"['number', 'love', 'expensive']")</f>
        <v>['number', 'love', 'expensive']</v>
      </c>
      <c r="D19928" s="3">
        <v>1.0</v>
      </c>
    </row>
    <row r="19929" ht="15.75" customHeight="1">
      <c r="A19929" s="1">
        <v>21197.0</v>
      </c>
      <c r="B19929" s="3" t="s">
        <v>18854</v>
      </c>
      <c r="C19929" s="3" t="str">
        <f>IFERROR(__xludf.DUMMYFUNCTION("GOOGLETRANSLATE(B19929,""id"",""en"")"),"['Network', 'area', 'stay', 'msh', 'good', 'please', 'level', 'service', 'network', 'area']")</f>
        <v>['Network', 'area', 'stay', 'msh', 'good', 'please', 'level', 'service', 'network', 'area']</v>
      </c>
      <c r="D19929" s="3">
        <v>2.0</v>
      </c>
    </row>
    <row r="19930" ht="15.75" customHeight="1">
      <c r="A19930" s="1">
        <v>21198.0</v>
      </c>
      <c r="B19930" s="3" t="s">
        <v>18855</v>
      </c>
      <c r="C19930" s="3" t="str">
        <f>IFERROR(__xludf.DUMMYFUNCTION("GOOGLETRANSLATE(B19930,""id"",""en"")"),"['It's easier for', 'customers', 'loyal', 'Telkomsel']")</f>
        <v>['It's easier for', 'customers', 'loyal', 'Telkomsel']</v>
      </c>
      <c r="D19930" s="3">
        <v>5.0</v>
      </c>
    </row>
    <row r="19931" ht="15.75" customHeight="1">
      <c r="A19931" s="1">
        <v>21199.0</v>
      </c>
      <c r="B19931" s="3" t="s">
        <v>18856</v>
      </c>
      <c r="C19931" s="3" t="str">
        <f>IFERROR(__xludf.DUMMYFUNCTION("GOOGLETRANSLATE(B19931,""id"",""en"")"),"['Open', 'Telkomsel', 'appears', 'screen', 'White', 'Please', 'Banti', 'Thank', 'Love']")</f>
        <v>['Open', 'Telkomsel', 'appears', 'screen', 'White', 'Please', 'Banti', 'Thank', 'Love']</v>
      </c>
      <c r="D19931" s="3">
        <v>1.0</v>
      </c>
    </row>
    <row r="19932" ht="15.75" customHeight="1">
      <c r="A19932" s="1">
        <v>21200.0</v>
      </c>
      <c r="B19932" s="3" t="s">
        <v>18857</v>
      </c>
      <c r="C19932" s="3" t="str">
        <f>IFERROR(__xludf.DUMMYFUNCTION("GOOGLETRANSLATE(B19932,""id"",""en"")"),"['price', 'package', 'skrng', 'expensive', 'network', 'improvement', 'sempet', 'telephone', 'prepaid', 'reject', 'package', 'price', ' Charging ',' Kouta ']")</f>
        <v>['price', 'package', 'skrng', 'expensive', 'network', 'improvement', 'sempet', 'telephone', 'prepaid', 'reject', 'package', 'price', ' Charging ',' Kouta ']</v>
      </c>
      <c r="D19932" s="3">
        <v>1.0</v>
      </c>
    </row>
    <row r="19933" ht="15.75" customHeight="1">
      <c r="A19933" s="1">
        <v>21201.0</v>
      </c>
      <c r="B19933" s="3" t="s">
        <v>18858</v>
      </c>
      <c r="C19933" s="3" t="str">
        <f>IFERROR(__xludf.DUMMYFUNCTION("GOOGLETRANSLATE(B19933,""id"",""en"")"),"['', 'Brebes',' signal ',' ugly ',' really ',' please ',' review ',' reset ',' eat ',' result ',' ngak ',' controlling ',' work ',' Woyy ']")</f>
        <v>['', 'Brebes',' signal ',' ugly ',' really ',' please ',' review ',' reset ',' eat ',' result ',' ngak ',' controlling ',' work ',' Woyy ']</v>
      </c>
      <c r="D19933" s="3">
        <v>1.0</v>
      </c>
    </row>
    <row r="19934" ht="15.75" customHeight="1">
      <c r="A19934" s="1">
        <v>21202.0</v>
      </c>
      <c r="B19934" s="3" t="s">
        <v>18859</v>
      </c>
      <c r="C19934" s="3" t="str">
        <f>IFERROR(__xludf.DUMMYFUNCTION("GOOGLETRANSLATE(B19934,""id"",""en"")"),"['service', 'good', 'right', 'package', 'dead', 'offered', 'package', 'emergency', 'activated', 'package', 'emergency', 'enter', ' right ',' contents', 'pulse', 'eeh', 'package', 'emergency', 'follow', 'active', 'bkn', 'package', 'emergency', 'name', ""]")</f>
        <v>['service', 'good', 'right', 'package', 'dead', 'offered', 'package', 'emergency', 'activated', 'package', 'emergency', 'enter', ' right ',' contents', 'pulse', 'eeh', 'package', 'emergency', 'follow', 'active', 'bkn', 'package', 'emergency', 'name', "]</v>
      </c>
      <c r="D19934" s="3">
        <v>1.0</v>
      </c>
    </row>
    <row r="19935" ht="15.75" customHeight="1">
      <c r="A19935" s="1">
        <v>21204.0</v>
      </c>
      <c r="B19935" s="3" t="s">
        <v>18860</v>
      </c>
      <c r="C19935" s="3" t="str">
        <f>IFERROR(__xludf.DUMMYFUNCTION("GOOGLETRANSLATE(B19935,""id"",""en"")"),"['use', 'comment', '']")</f>
        <v>['use', 'comment', '']</v>
      </c>
      <c r="D19935" s="3">
        <v>1.0</v>
      </c>
    </row>
    <row r="19936" ht="15.75" customHeight="1">
      <c r="A19936" s="1">
        <v>21205.0</v>
      </c>
      <c r="B19936" s="3" t="s">
        <v>18861</v>
      </c>
      <c r="C19936" s="3" t="str">
        <f>IFERROR(__xludf.DUMMYFUNCTION("GOOGLETRANSLATE(B19936,""id"",""en"")"),"['', 'TNY', 'Appsi', 'Telkomsel', 'disappears', 'Abis', 'upgrape', 'device', 'soft', 'install', 'reinstall', '']")</f>
        <v>['', 'TNY', 'Appsi', 'Telkomsel', 'disappears', 'Abis', 'upgrape', 'device', 'soft', 'install', 'reinstall', '']</v>
      </c>
      <c r="D19936" s="3">
        <v>5.0</v>
      </c>
    </row>
    <row r="19937" ht="15.75" customHeight="1">
      <c r="A19937" s="1">
        <v>21206.0</v>
      </c>
      <c r="B19937" s="3" t="s">
        <v>2583</v>
      </c>
      <c r="C19937" s="3" t="str">
        <f>IFERROR(__xludf.DUMMYFUNCTION("GOOGLETRANSLATE(B19937,""id"",""en"")"),"['Network', 'Good']")</f>
        <v>['Network', 'Good']</v>
      </c>
      <c r="D19937" s="3">
        <v>5.0</v>
      </c>
    </row>
    <row r="19938" ht="15.75" customHeight="1">
      <c r="A19938" s="1">
        <v>21208.0</v>
      </c>
      <c r="B19938" s="3" t="s">
        <v>18862</v>
      </c>
      <c r="C19938" s="3" t="str">
        <f>IFERROR(__xludf.DUMMYFUNCTION("GOOGLETRANSLATE(B19938,""id"",""en"")"),"['Application', 'Error', 'repaired']")</f>
        <v>['Application', 'Error', 'repaired']</v>
      </c>
      <c r="D19938" s="3">
        <v>5.0</v>
      </c>
    </row>
    <row r="19939" ht="15.75" customHeight="1">
      <c r="A19939" s="1">
        <v>21209.0</v>
      </c>
      <c r="B19939" s="3" t="s">
        <v>18863</v>
      </c>
      <c r="C19939" s="3" t="str">
        <f>IFERROR(__xludf.DUMMYFUNCTION("GOOGLETRANSLATE(B19939,""id"",""en"")"),"['why', 'entered', 'Slalu', 'blank', 'white', 'screen', 'RAM', 'GB']")</f>
        <v>['why', 'entered', 'Slalu', 'blank', 'white', 'screen', 'RAM', 'GB']</v>
      </c>
      <c r="D19939" s="3">
        <v>3.0</v>
      </c>
    </row>
    <row r="19940" ht="15.75" customHeight="1">
      <c r="A19940" s="1">
        <v>21210.0</v>
      </c>
      <c r="B19940" s="3" t="s">
        <v>18864</v>
      </c>
      <c r="C19940" s="3" t="str">
        <f>IFERROR(__xludf.DUMMYFUNCTION("GOOGLETRANSLATE(B19940,""id"",""en"")"),"['signal', 'difficult', 'down', 'Please', 'Segerah', 'improvement', 'Please', 'Notice', '']")</f>
        <v>['signal', 'difficult', 'down', 'Please', 'Segerah', 'improvement', 'Please', 'Notice', '']</v>
      </c>
      <c r="D19940" s="3">
        <v>2.0</v>
      </c>
    </row>
    <row r="19941" ht="15.75" customHeight="1">
      <c r="A19941" s="1">
        <v>21211.0</v>
      </c>
      <c r="B19941" s="3" t="s">
        <v>18865</v>
      </c>
      <c r="C19941" s="3" t="str">
        <f>IFERROR(__xludf.DUMMYFUNCTION("GOOGLETRANSLATE(B19941,""id"",""en"")"),"['Telkomsel', 'SIH', 'Package', 'Multimedia', 'Access', 'Game', 'Telkomsel', 'BURIK', 'White', 'Screen', 'then']")</f>
        <v>['Telkomsel', 'SIH', 'Package', 'Multimedia', 'Access', 'Game', 'Telkomsel', 'BURIK', 'White', 'Screen', 'then']</v>
      </c>
      <c r="D19941" s="3">
        <v>3.0</v>
      </c>
    </row>
    <row r="19942" ht="15.75" customHeight="1">
      <c r="A19942" s="1">
        <v>21212.0</v>
      </c>
      <c r="B19942" s="3" t="s">
        <v>18866</v>
      </c>
      <c r="C19942" s="3" t="str">
        <f>IFERROR(__xludf.DUMMYFUNCTION("GOOGLETRANSLATE(B19942,""id"",""en"")"),"['Application', 'open', 'UDH', 'update', 'network', 'JLS', 'right', 'buy', 'quota', 'expensive', 'gmn', 'sich']")</f>
        <v>['Application', 'open', 'UDH', 'update', 'network', 'JLS', 'right', 'buy', 'quota', 'expensive', 'gmn', 'sich']</v>
      </c>
      <c r="D19942" s="3">
        <v>1.0</v>
      </c>
    </row>
    <row r="19943" ht="15.75" customHeight="1">
      <c r="A19943" s="1">
        <v>21213.0</v>
      </c>
      <c r="B19943" s="3" t="s">
        <v>18867</v>
      </c>
      <c r="C19943" s="3" t="str">
        <f>IFERROR(__xludf.DUMMYFUNCTION("GOOGLETRANSLATE(B19943,""id"",""en"")"),"['Surprise', 'Deal', 'FUP', 'GB', 'GB', 'Number', 'Please', 'Fix', 'Atuh', ""]")</f>
        <v>['Surprise', 'Deal', 'FUP', 'GB', 'GB', 'Number', 'Please', 'Fix', 'Atuh', "]</v>
      </c>
      <c r="D19943" s="3">
        <v>2.0</v>
      </c>
    </row>
    <row r="19944" ht="15.75" customHeight="1">
      <c r="A19944" s="1">
        <v>21214.0</v>
      </c>
      <c r="B19944" s="3" t="s">
        <v>18868</v>
      </c>
      <c r="C19944" s="3" t="str">
        <f>IFERROR(__xludf.DUMMYFUNCTION("GOOGLETRANSLATE(B19944,""id"",""en"")"),"['apps', 'help', ""]")</f>
        <v>['apps', 'help', "]</v>
      </c>
      <c r="D19944" s="3">
        <v>5.0</v>
      </c>
    </row>
    <row r="19945" ht="15.75" customHeight="1">
      <c r="A19945" s="1">
        <v>21215.0</v>
      </c>
      <c r="B19945" s="3" t="s">
        <v>18869</v>
      </c>
      <c r="C19945" s="3" t="str">
        <f>IFERROR(__xludf.DUMMYFUNCTION("GOOGLETRANSLATE(B19945,""id"",""en"")"),"['Update', 'Application', 'Updated', 'Knp', 'Screen', 'White', 'Doang', 'Benerin', 'Doong', 'Crash', ""]")</f>
        <v>['Update', 'Application', 'Updated', 'Knp', 'Screen', 'White', 'Doang', 'Benerin', 'Doong', 'Crash', "]</v>
      </c>
      <c r="D19945" s="3">
        <v>1.0</v>
      </c>
    </row>
    <row r="19946" ht="15.75" customHeight="1">
      <c r="A19946" s="1">
        <v>21216.0</v>
      </c>
      <c r="B19946" s="3" t="s">
        <v>18870</v>
      </c>
      <c r="C19946" s="3" t="str">
        <f>IFERROR(__xludf.DUMMYFUNCTION("GOOGLETRANSLATE(B19946,""id"",""en"")"),"['Sorry', 'love', 'star', 'process',' purchase ',' package ',' data ',' application ',' please ',' repaired ',' emergency ',' spirit ',' Developer ',' ']")</f>
        <v>['Sorry', 'love', 'star', 'process',' purchase ',' package ',' data ',' application ',' please ',' repaired ',' emergency ',' spirit ',' Developer ',' ']</v>
      </c>
      <c r="D19946" s="3">
        <v>1.0</v>
      </c>
    </row>
    <row r="19947" ht="15.75" customHeight="1">
      <c r="A19947" s="1">
        <v>21217.0</v>
      </c>
      <c r="B19947" s="3" t="s">
        <v>18871</v>
      </c>
      <c r="C19947" s="3" t="str">
        <f>IFERROR(__xludf.DUMMYFUNCTION("GOOGLETRANSLATE(B19947,""id"",""en"")"),"['Min', 'application', 'updated', 'opened', 'the application', '']")</f>
        <v>['Min', 'application', 'updated', 'opened', 'the application', '']</v>
      </c>
      <c r="D19947" s="3">
        <v>1.0</v>
      </c>
    </row>
    <row r="19948" ht="15.75" customHeight="1">
      <c r="A19948" s="1">
        <v>21218.0</v>
      </c>
      <c r="B19948" s="3" t="s">
        <v>18872</v>
      </c>
      <c r="C19948" s="3" t="str">
        <f>IFERROR(__xludf.DUMMYFUNCTION("GOOGLETRANSLATE(B19948,""id"",""en"")"),"['App', 'Cool']")</f>
        <v>['App', 'Cool']</v>
      </c>
      <c r="D19948" s="3">
        <v>5.0</v>
      </c>
    </row>
    <row r="19949" ht="15.75" customHeight="1">
      <c r="A19949" s="1">
        <v>21219.0</v>
      </c>
      <c r="B19949" s="3" t="s">
        <v>18873</v>
      </c>
      <c r="C19949" s="3" t="str">
        <f>IFERROR(__xludf.DUMMYFUNCTION("GOOGLETRANSLATE(B19949,""id"",""en"")"),"['pulse', 'buy', 'package', 'leftover', 'pulse']")</f>
        <v>['pulse', 'buy', 'package', 'leftover', 'pulse']</v>
      </c>
      <c r="D19949" s="3">
        <v>5.0</v>
      </c>
    </row>
    <row r="19950" ht="15.75" customHeight="1">
      <c r="A19950" s="1">
        <v>21220.0</v>
      </c>
      <c r="B19950" s="3" t="s">
        <v>18874</v>
      </c>
      <c r="C19950" s="3" t="str">
        <f>IFERROR(__xludf.DUMMYFUNCTION("GOOGLETRANSLATE(B19950,""id"",""en"")"),"['already', 'times',' try ',' buy ',' quota ',' internet ',' connection ',' wifi ',' good ',' tlg ',' telkomsel ',' knp ',' trpaksa ',' deh ',' respect ',' reduce ',' star ',' application ',' klu ',' already ',' kutmbh ',' bntangnya ',' min ']")</f>
        <v>['already', 'times',' try ',' buy ',' quota ',' internet ',' connection ',' wifi ',' good ',' tlg ',' telkomsel ',' knp ',' trpaksa ',' deh ',' respect ',' reduce ',' star ',' application ',' klu ',' already ',' kutmbh ',' bntangnya ',' min ']</v>
      </c>
      <c r="D19950" s="3">
        <v>2.0</v>
      </c>
    </row>
    <row r="19951" ht="15.75" customHeight="1">
      <c r="A19951" s="1">
        <v>21221.0</v>
      </c>
      <c r="B19951" s="3" t="s">
        <v>1250</v>
      </c>
      <c r="C19951" s="3" t="str">
        <f>IFERROR(__xludf.DUMMYFUNCTION("GOOGLETRANSLATE(B19951,""id"",""en"")"),"['Application', 'good', 'really', '']")</f>
        <v>['Application', 'good', 'really', '']</v>
      </c>
      <c r="D19951" s="3">
        <v>5.0</v>
      </c>
    </row>
    <row r="19952" ht="15.75" customHeight="1">
      <c r="A19952" s="1">
        <v>21222.0</v>
      </c>
      <c r="B19952" s="3" t="s">
        <v>18875</v>
      </c>
      <c r="C19952" s="3" t="str">
        <f>IFERROR(__xludf.DUMMYFUNCTION("GOOGLETRANSLATE(B19952,""id"",""en"")"),"['Fix', 'signal', 'Maen', 'Game', 'ping', 'Ngelag']")</f>
        <v>['Fix', 'signal', 'Maen', 'Game', 'ping', 'Ngelag']</v>
      </c>
      <c r="D19952" s="3">
        <v>1.0</v>
      </c>
    </row>
    <row r="19953" ht="15.75" customHeight="1">
      <c r="A19953" s="1">
        <v>21223.0</v>
      </c>
      <c r="B19953" s="3" t="s">
        <v>7590</v>
      </c>
      <c r="C19953" s="3" t="str">
        <f>IFERROR(__xludf.DUMMYFUNCTION("GOOGLETRANSLATE(B19953,""id"",""en"")"),"['', 'Telkomsel', 'opened']")</f>
        <v>['', 'Telkomsel', 'opened']</v>
      </c>
      <c r="D19953" s="3">
        <v>1.0</v>
      </c>
    </row>
    <row r="19954" ht="15.75" customHeight="1">
      <c r="A19954" s="1">
        <v>21224.0</v>
      </c>
      <c r="B19954" s="3" t="s">
        <v>18876</v>
      </c>
      <c r="C19954" s="3" t="str">
        <f>IFERROR(__xludf.DUMMYFUNCTION("GOOGLETRANSLATE(B19954,""id"",""en"")"),"['use', 'wifi', 'pulse', 'used', 'need', 'sudden', 'ngorot', 'ilang', ""]")</f>
        <v>['use', 'wifi', 'pulse', 'used', 'need', 'sudden', 'ngorot', 'ilang', "]</v>
      </c>
      <c r="D19954" s="3">
        <v>4.0</v>
      </c>
    </row>
    <row r="19955" ht="15.75" customHeight="1">
      <c r="A19955" s="1">
        <v>21225.0</v>
      </c>
      <c r="B19955" s="3" t="s">
        <v>18877</v>
      </c>
      <c r="C19955" s="3" t="str">
        <f>IFERROR(__xludf.DUMMYFUNCTION("GOOGLETRANSLATE(B19955,""id"",""en"")"),"['Lazy', 'Telkomsel', 'Error', 'Open', 'Application', 'The screen', 'White', 'Ngak', 'Enter', 'Already', 'Already', 'Install', ' Application ',' Enter ',' App ',' screen ',' white ',' all ']")</f>
        <v>['Lazy', 'Telkomsel', 'Error', 'Open', 'Application', 'The screen', 'White', 'Ngak', 'Enter', 'Already', 'Already', 'Install', ' Application ',' Enter ',' App ',' screen ',' white ',' all ']</v>
      </c>
      <c r="D19955" s="3">
        <v>1.0</v>
      </c>
    </row>
    <row r="19956" ht="15.75" customHeight="1">
      <c r="A19956" s="1">
        <v>21226.0</v>
      </c>
      <c r="B19956" s="3" t="s">
        <v>18878</v>
      </c>
      <c r="C19956" s="3" t="str">
        <f>IFERROR(__xludf.DUMMYFUNCTION("GOOGLETRANSLATE(B19956,""id"",""en"")"),"['Loading', 'Open', 'The application', 'Very', 'account', 'Login', 'Loading', 'Gabisa', 'Enter', 'Hadeh', ""]")</f>
        <v>['Loading', 'Open', 'The application', 'Very', 'account', 'Login', 'Loading', 'Gabisa', 'Enter', 'Hadeh', "]</v>
      </c>
      <c r="D19956" s="3">
        <v>2.0</v>
      </c>
    </row>
    <row r="19957" ht="15.75" customHeight="1">
      <c r="A19957" s="1">
        <v>21227.0</v>
      </c>
      <c r="B19957" s="3" t="s">
        <v>18879</v>
      </c>
      <c r="C19957" s="3" t="str">
        <f>IFERROR(__xludf.DUMMYFUNCTION("GOOGLETRANSLATE(B19957,""id"",""en"")"),"['Application', 'disappear', 'Install']")</f>
        <v>['Application', 'disappear', 'Install']</v>
      </c>
      <c r="D19957" s="3">
        <v>1.0</v>
      </c>
    </row>
    <row r="19958" ht="15.75" customHeight="1">
      <c r="A19958" s="1">
        <v>21228.0</v>
      </c>
      <c r="B19958" s="3" t="s">
        <v>18880</v>
      </c>
      <c r="C19958" s="3" t="str">
        <f>IFERROR(__xludf.DUMMYFUNCTION("GOOGLETRANSLATE(B19958,""id"",""en"")"),"['Samsung', 'supports', 'application', 'open', 'application', 'blank', '']")</f>
        <v>['Samsung', 'supports', 'application', 'open', 'application', 'blank', '']</v>
      </c>
      <c r="D19958" s="3">
        <v>2.0</v>
      </c>
    </row>
    <row r="19959" ht="15.75" customHeight="1">
      <c r="A19959" s="1">
        <v>21229.0</v>
      </c>
      <c r="B19959" s="3" t="s">
        <v>18881</v>
      </c>
      <c r="C19959" s="3" t="str">
        <f>IFERROR(__xludf.DUMMYFUNCTION("GOOGLETRANSLATE(B19959,""id"",""en"")"),"['package', 'doang', 'expensive', 'signal', 'no', 'kapok', 'card', '']")</f>
        <v>['package', 'doang', 'expensive', 'signal', 'no', 'kapok', 'card', '']</v>
      </c>
      <c r="D19959" s="3">
        <v>1.0</v>
      </c>
    </row>
    <row r="19960" ht="15.75" customHeight="1">
      <c r="A19960" s="1">
        <v>21230.0</v>
      </c>
      <c r="B19960" s="3" t="s">
        <v>18882</v>
      </c>
      <c r="C19960" s="3" t="str">
        <f>IFERROR(__xludf.DUMMYFUNCTION("GOOGLETRANSLATE(B19960,""id"",""en"")"),"['complaints', 'Veronica', 'slow', 'convoluted', 'turned', 'sickening']")</f>
        <v>['complaints', 'Veronica', 'slow', 'convoluted', 'turned', 'sickening']</v>
      </c>
      <c r="D19960" s="3">
        <v>2.0</v>
      </c>
    </row>
    <row r="19961" ht="15.75" customHeight="1">
      <c r="A19961" s="1">
        <v>21231.0</v>
      </c>
      <c r="B19961" s="3" t="s">
        <v>1340</v>
      </c>
      <c r="C19961" s="3" t="str">
        <f>IFERROR(__xludf.DUMMYFUNCTION("GOOGLETRANSLATE(B19961,""id"",""en"")"),"['Package', 'card', 'expensive', '']")</f>
        <v>['Package', 'card', 'expensive', '']</v>
      </c>
      <c r="D19961" s="3">
        <v>4.0</v>
      </c>
    </row>
    <row r="19962" ht="15.75" customHeight="1">
      <c r="A19962" s="1">
        <v>21232.0</v>
      </c>
      <c r="B19962" s="3" t="s">
        <v>18883</v>
      </c>
      <c r="C19962" s="3" t="str">
        <f>IFERROR(__xludf.DUMMYFUNCTION("GOOGLETRANSLATE(B19962,""id"",""en"")"),"['Telkomsel', 'apdet', 'right', 'login', ""]")</f>
        <v>['Telkomsel', 'apdet', 'right', 'login', "]</v>
      </c>
      <c r="D19962" s="3">
        <v>4.0</v>
      </c>
    </row>
    <row r="19963" ht="15.75" customHeight="1">
      <c r="A19963" s="1">
        <v>21233.0</v>
      </c>
      <c r="B19963" s="3" t="s">
        <v>18884</v>
      </c>
      <c r="C19963" s="3" t="str">
        <f>IFERROR(__xludf.DUMMYFUNCTION("GOOGLETRANSLATE(B19963,""id"",""en"")"),"['Telkomsel', 'what', 'buy', 'quota', 'buy', 'package', 'telephone', 'told', 'wait', 'trs',' already ',' expensive ',' Quality ',' already ',' expensive ',' service ',' ugly ']")</f>
        <v>['Telkomsel', 'what', 'buy', 'quota', 'buy', 'package', 'telephone', 'told', 'wait', 'trs',' already ',' expensive ',' Quality ',' already ',' expensive ',' service ',' ugly ']</v>
      </c>
      <c r="D19963" s="3">
        <v>2.0</v>
      </c>
    </row>
    <row r="19964" ht="15.75" customHeight="1">
      <c r="A19964" s="1">
        <v>21234.0</v>
      </c>
      <c r="B19964" s="3" t="s">
        <v>18885</v>
      </c>
      <c r="C19964" s="3" t="str">
        <f>IFERROR(__xludf.DUMMYFUNCTION("GOOGLETRANSLATE(B19964,""id"",""en"")"),"['knpa', 'bsa', 'open']")</f>
        <v>['knpa', 'bsa', 'open']</v>
      </c>
      <c r="D19964" s="3">
        <v>2.0</v>
      </c>
    </row>
    <row r="19965" ht="15.75" customHeight="1">
      <c r="A19965" s="1">
        <v>21235.0</v>
      </c>
      <c r="B19965" s="3" t="s">
        <v>18886</v>
      </c>
      <c r="C19965" s="3" t="str">
        <f>IFERROR(__xludf.DUMMYFUNCTION("GOOGLETRANSLATE(B19965,""id"",""en"")"),"['Steady', 'Increase', 'then', 'FINE', 'PASSET']")</f>
        <v>['Steady', 'Increase', 'then', 'FINE', 'PASSET']</v>
      </c>
      <c r="D19965" s="3">
        <v>5.0</v>
      </c>
    </row>
    <row r="19966" ht="15.75" customHeight="1">
      <c r="A19966" s="1">
        <v>21236.0</v>
      </c>
      <c r="B19966" s="3" t="s">
        <v>18887</v>
      </c>
      <c r="C19966" s="3" t="str">
        <f>IFERROR(__xludf.DUMMYFUNCTION("GOOGLETRANSLATE(B19966,""id"",""en"")"),"['Okay']")</f>
        <v>['Okay']</v>
      </c>
      <c r="D19966" s="3">
        <v>5.0</v>
      </c>
    </row>
    <row r="19967" ht="15.75" customHeight="1">
      <c r="A19967" s="1">
        <v>21237.0</v>
      </c>
      <c r="B19967" s="3" t="s">
        <v>1379</v>
      </c>
      <c r="C19967" s="3" t="str">
        <f>IFERROR(__xludf.DUMMYFUNCTION("GOOGLETRANSLATE(B19967,""id"",""en"")"),"['Increase', 'Service']")</f>
        <v>['Increase', 'Service']</v>
      </c>
      <c r="D19967" s="3">
        <v>5.0</v>
      </c>
    </row>
    <row r="19968" ht="15.75" customHeight="1">
      <c r="A19968" s="1">
        <v>21238.0</v>
      </c>
      <c r="B19968" s="3" t="s">
        <v>18888</v>
      </c>
      <c r="C19968" s="3" t="str">
        <f>IFERROR(__xludf.DUMMYFUNCTION("GOOGLETRANSLATE(B19968,""id"",""en"")"),"['Telkomsel', 'Buy', 'Package', 'Thinking', 'YouTube', 'Unlimited', 'Video', 'YouTube', 'Package', 'Functioning', 'Please', 'Application', ' Fix ',' because ',' detrimental ',' community ', ""]")</f>
        <v>['Telkomsel', 'Buy', 'Package', 'Thinking', 'YouTube', 'Unlimited', 'Video', 'YouTube', 'Package', 'Functioning', 'Please', 'Application', ' Fix ',' because ',' detrimental ',' community ', "]</v>
      </c>
      <c r="D19968" s="3">
        <v>2.0</v>
      </c>
    </row>
    <row r="19969" ht="15.75" customHeight="1">
      <c r="A19969" s="1">
        <v>21239.0</v>
      </c>
      <c r="B19969" s="3" t="s">
        <v>18889</v>
      </c>
      <c r="C19969" s="3" t="str">
        <f>IFERROR(__xludf.DUMMYFUNCTION("GOOGLETRANSLATE(B19969,""id"",""en"")"),"['Open', 'Telkomselya', '']")</f>
        <v>['Open', 'Telkomselya', '']</v>
      </c>
      <c r="D19969" s="3">
        <v>5.0</v>
      </c>
    </row>
    <row r="19970" ht="15.75" customHeight="1">
      <c r="A19970" s="1">
        <v>21240.0</v>
      </c>
      <c r="B19970" s="3" t="s">
        <v>18890</v>
      </c>
      <c r="C19970" s="3" t="str">
        <f>IFERROR(__xludf.DUMMYFUNCTION("GOOGLETRANSLATE(B19970,""id"",""en"")"),"['Give', 'Bonus',' Credit ',' Unfaedah ',' Gada ',' Mending ',' Gausah ',' Given ',' Cumn ',' A Day ',' Abistair ',' Telvon ',' Cut ',' pulse ',' main ',' peaches', '']")</f>
        <v>['Give', 'Bonus',' Credit ',' Unfaedah ',' Gada ',' Mending ',' Gausah ',' Given ',' Cumn ',' A Day ',' Abistair ',' Telvon ',' Cut ',' pulse ',' main ',' peaches', '']</v>
      </c>
      <c r="D19970" s="3">
        <v>1.0</v>
      </c>
    </row>
    <row r="19971" ht="15.75" customHeight="1">
      <c r="A19971" s="1">
        <v>21241.0</v>
      </c>
      <c r="B19971" s="3" t="s">
        <v>18891</v>
      </c>
      <c r="C19971" s="3" t="str">
        <f>IFERROR(__xludf.DUMMYFUNCTION("GOOGLETRANSLATE(B19971,""id"",""en"")"),"['access', 'data', 'min']")</f>
        <v>['access', 'data', 'min']</v>
      </c>
      <c r="D19971" s="3">
        <v>4.0</v>
      </c>
    </row>
    <row r="19972" ht="15.75" customHeight="1">
      <c r="A19972" s="1">
        <v>21242.0</v>
      </c>
      <c r="B19972" s="3" t="s">
        <v>18892</v>
      </c>
      <c r="C19972" s="3" t="str">
        <f>IFERROR(__xludf.DUMMYFUNCTION("GOOGLETRANSLATE(B19972,""id"",""en"")"),"['pulse', 'lost', 'pulse', 'leftover', 'run out']")</f>
        <v>['pulse', 'lost', 'pulse', 'leftover', 'run out']</v>
      </c>
      <c r="D19972" s="3">
        <v>1.0</v>
      </c>
    </row>
    <row r="19973" ht="15.75" customHeight="1">
      <c r="A19973" s="1">
        <v>21244.0</v>
      </c>
      <c r="B19973" s="3" t="s">
        <v>18893</v>
      </c>
      <c r="C19973" s="3" t="str">
        <f>IFERROR(__xludf.DUMMYFUNCTION("GOOGLETRANSLATE(B19973,""id"",""en"")"),"['check', 'APK', 'refresh', 'until']")</f>
        <v>['check', 'APK', 'refresh', 'until']</v>
      </c>
      <c r="D19973" s="3">
        <v>1.0</v>
      </c>
    </row>
    <row r="19974" ht="15.75" customHeight="1">
      <c r="A19974" s="1">
        <v>21245.0</v>
      </c>
      <c r="B19974" s="3" t="s">
        <v>18894</v>
      </c>
      <c r="C19974" s="3" t="str">
        <f>IFERROR(__xludf.DUMMYFUNCTION("GOOGLETRANSLATE(B19974,""id"",""en"")"),"['Okay', 'Not bad', 'help']")</f>
        <v>['Okay', 'Not bad', 'help']</v>
      </c>
      <c r="D19974" s="3">
        <v>3.0</v>
      </c>
    </row>
    <row r="19975" ht="15.75" customHeight="1">
      <c r="A19975" s="1">
        <v>21246.0</v>
      </c>
      <c r="B19975" s="3" t="s">
        <v>18895</v>
      </c>
      <c r="C19975" s="3" t="str">
        <f>IFERROR(__xludf.DUMMYFUNCTION("GOOGLETRANSLATE(B19975,""id"",""en"")"),"['application', 'kreng', 'really', 'promo', 'customer', 'bner', 'deck', 'good', 'job']")</f>
        <v>['application', 'kreng', 'really', 'promo', 'customer', 'bner', 'deck', 'good', 'job']</v>
      </c>
      <c r="D19975" s="3">
        <v>5.0</v>
      </c>
    </row>
    <row r="19976" ht="15.75" customHeight="1">
      <c r="A19976" s="1">
        <v>21247.0</v>
      </c>
      <c r="B19976" s="3" t="s">
        <v>18896</v>
      </c>
      <c r="C19976" s="3" t="str">
        <f>IFERROR(__xludf.DUMMYFUNCTION("GOOGLETRANSLATE(B19976,""id"",""en"")"),"['Help', 'info', 'get', '']")</f>
        <v>['Help', 'info', 'get', '']</v>
      </c>
      <c r="D19976" s="3">
        <v>5.0</v>
      </c>
    </row>
    <row r="19977" ht="15.75" customHeight="1">
      <c r="A19977" s="1">
        <v>21248.0</v>
      </c>
      <c r="B19977" s="3" t="s">
        <v>18897</v>
      </c>
      <c r="C19977" s="3" t="str">
        <f>IFERROR(__xludf.DUMMYFUNCTION("GOOGLETRANSLATE(B19977,""id"",""en"")"),"['Donwload', 'Seblm', 'UDH', 'Uninstall']")</f>
        <v>['Donwload', 'Seblm', 'UDH', 'Uninstall']</v>
      </c>
      <c r="D19977" s="3">
        <v>1.0</v>
      </c>
    </row>
    <row r="19978" ht="15.75" customHeight="1">
      <c r="A19978" s="1">
        <v>21249.0</v>
      </c>
      <c r="B19978" s="3" t="s">
        <v>18898</v>
      </c>
      <c r="C19978" s="3" t="str">
        <f>IFERROR(__xludf.DUMMYFUNCTION("GOOGLETRANSLATE(B19978,""id"",""en"")"),"['already', 'times', 'Download', 'BISQ', 'Install']")</f>
        <v>['already', 'times', 'Download', 'BISQ', 'Install']</v>
      </c>
      <c r="D19978" s="3">
        <v>1.0</v>
      </c>
    </row>
    <row r="19979" ht="15.75" customHeight="1">
      <c r="A19979" s="1">
        <v>21250.0</v>
      </c>
      <c r="B19979" s="3" t="s">
        <v>18899</v>
      </c>
      <c r="C19979" s="3" t="str">
        <f>IFERROR(__xludf.DUMMYFUNCTION("GOOGLETRANSLATE(B19979,""id"",""en"")"),"['Signal', 'Severe', 'Region', 'Kec', 'Pasean', 'Kab', 'Pamekasan', 'Madura']")</f>
        <v>['Signal', 'Severe', 'Region', 'Kec', 'Pasean', 'Kab', 'Pamekasan', 'Madura']</v>
      </c>
      <c r="D19979" s="3">
        <v>2.0</v>
      </c>
    </row>
    <row r="19980" ht="15.75" customHeight="1">
      <c r="A19980" s="1">
        <v>21251.0</v>
      </c>
      <c r="B19980" s="3" t="s">
        <v>18900</v>
      </c>
      <c r="C19980" s="3" t="str">
        <f>IFERROR(__xludf.DUMMYFUNCTION("GOOGLETRANSLATE(B19980,""id"",""en"")"),"['Week', 'Network', 'Good', 'Talun', 'Kenas',' Kecamatan ',' Sibiru ',' Blue ',' Deli ',' Deli ',' Serdang ',' City ',' Medan ',' Please ',' repaired ']")</f>
        <v>['Week', 'Network', 'Good', 'Talun', 'Kenas',' Kecamatan ',' Sibiru ',' Blue ',' Deli ',' Deli ',' Serdang ',' City ',' Medan ',' Please ',' repaired ']</v>
      </c>
      <c r="D19980" s="3">
        <v>1.0</v>
      </c>
    </row>
    <row r="19981" ht="15.75" customHeight="1">
      <c r="A19981" s="1">
        <v>21252.0</v>
      </c>
      <c r="B19981" s="3" t="s">
        <v>18901</v>
      </c>
      <c r="C19981" s="3" t="str">
        <f>IFERROR(__xludf.DUMMYFUNCTION("GOOGLETRANSLATE(B19981,""id"",""en"")"),"['ugly', 'already', 'contents',' credit ',' activate ',' package ',' disorder ',' told ',' minutes', 'then', 'try', 'minutes',' disruption ',' expensive ',' expensive ',' price ',' suggestion ',' Telkomsel ',' sell ',' package ',' data ',' expensive ',' e"&amp;"xpensive ',' enter it ',' complaint ' , 'Dri', 'Customer', 'Netting', 'Bankrupt', 'Telkomsel']")</f>
        <v>['ugly', 'already', 'contents',' credit ',' activate ',' package ',' disorder ',' told ',' minutes', 'then', 'try', 'minutes',' disruption ',' expensive ',' expensive ',' price ',' suggestion ',' Telkomsel ',' sell ',' package ',' data ',' expensive ',' expensive ',' enter it ',' complaint ' , 'Dri', 'Customer', 'Netting', 'Bankrupt', 'Telkomsel']</v>
      </c>
      <c r="D19981" s="3">
        <v>1.0</v>
      </c>
    </row>
    <row r="19982" ht="15.75" customHeight="1">
      <c r="A19982" s="1">
        <v>21253.0</v>
      </c>
      <c r="B19982" s="3" t="s">
        <v>18902</v>
      </c>
      <c r="C19982" s="3" t="str">
        <f>IFERROR(__xludf.DUMMYFUNCTION("GOOGLETRANSLATE(B19982,""id"",""en"")"),"['thank', 'love', 'promo', 'good']")</f>
        <v>['thank', 'love', 'promo', 'good']</v>
      </c>
      <c r="D19982" s="3">
        <v>5.0</v>
      </c>
    </row>
    <row r="19983" ht="15.75" customHeight="1">
      <c r="A19983" s="1">
        <v>21254.0</v>
      </c>
      <c r="B19983" s="3" t="s">
        <v>18903</v>
      </c>
      <c r="C19983" s="3" t="str">
        <f>IFERROR(__xludf.DUMMYFUNCTION("GOOGLETRANSLATE(B19983,""id"",""en"")"),"['thank', 'love', 'smooth', 'fast']")</f>
        <v>['thank', 'love', 'smooth', 'fast']</v>
      </c>
      <c r="D19983" s="3">
        <v>3.0</v>
      </c>
    </row>
    <row r="19984" ht="15.75" customHeight="1">
      <c r="A19984" s="1">
        <v>21255.0</v>
      </c>
      <c r="B19984" s="3" t="s">
        <v>18904</v>
      </c>
      <c r="C19984" s="3" t="str">
        <f>IFERROR(__xludf.DUMMYFUNCTION("GOOGLETRANSLATE(B19984,""id"",""en"")"),"['What', 'apps', 'Telkomsel', 'update', 'opened', 'appears', 'screen', 'really', 'disappointing']")</f>
        <v>['What', 'apps', 'Telkomsel', 'update', 'opened', 'appears', 'screen', 'really', 'disappointing']</v>
      </c>
      <c r="D19984" s="3">
        <v>1.0</v>
      </c>
    </row>
    <row r="19985" ht="15.75" customHeight="1">
      <c r="A19985" s="1">
        <v>21256.0</v>
      </c>
      <c r="B19985" s="3" t="s">
        <v>18905</v>
      </c>
      <c r="C19985" s="3" t="str">
        <f>IFERROR(__xludf.DUMMYFUNCTION("GOOGLETRANSLATE(B19985,""id"",""en"")"),"['installed', 'Samsung', 'Plus', 'Update', 'Android', '']")</f>
        <v>['installed', 'Samsung', 'Plus', 'Update', 'Android', '']</v>
      </c>
      <c r="D19985" s="3">
        <v>2.0</v>
      </c>
    </row>
    <row r="19986" ht="15.75" customHeight="1">
      <c r="A19986" s="1">
        <v>21257.0</v>
      </c>
      <c r="B19986" s="3" t="s">
        <v>18906</v>
      </c>
      <c r="C19986" s="3" t="str">
        <f>IFERROR(__xludf.DUMMYFUNCTION("GOOGLETRANSLATE(B19986,""id"",""en"")"),"['Increase', 'Network', 'Telkomsel']")</f>
        <v>['Increase', 'Network', 'Telkomsel']</v>
      </c>
      <c r="D19986" s="3">
        <v>5.0</v>
      </c>
    </row>
    <row r="19987" ht="15.75" customHeight="1">
      <c r="A19987" s="1">
        <v>21258.0</v>
      </c>
      <c r="B19987" s="3" t="s">
        <v>18907</v>
      </c>
      <c r="C19987" s="3" t="str">
        <f>IFERROR(__xludf.DUMMYFUNCTION("GOOGLETRANSLATE(B19987,""id"",""en"")"),"['Telkomsel', 'signal', 'strong', 'great', 'expensive', '']")</f>
        <v>['Telkomsel', 'signal', 'strong', 'great', 'expensive', '']</v>
      </c>
      <c r="D19987" s="3">
        <v>5.0</v>
      </c>
    </row>
    <row r="19988" ht="15.75" customHeight="1">
      <c r="A19988" s="1">
        <v>21259.0</v>
      </c>
      <c r="B19988" s="3" t="s">
        <v>2730</v>
      </c>
      <c r="C19988" s="3" t="str">
        <f>IFERROR(__xludf.DUMMYFUNCTION("GOOGLETRANSLATE(B19988,""id"",""en"")"),"['Promo', 'interesting']")</f>
        <v>['Promo', 'interesting']</v>
      </c>
      <c r="D19988" s="3">
        <v>5.0</v>
      </c>
    </row>
    <row r="19989" ht="15.75" customHeight="1">
      <c r="A19989" s="1">
        <v>21260.0</v>
      </c>
      <c r="B19989" s="3" t="s">
        <v>18908</v>
      </c>
      <c r="C19989" s="3" t="str">
        <f>IFERROR(__xludf.DUMMYFUNCTION("GOOGLETRANSLATE(B19989,""id"",""en"")"),"['Rhise']")</f>
        <v>['Rhise']</v>
      </c>
      <c r="D19989" s="3">
        <v>4.0</v>
      </c>
    </row>
    <row r="19990" ht="15.75" customHeight="1">
      <c r="A19990" s="1">
        <v>21261.0</v>
      </c>
      <c r="B19990" s="3" t="s">
        <v>18909</v>
      </c>
      <c r="C19990" s="3" t="str">
        <f>IFERROR(__xludf.DUMMYFUNCTION("GOOGLETRANSLATE(B19990,""id"",""en"")"),"['Updated', 'opened']")</f>
        <v>['Updated', 'opened']</v>
      </c>
      <c r="D19990" s="3">
        <v>1.0</v>
      </c>
    </row>
    <row r="19991" ht="15.75" customHeight="1">
      <c r="A19991" s="1">
        <v>21262.0</v>
      </c>
      <c r="B19991" s="3" t="s">
        <v>18910</v>
      </c>
      <c r="C19991" s="3" t="str">
        <f>IFERROR(__xludf.DUMMYFUNCTION("GOOGLETRANSLATE(B19991,""id"",""en"")"),"['buy', 'quota', 'network', 'network', 'just']")</f>
        <v>['buy', 'quota', 'network', 'network', 'just']</v>
      </c>
      <c r="D19991" s="3">
        <v>1.0</v>
      </c>
    </row>
    <row r="19992" ht="15.75" customHeight="1">
      <c r="A19992" s="1">
        <v>21263.0</v>
      </c>
      <c r="B19992" s="3" t="s">
        <v>18911</v>
      </c>
      <c r="C19992" s="3" t="str">
        <f>IFERROR(__xludf.DUMMYFUNCTION("GOOGLETRANSLATE(B19992,""id"",""en"")"),"['petrified', 'price', 'package', 'one thousand', 'thousand', 'good', 'help', 'increase', 'keep', ""]")</f>
        <v>['petrified', 'price', 'package', 'one thousand', 'thousand', 'good', 'help', 'increase', 'keep', "]</v>
      </c>
      <c r="D19992" s="3">
        <v>5.0</v>
      </c>
    </row>
    <row r="19993" ht="15.75" customHeight="1">
      <c r="A19993" s="1">
        <v>21264.0</v>
      </c>
      <c r="B19993" s="3" t="s">
        <v>18912</v>
      </c>
      <c r="C19993" s="3" t="str">
        <f>IFERROR(__xludf.DUMMYFUNCTION("GOOGLETRANSLATE(B19993,""id"",""en"")"),"['Buy', 'Package']")</f>
        <v>['Buy', 'Package']</v>
      </c>
      <c r="D19993" s="3">
        <v>5.0</v>
      </c>
    </row>
    <row r="19994" ht="15.75" customHeight="1">
      <c r="A19994" s="1">
        <v>21265.0</v>
      </c>
      <c r="B19994" s="3" t="s">
        <v>13908</v>
      </c>
      <c r="C19994" s="3" t="str">
        <f>IFERROR(__xludf.DUMMYFUNCTION("GOOGLETRANSLATE(B19994,""id"",""en"")"),"['Good', 'really', 'help']")</f>
        <v>['Good', 'really', 'help']</v>
      </c>
      <c r="D19994" s="3">
        <v>5.0</v>
      </c>
    </row>
    <row r="19995" ht="15.75" customHeight="1">
      <c r="A19995" s="1">
        <v>21266.0</v>
      </c>
      <c r="B19995" s="3" t="s">
        <v>18913</v>
      </c>
      <c r="C19995" s="3" t="str">
        <f>IFERROR(__xludf.DUMMYFUNCTION("GOOGLETRANSLATE(B19995,""id"",""en"")"),"['Maintained']")</f>
        <v>['Maintained']</v>
      </c>
      <c r="D19995" s="3">
        <v>5.0</v>
      </c>
    </row>
    <row r="19996" ht="15.75" customHeight="1">
      <c r="A19996" s="1">
        <v>21267.0</v>
      </c>
      <c r="B19996" s="3" t="s">
        <v>18914</v>
      </c>
      <c r="C19996" s="3" t="str">
        <f>IFERROR(__xludf.DUMMYFUNCTION("GOOGLETRANSLATE(B19996,""id"",""en"")"),"['Disappointed', 'ugly', 'ugly', 'ugly', 'ugly', 'service']")</f>
        <v>['Disappointed', 'ugly', 'ugly', 'ugly', 'ugly', 'service']</v>
      </c>
      <c r="D19996" s="3">
        <v>1.0</v>
      </c>
    </row>
    <row r="19997" ht="15.75" customHeight="1">
      <c r="A19997" s="1">
        <v>21268.0</v>
      </c>
      <c r="B19997" s="3" t="s">
        <v>18915</v>
      </c>
      <c r="C19997" s="3" t="str">
        <f>IFERROR(__xludf.DUMMYFUNCTION("GOOGLETRANSLATE(B19997,""id"",""en"")"),"['Disappointed', 'Features',' Telkomsel ',' Card ',' Package ',' Internet ',' Telkomsel ',' Take ',' Credit ',' Features', 'Access',' Internet ',' Activate ',' card ',' Feature ',' turned off ',' process', 'happened', '']")</f>
        <v>['Disappointed', 'Features',' Telkomsel ',' Card ',' Package ',' Internet ',' Telkomsel ',' Take ',' Credit ',' Features', 'Access',' Internet ',' Activate ',' card ',' Feature ',' turned off ',' process', 'happened', '']</v>
      </c>
      <c r="D19997" s="3">
        <v>3.0</v>
      </c>
    </row>
    <row r="19998" ht="15.75" customHeight="1">
      <c r="A19998" s="1">
        <v>21269.0</v>
      </c>
      <c r="B19998" s="3" t="s">
        <v>18916</v>
      </c>
      <c r="C19998" s="3" t="str">
        <f>IFERROR(__xludf.DUMMYFUNCTION("GOOGLETRANSLATE(B19998,""id"",""en"")"),"['love', 'promo', 'min', 'pig', 'user', 'love', 'love', 'user', 'love', 'fair', 'udh', ' Package ',' card ',' Mahalin ',' Thinking ',' Min ',' Network ']")</f>
        <v>['love', 'promo', 'min', 'pig', 'user', 'love', 'love', 'user', 'love', 'fair', 'udh', ' Package ',' card ',' Mahalin ',' Thinking ',' Min ',' Network ']</v>
      </c>
      <c r="D19998" s="3">
        <v>1.0</v>
      </c>
    </row>
    <row r="19999" ht="15.75" customHeight="1">
      <c r="A19999" s="1">
        <v>21270.0</v>
      </c>
      <c r="B19999" s="3" t="s">
        <v>14374</v>
      </c>
      <c r="C19999" s="3" t="str">
        <f>IFERROR(__xludf.DUMMYFUNCTION("GOOGLETRANSLATE(B19999,""id"",""en"")"),"['Knpa', 'opened', ""]")</f>
        <v>['Knpa', 'opened', "]</v>
      </c>
      <c r="D19999" s="3">
        <v>1.0</v>
      </c>
    </row>
    <row r="20000" ht="15.75" customHeight="1">
      <c r="A20000" s="1">
        <v>21271.0</v>
      </c>
      <c r="B20000" s="3" t="s">
        <v>18917</v>
      </c>
      <c r="C20000" s="3" t="str">
        <f>IFERROR(__xludf.DUMMYFUNCTION("GOOGLETRANSLATE(B20000,""id"",""en"")"),"['interesting', 'apk', 'good', '']")</f>
        <v>['interesting', 'apk', 'good', '']</v>
      </c>
      <c r="D20000" s="3">
        <v>5.0</v>
      </c>
    </row>
    <row r="20001" ht="15.75" customHeight="1">
      <c r="A20001" s="1">
        <v>21272.0</v>
      </c>
      <c r="B20001" s="3" t="s">
        <v>1367</v>
      </c>
      <c r="C20001" s="3" t="str">
        <f>IFERROR(__xludf.DUMMYFUNCTION("GOOGLETRANSLATE(B20001,""id"",""en"")"),"['good']")</f>
        <v>['good']</v>
      </c>
      <c r="D20001" s="3">
        <v>5.0</v>
      </c>
    </row>
    <row r="20002" ht="15.75" customHeight="1">
      <c r="A20002" s="1">
        <v>21273.0</v>
      </c>
      <c r="B20002" s="3" t="s">
        <v>6629</v>
      </c>
      <c r="C20002" s="3" t="str">
        <f>IFERROR(__xludf.DUMMYFUNCTION("GOOGLETRANSLATE(B20002,""id"",""en"")"),"['hope', 'gift']")</f>
        <v>['hope', 'gift']</v>
      </c>
      <c r="D20002" s="3">
        <v>5.0</v>
      </c>
    </row>
    <row r="20003" ht="15.75" customHeight="1">
      <c r="A20003" s="1">
        <v>21274.0</v>
      </c>
      <c r="B20003" s="3" t="s">
        <v>18918</v>
      </c>
      <c r="C20003" s="3" t="str">
        <f>IFERROR(__xludf.DUMMYFUNCTION("GOOGLETRANSLATE(B20003,""id"",""en"")"),"['menu', 'Slide', 'indicator', 'quota', 'difficult', 'shifted', 'disturbing', 'SAK', 'HRS', 'Many', 'Slide', ""]")</f>
        <v>['menu', 'Slide', 'indicator', 'quota', 'difficult', 'shifted', 'disturbing', 'SAK', 'HRS', 'Many', 'Slide', "]</v>
      </c>
      <c r="D20003" s="3">
        <v>3.0</v>
      </c>
    </row>
    <row r="20004" ht="15.75" customHeight="1">
      <c r="A20004" s="1">
        <v>21275.0</v>
      </c>
      <c r="B20004" s="3" t="s">
        <v>18919</v>
      </c>
      <c r="C20004" s="3" t="str">
        <f>IFERROR(__xludf.DUMMYFUNCTION("GOOGLETRANSLATE(B20004,""id"",""en"")"),"['Credit', 'automatically', 'Kedot', 'pdhal', 'debt', 'pulse', 'deliberate', 'buy', 'quota', ""]")</f>
        <v>['Credit', 'automatically', 'Kedot', 'pdhal', 'debt', 'pulse', 'deliberate', 'buy', 'quota', "]</v>
      </c>
      <c r="D20004" s="3">
        <v>1.0</v>
      </c>
    </row>
    <row r="20005" ht="15.75" customHeight="1">
      <c r="A20005" s="1">
        <v>21276.0</v>
      </c>
      <c r="B20005" s="3" t="s">
        <v>18920</v>
      </c>
      <c r="C20005" s="3" t="str">
        <f>IFERROR(__xludf.DUMMYFUNCTION("GOOGLETRANSLATE(B20005,""id"",""en"")"),"['ugly', 'Telkomsel', 'skrg', 'contents', 'pls', 'clock', 'always', 'berma referral', 'pls', 'enter', 'enter']")</f>
        <v>['ugly', 'Telkomsel', 'skrg', 'contents', 'pls', 'clock', 'always', 'berma referral', 'pls', 'enter', 'enter']</v>
      </c>
      <c r="D20005" s="3">
        <v>1.0</v>
      </c>
    </row>
    <row r="20006" ht="15.75" customHeight="1">
      <c r="A20006" s="1">
        <v>21277.0</v>
      </c>
      <c r="B20006" s="3" t="s">
        <v>18921</v>
      </c>
      <c r="C20006" s="3" t="str">
        <f>IFERROR(__xludf.DUMMYFUNCTION("GOOGLETRANSLATE(B20006,""id"",""en"")"),"['Network', 'good', 'in the future']")</f>
        <v>['Network', 'good', 'in the future']</v>
      </c>
      <c r="D20006" s="3">
        <v>5.0</v>
      </c>
    </row>
    <row r="20007" ht="15.75" customHeight="1">
      <c r="A20007" s="1">
        <v>21278.0</v>
      </c>
      <c r="B20007" s="3" t="s">
        <v>18922</v>
      </c>
      <c r="C20007" s="3" t="str">
        <f>IFERROR(__xludf.DUMMYFUNCTION("GOOGLETRANSLATE(B20007,""id"",""en"")"),"['Solution', 'Admin', 'Overcoming', 'Application', 'Opened']")</f>
        <v>['Solution', 'Admin', 'Overcoming', 'Application', 'Opened']</v>
      </c>
      <c r="D20007" s="3">
        <v>5.0</v>
      </c>
    </row>
    <row r="20008" ht="15.75" customHeight="1">
      <c r="A20008" s="1">
        <v>21279.0</v>
      </c>
      <c r="B20008" s="3" t="s">
        <v>18923</v>
      </c>
      <c r="C20008" s="3" t="str">
        <f>IFERROR(__xludf.DUMMYFUNCTION("GOOGLETRANSLATE(B20008,""id"",""en"")"),"['Segini', 'Transfer', 'Points']")</f>
        <v>['Segini', 'Transfer', 'Points']</v>
      </c>
      <c r="D20008" s="3">
        <v>4.0</v>
      </c>
    </row>
    <row r="20009" ht="15.75" customHeight="1">
      <c r="A20009" s="1">
        <v>21280.0</v>
      </c>
      <c r="B20009" s="3" t="s">
        <v>18924</v>
      </c>
      <c r="C20009" s="3" t="str">
        <f>IFERROR(__xludf.DUMMYFUNCTION("GOOGLETRANSLATE(B20009,""id"",""en"")"),"['Provider', 'strange', 'pulse', 'run out', 'Fair', 'tlg', 'management', 'repair']")</f>
        <v>['Provider', 'strange', 'pulse', 'run out', 'Fair', 'tlg', 'management', 'repair']</v>
      </c>
      <c r="D20009" s="3">
        <v>1.0</v>
      </c>
    </row>
    <row r="20010" ht="15.75" customHeight="1">
      <c r="A20010" s="1">
        <v>21281.0</v>
      </c>
      <c r="B20010" s="3" t="s">
        <v>18925</v>
      </c>
      <c r="C20010" s="3" t="str">
        <f>IFERROR(__xludf.DUMMYFUNCTION("GOOGLETRANSLATE(B20010,""id"",""en"")"),"['signal', 'Telkomsel', 'stable', 'breaking up', 'ngegame', 'lose', 'because', 'signal', 'broke', ""]")</f>
        <v>['signal', 'Telkomsel', 'stable', 'breaking up', 'ngegame', 'lose', 'because', 'signal', 'broke', "]</v>
      </c>
      <c r="D20010" s="3">
        <v>2.0</v>
      </c>
    </row>
    <row r="20011" ht="15.75" customHeight="1">
      <c r="A20011" s="1">
        <v>21283.0</v>
      </c>
      <c r="B20011" s="3" t="s">
        <v>18926</v>
      </c>
      <c r="C20011" s="3" t="str">
        <f>IFERROR(__xludf.DUMMYFUNCTION("GOOGLETRANSLATE(B20011,""id"",""en"")"),"['Zainul', 'Kholiq', 'Sagat', 'Good']")</f>
        <v>['Zainul', 'Kholiq', 'Sagat', 'Good']</v>
      </c>
      <c r="D20011" s="3">
        <v>5.0</v>
      </c>
    </row>
    <row r="20012" ht="15.75" customHeight="1">
      <c r="A20012" s="1">
        <v>21284.0</v>
      </c>
      <c r="B20012" s="3" t="s">
        <v>18927</v>
      </c>
      <c r="C20012" s="3" t="str">
        <f>IFERROR(__xludf.DUMMYFUNCTION("GOOGLETRANSLATE(B20012,""id"",""en"")"),"['Hi', 'Telkomsel', 'better', 'Delete', 'deh', 'application', 'hi', 'mimin', 'reply', 'help']")</f>
        <v>['Hi', 'Telkomsel', 'better', 'Delete', 'deh', 'application', 'hi', 'mimin', 'reply', 'help']</v>
      </c>
      <c r="D20012" s="3">
        <v>1.0</v>
      </c>
    </row>
    <row r="20013" ht="15.75" customHeight="1">
      <c r="A20013" s="1">
        <v>21285.0</v>
      </c>
      <c r="B20013" s="3" t="s">
        <v>18928</v>
      </c>
      <c r="C20013" s="3" t="str">
        <f>IFERROR(__xludf.DUMMYFUNCTION("GOOGLETRANSLATE(B20013,""id"",""en"")"),"['Good', 'ugly', 'damn', 'card', 'hello']")</f>
        <v>['Good', 'ugly', 'damn', 'card', 'hello']</v>
      </c>
      <c r="D20013" s="3">
        <v>1.0</v>
      </c>
    </row>
    <row r="20014" ht="15.75" customHeight="1">
      <c r="A20014" s="1">
        <v>21286.0</v>
      </c>
      <c r="B20014" s="3" t="s">
        <v>245</v>
      </c>
      <c r="C20014" s="3" t="str">
        <f>IFERROR(__xludf.DUMMYFUNCTION("GOOGLETRANSLATE(B20014,""id"",""en"")"),"['Package', 'expensive', '']")</f>
        <v>['Package', 'expensive', '']</v>
      </c>
      <c r="D20014" s="3">
        <v>2.0</v>
      </c>
    </row>
    <row r="20015" ht="15.75" customHeight="1">
      <c r="A20015" s="1">
        <v>21287.0</v>
      </c>
      <c r="B20015" s="3" t="s">
        <v>18929</v>
      </c>
      <c r="C20015" s="3" t="str">
        <f>IFERROR(__xludf.DUMMYFUNCTION("GOOGLETRANSLATE(B20015,""id"",""en"")"),"['Please', 'network', 'fix', 'please', 'package', 'internet', 'cheap', 'cheap']")</f>
        <v>['Please', 'network', 'fix', 'please', 'package', 'internet', 'cheap', 'cheap']</v>
      </c>
      <c r="D20015" s="3">
        <v>1.0</v>
      </c>
    </row>
    <row r="20016" ht="15.75" customHeight="1">
      <c r="A20016" s="1">
        <v>21288.0</v>
      </c>
      <c r="B20016" s="3" t="s">
        <v>18930</v>
      </c>
      <c r="C20016" s="3" t="str">
        <f>IFERROR(__xludf.DUMMYFUNCTION("GOOGLETRANSLATE(B20016,""id"",""en"")"),"['already', 'Pakek', 'Telkomsel', 'get', 'Kombo', 'saktik', 'friend', 'already', 'get', 'cheap', ""]")</f>
        <v>['already', 'Pakek', 'Telkomsel', 'get', 'Kombo', 'saktik', 'friend', 'already', 'get', 'cheap', "]</v>
      </c>
      <c r="D20016" s="3">
        <v>4.0</v>
      </c>
    </row>
    <row r="20017" ht="15.75" customHeight="1">
      <c r="A20017" s="1">
        <v>21289.0</v>
      </c>
      <c r="B20017" s="3" t="s">
        <v>18931</v>
      </c>
      <c r="C20017" s="3" t="str">
        <f>IFERROR(__xludf.DUMMYFUNCTION("GOOGLETRANSLATE(B20017,""id"",""en"")"),"['Ssya', 'Satisfied']")</f>
        <v>['Ssya', 'Satisfied']</v>
      </c>
      <c r="D20017" s="3">
        <v>5.0</v>
      </c>
    </row>
    <row r="20018" ht="15.75" customHeight="1">
      <c r="A20018" s="1">
        <v>21290.0</v>
      </c>
      <c r="B20018" s="3" t="s">
        <v>18932</v>
      </c>
      <c r="C20018" s="3" t="str">
        <f>IFERROR(__xludf.DUMMYFUNCTION("GOOGLETRANSLATE(B20018,""id"",""en"")"),"['pulse', 'RB', 'Available', 'MyTelkomsel']")</f>
        <v>['pulse', 'RB', 'Available', 'MyTelkomsel']</v>
      </c>
      <c r="D20018" s="3">
        <v>3.0</v>
      </c>
    </row>
    <row r="20019" ht="15.75" customHeight="1">
      <c r="A20019" s="1">
        <v>21293.0</v>
      </c>
      <c r="B20019" s="3" t="s">
        <v>18933</v>
      </c>
      <c r="C20019" s="3" t="str">
        <f>IFERROR(__xludf.DUMMYFUNCTION("GOOGLETRANSLATE(B20019,""id"",""en"")"),"['Yesterday', 'Sampaisaatini', 'Opened', 'Check', 'Kouta', 'Data', 'Please', 'Tlg', 'Repaired', 'Hopefully', 'Current', 'Trim', ' Ksh ',' ']")</f>
        <v>['Yesterday', 'Sampaisaatini', 'Opened', 'Check', 'Kouta', 'Data', 'Please', 'Tlg', 'Repaired', 'Hopefully', 'Current', 'Trim', ' Ksh ',' ']</v>
      </c>
      <c r="D20019" s="3">
        <v>5.0</v>
      </c>
    </row>
    <row r="20020" ht="15.75" customHeight="1">
      <c r="A20020" s="1">
        <v>21294.0</v>
      </c>
      <c r="B20020" s="3" t="s">
        <v>18934</v>
      </c>
      <c r="C20020" s="3" t="str">
        <f>IFERROR(__xludf.DUMMYFUNCTION("GOOGLETRANSLATE(B20020,""id"",""en"")"),"['Application', 'Install', 'Please', '']")</f>
        <v>['Application', 'Install', 'Please', '']</v>
      </c>
      <c r="D20020" s="3">
        <v>1.0</v>
      </c>
    </row>
    <row r="20021" ht="15.75" customHeight="1">
      <c r="A20021" s="1">
        <v>21296.0</v>
      </c>
      <c r="B20021" s="3" t="s">
        <v>18935</v>
      </c>
      <c r="C20021" s="3" t="str">
        <f>IFERROR(__xludf.DUMMYFUNCTION("GOOGLETRANSLATE(B20021,""id"",""en"")"),"['Telkomsel', 'Anjingggg', 'Selannn', 'lag', 'Selapnnn', 'buy', 'Package', 'work', 'Telkomsel', 'child', 'as' anjangngg ',' Babyyyy ',' Beast ',' Main ',' Game ',' Laggg ',' Anjingggg ',' Basic ',' Network ',' Network ',' Monyetttt ',' Asuuuu ']")</f>
        <v>['Telkomsel', 'Anjingggg', 'Selannn', 'lag', 'Selapnnn', 'buy', 'Package', 'work', 'Telkomsel', 'child', 'as' anjangngg ',' Babyyyy ',' Beast ',' Main ',' Game ',' Laggg ',' Anjingggg ',' Basic ',' Network ',' Network ',' Monyetttt ',' Asuuuu ']</v>
      </c>
      <c r="D20021" s="3">
        <v>1.0</v>
      </c>
    </row>
    <row r="20022" ht="15.75" customHeight="1">
      <c r="A20022" s="1">
        <v>21297.0</v>
      </c>
      <c r="B20022" s="3" t="s">
        <v>18936</v>
      </c>
      <c r="C20022" s="3" t="str">
        <f>IFERROR(__xludf.DUMMYFUNCTION("GOOGLETRANSLATE(B20022,""id"",""en"")"),"['pulse', 'buy', 'package', 'data', 'sufficient', 'pulse', 'leftover', 'price', 'applied', 'how', 'the story', 'try', ' Many ',' Tetep ',' Failed ',' Sampe ',' Males', 'Veronika', 'Veronika', 'Response', 'Very', 'Gajelas',' Veronika ',' Help ', ""]")</f>
        <v>['pulse', 'buy', 'package', 'data', 'sufficient', 'pulse', 'leftover', 'price', 'applied', 'how', 'the story', 'try', ' Many ',' Tetep ',' Failed ',' Sampe ',' Males', 'Veronika', 'Veronika', 'Response', 'Very', 'Gajelas',' Veronika ',' Help ', "]</v>
      </c>
      <c r="D20022" s="3">
        <v>1.0</v>
      </c>
    </row>
    <row r="20023" ht="15.75" customHeight="1">
      <c r="A20023" s="1">
        <v>21298.0</v>
      </c>
      <c r="B20023" s="3" t="s">
        <v>18937</v>
      </c>
      <c r="C20023" s="3" t="str">
        <f>IFERROR(__xludf.DUMMYFUNCTION("GOOGLETRANSLATE(B20023,""id"",""en"")"),"['signal', 'jelekkkkk', '']")</f>
        <v>['signal', 'jelekkkkk', '']</v>
      </c>
      <c r="D20023" s="3">
        <v>1.0</v>
      </c>
    </row>
    <row r="20024" ht="15.75" customHeight="1">
      <c r="A20024" s="1">
        <v>21299.0</v>
      </c>
      <c r="B20024" s="3" t="s">
        <v>18938</v>
      </c>
      <c r="C20024" s="3" t="str">
        <f>IFERROR(__xludf.DUMMYFUNCTION("GOOGLETRANSLATE(B20024,""id"",""en"")"),"['', 'Blum', 'bnyak']")</f>
        <v>['', 'Blum', 'bnyak']</v>
      </c>
      <c r="D20024" s="3">
        <v>4.0</v>
      </c>
    </row>
    <row r="20025" ht="15.75" customHeight="1">
      <c r="A20025" s="1">
        <v>21300.0</v>
      </c>
      <c r="B20025" s="3" t="s">
        <v>18939</v>
      </c>
      <c r="C20025" s="3" t="str">
        <f>IFERROR(__xludf.DUMMYFUNCTION("GOOGLETRANSLATE(B20025,""id"",""en"")"),"['Telkomsel', 'child', 'company', 'Telkom', 'company', 'owned', 'state', 'application', 'open', 'action', 'application', 'klu', ' Open ',' screen ',' blank ',' white ',' please ',' professional ',' company ',' telecommunications', 'biggest', 'Indonesia', "&amp;"'assorted', 'customer']")</f>
        <v>['Telkomsel', 'child', 'company', 'Telkom', 'company', 'owned', 'state', 'application', 'open', 'action', 'application', 'klu', ' Open ',' screen ',' blank ',' white ',' please ',' professional ',' company ',' telecommunications', 'biggest', 'Indonesia', 'assorted', 'customer']</v>
      </c>
      <c r="D20025" s="3">
        <v>1.0</v>
      </c>
    </row>
    <row r="20026" ht="15.75" customHeight="1">
      <c r="A20026" s="1">
        <v>21301.0</v>
      </c>
      <c r="B20026" s="3" t="s">
        <v>18940</v>
      </c>
      <c r="C20026" s="3" t="str">
        <f>IFERROR(__xludf.DUMMYFUNCTION("GOOGLETRANSLATE(B20026,""id"",""en"")"),"['', 'Telkomsel', 'already', 'love', 'star', 'bonus', 'pulse', 'ngak', 'come', 'pulse']")</f>
        <v>['', 'Telkomsel', 'already', 'love', 'star', 'bonus', 'pulse', 'ngak', 'come', 'pulse']</v>
      </c>
      <c r="D20026" s="3">
        <v>5.0</v>
      </c>
    </row>
    <row r="20027" ht="15.75" customHeight="1">
      <c r="A20027" s="1">
        <v>21302.0</v>
      </c>
      <c r="B20027" s="3" t="s">
        <v>18941</v>
      </c>
      <c r="C20027" s="3" t="str">
        <f>IFERROR(__xludf.DUMMYFUNCTION("GOOGLETRANSLATE(B20027,""id"",""en"")"),"['Good', 'kagak', 'promo', 'package', 'combo', 'cheap', 'telkomsel']")</f>
        <v>['Good', 'kagak', 'promo', 'package', 'combo', 'cheap', 'telkomsel']</v>
      </c>
      <c r="D20027" s="3">
        <v>4.0</v>
      </c>
    </row>
    <row r="20028" ht="15.75" customHeight="1">
      <c r="A20028" s="1">
        <v>21303.0</v>
      </c>
      <c r="B20028" s="3" t="s">
        <v>18942</v>
      </c>
      <c r="C20028" s="3" t="str">
        <f>IFERROR(__xludf.DUMMYFUNCTION("GOOGLETRANSLATE(B20028,""id"",""en"")"),"['Logik', 'Telkomsel', 'Please', 'Fix', 'Already', 'Fix', 'Lasi', 'Bintang', ""]")</f>
        <v>['Logik', 'Telkomsel', 'Please', 'Fix', 'Already', 'Fix', 'Lasi', 'Bintang', "]</v>
      </c>
      <c r="D20028" s="3">
        <v>1.0</v>
      </c>
    </row>
    <row r="20029" ht="15.75" customHeight="1">
      <c r="A20029" s="1">
        <v>21304.0</v>
      </c>
      <c r="B20029" s="3" t="s">
        <v>437</v>
      </c>
      <c r="C20029" s="3" t="str">
        <f>IFERROR(__xludf.DUMMYFUNCTION("GOOGLETRANSLATE(B20029,""id"",""en"")"),"['Steady', 'Anyway']")</f>
        <v>['Steady', 'Anyway']</v>
      </c>
      <c r="D20029" s="3">
        <v>5.0</v>
      </c>
    </row>
    <row r="20030" ht="15.75" customHeight="1">
      <c r="A20030" s="1">
        <v>21305.0</v>
      </c>
      <c r="B20030" s="3" t="s">
        <v>18943</v>
      </c>
      <c r="C20030" s="3" t="str">
        <f>IFERROR(__xludf.DUMMYFUNCTION("GOOGLETRANSLATE(B20030,""id"",""en"")"),"['PIN', 'password', 'sidik']")</f>
        <v>['PIN', 'password', 'sidik']</v>
      </c>
      <c r="D20030" s="3">
        <v>5.0</v>
      </c>
    </row>
    <row r="20031" ht="15.75" customHeight="1">
      <c r="A20031" s="1">
        <v>21306.0</v>
      </c>
      <c r="B20031" s="3" t="s">
        <v>18944</v>
      </c>
      <c r="C20031" s="3" t="str">
        <f>IFERROR(__xludf.DUMMYFUNCTION("GOOGLETRANSLATE(B20031,""id"",""en"")"),"['Jos', 'help']")</f>
        <v>['Jos', 'help']</v>
      </c>
      <c r="D20031" s="3">
        <v>5.0</v>
      </c>
    </row>
    <row r="20032" ht="15.75" customHeight="1">
      <c r="A20032" s="1">
        <v>21307.0</v>
      </c>
      <c r="B20032" s="3" t="s">
        <v>18945</v>
      </c>
      <c r="C20032" s="3" t="str">
        <f>IFERROR(__xludf.DUMMYFUNCTION("GOOGLETRANSLATE(B20032,""id"",""en"")"),"['Feel', 'Strong', 'Signal', 'Satisfied', 'Telkomsel', 'Siip', 'Mantapp', ""]")</f>
        <v>['Feel', 'Strong', 'Signal', 'Satisfied', 'Telkomsel', 'Siip', 'Mantapp', "]</v>
      </c>
      <c r="D20032" s="3">
        <v>5.0</v>
      </c>
    </row>
    <row r="20033" ht="15.75" customHeight="1">
      <c r="A20033" s="1">
        <v>21308.0</v>
      </c>
      <c r="B20033" s="3" t="s">
        <v>18946</v>
      </c>
      <c r="C20033" s="3" t="str">
        <f>IFERROR(__xludf.DUMMYFUNCTION("GOOGLETRANSLATE(B20033,""id"",""en"")"),"['Sorry', 'Understand', 'Cut', 'Pulses',' Wear ',' Package ',' Special ',' Package ',' Internet ',' Realize ',' Network ',' Drop ',' Credit ',' Cut ',' Message ',' Use ',' Internet ',' Non ',' Package ',' ']")</f>
        <v>['Sorry', 'Understand', 'Cut', 'Pulses',' Wear ',' Package ',' Special ',' Package ',' Internet ',' Realize ',' Network ',' Drop ',' Credit ',' Cut ',' Message ',' Use ',' Internet ',' Non ',' Package ',' ']</v>
      </c>
      <c r="D20033" s="3">
        <v>5.0</v>
      </c>
    </row>
    <row r="20034" ht="15.75" customHeight="1">
      <c r="A20034" s="1">
        <v>21309.0</v>
      </c>
      <c r="B20034" s="3" t="s">
        <v>18947</v>
      </c>
      <c r="C20034" s="3" t="str">
        <f>IFERROR(__xludf.DUMMYFUNCTION("GOOGLETRANSLATE(B20034,""id"",""en"")"),"['likes', 'give', 'information', 'sngat', 'accurate']")</f>
        <v>['likes', 'give', 'information', 'sngat', 'accurate']</v>
      </c>
      <c r="D20034" s="3">
        <v>5.0</v>
      </c>
    </row>
    <row r="20035" ht="15.75" customHeight="1">
      <c r="A20035" s="1">
        <v>21310.0</v>
      </c>
      <c r="B20035" s="3" t="s">
        <v>18948</v>
      </c>
      <c r="C20035" s="3" t="str">
        <f>IFERROR(__xludf.DUMMYFUNCTION("GOOGLETRANSLATE(B20035,""id"",""en"")"),"['Enga', 'Open', 'The application', 'already', 'Delete', 'Download', 'Enga', 'open', 'Sunday', 'Enga', 'Open', 'The application', ' ']")</f>
        <v>['Enga', 'Open', 'The application', 'already', 'Delete', 'Download', 'Enga', 'open', 'Sunday', 'Enga', 'Open', 'The application', ' ']</v>
      </c>
      <c r="D20035" s="3">
        <v>3.0</v>
      </c>
    </row>
    <row r="20036" ht="15.75" customHeight="1">
      <c r="A20036" s="1">
        <v>21311.0</v>
      </c>
      <c r="B20036" s="3" t="s">
        <v>18949</v>
      </c>
      <c r="C20036" s="3" t="str">
        <f>IFERROR(__xludf.DUMMYFUNCTION("GOOGLETRANSLATE(B20036,""id"",""en"")"),"['Telkomsel', 'emang', 'best', 'developed', 'signal', 'Indonesia', 'users',' Telkomsel ',' Satisfied ',' Sometimes', 'Network', 'Bad', ' Rustic ',' plain ']")</f>
        <v>['Telkomsel', 'emang', 'best', 'developed', 'signal', 'Indonesia', 'users',' Telkomsel ',' Satisfied ',' Sometimes', 'Network', 'Bad', ' Rustic ',' plain ']</v>
      </c>
      <c r="D20036" s="3">
        <v>5.0</v>
      </c>
    </row>
    <row r="20037" ht="15.75" customHeight="1">
      <c r="A20037" s="1">
        <v>21312.0</v>
      </c>
      <c r="B20037" s="3" t="s">
        <v>18950</v>
      </c>
      <c r="C20037" s="3" t="str">
        <f>IFERROR(__xludf.DUMMYFUNCTION("GOOGLETRANSLATE(B20037,""id"",""en"")"),"['Fix', 'The application', 'bro', 'shy', 'IN', 'Provider', 'Gede', 'name', 'convenience', 'Customer', 'Victimin', 'Login', ' difficult ',' application ']")</f>
        <v>['Fix', 'The application', 'bro', 'shy', 'IN', 'Provider', 'Gede', 'name', 'convenience', 'Customer', 'Victimin', 'Login', ' difficult ',' application ']</v>
      </c>
      <c r="D20037" s="3">
        <v>1.0</v>
      </c>
    </row>
    <row r="20038" ht="15.75" customHeight="1">
      <c r="A20038" s="1">
        <v>21313.0</v>
      </c>
      <c r="B20038" s="3" t="s">
        <v>18951</v>
      </c>
      <c r="C20038" s="3" t="str">
        <f>IFERROR(__xludf.DUMMYFUNCTION("GOOGLETRANSLATE(B20038,""id"",""en"")"),"['application', 'help', 'activity', 'a day']")</f>
        <v>['application', 'help', 'activity', 'a day']</v>
      </c>
      <c r="D20038" s="3">
        <v>5.0</v>
      </c>
    </row>
    <row r="20039" ht="15.75" customHeight="1">
      <c r="A20039" s="1">
        <v>21314.0</v>
      </c>
      <c r="B20039" s="3" t="s">
        <v>18952</v>
      </c>
      <c r="C20039" s="3" t="str">
        <f>IFERROR(__xludf.DUMMYFUNCTION("GOOGLETRANSLATE(B20039,""id"",""en"")"),"['Price', 'Package', 'Data', 'Mantap']")</f>
        <v>['Price', 'Package', 'Data', 'Mantap']</v>
      </c>
      <c r="D20039" s="3">
        <v>1.0</v>
      </c>
    </row>
    <row r="20040" ht="15.75" customHeight="1">
      <c r="A20040" s="1">
        <v>21315.0</v>
      </c>
      <c r="B20040" s="3" t="s">
        <v>18953</v>
      </c>
      <c r="C20040" s="3" t="str">
        <f>IFERROR(__xludf.DUMMYFUNCTION("GOOGLETRANSLATE(B20040,""id"",""en"")"),"['Update', 'ngeblank', 'enter', 'menu', 'login', 'already', 'lho', 'white', 'doank', 'look', 'please', 'response', ' Bozz ',' ngambang ',' answer ']")</f>
        <v>['Update', 'ngeblank', 'enter', 'menu', 'login', 'already', 'lho', 'white', 'doank', 'look', 'please', 'response', ' Bozz ',' ngambang ',' answer ']</v>
      </c>
      <c r="D20040" s="3">
        <v>1.0</v>
      </c>
    </row>
    <row r="20041" ht="15.75" customHeight="1">
      <c r="A20041" s="1">
        <v>21316.0</v>
      </c>
      <c r="B20041" s="3" t="s">
        <v>18954</v>
      </c>
      <c r="C20041" s="3" t="str">
        <f>IFERROR(__xludf.DUMMYFUNCTION("GOOGLETRANSLATE(B20041,""id"",""en"")"),"['Helpful', 'user', 'Telkomsel']")</f>
        <v>['Helpful', 'user', 'Telkomsel']</v>
      </c>
      <c r="D20041" s="3">
        <v>5.0</v>
      </c>
    </row>
    <row r="20042" ht="15.75" customHeight="1">
      <c r="A20042" s="1">
        <v>21317.0</v>
      </c>
      <c r="B20042" s="3" t="s">
        <v>18955</v>
      </c>
      <c r="C20042" s="3" t="str">
        <f>IFERROR(__xludf.DUMMYFUNCTION("GOOGLETRANSLATE(B20042,""id"",""en"")"),"['signal', 'ugly', 'bangat']")</f>
        <v>['signal', 'ugly', 'bangat']</v>
      </c>
      <c r="D20042" s="3">
        <v>3.0</v>
      </c>
    </row>
    <row r="20043" ht="15.75" customHeight="1">
      <c r="A20043" s="1">
        <v>21318.0</v>
      </c>
      <c r="B20043" s="3" t="s">
        <v>18956</v>
      </c>
      <c r="C20043" s="3" t="str">
        <f>IFERROR(__xludf.DUMMYFUNCTION("GOOGLETRANSLATE(B20043,""id"",""en"")"),"['', 'Telkomsel', 'open', 'Knp', 'yaaa', 'network', 'bgus', 'koooo', ""]")</f>
        <v>['', 'Telkomsel', 'open', 'Knp', 'yaaa', 'network', 'bgus', 'koooo', "]</v>
      </c>
      <c r="D20043" s="3">
        <v>1.0</v>
      </c>
    </row>
    <row r="20044" ht="15.75" customHeight="1">
      <c r="A20044" s="1">
        <v>21319.0</v>
      </c>
      <c r="B20044" s="3" t="s">
        <v>18957</v>
      </c>
      <c r="C20044" s="3" t="str">
        <f>IFERROR(__xludf.DUMMYFUNCTION("GOOGLETRANSLATE(B20044,""id"",""en"")"),"['Hi', 'Min', 'Install', 'Application', 'MyTelkomsel', 'please', 'repaired', '']")</f>
        <v>['Hi', 'Min', 'Install', 'Application', 'MyTelkomsel', 'please', 'repaired', '']</v>
      </c>
      <c r="D20044" s="3">
        <v>1.0</v>
      </c>
    </row>
    <row r="20045" ht="15.75" customHeight="1">
      <c r="A20045" s="1">
        <v>21320.0</v>
      </c>
      <c r="B20045" s="3" t="s">
        <v>18958</v>
      </c>
      <c r="C20045" s="3" t="str">
        <f>IFERROR(__xludf.DUMMYFUNCTION("GOOGLETRANSLATE(B20045,""id"",""en"")"),"['Love', 'gift', 'daily', 'min', 'hrinya', 'lack of', 'little', '']")</f>
        <v>['Love', 'gift', 'daily', 'min', 'hrinya', 'lack of', 'little', '']</v>
      </c>
      <c r="D20045" s="3">
        <v>4.0</v>
      </c>
    </row>
    <row r="20046" ht="15.75" customHeight="1">
      <c r="A20046" s="1">
        <v>21321.0</v>
      </c>
      <c r="B20046" s="3" t="s">
        <v>18959</v>
      </c>
      <c r="C20046" s="3" t="str">
        <f>IFERROR(__xludf.DUMMYFUNCTION("GOOGLETRANSLATE(B20046,""id"",""en"")"),"['leftover', 'quota', 'internet', 'monthly', 'extended', 'leftover', 'quota', 'scorched']")</f>
        <v>['leftover', 'quota', 'internet', 'monthly', 'extended', 'leftover', 'quota', 'scorched']</v>
      </c>
      <c r="D20046" s="3">
        <v>2.0</v>
      </c>
    </row>
    <row r="20047" ht="15.75" customHeight="1">
      <c r="A20047" s="1">
        <v>21322.0</v>
      </c>
      <c r="B20047" s="3" t="s">
        <v>18960</v>
      </c>
      <c r="C20047" s="3" t="str">
        <f>IFERROR(__xludf.DUMMYFUNCTION("GOOGLETRANSLATE(B20047,""id"",""en"")"),"['Network', 'slow', 'leoding', 'slow']")</f>
        <v>['Network', 'slow', 'leoding', 'slow']</v>
      </c>
      <c r="D20047" s="3">
        <v>5.0</v>
      </c>
    </row>
    <row r="20048" ht="15.75" customHeight="1">
      <c r="A20048" s="1">
        <v>21324.0</v>
      </c>
      <c r="B20048" s="3" t="s">
        <v>18961</v>
      </c>
      <c r="C20048" s="3" t="str">
        <f>IFERROR(__xludf.DUMMYFUNCTION("GOOGLETRANSLATE(B20048,""id"",""en"")"),"['Terimaksih', 'Telkomsel', 'accompany', 'Telkomsel', 'Forgot', 'Give', 'Way', 'Help', 'People', 'affected', 'disaster']")</f>
        <v>['Terimaksih', 'Telkomsel', 'accompany', 'Telkomsel', 'Forgot', 'Give', 'Way', 'Help', 'People', 'affected', 'disaster']</v>
      </c>
      <c r="D20048" s="3">
        <v>5.0</v>
      </c>
    </row>
    <row r="20049" ht="15.75" customHeight="1">
      <c r="A20049" s="1">
        <v>21325.0</v>
      </c>
      <c r="B20049" s="3" t="s">
        <v>18962</v>
      </c>
      <c r="C20049" s="3" t="str">
        <f>IFERROR(__xludf.DUMMYFUNCTION("GOOGLETRANSLATE(B20049,""id"",""en"")"),"['Males', 'Paki', 'Telkomsel', 'Send', 'Credit', 'number', 'BSA', '']")</f>
        <v>['Males', 'Paki', 'Telkomsel', 'Send', 'Credit', 'number', 'BSA', '']</v>
      </c>
      <c r="D20049" s="3">
        <v>2.0</v>
      </c>
    </row>
    <row r="20050" ht="15.75" customHeight="1">
      <c r="A20050" s="1">
        <v>21326.0</v>
      </c>
      <c r="B20050" s="3" t="s">
        <v>18963</v>
      </c>
      <c r="C20050" s="3" t="str">
        <f>IFERROR(__xludf.DUMMYFUNCTION("GOOGLETRANSLATE(B20050,""id"",""en"")"),"['likes', 'apps', 'easy', 'buy', 'package', 'data', 'pulse', 'price', 'affordable']")</f>
        <v>['likes', 'apps', 'easy', 'buy', 'package', 'data', 'pulse', 'price', 'affordable']</v>
      </c>
      <c r="D20050" s="3">
        <v>3.0</v>
      </c>
    </row>
    <row r="20051" ht="15.75" customHeight="1">
      <c r="A20051" s="1">
        <v>21327.0</v>
      </c>
      <c r="B20051" s="3" t="s">
        <v>18964</v>
      </c>
      <c r="C20051" s="3" t="str">
        <f>IFERROR(__xludf.DUMMYFUNCTION("GOOGLETRANSLATE(B20051,""id"",""en"")"),"['Love', 'star', 'please', 'fix', 'subscribe', 'package', 'emergency', 'automatic', 'subscribe', 'disappointed', 'Telkomsel', 'please', ' repair']")</f>
        <v>['Love', 'star', 'please', 'fix', 'subscribe', 'package', 'emergency', 'automatic', 'subscribe', 'disappointed', 'Telkomsel', 'please', ' repair']</v>
      </c>
      <c r="D20051" s="3">
        <v>2.0</v>
      </c>
    </row>
    <row r="20052" ht="15.75" customHeight="1">
      <c r="A20052" s="1">
        <v>21328.0</v>
      </c>
      <c r="B20052" s="3" t="s">
        <v>18965</v>
      </c>
      <c r="C20052" s="3" t="str">
        <f>IFERROR(__xludf.DUMMYFUNCTION("GOOGLETRANSLATE(B20052,""id"",""en"")"),"['', 'Telkomsel', 'missing', 'screen', 'install', 'screen', 'Telkomsel', 'SPT', ""]")</f>
        <v>['', 'Telkomsel', 'missing', 'screen', 'install', 'screen', 'Telkomsel', 'SPT', "]</v>
      </c>
      <c r="D20052" s="3">
        <v>1.0</v>
      </c>
    </row>
    <row r="20053" ht="15.75" customHeight="1">
      <c r="A20053" s="1">
        <v>21329.0</v>
      </c>
      <c r="B20053" s="3" t="s">
        <v>18966</v>
      </c>
      <c r="C20053" s="3" t="str">
        <f>IFERROR(__xludf.DUMMYFUNCTION("GOOGLETRANSLATE(B20053,""id"",""en"")"),"['carcass', 'til', 'cell', 'play', 'game', 'break up']")</f>
        <v>['carcass', 'til', 'cell', 'play', 'game', 'break up']</v>
      </c>
      <c r="D20053" s="3">
        <v>1.0</v>
      </c>
    </row>
    <row r="20054" ht="15.75" customHeight="1">
      <c r="A20054" s="1">
        <v>21330.0</v>
      </c>
      <c r="B20054" s="3" t="s">
        <v>18967</v>
      </c>
      <c r="C20054" s="3" t="str">
        <f>IFERROR(__xludf.DUMMYFUNCTION("GOOGLETRANSLATE(B20054,""id"",""en"")"),"['already', 'slow', 'opened', 'open', 'appears',' screen ',' roam ',' available ',' giga ',' empty ',' mito ',' woi ',' Telkomsel ',' Benerin ',' APK ',' BURIK ']")</f>
        <v>['already', 'slow', 'opened', 'open', 'appears',' screen ',' roam ',' available ',' giga ',' empty ',' mito ',' woi ',' Telkomsel ',' Benerin ',' APK ',' BURIK ']</v>
      </c>
      <c r="D20054" s="3">
        <v>1.0</v>
      </c>
    </row>
    <row r="20055" ht="15.75" customHeight="1">
      <c r="A20055" s="1">
        <v>21331.0</v>
      </c>
      <c r="B20055" s="3" t="s">
        <v>18968</v>
      </c>
      <c r="C20055" s="3" t="str">
        <f>IFERROR(__xludf.DUMMYFUNCTION("GOOGLETRANSLATE(B20055,""id"",""en"")"),"['oath', 'complain', 'network', 'me', 'slow', 'action']")</f>
        <v>['oath', 'complain', 'network', 'me', 'slow', 'action']</v>
      </c>
      <c r="D20055" s="3">
        <v>1.0</v>
      </c>
    </row>
    <row r="20056" ht="15.75" customHeight="1">
      <c r="A20056" s="1">
        <v>21332.0</v>
      </c>
      <c r="B20056" s="3" t="s">
        <v>18969</v>
      </c>
      <c r="C20056" s="3" t="str">
        <f>IFERROR(__xludf.DUMMYFUNCTION("GOOGLETRANSLATE(B20056,""id"",""en"")"),"['Internet', 'local', 'region', 'activate', 'package', 'data']")</f>
        <v>['Internet', 'local', 'region', 'activate', 'package', 'data']</v>
      </c>
      <c r="D20056" s="3">
        <v>1.0</v>
      </c>
    </row>
    <row r="20057" ht="15.75" customHeight="1">
      <c r="A20057" s="1">
        <v>21333.0</v>
      </c>
      <c r="B20057" s="3" t="s">
        <v>18970</v>
      </c>
      <c r="C20057" s="3" t="str">
        <f>IFERROR(__xludf.DUMMYFUNCTION("GOOGLETRANSLATE(B20057,""id"",""en"")"),"['Hurry ""]")</f>
        <v>['Hurry "]</v>
      </c>
      <c r="D20057" s="3">
        <v>4.0</v>
      </c>
    </row>
    <row r="20058" ht="15.75" customHeight="1">
      <c r="A20058" s="1">
        <v>21334.0</v>
      </c>
      <c r="B20058" s="3" t="s">
        <v>18971</v>
      </c>
      <c r="C20058" s="3" t="str">
        <f>IFERROR(__xludf.DUMMYFUNCTION("GOOGLETRANSLATE(B20058,""id"",""en"")"),"['connection', 'please', 'fix', 'connection', 'cloudy', 'cloudy', 'connection', 'internet', 'connects',' weather ',' cloud ',' price ',' App ',' MyTelkomsel ',' That's', 'Mas',' Buy ',' Package ',' Combo ',' Sakti ',' App ',' Active ',' Package ',' Reduce"&amp;"d ',' Sometimes' , 'this is', 'mah', 'corrupt', 'active', 'package', 'buy', 'direct', 'grapari', 'hr', 'active', ""]")</f>
        <v>['connection', 'please', 'fix', 'connection', 'cloudy', 'cloudy', 'connection', 'internet', 'connects',' weather ',' cloud ',' price ',' App ',' MyTelkomsel ',' That's', 'Mas',' Buy ',' Package ',' Combo ',' Sakti ',' App ',' Active ',' Package ',' Reduced ',' Sometimes' , 'this is', 'mah', 'corrupt', 'active', 'package', 'buy', 'direct', 'grapari', 'hr', 'active', "]</v>
      </c>
      <c r="D20058" s="3">
        <v>1.0</v>
      </c>
    </row>
    <row r="20059" ht="15.75" customHeight="1">
      <c r="A20059" s="1">
        <v>21335.0</v>
      </c>
      <c r="B20059" s="3" t="s">
        <v>18972</v>
      </c>
      <c r="C20059" s="3" t="str">
        <f>IFERROR(__xludf.DUMMYFUNCTION("GOOGLETRANSLATE(B20059,""id"",""en"")"),"['Telkomsel', 'quota', 'expensive', 'napa', 'see', 'down', 'udh', 'tell', 'quota', 'expensive']")</f>
        <v>['Telkomsel', 'quota', 'expensive', 'napa', 'see', 'down', 'udh', 'tell', 'quota', 'expensive']</v>
      </c>
      <c r="D20059" s="3">
        <v>5.0</v>
      </c>
    </row>
    <row r="20060" ht="15.75" customHeight="1">
      <c r="A20060" s="1">
        <v>21336.0</v>
      </c>
      <c r="B20060" s="3" t="s">
        <v>18973</v>
      </c>
      <c r="C20060" s="3" t="str">
        <f>IFERROR(__xludf.DUMMYFUNCTION("GOOGLETRANSLATE(B20060,""id"",""en"")"),"['strange', 'Telkomsel', 'operator', 'Indonesia', 'network', 'slow', 'forgiveness',' ganguan ',' hopefully ',' listen ',' management ',' Telkomsel ',' Please, 'repair']")</f>
        <v>['strange', 'Telkomsel', 'operator', 'Indonesia', 'network', 'slow', 'forgiveness',' ganguan ',' hopefully ',' listen ',' management ',' Telkomsel ',' Please, 'repair']</v>
      </c>
      <c r="D20060" s="3">
        <v>1.0</v>
      </c>
    </row>
    <row r="20061" ht="15.75" customHeight="1">
      <c r="A20061" s="1">
        <v>21337.0</v>
      </c>
      <c r="B20061" s="3" t="s">
        <v>18974</v>
      </c>
      <c r="C20061" s="3" t="str">
        <f>IFERROR(__xludf.DUMMYFUNCTION("GOOGLETRANSLATE(B20061,""id"",""en"")"),"['night', 'slow', 'clock', 'and above', '']")</f>
        <v>['night', 'slow', 'clock', 'and above', '']</v>
      </c>
      <c r="D20061" s="3">
        <v>1.0</v>
      </c>
    </row>
    <row r="20062" ht="15.75" customHeight="1">
      <c r="A20062" s="1">
        <v>21338.0</v>
      </c>
      <c r="B20062" s="3" t="s">
        <v>18975</v>
      </c>
      <c r="C20062" s="3" t="str">
        <f>IFERROR(__xludf.DUMMYFUNCTION("GOOGLETRANSLATE(B20062,""id"",""en"")"),"['Network', 'down', 'mulu', 'please', 'fix', 'package', 'expensive', 'network', 'difficult', 'what', ""]")</f>
        <v>['Network', 'down', 'mulu', 'please', 'fix', 'package', 'expensive', 'network', 'difficult', 'what', "]</v>
      </c>
      <c r="D20062" s="3">
        <v>1.0</v>
      </c>
    </row>
    <row r="20063" ht="15.75" customHeight="1">
      <c r="A20063" s="1">
        <v>21339.0</v>
      </c>
      <c r="B20063" s="3" t="s">
        <v>18976</v>
      </c>
      <c r="C20063" s="3" t="str">
        <f>IFERROR(__xludf.DUMMYFUNCTION("GOOGLETRANSLATE(B20063,""id"",""en"")"),"['Enter', 'APK', 'already', 'repeat', 'times', 'install']")</f>
        <v>['Enter', 'APK', 'already', 'repeat', 'times', 'install']</v>
      </c>
      <c r="D20063" s="3">
        <v>1.0</v>
      </c>
    </row>
    <row r="20064" ht="15.75" customHeight="1">
      <c r="A20064" s="1">
        <v>21340.0</v>
      </c>
      <c r="B20064" s="3" t="s">
        <v>18977</v>
      </c>
      <c r="C20064" s="3" t="str">
        <f>IFERROR(__xludf.DUMMYFUNCTION("GOOGLETRANSLATE(B20064,""id"",""en"")"),"['Bedbets', 'staple', '']")</f>
        <v>['Bedbets', 'staple', '']</v>
      </c>
      <c r="D20064" s="3">
        <v>5.0</v>
      </c>
    </row>
    <row r="20065" ht="15.75" customHeight="1">
      <c r="A20065" s="1">
        <v>21341.0</v>
      </c>
      <c r="B20065" s="3" t="s">
        <v>18978</v>
      </c>
      <c r="C20065" s="3" t="str">
        <f>IFERROR(__xludf.DUMMYFUNCTION("GOOGLETRANSLATE(B20065,""id"",""en"")"),"['Telkomsel', 'open', 'please', 'how']")</f>
        <v>['Telkomsel', 'open', 'please', 'how']</v>
      </c>
      <c r="D20065" s="3">
        <v>1.0</v>
      </c>
    </row>
    <row r="20066" ht="15.75" customHeight="1">
      <c r="A20066" s="1">
        <v>21342.0</v>
      </c>
      <c r="B20066" s="3" t="s">
        <v>6437</v>
      </c>
      <c r="C20066" s="3" t="str">
        <f>IFERROR(__xludf.DUMMYFUNCTION("GOOGLETRANSLATE(B20066,""id"",""en"")"),"['easy', 'practical']")</f>
        <v>['easy', 'practical']</v>
      </c>
      <c r="D20066" s="3">
        <v>5.0</v>
      </c>
    </row>
    <row r="20067" ht="15.75" customHeight="1">
      <c r="A20067" s="1">
        <v>21343.0</v>
      </c>
      <c r="B20067" s="3" t="s">
        <v>18979</v>
      </c>
      <c r="C20067" s="3" t="str">
        <f>IFERROR(__xludf.DUMMYFUNCTION("GOOGLETRANSLATE(B20067,""id"",""en"")"),"['Hello', 'MyTelkomsel', 'Application', 'Telkomsel', 'Lost', 'Reinstall', 'Finish', 'Download', 'Failed', 'Write', 'Failed', 'Mamasang', ' application']")</f>
        <v>['Hello', 'MyTelkomsel', 'Application', 'Telkomsel', 'Lost', 'Reinstall', 'Finish', 'Download', 'Failed', 'Write', 'Failed', 'Mamasang', ' application']</v>
      </c>
      <c r="D20067" s="3">
        <v>1.0</v>
      </c>
    </row>
    <row r="20068" ht="15.75" customHeight="1">
      <c r="A20068" s="1">
        <v>21344.0</v>
      </c>
      <c r="B20068" s="3" t="s">
        <v>18980</v>
      </c>
      <c r="C20068" s="3" t="str">
        <f>IFERROR(__xludf.DUMMYFUNCTION("GOOGLETRANSLATE(B20068,""id"",""en"")"),"['Telkomsel', 'child', 'pig', 'signal', 'ngelag', 'times']")</f>
        <v>['Telkomsel', 'child', 'pig', 'signal', 'ngelag', 'times']</v>
      </c>
      <c r="D20068" s="3">
        <v>1.0</v>
      </c>
    </row>
    <row r="20069" ht="15.75" customHeight="1">
      <c r="A20069" s="1">
        <v>21345.0</v>
      </c>
      <c r="B20069" s="3" t="s">
        <v>18981</v>
      </c>
      <c r="C20069" s="3" t="str">
        <f>IFERROR(__xludf.DUMMYFUNCTION("GOOGLETRANSLATE(B20069,""id"",""en"")"),"['Belik', 'package', 'expensive', 'use', 'signal', 'slow', 'regret', 'fill in', 'pulse', 'buy', 'package', 'gini', ' It's better ',' buy ',' card ',' ']")</f>
        <v>['Belik', 'package', 'expensive', 'use', 'signal', 'slow', 'regret', 'fill in', 'pulse', 'buy', 'package', 'gini', ' It's better ',' buy ',' card ',' ']</v>
      </c>
      <c r="D20069" s="3">
        <v>1.0</v>
      </c>
    </row>
    <row r="20070" ht="15.75" customHeight="1">
      <c r="A20070" s="1">
        <v>21346.0</v>
      </c>
      <c r="B20070" s="3" t="s">
        <v>18982</v>
      </c>
      <c r="C20070" s="3" t="str">
        <f>IFERROR(__xludf.DUMMYFUNCTION("GOOGLETRANSLATE(B20070,""id"",""en"")"),"['signal', 'good', 'card', '']")</f>
        <v>['signal', 'good', 'card', '']</v>
      </c>
      <c r="D20070" s="3">
        <v>2.0</v>
      </c>
    </row>
    <row r="20071" ht="15.75" customHeight="1">
      <c r="A20071" s="1">
        <v>21347.0</v>
      </c>
      <c r="B20071" s="3" t="s">
        <v>2127</v>
      </c>
      <c r="C20071" s="3" t="str">
        <f>IFERROR(__xludf.DUMMYFUNCTION("GOOGLETRANSLATE(B20071,""id"",""en"")"),"['easy']")</f>
        <v>['easy']</v>
      </c>
      <c r="D20071" s="3">
        <v>5.0</v>
      </c>
    </row>
    <row r="20072" ht="15.75" customHeight="1">
      <c r="A20072" s="1">
        <v>21348.0</v>
      </c>
      <c r="B20072" s="3" t="s">
        <v>18983</v>
      </c>
      <c r="C20072" s="3" t="str">
        <f>IFERROR(__xludf.DUMMYFUNCTION("GOOGLETRANSLATE(B20072,""id"",""en"")"),"['', 'Biaa', 'opened', 'ugly', 'area', 'padangsidimpuan', 'sipirok', 'sufficient', 'bad']")</f>
        <v>['', 'Biaa', 'opened', 'ugly', 'area', 'padangsidimpuan', 'sipirok', 'sufficient', 'bad']</v>
      </c>
      <c r="D20072" s="3">
        <v>1.0</v>
      </c>
    </row>
    <row r="20073" ht="15.75" customHeight="1">
      <c r="A20073" s="1">
        <v>21349.0</v>
      </c>
      <c r="B20073" s="3" t="s">
        <v>18984</v>
      </c>
      <c r="C20073" s="3" t="str">
        <f>IFERROR(__xludf.DUMMYFUNCTION("GOOGLETRANSLATE(B20073,""id"",""en"")"),"['Telkomsel', 'Halooo', 'Internet', 'Labuhan', 'Queen', 'Raya', 'Disrupted', 'Gada', 'Solution', 'TelkomSellllll', 'Uda', 'Ngadu', ' TTEP ',' GDA ',' Change ']")</f>
        <v>['Telkomsel', 'Halooo', 'Internet', 'Labuhan', 'Queen', 'Raya', 'Disrupted', 'Gada', 'Solution', 'TelkomSellllll', 'Uda', 'Ngadu', ' TTEP ',' GDA ',' Change ']</v>
      </c>
      <c r="D20073" s="3">
        <v>1.0</v>
      </c>
    </row>
    <row r="20074" ht="15.75" customHeight="1">
      <c r="A20074" s="1">
        <v>21350.0</v>
      </c>
      <c r="B20074" s="3" t="s">
        <v>18985</v>
      </c>
      <c r="C20074" s="3" t="str">
        <f>IFERROR(__xludf.DUMMYFUNCTION("GOOGLETRANSLATE(B20074,""id"",""en"")"),"['Simple', 'easy', 'fast', 'useful']")</f>
        <v>['Simple', 'easy', 'fast', 'useful']</v>
      </c>
      <c r="D20074" s="3">
        <v>5.0</v>
      </c>
    </row>
    <row r="20075" ht="15.75" customHeight="1">
      <c r="A20075" s="1">
        <v>21351.0</v>
      </c>
      <c r="B20075" s="3" t="s">
        <v>18986</v>
      </c>
      <c r="C20075" s="3" t="str">
        <f>IFERROR(__xludf.DUMMYFUNCTION("GOOGLETRANSLATE(B20075,""id"",""en"")"),"['hopefully', 'fast', 'loding']")</f>
        <v>['hopefully', 'fast', 'loding']</v>
      </c>
      <c r="D20075" s="3">
        <v>4.0</v>
      </c>
    </row>
    <row r="20076" ht="15.75" customHeight="1">
      <c r="A20076" s="1">
        <v>21352.0</v>
      </c>
      <c r="B20076" s="3" t="s">
        <v>18987</v>
      </c>
      <c r="C20076" s="3" t="str">
        <f>IFERROR(__xludf.DUMMYFUNCTION("GOOGLETRANSLATE(B20076,""id"",""en"")"),"['Steady', 'Satisfied']")</f>
        <v>['Steady', 'Satisfied']</v>
      </c>
      <c r="D20076" s="3">
        <v>5.0</v>
      </c>
    </row>
    <row r="20077" ht="15.75" customHeight="1">
      <c r="A20077" s="1">
        <v>21353.0</v>
      </c>
      <c r="B20077" s="3" t="s">
        <v>9402</v>
      </c>
      <c r="C20077" s="3" t="str">
        <f>IFERROR(__xludf.DUMMYFUNCTION("GOOGLETRANSLATE(B20077,""id"",""en"")"),"['satisfied', '']")</f>
        <v>['satisfied', '']</v>
      </c>
      <c r="D20077" s="3">
        <v>5.0</v>
      </c>
    </row>
    <row r="20078" ht="15.75" customHeight="1">
      <c r="A20078" s="1">
        <v>21354.0</v>
      </c>
      <c r="B20078" s="3" t="s">
        <v>18988</v>
      </c>
      <c r="C20078" s="3" t="str">
        <f>IFERROR(__xludf.DUMMYFUNCTION("GOOGLETRANSLATE(B20078,""id"",""en"")"),"['Disruption', 'Mulu', 'Network', 'Kuganti', 'Star', '']")</f>
        <v>['Disruption', 'Mulu', 'Network', 'Kuganti', 'Star', '']</v>
      </c>
      <c r="D20078" s="3">
        <v>1.0</v>
      </c>
    </row>
    <row r="20079" ht="15.75" customHeight="1">
      <c r="A20079" s="1">
        <v>21355.0</v>
      </c>
      <c r="B20079" s="3" t="s">
        <v>18989</v>
      </c>
      <c r="C20079" s="3" t="str">
        <f>IFERROR(__xludf.DUMMYFUNCTION("GOOGLETRANSLATE(B20079,""id"",""en"")"),"['signal', 'taste', '']")</f>
        <v>['signal', 'taste', '']</v>
      </c>
      <c r="D20079" s="3">
        <v>1.0</v>
      </c>
    </row>
    <row r="20080" ht="15.75" customHeight="1">
      <c r="A20080" s="1">
        <v>21356.0</v>
      </c>
      <c r="B20080" s="3" t="s">
        <v>18990</v>
      </c>
      <c r="C20080" s="3" t="str">
        <f>IFERROR(__xludf.DUMMYFUNCTION("GOOGLETRANSLATE(B20080,""id"",""en"")"),"['steady', 'signal', 'strong']")</f>
        <v>['steady', 'signal', 'strong']</v>
      </c>
      <c r="D20080" s="3">
        <v>5.0</v>
      </c>
    </row>
    <row r="20081" ht="15.75" customHeight="1">
      <c r="A20081" s="1">
        <v>21357.0</v>
      </c>
      <c r="B20081" s="3" t="s">
        <v>18991</v>
      </c>
      <c r="C20081" s="3" t="str">
        <f>IFERROR(__xludf.DUMMYFUNCTION("GOOGLETRANSLATE(B20081,""id"",""en"")"),"['Android', 'missing', 'Install', 'Please', 'repaired', '']")</f>
        <v>['Android', 'missing', 'Install', 'Please', 'repaired', '']</v>
      </c>
      <c r="D20081" s="3">
        <v>1.0</v>
      </c>
    </row>
    <row r="20082" ht="15.75" customHeight="1">
      <c r="A20082" s="1">
        <v>21359.0</v>
      </c>
      <c r="B20082" s="3" t="s">
        <v>18992</v>
      </c>
      <c r="C20082" s="3" t="str">
        <f>IFERROR(__xludf.DUMMYFUNCTION("GOOGLETRANSLATE(B20082,""id"",""en"")"),"['Facilitates', 'Purchase', 'Package', 'Data', 'Pulse', 'Thank you', 'Telkomsel']")</f>
        <v>['Facilitates', 'Purchase', 'Package', 'Data', 'Pulse', 'Thank you', 'Telkomsel']</v>
      </c>
      <c r="D20082" s="3">
        <v>5.0</v>
      </c>
    </row>
    <row r="20083" ht="15.75" customHeight="1">
      <c r="A20083" s="1">
        <v>21360.0</v>
      </c>
      <c r="B20083" s="3" t="s">
        <v>18993</v>
      </c>
      <c r="C20083" s="3" t="str">
        <f>IFERROR(__xludf.DUMMYFUNCTION("GOOGLETRANSLATE(B20083,""id"",""en"")"),"['Honey', 'really', 'name', 'rates',' different ',' compared ',' provider ',' Telkomsel ',' lose ',' quality ',' speed ',' hobby ',' Game ',' ugly ']")</f>
        <v>['Honey', 'really', 'name', 'rates',' different ',' compared ',' provider ',' Telkomsel ',' lose ',' quality ',' speed ',' hobby ',' Game ',' ugly ']</v>
      </c>
      <c r="D20083" s="3">
        <v>1.0</v>
      </c>
    </row>
    <row r="20084" ht="15.75" customHeight="1">
      <c r="A20084" s="1">
        <v>21361.0</v>
      </c>
      <c r="B20084" s="3" t="s">
        <v>18994</v>
      </c>
      <c r="C20084" s="3" t="str">
        <f>IFERROR(__xludf.DUMMYFUNCTION("GOOGLETRANSLATE(B20084,""id"",""en"")"),"['ugly', 'signal', 'according to', 'price']")</f>
        <v>['ugly', 'signal', 'according to', 'price']</v>
      </c>
      <c r="D20084" s="3">
        <v>1.0</v>
      </c>
    </row>
    <row r="20085" ht="15.75" customHeight="1">
      <c r="A20085" s="1">
        <v>21362.0</v>
      </c>
      <c r="B20085" s="3" t="s">
        <v>18995</v>
      </c>
      <c r="C20085" s="3" t="str">
        <f>IFERROR(__xludf.DUMMYFUNCTION("GOOGLETRANSLATE(B20085,""id"",""en"")"),"['hope', 'package', 'internet', 'loop', 'unlimited', 'cave', 'buy', 'a week', 'active']")</f>
        <v>['hope', 'package', 'internet', 'loop', 'unlimited', 'cave', 'buy', 'a week', 'active']</v>
      </c>
      <c r="D20085" s="3">
        <v>4.0</v>
      </c>
    </row>
    <row r="20086" ht="15.75" customHeight="1">
      <c r="A20086" s="1">
        <v>21363.0</v>
      </c>
      <c r="B20086" s="3" t="s">
        <v>18996</v>
      </c>
      <c r="C20086" s="3" t="str">
        <f>IFERROR(__xludf.DUMMYFUNCTION("GOOGLETRANSLATE(B20086,""id"",""en"")"),"['Yesterday', 'opened', 'White', 'Doank']")</f>
        <v>['Yesterday', 'opened', 'White', 'Doank']</v>
      </c>
      <c r="D20086" s="3">
        <v>2.0</v>
      </c>
    </row>
    <row r="20087" ht="15.75" customHeight="1">
      <c r="A20087" s="1">
        <v>21364.0</v>
      </c>
      <c r="B20087" s="3" t="s">
        <v>18997</v>
      </c>
      <c r="C20087" s="3" t="str">
        <f>IFERROR(__xludf.DUMMYFUNCTION("GOOGLETRANSLATE(B20087,""id"",""en"")"),"['Dead', 'Lights', 'Signal', 'Direct', 'Lost', 'Disappointed']")</f>
        <v>['Dead', 'Lights', 'Signal', 'Direct', 'Lost', 'Disappointed']</v>
      </c>
      <c r="D20087" s="3">
        <v>1.0</v>
      </c>
    </row>
    <row r="20088" ht="15.75" customHeight="1">
      <c r="A20088" s="1">
        <v>21365.0</v>
      </c>
      <c r="B20088" s="3" t="s">
        <v>18998</v>
      </c>
      <c r="C20088" s="3" t="str">
        <f>IFERROR(__xludf.DUMMYFUNCTION("GOOGLETRANSLATE(B20088,""id"",""en"")"),"['Lemot', 'buy', 'quota', 'GB', 'expensive', 'doang', 'buy', 'kaga', 'kepake', 'keep', 'rich', 'gini', ' Good ',' Disband ',' seconds', 'Disconnect', 'Telkomsel', 'Life', '']")</f>
        <v>['Lemot', 'buy', 'quota', 'GB', 'expensive', 'doang', 'buy', 'kaga', 'kepake', 'keep', 'rich', 'gini', ' Good ',' Disband ',' seconds', 'Disconnect', 'Telkomsel', 'Life', '']</v>
      </c>
      <c r="D20088" s="3">
        <v>2.0</v>
      </c>
    </row>
    <row r="20089" ht="15.75" customHeight="1">
      <c r="A20089" s="1">
        <v>21366.0</v>
      </c>
      <c r="B20089" s="3" t="s">
        <v>18999</v>
      </c>
      <c r="C20089" s="3" t="str">
        <f>IFERROR(__xludf.DUMMYFUNCTION("GOOGLETRANSLATE(B20089,""id"",""en"")"),"['ugly', 'APKL', 'Caskek', '']")</f>
        <v>['ugly', 'APKL', 'Caskek', '']</v>
      </c>
      <c r="D20089" s="3">
        <v>1.0</v>
      </c>
    </row>
    <row r="20090" ht="15.75" customHeight="1">
      <c r="A20090" s="1">
        <v>21367.0</v>
      </c>
      <c r="B20090" s="3" t="s">
        <v>19000</v>
      </c>
      <c r="C20090" s="3" t="str">
        <f>IFERROR(__xludf.DUMMYFUNCTION("GOOGLETRANSLATE(B20090,""id"",""en"")"),"['Disappointed', 'Performance', 'Signal', 'Stabill']")</f>
        <v>['Disappointed', 'Performance', 'Signal', 'Stabill']</v>
      </c>
      <c r="D20090" s="3">
        <v>3.0</v>
      </c>
    </row>
    <row r="20091" ht="15.75" customHeight="1">
      <c r="A20091" s="1">
        <v>21368.0</v>
      </c>
      <c r="B20091" s="3" t="s">
        <v>19001</v>
      </c>
      <c r="C20091" s="3" t="str">
        <f>IFERROR(__xludf.DUMMYFUNCTION("GOOGLETRANSLATE(B20091,""id"",""en"")"),"['signal', 'rotten', 'thank you']")</f>
        <v>['signal', 'rotten', 'thank you']</v>
      </c>
      <c r="D20091" s="3">
        <v>1.0</v>
      </c>
    </row>
    <row r="20092" ht="15.75" customHeight="1">
      <c r="A20092" s="1">
        <v>21369.0</v>
      </c>
      <c r="B20092" s="3" t="s">
        <v>19002</v>
      </c>
      <c r="C20092" s="3" t="str">
        <f>IFERROR(__xludf.DUMMYFUNCTION("GOOGLETRANSLATE(B20092,""id"",""en"")"),"['Telkomsel', 'update', 'told', 'update', ""]")</f>
        <v>['Telkomsel', 'update', 'told', 'update', "]</v>
      </c>
      <c r="D20092" s="3">
        <v>1.0</v>
      </c>
    </row>
    <row r="20093" ht="15.75" customHeight="1">
      <c r="A20093" s="1">
        <v>21370.0</v>
      </c>
      <c r="B20093" s="3" t="s">
        <v>19003</v>
      </c>
      <c r="C20093" s="3" t="str">
        <f>IFERROR(__xludf.DUMMYFUNCTION("GOOGLETRANSLATE(B20093,""id"",""en"")"),"['Reiness', 'Open']")</f>
        <v>['Reiness', 'Open']</v>
      </c>
      <c r="D20093" s="3">
        <v>1.0</v>
      </c>
    </row>
    <row r="20094" ht="15.75" customHeight="1">
      <c r="A20094" s="1">
        <v>21371.0</v>
      </c>
      <c r="B20094" s="3" t="s">
        <v>19004</v>
      </c>
      <c r="C20094" s="3" t="str">
        <f>IFERROR(__xludf.DUMMYFUNCTION("GOOGLETRANSLATE(B20094,""id"",""en"")"),"['Cheap', 'little']")</f>
        <v>['Cheap', 'little']</v>
      </c>
      <c r="D20094" s="3">
        <v>5.0</v>
      </c>
    </row>
    <row r="20095" ht="15.75" customHeight="1">
      <c r="A20095" s="1">
        <v>21372.0</v>
      </c>
      <c r="B20095" s="3" t="s">
        <v>19005</v>
      </c>
      <c r="C20095" s="3" t="str">
        <f>IFERROR(__xludf.DUMMYFUNCTION("GOOGLETRANSLATE(B20095,""id"",""en"")"),"['Surabaya', 'signal', 'stable', 'love', 'star']")</f>
        <v>['Surabaya', 'signal', 'stable', 'love', 'star']</v>
      </c>
      <c r="D20095" s="3">
        <v>1.0</v>
      </c>
    </row>
    <row r="20096" ht="15.75" customHeight="1">
      <c r="A20096" s="1">
        <v>21373.0</v>
      </c>
      <c r="B20096" s="3" t="s">
        <v>19006</v>
      </c>
      <c r="C20096" s="3" t="str">
        <f>IFERROR(__xludf.DUMMYFUNCTION("GOOGLETRANSLATE(B20096,""id"",""en"")"),"['The network', 'luplep']")</f>
        <v>['The network', 'luplep']</v>
      </c>
      <c r="D20096" s="3">
        <v>3.0</v>
      </c>
    </row>
    <row r="20097" ht="15.75" customHeight="1">
      <c r="A20097" s="1">
        <v>21375.0</v>
      </c>
      <c r="B20097" s="3" t="s">
        <v>19007</v>
      </c>
      <c r="C20097" s="3" t="str">
        <f>IFERROR(__xludf.DUMMYFUNCTION("GOOGLETRANSLATE(B20097,""id"",""en"")"),"['network', 'Telkomsel', 'contents', 'quota', 'GB', 'trs', 'use', 'klw', 'gini', ""]")</f>
        <v>['network', 'Telkomsel', 'contents', 'quota', 'GB', 'trs', 'use', 'klw', 'gini', "]</v>
      </c>
      <c r="D20097" s="3">
        <v>1.0</v>
      </c>
    </row>
    <row r="20098" ht="15.75" customHeight="1">
      <c r="A20098" s="1">
        <v>21376.0</v>
      </c>
      <c r="B20098" s="3" t="s">
        <v>19008</v>
      </c>
      <c r="C20098" s="3" t="str">
        <f>IFERROR(__xludf.DUMMYFUNCTION("GOOGLETRANSLATE(B20098,""id"",""en"")"),"['Error', 'slow', 'really', 'sometimes', 'network', 'ilang', 'disorder', ""]")</f>
        <v>['Error', 'slow', 'really', 'sometimes', 'network', 'ilang', 'disorder', "]</v>
      </c>
      <c r="D20098" s="3">
        <v>5.0</v>
      </c>
    </row>
    <row r="20099" ht="15.75" customHeight="1">
      <c r="A20099" s="1">
        <v>21377.0</v>
      </c>
      <c r="B20099" s="3" t="s">
        <v>19009</v>
      </c>
      <c r="C20099" s="3" t="str">
        <f>IFERROR(__xludf.DUMMYFUNCTION("GOOGLETRANSLATE(B20099,""id"",""en"")"),"['Sorry', 'palm', 'opened', 'screen', 'white']")</f>
        <v>['Sorry', 'palm', 'opened', 'screen', 'white']</v>
      </c>
      <c r="D20099" s="3">
        <v>1.0</v>
      </c>
    </row>
    <row r="20100" ht="15.75" customHeight="1">
      <c r="A20100" s="1">
        <v>21378.0</v>
      </c>
      <c r="B20100" s="3" t="s">
        <v>19010</v>
      </c>
      <c r="C20100" s="3" t="str">
        <f>IFERROR(__xludf.DUMMYFUNCTION("GOOGLETRANSLATE(B20100,""id"",""en"")"),"['Sorry', 'Download', 'Application', 'Telkomsel', 'finish', 'Install']")</f>
        <v>['Sorry', 'Download', 'Application', 'Telkomsel', 'finish', 'Install']</v>
      </c>
      <c r="D20100" s="3">
        <v>3.0</v>
      </c>
    </row>
    <row r="20101" ht="15.75" customHeight="1">
      <c r="A20101" s="1">
        <v>21379.0</v>
      </c>
      <c r="B20101" s="3" t="s">
        <v>19011</v>
      </c>
      <c r="C20101" s="3" t="str">
        <f>IFERROR(__xludf.DUMMYFUNCTION("GOOGLETRANSLATE(B20101,""id"",""en"")"),"['application', 'love', 'strange', 'error', 'disappointed', '']")</f>
        <v>['application', 'love', 'strange', 'error', 'disappointed', '']</v>
      </c>
      <c r="D20101" s="3">
        <v>1.0</v>
      </c>
    </row>
    <row r="20102" ht="15.75" customHeight="1">
      <c r="A20102" s="1">
        <v>21380.0</v>
      </c>
      <c r="B20102" s="3" t="s">
        <v>19012</v>
      </c>
      <c r="C20102" s="3" t="str">
        <f>IFERROR(__xludf.DUMMYFUNCTION("GOOGLETRANSLATE(B20102,""id"",""en"")"),"['Abis', 'update', 'error']")</f>
        <v>['Abis', 'update', 'error']</v>
      </c>
      <c r="D20102" s="3">
        <v>1.0</v>
      </c>
    </row>
    <row r="20103" ht="15.75" customHeight="1">
      <c r="A20103" s="1">
        <v>21382.0</v>
      </c>
      <c r="B20103" s="3" t="s">
        <v>19013</v>
      </c>
      <c r="C20103" s="3" t="str">
        <f>IFERROR(__xludf.DUMMYFUNCTION("GOOGLETRANSLATE(B20103,""id"",""en"")"),"['Knp', 'open', 'application', 'pdhal', 'kmrin', 'bus']")</f>
        <v>['Knp', 'open', 'application', 'pdhal', 'kmrin', 'bus']</v>
      </c>
      <c r="D20103" s="3">
        <v>2.0</v>
      </c>
    </row>
    <row r="20104" ht="15.75" customHeight="1">
      <c r="A20104" s="1">
        <v>21383.0</v>
      </c>
      <c r="B20104" s="3" t="s">
        <v>19014</v>
      </c>
      <c r="C20104" s="3" t="str">
        <f>IFERROR(__xludf.DUMMYFUNCTION("GOOGLETRANSLATE(B20104,""id"",""en"")"),"['Apply', 'help', 'person', 'class', 'like me', 'thank', 'love']")</f>
        <v>['Apply', 'help', 'person', 'class', 'like me', 'thank', 'love']</v>
      </c>
      <c r="D20104" s="3">
        <v>5.0</v>
      </c>
    </row>
    <row r="20105" ht="15.75" customHeight="1">
      <c r="A20105" s="1">
        <v>21384.0</v>
      </c>
      <c r="B20105" s="3" t="s">
        <v>3275</v>
      </c>
      <c r="C20105" s="3" t="str">
        <f>IFERROR(__xludf.DUMMYFUNCTION("GOOGLETRANSLATE(B20105,""id"",""en"")"),"['Mantap', 'promo']")</f>
        <v>['Mantap', 'promo']</v>
      </c>
      <c r="D20105" s="3">
        <v>5.0</v>
      </c>
    </row>
    <row r="20106" ht="15.75" customHeight="1">
      <c r="A20106" s="1">
        <v>21385.0</v>
      </c>
      <c r="B20106" s="3" t="s">
        <v>19015</v>
      </c>
      <c r="C20106" s="3" t="str">
        <f>IFERROR(__xludf.DUMMYFUNCTION("GOOGLETRANSLATE(B20106,""id"",""en"")"),"['signal', 'slow', 'amet', 'intention', 'sell', 'quota', 'no', 'kalok', 'no', 'AFK', ""]")</f>
        <v>['signal', 'slow', 'amet', 'intention', 'sell', 'quota', 'no', 'kalok', 'no', 'AFK', "]</v>
      </c>
      <c r="D20106" s="3">
        <v>2.0</v>
      </c>
    </row>
    <row r="20107" ht="15.75" customHeight="1">
      <c r="A20107" s="1">
        <v>21386.0</v>
      </c>
      <c r="B20107" s="3" t="s">
        <v>19016</v>
      </c>
      <c r="C20107" s="3" t="str">
        <f>IFERROR(__xludf.DUMMYFUNCTION("GOOGLETRANSLATE(B20107,""id"",""en"")"),"['min', 'how', 'buy', 'package', 'data', 'udh', 'buy', 'package', 'data', 'please', 'fix']")</f>
        <v>['min', 'how', 'buy', 'package', 'data', 'udh', 'buy', 'package', 'data', 'please', 'fix']</v>
      </c>
      <c r="D20107" s="3">
        <v>1.0</v>
      </c>
    </row>
    <row r="20108" ht="15.75" customHeight="1">
      <c r="A20108" s="1">
        <v>21387.0</v>
      </c>
      <c r="B20108" s="3" t="s">
        <v>1893</v>
      </c>
      <c r="C20108" s="3" t="str">
        <f>IFERROR(__xludf.DUMMYFUNCTION("GOOGLETRANSLATE(B20108,""id"",""en"")"),"['Update', 'Open']")</f>
        <v>['Update', 'Open']</v>
      </c>
      <c r="D20108" s="3">
        <v>1.0</v>
      </c>
    </row>
    <row r="20109" ht="15.75" customHeight="1">
      <c r="A20109" s="1">
        <v>21388.0</v>
      </c>
      <c r="B20109" s="3" t="s">
        <v>19017</v>
      </c>
      <c r="C20109" s="3" t="str">
        <f>IFERROR(__xludf.DUMMYFUNCTION("GOOGLETRANSLATE(B20109,""id"",""en"")"),"['Come', 'Network', 'Telkomsel', 'ugly', 'really', 'buy', 'quota', 'price', 'expensive', 'the network', 'ugly', 'detrimental']")</f>
        <v>['Come', 'Network', 'Telkomsel', 'ugly', 'really', 'buy', 'quota', 'price', 'expensive', 'the network', 'ugly', 'detrimental']</v>
      </c>
      <c r="D20109" s="3">
        <v>1.0</v>
      </c>
    </row>
    <row r="20110" ht="15.75" customHeight="1">
      <c r="A20110" s="1">
        <v>21389.0</v>
      </c>
      <c r="B20110" s="3" t="s">
        <v>19018</v>
      </c>
      <c r="C20110" s="3" t="str">
        <f>IFERROR(__xludf.DUMMYFUNCTION("GOOGLETRANSLATE(B20110,""id"",""en"")"),"['min', 'Telkomsel', 'ugly', 'high school', 'use', 'pulse', 'no', 'sumps',' fill in ',' extend ',' active ',' kmren ',' good ',' check ',' pulse ',' results', 'dri', 'fill in', 'skrang', 'missing', 'padah', 'no', 'internet', 'jngan', 'disappointed' , 'Cus"&amp;"tomer', 'loyal', 'min']")</f>
        <v>['min', 'Telkomsel', 'ugly', 'high school', 'use', 'pulse', 'no', 'sumps',' fill in ',' extend ',' active ',' kmren ',' good ',' check ',' pulse ',' results', 'dri', 'fill in', 'skrang', 'missing', 'padah', 'no', 'internet', 'jngan', 'disappointed' , 'Customer', 'loyal', 'min']</v>
      </c>
      <c r="D20110" s="3">
        <v>1.0</v>
      </c>
    </row>
    <row r="20111" ht="15.75" customHeight="1">
      <c r="A20111" s="1">
        <v>21390.0</v>
      </c>
      <c r="B20111" s="3" t="s">
        <v>19019</v>
      </c>
      <c r="C20111" s="3" t="str">
        <f>IFERROR(__xludf.DUMMYFUNCTION("GOOGLETRANSLATE(B20111,""id"",""en"")"),"['application', 'opened', 'quota', 'already', 'buy']")</f>
        <v>['application', 'opened', 'quota', 'already', 'buy']</v>
      </c>
      <c r="D20111" s="3">
        <v>5.0</v>
      </c>
    </row>
    <row r="20112" ht="15.75" customHeight="1">
      <c r="A20112" s="1">
        <v>21391.0</v>
      </c>
      <c r="B20112" s="3" t="s">
        <v>19020</v>
      </c>
      <c r="C20112" s="3" t="str">
        <f>IFERROR(__xludf.DUMMYFUNCTION("GOOGLETRANSLATE(B20112,""id"",""en"")"),"['opened', 'use', 'Package', 'Telkomsel', '']")</f>
        <v>['opened', 'use', 'Package', 'Telkomsel', '']</v>
      </c>
      <c r="D20112" s="3">
        <v>1.0</v>
      </c>
    </row>
    <row r="20113" ht="15.75" customHeight="1">
      <c r="A20113" s="1">
        <v>21392.0</v>
      </c>
      <c r="B20113" s="3" t="s">
        <v>19021</v>
      </c>
      <c r="C20113" s="3" t="str">
        <f>IFERROR(__xludf.DUMMYFUNCTION("GOOGLETRANSLATE(B20113,""id"",""en"")"),"['Paketannya', '']")</f>
        <v>['Paketannya', '']</v>
      </c>
      <c r="D20113" s="3">
        <v>3.0</v>
      </c>
    </row>
    <row r="20114" ht="15.75" customHeight="1">
      <c r="A20114" s="1">
        <v>21393.0</v>
      </c>
      <c r="B20114" s="3" t="s">
        <v>19022</v>
      </c>
      <c r="C20114" s="3" t="str">
        <f>IFERROR(__xludf.DUMMYFUNCTION("GOOGLETRANSLATE(B20114,""id"",""en"")"),"['Please', 'fix', 'network', 'slow', '']")</f>
        <v>['Please', 'fix', 'network', 'slow', '']</v>
      </c>
      <c r="D20114" s="3">
        <v>4.0</v>
      </c>
    </row>
    <row r="20115" ht="15.75" customHeight="1">
      <c r="A20115" s="1">
        <v>21394.0</v>
      </c>
      <c r="B20115" s="3" t="s">
        <v>19023</v>
      </c>
      <c r="C20115" s="3" t="str">
        <f>IFERROR(__xludf.DUMMYFUNCTION("GOOGLETRANSLATE(B20115,""id"",""en"")"),"['Telkomsel', 'ugly', 'signal', 'until', 'business', 'pulses', 'sometimes', 'abis', 'that's', 'poor']")</f>
        <v>['Telkomsel', 'ugly', 'signal', 'until', 'business', 'pulses', 'sometimes', 'abis', 'that's', 'poor']</v>
      </c>
      <c r="D20115" s="3">
        <v>1.0</v>
      </c>
    </row>
    <row r="20116" ht="15.75" customHeight="1">
      <c r="A20116" s="1">
        <v>21395.0</v>
      </c>
      <c r="B20116" s="3" t="s">
        <v>19024</v>
      </c>
      <c r="C20116" s="3" t="str">
        <f>IFERROR(__xludf.DUMMYFUNCTION("GOOGLETRANSLATE(B20116,""id"",""en"")"),"['Disappointed', 'Fill in', 'Credit', 'Cut', 'Fill', 'Terterah', 'Credit', 'Already', 'Times', 'Fill', 'Credit']")</f>
        <v>['Disappointed', 'Fill in', 'Credit', 'Cut', 'Fill', 'Terterah', 'Credit', 'Already', 'Times', 'Fill', 'Credit']</v>
      </c>
      <c r="D20116" s="3">
        <v>1.0</v>
      </c>
    </row>
    <row r="20117" ht="15.75" customHeight="1">
      <c r="A20117" s="1">
        <v>21396.0</v>
      </c>
      <c r="B20117" s="3" t="s">
        <v>19025</v>
      </c>
      <c r="C20117" s="3" t="str">
        <f>IFERROR(__xludf.DUMMYFUNCTION("GOOGLETRANSLATE(B20117,""id"",""en"")"),"['alhmdulillah', 'helped', 'promo', 'promo', 'manyin', 'cheap', 'festive', 'lose', 'im', 'axis',' trie ',' sisah ',' quota ',' scorched ',' extend ',' contents', 'quota', ""]")</f>
        <v>['alhmdulillah', 'helped', 'promo', 'promo', 'manyin', 'cheap', 'festive', 'lose', 'im', 'axis',' trie ',' sisah ',' quota ',' scorched ',' extend ',' contents', 'quota', "]</v>
      </c>
      <c r="D20117" s="3">
        <v>5.0</v>
      </c>
    </row>
    <row r="20118" ht="15.75" customHeight="1">
      <c r="A20118" s="1">
        <v>21397.0</v>
      </c>
      <c r="B20118" s="3" t="s">
        <v>19026</v>
      </c>
      <c r="C20118" s="3" t="str">
        <f>IFERROR(__xludf.DUMMYFUNCTION("GOOGLETRANSLATE(B20118,""id"",""en"")"),"['Corruption', 'contents', 'pulses', 'pull', 'brapa', 'times', 'Genesis', '']")</f>
        <v>['Corruption', 'contents', 'pulses', 'pull', 'brapa', 'times', 'Genesis', '']</v>
      </c>
      <c r="D20118" s="3">
        <v>1.0</v>
      </c>
    </row>
    <row r="20119" ht="15.75" customHeight="1">
      <c r="A20119" s="1">
        <v>21398.0</v>
      </c>
      <c r="B20119" s="3" t="s">
        <v>19027</v>
      </c>
      <c r="C20119" s="3" t="str">
        <f>IFERROR(__xludf.DUMMYFUNCTION("GOOGLETRANSLATE(B20119,""id"",""en"")"),"['Signal', 'Severe', 'Price', 'Package', 'Expensive', 'Ngilak', ""]")</f>
        <v>['Signal', 'Severe', 'Price', 'Package', 'Expensive', 'Ngilak', "]</v>
      </c>
      <c r="D20119" s="3">
        <v>1.0</v>
      </c>
    </row>
    <row r="20120" ht="15.75" customHeight="1">
      <c r="A20120" s="1">
        <v>21399.0</v>
      </c>
      <c r="B20120" s="3" t="s">
        <v>19028</v>
      </c>
      <c r="C20120" s="3" t="str">
        <f>IFERROR(__xludf.DUMMYFUNCTION("GOOGLETRANSLATE(B20120,""id"",""en"")"),"['Application', 'Support', 'Type', '']")</f>
        <v>['Application', 'Support', 'Type', '']</v>
      </c>
      <c r="D20120" s="3">
        <v>1.0</v>
      </c>
    </row>
    <row r="20121" ht="15.75" customHeight="1">
      <c r="A20121" s="1">
        <v>21400.0</v>
      </c>
      <c r="B20121" s="3" t="s">
        <v>19029</v>
      </c>
      <c r="C20121" s="3" t="str">
        <f>IFERROR(__xludf.DUMMYFUNCTION("GOOGLETRANSLATE(B20121,""id"",""en"")"),"['Soon', 'severe', 'threat', 'please', 'just', 'package', 'expensive', 'quality', 'ugly', '']")</f>
        <v>['Soon', 'severe', 'threat', 'please', 'just', 'package', 'expensive', 'quality', 'ugly', '']</v>
      </c>
      <c r="D20121" s="3">
        <v>1.0</v>
      </c>
    </row>
    <row r="20122" ht="15.75" customHeight="1">
      <c r="A20122" s="1">
        <v>21401.0</v>
      </c>
      <c r="B20122" s="3" t="s">
        <v>19030</v>
      </c>
      <c r="C20122" s="3" t="str">
        <f>IFERROR(__xludf.DUMMYFUNCTION("GOOGLETRANSLATE(B20122,""id"",""en"")"),"['Help', 'steady']")</f>
        <v>['Help', 'steady']</v>
      </c>
      <c r="D20122" s="3">
        <v>5.0</v>
      </c>
    </row>
    <row r="20123" ht="15.75" customHeight="1">
      <c r="A20123" s="1">
        <v>21402.0</v>
      </c>
      <c r="B20123" s="3" t="s">
        <v>19031</v>
      </c>
      <c r="C20123" s="3" t="str">
        <f>IFERROR(__xludf.DUMMYFUNCTION("GOOGLETRANSLATE(B20123,""id"",""en"")"),"['package', 'expensive', 'network', '']")</f>
        <v>['package', 'expensive', 'network', '']</v>
      </c>
      <c r="D20123" s="3">
        <v>1.0</v>
      </c>
    </row>
    <row r="20124" ht="15.75" customHeight="1">
      <c r="A20124" s="1">
        <v>21403.0</v>
      </c>
      <c r="B20124" s="3" t="s">
        <v>19032</v>
      </c>
      <c r="C20124" s="3" t="str">
        <f>IFERROR(__xludf.DUMMYFUNCTION("GOOGLETRANSLATE(B20124,""id"",""en"")"),"['discount', 'then', '']")</f>
        <v>['discount', 'then', '']</v>
      </c>
      <c r="D20124" s="3">
        <v>5.0</v>
      </c>
    </row>
    <row r="20125" ht="15.75" customHeight="1">
      <c r="A20125" s="1">
        <v>21404.0</v>
      </c>
      <c r="B20125" s="3" t="s">
        <v>19033</v>
      </c>
      <c r="C20125" s="3" t="str">
        <f>IFERROR(__xludf.DUMMYFUNCTION("GOOGLETRANSLATE(B20125,""id"",""en"")"),"['Reconcomon', 'bnget']")</f>
        <v>['Reconcomon', 'bnget']</v>
      </c>
      <c r="D20125" s="3">
        <v>5.0</v>
      </c>
    </row>
    <row r="20126" ht="15.75" customHeight="1">
      <c r="A20126" s="1">
        <v>21405.0</v>
      </c>
      <c r="B20126" s="3" t="s">
        <v>19034</v>
      </c>
      <c r="C20126" s="3" t="str">
        <f>IFERROR(__xludf.DUMMYFUNCTION("GOOGLETRANSLATE(B20126,""id"",""en"")"),"['BSA', 'enter', 'application', 'try', 'can', 'tired', 'min', '']")</f>
        <v>['BSA', 'enter', 'application', 'try', 'can', 'tired', 'min', '']</v>
      </c>
      <c r="D20126" s="3">
        <v>1.0</v>
      </c>
    </row>
    <row r="20127" ht="15.75" customHeight="1">
      <c r="A20127" s="1">
        <v>21406.0</v>
      </c>
      <c r="B20127" s="3" t="s">
        <v>19035</v>
      </c>
      <c r="C20127" s="3" t="str">
        <f>IFERROR(__xludf.DUMMYFUNCTION("GOOGLETRANSLATE(B20127,""id"",""en"")"),"['package', 'expensive', 'dlu', 'package', 'GB', 'thousands', 'skrang', 'thousand', 'GB', 'package', 'buy', 'lost']")</f>
        <v>['package', 'expensive', 'dlu', 'package', 'GB', 'thousands', 'skrang', 'thousand', 'GB', 'package', 'buy', 'lost']</v>
      </c>
      <c r="D20127" s="3">
        <v>3.0</v>
      </c>
    </row>
    <row r="20128" ht="15.75" customHeight="1">
      <c r="A20128" s="1">
        <v>21407.0</v>
      </c>
      <c r="B20128" s="3" t="s">
        <v>19036</v>
      </c>
      <c r="C20128" s="3" t="str">
        <f>IFERROR(__xludf.DUMMYFUNCTION("GOOGLETRANSLATE(B20128,""id"",""en"")"),"['Application', 'Telkomsel', 'missing', 'then', 'right', 'Install', 'reset', ""]")</f>
        <v>['Application', 'Telkomsel', 'missing', 'then', 'right', 'Install', 'reset', "]</v>
      </c>
      <c r="D20128" s="3">
        <v>1.0</v>
      </c>
    </row>
    <row r="20129" ht="15.75" customHeight="1">
      <c r="A20129" s="1">
        <v>21408.0</v>
      </c>
      <c r="B20129" s="3" t="s">
        <v>19037</v>
      </c>
      <c r="C20129" s="3" t="str">
        <f>IFERROR(__xludf.DUMMYFUNCTION("GOOGLETRANSLATE(B20129,""id"",""en"")"),"['network', 'rain', 'dead', 'lights',' credit ',' quota ',' expensive ',' compared to ',' number ',' comparable ',' servicenya ',' complain ',' Changed ',' Call ',' SMS ',' Dipepay ',' Signal ',' Age ',' Sosmed ',' What's', 'Painting', 'Quota', 'Giga', 'G"&amp;"iga', 'Network' , 'InternetX', '']")</f>
        <v>['network', 'rain', 'dead', 'lights',' credit ',' quota ',' expensive ',' compared to ',' number ',' comparable ',' servicenya ',' complain ',' Changed ',' Call ',' SMS ',' Dipepay ',' Signal ',' Age ',' Sosmed ',' What's', 'Painting', 'Quota', 'Giga', 'Giga', 'Network' , 'InternetX', '']</v>
      </c>
      <c r="D20129" s="3">
        <v>1.0</v>
      </c>
    </row>
    <row r="20130" ht="15.75" customHeight="1">
      <c r="A20130" s="1">
        <v>21409.0</v>
      </c>
      <c r="B20130" s="3" t="s">
        <v>19038</v>
      </c>
      <c r="C20130" s="3" t="str">
        <f>IFERROR(__xludf.DUMMYFUNCTION("GOOGLETRANSLATE(B20130,""id"",""en"")"),"['Help', 'really', 'tanks', 'mytelkomsel']")</f>
        <v>['Help', 'really', 'tanks', 'mytelkomsel']</v>
      </c>
      <c r="D20130" s="3">
        <v>5.0</v>
      </c>
    </row>
    <row r="20131" ht="15.75" customHeight="1">
      <c r="A20131" s="1">
        <v>21410.0</v>
      </c>
      <c r="B20131" s="3" t="s">
        <v>19039</v>
      </c>
      <c r="C20131" s="3" t="str">
        <f>IFERROR(__xludf.DUMMYFUNCTION("GOOGLETRANSLATE(B20131,""id"",""en"")"),"['Disappointed', 'slow', 'really', 'network', 'Most', 'down', 'dri', 'PDA', 'bad', 'bad', 'bad']")</f>
        <v>['Disappointed', 'slow', 'really', 'network', 'Most', 'down', 'dri', 'PDA', 'bad', 'bad', 'bad']</v>
      </c>
      <c r="D20131" s="3">
        <v>1.0</v>
      </c>
    </row>
    <row r="20132" ht="15.75" customHeight="1">
      <c r="A20132" s="1">
        <v>21411.0</v>
      </c>
      <c r="B20132" s="3" t="s">
        <v>19040</v>
      </c>
      <c r="C20132" s="3" t="str">
        <f>IFERROR(__xludf.DUMMYFUNCTION("GOOGLETRANSLATE(B20132,""id"",""en"")"),"['Bagus', 'Practical', 'Tower']")</f>
        <v>['Bagus', 'Practical', 'Tower']</v>
      </c>
      <c r="D20132" s="3">
        <v>5.0</v>
      </c>
    </row>
    <row r="20133" ht="15.75" customHeight="1">
      <c r="A20133" s="1">
        <v>21412.0</v>
      </c>
      <c r="B20133" s="3" t="s">
        <v>19041</v>
      </c>
      <c r="C20133" s="3" t="str">
        <f>IFERROR(__xludf.DUMMYFUNCTION("GOOGLETRANSLATE(B20133,""id"",""en"")"),"['Uda', 'Ngak', 'Good', 'Network', 'Telkomsel', 'Serasa', 'Maen', 'Forest']")</f>
        <v>['Uda', 'Ngak', 'Good', 'Network', 'Telkomsel', 'Serasa', 'Maen', 'Forest']</v>
      </c>
      <c r="D20133" s="3">
        <v>1.0</v>
      </c>
    </row>
    <row r="20134" ht="15.75" customHeight="1">
      <c r="A20134" s="1">
        <v>21413.0</v>
      </c>
      <c r="B20134" s="3" t="s">
        <v>19042</v>
      </c>
      <c r="C20134" s="3" t="str">
        <f>IFERROR(__xludf.DUMMYFUNCTION("GOOGLETRANSLATE(B20134,""id"",""en"")"),"['pig', 'network', 'threat']")</f>
        <v>['pig', 'network', 'threat']</v>
      </c>
      <c r="D20134" s="3">
        <v>1.0</v>
      </c>
    </row>
    <row r="20135" ht="15.75" customHeight="1">
      <c r="A20135" s="1">
        <v>21414.0</v>
      </c>
      <c r="B20135" s="3" t="s">
        <v>19043</v>
      </c>
      <c r="C20135" s="3" t="str">
        <f>IFERROR(__xludf.DUMMYFUNCTION("GOOGLETRANSLATE(B20135,""id"",""en"")"),"['Service', 'Komsumen', 'Bad', 'NgeChat', 'Bales', 'Telkomsel', 'chaotic', 'customers', 'loyal', 'disappointed']")</f>
        <v>['Service', 'Komsumen', 'Bad', 'NgeChat', 'Bales', 'Telkomsel', 'chaotic', 'customers', 'loyal', 'disappointed']</v>
      </c>
      <c r="D20135" s="3">
        <v>1.0</v>
      </c>
    </row>
    <row r="20136" ht="15.75" customHeight="1">
      <c r="A20136" s="1">
        <v>21415.0</v>
      </c>
      <c r="B20136" s="3" t="s">
        <v>19044</v>
      </c>
      <c r="C20136" s="3" t="str">
        <f>IFERROR(__xludf.DUMMYFUNCTION("GOOGLETRANSLATE(B20136,""id"",""en"")"),"['signal', 'lag', 'really', 'yesterday', 'safe', 'safe', 'December', 'direct', 'lag', 'yak']")</f>
        <v>['signal', 'lag', 'really', 'yesterday', 'safe', 'safe', 'December', 'direct', 'lag', 'yak']</v>
      </c>
      <c r="D20136" s="3">
        <v>2.0</v>
      </c>
    </row>
    <row r="20137" ht="15.75" customHeight="1">
      <c r="A20137" s="1">
        <v>21416.0</v>
      </c>
      <c r="B20137" s="3" t="s">
        <v>19045</v>
      </c>
      <c r="C20137" s="3" t="str">
        <f>IFERROR(__xludf.DUMMYFUNCTION("GOOGLETRANSLATE(B20137,""id"",""en"")"),"['min', 'please', 'the application', 'open', '']")</f>
        <v>['min', 'please', 'the application', 'open', '']</v>
      </c>
      <c r="D20137" s="3">
        <v>5.0</v>
      </c>
    </row>
    <row r="20138" ht="15.75" customHeight="1">
      <c r="A20138" s="1">
        <v>21417.0</v>
      </c>
      <c r="B20138" s="3" t="s">
        <v>19046</v>
      </c>
      <c r="C20138" s="3" t="str">
        <f>IFERROR(__xludf.DUMMYFUNCTION("GOOGLETRANSLATE(B20138,""id"",""en"")"),"['Signal', 'severe', 'no', 'smooth', 'land', 'karo', 'please', 'help', 'min', 'annoying', 'game', ' Online ',' Medi ',' Social ']")</f>
        <v>['Signal', 'severe', 'no', 'smooth', 'land', 'karo', 'please', 'help', 'min', 'annoying', 'game', ' Online ',' Medi ',' Social ']</v>
      </c>
      <c r="D20138" s="3">
        <v>5.0</v>
      </c>
    </row>
    <row r="20139" ht="15.75" customHeight="1">
      <c r="A20139" s="1">
        <v>21418.0</v>
      </c>
      <c r="B20139" s="3" t="s">
        <v>19047</v>
      </c>
      <c r="C20139" s="3" t="str">
        <f>IFERROR(__xludf.DUMMYFUNCTION("GOOGLETRANSLATE(B20139,""id"",""en"")"),"['', 'App', 'open']")</f>
        <v>['', 'App', 'open']</v>
      </c>
      <c r="D20139" s="3">
        <v>3.0</v>
      </c>
    </row>
    <row r="20140" ht="15.75" customHeight="1">
      <c r="A20140" s="1">
        <v>21420.0</v>
      </c>
      <c r="B20140" s="3" t="s">
        <v>19048</v>
      </c>
      <c r="C20140" s="3" t="str">
        <f>IFERROR(__xludf.DUMMYFUNCTION("GOOGLETRANSLATE(B20140,""id"",""en"")"),"['proud', 'customers',' loyal ',' Telkomsel ',' network ',' super ',' fast ',' jet ',' Where ',' Telkomsel ',' Come ',' Hurry ',' Use ',' Telkomsel ']")</f>
        <v>['proud', 'customers',' loyal ',' Telkomsel ',' network ',' super ',' fast ',' jet ',' Where ',' Telkomsel ',' Come ',' Hurry ',' Use ',' Telkomsel ']</v>
      </c>
      <c r="D20140" s="3">
        <v>5.0</v>
      </c>
    </row>
    <row r="20141" ht="15.75" customHeight="1">
      <c r="A20141" s="1">
        <v>21421.0</v>
      </c>
      <c r="B20141" s="3" t="s">
        <v>19049</v>
      </c>
      <c r="C20141" s="3" t="str">
        <f>IFERROR(__xludf.DUMMYFUNCTION("GOOGLETRANSLATE(B20141,""id"",""en"")"),"['', 'Yaa', 'opened', 'Telkomsel', 'Yesterday', 'CMN', 'White', 'Screen', 'Litu', 'sii', ""]")</f>
        <v>['', 'Yaa', 'opened', 'Telkomsel', 'Yesterday', 'CMN', 'White', 'Screen', 'Litu', 'sii', "]</v>
      </c>
      <c r="D20141" s="3">
        <v>3.0</v>
      </c>
    </row>
    <row r="20142" ht="15.75" customHeight="1">
      <c r="A20142" s="1">
        <v>21422.0</v>
      </c>
      <c r="B20142" s="3" t="s">
        <v>19050</v>
      </c>
      <c r="C20142" s="3" t="str">
        <f>IFERROR(__xludf.DUMMYFUNCTION("GOOGLETRANSLATE(B20142,""id"",""en"")"),"['Application', 'Ancur', 'Open']")</f>
        <v>['Application', 'Ancur', 'Open']</v>
      </c>
      <c r="D20142" s="3">
        <v>1.0</v>
      </c>
    </row>
    <row r="20143" ht="15.75" customHeight="1">
      <c r="A20143" s="1">
        <v>21423.0</v>
      </c>
      <c r="B20143" s="3" t="s">
        <v>19051</v>
      </c>
      <c r="C20143" s="3" t="str">
        <f>IFERROR(__xludf.DUMMYFUNCTION("GOOGLETRANSLATE(B20143,""id"",""en"")"),"['Telkomsel', 'Play', 'Cut', 'Credit', 'Package', 'Lho', 'Message', 'Enter', 'Pulse', 'Used', 'Access',' Internet ',' Contact ',' admin ',' Telkomsel ',' response ',' pulse ',' Cut ',' Honest ',' Disappointed ',' Service ',' Telkomsel ', ""]")</f>
        <v>['Telkomsel', 'Play', 'Cut', 'Credit', 'Package', 'Lho', 'Message', 'Enter', 'Pulse', 'Used', 'Access',' Internet ',' Contact ',' admin ',' Telkomsel ',' response ',' pulse ',' Cut ',' Honest ',' Disappointed ',' Service ',' Telkomsel ', "]</v>
      </c>
      <c r="D20143" s="3">
        <v>1.0</v>
      </c>
    </row>
    <row r="20144" ht="15.75" customHeight="1">
      <c r="A20144" s="1">
        <v>21424.0</v>
      </c>
      <c r="B20144" s="3" t="s">
        <v>19052</v>
      </c>
      <c r="C20144" s="3" t="str">
        <f>IFERROR(__xludf.DUMMYFUNCTION("GOOGLETRANSLATE(B20144,""id"",""en"")"),"['Update', 'device', 'soft', 'application', 'missing', 'install', 'reset', 'fit', 'installed', 'many', '']")</f>
        <v>['Update', 'device', 'soft', 'application', 'missing', 'install', 'reset', 'fit', 'installed', 'many', '']</v>
      </c>
      <c r="D20144" s="3">
        <v>1.0</v>
      </c>
    </row>
    <row r="20145" ht="15.75" customHeight="1">
      <c r="A20145" s="1">
        <v>21425.0</v>
      </c>
      <c r="B20145" s="3" t="s">
        <v>19053</v>
      </c>
      <c r="C20145" s="3" t="str">
        <f>IFERROR(__xludf.DUMMYFUNCTION("GOOGLETRANSLATE(B20145,""id"",""en"")"),"['Price', 'expensive', 'signal', 'gada', 'value', 'ngotak']")</f>
        <v>['Price', 'expensive', 'signal', 'gada', 'value', 'ngotak']</v>
      </c>
      <c r="D20145" s="3">
        <v>1.0</v>
      </c>
    </row>
    <row r="20146" ht="15.75" customHeight="1">
      <c r="A20146" s="1">
        <v>21426.0</v>
      </c>
      <c r="B20146" s="3" t="s">
        <v>19054</v>
      </c>
      <c r="C20146" s="3" t="str">
        <f>IFERROR(__xludf.DUMMYFUNCTION("GOOGLETRANSLATE(B20146,""id"",""en"")"),"['', 'good', 'manget', 'pakenya', 'cheap']")</f>
        <v>['', 'good', 'manget', 'pakenya', 'cheap']</v>
      </c>
      <c r="D20146" s="3">
        <v>5.0</v>
      </c>
    </row>
    <row r="20147" ht="15.75" customHeight="1">
      <c r="A20147" s="1">
        <v>21427.0</v>
      </c>
      <c r="B20147" s="3" t="s">
        <v>19055</v>
      </c>
      <c r="C20147" s="3" t="str">
        <f>IFERROR(__xludf.DUMMYFUNCTION("GOOGLETRANSLATE(B20147,""id"",""en"")"),"['', 'Application', 'Dri', 'Open', 'already', 'Instql', 'reset']")</f>
        <v>['', 'Application', 'Dri', 'Open', 'already', 'Instql', 'reset']</v>
      </c>
      <c r="D20147" s="3">
        <v>4.0</v>
      </c>
    </row>
    <row r="20148" ht="15.75" customHeight="1">
      <c r="A20148" s="1">
        <v>21428.0</v>
      </c>
      <c r="B20148" s="3" t="s">
        <v>19056</v>
      </c>
      <c r="C20148" s="3" t="str">
        <f>IFERROR(__xludf.DUMMYFUNCTION("GOOGLETRANSLATE(B20148,""id"",""en"")"),"['signal', 'leg', 'severe', 'right', 'play', 'game', 'mentang', 'mentang', 'debt', 'pulse', 'rb', 'pay', ' signal ',' destroyed ',' that's', 'great', 'times',' Telkomsel ',' ']")</f>
        <v>['signal', 'leg', 'severe', 'right', 'play', 'game', 'mentang', 'mentang', 'debt', 'pulse', 'rb', 'pay', ' signal ',' destroyed ',' that's', 'great', 'times',' Telkomsel ',' ']</v>
      </c>
      <c r="D20148" s="3">
        <v>1.0</v>
      </c>
    </row>
    <row r="20149" ht="15.75" customHeight="1">
      <c r="A20149" s="1">
        <v>21429.0</v>
      </c>
      <c r="B20149" s="3" t="s">
        <v>19057</v>
      </c>
      <c r="C20149" s="3" t="str">
        <f>IFERROR(__xludf.DUMMYFUNCTION("GOOGLETRANSLATE(B20149,""id"",""en"")"),"['', 'Login', 'mentok', 'logo']")</f>
        <v>['', 'Login', 'mentok', 'logo']</v>
      </c>
      <c r="D20149" s="3">
        <v>1.0</v>
      </c>
    </row>
    <row r="20150" ht="15.75" customHeight="1">
      <c r="A20150" s="1">
        <v>21430.0</v>
      </c>
      <c r="B20150" s="3" t="s">
        <v>19058</v>
      </c>
      <c r="C20150" s="3" t="str">
        <f>IFERROR(__xludf.DUMMYFUNCTION("GOOGLETRANSLATE(B20150,""id"",""en"")"),"['Application', 'installed', 'Samsung', 'Galaxy', 'version', 'Android', '']")</f>
        <v>['Application', 'installed', 'Samsung', 'Galaxy', 'version', 'Android', '']</v>
      </c>
      <c r="D20150" s="3">
        <v>1.0</v>
      </c>
    </row>
    <row r="20151" ht="15.75" customHeight="1">
      <c r="A20151" s="1">
        <v>21431.0</v>
      </c>
      <c r="B20151" s="3" t="s">
        <v>16516</v>
      </c>
      <c r="C20151" s="3" t="str">
        <f>IFERROR(__xludf.DUMMYFUNCTION("GOOGLETRANSLATE(B20151,""id"",""en"")"),"['easy', 'good']")</f>
        <v>['easy', 'good']</v>
      </c>
      <c r="D20151" s="3">
        <v>5.0</v>
      </c>
    </row>
    <row r="20152" ht="15.75" customHeight="1">
      <c r="A20152" s="1">
        <v>21432.0</v>
      </c>
      <c r="B20152" s="3" t="s">
        <v>19059</v>
      </c>
      <c r="C20152" s="3" t="str">
        <f>IFERROR(__xludf.DUMMYFUNCTION("GOOGLETRANSLATE(B20152,""id"",""en"")"),"['easy', 'fast', '']")</f>
        <v>['easy', 'fast', '']</v>
      </c>
      <c r="D20152" s="3">
        <v>5.0</v>
      </c>
    </row>
    <row r="20153" ht="15.75" customHeight="1">
      <c r="A20153" s="1">
        <v>21433.0</v>
      </c>
      <c r="B20153" s="3" t="s">
        <v>19060</v>
      </c>
      <c r="C20153" s="3" t="str">
        <f>IFERROR(__xludf.DUMMYFUNCTION("GOOGLETRANSLATE(B20153,""id"",""en"")"),"['Application', 'Selal', 'Error', 'Use', 'Claims', 'Use', 'Telkomsel', 'Points', 'Exchange']")</f>
        <v>['Application', 'Selal', 'Error', 'Use', 'Claims', 'Use', 'Telkomsel', 'Points', 'Exchange']</v>
      </c>
      <c r="D20153" s="3">
        <v>4.0</v>
      </c>
    </row>
    <row r="20154" ht="15.75" customHeight="1">
      <c r="A20154" s="1">
        <v>21434.0</v>
      </c>
      <c r="B20154" s="3" t="s">
        <v>19061</v>
      </c>
      <c r="C20154" s="3" t="str">
        <f>IFERROR(__xludf.DUMMYFUNCTION("GOOGLETRANSLATE(B20154,""id"",""en"")"),"['Telkomsel', 'Dear', 'complaints', 'contents', 'pulses', 'data', 'turn off']")</f>
        <v>['Telkomsel', 'Dear', 'complaints', 'contents', 'pulses', 'data', 'turn off']</v>
      </c>
      <c r="D20154" s="3">
        <v>4.0</v>
      </c>
    </row>
    <row r="20155" ht="15.75" customHeight="1">
      <c r="A20155" s="1">
        <v>21435.0</v>
      </c>
      <c r="B20155" s="3" t="s">
        <v>19062</v>
      </c>
      <c r="C20155" s="3" t="str">
        <f>IFERROR(__xludf.DUMMYFUNCTION("GOOGLETRANSLATE(B20155,""id"",""en"")"),"['tower', 'Where', 'The network', 'slow', 'mending', 'tower', 'NGK', 'Tide', 'network', 'tower', 'barrier', 'destroyer', ' Landscape ',' Telkomsel ',' Destroyer ',' Network ']")</f>
        <v>['tower', 'Where', 'The network', 'slow', 'mending', 'tower', 'NGK', 'Tide', 'network', 'tower', 'barrier', 'destroyer', ' Landscape ',' Telkomsel ',' Destroyer ',' Network ']</v>
      </c>
      <c r="D20155" s="3">
        <v>1.0</v>
      </c>
    </row>
    <row r="20156" ht="15.75" customHeight="1">
      <c r="A20156" s="1">
        <v>21436.0</v>
      </c>
      <c r="B20156" s="3" t="s">
        <v>19063</v>
      </c>
      <c r="C20156" s="3" t="str">
        <f>IFERROR(__xludf.DUMMYFUNCTION("GOOGLETRANSLATE(B20156,""id"",""en"")"),"['', 'Telkomsel', 'steady', 'package', 'young', 'well', 'his choice']")</f>
        <v>['', 'Telkomsel', 'steady', 'package', 'young', 'well', 'his choice']</v>
      </c>
      <c r="D20156" s="3">
        <v>5.0</v>
      </c>
    </row>
    <row r="20157" ht="15.75" customHeight="1">
      <c r="A20157" s="1">
        <v>21437.0</v>
      </c>
      <c r="B20157" s="3" t="s">
        <v>19064</v>
      </c>
      <c r="C20157" s="3" t="str">
        <f>IFERROR(__xludf.DUMMYFUNCTION("GOOGLETRANSLATE(B20157,""id"",""en"")"),"['Update', 'MLH', 'Open']")</f>
        <v>['Update', 'MLH', 'Open']</v>
      </c>
      <c r="D20157" s="3">
        <v>1.0</v>
      </c>
    </row>
    <row r="20158" ht="15.75" customHeight="1">
      <c r="A20158" s="1">
        <v>21438.0</v>
      </c>
      <c r="B20158" s="3" t="s">
        <v>19065</v>
      </c>
      <c r="C20158" s="3" t="str">
        <f>IFERROR(__xludf.DUMMYFUNCTION("GOOGLETRANSLATE(B20158,""id"",""en"")"),"['Safety', 'Thanks', 'Telkomsel', 'Package', 'Cheap', 'Ribet', 'Buy']")</f>
        <v>['Safety', 'Thanks', 'Telkomsel', 'Package', 'Cheap', 'Ribet', 'Buy']</v>
      </c>
      <c r="D20158" s="3">
        <v>5.0</v>
      </c>
    </row>
    <row r="20159" ht="15.75" customHeight="1">
      <c r="A20159" s="1">
        <v>21439.0</v>
      </c>
      <c r="B20159" s="3" t="s">
        <v>19066</v>
      </c>
      <c r="C20159" s="3" t="str">
        <f>IFERROR(__xludf.DUMMYFUNCTION("GOOGLETRANSLATE(B20159,""id"",""en"")"),"['Slow', 'Connection', 'code', 'OTP', 'transaction', 'mbanking', 'late', 'sent']")</f>
        <v>['Slow', 'Connection', 'code', 'OTP', 'transaction', 'mbanking', 'late', 'sent']</v>
      </c>
      <c r="D20159" s="3">
        <v>1.0</v>
      </c>
    </row>
    <row r="20160" ht="15.75" customHeight="1">
      <c r="A20160" s="1">
        <v>21440.0</v>
      </c>
      <c r="B20160" s="3" t="s">
        <v>19067</v>
      </c>
      <c r="C20160" s="3" t="str">
        <f>IFERROR(__xludf.DUMMYFUNCTION("GOOGLETRANSLATE(B20160,""id"",""en"")"),"['difficult', 'disorder']")</f>
        <v>['difficult', 'disorder']</v>
      </c>
      <c r="D20160" s="3">
        <v>1.0</v>
      </c>
    </row>
    <row r="20161" ht="15.75" customHeight="1">
      <c r="A20161" s="1">
        <v>21441.0</v>
      </c>
      <c r="B20161" s="3" t="s">
        <v>19068</v>
      </c>
      <c r="C20161" s="3" t="str">
        <f>IFERROR(__xludf.DUMMYFUNCTION("GOOGLETRANSLATE(B20161,""id"",""en"")"),"['hope', 'broad', 'network', 'semogs', 'signal', 'network', 'good']")</f>
        <v>['hope', 'broad', 'network', 'semogs', 'signal', 'network', 'good']</v>
      </c>
      <c r="D20161" s="3">
        <v>4.0</v>
      </c>
    </row>
    <row r="20162" ht="15.75" customHeight="1">
      <c r="A20162" s="1">
        <v>21442.0</v>
      </c>
      <c r="B20162" s="3" t="s">
        <v>19069</v>
      </c>
      <c r="C20162" s="3" t="str">
        <f>IFERROR(__xludf.DUMMYFUNCTION("GOOGLETRANSLATE(B20162,""id"",""en"")"),"['signal', 'slow', 'gajelas',' like ',' ilang ',' buy ',' quota ',' yesterday ',' regret ',' buy ',' regret ',' already ',' Users', 'Tsel', '']")</f>
        <v>['signal', 'slow', 'gajelas',' like ',' ilang ',' buy ',' quota ',' yesterday ',' regret ',' buy ',' regret ',' already ',' Users', 'Tsel', '']</v>
      </c>
      <c r="D20162" s="3">
        <v>1.0</v>
      </c>
    </row>
    <row r="20163" ht="15.75" customHeight="1">
      <c r="A20163" s="1">
        <v>21443.0</v>
      </c>
      <c r="B20163" s="3" t="s">
        <v>19070</v>
      </c>
      <c r="C20163" s="3" t="str">
        <f>IFERROR(__xludf.DUMMYFUNCTION("GOOGLETRANSLATE(B20163,""id"",""en"")"),"['Increase', 'promo', 'happy', 'Telkomsel']")</f>
        <v>['Increase', 'promo', 'happy', 'Telkomsel']</v>
      </c>
      <c r="D20163" s="3">
        <v>5.0</v>
      </c>
    </row>
    <row r="20164" ht="15.75" customHeight="1">
      <c r="A20164" s="1">
        <v>21444.0</v>
      </c>
      <c r="B20164" s="3" t="s">
        <v>19071</v>
      </c>
      <c r="C20164" s="3" t="str">
        <f>IFERROR(__xludf.DUMMYFUNCTION("GOOGLETRANSLATE(B20164,""id"",""en"")"),"['Installing', 'Package', 'Credit', 'Adequate', 'Update', 'Complaints', 'Veronika', 'Responding', 'Service', ""]")</f>
        <v>['Installing', 'Package', 'Credit', 'Adequate', 'Update', 'Complaints', 'Veronika', 'Responding', 'Service', "]</v>
      </c>
      <c r="D20164" s="3">
        <v>1.0</v>
      </c>
    </row>
    <row r="20165" ht="15.75" customHeight="1">
      <c r="A20165" s="1">
        <v>21445.0</v>
      </c>
      <c r="B20165" s="3" t="s">
        <v>19072</v>
      </c>
      <c r="C20165" s="3" t="str">
        <f>IFERROR(__xludf.DUMMYFUNCTION("GOOGLETRANSLATE(B20165,""id"",""en"")"),"['service', 'Sushans', 'ada', 'combo', 'saktii', 'card', 'card', 'already', 'use']")</f>
        <v>['service', 'Sushans', 'ada', 'combo', 'saktii', 'card', 'card', 'already', 'use']</v>
      </c>
      <c r="D20165" s="3">
        <v>2.0</v>
      </c>
    </row>
    <row r="20166" ht="15.75" customHeight="1">
      <c r="A20166" s="1">
        <v>21446.0</v>
      </c>
      <c r="B20166" s="3" t="s">
        <v>19073</v>
      </c>
      <c r="C20166" s="3" t="str">
        <f>IFERROR(__xludf.DUMMYFUNCTION("GOOGLETRANSLATE(B20166,""id"",""en"")"),"['card', 'pulp', 'lag', 'qontol']")</f>
        <v>['card', 'pulp', 'lag', 'qontol']</v>
      </c>
      <c r="D20166" s="3">
        <v>1.0</v>
      </c>
    </row>
    <row r="20167" ht="15.75" customHeight="1">
      <c r="A20167" s="1">
        <v>21447.0</v>
      </c>
      <c r="B20167" s="3" t="s">
        <v>19074</v>
      </c>
      <c r="C20167" s="3" t="str">
        <f>IFERROR(__xludf.DUMMYFUNCTION("GOOGLETRANSLATE(B20167,""id"",""en"")"),"['Network', 'kyk', 'baby', 'quota', 'expensive', 'signal', 'cheap', 'woi', 'adjust', 'salary', 'kalean', 'open', ' Yutube ',' BERIK ',' Abis', 'Salary', 'Kerj', 'Building', 'Buy', 'Quota', 'Pig', 'KontooOool', 'Block', 'account', 'lie' , 'Sempak', 'Klean'"&amp;", 'Anjeeeng', 'Out', 'Ksabaran', 'Dri', 'Taun', 'Kmaren', 'Maki', 'The Operator', 'LGI', 'SLKLLU', ' Donald ',' Trump ',' Jokowi ',' like ',' Dnnn ',' Tmuin ',' Sabet ',' broom ',' lidi ', ""]")</f>
        <v>['Network', 'kyk', 'baby', 'quota', 'expensive', 'signal', 'cheap', 'woi', 'adjust', 'salary', 'kalean', 'open', ' Yutube ',' BERIK ',' Abis', 'Salary', 'Kerj', 'Building', 'Buy', 'Quota', 'Pig', 'KontooOool', 'Block', 'account', 'lie' , 'Sempak', 'Klean', 'Anjeeeng', 'Out', 'Ksabaran', 'Dri', 'Taun', 'Kmaren', 'Maki', 'The Operator', 'LGI', 'SLKLLU', ' Donald ',' Trump ',' Jokowi ',' like ',' Dnnn ',' Tmuin ',' Sabet ',' broom ',' lidi ', "]</v>
      </c>
      <c r="D20167" s="3">
        <v>1.0</v>
      </c>
    </row>
    <row r="20168" ht="15.75" customHeight="1">
      <c r="A20168" s="1">
        <v>21448.0</v>
      </c>
      <c r="B20168" s="3" t="s">
        <v>19075</v>
      </c>
      <c r="C20168" s="3" t="str">
        <f>IFERROR(__xludf.DUMMYFUNCTION("GOOGLETRANSLATE(B20168,""id"",""en"")"),"['thank', 'love', 'application', 'MyTelkomsel', 'make it easy', 'buy', 'package', 'internet']")</f>
        <v>['thank', 'love', 'application', 'MyTelkomsel', 'make it easy', 'buy', 'package', 'internet']</v>
      </c>
      <c r="D20168" s="3">
        <v>5.0</v>
      </c>
    </row>
    <row r="20169" ht="15.75" customHeight="1">
      <c r="A20169" s="1">
        <v>21449.0</v>
      </c>
      <c r="B20169" s="3" t="s">
        <v>19076</v>
      </c>
      <c r="C20169" s="3" t="str">
        <f>IFERROR(__xludf.DUMMYFUNCTION("GOOGLETRANSLATE(B20169,""id"",""en"")"),"['woi', 'Telkomsel', 'pulse', 'me', 'sumps',' me ',' just ',' buy ',' quota ',' unlimitid ',' me ',' already ',' buy ',' pulse ',' me ',' application ',' Telkomsel ',' run out ',' enter ',' direct ',' zero ',' quota ',' ngak ',' use ',' please ' , 'fix', "&amp;"'replace', 'loss', 'wide', 'pay', 'bolsa', 'for', 'width', 'money', 'person', 'Telkomsel', ""]")</f>
        <v>['woi', 'Telkomsel', 'pulse', 'me', 'sumps',' me ',' just ',' buy ',' quota ',' unlimitid ',' me ',' already ',' buy ',' pulse ',' me ',' application ',' Telkomsel ',' run out ',' enter ',' direct ',' zero ',' quota ',' ngak ',' use ',' please ' , 'fix', 'replace', 'loss', 'wide', 'pay', 'bolsa', 'for', 'width', 'money', 'person', 'Telkomsel', "]</v>
      </c>
      <c r="D20169" s="3">
        <v>1.0</v>
      </c>
    </row>
    <row r="20170" ht="15.75" customHeight="1">
      <c r="A20170" s="1">
        <v>21450.0</v>
      </c>
      <c r="B20170" s="3" t="s">
        <v>19077</v>
      </c>
      <c r="C20170" s="3" t="str">
        <f>IFERROR(__xludf.DUMMYFUNCTION("GOOGLETRANSLATE(B20170,""id"",""en"")"),"['Credit', 'I', 'KMNA', 'Maketin', 'Take', 'Credit', 'PDHAL', 'Package', 'Pulse', 'Take', 'Provaider', 'Indo', ' why ',' skrang ',' threat ']")</f>
        <v>['Credit', 'I', 'KMNA', 'Maketin', 'Take', 'Credit', 'PDHAL', 'Package', 'Pulse', 'Take', 'Provaider', 'Indo', ' why ',' skrang ',' threat ']</v>
      </c>
      <c r="D20170" s="3">
        <v>1.0</v>
      </c>
    </row>
    <row r="20171" ht="15.75" customHeight="1">
      <c r="A20171" s="1">
        <v>21451.0</v>
      </c>
      <c r="B20171" s="3" t="s">
        <v>19078</v>
      </c>
      <c r="C20171" s="3" t="str">
        <f>IFERROR(__xludf.DUMMYFUNCTION("GOOGLETRANSLATE(B20171,""id"",""en"")"),"['APK', 'good', 'bngt']")</f>
        <v>['APK', 'good', 'bngt']</v>
      </c>
      <c r="D20171" s="3">
        <v>5.0</v>
      </c>
    </row>
    <row r="20172" ht="15.75" customHeight="1">
      <c r="A20172" s="1">
        <v>21452.0</v>
      </c>
      <c r="B20172" s="3" t="s">
        <v>19079</v>
      </c>
      <c r="C20172" s="3" t="str">
        <f>IFERROR(__xludf.DUMMYFUNCTION("GOOGLETRANSLATE(B20172,""id"",""en"")"),"['Good', 'comfortable', 'mytelkomsel']")</f>
        <v>['Good', 'comfortable', 'mytelkomsel']</v>
      </c>
      <c r="D20172" s="3">
        <v>4.0</v>
      </c>
    </row>
    <row r="20173" ht="15.75" customHeight="1">
      <c r="A20173" s="1">
        <v>21453.0</v>
      </c>
      <c r="B20173" s="3" t="s">
        <v>19080</v>
      </c>
      <c r="C20173" s="3" t="str">
        <f>IFERROR(__xludf.DUMMYFUNCTION("GOOGLETRANSLATE(B20173,""id"",""en"")"),"['Buy', 'Package', 'Internet', '']")</f>
        <v>['Buy', 'Package', 'Internet', '']</v>
      </c>
      <c r="D20173" s="3">
        <v>1.0</v>
      </c>
    </row>
    <row r="20174" ht="15.75" customHeight="1">
      <c r="A20174" s="1">
        <v>21454.0</v>
      </c>
      <c r="B20174" s="3" t="s">
        <v>19081</v>
      </c>
      <c r="C20174" s="3" t="str">
        <f>IFERROR(__xludf.DUMMYFUNCTION("GOOGLETRANSLATE(B20174,""id"",""en"")"),"['Please', 'The name', 'may', 'Pra''s',' Difference ',' BGTU ',' KRTU ',' AMA ',' KRTU ',' yes', 'users',' Telkomsel ',' WiFi ',' Ama ',' users', 'Telkomsel', 'So Jomplang', 'Krtu', 'Ama', 'user', ""]")</f>
        <v>['Please', 'The name', 'may', 'Pra''s',' Difference ',' BGTU ',' KRTU ',' AMA ',' KRTU ',' yes', 'users',' Telkomsel ',' WiFi ',' Ama ',' users', 'Telkomsel', 'So Jomplang', 'Krtu', 'Ama', 'user', "]</v>
      </c>
      <c r="D20174" s="3">
        <v>4.0</v>
      </c>
    </row>
    <row r="20175" ht="15.75" customHeight="1">
      <c r="A20175" s="1">
        <v>21455.0</v>
      </c>
      <c r="B20175" s="3" t="s">
        <v>19082</v>
      </c>
      <c r="C20175" s="3" t="str">
        <f>IFERROR(__xludf.DUMMYFUNCTION("GOOGLETRANSLATE(B20175,""id"",""en"")"),"['connection', 'fast', 'open', 'application', '']")</f>
        <v>['connection', 'fast', 'open', 'application', '']</v>
      </c>
      <c r="D20175" s="3">
        <v>5.0</v>
      </c>
    </row>
    <row r="20176" ht="15.75" customHeight="1">
      <c r="A20176" s="1">
        <v>21456.0</v>
      </c>
      <c r="B20176" s="3" t="s">
        <v>19083</v>
      </c>
      <c r="C20176" s="3" t="str">
        <f>IFERROR(__xludf.DUMMYFUNCTION("GOOGLETRANSLATE(B20176,""id"",""en"")"),"['bang', 'relationship', 'ama', 'building', 'cyber', 'tissue', 'kayak', 'kayak', 'kek', 'gini', 'watch', 'live', ' Steaming ',' Onlyvans', 'Gara', 'Gara', 'The Network', 'Lag', 'Gini', 'Fantekkk']")</f>
        <v>['bang', 'relationship', 'ama', 'building', 'cyber', 'tissue', 'kayak', 'kayak', 'kek', 'gini', 'watch', 'live', ' Steaming ',' Onlyvans', 'Gara', 'Gara', 'The Network', 'Lag', 'Gini', 'Fantekkk']</v>
      </c>
      <c r="D20176" s="3">
        <v>1.0</v>
      </c>
    </row>
    <row r="20177" ht="15.75" customHeight="1">
      <c r="A20177" s="1">
        <v>21457.0</v>
      </c>
      <c r="B20177" s="3" t="s">
        <v>19084</v>
      </c>
      <c r="C20177" s="3" t="str">
        <f>IFERROR(__xludf.DUMMYFUNCTION("GOOGLETRANSLATE(B20177,""id"",""en"")"),"['intentionally', 'love', 'star', 'sometimes',' good ',' sometimes', 'like', 'wind', 'wind', 'price', 'quota', 'like', ' bought ',' right ',' Need ',' it's needed ',' quota ', ""]")</f>
        <v>['intentionally', 'love', 'star', 'sometimes',' good ',' sometimes', 'like', 'wind', 'wind', 'price', 'quota', 'like', ' bought ',' right ',' Need ',' it's needed ',' quota ', "]</v>
      </c>
      <c r="D20177" s="3">
        <v>3.0</v>
      </c>
    </row>
    <row r="20178" ht="15.75" customHeight="1">
      <c r="A20178" s="1">
        <v>21458.0</v>
      </c>
      <c r="B20178" s="3" t="s">
        <v>19085</v>
      </c>
      <c r="C20178" s="3" t="str">
        <f>IFERROR(__xludf.DUMMYFUNCTION("GOOGLETRANSLATE(B20178,""id"",""en"")"),"['network', 'internet', 'very "",' slow ',' Why ',' especially ',' area ',' Musi ',' Banyuasin ',' work ',' substation ',' parent ',' PLN ',' Sekayu ',' City ',' Network ',' Internet ',' Emotion ',' Come on ',' Fix ',' System ',' Service ',' Public ', ""]")</f>
        <v>['network', 'internet', 'very ",' slow ',' Why ',' especially ',' area ',' Musi ',' Banyuasin ',' work ',' substation ',' parent ',' PLN ',' Sekayu ',' City ',' Network ',' Internet ',' Emotion ',' Come on ',' Fix ',' System ',' Service ',' Public ', "]</v>
      </c>
      <c r="D20178" s="3">
        <v>1.0</v>
      </c>
    </row>
    <row r="20179" ht="15.75" customHeight="1">
      <c r="A20179" s="1">
        <v>21459.0</v>
      </c>
      <c r="B20179" s="3" t="s">
        <v>19086</v>
      </c>
      <c r="C20179" s="3" t="str">
        <f>IFERROR(__xludf.DUMMYFUNCTION("GOOGLETRANSLATE(B20179,""id"",""en"")"),"['Package', 'Data', 'Choose']")</f>
        <v>['Package', 'Data', 'Choose']</v>
      </c>
      <c r="D20179" s="3">
        <v>2.0</v>
      </c>
    </row>
    <row r="20180" ht="15.75" customHeight="1">
      <c r="A20180" s="1">
        <v>21460.0</v>
      </c>
      <c r="B20180" s="3" t="s">
        <v>1780</v>
      </c>
      <c r="C20180" s="3" t="str">
        <f>IFERROR(__xludf.DUMMYFUNCTION("GOOGLETRANSLATE(B20180,""id"",""en"")"),"['hopefully', '']")</f>
        <v>['hopefully', '']</v>
      </c>
      <c r="D20180" s="3">
        <v>5.0</v>
      </c>
    </row>
    <row r="20181" ht="15.75" customHeight="1">
      <c r="A20181" s="1">
        <v>21461.0</v>
      </c>
      <c r="B20181" s="3" t="s">
        <v>19087</v>
      </c>
      <c r="C20181" s="3" t="str">
        <f>IFERROR(__xludf.DUMMYFUNCTION("GOOGLETRANSLATE(B20181,""id"",""en"")"),"['Package', 'Games', 'Pekek', 'Kayak', 'Taik', 'Unlimitid', 'Taik']")</f>
        <v>['Package', 'Games', 'Pekek', 'Kayak', 'Taik', 'Unlimitid', 'Taik']</v>
      </c>
      <c r="D20181" s="3">
        <v>2.0</v>
      </c>
    </row>
    <row r="20182" ht="15.75" customHeight="1">
      <c r="A20182" s="1">
        <v>21463.0</v>
      </c>
      <c r="B20182" s="3" t="s">
        <v>19088</v>
      </c>
      <c r="C20182" s="3" t="str">
        <f>IFERROR(__xludf.DUMMYFUNCTION("GOOGLETRANSLATE(B20182,""id"",""en"")"),"['cave', 'suggestion', 'Jngan', 'Telkomsel', 'jumanganya', 'cooking', 'cook', 'jaringgan', 'beam', 'Ful', 'allocation', 'data', ' NDK ',' Biak ',' Gunnain ',' Nipu ',' Kalai ']")</f>
        <v>['cave', 'suggestion', 'Jngan', 'Telkomsel', 'jumanganya', 'cooking', 'cook', 'jaringgan', 'beam', 'Ful', 'allocation', 'data', ' NDK ',' Biak ',' Gunnain ',' Nipu ',' Kalai ']</v>
      </c>
      <c r="D20182" s="3">
        <v>1.0</v>
      </c>
    </row>
    <row r="20183" ht="15.75" customHeight="1">
      <c r="A20183" s="1">
        <v>21464.0</v>
      </c>
      <c r="B20183" s="3" t="s">
        <v>7228</v>
      </c>
      <c r="C20183" s="3" t="str">
        <f>IFERROR(__xludf.DUMMYFUNCTION("GOOGLETRANSLATE(B20183,""id"",""en"")"),"['Forward', 'Telkomsel']")</f>
        <v>['Forward', 'Telkomsel']</v>
      </c>
      <c r="D20183" s="3">
        <v>5.0</v>
      </c>
    </row>
    <row r="20184" ht="15.75" customHeight="1">
      <c r="A20184" s="1">
        <v>21465.0</v>
      </c>
      <c r="B20184" s="3" t="s">
        <v>19089</v>
      </c>
      <c r="C20184" s="3" t="str">
        <f>IFERROR(__xludf.DUMMYFUNCTION("GOOGLETRANSLATE(B20184,""id"",""en"")"),"['response', 'application', 'package', 'go', 'buy', 'ribet', 'surprised', 'management', 'temple', 'closed', 'eyes',' weeeeeeuy ',' level ',' quality ',' backward ']")</f>
        <v>['response', 'application', 'package', 'go', 'buy', 'ribet', 'surprised', 'management', 'temple', 'closed', 'eyes',' weeeeeeuy ',' level ',' quality ',' backward ']</v>
      </c>
      <c r="D20184" s="3">
        <v>2.0</v>
      </c>
    </row>
    <row r="20185" ht="15.75" customHeight="1">
      <c r="A20185" s="1">
        <v>21466.0</v>
      </c>
      <c r="B20185" s="3" t="s">
        <v>19090</v>
      </c>
      <c r="C20185" s="3" t="str">
        <f>IFERROR(__xludf.DUMMYFUNCTION("GOOGLETRANSLATE(B20185,""id"",""en"")"),"['Severe', 'I', 'buy', 'quota', 'kaga', 'diginain', 'kaga', 'intention', 'effort', 'roll', 'mat', 'unclean']")</f>
        <v>['Severe', 'I', 'buy', 'quota', 'kaga', 'diginain', 'kaga', 'intention', 'effort', 'roll', 'mat', 'unclean']</v>
      </c>
      <c r="D20185" s="3">
        <v>1.0</v>
      </c>
    </row>
    <row r="20186" ht="15.75" customHeight="1">
      <c r="A20186" s="1">
        <v>21467.0</v>
      </c>
      <c r="B20186" s="3" t="s">
        <v>19091</v>
      </c>
      <c r="C20186" s="3" t="str">
        <f>IFERROR(__xludf.DUMMYFUNCTION("GOOGLETRANSLATE(B20186,""id"",""en"")"),"['cave', 'buy', 'package', 'expensive', 'expensive', 'network', 'rotten', ""]")</f>
        <v>['cave', 'buy', 'package', 'expensive', 'expensive', 'network', 'rotten', "]</v>
      </c>
      <c r="D20186" s="3">
        <v>1.0</v>
      </c>
    </row>
    <row r="20187" ht="15.75" customHeight="1">
      <c r="A20187" s="1">
        <v>21468.0</v>
      </c>
      <c r="B20187" s="3" t="s">
        <v>19092</v>
      </c>
      <c r="C20187" s="3" t="str">
        <f>IFERROR(__xludf.DUMMYFUNCTION("GOOGLETRANSLATE(B20187,""id"",""en"")"),"['', 'privacy', 'Telkomsel', 'internet', 'expensive', 'slow', 'top', 'basically', ""]")</f>
        <v>['', 'privacy', 'Telkomsel', 'internet', 'expensive', 'slow', 'top', 'basically', "]</v>
      </c>
      <c r="D20187" s="3">
        <v>1.0</v>
      </c>
    </row>
    <row r="20188" ht="15.75" customHeight="1">
      <c r="A20188" s="1">
        <v>21469.0</v>
      </c>
      <c r="B20188" s="3" t="s">
        <v>19093</v>
      </c>
      <c r="C20188" s="3" t="str">
        <f>IFERROR(__xludf.DUMMYFUNCTION("GOOGLETRANSLATE(B20188,""id"",""en"")"),"['Help', 'makes it easier', 'check', 'pulse', 'buy', 'package', 'internet']")</f>
        <v>['Help', 'makes it easier', 'check', 'pulse', 'buy', 'package', 'internet']</v>
      </c>
      <c r="D20188" s="3">
        <v>5.0</v>
      </c>
    </row>
    <row r="20189" ht="15.75" customHeight="1">
      <c r="A20189" s="1">
        <v>21470.0</v>
      </c>
      <c r="B20189" s="3" t="s">
        <v>19094</v>
      </c>
      <c r="C20189" s="3" t="str">
        <f>IFERROR(__xludf.DUMMYFUNCTION("GOOGLETRANSLATE(B20189,""id"",""en"")"),"['Good', 'error']")</f>
        <v>['Good', 'error']</v>
      </c>
      <c r="D20189" s="3">
        <v>1.0</v>
      </c>
    </row>
    <row r="20190" ht="15.75" customHeight="1">
      <c r="A20190" s="1">
        <v>21471.0</v>
      </c>
      <c r="B20190" s="3" t="s">
        <v>19095</v>
      </c>
      <c r="C20190" s="3" t="str">
        <f>IFERROR(__xludf.DUMMYFUNCTION("GOOGLETRANSLATE(B20190,""id"",""en"")"),"['network', 'Telkomsel', 'skarang', 'leg', 'good', 'use', 'play', 'game', 'pubg']")</f>
        <v>['network', 'Telkomsel', 'skarang', 'leg', 'good', 'use', 'play', 'game', 'pubg']</v>
      </c>
      <c r="D20190" s="3">
        <v>3.0</v>
      </c>
    </row>
    <row r="20191" ht="15.75" customHeight="1">
      <c r="A20191" s="1">
        <v>21472.0</v>
      </c>
      <c r="B20191" s="3" t="s">
        <v>19096</v>
      </c>
      <c r="C20191" s="3" t="str">
        <f>IFERROR(__xludf.DUMMYFUNCTION("GOOGLETRANSLATE(B20191,""id"",""en"")"),"['Ngellag', 'tros', 'full']")</f>
        <v>['Ngellag', 'tros', 'full']</v>
      </c>
      <c r="D20191" s="3">
        <v>1.0</v>
      </c>
    </row>
    <row r="20192" ht="15.75" customHeight="1">
      <c r="A20192" s="1">
        <v>21473.0</v>
      </c>
      <c r="B20192" s="3" t="s">
        <v>19097</v>
      </c>
      <c r="C20192" s="3" t="str">
        <f>IFERROR(__xludf.DUMMYFUNCTION("GOOGLETRANSLATE(B20192,""id"",""en"")"),"['Best', 'bug', 'application', 'open', '']")</f>
        <v>['Best', 'bug', 'application', 'open', '']</v>
      </c>
      <c r="D20192" s="3">
        <v>5.0</v>
      </c>
    </row>
    <row r="20193" ht="15.75" customHeight="1">
      <c r="A20193" s="1">
        <v>21474.0</v>
      </c>
      <c r="B20193" s="3" t="s">
        <v>19098</v>
      </c>
      <c r="C20193" s="3" t="str">
        <f>IFERROR(__xludf.DUMMYFUNCTION("GOOGLETRANSLATE(B20193,""id"",""en"")"),"['like', 'contents', 'pulse', 'coin', 'plisss']")</f>
        <v>['like', 'contents', 'pulse', 'coin', 'plisss']</v>
      </c>
      <c r="D20193" s="3">
        <v>1.0</v>
      </c>
    </row>
    <row r="20194" ht="15.75" customHeight="1">
      <c r="A20194" s="1">
        <v>21475.0</v>
      </c>
      <c r="B20194" s="3" t="s">
        <v>19099</v>
      </c>
      <c r="C20194" s="3" t="str">
        <f>IFERROR(__xludf.DUMMYFUNCTION("GOOGLETRANSLATE(B20194,""id"",""en"")"),"['ugly', 'Telkomsel', '']")</f>
        <v>['ugly', 'Telkomsel', '']</v>
      </c>
      <c r="D20194" s="3">
        <v>1.0</v>
      </c>
    </row>
    <row r="20195" ht="15.75" customHeight="1">
      <c r="A20195" s="1">
        <v>21476.0</v>
      </c>
      <c r="B20195" s="3" t="s">
        <v>19100</v>
      </c>
      <c r="C20195" s="3" t="str">
        <f>IFERROR(__xludf.DUMMYFUNCTION("GOOGLETRANSLATE(B20195,""id"",""en"")"),"['package', 'expensive', 'network', 'threat', 'add', 'udh', 'cok', 'need', 'stability', 'speed']")</f>
        <v>['package', 'expensive', 'network', 'threat', 'add', 'udh', 'cok', 'need', 'stability', 'speed']</v>
      </c>
      <c r="D20195" s="3">
        <v>1.0</v>
      </c>
    </row>
    <row r="20196" ht="15.75" customHeight="1">
      <c r="A20196" s="1">
        <v>21477.0</v>
      </c>
      <c r="B20196" s="3" t="s">
        <v>19101</v>
      </c>
      <c r="C20196" s="3" t="str">
        <f>IFERROR(__xludf.DUMMYFUNCTION("GOOGLETRANSLATE(B20196,""id"",""en"")"),"['application', 'opened', 'look', 'empty', 'light', 'white', 'doang', 'diuninstall', 'download', 'brafunction', 'knapa', ""]")</f>
        <v>['application', 'opened', 'look', 'empty', 'light', 'white', 'doang', 'diuninstall', 'download', 'brafunction', 'knapa', "]</v>
      </c>
      <c r="D20196" s="3">
        <v>1.0</v>
      </c>
    </row>
    <row r="20197" ht="15.75" customHeight="1">
      <c r="A20197" s="1">
        <v>21478.0</v>
      </c>
      <c r="B20197" s="3" t="s">
        <v>19102</v>
      </c>
      <c r="C20197" s="3" t="str">
        <f>IFERROR(__xludf.DUMMYFUNCTION("GOOGLETRANSLATE(B20197,""id"",""en"")"),"['promo', 'help']")</f>
        <v>['promo', 'help']</v>
      </c>
      <c r="D20197" s="3">
        <v>5.0</v>
      </c>
    </row>
    <row r="20198" ht="15.75" customHeight="1">
      <c r="A20198" s="1">
        <v>21479.0</v>
      </c>
      <c r="B20198" s="3" t="s">
        <v>3795</v>
      </c>
      <c r="C20198" s="3" t="str">
        <f>IFERROR(__xludf.DUMMYFUNCTION("GOOGLETRANSLATE(B20198,""id"",""en"")"),"['slow network', '']")</f>
        <v>['slow network', '']</v>
      </c>
      <c r="D20198" s="3">
        <v>1.0</v>
      </c>
    </row>
    <row r="20199" ht="15.75" customHeight="1">
      <c r="A20199" s="1">
        <v>21480.0</v>
      </c>
      <c r="B20199" s="3" t="s">
        <v>19103</v>
      </c>
      <c r="C20199" s="3" t="str">
        <f>IFERROR(__xludf.DUMMYFUNCTION("GOOGLETRANSLATE(B20199,""id"",""en"")"),"['Telkomsel', 'expensive', 'slow', 'times', 'network', 'play', 'game', 'online', 'slow', 'right']")</f>
        <v>['Telkomsel', 'expensive', 'slow', 'times', 'network', 'play', 'game', 'online', 'slow', 'right']</v>
      </c>
      <c r="D20199" s="3">
        <v>1.0</v>
      </c>
    </row>
    <row r="20200" ht="15.75" customHeight="1">
      <c r="A20200" s="1">
        <v>21481.0</v>
      </c>
      <c r="B20200" s="3" t="s">
        <v>19104</v>
      </c>
      <c r="C20200" s="3" t="str">
        <f>IFERROR(__xludf.DUMMYFUNCTION("GOOGLETRANSLATE(B20200,""id"",""en"")"),"['How', 'Application', 'Abis', 'Update', 'Direct', 'Opened', 'Gmna', 'Threat']")</f>
        <v>['How', 'Application', 'Abis', 'Update', 'Direct', 'Opened', 'Gmna', 'Threat']</v>
      </c>
      <c r="D20200" s="3">
        <v>1.0</v>
      </c>
    </row>
    <row r="20201" ht="15.75" customHeight="1">
      <c r="A20201" s="1">
        <v>21482.0</v>
      </c>
      <c r="B20201" s="3" t="s">
        <v>19105</v>
      </c>
      <c r="C20201" s="3" t="str">
        <f>IFERROR(__xludf.DUMMYFUNCTION("GOOGLETRANSLATE(B20201,""id"",""en"")"),"['price', 'package', 'expensive', 'network', 'rich', 'garbage', 'work', 'blm', 'paid', 'how', 'network', 'really' Disorders', 'Wonder', '']")</f>
        <v>['price', 'package', 'expensive', 'network', 'rich', 'garbage', 'work', 'blm', 'paid', 'how', 'network', 'really' Disorders', 'Wonder', '']</v>
      </c>
      <c r="D20201" s="3">
        <v>1.0</v>
      </c>
    </row>
    <row r="20202" ht="15.75" customHeight="1">
      <c r="A20202" s="1">
        <v>21483.0</v>
      </c>
      <c r="B20202" s="3" t="s">
        <v>14181</v>
      </c>
      <c r="C20202" s="3" t="str">
        <f>IFERROR(__xludf.DUMMYFUNCTION("GOOGLETRANSLATE(B20202,""id"",""en"")"),"['App']")</f>
        <v>['App']</v>
      </c>
      <c r="D20202" s="3">
        <v>5.0</v>
      </c>
    </row>
    <row r="20203" ht="15.75" customHeight="1">
      <c r="A20203" s="1">
        <v>21484.0</v>
      </c>
      <c r="B20203" s="3" t="s">
        <v>19106</v>
      </c>
      <c r="C20203" s="3" t="str">
        <f>IFERROR(__xludf.DUMMYFUNCTION("GOOGLETRANSLATE(B20203,""id"",""en"")"),"['min', 'error', 'mulu', 'right', 'Facebook', 'kagak', 'likes',' see ',' photo ',' quota ',' buy ',' right ',' Maen ',' Game ',' Online ',' Broken ',' Broken ',' Mulu ',' Solution ',' Current ',' Kayak ']")</f>
        <v>['min', 'error', 'mulu', 'right', 'Facebook', 'kagak', 'likes',' see ',' photo ',' quota ',' buy ',' right ',' Maen ',' Game ',' Online ',' Broken ',' Broken ',' Mulu ',' Solution ',' Current ',' Kayak ']</v>
      </c>
      <c r="D20203" s="3">
        <v>2.0</v>
      </c>
    </row>
    <row r="20204" ht="15.75" customHeight="1">
      <c r="A20204" s="1">
        <v>21485.0</v>
      </c>
      <c r="B20204" s="3" t="s">
        <v>19107</v>
      </c>
      <c r="C20204" s="3" t="str">
        <f>IFERROR(__xludf.DUMMYFUNCTION("GOOGLETRANSLATE(B20204,""id"",""en"")"),"['Try', 'use', 'application']")</f>
        <v>['Try', 'use', 'application']</v>
      </c>
      <c r="D20204" s="3">
        <v>5.0</v>
      </c>
    </row>
    <row r="20205" ht="15.75" customHeight="1">
      <c r="A20205" s="1">
        <v>21486.0</v>
      </c>
      <c r="B20205" s="3" t="s">
        <v>19108</v>
      </c>
      <c r="C20205" s="3" t="str">
        <f>IFERROR(__xludf.DUMMYFUNCTION("GOOGLETRANSLATE(B20205,""id"",""en"")"),"['Good', 'Support', 'Android', '']")</f>
        <v>['Good', 'Support', 'Android', '']</v>
      </c>
      <c r="D20205" s="3">
        <v>4.0</v>
      </c>
    </row>
    <row r="20206" ht="15.75" customHeight="1">
      <c r="A20206" s="1">
        <v>21487.0</v>
      </c>
      <c r="B20206" s="3" t="s">
        <v>19109</v>
      </c>
      <c r="C20206" s="3" t="str">
        <f>IFERROR(__xludf.DUMMYFUNCTION("GOOGLETRANSLATE(B20206,""id"",""en"")"),"['Fill', 'Pakee', 'EGK', 'Paketan', 'just', 'Maen', 'Package', 'Package', 'Egg', 'Bins', 'Sayang "",' Fill ',' pulse ',' egk ',' aada ',' package ',' bought ']")</f>
        <v>['Fill', 'Pakee', 'EGK', 'Paketan', 'just', 'Maen', 'Package', 'Package', 'Egg', 'Bins', 'Sayang ",' Fill ',' pulse ',' egk ',' aada ',' package ',' bought ']</v>
      </c>
      <c r="D20206" s="3">
        <v>1.0</v>
      </c>
    </row>
    <row r="20207" ht="15.75" customHeight="1">
      <c r="A20207" s="1">
        <v>21488.0</v>
      </c>
      <c r="B20207" s="3" t="s">
        <v>15162</v>
      </c>
      <c r="C20207" s="3" t="str">
        <f>IFERROR(__xludf.DUMMYFUNCTION("GOOGLETRANSLATE(B20207,""id"",""en"")"),"['service']")</f>
        <v>['service']</v>
      </c>
      <c r="D20207" s="3">
        <v>4.0</v>
      </c>
    </row>
    <row r="20208" ht="15.75" customHeight="1">
      <c r="A20208" s="1">
        <v>21489.0</v>
      </c>
      <c r="B20208" s="3" t="s">
        <v>19110</v>
      </c>
      <c r="C20208" s="3" t="str">
        <f>IFERROR(__xludf.DUMMYFUNCTION("GOOGLETRANSLATE(B20208,""id"",""en"")"),"['What', 'Network', 'Telkomsel', 'ugly', 'already', 'price', 'quota', 'expensive', 'network', 'slow', 'sometimes',' like ',' Lost ',' users', 'Telkomsel', 'disappointed', 'at the same time', 'learn', 'network', 'error', 'at the time', 'play', 'game', 'onl"&amp;"ine', 'network' , 'stable', 'emotion', 'banting', 'Please', 'fast', 'repaired']")</f>
        <v>['What', 'Network', 'Telkomsel', 'ugly', 'already', 'price', 'quota', 'expensive', 'network', 'slow', 'sometimes',' like ',' Lost ',' users', 'Telkomsel', 'disappointed', 'at the same time', 'learn', 'network', 'error', 'at the time', 'play', 'game', 'online', 'network' , 'stable', 'emotion', 'banting', 'Please', 'fast', 'repaired']</v>
      </c>
      <c r="D20208" s="3">
        <v>2.0</v>
      </c>
    </row>
    <row r="20209" ht="15.75" customHeight="1">
      <c r="A20209" s="1">
        <v>21490.0</v>
      </c>
      <c r="B20209" s="3" t="s">
        <v>19111</v>
      </c>
      <c r="C20209" s="3" t="str">
        <f>IFERROR(__xludf.DUMMYFUNCTION("GOOGLETRANSLATE(B20209,""id"",""en"")"),"['easy', 'check', 'quota']")</f>
        <v>['easy', 'check', 'quota']</v>
      </c>
      <c r="D20209" s="3">
        <v>5.0</v>
      </c>
    </row>
    <row r="20210" ht="15.75" customHeight="1">
      <c r="A20210" s="1">
        <v>21491.0</v>
      </c>
      <c r="B20210" s="3" t="s">
        <v>19112</v>
      </c>
      <c r="C20210" s="3" t="str">
        <f>IFERROR(__xludf.DUMMYFUNCTION("GOOGLETRANSLATE(B20210,""id"",""en"")"),"['Telkomsel', 'disappointing', 'jlk', 'bngt', 'signal', 'emotion']")</f>
        <v>['Telkomsel', 'disappointing', 'jlk', 'bngt', 'signal', 'emotion']</v>
      </c>
      <c r="D20210" s="3">
        <v>1.0</v>
      </c>
    </row>
    <row r="20211" ht="15.75" customHeight="1">
      <c r="A20211" s="1">
        <v>21492.0</v>
      </c>
      <c r="B20211" s="3" t="s">
        <v>19113</v>
      </c>
      <c r="C20211" s="3" t="str">
        <f>IFERROR(__xludf.DUMMYFUNCTION("GOOGLETRANSLATE(B20211,""id"",""en"")"),"['signal', 'ugly', 'love', 'Good', 'Fulstar']")</f>
        <v>['signal', 'ugly', 'love', 'Good', 'Fulstar']</v>
      </c>
      <c r="D20211" s="3">
        <v>1.0</v>
      </c>
    </row>
    <row r="20212" ht="15.75" customHeight="1">
      <c r="A20212" s="1">
        <v>21493.0</v>
      </c>
      <c r="B20212" s="3" t="s">
        <v>19114</v>
      </c>
      <c r="C20212" s="3" t="str">
        <f>IFERROR(__xludf.DUMMYFUNCTION("GOOGLETRANSLATE(B20212,""id"",""en"")"),"['', 'Need', 'Access',' Internet ',' Buru ',' EKH ',' Application ',' Update ',' Githu ',' Lalod ',' Eat ',' Credit ',' Activate ',' package ',' forced ',' deh ',' add ',' pulses', '']")</f>
        <v>['', 'Need', 'Access',' Internet ',' Buru ',' EKH ',' Application ',' Update ',' Githu ',' Lalod ',' Eat ',' Credit ',' Activate ',' package ',' forced ',' deh ',' add ',' pulses', '']</v>
      </c>
      <c r="D20212" s="3">
        <v>1.0</v>
      </c>
    </row>
    <row r="20213" ht="15.75" customHeight="1">
      <c r="A20213" s="1">
        <v>21494.0</v>
      </c>
      <c r="B20213" s="3" t="s">
        <v>19115</v>
      </c>
      <c r="C20213" s="3" t="str">
        <f>IFERROR(__xludf.DUMMYFUNCTION("GOOGLETRANSLATE(B20213,""id"",""en"")"),"['Package', 'Game', 'Package', 'GB', 'Gaguna', 'Strange', 'Provider', 'Discard', 'Gaguna', 'Search', 'Provider']")</f>
        <v>['Package', 'Game', 'Package', 'GB', 'Gaguna', 'Strange', 'Provider', 'Discard', 'Gaguna', 'Search', 'Provider']</v>
      </c>
      <c r="D20213" s="3">
        <v>1.0</v>
      </c>
    </row>
    <row r="20214" ht="15.75" customHeight="1">
      <c r="A20214" s="1">
        <v>21495.0</v>
      </c>
      <c r="B20214" s="3" t="s">
        <v>19116</v>
      </c>
      <c r="C20214" s="3" t="str">
        <f>IFERROR(__xludf.DUMMYFUNCTION("GOOGLETRANSLATE(B20214,""id"",""en"")"),"['Try', 'ksh', 'star']")</f>
        <v>['Try', 'ksh', 'star']</v>
      </c>
      <c r="D20214" s="3">
        <v>3.0</v>
      </c>
    </row>
    <row r="20215" ht="15.75" customHeight="1">
      <c r="A20215" s="1">
        <v>21496.0</v>
      </c>
      <c r="B20215" s="3" t="s">
        <v>19117</v>
      </c>
      <c r="C20215" s="3" t="str">
        <f>IFERROR(__xludf.DUMMYFUNCTION("GOOGLETRANSLATE(B20215,""id"",""en"")"),"['', 'Telkomsel', 'clothes', 'really', 'like']")</f>
        <v>['', 'Telkomsel', 'clothes', 'really', 'like']</v>
      </c>
      <c r="D20215" s="3">
        <v>3.0</v>
      </c>
    </row>
    <row r="20216" ht="15.75" customHeight="1">
      <c r="A20216" s="1">
        <v>21497.0</v>
      </c>
      <c r="B20216" s="3" t="s">
        <v>19118</v>
      </c>
      <c r="C20216" s="3" t="str">
        <f>IFERROR(__xludf.DUMMYFUNCTION("GOOGLETRANSLATE(B20216,""id"",""en"")"),"['Satisfied', 'Telkomsel', '']")</f>
        <v>['Satisfied', 'Telkomsel', '']</v>
      </c>
      <c r="D20216" s="3">
        <v>5.0</v>
      </c>
    </row>
    <row r="20217" ht="15.75" customHeight="1">
      <c r="A20217" s="1">
        <v>21498.0</v>
      </c>
      <c r="B20217" s="3" t="s">
        <v>19119</v>
      </c>
      <c r="C20217" s="3" t="str">
        <f>IFERROR(__xludf.DUMMYFUNCTION("GOOGLETRANSLATE(B20217,""id"",""en"")"),"['steady', 'multiply', 'promo', ""]")</f>
        <v>['steady', 'multiply', 'promo', "]</v>
      </c>
      <c r="D20217" s="3">
        <v>5.0</v>
      </c>
    </row>
    <row r="20218" ht="15.75" customHeight="1">
      <c r="A20218" s="1">
        <v>21499.0</v>
      </c>
      <c r="B20218" s="3" t="s">
        <v>19120</v>
      </c>
      <c r="C20218" s="3" t="str">
        <f>IFERROR(__xludf.DUMMYFUNCTION("GOOGLETRANSLATE(B20218,""id"",""en"")"),"['Wonder', 'Satisfied', 'Quality', 'Network', 'Telkomsel', 'TPI', 'Renting', 'Good', 'Body', 'business',' owned ',' Government ',' others', 'dilapidated']")</f>
        <v>['Wonder', 'Satisfied', 'Quality', 'Network', 'Telkomsel', 'TPI', 'Renting', 'Good', 'Body', 'business',' owned ',' Government ',' others', 'dilapidated']</v>
      </c>
      <c r="D20218" s="3">
        <v>1.0</v>
      </c>
    </row>
    <row r="20219" ht="15.75" customHeight="1">
      <c r="A20219" s="1">
        <v>21500.0</v>
      </c>
      <c r="B20219" s="3" t="s">
        <v>19121</v>
      </c>
      <c r="C20219" s="3" t="str">
        <f>IFERROR(__xludf.DUMMYFUNCTION("GOOGLETRANSLATE(B20219,""id"",""en"")"),"['Update', 'Latest', 'Telkomsel', 'Open', '']")</f>
        <v>['Update', 'Latest', 'Telkomsel', 'Open', '']</v>
      </c>
      <c r="D20219" s="3">
        <v>1.0</v>
      </c>
    </row>
    <row r="20220" ht="15.75" customHeight="1">
      <c r="A20220" s="1">
        <v>21501.0</v>
      </c>
      <c r="B20220" s="3" t="s">
        <v>19122</v>
      </c>
      <c r="C20220" s="3" t="str">
        <f>IFERROR(__xludf.DUMMYFUNCTION("GOOGLETRANSLATE(B20220,""id"",""en"")"),"['', 'Telkom', 'brp', 'seconds', 'ilang', 'signal', 'enter', 'influence', 'dipake', 'maen', 'game']")</f>
        <v>['', 'Telkom', 'brp', 'seconds', 'ilang', 'signal', 'enter', 'influence', 'dipake', 'maen', 'game']</v>
      </c>
      <c r="D20220" s="3">
        <v>1.0</v>
      </c>
    </row>
    <row r="20221" ht="15.75" customHeight="1">
      <c r="A20221" s="1">
        <v>21502.0</v>
      </c>
      <c r="B20221" s="3" t="s">
        <v>19123</v>
      </c>
      <c r="C20221" s="3" t="str">
        <f>IFERROR(__xludf.DUMMYFUNCTION("GOOGLETRANSLATE(B20221,""id"",""en"")"),"['Thanks', 'easy', 'really']")</f>
        <v>['Thanks', 'easy', 'really']</v>
      </c>
      <c r="D20221" s="3">
        <v>5.0</v>
      </c>
    </row>
    <row r="20222" ht="15.75" customHeight="1">
      <c r="A20222" s="1">
        <v>21503.0</v>
      </c>
      <c r="B20222" s="3" t="s">
        <v>19124</v>
      </c>
      <c r="C20222" s="3" t="str">
        <f>IFERROR(__xludf.DUMMYFUNCTION("GOOGLETRANSLATE(B20222,""id"",""en"")"),"['disappointing', 'package', 'internet', 'pulse', 'sumps',' internet ',' belom ',' disorder ',' network ',' package ',' run out ',' Tampa ',' Notifications', 'Telkomsel', 'Disappointing', '']")</f>
        <v>['disappointing', 'package', 'internet', 'pulse', 'sumps',' internet ',' belom ',' disorder ',' network ',' package ',' run out ',' Tampa ',' Notifications', 'Telkomsel', 'Disappointing', '']</v>
      </c>
      <c r="D20222" s="3">
        <v>1.0</v>
      </c>
    </row>
    <row r="20223" ht="15.75" customHeight="1">
      <c r="A20223" s="1">
        <v>21504.0</v>
      </c>
      <c r="B20223" s="3" t="s">
        <v>19125</v>
      </c>
      <c r="C20223" s="3" t="str">
        <f>IFERROR(__xludf.DUMMYFUNCTION("GOOGLETRANSLATE(B20223,""id"",""en"")"),"['Fix', 'Feature', 'charging', 'Kouta', 'according to', 'Jngan', 'Cut', 'Hri', 'that's']")</f>
        <v>['Fix', 'Feature', 'charging', 'Kouta', 'according to', 'Jngan', 'Cut', 'Hri', 'that's']</v>
      </c>
      <c r="D20223" s="3">
        <v>1.0</v>
      </c>
    </row>
    <row r="20224" ht="15.75" customHeight="1">
      <c r="A20224" s="1">
        <v>21505.0</v>
      </c>
      <c r="B20224" s="3" t="s">
        <v>19126</v>
      </c>
      <c r="C20224" s="3" t="str">
        <f>IFERROR(__xludf.DUMMYFUNCTION("GOOGLETRANSLATE(B20224,""id"",""en"")"),"['Hopefully', 'Increases', 'Hurry', 'Move', 'Indosat', 'Jamin', 'Network', 'Smooth', 'Jaya', 'Leave', 'Telkomsel']")</f>
        <v>['Hopefully', 'Increases', 'Hurry', 'Move', 'Indosat', 'Jamin', 'Network', 'Smooth', 'Jaya', 'Leave', 'Telkomsel']</v>
      </c>
      <c r="D20224" s="3">
        <v>1.0</v>
      </c>
    </row>
    <row r="20225" ht="15.75" customHeight="1">
      <c r="A20225" s="1">
        <v>21506.0</v>
      </c>
      <c r="B20225" s="3" t="s">
        <v>19127</v>
      </c>
      <c r="C20225" s="3" t="str">
        <f>IFERROR(__xludf.DUMMYFUNCTION("GOOGLETRANSLATE(B20225,""id"",""en"")"),"['pulse', 'thousand', 'list', 'package', 'pulse', 'leftover', 'that's', 'signal', 'slow', 'please', 'fix', '']")</f>
        <v>['pulse', 'thousand', 'list', 'package', 'pulse', 'leftover', 'that's', 'signal', 'slow', 'please', 'fix', '']</v>
      </c>
      <c r="D20225" s="3">
        <v>1.0</v>
      </c>
    </row>
    <row r="20226" ht="15.75" customHeight="1">
      <c r="A20226" s="1">
        <v>21507.0</v>
      </c>
      <c r="B20226" s="3" t="s">
        <v>19128</v>
      </c>
      <c r="C20226" s="3" t="str">
        <f>IFERROR(__xludf.DUMMYFUNCTION("GOOGLETRANSLATE(B20226,""id"",""en"")"),"['quota', 'expensive', 'singal', 'already', 'Telkomsel', 'deficiencies',' complaints', 'users',' active ',' card ',' run out ',' active ',' May', '']")</f>
        <v>['quota', 'expensive', 'singal', 'already', 'Telkomsel', 'deficiencies',' complaints', 'users',' active ',' card ',' run out ',' active ',' May', '']</v>
      </c>
      <c r="D20226" s="3">
        <v>1.0</v>
      </c>
    </row>
    <row r="20227" ht="15.75" customHeight="1">
      <c r="A20227" s="1">
        <v>21508.0</v>
      </c>
      <c r="B20227" s="3" t="s">
        <v>19129</v>
      </c>
      <c r="C20227" s="3" t="str">
        <f>IFERROR(__xludf.DUMMYFUNCTION("GOOGLETRANSLATE(B20227,""id"",""en"")"),"['Download', 'Update', 'Software', '']")</f>
        <v>['Download', 'Update', 'Software', '']</v>
      </c>
      <c r="D20227" s="3">
        <v>1.0</v>
      </c>
    </row>
    <row r="20228" ht="15.75" customHeight="1">
      <c r="A20228" s="1">
        <v>21509.0</v>
      </c>
      <c r="B20228" s="3" t="s">
        <v>19130</v>
      </c>
      <c r="C20228" s="3" t="str">
        <f>IFERROR(__xludf.DUMMYFUNCTION("GOOGLETRANSLATE(B20228,""id"",""en"")"),"['Tariff', 'expensive', 'used', 'wasteful', 'quota', 'user', 'expensive', 'trs',' package ',' internet ',' profitable ',' function ',' Points', 'buy', 'Package']")</f>
        <v>['Tariff', 'expensive', 'used', 'wasteful', 'quota', 'user', 'expensive', 'trs',' package ',' internet ',' profitable ',' function ',' Points', 'buy', 'Package']</v>
      </c>
      <c r="D20228" s="3">
        <v>1.0</v>
      </c>
    </row>
    <row r="20229" ht="15.75" customHeight="1">
      <c r="A20229" s="1">
        <v>21510.0</v>
      </c>
      <c r="B20229" s="3" t="s">
        <v>19131</v>
      </c>
      <c r="C20229" s="3" t="str">
        <f>IFERROR(__xludf.DUMMYFUNCTION("GOOGLETRANSLATE(B20229,""id"",""en"")"),"['Customer', 'Telkomsel', 'Please', 'Gift', ""]")</f>
        <v>['Customer', 'Telkomsel', 'Please', 'Gift', "]</v>
      </c>
      <c r="D20229" s="3">
        <v>3.0</v>
      </c>
    </row>
    <row r="20230" ht="15.75" customHeight="1">
      <c r="A20230" s="1">
        <v>21511.0</v>
      </c>
      <c r="B20230" s="3" t="s">
        <v>19132</v>
      </c>
      <c r="C20230" s="3" t="str">
        <f>IFERROR(__xludf.DUMMYFUNCTION("GOOGLETRANSLATE(B20230,""id"",""en"")"),"['Telkomsel', 'Haram', 'buy', 'package', 'data']")</f>
        <v>['Telkomsel', 'Haram', 'buy', 'package', 'data']</v>
      </c>
      <c r="D20230" s="3">
        <v>2.0</v>
      </c>
    </row>
    <row r="20231" ht="15.75" customHeight="1">
      <c r="A20231" s="1">
        <v>21512.0</v>
      </c>
      <c r="B20231" s="3" t="s">
        <v>19133</v>
      </c>
      <c r="C20231" s="3" t="str">
        <f>IFERROR(__xludf.DUMMYFUNCTION("GOOGLETRANSLATE(B20231,""id"",""en"")"),"['Application', 'Ribet', 'Informative', '']")</f>
        <v>['Application', 'Ribet', 'Informative', '']</v>
      </c>
      <c r="D20231" s="3">
        <v>1.0</v>
      </c>
    </row>
    <row r="20232" ht="15.75" customHeight="1">
      <c r="A20232" s="1">
        <v>21513.0</v>
      </c>
      <c r="B20232" s="3" t="s">
        <v>1476</v>
      </c>
      <c r="C20232" s="3" t="str">
        <f>IFERROR(__xludf.DUMMYFUNCTION("GOOGLETRANSLATE(B20232,""id"",""en"")"),"['Steady', 'PKO']")</f>
        <v>['Steady', 'PKO']</v>
      </c>
      <c r="D20232" s="3">
        <v>5.0</v>
      </c>
    </row>
    <row r="20233" ht="15.75" customHeight="1">
      <c r="A20233" s="1">
        <v>21514.0</v>
      </c>
      <c r="B20233" s="3" t="s">
        <v>1498</v>
      </c>
      <c r="C20233" s="3" t="str">
        <f>IFERROR(__xludf.DUMMYFUNCTION("GOOGLETRANSLATE(B20233,""id"",""en"")"),"['steady', 'package', 'cheap']")</f>
        <v>['steady', 'package', 'cheap']</v>
      </c>
      <c r="D20233" s="3">
        <v>5.0</v>
      </c>
    </row>
    <row r="20234" ht="15.75" customHeight="1">
      <c r="A20234" s="1">
        <v>21515.0</v>
      </c>
      <c r="B20234" s="3" t="s">
        <v>19134</v>
      </c>
      <c r="C20234" s="3" t="str">
        <f>IFERROR(__xludf.DUMMYFUNCTION("GOOGLETRANSLATE(B20234,""id"",""en"")"),"['Good', 'clay', 'package']")</f>
        <v>['Good', 'clay', 'package']</v>
      </c>
      <c r="D20234" s="3">
        <v>5.0</v>
      </c>
    </row>
    <row r="20235" ht="15.75" customHeight="1">
      <c r="A20235" s="1">
        <v>21516.0</v>
      </c>
      <c r="B20235" s="3" t="s">
        <v>19135</v>
      </c>
      <c r="C20235" s="3" t="str">
        <f>IFERROR(__xludf.DUMMYFUNCTION("GOOGLETRANSLATE(B20235,""id"",""en"")"),"['Nukar', 'Points', 'Package', 'Telkomsel']")</f>
        <v>['Nukar', 'Points', 'Package', 'Telkomsel']</v>
      </c>
      <c r="D20235" s="3">
        <v>1.0</v>
      </c>
    </row>
    <row r="20236" ht="15.75" customHeight="1">
      <c r="A20236" s="1">
        <v>21517.0</v>
      </c>
      <c r="B20236" s="3" t="s">
        <v>19136</v>
      </c>
      <c r="C20236" s="3" t="str">
        <f>IFERROR(__xludf.DUMMYFUNCTION("GOOGLETRANSLATE(B20236,""id"",""en"")"),"['Please', 'Hold', 'Features', 'Key', 'Credit', 'Signal', 'Network', 'Telkomsel', 'Lemot']")</f>
        <v>['Please', 'Hold', 'Features', 'Key', 'Credit', 'Signal', 'Network', 'Telkomsel', 'Lemot']</v>
      </c>
      <c r="D20236" s="3">
        <v>1.0</v>
      </c>
    </row>
    <row r="20237" ht="15.75" customHeight="1">
      <c r="A20237" s="1">
        <v>21518.0</v>
      </c>
      <c r="B20237" s="3" t="s">
        <v>19137</v>
      </c>
      <c r="C20237" s="3" t="str">
        <f>IFERROR(__xludf.DUMMYFUNCTION("GOOGLETRANSLATE(B20237,""id"",""en"")"),"['Signal', 'bad', 'giman', 'trust', 'customer', 'decreases',' UDH ',' quota ',' expensive ',' network ',' according to ',' disappointed ',' ']")</f>
        <v>['Signal', 'bad', 'giman', 'trust', 'customer', 'decreases',' UDH ',' quota ',' expensive ',' network ',' according to ',' disappointed ',' ']</v>
      </c>
      <c r="D20237" s="3">
        <v>1.0</v>
      </c>
    </row>
    <row r="20238" ht="15.75" customHeight="1">
      <c r="A20238" s="1">
        <v>21519.0</v>
      </c>
      <c r="B20238" s="3" t="s">
        <v>19138</v>
      </c>
      <c r="C20238" s="3" t="str">
        <f>IFERROR(__xludf.DUMMYFUNCTION("GOOGLETRANSLATE(B20238,""id"",""en"")"),"['Help', 'Progam', 'Telkom', 'Hopefully', 'Telkom', ""]")</f>
        <v>['Help', 'Progam', 'Telkom', 'Hopefully', 'Telkom', "]</v>
      </c>
      <c r="D20238" s="3">
        <v>5.0</v>
      </c>
    </row>
    <row r="20239" ht="15.75" customHeight="1">
      <c r="A20239" s="1">
        <v>21520.0</v>
      </c>
      <c r="B20239" s="3" t="s">
        <v>19139</v>
      </c>
      <c r="C20239" s="3" t="str">
        <f>IFERROR(__xludf.DUMMYFUNCTION("GOOGLETRANSLATE(B20239,""id"",""en"")"),"['Invidered', 'Network', 'Labil', 'Down', 'Loss', 'Loss', 'Anjeng', 'Cepet', 'Provider']")</f>
        <v>['Invidered', 'Network', 'Labil', 'Down', 'Loss', 'Loss', 'Anjeng', 'Cepet', 'Provider']</v>
      </c>
      <c r="D20239" s="3">
        <v>1.0</v>
      </c>
    </row>
    <row r="20240" ht="15.75" customHeight="1">
      <c r="A20240" s="1">
        <v>21521.0</v>
      </c>
      <c r="B20240" s="3" t="s">
        <v>19140</v>
      </c>
      <c r="C20240" s="3" t="str">
        <f>IFERROR(__xludf.DUMMYFUNCTION("GOOGLETRANSLATE(B20240,""id"",""en"")"),"['Persulit', 'Download', 'Telkomsel', 'cheap', 'package']")</f>
        <v>['Persulit', 'Download', 'Telkomsel', 'cheap', 'package']</v>
      </c>
      <c r="D20240" s="3">
        <v>3.0</v>
      </c>
    </row>
    <row r="20241" ht="15.75" customHeight="1">
      <c r="A20241" s="1">
        <v>21522.0</v>
      </c>
      <c r="B20241" s="3" t="s">
        <v>19141</v>
      </c>
      <c r="C20241" s="3" t="str">
        <f>IFERROR(__xludf.DUMMYFUNCTION("GOOGLETRANSLATE(B20241,""id"",""en"")"),"['forgot', 'shed']")</f>
        <v>['forgot', 'shed']</v>
      </c>
      <c r="D20241" s="3">
        <v>5.0</v>
      </c>
    </row>
    <row r="20242" ht="15.75" customHeight="1">
      <c r="A20242" s="1">
        <v>21523.0</v>
      </c>
      <c r="B20242" s="3" t="s">
        <v>19142</v>
      </c>
      <c r="C20242" s="3" t="str">
        <f>IFERROR(__xludf.DUMMYFUNCTION("GOOGLETRANSLATE(B20242,""id"",""en"")"),"['apk', 'get', 'nganggin', 'expenses']")</f>
        <v>['apk', 'get', 'nganggin', 'expenses']</v>
      </c>
      <c r="D20242" s="3">
        <v>5.0</v>
      </c>
    </row>
    <row r="20243" ht="15.75" customHeight="1">
      <c r="A20243" s="1">
        <v>21524.0</v>
      </c>
      <c r="B20243" s="3" t="s">
        <v>471</v>
      </c>
      <c r="C20243" s="3" t="str">
        <f>IFERROR(__xludf.DUMMYFUNCTION("GOOGLETRANSLATE(B20243,""id"",""en"")"),"['']")</f>
        <v>['']</v>
      </c>
      <c r="D20243" s="3">
        <v>3.0</v>
      </c>
    </row>
    <row r="20244" ht="15.75" customHeight="1">
      <c r="A20244" s="1">
        <v>21525.0</v>
      </c>
      <c r="B20244" s="3" t="s">
        <v>19143</v>
      </c>
      <c r="C20244" s="3" t="str">
        <f>IFERROR(__xludf.DUMMYFUNCTION("GOOGLETRANSLATE(B20244,""id"",""en"")"),"['Telkomsel', 'Open', 'Please', 'Berri', 'Explanation']")</f>
        <v>['Telkomsel', 'Open', 'Please', 'Berri', 'Explanation']</v>
      </c>
      <c r="D20244" s="3">
        <v>5.0</v>
      </c>
    </row>
    <row r="20245" ht="15.75" customHeight="1">
      <c r="A20245" s="1">
        <v>21526.0</v>
      </c>
      <c r="B20245" s="3" t="s">
        <v>19144</v>
      </c>
      <c r="C20245" s="3" t="str">
        <f>IFERROR(__xludf.DUMMYFUNCTION("GOOGLETRANSLATE(B20245,""id"",""en"")"),"['Login', 'How', 'Download', 'The Application', 'Current', '']")</f>
        <v>['Login', 'How', 'Download', 'The Application', 'Current', '']</v>
      </c>
      <c r="D20245" s="3">
        <v>1.0</v>
      </c>
    </row>
    <row r="20246" ht="15.75" customHeight="1">
      <c r="A20246" s="1">
        <v>21527.0</v>
      </c>
      <c r="B20246" s="3" t="s">
        <v>19145</v>
      </c>
      <c r="C20246" s="3" t="str">
        <f>IFERROR(__xludf.DUMMYFUNCTION("GOOGLETRANSLATE(B20246,""id"",""en"")"),"['The application', 'no', 'opened']")</f>
        <v>['The application', 'no', 'opened']</v>
      </c>
      <c r="D20246" s="3">
        <v>5.0</v>
      </c>
    </row>
    <row r="20247" ht="15.75" customHeight="1">
      <c r="A20247" s="1">
        <v>21528.0</v>
      </c>
      <c r="B20247" s="3" t="s">
        <v>19146</v>
      </c>
      <c r="C20247" s="3" t="str">
        <f>IFERROR(__xludf.DUMMYFUNCTION("GOOGLETRANSLATE(B20247,""id"",""en"")"),"['Damn', 'no', 'open', 'kirain', 'net', 'ngelek', 'already', 'use', 'huh', 'knpa', 'kasian']")</f>
        <v>['Damn', 'no', 'open', 'kirain', 'net', 'ngelek', 'already', 'use', 'huh', 'knpa', 'kasian']</v>
      </c>
      <c r="D20247" s="3">
        <v>1.0</v>
      </c>
    </row>
    <row r="20248" ht="15.75" customHeight="1">
      <c r="A20248" s="1">
        <v>21529.0</v>
      </c>
      <c r="B20248" s="3" t="s">
        <v>19147</v>
      </c>
      <c r="C20248" s="3" t="str">
        <f>IFERROR(__xludf.DUMMYFUNCTION("GOOGLETRANSLATE(B20248,""id"",""en"")"),"['Please', 'Telkomsel', 'Application', 'Simple', 'Kasian', 'Network', 'Low', 'Ntuk', 'Open', 'APK', 'Wait', 'Ampe', ' Literit ',' Minutes', '']")</f>
        <v>['Please', 'Telkomsel', 'Application', 'Simple', 'Kasian', 'Network', 'Low', 'Ntuk', 'Open', 'APK', 'Wait', 'Ampe', ' Literit ',' Minutes', '']</v>
      </c>
      <c r="D20248" s="3">
        <v>1.0</v>
      </c>
    </row>
    <row r="20249" ht="15.75" customHeight="1">
      <c r="A20249" s="1">
        <v>21530.0</v>
      </c>
      <c r="B20249" s="3" t="s">
        <v>19148</v>
      </c>
      <c r="C20249" s="3" t="str">
        <f>IFERROR(__xludf.DUMMYFUNCTION("GOOGLETRANSLATE(B20249,""id"",""en"")"),"['application', 'junk', 'login', 'told', 'verification', 'nomeeeerrrr', 'then', 'already', 'loading', 'waste', 'update', 'development']")</f>
        <v>['application', 'junk', 'login', 'told', 'verification', 'nomeeeerrrr', 'then', 'already', 'loading', 'waste', 'update', 'development']</v>
      </c>
      <c r="D20249" s="3">
        <v>1.0</v>
      </c>
    </row>
    <row r="20250" ht="15.75" customHeight="1">
      <c r="A20250" s="1">
        <v>21531.0</v>
      </c>
      <c r="B20250" s="3" t="s">
        <v>19149</v>
      </c>
      <c r="C20250" s="3" t="str">
        <f>IFERROR(__xludf.DUMMYFUNCTION("GOOGLETRANSLATE(B20250,""id"",""en"")"),"['Come on', 'fast', 'donlot', 'promo', 'pay']")</f>
        <v>['Come on', 'fast', 'donlot', 'promo', 'pay']</v>
      </c>
      <c r="D20250" s="3">
        <v>5.0</v>
      </c>
    </row>
    <row r="20251" ht="15.75" customHeight="1">
      <c r="A20251" s="1">
        <v>21532.0</v>
      </c>
      <c r="B20251" s="3" t="s">
        <v>19150</v>
      </c>
      <c r="C20251" s="3" t="str">
        <f>IFERROR(__xludf.DUMMYFUNCTION("GOOGLETRANSLATE(B20251,""id"",""en"")"),"['Lemot', 'Kejangetan']")</f>
        <v>['Lemot', 'Kejangetan']</v>
      </c>
      <c r="D20251" s="3">
        <v>1.0</v>
      </c>
    </row>
    <row r="20252" ht="15.75" customHeight="1">
      <c r="A20252" s="1">
        <v>21533.0</v>
      </c>
      <c r="B20252" s="3" t="s">
        <v>19151</v>
      </c>
      <c r="C20252" s="3" t="str">
        <f>IFERROR(__xludf.DUMMYFUNCTION("GOOGLETRANSLATE(B20252,""id"",""en"")"),"['Bener', 'emang', 'Telkomsel', 'Points', 'no', 'lies']")</f>
        <v>['Bener', 'emang', 'Telkomsel', 'Points', 'no', 'lies']</v>
      </c>
      <c r="D20252" s="3">
        <v>5.0</v>
      </c>
    </row>
    <row r="20253" ht="15.75" customHeight="1">
      <c r="A20253" s="1">
        <v>21534.0</v>
      </c>
      <c r="B20253" s="3" t="s">
        <v>19152</v>
      </c>
      <c r="C20253" s="3" t="str">
        <f>IFERROR(__xludf.DUMMYFUNCTION("GOOGLETRANSLATE(B20253,""id"",""en"")"),"['Package', 'data', 'active', 'pulses', 'run out', 'Telkomsel', 'knpa', 'poor', 'really', '']")</f>
        <v>['Package', 'data', 'active', 'pulses', 'run out', 'Telkomsel', 'knpa', 'poor', 'really', '']</v>
      </c>
      <c r="D20253" s="3">
        <v>1.0</v>
      </c>
    </row>
    <row r="20254" ht="15.75" customHeight="1">
      <c r="A20254" s="1">
        <v>21535.0</v>
      </c>
      <c r="B20254" s="3" t="s">
        <v>19153</v>
      </c>
      <c r="C20254" s="3" t="str">
        <f>IFERROR(__xludf.DUMMYFUNCTION("GOOGLETRANSLATE(B20254,""id"",""en"")"),"['Ngga', 'Males', 'Eat']")</f>
        <v>['Ngga', 'Males', 'Eat']</v>
      </c>
      <c r="D20254" s="3">
        <v>5.0</v>
      </c>
    </row>
    <row r="20255" ht="15.75" customHeight="1">
      <c r="A20255" s="1">
        <v>21536.0</v>
      </c>
      <c r="B20255" s="3" t="s">
        <v>19154</v>
      </c>
      <c r="C20255" s="3" t="str">
        <f>IFERROR(__xludf.DUMMYFUNCTION("GOOGLETRANSLATE(B20255,""id"",""en"")"),"['updated', 'version', 'the latest', 'no', 'opened', 'strange']")</f>
        <v>['updated', 'version', 'the latest', 'no', 'opened', 'strange']</v>
      </c>
      <c r="D20255" s="3">
        <v>5.0</v>
      </c>
    </row>
    <row r="20256" ht="15.75" customHeight="1">
      <c r="A20256" s="1">
        <v>21537.0</v>
      </c>
      <c r="B20256" s="3" t="s">
        <v>19155</v>
      </c>
      <c r="C20256" s="3" t="str">
        <f>IFERROR(__xludf.DUMMYFUNCTION("GOOGLETRANSLATE(B20256,""id"",""en"")"),"['Sagat', 'Snacious']")</f>
        <v>['Sagat', 'Snacious']</v>
      </c>
      <c r="D20256" s="3">
        <v>5.0</v>
      </c>
    </row>
    <row r="20257" ht="15.75" customHeight="1">
      <c r="A20257" s="1">
        <v>21538.0</v>
      </c>
      <c r="B20257" s="3" t="s">
        <v>19156</v>
      </c>
      <c r="C20257" s="3" t="str">
        <f>IFERROR(__xludf.DUMMYFUNCTION("GOOGLETRANSLATE(B20257,""id"",""en"")"),"['Steady', 'Telkomsel', 'Provides', 'MyTelkomsel', 'Easy', 'Caskek', 'quota', 'buy', 'quota']")</f>
        <v>['Steady', 'Telkomsel', 'Provides', 'MyTelkomsel', 'Easy', 'Caskek', 'quota', 'buy', 'quota']</v>
      </c>
      <c r="D20257" s="3">
        <v>5.0</v>
      </c>
    </row>
    <row r="20258" ht="15.75" customHeight="1">
      <c r="A20258" s="1">
        <v>21539.0</v>
      </c>
      <c r="B20258" s="3" t="s">
        <v>19157</v>
      </c>
      <c r="C20258" s="3" t="str">
        <f>IFERROR(__xludf.DUMMYFUNCTION("GOOGLETRANSLATE(B20258,""id"",""en"")"),"['Please', 'repaired', 'use', 'Samsung', 'Ultra', 'Lost', 'Telkomsel', 'Install', 'Playstore', 'Install', 'Telkomsel', 'Install', ' Reviews', 'plus',' reply ',' developer ',' told ',' open ',' Telkomsel ',' then ',' contact ',' features', 'help', 'how', '"&amp;"open' , 'Application', 'Telkomsel', 'missing', 'downloaded', 'installed', '']")</f>
        <v>['Please', 'repaired', 'use', 'Samsung', 'Ultra', 'Lost', 'Telkomsel', 'Install', 'Playstore', 'Install', 'Telkomsel', 'Install', ' Reviews', 'plus',' reply ',' developer ',' told ',' open ',' Telkomsel ',' then ',' contact ',' features', 'help', 'how', 'open' , 'Application', 'Telkomsel', 'missing', 'downloaded', 'installed', '']</v>
      </c>
      <c r="D20258" s="3">
        <v>1.0</v>
      </c>
    </row>
    <row r="20259" ht="15.75" customHeight="1">
      <c r="A20259" s="1">
        <v>21540.0</v>
      </c>
      <c r="B20259" s="3" t="s">
        <v>19158</v>
      </c>
      <c r="C20259" s="3" t="str">
        <f>IFERROR(__xludf.DUMMYFUNCTION("GOOGLETRANSLATE(B20259,""id"",""en"")"),"['A ',' BBR ',' application ',' MyTelkomsel ',' opened ',' already ',' Matiin ',' already ',' intall ',' apk ',' TPI ',' ttp ']")</f>
        <v>['A ',' BBR ',' application ',' MyTelkomsel ',' opened ',' already ',' Matiin ',' already ',' intall ',' apk ',' TPI ',' ttp ']</v>
      </c>
      <c r="D20259" s="3">
        <v>1.0</v>
      </c>
    </row>
    <row r="20260" ht="15.75" customHeight="1">
      <c r="A20260" s="1">
        <v>21541.0</v>
      </c>
      <c r="B20260" s="3" t="s">
        <v>19159</v>
      </c>
      <c r="C20260" s="3" t="str">
        <f>IFERROR(__xludf.DUMMYFUNCTION("GOOGLETRANSLATE(B20260,""id"",""en"")"),"['knapa', 'Telkomsel', 'run out', 'updated', 'used', 'version', 'android', '']")</f>
        <v>['knapa', 'Telkomsel', 'run out', 'updated', 'used', 'version', 'android', '']</v>
      </c>
      <c r="D20260" s="3">
        <v>1.0</v>
      </c>
    </row>
    <row r="20261" ht="15.75" customHeight="1">
      <c r="A20261" s="1">
        <v>21542.0</v>
      </c>
      <c r="B20261" s="3" t="s">
        <v>19160</v>
      </c>
      <c r="C20261" s="3" t="str">
        <f>IFERROR(__xludf.DUMMYFUNCTION("GOOGLETRANSLATE(B20261,""id"",""en"")"),"['', 'Telkomsel', 'good', 'really', 'network', 'steady', 'usei', 'network', 'anything', 'steady', 'trimaksh', 'telkomsel']")</f>
        <v>['', 'Telkomsel', 'good', 'really', 'network', 'steady', 'usei', 'network', 'anything', 'steady', 'trimaksh', 'telkomsel']</v>
      </c>
      <c r="D20261" s="3">
        <v>5.0</v>
      </c>
    </row>
    <row r="20262" ht="15.75" customHeight="1">
      <c r="A20262" s="1">
        <v>21543.0</v>
      </c>
      <c r="B20262" s="3" t="s">
        <v>19161</v>
      </c>
      <c r="C20262" s="3" t="str">
        <f>IFERROR(__xludf.DUMMYFUNCTION("GOOGLETRANSLATE(B20262,""id"",""en"")"),"['habit', 'already', 'buy', 'package', 'leftover', 'pulse', 'sedotine', 'mulu', 'gmna', 'min', 'no', 'confirm', ' You ',' suck ',' quota ',' sorry ',' twigs', '']")</f>
        <v>['habit', 'already', 'buy', 'package', 'leftover', 'pulse', 'sedotine', 'mulu', 'gmna', 'min', 'no', 'confirm', ' You ',' suck ',' quota ',' sorry ',' twigs', '']</v>
      </c>
      <c r="D20262" s="3">
        <v>1.0</v>
      </c>
    </row>
    <row r="20263" ht="15.75" customHeight="1">
      <c r="A20263" s="1">
        <v>21545.0</v>
      </c>
      <c r="B20263" s="3" t="s">
        <v>19162</v>
      </c>
      <c r="C20263" s="3" t="str">
        <f>IFERROR(__xludf.DUMMYFUNCTION("GOOGLETRANSLATE(B20263,""id"",""en"")"),"['Enter', 'APK', 'Telkomsel', '']")</f>
        <v>['Enter', 'APK', 'Telkomsel', '']</v>
      </c>
      <c r="D20263" s="3">
        <v>1.0</v>
      </c>
    </row>
    <row r="20264" ht="15.75" customHeight="1">
      <c r="A20264" s="1">
        <v>21546.0</v>
      </c>
      <c r="B20264" s="3" t="s">
        <v>19163</v>
      </c>
      <c r="C20264" s="3" t="str">
        <f>IFERROR(__xludf.DUMMYFUNCTION("GOOGLETRANSLATE(B20264,""id"",""en"")"),"['Useful', 'Kepepet']")</f>
        <v>['Useful', 'Kepepet']</v>
      </c>
      <c r="D20264" s="3">
        <v>5.0</v>
      </c>
    </row>
    <row r="20265" ht="15.75" customHeight="1">
      <c r="A20265" s="1">
        <v>21547.0</v>
      </c>
      <c r="B20265" s="3" t="s">
        <v>19164</v>
      </c>
      <c r="C20265" s="3" t="str">
        <f>IFERROR(__xludf.DUMMYFUNCTION("GOOGLETRANSLATE(B20265,""id"",""en"")"),"['try it']")</f>
        <v>['try it']</v>
      </c>
      <c r="D20265" s="3">
        <v>5.0</v>
      </c>
    </row>
    <row r="20266" ht="15.75" customHeight="1">
      <c r="A20266" s="1">
        <v>21548.0</v>
      </c>
      <c r="B20266" s="3" t="s">
        <v>19165</v>
      </c>
      <c r="C20266" s="3" t="str">
        <f>IFERROR(__xludf.DUMMYFUNCTION("GOOGLETRANSLATE(B20266,""id"",""en"")"),"['Update', 'Makah', 'Ngak', 'Install', 'Install', 'Ngak', 'Until', 'Force', 'Close', 'Automatic', 'fix it']")</f>
        <v>['Update', 'Makah', 'Ngak', 'Install', 'Install', 'Ngak', 'Until', 'Force', 'Close', 'Automatic', 'fix it']</v>
      </c>
      <c r="D20266" s="3">
        <v>5.0</v>
      </c>
    </row>
    <row r="20267" ht="15.75" customHeight="1">
      <c r="A20267" s="1">
        <v>21549.0</v>
      </c>
      <c r="B20267" s="3" t="s">
        <v>19166</v>
      </c>
      <c r="C20267" s="3" t="str">
        <f>IFERROR(__xludf.DUMMYFUNCTION("GOOGLETRANSLATE(B20267,""id"",""en"")"),"['hope', 'the day', 'signal', 'good', 'buffering']")</f>
        <v>['hope', 'the day', 'signal', 'good', 'buffering']</v>
      </c>
      <c r="D20267" s="3">
        <v>5.0</v>
      </c>
    </row>
    <row r="20268" ht="15.75" customHeight="1">
      <c r="A20268" s="1">
        <v>21550.0</v>
      </c>
      <c r="B20268" s="3" t="s">
        <v>19167</v>
      </c>
      <c r="C20268" s="3" t="str">
        <f>IFERROR(__xludf.DUMMYFUNCTION("GOOGLETRANSLATE(B20268,""id"",""en"")"),"['Leg', 'Trus', 'Tae']")</f>
        <v>['Leg', 'Trus', 'Tae']</v>
      </c>
      <c r="D20268" s="3">
        <v>1.0</v>
      </c>
    </row>
    <row r="20269" ht="15.75" customHeight="1">
      <c r="A20269" s="1">
        <v>21551.0</v>
      </c>
      <c r="B20269" s="3" t="s">
        <v>19168</v>
      </c>
      <c r="C20269" s="3" t="str">
        <f>IFERROR(__xludf.DUMMYFUNCTION("GOOGLETRANSLATE(B20269,""id"",""en"")"),"['like', 'promotion', 'my computer']")</f>
        <v>['like', 'promotion', 'my computer']</v>
      </c>
      <c r="D20269" s="3">
        <v>5.0</v>
      </c>
    </row>
    <row r="20270" ht="15.75" customHeight="1">
      <c r="A20270" s="1">
        <v>21552.0</v>
      </c>
      <c r="B20270" s="3" t="s">
        <v>19169</v>
      </c>
      <c r="C20270" s="3" t="str">
        <f>IFERROR(__xludf.DUMMYFUNCTION("GOOGLETRANSLATE(B20270,""id"",""en"")"),"['just', 'update', 'gabisa', 'opened', 'just', 'blank', 'white', 'screen', 'already', 'try', 'uninstall', 'tetep', ' Please help', '']")</f>
        <v>['just', 'update', 'gabisa', 'opened', 'just', 'blank', 'white', 'screen', 'already', 'try', 'uninstall', 'tetep', ' Please help', '']</v>
      </c>
      <c r="D20270" s="3">
        <v>2.0</v>
      </c>
    </row>
    <row r="20271" ht="15.75" customHeight="1">
      <c r="A20271" s="1">
        <v>21553.0</v>
      </c>
      <c r="B20271" s="3" t="s">
        <v>19170</v>
      </c>
      <c r="C20271" s="3" t="str">
        <f>IFERROR(__xludf.DUMMYFUNCTION("GOOGLETRANSLATE(B20271,""id"",""en"")"),"['Log', 'all', ""]")</f>
        <v>['Log', 'all', "]</v>
      </c>
      <c r="D20271" s="3">
        <v>1.0</v>
      </c>
    </row>
    <row r="20272" ht="15.75" customHeight="1">
      <c r="A20272" s="1">
        <v>21554.0</v>
      </c>
      <c r="B20272" s="3" t="s">
        <v>19171</v>
      </c>
      <c r="C20272" s="3" t="str">
        <f>IFERROR(__xludf.DUMMYFUNCTION("GOOGLETRANSLATE(B20272,""id"",""en"")"),"['Can't', 'enter', 'after', 'update']")</f>
        <v>['Can't', 'enter', 'after', 'update']</v>
      </c>
      <c r="D20272" s="3">
        <v>2.0</v>
      </c>
    </row>
    <row r="20273" ht="15.75" customHeight="1">
      <c r="A20273" s="1">
        <v>21555.0</v>
      </c>
      <c r="B20273" s="3" t="s">
        <v>19172</v>
      </c>
      <c r="C20273" s="3" t="str">
        <f>IFERROR(__xludf.DUMMYFUNCTION("GOOGLETRANSLATE(B20273,""id"",""en"")"),"['cool', 'package', 'cheap']")</f>
        <v>['cool', 'package', 'cheap']</v>
      </c>
      <c r="D20273" s="3">
        <v>4.0</v>
      </c>
    </row>
    <row r="20274" ht="15.75" customHeight="1">
      <c r="A20274" s="1">
        <v>21556.0</v>
      </c>
      <c r="B20274" s="3" t="s">
        <v>12649</v>
      </c>
      <c r="C20274" s="3" t="str">
        <f>IFERROR(__xludf.DUMMYFUNCTION("GOOGLETRANSLATE(B20274,""id"",""en"")"),"['Good', 'steady']")</f>
        <v>['Good', 'steady']</v>
      </c>
      <c r="D20274" s="3">
        <v>5.0</v>
      </c>
    </row>
    <row r="20275" ht="15.75" customHeight="1">
      <c r="A20275" s="1">
        <v>21557.0</v>
      </c>
      <c r="B20275" s="3" t="s">
        <v>19173</v>
      </c>
      <c r="C20275" s="3" t="str">
        <f>IFERROR(__xludf.DUMMYFUNCTION("GOOGLETRANSLATE(B20275,""id"",""en"")"),"['bad', 'expensive', 'doank', 'signalnye', 'ugly', 'bngt']")</f>
        <v>['bad', 'expensive', 'doank', 'signalnye', 'ugly', 'bngt']</v>
      </c>
      <c r="D20275" s="3">
        <v>1.0</v>
      </c>
    </row>
    <row r="20276" ht="15.75" customHeight="1">
      <c r="A20276" s="1">
        <v>21559.0</v>
      </c>
      <c r="B20276" s="3" t="s">
        <v>19174</v>
      </c>
      <c r="C20276" s="3" t="str">
        <f>IFERROR(__xludf.DUMMYFUNCTION("GOOGLETRANSLATE(B20276,""id"",""en"")"),"['Application', 'Enter', 'White', 'Screen', '']")</f>
        <v>['Application', 'Enter', 'White', 'Screen', '']</v>
      </c>
      <c r="D20276" s="3">
        <v>5.0</v>
      </c>
    </row>
    <row r="20277" ht="15.75" customHeight="1">
      <c r="A20277" s="1">
        <v>21560.0</v>
      </c>
      <c r="B20277" s="3" t="s">
        <v>19175</v>
      </c>
      <c r="C20277" s="3" t="str">
        <f>IFERROR(__xludf.DUMMYFUNCTION("GOOGLETRANSLATE(B20277,""id"",""en"")"),"['Telkomsel', 'open', 'min']")</f>
        <v>['Telkomsel', 'open', 'min']</v>
      </c>
      <c r="D20277" s="3">
        <v>5.0</v>
      </c>
    </row>
    <row r="20278" ht="15.75" customHeight="1">
      <c r="A20278" s="1">
        <v>21561.0</v>
      </c>
      <c r="B20278" s="3" t="s">
        <v>19176</v>
      </c>
      <c r="C20278" s="3" t="str">
        <f>IFERROR(__xludf.DUMMYFUNCTION("GOOGLETRANSLATE(B20278,""id"",""en"")"),"['Safe', 'easy']")</f>
        <v>['Safe', 'easy']</v>
      </c>
      <c r="D20278" s="3">
        <v>5.0</v>
      </c>
    </row>
    <row r="20279" ht="15.75" customHeight="1">
      <c r="A20279" s="1">
        <v>21562.0</v>
      </c>
      <c r="B20279" s="3" t="s">
        <v>846</v>
      </c>
      <c r="C20279" s="3" t="str">
        <f>IFERROR(__xludf.DUMMYFUNCTION("GOOGLETRANSLATE(B20279,""id"",""en"")"),"['application', 'good']")</f>
        <v>['application', 'good']</v>
      </c>
      <c r="D20279" s="3">
        <v>4.0</v>
      </c>
    </row>
    <row r="20280" ht="15.75" customHeight="1">
      <c r="A20280" s="1">
        <v>21563.0</v>
      </c>
      <c r="B20280" s="3" t="s">
        <v>19177</v>
      </c>
      <c r="C20280" s="3" t="str">
        <f>IFERROR(__xludf.DUMMYFUNCTION("GOOGLETRANSLATE(B20280,""id"",""en"")"),"['APK', 'ugly', 'bong']")</f>
        <v>['APK', 'ugly', 'bong']</v>
      </c>
      <c r="D20280" s="3">
        <v>2.0</v>
      </c>
    </row>
    <row r="20281" ht="15.75" customHeight="1">
      <c r="A20281" s="1">
        <v>21564.0</v>
      </c>
      <c r="B20281" s="3" t="s">
        <v>19178</v>
      </c>
      <c r="C20281" s="3" t="str">
        <f>IFERROR(__xludf.DUMMYFUNCTION("GOOGLETRANSLATE(B20281,""id"",""en"")"),"['cheap', 'price', 'package', 'combo']")</f>
        <v>['cheap', 'price', 'package', 'combo']</v>
      </c>
      <c r="D20281" s="3">
        <v>5.0</v>
      </c>
    </row>
    <row r="20282" ht="15.75" customHeight="1">
      <c r="A20282" s="1">
        <v>21565.0</v>
      </c>
      <c r="B20282" s="3" t="s">
        <v>19179</v>
      </c>
      <c r="C20282" s="3" t="str">
        <f>IFERROR(__xludf.DUMMYFUNCTION("GOOGLETRANSLATE(B20282,""id"",""en"")"),"['Thank you', 'helped', 'mercy', 'buy', 'package']")</f>
        <v>['Thank you', 'helped', 'mercy', 'buy', 'package']</v>
      </c>
      <c r="D20282" s="3">
        <v>4.0</v>
      </c>
    </row>
    <row r="20283" ht="15.75" customHeight="1">
      <c r="A20283" s="1">
        <v>21566.0</v>
      </c>
      <c r="B20283" s="3" t="s">
        <v>19180</v>
      </c>
      <c r="C20283" s="3" t="str">
        <f>IFERROR(__xludf.DUMMYFUNCTION("GOOGLETRANSLATE(B20283,""id"",""en"")"),"['Dam', 'fast']")</f>
        <v>['Dam', 'fast']</v>
      </c>
      <c r="D20283" s="3">
        <v>5.0</v>
      </c>
    </row>
    <row r="20284" ht="15.75" customHeight="1">
      <c r="A20284" s="1">
        <v>21567.0</v>
      </c>
      <c r="B20284" s="3" t="s">
        <v>19181</v>
      </c>
      <c r="C20284" s="3" t="str">
        <f>IFERROR(__xludf.DUMMYFUNCTION("GOOGLETRANSLATE(B20284,""id"",""en"")"),"['Glad', 'have', 'application', 'Telkomsel', 'Karna', 'satisfying', ""]")</f>
        <v>['Glad', 'have', 'application', 'Telkomsel', 'Karna', 'satisfying', "]</v>
      </c>
      <c r="D20284" s="3">
        <v>5.0</v>
      </c>
    </row>
    <row r="20285" ht="15.75" customHeight="1">
      <c r="A20285" s="1">
        <v>21568.0</v>
      </c>
      <c r="B20285" s="3" t="s">
        <v>19182</v>
      </c>
      <c r="C20285" s="3" t="str">
        <f>IFERROR(__xludf.DUMMYFUNCTION("GOOGLETRANSLATE(B20285,""id"",""en"")"),"['Love', 'Mantab', 'Love']")</f>
        <v>['Love', 'Mantab', 'Love']</v>
      </c>
      <c r="D20285" s="3">
        <v>3.0</v>
      </c>
    </row>
    <row r="20286" ht="15.75" customHeight="1">
      <c r="A20286" s="1">
        <v>21569.0</v>
      </c>
      <c r="B20286" s="3" t="s">
        <v>13403</v>
      </c>
      <c r="C20286" s="3" t="str">
        <f>IFERROR(__xludf.DUMMYFUNCTION("GOOGLETRANSLATE(B20286,""id"",""en"")"),"['steady', '']")</f>
        <v>['steady', '']</v>
      </c>
      <c r="D20286" s="3">
        <v>5.0</v>
      </c>
    </row>
    <row r="20287" ht="15.75" customHeight="1">
      <c r="A20287" s="1">
        <v>21570.0</v>
      </c>
      <c r="B20287" s="3" t="s">
        <v>19183</v>
      </c>
      <c r="C20287" s="3" t="str">
        <f>IFERROR(__xludf.DUMMYFUNCTION("GOOGLETRANSLATE(B20287,""id"",""en"")"),"['Download', 'gabisa', 'opened', '']")</f>
        <v>['Download', 'gabisa', 'opened', '']</v>
      </c>
      <c r="D20287" s="3">
        <v>3.0</v>
      </c>
    </row>
    <row r="20288" ht="15.75" customHeight="1">
      <c r="A20288" s="1">
        <v>21572.0</v>
      </c>
      <c r="B20288" s="3" t="s">
        <v>19184</v>
      </c>
      <c r="C20288" s="3" t="str">
        <f>IFERROR(__xludf.DUMMYFUNCTION("GOOGLETRANSLATE(B20288,""id"",""en"")"),"['easy', 'fast', 'comfortable']")</f>
        <v>['easy', 'fast', 'comfortable']</v>
      </c>
      <c r="D20288" s="3">
        <v>5.0</v>
      </c>
    </row>
    <row r="20289" ht="15.75" customHeight="1">
      <c r="A20289" s="1">
        <v>21573.0</v>
      </c>
      <c r="B20289" s="3" t="s">
        <v>19185</v>
      </c>
      <c r="C20289" s="3" t="str">
        <f>IFERROR(__xludf.DUMMYFUNCTION("GOOGLETRANSLATE(B20289,""id"",""en"")"),"['The application', 'really', 'Open', 'Ngeblank', 'White', 'Screen', 'Doang', 'Already', 'Update', 'Tetep', 'Ngebug', 'Already', ' Reinstall ',' Tetep ',' Ngebug ',' repaired ',' service ',' expensive ',' expensive ',' quality ',' minimal ',' like ',' suc"&amp;"k ',' pulse ',' quota ' , 'fix', 'bug', 'as soon as possible', '']")</f>
        <v>['The application', 'really', 'Open', 'Ngeblank', 'White', 'Screen', 'Doang', 'Already', 'Update', 'Tetep', 'Ngebug', 'Already', ' Reinstall ',' Tetep ',' Ngebug ',' repaired ',' service ',' expensive ',' expensive ',' quality ',' minimal ',' like ',' suck ',' pulse ',' quota ' , 'fix', 'bug', 'as soon as possible', '']</v>
      </c>
      <c r="D20289" s="3">
        <v>1.0</v>
      </c>
    </row>
    <row r="20290" ht="15.75" customHeight="1">
      <c r="A20290" s="1">
        <v>21574.0</v>
      </c>
      <c r="B20290" s="3" t="s">
        <v>19186</v>
      </c>
      <c r="C20290" s="3" t="str">
        <f>IFERROR(__xludf.DUMMYFUNCTION("GOOGLETRANSLATE(B20290,""id"",""en"")"),"['sympathy', 'signal', 'good', '']")</f>
        <v>['sympathy', 'signal', 'good', '']</v>
      </c>
      <c r="D20290" s="3">
        <v>5.0</v>
      </c>
    </row>
    <row r="20291" ht="15.75" customHeight="1">
      <c r="A20291" s="1">
        <v>21575.0</v>
      </c>
      <c r="B20291" s="3" t="s">
        <v>19187</v>
      </c>
      <c r="C20291" s="3" t="str">
        <f>IFERROR(__xludf.DUMMYFUNCTION("GOOGLETRANSLATE(B20291,""id"",""en"")"),"['App', 'Meanstall', '']")</f>
        <v>['App', 'Meanstall', '']</v>
      </c>
      <c r="D20291" s="3">
        <v>5.0</v>
      </c>
    </row>
    <row r="20292" ht="15.75" customHeight="1">
      <c r="A20292" s="1">
        <v>21576.0</v>
      </c>
      <c r="B20292" s="3" t="s">
        <v>19188</v>
      </c>
      <c r="C20292" s="3" t="str">
        <f>IFERROR(__xludf.DUMMYFUNCTION("GOOGLETRANSLATE(B20292,""id"",""en"")"),"['ugly', 'open']")</f>
        <v>['ugly', 'open']</v>
      </c>
      <c r="D20292" s="3">
        <v>1.0</v>
      </c>
    </row>
    <row r="20293" ht="15.75" customHeight="1">
      <c r="A20293" s="1">
        <v>21577.0</v>
      </c>
      <c r="B20293" s="3" t="s">
        <v>19189</v>
      </c>
      <c r="C20293" s="3" t="str">
        <f>IFERROR(__xludf.DUMMYFUNCTION("GOOGLETRANSLATE(B20293,""id"",""en"")"),"['Information', 'easy', 'help', ""]")</f>
        <v>['Information', 'easy', 'help', "]</v>
      </c>
      <c r="D20293" s="3">
        <v>5.0</v>
      </c>
    </row>
    <row r="20294" ht="15.75" customHeight="1">
      <c r="A20294" s="1">
        <v>21578.0</v>
      </c>
      <c r="B20294" s="3" t="s">
        <v>19190</v>
      </c>
      <c r="C20294" s="3" t="str">
        <f>IFERROR(__xludf.DUMMYFUNCTION("GOOGLETRANSLATE(B20294,""id"",""en"")"),"['Min', 'Please', 'Fix', 'Signal', 'Nastyl', 'Mulu', '']")</f>
        <v>['Min', 'Please', 'Fix', 'Signal', 'Nastyl', 'Mulu', '']</v>
      </c>
      <c r="D20294" s="3">
        <v>1.0</v>
      </c>
    </row>
    <row r="20295" ht="15.75" customHeight="1">
      <c r="A20295" s="1">
        <v>21579.0</v>
      </c>
      <c r="B20295" s="3" t="s">
        <v>19191</v>
      </c>
      <c r="C20295" s="3" t="str">
        <f>IFERROR(__xludf.DUMMYFUNCTION("GOOGLETRANSLATE(B20295,""id"",""en"")"),"['Update', 'Application', 'Open', 'Gerangan', '']")</f>
        <v>['Update', 'Application', 'Open', 'Gerangan', '']</v>
      </c>
      <c r="D20295" s="3">
        <v>1.0</v>
      </c>
    </row>
    <row r="20296" ht="15.75" customHeight="1">
      <c r="A20296" s="1">
        <v>21580.0</v>
      </c>
      <c r="B20296" s="3" t="s">
        <v>19192</v>
      </c>
      <c r="C20296" s="3" t="str">
        <f>IFERROR(__xludf.DUMMYFUNCTION("GOOGLETRANSLATE(B20296,""id"",""en"")"),"['knapa', 'skarang', 'tsel', 'system', 'then', 'kmren', 'please', 'The info', '']")</f>
        <v>['knapa', 'skarang', 'tsel', 'system', 'then', 'kmren', 'please', 'The info', '']</v>
      </c>
      <c r="D20296" s="3">
        <v>1.0</v>
      </c>
    </row>
    <row r="20297" ht="15.75" customHeight="1">
      <c r="A20297" s="1">
        <v>21581.0</v>
      </c>
      <c r="B20297" s="3" t="s">
        <v>19193</v>
      </c>
      <c r="C20297" s="3" t="str">
        <f>IFERROR(__xludf.DUMMYFUNCTION("GOOGLETRANSLATE(B20297,""id"",""en"")"),"['Times', 'Application', 'Telkomsel', 'Bad']")</f>
        <v>['Times', 'Application', 'Telkomsel', 'Bad']</v>
      </c>
      <c r="D20297" s="3">
        <v>3.0</v>
      </c>
    </row>
    <row r="20298" ht="15.75" customHeight="1">
      <c r="A20298" s="1">
        <v>21582.0</v>
      </c>
      <c r="B20298" s="3" t="s">
        <v>19194</v>
      </c>
      <c r="C20298" s="3" t="str">
        <f>IFERROR(__xludf.DUMMYFUNCTION("GOOGLETRANSLATE(B20298,""id"",""en"")"),"['Sorry', 'Reduce', 'star', 'Price', 'Package', 'Application', 'Telkomsel', 'Package', 'Cheap', 'Lost', 'Please', 'Price', ' Package ',' Data ',' Restore ',' ']")</f>
        <v>['Sorry', 'Reduce', 'star', 'Price', 'Package', 'Application', 'Telkomsel', 'Package', 'Cheap', 'Lost', 'Please', 'Price', ' Package ',' Data ',' Restore ',' ']</v>
      </c>
      <c r="D20298" s="3">
        <v>1.0</v>
      </c>
    </row>
    <row r="20299" ht="15.75" customHeight="1">
      <c r="A20299" s="1">
        <v>21583.0</v>
      </c>
      <c r="B20299" s="3" t="s">
        <v>19195</v>
      </c>
      <c r="C20299" s="3" t="str">
        <f>IFERROR(__xludf.DUMMYFUNCTION("GOOGLETRANSLATE(B20299,""id"",""en"")"),"['staple', 'thief', 'pulse']")</f>
        <v>['staple', 'thief', 'pulse']</v>
      </c>
      <c r="D20299" s="3">
        <v>1.0</v>
      </c>
    </row>
    <row r="20300" ht="15.75" customHeight="1">
      <c r="A20300" s="1">
        <v>21584.0</v>
      </c>
      <c r="B20300" s="3" t="s">
        <v>1044</v>
      </c>
      <c r="C20300" s="3" t="str">
        <f>IFERROR(__xludf.DUMMYFUNCTION("GOOGLETRANSLATE(B20300,""id"",""en"")"),"['good', '']")</f>
        <v>['good', '']</v>
      </c>
      <c r="D20300" s="3">
        <v>5.0</v>
      </c>
    </row>
    <row r="20301" ht="15.75" customHeight="1">
      <c r="A20301" s="1">
        <v>21585.0</v>
      </c>
      <c r="B20301" s="3" t="s">
        <v>19196</v>
      </c>
      <c r="C20301" s="3" t="str">
        <f>IFERROR(__xludf.DUMMYFUNCTION("GOOGLETRANSLATE(B20301,""id"",""en"")"),"['BBRP', 'Telkomsel', 'Open', 'appears',' Loading ',' Loading ',' appears', 'screen', 'white', 'Doang', 'UDH', 'Uninstall', ' Install ',' Tetep ',' appears', 'screen', 'white', 'doang', 'pdhl', 'dlu', 'application', 'stlh', 'update', 'kmrn', 'error' , 'gi"&amp;"ni']")</f>
        <v>['BBRP', 'Telkomsel', 'Open', 'appears',' Loading ',' Loading ',' appears', 'screen', 'white', 'Doang', 'UDH', 'Uninstall', ' Install ',' Tetep ',' appears', 'screen', 'white', 'doang', 'pdhl', 'dlu', 'application', 'stlh', 'update', 'kmrn', 'error' , 'gini']</v>
      </c>
      <c r="D20301" s="3">
        <v>1.0</v>
      </c>
    </row>
    <row r="20302" ht="15.75" customHeight="1">
      <c r="A20302" s="1">
        <v>21586.0</v>
      </c>
      <c r="B20302" s="3" t="s">
        <v>19197</v>
      </c>
      <c r="C20302" s="3" t="str">
        <f>IFERROR(__xludf.DUMMYFUNCTION("GOOGLETRANSLATE(B20302,""id"",""en"")"),"['Quota', 'Unlimited', 'YouTube', 'Error', 'Used', 'Quota', 'Main', 'Sumpot', 'Hello', 'Sis', ""]")</f>
        <v>['Quota', 'Unlimited', 'YouTube', 'Error', 'Used', 'Quota', 'Main', 'Sumpot', 'Hello', 'Sis', "]</v>
      </c>
      <c r="D20302" s="3">
        <v>1.0</v>
      </c>
    </row>
    <row r="20303" ht="15.75" customHeight="1">
      <c r="A20303" s="1">
        <v>21587.0</v>
      </c>
      <c r="B20303" s="3" t="s">
        <v>19198</v>
      </c>
      <c r="C20303" s="3" t="str">
        <f>IFERROR(__xludf.DUMMYFUNCTION("GOOGLETRANSLATE(B20303,""id"",""en"")"),"['White', 'Screen', 'Please', 'Referred', 'Update "",' Bad ',' hurry ',' buy ',' packetan ']")</f>
        <v>['White', 'Screen', 'Please', 'Referred', 'Update ",' Bad ',' hurry ',' buy ',' packetan ']</v>
      </c>
      <c r="D20303" s="3">
        <v>1.0</v>
      </c>
    </row>
    <row r="20304" ht="15.75" customHeight="1">
      <c r="A20304" s="1">
        <v>21588.0</v>
      </c>
      <c r="B20304" s="3" t="s">
        <v>19199</v>
      </c>
      <c r="C20304" s="3" t="str">
        <f>IFERROR(__xludf.DUMMYFUNCTION("GOOGLETRANSLATE(B20304,""id"",""en"")"),"['Kasuka', 'sekli', 'application', '']")</f>
        <v>['Kasuka', 'sekli', 'application', '']</v>
      </c>
      <c r="D20304" s="3">
        <v>5.0</v>
      </c>
    </row>
    <row r="20305" ht="15.75" customHeight="1">
      <c r="A20305" s="1">
        <v>21589.0</v>
      </c>
      <c r="B20305" s="3" t="s">
        <v>19200</v>
      </c>
      <c r="C20305" s="3" t="str">
        <f>IFERROR(__xludf.DUMMYFUNCTION("GOOGLETRANSLATE(B20305,""id"",""en"")"),"['App', 'Useful', 'Very', 'No "",' Ribet ',' Help ',' Information ',' Credit ',' Quira ',' Etc. ',' already ',' so ',' Gifts', 'Offers',' Tempting ',' Real ',' Tank ',' Telkomsel ',' Hopefully ',' Success']")</f>
        <v>['App', 'Useful', 'Very', 'No ",' Ribet ',' Help ',' Information ',' Credit ',' Quira ',' Etc. ',' already ',' so ',' Gifts', 'Offers',' Tempting ',' Real ',' Tank ',' Telkomsel ',' Hopefully ',' Success']</v>
      </c>
      <c r="D20305" s="3">
        <v>5.0</v>
      </c>
    </row>
    <row r="20306" ht="15.75" customHeight="1">
      <c r="A20306" s="1">
        <v>21590.0</v>
      </c>
      <c r="B20306" s="3" t="s">
        <v>19201</v>
      </c>
      <c r="C20306" s="3" t="str">
        <f>IFERROR(__xludf.DUMMYFUNCTION("GOOGLETRANSLATE(B20306,""id"",""en"")"),"['Telkomsel', 'no', 'network', 'slow', 'really', 'oath', 'customer', 'disappointed', '']")</f>
        <v>['Telkomsel', 'no', 'network', 'slow', 'really', 'oath', 'customer', 'disappointed', '']</v>
      </c>
      <c r="D20306" s="3">
        <v>1.0</v>
      </c>
    </row>
    <row r="20307" ht="15.75" customHeight="1">
      <c r="A20307" s="1">
        <v>21591.0</v>
      </c>
      <c r="B20307" s="3" t="s">
        <v>19202</v>
      </c>
      <c r="C20307" s="3" t="str">
        <f>IFERROR(__xludf.DUMMYFUNCTION("GOOGLETRANSLATE(B20307,""id"",""en"")"),"['Nge', 'games', 'ping', 'stable', 'already', 'many years', 'Telkomsel', 'emang', 'Bener', 'loyal', 'disappointed', ""]")</f>
        <v>['Nge', 'games', 'ping', 'stable', 'already', 'many years', 'Telkomsel', 'emang', 'Bener', 'loyal', 'disappointed', "]</v>
      </c>
      <c r="D20307" s="3">
        <v>1.0</v>
      </c>
    </row>
    <row r="20308" ht="15.75" customHeight="1">
      <c r="A20308" s="1">
        <v>21592.0</v>
      </c>
      <c r="B20308" s="3" t="s">
        <v>19203</v>
      </c>
      <c r="C20308" s="3" t="str">
        <f>IFERROR(__xludf.DUMMYFUNCTION("GOOGLETRANSLATE(B20308,""id"",""en"")"),"['Steady', 'Direct']")</f>
        <v>['Steady', 'Direct']</v>
      </c>
      <c r="D20308" s="3">
        <v>4.0</v>
      </c>
    </row>
    <row r="20309" ht="15.75" customHeight="1">
      <c r="A20309" s="1">
        <v>21594.0</v>
      </c>
      <c r="B20309" s="3" t="s">
        <v>19204</v>
      </c>
      <c r="C20309" s="3" t="str">
        <f>IFERROR(__xludf.DUMMYFUNCTION("GOOGLETRANSLATE(B20309,""id"",""en"")"),"['Hopefully', 'Solution', 'Best', 'Consumen', 'Face']")</f>
        <v>['Hopefully', 'Solution', 'Best', 'Consumen', 'Face']</v>
      </c>
      <c r="D20309" s="3">
        <v>5.0</v>
      </c>
    </row>
    <row r="20310" ht="15.75" customHeight="1">
      <c r="A20310" s="1">
        <v>21595.0</v>
      </c>
      <c r="B20310" s="3" t="s">
        <v>19205</v>
      </c>
      <c r="C20310" s="3" t="str">
        <f>IFERROR(__xludf.DUMMYFUNCTION("GOOGLETRANSLATE(B20310,""id"",""en"")"),"['Network', 'Good', 'Play', 'Car', 'Legend', 'Leg', 'Severe', 'Disappointed']")</f>
        <v>['Network', 'Good', 'Play', 'Car', 'Legend', 'Leg', 'Severe', 'Disappointed']</v>
      </c>
      <c r="D20310" s="3">
        <v>2.0</v>
      </c>
    </row>
    <row r="20311" ht="15.75" customHeight="1">
      <c r="A20311" s="1">
        <v>21596.0</v>
      </c>
      <c r="B20311" s="3" t="s">
        <v>19206</v>
      </c>
      <c r="C20311" s="3" t="str">
        <f>IFERROR(__xludf.DUMMYFUNCTION("GOOGLETRANSLATE(B20311,""id"",""en"")"),"['already', 'update', 'purchase', 'package', 'payment', 'commerce', 'tetep', 'failed', 'connection', 'bad', 'system', 'sorted']")</f>
        <v>['already', 'update', 'purchase', 'package', 'payment', 'commerce', 'tetep', 'failed', 'connection', 'bad', 'system', 'sorted']</v>
      </c>
      <c r="D20311" s="3">
        <v>2.0</v>
      </c>
    </row>
    <row r="20312" ht="15.75" customHeight="1">
      <c r="A20312" s="1">
        <v>21597.0</v>
      </c>
      <c r="B20312" s="3" t="s">
        <v>19207</v>
      </c>
      <c r="C20312" s="3" t="str">
        <f>IFERROR(__xludf.DUMMYFUNCTION("GOOGLETRANSLATE(B20312,""id"",""en"")"),"['cave', 'buy', 'package', 'GB', 'price', 'missing', 'kagak', 'panel', 'choice', ""]")</f>
        <v>['cave', 'buy', 'package', 'GB', 'price', 'missing', 'kagak', 'panel', 'choice', "]</v>
      </c>
      <c r="D20312" s="3">
        <v>1.0</v>
      </c>
    </row>
    <row r="20313" ht="15.75" customHeight="1">
      <c r="A20313" s="1">
        <v>21598.0</v>
      </c>
      <c r="B20313" s="3" t="s">
        <v>19208</v>
      </c>
      <c r="C20313" s="3" t="str">
        <f>IFERROR(__xludf.DUMMYFUNCTION("GOOGLETRANSLATE(B20313,""id"",""en"")"),"['family', 'already', 'card', 'Telkomsel', 'born', 'entry', 'age', 'subscribe', 'disappointed', 'operator', 'Telkomsel', 'since' Quality ',' Network ',' Telkomsel ',' Decreases', 'Network', 'Leet', 'Connection', 'Internet', 'Disconnect', 'Stable', 'Consum"&amp;"er', 'Stop', 'Subscription' , 'Please', 'improved', 'quality', 'service', 'late', '']")</f>
        <v>['family', 'already', 'card', 'Telkomsel', 'born', 'entry', 'age', 'subscribe', 'disappointed', 'operator', 'Telkomsel', 'since' Quality ',' Network ',' Telkomsel ',' Decreases', 'Network', 'Leet', 'Connection', 'Internet', 'Disconnect', 'Stable', 'Consumer', 'Stop', 'Subscription' , 'Please', 'improved', 'quality', 'service', 'late', '']</v>
      </c>
      <c r="D20313" s="3">
        <v>1.0</v>
      </c>
    </row>
    <row r="20314" ht="15.75" customHeight="1">
      <c r="A20314" s="1">
        <v>21599.0</v>
      </c>
      <c r="B20314" s="3" t="s">
        <v>19209</v>
      </c>
      <c r="C20314" s="3" t="str">
        <f>IFERROR(__xludf.DUMMYFUNCTION("GOOGLETRANSLATE(B20314,""id"",""en"")"),"['Package', 'Local', 'Gunakn']")</f>
        <v>['Package', 'Local', 'Gunakn']</v>
      </c>
      <c r="D20314" s="3">
        <v>4.0</v>
      </c>
    </row>
    <row r="20315" ht="15.75" customHeight="1">
      <c r="A20315" s="1">
        <v>21600.0</v>
      </c>
      <c r="B20315" s="3" t="s">
        <v>19210</v>
      </c>
      <c r="C20315" s="3" t="str">
        <f>IFERROR(__xludf.DUMMYFUNCTION("GOOGLETRANSLATE(B20315,""id"",""en"")"),"['Comment', 'Products',' Telkomsel ',' complaints', 'Singnal', 'Bagus',' Update ',' Singanl ',' Area ',' Area ',' Customer ',' Telkomsel ',' Loss', 'Pinda', 'Layannan', 'Please', 'Update', 'Singnal', 'Etc.', 'Hopefully', 'Help']")</f>
        <v>['Comment', 'Products',' Telkomsel ',' complaints', 'Singnal', 'Bagus',' Update ',' Singanl ',' Area ',' Area ',' Customer ',' Telkomsel ',' Loss', 'Pinda', 'Layannan', 'Please', 'Update', 'Singnal', 'Etc.', 'Hopefully', 'Help']</v>
      </c>
      <c r="D20315" s="3">
        <v>1.0</v>
      </c>
    </row>
    <row r="20316" ht="15.75" customHeight="1">
      <c r="A20316" s="1">
        <v>21601.0</v>
      </c>
      <c r="B20316" s="3" t="s">
        <v>19211</v>
      </c>
      <c r="C20316" s="3" t="str">
        <f>IFERROR(__xludf.DUMMYFUNCTION("GOOGLETRANSLATE(B20316,""id"",""en"")"),"['Apalikasi', 'Take', 'Credit', 'Borrow', 'Telkomsel', 'Aduhh', 'Severe', 'Application', 'Mending', 'Uninstall', 'Application', 'Thieves',' pulse', '']")</f>
        <v>['Apalikasi', 'Take', 'Credit', 'Borrow', 'Telkomsel', 'Aduhh', 'Severe', 'Application', 'Mending', 'Uninstall', 'Application', 'Thieves',' pulse', '']</v>
      </c>
      <c r="D20316" s="3">
        <v>1.0</v>
      </c>
    </row>
    <row r="20317" ht="15.75" customHeight="1">
      <c r="A20317" s="1">
        <v>21602.0</v>
      </c>
      <c r="B20317" s="3" t="s">
        <v>19212</v>
      </c>
      <c r="C20317" s="3" t="str">
        <f>IFERROR(__xludf.DUMMYFUNCTION("GOOGLETRANSLATE(B20317,""id"",""en"")"),"['Hello', 'boss',' the application ',' opened ',' KNP ',' Kolep ',' boss', 'ex', 'employee', 'TDC', 'Telkomsel', 'disappointed', ' Because ',' application ',' jlan ',' ']")</f>
        <v>['Hello', 'boss',' the application ',' opened ',' KNP ',' Kolep ',' boss', 'ex', 'employee', 'TDC', 'Telkomsel', 'disappointed', ' Because ',' application ',' jlan ',' ']</v>
      </c>
      <c r="D20317" s="3">
        <v>1.0</v>
      </c>
    </row>
    <row r="20318" ht="15.75" customHeight="1">
      <c r="A20318" s="1">
        <v>21603.0</v>
      </c>
      <c r="B20318" s="3" t="s">
        <v>19213</v>
      </c>
      <c r="C20318" s="3" t="str">
        <f>IFERROR(__xludf.DUMMYFUNCTION("GOOGLETRANSLATE(B20318,""id"",""en"")"),"['', 'application', 'Telkomsel', 'open', 'update', ""]")</f>
        <v>['', 'application', 'Telkomsel', 'open', 'update', "]</v>
      </c>
      <c r="D20318" s="3">
        <v>1.0</v>
      </c>
    </row>
    <row r="20319" ht="15.75" customHeight="1">
      <c r="A20319" s="1">
        <v>21604.0</v>
      </c>
      <c r="B20319" s="3" t="s">
        <v>2209</v>
      </c>
      <c r="C20319" s="3" t="str">
        <f>IFERROR(__xludf.DUMMYFUNCTION("GOOGLETRANSLATE(B20319,""id"",""en"")"),"['Mantul', 'steady']")</f>
        <v>['Mantul', 'steady']</v>
      </c>
      <c r="D20319" s="3">
        <v>5.0</v>
      </c>
    </row>
    <row r="20320" ht="15.75" customHeight="1">
      <c r="A20320" s="1">
        <v>21605.0</v>
      </c>
      <c r="B20320" s="3" t="s">
        <v>19214</v>
      </c>
      <c r="C20320" s="3" t="str">
        <f>IFERROR(__xludf.DUMMYFUNCTION("GOOGLETRANSLATE(B20320,""id"",""en"")"),"['Moneytari', 'price', 'package', 'tends', 'Makai', 'Telkomsel']")</f>
        <v>['Moneytari', 'price', 'package', 'tends', 'Makai', 'Telkomsel']</v>
      </c>
      <c r="D20320" s="3">
        <v>1.0</v>
      </c>
    </row>
    <row r="20321" ht="15.75" customHeight="1">
      <c r="A20321" s="1">
        <v>21606.0</v>
      </c>
      <c r="B20321" s="3" t="s">
        <v>19215</v>
      </c>
      <c r="C20321" s="3" t="str">
        <f>IFERROR(__xludf.DUMMYFUNCTION("GOOGLETRANSLATE(B20321,""id"",""en"")"),"['Downgrade', 'Update', 'White', 'Screen', 'then', 'Open']")</f>
        <v>['Downgrade', 'Update', 'White', 'Screen', 'then', 'Open']</v>
      </c>
      <c r="D20321" s="3">
        <v>3.0</v>
      </c>
    </row>
    <row r="20322" ht="15.75" customHeight="1">
      <c r="A20322" s="1">
        <v>21607.0</v>
      </c>
      <c r="B20322" s="3" t="s">
        <v>19216</v>
      </c>
      <c r="C20322" s="3" t="str">
        <f>IFERROR(__xludf.DUMMYFUNCTION("GOOGLETRANSLATE(B20322,""id"",""en"")"),"['already', 'week', 'signal', 'Telkomsel', 'down', 'already', 'report', 'Costumer', 'Service', 'Help', 'Tower', 'home', ' signal ',' lag ',' severe ']")</f>
        <v>['already', 'week', 'signal', 'Telkomsel', 'down', 'already', 'report', 'Costumer', 'Service', 'Help', 'Tower', 'home', ' signal ',' lag ',' severe ']</v>
      </c>
      <c r="D20322" s="3">
        <v>1.0</v>
      </c>
    </row>
    <row r="20323" ht="15.75" customHeight="1">
      <c r="A20323" s="1">
        <v>21608.0</v>
      </c>
      <c r="B20323" s="3" t="s">
        <v>19217</v>
      </c>
      <c r="C20323" s="3" t="str">
        <f>IFERROR(__xludf.DUMMYFUNCTION("GOOGLETRANSLATE(B20323,""id"",""en"")"),"['price', 'package', 'expensive', '']")</f>
        <v>['price', 'package', 'expensive', '']</v>
      </c>
      <c r="D20323" s="3">
        <v>1.0</v>
      </c>
    </row>
    <row r="20324" ht="15.75" customHeight="1">
      <c r="A20324" s="1">
        <v>21609.0</v>
      </c>
      <c r="B20324" s="3" t="s">
        <v>19218</v>
      </c>
      <c r="C20324" s="3" t="str">
        <f>IFERROR(__xludf.DUMMYFUNCTION("GOOGLETRANSLATE(B20324,""id"",""en"")"),"['White', 'Screen', '']")</f>
        <v>['White', 'Screen', '']</v>
      </c>
      <c r="D20324" s="3">
        <v>1.0</v>
      </c>
    </row>
    <row r="20325" ht="15.75" customHeight="1">
      <c r="A20325" s="1">
        <v>21610.0</v>
      </c>
      <c r="B20325" s="3" t="s">
        <v>19219</v>
      </c>
      <c r="C20325" s="3" t="str">
        <f>IFERROR(__xludf.DUMMYFUNCTION("GOOGLETRANSLATE(B20325,""id"",""en"")"),"['steady', 'principal', 'Telkomsel', 'network', 'good', 'quata', 'internet', 'expensive']")</f>
        <v>['steady', 'principal', 'Telkomsel', 'network', 'good', 'quata', 'internet', 'expensive']</v>
      </c>
      <c r="D20325" s="3">
        <v>5.0</v>
      </c>
    </row>
    <row r="20326" ht="15.75" customHeight="1">
      <c r="A20326" s="1">
        <v>21611.0</v>
      </c>
      <c r="B20326" s="3" t="s">
        <v>19220</v>
      </c>
      <c r="C20326" s="3" t="str">
        <f>IFERROR(__xludf.DUMMYFUNCTION("GOOGLETRANSLATE(B20326,""id"",""en"")"),"['Kishahn']")</f>
        <v>['Kishahn']</v>
      </c>
      <c r="D20326" s="3">
        <v>5.0</v>
      </c>
    </row>
    <row r="20327" ht="15.75" customHeight="1">
      <c r="A20327" s="1">
        <v>21612.0</v>
      </c>
      <c r="B20327" s="3" t="s">
        <v>19221</v>
      </c>
      <c r="C20327" s="3" t="str">
        <f>IFERROR(__xludf.DUMMYFUNCTION("GOOGLETRANSLATE(B20327,""id"",""en"")"),"['steady', 'gas', 'then', 'promo', 'nua']")</f>
        <v>['steady', 'gas', 'then', 'promo', 'nua']</v>
      </c>
      <c r="D20327" s="3">
        <v>5.0</v>
      </c>
    </row>
    <row r="20328" ht="15.75" customHeight="1">
      <c r="A20328" s="1">
        <v>21613.0</v>
      </c>
      <c r="B20328" s="3" t="s">
        <v>19222</v>
      </c>
      <c r="C20328" s="3" t="str">
        <f>IFERROR(__xludf.DUMMYFUNCTION("GOOGLETRANSLATE(B20328,""id"",""en"")"),"['Blm', 'promo', '']")</f>
        <v>['Blm', 'promo', '']</v>
      </c>
      <c r="D20328" s="3">
        <v>5.0</v>
      </c>
    </row>
    <row r="20329" ht="15.75" customHeight="1">
      <c r="A20329" s="1">
        <v>21614.0</v>
      </c>
      <c r="B20329" s="3" t="s">
        <v>19223</v>
      </c>
      <c r="C20329" s="3" t="str">
        <f>IFERROR(__xludf.DUMMYFUNCTION("GOOGLETRANSLATE(B20329,""id"",""en"")"),"['expensive', 'package', 'in place', 'my work', 'network', 'exis',' no ',' use ',' card ',' super ',' stingy ',' forced ',' because ',' NGK ',' Network ']")</f>
        <v>['expensive', 'package', 'in place', 'my work', 'network', 'exis',' no ',' use ',' card ',' super ',' stingy ',' forced ',' because ',' NGK ',' Network ']</v>
      </c>
      <c r="D20329" s="3">
        <v>1.0</v>
      </c>
    </row>
    <row r="20330" ht="15.75" customHeight="1">
      <c r="A20330" s="1">
        <v>21615.0</v>
      </c>
      <c r="B20330" s="3" t="s">
        <v>19224</v>
      </c>
      <c r="C20330" s="3" t="str">
        <f>IFERROR(__xludf.DUMMYFUNCTION("GOOGLETRANSLATE(B20330,""id"",""en"")"),"['Provide', 'service', 'Magic', 'Call', 'provides',' service ',' package ',' running ',' payati ',' expensive ',' minutes', 'Rupiah', ' fast ',' run out ',' credit ',' developed ',' package ',' magic ',' call ',' a year ',' that's', 'mulu']")</f>
        <v>['Provide', 'service', 'Magic', 'Call', 'provides',' service ',' package ',' running ',' payati ',' expensive ',' minutes', 'Rupiah', ' fast ',' run out ',' credit ',' developed ',' package ',' magic ',' call ',' a year ',' that's', 'mulu']</v>
      </c>
      <c r="D20330" s="3">
        <v>1.0</v>
      </c>
    </row>
    <row r="20331" ht="15.75" customHeight="1">
      <c r="A20331" s="1">
        <v>21616.0</v>
      </c>
      <c r="B20331" s="3" t="s">
        <v>19225</v>
      </c>
      <c r="C20331" s="3" t="str">
        <f>IFERROR(__xludf.DUMMYFUNCTION("GOOGLETRANSLATE(B20331,""id"",""en"")"),"['Application', 'missing', 'cellphone', 'Install', 'reset', 'Playstore', '']")</f>
        <v>['Application', 'missing', 'cellphone', 'Install', 'reset', 'Playstore', '']</v>
      </c>
      <c r="D20331" s="3">
        <v>2.0</v>
      </c>
    </row>
    <row r="20332" ht="15.75" customHeight="1">
      <c r="A20332" s="1">
        <v>21617.0</v>
      </c>
      <c r="B20332" s="3" t="s">
        <v>12360</v>
      </c>
      <c r="C20332" s="3" t="str">
        <f>IFERROR(__xludf.DUMMYFUNCTION("GOOGLETRANSLATE(B20332,""id"",""en"")"),"['Open', 'App']")</f>
        <v>['Open', 'App']</v>
      </c>
      <c r="D20332" s="3">
        <v>3.0</v>
      </c>
    </row>
    <row r="20333" ht="15.75" customHeight="1">
      <c r="A20333" s="1">
        <v>21618.0</v>
      </c>
      <c r="B20333" s="3" t="s">
        <v>19226</v>
      </c>
      <c r="C20333" s="3" t="str">
        <f>IFERROR(__xludf.DUMMYFUNCTION("GOOGLETRANSLATE(B20333,""id"",""en"")"),"['Heh', 'Child', 'Haram', 'Fix', 'Jaraannya', 'Love', 'Star', 'Conscious',' Nambah ',' shadow ',' work ',' Udh ',' Pay ',' expensive ',' expensive ',' dapet ',' network ',' abal ',' abal ',' word ',' mending ',' indosat ']")</f>
        <v>['Heh', 'Child', 'Haram', 'Fix', 'Jaraannya', 'Love', 'Star', 'Conscious',' Nambah ',' shadow ',' work ',' Udh ',' Pay ',' expensive ',' expensive ',' dapet ',' network ',' abal ',' abal ',' word ',' mending ',' indosat ']</v>
      </c>
      <c r="D20333" s="3">
        <v>1.0</v>
      </c>
    </row>
    <row r="20334" ht="15.75" customHeight="1">
      <c r="A20334" s="1">
        <v>21619.0</v>
      </c>
      <c r="B20334" s="3" t="s">
        <v>19227</v>
      </c>
      <c r="C20334" s="3" t="str">
        <f>IFERROR(__xludf.DUMMYFUNCTION("GOOGLETRANSLATE(B20334,""id"",""en"")"),"['Credit', 'suck', 'anjg', 'Bener', 'Donggg', 'Berka', 'times',' buy ',' pulse ',' suck ',' continued ',' anjg ',' ']")</f>
        <v>['Credit', 'suck', 'anjg', 'Bener', 'Donggg', 'Berka', 'times',' buy ',' pulse ',' suck ',' continued ',' anjg ',' ']</v>
      </c>
      <c r="D20334" s="3">
        <v>1.0</v>
      </c>
    </row>
    <row r="20335" ht="15.75" customHeight="1">
      <c r="A20335" s="1">
        <v>21620.0</v>
      </c>
      <c r="B20335" s="3" t="s">
        <v>19228</v>
      </c>
      <c r="C20335" s="3" t="str">
        <f>IFERROR(__xludf.DUMMYFUNCTION("GOOGLETRANSLATE(B20335,""id"",""en"")"),"['Steady', 'please', 'HUBUK', 'account', 'Google']")</f>
        <v>['Steady', 'please', 'HUBUK', 'account', 'Google']</v>
      </c>
      <c r="D20335" s="3">
        <v>5.0</v>
      </c>
    </row>
    <row r="20336" ht="15.75" customHeight="1">
      <c r="A20336" s="1">
        <v>21621.0</v>
      </c>
      <c r="B20336" s="3" t="s">
        <v>19229</v>
      </c>
      <c r="C20336" s="3" t="str">
        <f>IFERROR(__xludf.DUMMYFUNCTION("GOOGLETRANSLATE(B20336,""id"",""en"")"),"['Please', 'Feature', 'Fix']")</f>
        <v>['Please', 'Feature', 'Fix']</v>
      </c>
      <c r="D20336" s="3">
        <v>4.0</v>
      </c>
    </row>
    <row r="20337" ht="15.75" customHeight="1">
      <c r="A20337" s="1">
        <v>21622.0</v>
      </c>
      <c r="B20337" s="3" t="s">
        <v>19230</v>
      </c>
      <c r="C20337" s="3" t="str">
        <f>IFERROR(__xludf.DUMMYFUNCTION("GOOGLETRANSLATE(B20337,""id"",""en"")"),"['BBRP', 'Application', 'Myterkomsel', 'Lost', 'Download', '']")</f>
        <v>['BBRP', 'Application', 'Myterkomsel', 'Lost', 'Download', '']</v>
      </c>
      <c r="D20337" s="3">
        <v>1.0</v>
      </c>
    </row>
    <row r="20338" ht="15.75" customHeight="1">
      <c r="A20338" s="1">
        <v>21623.0</v>
      </c>
      <c r="B20338" s="3" t="s">
        <v>19231</v>
      </c>
      <c r="C20338" s="3" t="str">
        <f>IFERROR(__xludf.DUMMYFUNCTION("GOOGLETRANSLATE(B20338,""id"",""en"")"),"['quota', 'gamesmax', 'no', 'dipake', 'play', 'game', 'pub', 'lied to']")</f>
        <v>['quota', 'gamesmax', 'no', 'dipake', 'play', 'game', 'pub', 'lied to']</v>
      </c>
      <c r="D20338" s="3">
        <v>1.0</v>
      </c>
    </row>
    <row r="20339" ht="15.75" customHeight="1">
      <c r="A20339" s="1">
        <v>21625.0</v>
      </c>
      <c r="B20339" s="3" t="s">
        <v>19232</v>
      </c>
      <c r="C20339" s="3" t="str">
        <f>IFERROR(__xludf.DUMMYFUNCTION("GOOGLETRANSLATE(B20339,""id"",""en"")"),"['Help', 'advertisement', 'user', 'cell']")</f>
        <v>['Help', 'advertisement', 'user', 'cell']</v>
      </c>
      <c r="D20339" s="3">
        <v>5.0</v>
      </c>
    </row>
    <row r="20340" ht="15.75" customHeight="1">
      <c r="A20340" s="1">
        <v>21626.0</v>
      </c>
      <c r="B20340" s="3" t="s">
        <v>19233</v>
      </c>
      <c r="C20340" s="3" t="str">
        <f>IFERROR(__xludf.DUMMYFUNCTION("GOOGLETRANSLATE(B20340,""id"",""en"")"),"['Please', 'repaired', 'Install', 'APKNY', 'Screen', 'White', 'Please', 'repaired', 'Performed', 'KPD', 'admin', 'Telkomsel', ' Devoler ',' Thanks', 'Help', 'Internet', ""]")</f>
        <v>['Please', 'repaired', 'Install', 'APKNY', 'Screen', 'White', 'Please', 'repaired', 'Performed', 'KPD', 'admin', 'Telkomsel', ' Devoler ',' Thanks', 'Help', 'Internet', "]</v>
      </c>
      <c r="D20340" s="3">
        <v>1.0</v>
      </c>
    </row>
    <row r="20341" ht="15.75" customHeight="1">
      <c r="A20341" s="1">
        <v>21627.0</v>
      </c>
      <c r="B20341" s="3" t="s">
        <v>19234</v>
      </c>
      <c r="C20341" s="3" t="str">
        <f>IFERROR(__xludf.DUMMYFUNCTION("GOOGLETRANSLATE(B20341,""id"",""en"")"),"['Dear', 'Telkomsel', 'Give', 'Suggestions',' How ',' APK ',' Telkomsel ',' Features', 'Lock', 'Credit', 'Abis',' Quota ',' Credit ',' Cut ',' User ',' Card ',' Telkomsel ',' UDH ',' Love ',' Deh ',' Card ',' Telkomsel ',' Sometimes', 'Season', 'quota' , "&amp;"'Abis',' card ',' pulse ',' realized ',' pulse ',' got ',' feature ',' lock ',' pulse ',' user ',' card ',' annoyed ',' ']")</f>
        <v>['Dear', 'Telkomsel', 'Give', 'Suggestions',' How ',' APK ',' Telkomsel ',' Features', 'Lock', 'Credit', 'Abis',' Quota ',' Credit ',' Cut ',' User ',' Card ',' Telkomsel ',' UDH ',' Love ',' Deh ',' Card ',' Telkomsel ',' Sometimes', 'Season', 'quota' , 'Abis',' card ',' pulse ',' realized ',' pulse ',' got ',' feature ',' lock ',' pulse ',' user ',' card ',' annoyed ',' ']</v>
      </c>
      <c r="D20341" s="3">
        <v>5.0</v>
      </c>
    </row>
    <row r="20342" ht="15.75" customHeight="1">
      <c r="A20342" s="1">
        <v>21628.0</v>
      </c>
      <c r="B20342" s="3" t="s">
        <v>19235</v>
      </c>
      <c r="C20342" s="3" t="str">
        <f>IFERROR(__xludf.DUMMYFUNCTION("GOOGLETRANSLATE(B20342,""id"",""en"")"),"['Napa', 'APK', 'Bukak']")</f>
        <v>['Napa', 'APK', 'Bukak']</v>
      </c>
      <c r="D20342" s="3">
        <v>1.0</v>
      </c>
    </row>
    <row r="20343" ht="15.75" customHeight="1">
      <c r="A20343" s="1">
        <v>21629.0</v>
      </c>
      <c r="B20343" s="3" t="s">
        <v>1367</v>
      </c>
      <c r="C20343" s="3" t="str">
        <f>IFERROR(__xludf.DUMMYFUNCTION("GOOGLETRANSLATE(B20343,""id"",""en"")"),"['good']")</f>
        <v>['good']</v>
      </c>
      <c r="D20343" s="3">
        <v>4.0</v>
      </c>
    </row>
    <row r="20344" ht="15.75" customHeight="1">
      <c r="A20344" s="1">
        <v>21630.0</v>
      </c>
      <c r="B20344" s="3" t="s">
        <v>19236</v>
      </c>
      <c r="C20344" s="3" t="str">
        <f>IFERROR(__xludf.DUMMYFUNCTION("GOOGLETRANSLATE(B20344,""id"",""en"")"),"['Kurag', 'Peromo']")</f>
        <v>['Kurag', 'Peromo']</v>
      </c>
      <c r="D20344" s="3">
        <v>5.0</v>
      </c>
    </row>
    <row r="20345" ht="15.75" customHeight="1">
      <c r="A20345" s="1">
        <v>21631.0</v>
      </c>
      <c r="B20345" s="3" t="s">
        <v>478</v>
      </c>
      <c r="C20345" s="3" t="str">
        <f>IFERROR(__xludf.DUMMYFUNCTION("GOOGLETRANSLATE(B20345,""id"",""en"")"),"Of course")</f>
        <v>Of course</v>
      </c>
      <c r="D20345" s="3">
        <v>5.0</v>
      </c>
    </row>
    <row r="20346" ht="15.75" customHeight="1">
      <c r="A20346" s="1">
        <v>21632.0</v>
      </c>
      <c r="B20346" s="3" t="s">
        <v>19237</v>
      </c>
      <c r="C20346" s="3" t="str">
        <f>IFERROR(__xludf.DUMMYFUNCTION("GOOGLETRANSLATE(B20346,""id"",""en"")"),"['Kayak', 'network', 'Telkomsel', 'difficult', 'times', 'klok', 'game', 'etc.', 'fix', '']")</f>
        <v>['Kayak', 'network', 'Telkomsel', 'difficult', 'times', 'klok', 'game', 'etc.', 'fix', '']</v>
      </c>
      <c r="D20346" s="3">
        <v>1.0</v>
      </c>
    </row>
    <row r="20347" ht="15.75" customHeight="1">
      <c r="A20347" s="1">
        <v>21633.0</v>
      </c>
      <c r="B20347" s="3" t="s">
        <v>19238</v>
      </c>
      <c r="C20347" s="3" t="str">
        <f>IFERROR(__xludf.DUMMYFUNCTION("GOOGLETRANSLATE(B20347,""id"",""en"")"),"['Gabisa', 'opened']")</f>
        <v>['Gabisa', 'opened']</v>
      </c>
      <c r="D20347" s="3">
        <v>1.0</v>
      </c>
    </row>
    <row r="20348" ht="15.75" customHeight="1">
      <c r="A20348" s="1">
        <v>21634.0</v>
      </c>
      <c r="B20348" s="3" t="s">
        <v>19239</v>
      </c>
      <c r="C20348" s="3" t="str">
        <f>IFERROR(__xludf.DUMMYFUNCTION("GOOGLETRANSLATE(B20348,""id"",""en"")"),"['Satisfied', 'Manteup']")</f>
        <v>['Satisfied', 'Manteup']</v>
      </c>
      <c r="D20348" s="3">
        <v>5.0</v>
      </c>
    </row>
    <row r="20349" ht="15.75" customHeight="1">
      <c r="A20349" s="1">
        <v>21635.0</v>
      </c>
      <c r="B20349" s="3" t="s">
        <v>19240</v>
      </c>
      <c r="C20349" s="3" t="str">
        <f>IFERROR(__xludf.DUMMYFUNCTION("GOOGLETRANSLATE(B20349,""id"",""en"")"),"['times', 'spam', 'points', 'application', 'log', 'out']")</f>
        <v>['times', 'spam', 'points', 'application', 'log', 'out']</v>
      </c>
      <c r="D20349" s="3">
        <v>5.0</v>
      </c>
    </row>
    <row r="20350" ht="15.75" customHeight="1">
      <c r="A20350" s="1">
        <v>21636.0</v>
      </c>
      <c r="B20350" s="3" t="s">
        <v>19241</v>
      </c>
      <c r="C20350" s="3" t="str">
        <f>IFERROR(__xludf.DUMMYFUNCTION("GOOGLETRANSLATE(B20350,""id"",""en"")"),"['BLM', 'Support', 'Android', 'Failed', 'Download']")</f>
        <v>['BLM', 'Support', 'Android', 'Failed', 'Download']</v>
      </c>
      <c r="D20350" s="3">
        <v>2.0</v>
      </c>
    </row>
    <row r="20351" ht="15.75" customHeight="1">
      <c r="A20351" s="1">
        <v>21637.0</v>
      </c>
      <c r="B20351" s="3" t="s">
        <v>19242</v>
      </c>
      <c r="C20351" s="3" t="str">
        <f>IFERROR(__xludf.DUMMYFUNCTION("GOOGLETRANSLATE(B20351,""id"",""en"")"),"['sympathy', 'emang', 'my choice']")</f>
        <v>['sympathy', 'emang', 'my choice']</v>
      </c>
      <c r="D20351" s="3">
        <v>5.0</v>
      </c>
    </row>
    <row r="20352" ht="15.75" customHeight="1">
      <c r="A20352" s="1">
        <v>21638.0</v>
      </c>
      <c r="B20352" s="3" t="s">
        <v>19243</v>
      </c>
      <c r="C20352" s="3" t="str">
        <f>IFERROR(__xludf.DUMMYFUNCTION("GOOGLETRANSLATE(B20352,""id"",""en"")"),"['Starts', 'Top', 'Telkomsel']")</f>
        <v>['Starts', 'Top', 'Telkomsel']</v>
      </c>
      <c r="D20352" s="3">
        <v>5.0</v>
      </c>
    </row>
    <row r="20353" ht="15.75" customHeight="1">
      <c r="A20353" s="1">
        <v>21639.0</v>
      </c>
      <c r="B20353" s="3" t="s">
        <v>19244</v>
      </c>
      <c r="C20353" s="3" t="str">
        <f>IFERROR(__xludf.DUMMYFUNCTION("GOOGLETRANSLATE(B20353,""id"",""en"")"),"['ethics']")</f>
        <v>['ethics']</v>
      </c>
      <c r="D20353" s="3">
        <v>5.0</v>
      </c>
    </row>
    <row r="20354" ht="15.75" customHeight="1">
      <c r="A20354" s="1">
        <v>21640.0</v>
      </c>
      <c r="B20354" s="3" t="s">
        <v>19245</v>
      </c>
      <c r="C20354" s="3" t="str">
        <f>IFERROR(__xludf.DUMMYFUNCTION("GOOGLETRANSLATE(B20354,""id"",""en"")"),"['quota', 'Ajah', 'expensive', 'signal', 'rich', 'taekkk', 'Delete', 'Ajah', 'Telkomsel', 'Adin', 'Maen', 'Game', ' ngeleg ',' rich ',' taekk ']")</f>
        <v>['quota', 'Ajah', 'expensive', 'signal', 'rich', 'taekkk', 'Delete', 'Ajah', 'Telkomsel', 'Adin', 'Maen', 'Game', ' ngeleg ',' rich ',' taekk ']</v>
      </c>
      <c r="D20354" s="3">
        <v>1.0</v>
      </c>
    </row>
    <row r="20355" ht="15.75" customHeight="1">
      <c r="A20355" s="1">
        <v>21641.0</v>
      </c>
      <c r="B20355" s="3" t="s">
        <v>19246</v>
      </c>
      <c r="C20355" s="3" t="str">
        <f>IFERROR(__xludf.DUMMYFUNCTION("GOOGLETRANSLATE(B20355,""id"",""en"")"),"['Telkomsel', 'network', 'worst', 'waking', 'most expensive', 'basically', 'garbage', 'bner', 'already', 'wasted', 'card', 'Telkomsel', ' Good ',' Indosat ',' Jeshhhh ',' Network ',' Bagussss', 'Telkomsel', 'Ampasssss',' Ancurrrrr ',' Burikkkkk ',' Najiss"&amp;"s']")</f>
        <v>['Telkomsel', 'network', 'worst', 'waking', 'most expensive', 'basically', 'garbage', 'bner', 'already', 'wasted', 'card', 'Telkomsel', ' Good ',' Indosat ',' Jeshhhh ',' Network ',' Bagussss', 'Telkomsel', 'Ampasssss',' Ancurrrrr ',' Burikkkkk ',' Najisss']</v>
      </c>
      <c r="D20355" s="3">
        <v>1.0</v>
      </c>
    </row>
    <row r="20356" ht="15.75" customHeight="1">
      <c r="A20356" s="1">
        <v>21642.0</v>
      </c>
      <c r="B20356" s="3" t="s">
        <v>19247</v>
      </c>
      <c r="C20356" s="3" t="str">
        <f>IFERROR(__xludf.DUMMYFUNCTION("GOOGLETRANSLATE(B20356,""id"",""en"")"),"['cheap', 'sgt', 'mbantu', 'right', 'wallet', 'dry']")</f>
        <v>['cheap', 'sgt', 'mbantu', 'right', 'wallet', 'dry']</v>
      </c>
      <c r="D20356" s="3">
        <v>5.0</v>
      </c>
    </row>
    <row r="20357" ht="15.75" customHeight="1">
      <c r="A20357" s="1">
        <v>21643.0</v>
      </c>
      <c r="B20357" s="3" t="s">
        <v>19248</v>
      </c>
      <c r="C20357" s="3" t="str">
        <f>IFERROR(__xludf.DUMMYFUNCTION("GOOGLETRANSLATE(B20357,""id"",""en"")"),"['pig', 'hopefully', 'Moga', 'dead', 'kgk', 'telkom', 'signal', 'kgk', 'managed', 'promo', 'trs',' managed ',' KGK ',' intention ',' mending ',' closed ']")</f>
        <v>['pig', 'hopefully', 'Moga', 'dead', 'kgk', 'telkom', 'signal', 'kgk', 'managed', 'promo', 'trs',' managed ',' KGK ',' intention ',' mending ',' closed ']</v>
      </c>
      <c r="D20357" s="3">
        <v>1.0</v>
      </c>
    </row>
    <row r="20358" ht="15.75" customHeight="1">
      <c r="A20358" s="1">
        <v>21644.0</v>
      </c>
      <c r="B20358" s="3" t="s">
        <v>19249</v>
      </c>
      <c r="C20358" s="3" t="str">
        <f>IFERROR(__xludf.DUMMYFUNCTION("GOOGLETRANSLATE(B20358,""id"",""en"")"),"['Receiving', 'SMS', 'Code', 'Bank']")</f>
        <v>['Receiving', 'SMS', 'Code', 'Bank']</v>
      </c>
      <c r="D20358" s="3">
        <v>5.0</v>
      </c>
    </row>
    <row r="20359" ht="15.75" customHeight="1">
      <c r="A20359" s="1">
        <v>21645.0</v>
      </c>
      <c r="B20359" s="3" t="s">
        <v>19250</v>
      </c>
      <c r="C20359" s="3" t="str">
        <f>IFERROR(__xludf.DUMMYFUNCTION("GOOGLETRANSLATE(B20359,""id"",""en"")"),"['wherever', 'signal', 'Telkomsel', 'communicating']")</f>
        <v>['wherever', 'signal', 'Telkomsel', 'communicating']</v>
      </c>
      <c r="D20359" s="3">
        <v>5.0</v>
      </c>
    </row>
    <row r="20360" ht="15.75" customHeight="1">
      <c r="A20360" s="1">
        <v>21646.0</v>
      </c>
      <c r="B20360" s="3" t="s">
        <v>19251</v>
      </c>
      <c r="C20360" s="3" t="str">
        <f>IFERROR(__xludf.DUMMYFUNCTION("GOOGLETRANSLATE(B20360,""id"",""en"")"),"['Telkomsel', 'Gajls',' enter ',' Vocer ',' Kouta ',' signal ',' pnuh ',' TPI ',' his writing ',' busy ',' Mulu ',' Dri ',' kmren ',' ']")</f>
        <v>['Telkomsel', 'Gajls',' enter ',' Vocer ',' Kouta ',' signal ',' pnuh ',' TPI ',' his writing ',' busy ',' Mulu ',' Dri ',' kmren ',' ']</v>
      </c>
      <c r="D20360" s="3">
        <v>3.0</v>
      </c>
    </row>
    <row r="20361" ht="15.75" customHeight="1">
      <c r="A20361" s="1">
        <v>21647.0</v>
      </c>
      <c r="B20361" s="3" t="s">
        <v>19252</v>
      </c>
      <c r="C20361" s="3" t="str">
        <f>IFERROR(__xludf.DUMMYFUNCTION("GOOGLETRANSLATE(B20361,""id"",""en"")"),"['Mantep', '']")</f>
        <v>['Mantep', '']</v>
      </c>
      <c r="D20361" s="3">
        <v>5.0</v>
      </c>
    </row>
    <row r="20362" ht="15.75" customHeight="1">
      <c r="A20362" s="1">
        <v>21648.0</v>
      </c>
      <c r="B20362" s="3" t="s">
        <v>19253</v>
      </c>
      <c r="C20362" s="3" t="str">
        <f>IFERROR(__xludf.DUMMYFUNCTION("GOOGLETRANSLATE(B20362,""id"",""en"")"),"['Quality', 'Network', 'Telkomsel', 'users', 'Telkomsel', 'CMA', 'Gunta', 'Change', 'Nomer', 'Easy', 'Durable', 'Thank "",' Telkomsel ']")</f>
        <v>['Quality', 'Network', 'Telkomsel', 'users', 'Telkomsel', 'CMA', 'Gunta', 'Change', 'Nomer', 'Easy', 'Durable', 'Thank ",' Telkomsel ']</v>
      </c>
      <c r="D20362" s="3">
        <v>5.0</v>
      </c>
    </row>
    <row r="20363" ht="15.75" customHeight="1">
      <c r="A20363" s="1">
        <v>21649.0</v>
      </c>
      <c r="B20363" s="3" t="s">
        <v>19254</v>
      </c>
      <c r="C20363" s="3" t="str">
        <f>IFERROR(__xludf.DUMMYFUNCTION("GOOGLETRANSLATE(B20363,""id"",""en"")"),"['Service', 'Costumer', 'Service', 'bad', 'responds',' complaints', 'Costumer', 'Please', 'Fix', 'Staff', 'Costumer', 'Service', ' ']")</f>
        <v>['Service', 'Costumer', 'Service', 'bad', 'responds',' complaints', 'Costumer', 'Please', 'Fix', 'Staff', 'Costumer', 'Service', ' ']</v>
      </c>
      <c r="D20363" s="3">
        <v>1.0</v>
      </c>
    </row>
    <row r="20364" ht="15.75" customHeight="1">
      <c r="A20364" s="1">
        <v>21650.0</v>
      </c>
      <c r="B20364" s="3" t="s">
        <v>19255</v>
      </c>
      <c r="C20364" s="3" t="str">
        <f>IFERROR(__xludf.DUMMYFUNCTION("GOOGLETRANSLATE(B20364,""id"",""en"")"),"['Mantaff', 'Joz']")</f>
        <v>['Mantaff', 'Joz']</v>
      </c>
      <c r="D20364" s="3">
        <v>5.0</v>
      </c>
    </row>
    <row r="20365" ht="15.75" customHeight="1">
      <c r="A20365" s="1">
        <v>21651.0</v>
      </c>
      <c r="B20365" s="3" t="s">
        <v>19256</v>
      </c>
      <c r="C20365" s="3" t="str">
        <f>IFERROR(__xludf.DUMMYFUNCTION("GOOGLETRANSLATE(B20365,""id"",""en"")"),"['Hopefully', 'gift', 'Telkomsel', 'Points']")</f>
        <v>['Hopefully', 'gift', 'Telkomsel', 'Points']</v>
      </c>
      <c r="D20365" s="3">
        <v>5.0</v>
      </c>
    </row>
    <row r="20366" ht="15.75" customHeight="1">
      <c r="A20366" s="1">
        <v>21652.0</v>
      </c>
      <c r="B20366" s="3" t="s">
        <v>19257</v>
      </c>
      <c r="C20366" s="3" t="str">
        <f>IFERROR(__xludf.DUMMYFUNCTION("GOOGLETRANSLATE(B20366,""id"",""en"")"),"['Network', 'ugly', 'internet', 'slow', 'signal', 'internet', 'missing']")</f>
        <v>['Network', 'ugly', 'internet', 'slow', 'signal', 'internet', 'missing']</v>
      </c>
      <c r="D20366" s="3">
        <v>2.0</v>
      </c>
    </row>
    <row r="20367" ht="15.75" customHeight="1">
      <c r="A20367" s="1">
        <v>21653.0</v>
      </c>
      <c r="B20367" s="3" t="s">
        <v>19258</v>
      </c>
      <c r="C20367" s="3" t="str">
        <f>IFERROR(__xludf.DUMMYFUNCTION("GOOGLETRANSLATE(B20367,""id"",""en"")"),"['faithful', 'use', 'Telkomsel', 'net', 'slow', 'turn', 'card', ""]")</f>
        <v>['faithful', 'use', 'Telkomsel', 'net', 'slow', 'turn', 'card', "]</v>
      </c>
      <c r="D20367" s="3">
        <v>2.0</v>
      </c>
    </row>
    <row r="20368" ht="15.75" customHeight="1">
      <c r="A20368" s="1">
        <v>21654.0</v>
      </c>
      <c r="B20368" s="3" t="s">
        <v>1167</v>
      </c>
      <c r="C20368" s="3" t="str">
        <f>IFERROR(__xludf.DUMMYFUNCTION("GOOGLETRANSLATE(B20368,""id"",""en"")"),"['help']")</f>
        <v>['help']</v>
      </c>
      <c r="D20368" s="3">
        <v>5.0</v>
      </c>
    </row>
    <row r="20369" ht="15.75" customHeight="1">
      <c r="A20369" s="1">
        <v>21655.0</v>
      </c>
      <c r="B20369" s="3" t="s">
        <v>19259</v>
      </c>
      <c r="C20369" s="3" t="str">
        <f>IFERROR(__xludf.DUMMYFUNCTION("GOOGLETRANSLATE(B20369,""id"",""en"")"),"['Trjadi', 'error', 'buy', 'package']")</f>
        <v>['Trjadi', 'error', 'buy', 'package']</v>
      </c>
      <c r="D20369" s="3">
        <v>1.0</v>
      </c>
    </row>
    <row r="20370" ht="15.75" customHeight="1">
      <c r="A20370" s="1">
        <v>21656.0</v>
      </c>
      <c r="B20370" s="3" t="s">
        <v>19260</v>
      </c>
      <c r="C20370" s="3" t="str">
        <f>IFERROR(__xludf.DUMMYFUNCTION("GOOGLETRANSLATE(B20370,""id"",""en"")"),"['Error', 'Mulu']")</f>
        <v>['Error', 'Mulu']</v>
      </c>
      <c r="D20370" s="3">
        <v>4.0</v>
      </c>
    </row>
    <row r="20371" ht="15.75" customHeight="1">
      <c r="A20371" s="1">
        <v>21657.0</v>
      </c>
      <c r="B20371" s="3" t="s">
        <v>2961</v>
      </c>
      <c r="C20371" s="3" t="str">
        <f>IFERROR(__xludf.DUMMYFUNCTION("GOOGLETRANSLATE(B20371,""id"",""en"")"),"['package']")</f>
        <v>['package']</v>
      </c>
      <c r="D20371" s="3">
        <v>5.0</v>
      </c>
    </row>
    <row r="20372" ht="15.75" customHeight="1">
      <c r="A20372" s="1">
        <v>21658.0</v>
      </c>
      <c r="B20372" s="3" t="s">
        <v>19261</v>
      </c>
      <c r="C20372" s="3" t="str">
        <f>IFERROR(__xludf.DUMMYFUNCTION("GOOGLETRANSLATE(B20372,""id"",""en"")"),"['Sorry', 'Telkomsel', 'open', 'already', 'subscribe', 'many years', 'times', 'open']")</f>
        <v>['Sorry', 'Telkomsel', 'open', 'already', 'subscribe', 'many years', 'times', 'open']</v>
      </c>
      <c r="D20372" s="3">
        <v>3.0</v>
      </c>
    </row>
    <row r="20373" ht="15.75" customHeight="1">
      <c r="A20373" s="1">
        <v>21659.0</v>
      </c>
      <c r="B20373" s="3" t="s">
        <v>19262</v>
      </c>
      <c r="C20373" s="3" t="str">
        <f>IFERROR(__xludf.DUMMYFUNCTION("GOOGLETRANSLATE(B20373,""id"",""en"")"),"['Yesterday', 'Application', 'Update', 'Knp', 'skg', 'opened', '']")</f>
        <v>['Yesterday', 'Application', 'Update', 'Knp', 'skg', 'opened', '']</v>
      </c>
      <c r="D20373" s="3">
        <v>5.0</v>
      </c>
    </row>
    <row r="20374" ht="15.75" customHeight="1">
      <c r="A20374" s="1">
        <v>21660.0</v>
      </c>
      <c r="B20374" s="3" t="s">
        <v>19263</v>
      </c>
      <c r="C20374" s="3" t="str">
        <f>IFERROR(__xludf.DUMMYFUNCTION("GOOGLETRANSLATE(B20374,""id"",""en"")"),"['application', 'good', 'love', 'star', '']")</f>
        <v>['application', 'good', 'love', 'star', '']</v>
      </c>
      <c r="D20374" s="3">
        <v>5.0</v>
      </c>
    </row>
    <row r="20375" ht="15.75" customHeight="1">
      <c r="A20375" s="1">
        <v>21661.0</v>
      </c>
      <c r="B20375" s="3" t="s">
        <v>19264</v>
      </c>
      <c r="C20375" s="3" t="str">
        <f>IFERROR(__xludf.DUMMYFUNCTION("GOOGLETRANSLATE(B20375,""id"",""en"")"),"['buy', 'package', 'filled', 'pulse', 'run out', 'direct', 'buy', 'package', 'anything', 'until', 'credit', 'emergency', ' ehh ',' tip ',' package ',' entry ',' strange ',' essence ',' drained ',' pulse ']")</f>
        <v>['buy', 'package', 'filled', 'pulse', 'run out', 'direct', 'buy', 'package', 'anything', 'until', 'credit', 'emergency', ' ehh ',' tip ',' package ',' entry ',' strange ',' essence ',' drained ',' pulse ']</v>
      </c>
      <c r="D20375" s="3">
        <v>1.0</v>
      </c>
    </row>
    <row r="20376" ht="15.75" customHeight="1">
      <c r="A20376" s="1">
        <v>21662.0</v>
      </c>
      <c r="B20376" s="3" t="s">
        <v>19265</v>
      </c>
      <c r="C20376" s="3" t="str">
        <f>IFERROR(__xludf.DUMMYFUNCTION("GOOGLETRANSLATE(B20376,""id"",""en"")"),"['Telkomsel', 'please', 'network', 'repaired', 'Send', 'Review', 'Considered', 'Network', 'lag', 'trs',' night ',' clock ',' Up and above ',' Leg ',' Karuan ',' Entertaining ',' Playstore ',' Send ',' Review ',' Difficult ',' Review ',' Considered ',' Ang"&amp;"ry ',' Please ',' Developer ' , 'fix', 'network', 'pay attention', 'customer']")</f>
        <v>['Telkomsel', 'please', 'network', 'repaired', 'Send', 'Review', 'Considered', 'Network', 'lag', 'trs',' night ',' clock ',' Up and above ',' Leg ',' Karuan ',' Entertaining ',' Playstore ',' Send ',' Review ',' Difficult ',' Review ',' Considered ',' Angry ',' Please ',' Developer ' , 'fix', 'network', 'pay attention', 'customer']</v>
      </c>
      <c r="D20376" s="3">
        <v>2.0</v>
      </c>
    </row>
    <row r="20377" ht="15.75" customHeight="1">
      <c r="A20377" s="1">
        <v>21663.0</v>
      </c>
      <c r="B20377" s="3" t="s">
        <v>19266</v>
      </c>
      <c r="C20377" s="3" t="str">
        <f>IFERROR(__xludf.DUMMYFUNCTION("GOOGLETRANSLATE(B20377,""id"",""en"")"),"['The application', 'open', 'already', 'upgred', 'Nge', 'Hang']")</f>
        <v>['The application', 'open', 'already', 'upgred', 'Nge', 'Hang']</v>
      </c>
      <c r="D20377" s="3">
        <v>5.0</v>
      </c>
    </row>
    <row r="20378" ht="15.75" customHeight="1">
      <c r="A20378" s="1">
        <v>21664.0</v>
      </c>
      <c r="B20378" s="3" t="s">
        <v>19267</v>
      </c>
      <c r="C20378" s="3" t="str">
        <f>IFERROR(__xludf.DUMMYFUNCTION("GOOGLETRANSLATE(B20378,""id"",""en"")"),"['Telkomsel', 'disappointing', 'network', 'Ouch', 'well', 'please']")</f>
        <v>['Telkomsel', 'disappointing', 'network', 'Ouch', 'well', 'please']</v>
      </c>
      <c r="D20378" s="3">
        <v>1.0</v>
      </c>
    </row>
    <row r="20379" ht="15.75" customHeight="1">
      <c r="A20379" s="1">
        <v>21665.0</v>
      </c>
      <c r="B20379" s="3" t="s">
        <v>19268</v>
      </c>
      <c r="C20379" s="3" t="str">
        <f>IFERROR(__xludf.DUMMYFUNCTION("GOOGLETRANSLATE(B20379,""id"",""en"")"),"['The application', 'chaotic', 'Sekacau', 'Pucuk', 'The leader', 'Mari', 'Uninstall', 'in congregation']")</f>
        <v>['The application', 'chaotic', 'Sekacau', 'Pucuk', 'The leader', 'Mari', 'Uninstall', 'in congregation']</v>
      </c>
      <c r="D20379" s="3">
        <v>1.0</v>
      </c>
    </row>
    <row r="20380" ht="15.75" customHeight="1">
      <c r="A20380" s="1">
        <v>21666.0</v>
      </c>
      <c r="B20380" s="3" t="s">
        <v>19269</v>
      </c>
      <c r="C20380" s="3" t="str">
        <f>IFERROR(__xludf.DUMMYFUNCTION("GOOGLETRANSLATE(B20380,""id"",""en"")"),"['Telkomsel', 'Mending', 'Gausah', 'Package', 'Doang', 'Sultan', 'Network', 'Gembel', 'Network', 'Lost', 'Leet', 'Package', ' expensive ',' severe ',' esia ',' old ']")</f>
        <v>['Telkomsel', 'Mending', 'Gausah', 'Package', 'Doang', 'Sultan', 'Network', 'Gembel', 'Network', 'Lost', 'Leet', 'Package', ' expensive ',' severe ',' esia ',' old ']</v>
      </c>
      <c r="D20380" s="3">
        <v>1.0</v>
      </c>
    </row>
    <row r="20381" ht="15.75" customHeight="1">
      <c r="A20381" s="1">
        <v>21667.0</v>
      </c>
      <c r="B20381" s="3" t="s">
        <v>19270</v>
      </c>
      <c r="C20381" s="3" t="str">
        <f>IFERROR(__xludf.DUMMYFUNCTION("GOOGLETRANSLATE(B20381,""id"",""en"")"),"['Disruption', 'continued', 'pulse', 'full', 'buy', 'package', 'ket', 'pulse', 'sufficient']")</f>
        <v>['Disruption', 'continued', 'pulse', 'full', 'buy', 'package', 'ket', 'pulse', 'sufficient']</v>
      </c>
      <c r="D20381" s="3">
        <v>1.0</v>
      </c>
    </row>
    <row r="20382" ht="15.75" customHeight="1">
      <c r="A20382" s="1">
        <v>21668.0</v>
      </c>
      <c r="B20382" s="3" t="s">
        <v>19271</v>
      </c>
      <c r="C20382" s="3" t="str">
        <f>IFERROR(__xludf.DUMMYFUNCTION("GOOGLETRANSLATE(B20382,""id"",""en"")"),"['Adin', 'Features', 'Exchange', 'Point', 'Quota', 'Cut', 'Credit', '']")</f>
        <v>['Adin', 'Features', 'Exchange', 'Point', 'Quota', 'Cut', 'Credit', '']</v>
      </c>
      <c r="D20382" s="3">
        <v>5.0</v>
      </c>
    </row>
    <row r="20383" ht="15.75" customHeight="1">
      <c r="A20383" s="1">
        <v>21669.0</v>
      </c>
      <c r="B20383" s="3" t="s">
        <v>19272</v>
      </c>
      <c r="C20383" s="3" t="str">
        <f>IFERROR(__xludf.DUMMYFUNCTION("GOOGLETRANSLATE(B20383,""id"",""en"")"),"['enter', 'list', 'package', 'internet']")</f>
        <v>['enter', 'list', 'package', 'internet']</v>
      </c>
      <c r="D20383" s="3">
        <v>1.0</v>
      </c>
    </row>
    <row r="20384" ht="15.75" customHeight="1">
      <c r="A20384" s="1">
        <v>21670.0</v>
      </c>
      <c r="B20384" s="3" t="s">
        <v>19273</v>
      </c>
      <c r="C20384" s="3" t="str">
        <f>IFERROR(__xludf.DUMMYFUNCTION("GOOGLETRANSLATE(B20384,""id"",""en"")"),"['Contents',' Koutaa ',' ngeleg ',' ngeleg ',' right ',' fabric ',' rating ',' pes', 'apasiai', 'Gara', 'Gara', 'signal', ' Ngellag ',' Rating ',' Down ',' Please ',' Fix ',' What ',' Customer ',' Satisfied ',' ']")</f>
        <v>['Contents',' Koutaa ',' ngeleg ',' ngeleg ',' right ',' fabric ',' rating ',' pes', 'apasiai', 'Gara', 'Gara', 'signal', ' Ngellag ',' Rating ',' Down ',' Please ',' Fix ',' What ',' Customer ',' Satisfied ',' ']</v>
      </c>
      <c r="D20384" s="3">
        <v>1.0</v>
      </c>
    </row>
    <row r="20385" ht="15.75" customHeight="1">
      <c r="A20385" s="1">
        <v>21671.0</v>
      </c>
      <c r="B20385" s="3" t="s">
        <v>19274</v>
      </c>
      <c r="C20385" s="3" t="str">
        <f>IFERROR(__xludf.DUMMYFUNCTION("GOOGLETRANSLATE(B20385,""id"",""en"")"),"['package', 'expensive', 'klau', 'cheap', 'kasi', 'star', '']")</f>
        <v>['package', 'expensive', 'klau', 'cheap', 'kasi', 'star', '']</v>
      </c>
      <c r="D20385" s="3">
        <v>1.0</v>
      </c>
    </row>
    <row r="20386" ht="15.75" customHeight="1">
      <c r="A20386" s="1">
        <v>21672.0</v>
      </c>
      <c r="B20386" s="3" t="s">
        <v>5632</v>
      </c>
      <c r="C20386" s="3" t="str">
        <f>IFERROR(__xludf.DUMMYFUNCTION("GOOGLETRANSLATE(B20386,""id"",""en"")"),"['It's easy for', 'customers']")</f>
        <v>['It's easy for', 'customers']</v>
      </c>
      <c r="D20386" s="3">
        <v>5.0</v>
      </c>
    </row>
    <row r="20387" ht="15.75" customHeight="1">
      <c r="A20387" s="1">
        <v>21673.0</v>
      </c>
      <c r="B20387" s="3" t="s">
        <v>19275</v>
      </c>
      <c r="C20387" s="3" t="str">
        <f>IFERROR(__xludf.DUMMYFUNCTION("GOOGLETRANSLATE(B20387,""id"",""en"")"),"['Bagus', 'it's easy', 'user']")</f>
        <v>['Bagus', 'it's easy', 'user']</v>
      </c>
      <c r="D20387" s="3">
        <v>5.0</v>
      </c>
    </row>
    <row r="20388" ht="15.75" customHeight="1">
      <c r="A20388" s="1">
        <v>21674.0</v>
      </c>
      <c r="B20388" s="3" t="s">
        <v>19276</v>
      </c>
      <c r="C20388" s="3" t="str">
        <f>IFERROR(__xludf.DUMMYFUNCTION("GOOGLETRANSLATE(B20388,""id"",""en"")"),"['innovate']")</f>
        <v>['innovate']</v>
      </c>
      <c r="D20388" s="3">
        <v>5.0</v>
      </c>
    </row>
    <row r="20389" ht="15.75" customHeight="1">
      <c r="A20389" s="1">
        <v>21675.0</v>
      </c>
      <c r="B20389" s="3" t="s">
        <v>19277</v>
      </c>
      <c r="C20389" s="3" t="str">
        <f>IFERROR(__xludf.DUMMYFUNCTION("GOOGLETRANSLATE(B20389,""id"",""en"")"),"['Loved it']")</f>
        <v>['Loved it']</v>
      </c>
      <c r="D20389" s="3">
        <v>5.0</v>
      </c>
    </row>
    <row r="20390" ht="15.75" customHeight="1">
      <c r="A20390" s="1">
        <v>21676.0</v>
      </c>
      <c r="B20390" s="3" t="s">
        <v>19278</v>
      </c>
      <c r="C20390" s="3" t="str">
        <f>IFERROR(__xludf.DUMMYFUNCTION("GOOGLETRANSLATE(B20390,""id"",""en"")"),"['Mimnnnnn', 'Tolng', 'quota', 'internet', 'promo', 'cheap', 'run out', 'expensive', 'gini', 'mending', 'hilngin', 'star', ' ']")</f>
        <v>['Mimnnnnn', 'Tolng', 'quota', 'internet', 'promo', 'cheap', 'run out', 'expensive', 'gini', 'mending', 'hilngin', 'star', ' ']</v>
      </c>
      <c r="D20390" s="3">
        <v>5.0</v>
      </c>
    </row>
    <row r="20391" ht="15.75" customHeight="1">
      <c r="A20391" s="1">
        <v>21678.0</v>
      </c>
      <c r="B20391" s="3" t="s">
        <v>19279</v>
      </c>
      <c r="C20391" s="3" t="str">
        <f>IFERROR(__xludf.DUMMYFUNCTION("GOOGLETRANSLATE(B20391,""id"",""en"")"),"['Adin', 'Games', 'Light', 'Prize', '']")</f>
        <v>['Adin', 'Games', 'Light', 'Prize', '']</v>
      </c>
      <c r="D20391" s="3">
        <v>5.0</v>
      </c>
    </row>
    <row r="20392" ht="15.75" customHeight="1">
      <c r="A20392" s="1">
        <v>21680.0</v>
      </c>
      <c r="B20392" s="3" t="s">
        <v>19280</v>
      </c>
      <c r="C20392" s="3" t="str">
        <f>IFERROR(__xludf.DUMMYFUNCTION("GOOGLETRANSLATE(B20392,""id"",""en"")"),"['Telkomsel', 'difficult', 'signal', ""]")</f>
        <v>['Telkomsel', 'difficult', 'signal', "]</v>
      </c>
      <c r="D20392" s="3">
        <v>1.0</v>
      </c>
    </row>
    <row r="20393" ht="15.75" customHeight="1">
      <c r="A20393" s="1">
        <v>21681.0</v>
      </c>
      <c r="B20393" s="3" t="s">
        <v>19281</v>
      </c>
      <c r="C20393" s="3" t="str">
        <f>IFERROR(__xludf.DUMMYFUNCTION("GOOGLETRANSLATE(B20393,""id"",""en"")"),"['Thank you', 'Telkomsel', 'like', 'Daily', 'check', 'plus', 'bonus', 'quota']")</f>
        <v>['Thank you', 'Telkomsel', 'like', 'Daily', 'check', 'plus', 'bonus', 'quota']</v>
      </c>
      <c r="D20393" s="3">
        <v>4.0</v>
      </c>
    </row>
    <row r="20394" ht="15.75" customHeight="1">
      <c r="A20394" s="1">
        <v>21683.0</v>
      </c>
      <c r="B20394" s="3" t="s">
        <v>19282</v>
      </c>
      <c r="C20394" s="3" t="str">
        <f>IFERROR(__xludf.DUMMYFUNCTION("GOOGLETRANSLATE(B20394,""id"",""en"")"),"['Please', 'BNTU', 'Min', 'Dri', 'Yesterday', 'Error', 'Enter', 'Screen', 'White', 'Doank']")</f>
        <v>['Please', 'BNTU', 'Min', 'Dri', 'Yesterday', 'Error', 'Enter', 'Screen', 'White', 'Doank']</v>
      </c>
      <c r="D20394" s="3">
        <v>1.0</v>
      </c>
    </row>
    <row r="20395" ht="15.75" customHeight="1">
      <c r="A20395" s="1">
        <v>21684.0</v>
      </c>
      <c r="B20395" s="3" t="s">
        <v>19283</v>
      </c>
      <c r="C20395" s="3" t="str">
        <f>IFERROR(__xludf.DUMMYFUNCTION("GOOGLETRANSLATE(B20395,""id"",""en"")"),"['Provider', 'application', 'quality', 'entry', 'mall', 'little', 'signal', 'ilang', 'city', 'little', 'signal', 'ilang', ' Application ',' Good ',' Open ',' Application ',' Wait ',' Loading ',' Minutes', 'Pay', 'Wait', 'Loading', 'Minute', 'Hadeh', 'Dist"&amp;"urbance' , 'routine', 'kek', 'eat', 'rice', 'enter', 'sms',' gambling ',' ball ',' fraud ',' transfer ',' wkwkwkw ',' security ',' GUARANTEED ',' QUALITY ',' MENING ',' Change ',' Provider ']")</f>
        <v>['Provider', 'application', 'quality', 'entry', 'mall', 'little', 'signal', 'ilang', 'city', 'little', 'signal', 'ilang', ' Application ',' Good ',' Open ',' Application ',' Wait ',' Loading ',' Minutes', 'Pay', 'Wait', 'Loading', 'Minute', 'Hadeh', 'Disturbance' , 'routine', 'kek', 'eat', 'rice', 'enter', 'sms',' gambling ',' ball ',' fraud ',' transfer ',' wkwkwkw ',' security ',' GUARANTEED ',' QUALITY ',' MENING ',' Change ',' Provider ']</v>
      </c>
      <c r="D20395" s="3">
        <v>1.0</v>
      </c>
    </row>
    <row r="20396" ht="15.75" customHeight="1">
      <c r="A20396" s="1">
        <v>21685.0</v>
      </c>
      <c r="B20396" s="3" t="s">
        <v>19284</v>
      </c>
      <c r="C20396" s="3" t="str">
        <f>IFERROR(__xludf.DUMMYFUNCTION("GOOGLETRANSLATE(B20396,""id"",""en"")"),"['thank', 'love', 'siiip', 'mantaaap', '']")</f>
        <v>['thank', 'love', 'siiip', 'mantaaap', '']</v>
      </c>
      <c r="D20396" s="3">
        <v>5.0</v>
      </c>
    </row>
    <row r="20397" ht="15.75" customHeight="1">
      <c r="A20397" s="1">
        <v>21686.0</v>
      </c>
      <c r="B20397" s="3" t="s">
        <v>2583</v>
      </c>
      <c r="C20397" s="3" t="str">
        <f>IFERROR(__xludf.DUMMYFUNCTION("GOOGLETRANSLATE(B20397,""id"",""en"")"),"['Network', 'Good']")</f>
        <v>['Network', 'Good']</v>
      </c>
      <c r="D20397" s="3">
        <v>4.0</v>
      </c>
    </row>
    <row r="20398" ht="15.75" customHeight="1">
      <c r="A20398" s="1">
        <v>21687.0</v>
      </c>
      <c r="B20398" s="3" t="s">
        <v>19285</v>
      </c>
      <c r="C20398" s="3" t="str">
        <f>IFERROR(__xludf.DUMMYFUNCTION("GOOGLETRANSLATE(B20398,""id"",""en"")"),"['Telkomsel', 'Bukak', ""]")</f>
        <v>['Telkomsel', 'Bukak', "]</v>
      </c>
      <c r="D20398" s="3">
        <v>2.0</v>
      </c>
    </row>
    <row r="20399" ht="15.75" customHeight="1">
      <c r="A20399" s="1">
        <v>21688.0</v>
      </c>
      <c r="B20399" s="3" t="s">
        <v>19286</v>
      </c>
      <c r="C20399" s="3" t="str">
        <f>IFERROR(__xludf.DUMMYFUNCTION("GOOGLETRANSLATE(B20399,""id"",""en"")"),"['Apliaty', 'Bangus', 'Useful', 'Very', 'Download']")</f>
        <v>['Apliaty', 'Bangus', 'Useful', 'Very', 'Download']</v>
      </c>
      <c r="D20399" s="3">
        <v>5.0</v>
      </c>
    </row>
    <row r="20400" ht="15.75" customHeight="1">
      <c r="A20400" s="1">
        <v>21689.0</v>
      </c>
      <c r="B20400" s="3" t="s">
        <v>19287</v>
      </c>
      <c r="C20400" s="3" t="str">
        <f>IFERROR(__xludf.DUMMYFUNCTION("GOOGLETRANSLATE(B20400,""id"",""en"")"),"['already', 'the application', 'open', 'boss', 'please', 'fix', 'boss', 'thank', 'love']")</f>
        <v>['already', 'the application', 'open', 'boss', 'please', 'fix', 'boss', 'thank', 'love']</v>
      </c>
      <c r="D20400" s="3">
        <v>5.0</v>
      </c>
    </row>
    <row r="20401" ht="15.75" customHeight="1">
      <c r="A20401" s="1">
        <v>21690.0</v>
      </c>
      <c r="B20401" s="3" t="s">
        <v>19288</v>
      </c>
      <c r="C20401" s="3" t="str">
        <f>IFERROR(__xludf.DUMMYFUNCTION("GOOGLETRANSLATE(B20401,""id"",""en"")"),"['Help', 'purchase', 'kouta', 'good', 'quota']")</f>
        <v>['Help', 'purchase', 'kouta', 'good', 'quota']</v>
      </c>
      <c r="D20401" s="3">
        <v>3.0</v>
      </c>
    </row>
    <row r="20402" ht="15.75" customHeight="1">
      <c r="A20402" s="1">
        <v>21691.0</v>
      </c>
      <c r="B20402" s="3" t="s">
        <v>19289</v>
      </c>
      <c r="C20402" s="3" t="str">
        <f>IFERROR(__xludf.DUMMYFUNCTION("GOOGLETRANSLATE(B20402,""id"",""en"")"),"['Lost', 'Install', 'reset', 'Tetep', 'how', '']")</f>
        <v>['Lost', 'Install', 'reset', 'Tetep', 'how', '']</v>
      </c>
      <c r="D20402" s="3">
        <v>1.0</v>
      </c>
    </row>
    <row r="20403" ht="15.75" customHeight="1">
      <c r="A20403" s="1">
        <v>21692.0</v>
      </c>
      <c r="B20403" s="3" t="s">
        <v>19290</v>
      </c>
      <c r="C20403" s="3" t="str">
        <f>IFERROR(__xludf.DUMMYFUNCTION("GOOGLETRANSLATE(B20403,""id"",""en"")"),"['Application', 'Access',' Reinstall ',' Sebelihi ',' Signal ',' Mentok ',' Strip ',' Sometimes', 'Lost', 'Hopefully', 'Telkomsel', 'Hear', ' read ',' complaints', 'customer', 'thank', 'love']")</f>
        <v>['Application', 'Access',' Reinstall ',' Sebelihi ',' Signal ',' Mentok ',' Strip ',' Sometimes', 'Lost', 'Hopefully', 'Telkomsel', 'Hear', ' read ',' complaints', 'customer', 'thank', 'love']</v>
      </c>
      <c r="D20403" s="3">
        <v>2.0</v>
      </c>
    </row>
    <row r="20404" ht="15.75" customHeight="1">
      <c r="A20404" s="1">
        <v>21694.0</v>
      </c>
      <c r="B20404" s="3" t="s">
        <v>19291</v>
      </c>
      <c r="C20404" s="3" t="str">
        <f>IFERROR(__xludf.DUMMYFUNCTION("GOOGLETRANSLATE(B20404,""id"",""en"")"),"['Price', 'Buy', 'Package', 'Combo', 'Sakti', 'Knp', 'Njirr', 'Ntar', 'Males', 'Buy', ""]")</f>
        <v>['Price', 'Buy', 'Package', 'Combo', 'Sakti', 'Knp', 'Njirr', 'Ntar', 'Males', 'Buy', "]</v>
      </c>
      <c r="D20404" s="3">
        <v>1.0</v>
      </c>
    </row>
    <row r="20405" ht="15.75" customHeight="1">
      <c r="A20405" s="1">
        <v>21695.0</v>
      </c>
      <c r="B20405" s="3" t="s">
        <v>19292</v>
      </c>
      <c r="C20405" s="3" t="str">
        <f>IFERROR(__xludf.DUMMYFUNCTION("GOOGLETRANSLATE(B20405,""id"",""en"")"),"['signal', 'sometimes', 'ilang', 'ilang']")</f>
        <v>['signal', 'sometimes', 'ilang', 'ilang']</v>
      </c>
      <c r="D20405" s="3">
        <v>3.0</v>
      </c>
    </row>
    <row r="20406" ht="15.75" customHeight="1">
      <c r="A20406" s="1">
        <v>21696.0</v>
      </c>
      <c r="B20406" s="3" t="s">
        <v>19293</v>
      </c>
      <c r="C20406" s="3" t="str">
        <f>IFERROR(__xludf.DUMMYFUNCTION("GOOGLETRANSLATE(B20406,""id"",""en"")"),"['Erorrr', 'Loding']")</f>
        <v>['Erorrr', 'Loding']</v>
      </c>
      <c r="D20406" s="3">
        <v>2.0</v>
      </c>
    </row>
    <row r="20407" ht="15.75" customHeight="1">
      <c r="A20407" s="1">
        <v>21697.0</v>
      </c>
      <c r="B20407" s="3" t="s">
        <v>19294</v>
      </c>
      <c r="C20407" s="3" t="str">
        <f>IFERROR(__xludf.DUMMYFUNCTION("GOOGLETRANSLATE(B20407,""id"",""en"")"),"['Not bad', 'fast', 'access', 'sometimes', 'slow']")</f>
        <v>['Not bad', 'fast', 'access', 'sometimes', 'slow']</v>
      </c>
      <c r="D20407" s="3">
        <v>4.0</v>
      </c>
    </row>
    <row r="20408" ht="15.75" customHeight="1">
      <c r="A20408" s="1">
        <v>21698.0</v>
      </c>
      <c r="B20408" s="3" t="s">
        <v>19295</v>
      </c>
      <c r="C20408" s="3" t="str">
        <f>IFERROR(__xludf.DUMMYFUNCTION("GOOGLETRANSLATE(B20408,""id"",""en"")"),"['skrg', 'package', 'data', 'sympathy', 'chaotic', 'quota', 'quota', 'multimedia', 'slow', 'really', 'use', 'Mute', ' Yutub ',' open ',' email ',' slow ',' speed ',' chaotic ',' use ',' plate ',' yellow ',' dech ',' package ',' cheap ',' speed ' , 'smooth"&amp;"', 'Jaya', 'quota', 'plate', 'red', 'slow', 'severe', 'signal', 'stuck', 'ilang', 'hopefully', 'ahead' repair']")</f>
        <v>['skrg', 'package', 'data', 'sympathy', 'chaotic', 'quota', 'quota', 'multimedia', 'slow', 'really', 'use', 'Mute', ' Yutub ',' open ',' email ',' slow ',' speed ',' chaotic ',' use ',' plate ',' yellow ',' dech ',' package ',' cheap ',' speed ' , 'smooth', 'Jaya', 'quota', 'plate', 'red', 'slow', 'severe', 'signal', 'stuck', 'ilang', 'hopefully', 'ahead' repair']</v>
      </c>
      <c r="D20408" s="3">
        <v>1.0</v>
      </c>
    </row>
    <row r="20409" ht="15.75" customHeight="1">
      <c r="A20409" s="1">
        <v>21700.0</v>
      </c>
      <c r="B20409" s="3" t="s">
        <v>19296</v>
      </c>
      <c r="C20409" s="3" t="str">
        <f>IFERROR(__xludf.DUMMYFUNCTION("GOOGLETRANSLATE(B20409,""id"",""en"")"),"['leftover', 'pulse', 'run out', 'buy', 'pulse', 'buy', 'package', 'internet', 'the rest', 'reduced', 'until', 'finished', ' Telkomsel ',' already ',' byk ',' customer ',' search ',' profit ',' ']")</f>
        <v>['leftover', 'pulse', 'run out', 'buy', 'pulse', 'buy', 'package', 'internet', 'the rest', 'reduced', 'until', 'finished', ' Telkomsel ',' already ',' byk ',' customer ',' search ',' profit ',' ']</v>
      </c>
      <c r="D20409" s="3">
        <v>1.0</v>
      </c>
    </row>
    <row r="20410" ht="15.75" customHeight="1">
      <c r="A20410" s="1">
        <v>21701.0</v>
      </c>
      <c r="B20410" s="3" t="s">
        <v>19297</v>
      </c>
      <c r="C20410" s="3" t="str">
        <f>IFERROR(__xludf.DUMMYFUNCTION("GOOGLETRANSLATE(B20410,""id"",""en"")"),"['connection', 'internet', 'down', 'jammed']")</f>
        <v>['connection', 'internet', 'down', 'jammed']</v>
      </c>
      <c r="D20410" s="3">
        <v>3.0</v>
      </c>
    </row>
    <row r="20411" ht="15.75" customHeight="1">
      <c r="A20411" s="1">
        <v>21702.0</v>
      </c>
      <c r="B20411" s="3" t="s">
        <v>19298</v>
      </c>
      <c r="C20411" s="3" t="str">
        <f>IFERROR(__xludf.DUMMYFUNCTION("GOOGLETRANSLATE(B20411,""id"",""en"")"),"['', 'Ngerti', 'Telkomsel', 'network', 'according to', 'price', 'kouta', 'expensive', 'please', 'fix', ""]")</f>
        <v>['', 'Ngerti', 'Telkomsel', 'network', 'according to', 'price', 'kouta', 'expensive', 'please', 'fix', "]</v>
      </c>
      <c r="D20411" s="3">
        <v>3.0</v>
      </c>
    </row>
    <row r="20412" ht="15.75" customHeight="1">
      <c r="A20412" s="1">
        <v>21703.0</v>
      </c>
      <c r="B20412" s="3" t="s">
        <v>19299</v>
      </c>
      <c r="C20412" s="3" t="str">
        <f>IFERROR(__xludf.DUMMYFUNCTION("GOOGLETRANSLATE(B20412,""id"",""en"")"),"['pdhal', 'dlu', 'sellu', 'loyal', 'telkomsel', 'sllu', 'fast', 'knpa', 'sekrg', 'right', 'already', 'buy', ' Package ',' Jaringn ',' Internet ',' Gguan ',' Network ',' Jripping ',' Lost ',' Buy ',' PKET ',' Expensive ',' Can ',' Results', 'slow' , '']")</f>
        <v>['pdhal', 'dlu', 'sellu', 'loyal', 'telkomsel', 'sllu', 'fast', 'knpa', 'sekrg', 'right', 'already', 'buy', ' Package ',' Jaringn ',' Internet ',' Gguan ',' Network ',' Jripping ',' Lost ',' Buy ',' PKET ',' Expensive ',' Can ',' Results', 'slow' , '']</v>
      </c>
      <c r="D20412" s="3">
        <v>1.0</v>
      </c>
    </row>
    <row r="20413" ht="15.75" customHeight="1">
      <c r="A20413" s="1">
        <v>21704.0</v>
      </c>
      <c r="B20413" s="3" t="s">
        <v>19300</v>
      </c>
      <c r="C20413" s="3" t="str">
        <f>IFERROR(__xludf.DUMMYFUNCTION("GOOGLETRANSLATE(B20413,""id"",""en"")"),"['', 'Salatiga', 'signal', 'bad', 'games']")</f>
        <v>['', 'Salatiga', 'signal', 'bad', 'games']</v>
      </c>
      <c r="D20413" s="3">
        <v>1.0</v>
      </c>
    </row>
    <row r="20414" ht="15.75" customHeight="1">
      <c r="A20414" s="1">
        <v>21705.0</v>
      </c>
      <c r="B20414" s="3" t="s">
        <v>1893</v>
      </c>
      <c r="C20414" s="3" t="str">
        <f>IFERROR(__xludf.DUMMYFUNCTION("GOOGLETRANSLATE(B20414,""id"",""en"")"),"['Update', 'Open']")</f>
        <v>['Update', 'Open']</v>
      </c>
      <c r="D20414" s="3">
        <v>1.0</v>
      </c>
    </row>
    <row r="20415" ht="15.75" customHeight="1">
      <c r="A20415" s="1">
        <v>21706.0</v>
      </c>
      <c r="B20415" s="3" t="s">
        <v>19301</v>
      </c>
      <c r="C20415" s="3" t="str">
        <f>IFERROR(__xludf.DUMMYFUNCTION("GOOGLETRANSLATE(B20415,""id"",""en"")"),"['already', 'apk', 'open', 'blank', 'white', 'doang']")</f>
        <v>['already', 'apk', 'open', 'blank', 'white', 'doang']</v>
      </c>
      <c r="D20415" s="3">
        <v>1.0</v>
      </c>
    </row>
    <row r="20416" ht="15.75" customHeight="1">
      <c r="A20416" s="1">
        <v>21707.0</v>
      </c>
      <c r="B20416" s="3" t="s">
        <v>19302</v>
      </c>
      <c r="C20416" s="3" t="str">
        <f>IFERROR(__xludf.DUMMYFUNCTION("GOOGLETRANSLATE(B20416,""id"",""en"")"),"['APK', 'good', 'really', 'package', 'expensive', 'please', 'kasi', 'cheap', 'thanks']")</f>
        <v>['APK', 'good', 'really', 'package', 'expensive', 'please', 'kasi', 'cheap', 'thanks']</v>
      </c>
      <c r="D20416" s="3">
        <v>5.0</v>
      </c>
    </row>
    <row r="20417" ht="15.75" customHeight="1">
      <c r="A20417" s="1">
        <v>21708.0</v>
      </c>
      <c r="B20417" s="3" t="s">
        <v>19303</v>
      </c>
      <c r="C20417" s="3" t="str">
        <f>IFERROR(__xludf.DUMMYFUNCTION("GOOGLETRANSLATE(B20417,""id"",""en"")"),"['Telkomsel', 'service', 'Customer', 'TLP', 'told', 'Move', 'Telkomsel', 'Hallo', 'right', 'already', 'Move', 'Package', ' Data ',' Package ',' I ',' UPED ',' SMS ',' BSA ',' TLP ',' Destroyed ',' Telkomsel ',' Move ',' Heart ',' Kya ',' Kya ' , 'Gini', '"&amp;"regret', 'TLP']")</f>
        <v>['Telkomsel', 'service', 'Customer', 'TLP', 'told', 'Move', 'Telkomsel', 'Hallo', 'right', 'already', 'Move', 'Package', ' Data ',' Package ',' I ',' UPED ',' SMS ',' BSA ',' TLP ',' Destroyed ',' Telkomsel ',' Move ',' Heart ',' Kya ',' Kya ' , 'Gini', 'regret', 'TLP']</v>
      </c>
      <c r="D20417" s="3">
        <v>1.0</v>
      </c>
    </row>
    <row r="20418" ht="15.75" customHeight="1">
      <c r="A20418" s="1">
        <v>21709.0</v>
      </c>
      <c r="B20418" s="3" t="s">
        <v>10034</v>
      </c>
      <c r="C20418" s="3" t="str">
        <f>IFERROR(__xludf.DUMMYFUNCTION("GOOGLETRANSLATE(B20418,""id"",""en"")"),"['application', 'good', 'like']")</f>
        <v>['application', 'good', 'like']</v>
      </c>
      <c r="D20418" s="3">
        <v>3.0</v>
      </c>
    </row>
    <row r="20419" ht="15.75" customHeight="1">
      <c r="A20419" s="1">
        <v>21710.0</v>
      </c>
      <c r="B20419" s="3" t="s">
        <v>19304</v>
      </c>
      <c r="C20419" s="3" t="str">
        <f>IFERROR(__xludf.DUMMYFUNCTION("GOOGLETRANSLATE(B20419,""id"",""en"")"),"['Telkomsel', 'Paketan', 'Sumpot', 'Credit', 'Pig']")</f>
        <v>['Telkomsel', 'Paketan', 'Sumpot', 'Credit', 'Pig']</v>
      </c>
      <c r="D20419" s="3">
        <v>1.0</v>
      </c>
    </row>
    <row r="20420" ht="15.75" customHeight="1">
      <c r="A20420" s="1">
        <v>21711.0</v>
      </c>
      <c r="B20420" s="3" t="s">
        <v>19305</v>
      </c>
      <c r="C20420" s="3" t="str">
        <f>IFERROR(__xludf.DUMMYFUNCTION("GOOGLETRANSLATE(B20420,""id"",""en"")"),"['Please', 'signal', 'Lnya', 'enhanced', 'sukajadi', 'tamansari', 'gadogtengah', 'change', 'love', 'star', 'okay', 'promise', ' Already ',' paid ',' Hopefully ',' Telkomsel ',' Jaya ',' Increases', 'Karging', 'Network', 'Strong', 'Thank you']")</f>
        <v>['Please', 'signal', 'Lnya', 'enhanced', 'sukajadi', 'tamansari', 'gadogtengah', 'change', 'love', 'star', 'okay', 'promise', ' Already ',' paid ',' Hopefully ',' Telkomsel ',' Jaya ',' Increases', 'Karging', 'Network', 'Strong', 'Thank you']</v>
      </c>
      <c r="D20420" s="3">
        <v>5.0</v>
      </c>
    </row>
    <row r="20421" ht="15.75" customHeight="1">
      <c r="A20421" s="1">
        <v>21713.0</v>
      </c>
      <c r="B20421" s="3" t="s">
        <v>1601</v>
      </c>
      <c r="C20421" s="3" t="str">
        <f>IFERROR(__xludf.DUMMYFUNCTION("GOOGLETRANSLATE(B20421,""id"",""en"")"),"['open']")</f>
        <v>['open']</v>
      </c>
      <c r="D20421" s="3">
        <v>1.0</v>
      </c>
    </row>
    <row r="20422" ht="15.75" customHeight="1">
      <c r="A20422" s="1">
        <v>21716.0</v>
      </c>
      <c r="B20422" s="3" t="s">
        <v>19306</v>
      </c>
      <c r="C20422" s="3" t="str">
        <f>IFERROR(__xludf.DUMMYFUNCTION("GOOGLETRANSLATE(B20422,""id"",""en"")"),"['kmren', 'application', 'access', 'name', 'Telkomsel', '']")</f>
        <v>['kmren', 'application', 'access', 'name', 'Telkomsel', '']</v>
      </c>
      <c r="D20422" s="3">
        <v>1.0</v>
      </c>
    </row>
    <row r="20423" ht="15.75" customHeight="1">
      <c r="A20423" s="1">
        <v>21717.0</v>
      </c>
      <c r="B20423" s="3" t="s">
        <v>19307</v>
      </c>
      <c r="C20423" s="3" t="str">
        <f>IFERROR(__xludf.DUMMYFUNCTION("GOOGLETRANSLATE(B20423,""id"",""en"")"),"['Error', 'right', 'enter', 'the application', 'ngak', 'comfortable', 'Telkomsel']")</f>
        <v>['Error', 'right', 'enter', 'the application', 'ngak', 'comfortable', 'Telkomsel']</v>
      </c>
      <c r="D20423" s="3">
        <v>1.0</v>
      </c>
    </row>
    <row r="20424" ht="15.75" customHeight="1">
      <c r="A20424" s="1">
        <v>21718.0</v>
      </c>
      <c r="B20424" s="3" t="s">
        <v>19308</v>
      </c>
      <c r="C20424" s="3" t="str">
        <f>IFERROR(__xludf.DUMMYFUNCTION("GOOGLETRANSLATE(B20424,""id"",""en"")"),"['Quality']")</f>
        <v>['Quality']</v>
      </c>
      <c r="D20424" s="3">
        <v>5.0</v>
      </c>
    </row>
    <row r="20425" ht="15.75" customHeight="1">
      <c r="A20425" s="1">
        <v>21719.0</v>
      </c>
      <c r="B20425" s="3" t="s">
        <v>19309</v>
      </c>
      <c r="C20425" s="3" t="str">
        <f>IFERROR(__xludf.DUMMYFUNCTION("GOOGLETRANSLATE(B20425,""id"",""en"")"),"['Update', 'Software', 'DAK', 'Install', 'App', 'APP', 'Safe', 'Update', 'Hurry', ""]")</f>
        <v>['Update', 'Software', 'DAK', 'Install', 'App', 'APP', 'Safe', 'Update', 'Hurry', "]</v>
      </c>
      <c r="D20425" s="3">
        <v>1.0</v>
      </c>
    </row>
    <row r="20426" ht="15.75" customHeight="1">
      <c r="A20426" s="1">
        <v>21720.0</v>
      </c>
      <c r="B20426" s="3" t="s">
        <v>19310</v>
      </c>
      <c r="C20426" s="3" t="str">
        <f>IFERROR(__xludf.DUMMYFUNCTION("GOOGLETRANSLATE(B20426,""id"",""en"")"),"['Hello', 'details',' transaction ',' application ',' complete ',' buy ',' package ',' extra ',' quota ',' daily ',' udh ',' appears', ' Bill ',' that's like ',' Shame ',' buy ',' yourselves', '']")</f>
        <v>['Hello', 'details',' transaction ',' application ',' complete ',' buy ',' package ',' extra ',' quota ',' daily ',' udh ',' appears', ' Bill ',' that's like ',' Shame ',' buy ',' yourselves', '']</v>
      </c>
      <c r="D20426" s="3">
        <v>2.0</v>
      </c>
    </row>
    <row r="20427" ht="15.75" customHeight="1">
      <c r="A20427" s="1">
        <v>21721.0</v>
      </c>
      <c r="B20427" s="3" t="s">
        <v>19311</v>
      </c>
      <c r="C20427" s="3" t="str">
        <f>IFERROR(__xludf.DUMMYFUNCTION("GOOGLETRANSLATE(B20427,""id"",""en"")"),"['Veronica', 'Sorry', 'Karna', 'Improved', 'Quality', 'Service']")</f>
        <v>['Veronica', 'Sorry', 'Karna', 'Improved', 'Quality', 'Service']</v>
      </c>
      <c r="D20427" s="3">
        <v>1.0</v>
      </c>
    </row>
    <row r="20428" ht="15.75" customHeight="1">
      <c r="A20428" s="1">
        <v>21722.0</v>
      </c>
      <c r="B20428" s="3" t="s">
        <v>19312</v>
      </c>
      <c r="C20428" s="3" t="str">
        <f>IFERROR(__xludf.DUMMYFUNCTION("GOOGLETRANSLATE(B20428,""id"",""en"")"),"['Help', 'process', 'purchase', 'pulses', ""]")</f>
        <v>['Help', 'process', 'purchase', 'pulses', "]</v>
      </c>
      <c r="D20428" s="3">
        <v>5.0</v>
      </c>
    </row>
    <row r="20429" ht="15.75" customHeight="1">
      <c r="A20429" s="1">
        <v>21723.0</v>
      </c>
      <c r="B20429" s="3" t="s">
        <v>19313</v>
      </c>
      <c r="C20429" s="3" t="str">
        <f>IFERROR(__xludf.DUMMYFUNCTION("GOOGLETRANSLATE(B20429,""id"",""en"")"),"['Sorry', 'Delete', 'Application', 'Benefits',' Daily ',' Check ',' Get ',' Scorched ',' PDAH ',' Quota ',' BLM ',' Claim ',' Actually ',' PKE ',' quota ',' crisis', 'quota', 'main', 'run out', 'taunya', 'run out', 'quota', 'lost', 'purpose', 'diligent' ,"&amp;" 'Daily', 'Check', 'Mending', 'Gausah', 'Adin', 'Program', 'Kyk', 'GTU', 'Benefits', ""]")</f>
        <v>['Sorry', 'Delete', 'Application', 'Benefits',' Daily ',' Check ',' Get ',' Scorched ',' PDAH ',' Quota ',' BLM ',' Claim ',' Actually ',' PKE ',' quota ',' crisis', 'quota', 'main', 'run out', 'taunya', 'run out', 'quota', 'lost', 'purpose', 'diligent' , 'Daily', 'Check', 'Mending', 'Gausah', 'Adin', 'Program', 'Kyk', 'GTU', 'Benefits', "]</v>
      </c>
      <c r="D20429" s="3">
        <v>1.0</v>
      </c>
    </row>
    <row r="20430" ht="15.75" customHeight="1">
      <c r="A20430" s="1">
        <v>21724.0</v>
      </c>
      <c r="B20430" s="3" t="s">
        <v>19314</v>
      </c>
      <c r="C20430" s="3" t="str">
        <f>IFERROR(__xludf.DUMMYFUNCTION("GOOGLETRANSLATE(B20430,""id"",""en"")"),"['Love', 'star', 'package', 'cheap', 'happy', ""]")</f>
        <v>['Love', 'star', 'package', 'cheap', 'happy', "]</v>
      </c>
      <c r="D20430" s="3">
        <v>3.0</v>
      </c>
    </row>
    <row r="20431" ht="15.75" customHeight="1">
      <c r="A20431" s="1">
        <v>21725.0</v>
      </c>
      <c r="B20431" s="3" t="s">
        <v>19315</v>
      </c>
      <c r="C20431" s="3" t="str">
        <f>IFERROR(__xludf.DUMMYFUNCTION("GOOGLETRANSLATE(B20431,""id"",""en"")"),"['weve', 'yeah', 'buy', 'mytelkomsel', 'expensive', '']")</f>
        <v>['weve', 'yeah', 'buy', 'mytelkomsel', 'expensive', '']</v>
      </c>
      <c r="D20431" s="3">
        <v>1.0</v>
      </c>
    </row>
    <row r="20432" ht="15.75" customHeight="1">
      <c r="A20432" s="1">
        <v>21726.0</v>
      </c>
      <c r="B20432" s="3" t="s">
        <v>19316</v>
      </c>
      <c r="C20432" s="3" t="str">
        <f>IFERROR(__xludf.DUMMYFUNCTION("GOOGLETRANSLATE(B20432,""id"",""en"")"),"['Network', 'Telkomsel', 'competitors',' weighs', 'severe', 'signal', 'FULLLLLL', 'Network', 'it sees',' tower ',' Nebeng ',' disease ',' perchis', 'barengan', 'great', 'suggestion', 'sell', 'card', 'telkomsel', 'can', 'service', 'according to', 'price', "&amp;"'use', 'Semain' , 'LEG', 'like', 'good', 'neighbors',' red ',' murmer ',' suggestion ',' collapse ',' price ',' sell ',' quota ',' network ',' Rich ',' fasting ',' Monday ',' Thursday ']")</f>
        <v>['Network', 'Telkomsel', 'competitors',' weighs', 'severe', 'signal', 'FULLLLLL', 'Network', 'it sees',' tower ',' Nebeng ',' disease ',' perchis', 'barengan', 'great', 'suggestion', 'sell', 'card', 'telkomsel', 'can', 'service', 'according to', 'price', 'use', 'Semain' , 'LEG', 'like', 'good', 'neighbors',' red ',' murmer ',' suggestion ',' collapse ',' price ',' sell ',' quota ',' network ',' Rich ',' fasting ',' Monday ',' Thursday ']</v>
      </c>
      <c r="D20432" s="3">
        <v>1.0</v>
      </c>
    </row>
    <row r="20433" ht="15.75" customHeight="1">
      <c r="A20433" s="1">
        <v>21727.0</v>
      </c>
      <c r="B20433" s="3" t="s">
        <v>19317</v>
      </c>
      <c r="C20433" s="3" t="str">
        <f>IFERROR(__xludf.DUMMYFUNCTION("GOOGLETRANSLATE(B20433,""id"",""en"")"),"['Application', 'Useful', 'Discount', 'Promo']")</f>
        <v>['Application', 'Useful', 'Discount', 'Promo']</v>
      </c>
      <c r="D20433" s="3">
        <v>5.0</v>
      </c>
    </row>
    <row r="20434" ht="15.75" customHeight="1">
      <c r="A20434" s="1">
        <v>21728.0</v>
      </c>
      <c r="B20434" s="3" t="s">
        <v>19318</v>
      </c>
      <c r="C20434" s="3" t="str">
        <f>IFERROR(__xludf.DUMMYFUNCTION("GOOGLETRANSLATE(B20434,""id"",""en"")"),"['please', 'quality', 'network', 'Telkomsel', 'in the area', 'repaired', 'sub-district', 'duripoku', 'kab', 'pasangkayu', 'mamuju', 'north', ' network ',' slow ',' nelfon ',' kayak ',' crackle ',' sound ',' ']")</f>
        <v>['please', 'quality', 'network', 'Telkomsel', 'in the area', 'repaired', 'sub-district', 'duripoku', 'kab', 'pasangkayu', 'mamuju', 'north', ' network ',' slow ',' nelfon ',' kayak ',' crackle ',' sound ',' ']</v>
      </c>
      <c r="D20434" s="3">
        <v>3.0</v>
      </c>
    </row>
    <row r="20435" ht="15.75" customHeight="1">
      <c r="A20435" s="1">
        <v>21729.0</v>
      </c>
      <c r="B20435" s="3" t="s">
        <v>19319</v>
      </c>
      <c r="C20435" s="3" t="str">
        <f>IFERROR(__xludf.DUMMYFUNCTION("GOOGLETRANSLATE(B20435,""id"",""en"")"),"['already', 'a week', 'APK', 'blank', 'white', 'doang', 'open', 'update', 'change', ""]")</f>
        <v>['already', 'a week', 'APK', 'blank', 'white', 'doang', 'open', 'update', 'change', "]</v>
      </c>
      <c r="D20435" s="3">
        <v>1.0</v>
      </c>
    </row>
    <row r="20436" ht="15.75" customHeight="1">
      <c r="A20436" s="1">
        <v>21730.0</v>
      </c>
      <c r="B20436" s="3" t="s">
        <v>19320</v>
      </c>
      <c r="C20436" s="3" t="str">
        <f>IFERROR(__xludf.DUMMYFUNCTION("GOOGLETRANSLATE(B20436,""id"",""en"")"),"['Open', 'Telkomsel', 'CONNECT']")</f>
        <v>['Open', 'Telkomsel', 'CONNECT']</v>
      </c>
      <c r="D20436" s="3">
        <v>4.0</v>
      </c>
    </row>
    <row r="20437" ht="15.75" customHeight="1">
      <c r="A20437" s="1">
        <v>21731.0</v>
      </c>
      <c r="B20437" s="3" t="s">
        <v>19321</v>
      </c>
      <c r="C20437" s="3" t="str">
        <f>IFERROR(__xludf.DUMMYFUNCTION("GOOGLETRANSLATE(B20437,""id"",""en"")"),"['Rating', 'price', 'package', 'thousand', 'buy', 'pulse', 'times', 'effective', 'waste']")</f>
        <v>['Rating', 'price', 'package', 'thousand', 'buy', 'pulse', 'times', 'effective', 'waste']</v>
      </c>
      <c r="D20437" s="3">
        <v>1.0</v>
      </c>
    </row>
    <row r="20438" ht="15.75" customHeight="1">
      <c r="A20438" s="1">
        <v>21732.0</v>
      </c>
      <c r="B20438" s="3" t="s">
        <v>19322</v>
      </c>
      <c r="C20438" s="3" t="str">
        <f>IFERROR(__xludf.DUMMYFUNCTION("GOOGLETRANSLATE(B20438,""id"",""en"")"),"['TKSH', 'Telkomsel', 'I hope', 'according to', 'offered', ""]")</f>
        <v>['TKSH', 'Telkomsel', 'I hope', 'according to', 'offered', "]</v>
      </c>
      <c r="D20438" s="3">
        <v>4.0</v>
      </c>
    </row>
    <row r="20439" ht="15.75" customHeight="1">
      <c r="A20439" s="1">
        <v>21733.0</v>
      </c>
      <c r="B20439" s="3" t="s">
        <v>19323</v>
      </c>
      <c r="C20439" s="3" t="str">
        <f>IFERROR(__xludf.DUMMYFUNCTION("GOOGLETRANSLATE(B20439,""id"",""en"")"),"['woi', 'Telkomsel', 'pig', 'ngeapain', 'signal', 'ugly', 'clock', 'morning', 'clock', 'night', 'ugly', 'ajh', ' signal ',' good ',' open ',' pig ',' open ',' application ',' change ',' card ',' good ',' signal ',' telkomsel ',' buriq ',' hope ' , 'dead']")</f>
        <v>['woi', 'Telkomsel', 'pig', 'ngeapain', 'signal', 'ugly', 'clock', 'morning', 'clock', 'night', 'ugly', 'ajh', ' signal ',' good ',' open ',' pig ',' open ',' application ',' change ',' card ',' good ',' signal ',' telkomsel ',' buriq ',' hope ' , 'dead']</v>
      </c>
      <c r="D20439" s="3">
        <v>1.0</v>
      </c>
    </row>
    <row r="20440" ht="15.75" customHeight="1">
      <c r="A20440" s="1">
        <v>21734.0</v>
      </c>
      <c r="B20440" s="3" t="s">
        <v>19324</v>
      </c>
      <c r="C20440" s="3" t="str">
        <f>IFERROR(__xludf.DUMMYFUNCTION("GOOGLETRANSLATE(B20440,""id"",""en"")"),"['Gajelas',' UDH ',' ISI ',' Credit ',' according to ',' Need ',' ilang ',' choice ',' bought ',' yaa ',' huh ',' Kouta ',' Search ',' girlfriend ',' Sihhhhhh ',' Huft ', ""]")</f>
        <v>['Gajelas',' UDH ',' ISI ',' Credit ',' according to ',' Need ',' ilang ',' choice ',' bought ',' yaa ',' huh ',' Kouta ',' Search ',' girlfriend ',' Sihhhhhh ',' Huft ', "]</v>
      </c>
      <c r="D20440" s="3">
        <v>1.0</v>
      </c>
    </row>
    <row r="20441" ht="15.75" customHeight="1">
      <c r="A20441" s="1">
        <v>21735.0</v>
      </c>
      <c r="B20441" s="3" t="s">
        <v>19325</v>
      </c>
      <c r="C20441" s="3" t="str">
        <f>IFERROR(__xludf.DUMMYFUNCTION("GOOGLETRANSLATE(B20441,""id"",""en"")"),"['Telkomsel', 'Package', 'Watch', 'YouTube', 'Unlimited','AAA ',' ']")</f>
        <v>['Telkomsel', 'Package', 'Watch', 'YouTube', 'Unlimited','AAA ',' ']</v>
      </c>
      <c r="D20441" s="3">
        <v>3.0</v>
      </c>
    </row>
    <row r="20442" ht="15.75" customHeight="1">
      <c r="A20442" s="1">
        <v>21736.0</v>
      </c>
      <c r="B20442" s="3" t="s">
        <v>19326</v>
      </c>
      <c r="C20442" s="3" t="str">
        <f>IFERROR(__xludf.DUMMYFUNCTION("GOOGLETRANSLATE(B20442,""id"",""en"")"),"['PKET', 'thousand', 'can', 'clock', 'NLP']")</f>
        <v>['PKET', 'thousand', 'can', 'clock', 'NLP']</v>
      </c>
      <c r="D20442" s="3">
        <v>5.0</v>
      </c>
    </row>
    <row r="20443" ht="15.75" customHeight="1">
      <c r="A20443" s="1">
        <v>21737.0</v>
      </c>
      <c r="B20443" s="3" t="s">
        <v>19327</v>
      </c>
      <c r="C20443" s="3" t="str">
        <f>IFERROR(__xludf.DUMMYFUNCTION("GOOGLETRANSLATE(B20443,""id"",""en"")"),"['', 'ASW', 'pulse', 'ilang', 'Where', 'Basic', 'Maling']")</f>
        <v>['', 'ASW', 'pulse', 'ilang', 'Where', 'Basic', 'Maling']</v>
      </c>
      <c r="D20443" s="3">
        <v>1.0</v>
      </c>
    </row>
    <row r="20444" ht="15.75" customHeight="1">
      <c r="A20444" s="1">
        <v>21738.0</v>
      </c>
      <c r="B20444" s="3" t="s">
        <v>19328</v>
      </c>
      <c r="C20444" s="3" t="str">
        <f>IFERROR(__xludf.DUMMYFUNCTION("GOOGLETRANSLATE(B20444,""id"",""en"")"),"['Open', 'morning', 'confused', 'how', 'open']")</f>
        <v>['Open', 'morning', 'confused', 'how', 'open']</v>
      </c>
      <c r="D20444" s="3">
        <v>5.0</v>
      </c>
    </row>
    <row r="20445" ht="15.75" customHeight="1">
      <c r="A20445" s="1">
        <v>21739.0</v>
      </c>
      <c r="B20445" s="3" t="s">
        <v>19329</v>
      </c>
      <c r="C20445" s="3" t="str">
        <f>IFERROR(__xludf.DUMMYFUNCTION("GOOGLETRANSLATE(B20445,""id"",""en"")"),"['', 'package', 'call', 'credit', 'finished', 'intent', 'contents',' pulse ',' die ',' data ',' off ',' appain ',' pulsa ',' Live ',' dead ',' pulse ',' stay ',' leftover ',' leftover ',' leftover ',' pulse ',' run out ',' left ',' actually ',' Telkomsel "&amp;"', 'cheats', 'steal', 'pulses', 'donk', 'annoyed', 'times', 'card', 'Telkomsel']")</f>
        <v>['', 'package', 'call', 'credit', 'finished', 'intent', 'contents',' pulse ',' die ',' data ',' off ',' appain ',' pulsa ',' Live ',' dead ',' pulse ',' stay ',' leftover ',' leftover ',' leftover ',' pulse ',' run out ',' left ',' actually ',' Telkomsel ', 'cheats', 'steal', 'pulses', 'donk', 'annoyed', 'times', 'card', 'Telkomsel']</v>
      </c>
      <c r="D20445" s="3">
        <v>1.0</v>
      </c>
    </row>
    <row r="20446" ht="15.75" customHeight="1">
      <c r="A20446" s="1">
        <v>21740.0</v>
      </c>
      <c r="B20446" s="3" t="s">
        <v>19330</v>
      </c>
      <c r="C20446" s="3" t="str">
        <f>IFERROR(__xludf.DUMMYFUNCTION("GOOGLETRANSLATE(B20446,""id"",""en"")"),"['Good', 'use', 'card', 'jeeeelllleeeeeekkkkkkkk', 'card', 'me', 'active', 'woi']")</f>
        <v>['Good', 'use', 'card', 'jeeeelllleeeeeekkkkkkkk', 'card', 'me', 'active', 'woi']</v>
      </c>
      <c r="D20446" s="3">
        <v>1.0</v>
      </c>
    </row>
    <row r="20447" ht="15.75" customHeight="1">
      <c r="A20447" s="1">
        <v>21741.0</v>
      </c>
      <c r="B20447" s="3" t="s">
        <v>19331</v>
      </c>
      <c r="C20447" s="3" t="str">
        <f>IFERROR(__xludf.DUMMYFUNCTION("GOOGLETRANSLATE(B20447,""id"",""en"")"),"['application', 'ugly', 'blank', 'white']")</f>
        <v>['application', 'ugly', 'blank', 'white']</v>
      </c>
      <c r="D20447" s="3">
        <v>1.0</v>
      </c>
    </row>
    <row r="20448" ht="15.75" customHeight="1">
      <c r="A20448" s="1">
        <v>21742.0</v>
      </c>
      <c r="B20448" s="3" t="s">
        <v>19332</v>
      </c>
      <c r="C20448" s="3" t="str">
        <f>IFERROR(__xludf.DUMMYFUNCTION("GOOGLETRANSLATE(B20448,""id"",""en"")"),"['pig', 'really', 'oath', 'price', 'expensive', 'quality', 'signal', 'rich', 'pig']")</f>
        <v>['pig', 'really', 'oath', 'price', 'expensive', 'quality', 'signal', 'rich', 'pig']</v>
      </c>
      <c r="D20448" s="3">
        <v>1.0</v>
      </c>
    </row>
    <row r="20449" ht="15.75" customHeight="1">
      <c r="A20449" s="1">
        <v>21743.0</v>
      </c>
      <c r="B20449" s="3" t="s">
        <v>19333</v>
      </c>
      <c r="C20449" s="3" t="str">
        <f>IFERROR(__xludf.DUMMYFUNCTION("GOOGLETRANSLATE(B20449,""id"",""en"")"),"['pakek', 'stable', 'signal', 'how', ""]")</f>
        <v>['pakek', 'stable', 'signal', 'how', "]</v>
      </c>
      <c r="D20449" s="3">
        <v>3.0</v>
      </c>
    </row>
    <row r="20450" ht="15.75" customHeight="1">
      <c r="A20450" s="1">
        <v>21744.0</v>
      </c>
      <c r="B20450" s="3" t="s">
        <v>19334</v>
      </c>
      <c r="C20450" s="3" t="str">
        <f>IFERROR(__xludf.DUMMYFUNCTION("GOOGLETRANSLATE(B20450,""id"",""en"")"),"['Please', 'repaired', 'bug', 'download', 'based', 'Android', 'App', 'download']")</f>
        <v>['Please', 'repaired', 'bug', 'download', 'based', 'Android', 'App', 'download']</v>
      </c>
      <c r="D20450" s="3">
        <v>1.0</v>
      </c>
    </row>
    <row r="20451" ht="15.75" customHeight="1">
      <c r="A20451" s="1">
        <v>21745.0</v>
      </c>
      <c r="B20451" s="3" t="s">
        <v>19188</v>
      </c>
      <c r="C20451" s="3" t="str">
        <f>IFERROR(__xludf.DUMMYFUNCTION("GOOGLETRANSLATE(B20451,""id"",""en"")"),"['ugly', 'open']")</f>
        <v>['ugly', 'open']</v>
      </c>
      <c r="D20451" s="3">
        <v>1.0</v>
      </c>
    </row>
    <row r="20452" ht="15.75" customHeight="1">
      <c r="A20452" s="1">
        <v>21746.0</v>
      </c>
      <c r="B20452" s="3" t="s">
        <v>19335</v>
      </c>
      <c r="C20452" s="3" t="str">
        <f>IFERROR(__xludf.DUMMYFUNCTION("GOOGLETRANSLATE(B20452,""id"",""en"")"),"['Please', 'Telkomsel', 'Area', 'County', 'Tasikmalaya', 'LTE', 'Region', 'Singaparna', 'Thank', 'Love']")</f>
        <v>['Please', 'Telkomsel', 'Area', 'County', 'Tasikmalaya', 'LTE', 'Region', 'Singaparna', 'Thank', 'Love']</v>
      </c>
      <c r="D20452" s="3">
        <v>5.0</v>
      </c>
    </row>
    <row r="20453" ht="15.75" customHeight="1">
      <c r="A20453" s="1">
        <v>21748.0</v>
      </c>
      <c r="B20453" s="3" t="s">
        <v>471</v>
      </c>
      <c r="C20453" s="3" t="str">
        <f>IFERROR(__xludf.DUMMYFUNCTION("GOOGLETRANSLATE(B20453,""id"",""en"")"),"['']")</f>
        <v>['']</v>
      </c>
      <c r="D20453" s="3">
        <v>3.0</v>
      </c>
    </row>
    <row r="20454" ht="15.75" customHeight="1">
      <c r="A20454" s="1">
        <v>21749.0</v>
      </c>
      <c r="B20454" s="3" t="s">
        <v>19336</v>
      </c>
      <c r="C20454" s="3" t="str">
        <f>IFERROR(__xludf.DUMMYFUNCTION("GOOGLETRANSLATE(B20454,""id"",""en"")"),"['slow', 'service', 'abal', 'abal', 'package', 'expensive', 'signal', 'problematic', 'response', 'admin', 'bot']")</f>
        <v>['slow', 'service', 'abal', 'abal', 'package', 'expensive', 'signal', 'problematic', 'response', 'admin', 'bot']</v>
      </c>
      <c r="D20454" s="3">
        <v>1.0</v>
      </c>
    </row>
    <row r="20455" ht="15.75" customHeight="1">
      <c r="A20455" s="1">
        <v>21750.0</v>
      </c>
      <c r="B20455" s="3" t="s">
        <v>19337</v>
      </c>
      <c r="C20455" s="3" t="str">
        <f>IFERROR(__xludf.DUMMYFUNCTION("GOOGLETRANSLATE(B20455,""id"",""en"")"),"['signal', 'Telkomsel', 'ugly', 'please', 'Telkomsel', 'repaired', 'sinya', 'stop', 'subscription']")</f>
        <v>['signal', 'Telkomsel', 'ugly', 'please', 'Telkomsel', 'repaired', 'sinya', 'stop', 'subscription']</v>
      </c>
      <c r="D20455" s="3">
        <v>2.0</v>
      </c>
    </row>
    <row r="20456" ht="15.75" customHeight="1">
      <c r="A20456" s="1">
        <v>21751.0</v>
      </c>
      <c r="B20456" s="3" t="s">
        <v>19338</v>
      </c>
      <c r="C20456" s="3" t="str">
        <f>IFERROR(__xludf.DUMMYFUNCTION("GOOGLETRANSLATE(B20456,""id"",""en"")"),"['promo', 'price', 'reproduced', 'promo', 'makasi']")</f>
        <v>['promo', 'price', 'reproduced', 'promo', 'makasi']</v>
      </c>
      <c r="D20456" s="3">
        <v>5.0</v>
      </c>
    </row>
    <row r="20457" ht="15.75" customHeight="1">
      <c r="A20457" s="1">
        <v>21752.0</v>
      </c>
      <c r="B20457" s="3" t="s">
        <v>19339</v>
      </c>
      <c r="C20457" s="3" t="str">
        <f>IFERROR(__xludf.DUMMYFUNCTION("GOOGLETRANSLATE(B20457,""id"",""en"")"),"['repair', 'continuous']")</f>
        <v>['repair', 'continuous']</v>
      </c>
      <c r="D20457" s="3">
        <v>4.0</v>
      </c>
    </row>
    <row r="20458" ht="15.75" customHeight="1">
      <c r="A20458" s="1">
        <v>21753.0</v>
      </c>
      <c r="B20458" s="3" t="s">
        <v>19340</v>
      </c>
      <c r="C20458" s="3" t="str">
        <f>IFERROR(__xludf.DUMMYFUNCTION("GOOGLETRANSLATE(B20458,""id"",""en"")"),"['Karna', 'Package', 'Internet', 'expensive']")</f>
        <v>['Karna', 'Package', 'Internet', 'expensive']</v>
      </c>
      <c r="D20458" s="3">
        <v>3.0</v>
      </c>
    </row>
    <row r="20459" ht="15.75" customHeight="1">
      <c r="A20459" s="1">
        <v>21754.0</v>
      </c>
      <c r="B20459" s="3" t="s">
        <v>19341</v>
      </c>
      <c r="C20459" s="3" t="str">
        <f>IFERROR(__xludf.DUMMYFUNCTION("GOOGLETRANSLATE(B20459,""id"",""en"")"),"['suggestion', 'key', 'pulse', 'package', 'run out', 'pulse', 'chick']")</f>
        <v>['suggestion', 'key', 'pulse', 'package', 'run out', 'pulse', 'chick']</v>
      </c>
      <c r="D20459" s="3">
        <v>4.0</v>
      </c>
    </row>
    <row r="20460" ht="15.75" customHeight="1">
      <c r="A20460" s="1">
        <v>21755.0</v>
      </c>
      <c r="B20460" s="3" t="s">
        <v>19342</v>
      </c>
      <c r="C20460" s="3" t="str">
        <f>IFERROR(__xludf.DUMMYFUNCTION("GOOGLETRANSLATE(B20460,""id"",""en"")"),"['Buy', 'Package', 'FAILURE', 'CONTACT', 'HELPING']")</f>
        <v>['Buy', 'Package', 'FAILURE', 'CONTACT', 'HELPING']</v>
      </c>
      <c r="D20460" s="3">
        <v>1.0</v>
      </c>
    </row>
    <row r="20461" ht="15.75" customHeight="1">
      <c r="A20461" s="1">
        <v>21756.0</v>
      </c>
      <c r="B20461" s="3" t="s">
        <v>19343</v>
      </c>
      <c r="C20461" s="3" t="str">
        <f>IFERROR(__xludf.DUMMYFUNCTION("GOOGLETRANSLATE(B20461,""id"",""en"")"),"['Steady', 'Easy', 'Wear', 'Application']")</f>
        <v>['Steady', 'Easy', 'Wear', 'Application']</v>
      </c>
      <c r="D20461" s="3">
        <v>5.0</v>
      </c>
    </row>
    <row r="20462" ht="15.75" customHeight="1">
      <c r="A20462" s="1">
        <v>21757.0</v>
      </c>
      <c r="B20462" s="3" t="s">
        <v>19344</v>
      </c>
      <c r="C20462" s="3" t="str">
        <f>IFERROR(__xludf.DUMMYFUNCTION("GOOGLETRANSLATE(B20462,""id"",""en"")"),"['suggestion', 'cheap', 'package', 'abundant', 'card', 'expensive', 'expensive']")</f>
        <v>['suggestion', 'cheap', 'package', 'abundant', 'card', 'expensive', 'expensive']</v>
      </c>
      <c r="D20462" s="3">
        <v>1.0</v>
      </c>
    </row>
    <row r="20463" ht="15.75" customHeight="1">
      <c r="A20463" s="1">
        <v>21758.0</v>
      </c>
      <c r="B20463" s="3" t="s">
        <v>19345</v>
      </c>
      <c r="C20463" s="3" t="str">
        <f>IFERROR(__xludf.DUMMYFUNCTION("GOOGLETRANSLATE(B20463,""id"",""en"")"),"['TGL', 'buy', 'package', 'unlimited', 'rb', 'trs',' date ',' already ',' sms', 'package', 'lived', 'giga', ' Date ',' sms', 'package', 'run out', 'stay', 'hah', 'ngelair', 'really', 'yes',' giga ',' finished ',' trs', 'unlimited' , 'MB', 'per day', 'coun"&amp;"t', 'until', 'limit', 'until', 'giga', 'lgsg', 'package', 'open', 'shopie', 'slow', ' Open ',' slow ',' or ',' Tiktok ',' Ouch ',' taste ',' lied to ',' consumer ',' honest ',' woy ',' selling ',' package ',' expensive ' , 'Money', 'Woy', '']")</f>
        <v>['TGL', 'buy', 'package', 'unlimited', 'rb', 'trs',' date ',' already ',' sms', 'package', 'lived', 'giga', ' Date ',' sms', 'package', 'run out', 'stay', 'hah', 'ngelair', 'really', 'yes',' giga ',' finished ',' trs', 'unlimited' , 'MB', 'per day', 'count', 'until', 'limit', 'until', 'giga', 'lgsg', 'package', 'open', 'shopie', 'slow', ' Open ',' slow ',' or ',' Tiktok ',' Ouch ',' taste ',' lied to ',' consumer ',' honest ',' woy ',' selling ',' package ',' expensive ' , 'Money', 'Woy', '']</v>
      </c>
      <c r="D20463" s="3">
        <v>1.0</v>
      </c>
    </row>
    <row r="20464" ht="15.75" customHeight="1">
      <c r="A20464" s="1">
        <v>21759.0</v>
      </c>
      <c r="B20464" s="3" t="s">
        <v>19346</v>
      </c>
      <c r="C20464" s="3" t="str">
        <f>IFERROR(__xludf.DUMMYFUNCTION("GOOGLETRANSLATE(B20464,""id"",""en"")"),"['Love', 'buy', 'quota', 'failed', 'buy', 'Live', 'chat', 'complete', 'the application', 'please', 'fix', 'buy', ' the quota ',' thank ',' love ']")</f>
        <v>['Love', 'buy', 'quota', 'failed', 'buy', 'Live', 'chat', 'complete', 'the application', 'please', 'fix', 'buy', ' the quota ',' thank ',' love ']</v>
      </c>
      <c r="D20464" s="3">
        <v>3.0</v>
      </c>
    </row>
    <row r="20465" ht="15.75" customHeight="1">
      <c r="A20465" s="1">
        <v>21760.0</v>
      </c>
      <c r="B20465" s="3" t="s">
        <v>19347</v>
      </c>
      <c r="C20465" s="3" t="str">
        <f>IFERROR(__xludf.DUMMYFUNCTION("GOOGLETRANSLATE(B20465,""id"",""en"")"),"['card', 'th', 'dead', 'forget', 'contents',' pulse ',' then ',' activated ',' gallery ',' forced ',' change ',' hello ',' After postpaid ',' Agree ',' Since ',' use ',' Hello ',' signal ',' internet ',' missing ',' connection ',' stagnant ',' Signs', 'si"&amp;"gnal', 'cellular' , 'Full', 'price', 'package', 'expensive', 'appeal', 'vendor', 'please', 'fix', 'star', ""]")</f>
        <v>['card', 'th', 'dead', 'forget', 'contents',' pulse ',' then ',' activated ',' gallery ',' forced ',' change ',' hello ',' After postpaid ',' Agree ',' Since ',' use ',' Hello ',' signal ',' internet ',' missing ',' connection ',' stagnant ',' Signs', 'signal', 'cellular' , 'Full', 'price', 'package', 'expensive', 'appeal', 'vendor', 'please', 'fix', 'star', "]</v>
      </c>
      <c r="D20465" s="3">
        <v>1.0</v>
      </c>
    </row>
    <row r="20466" ht="15.75" customHeight="1">
      <c r="A20466" s="1">
        <v>21761.0</v>
      </c>
      <c r="B20466" s="3" t="s">
        <v>19348</v>
      </c>
      <c r="C20466" s="3" t="str">
        <f>IFERROR(__xludf.DUMMYFUNCTION("GOOGLETRANSLATE(B20466,""id"",""en"")"),"['application', 'Help', 'bother', 'check', 'application', 'telefon']")</f>
        <v>['application', 'Help', 'bother', 'check', 'application', 'telefon']</v>
      </c>
      <c r="D20466" s="3">
        <v>5.0</v>
      </c>
    </row>
    <row r="20467" ht="15.75" customHeight="1">
      <c r="A20467" s="1">
        <v>21762.0</v>
      </c>
      <c r="B20467" s="3" t="s">
        <v>19349</v>
      </c>
      <c r="C20467" s="3" t="str">
        <f>IFERROR(__xludf.DUMMYFUNCTION("GOOGLETRANSLATE(B20467,""id"",""en"")"),"['Thank you', 'Telkomsel', 'help me']")</f>
        <v>['Thank you', 'Telkomsel', 'help me']</v>
      </c>
      <c r="D20467" s="3">
        <v>4.0</v>
      </c>
    </row>
    <row r="20468" ht="15.75" customHeight="1">
      <c r="A20468" s="1">
        <v>21763.0</v>
      </c>
      <c r="B20468" s="3" t="s">
        <v>19350</v>
      </c>
      <c r="C20468" s="3" t="str">
        <f>IFERROR(__xludf.DUMMYFUNCTION("GOOGLETRANSLATE(B20468,""id"",""en"")"),"['Unfortunately', 'Network', 'Hamlet', 'Pesanggrahan', 'Village', 'Rapa', 'LAOK', 'Kecamatan', 'Omben', 'Regency', 'Sampang', 'Madura', ' Signal ',' ']")</f>
        <v>['Unfortunately', 'Network', 'Hamlet', 'Pesanggrahan', 'Village', 'Rapa', 'LAOK', 'Kecamatan', 'Omben', 'Regency', 'Sampang', 'Madura', ' Signal ',' ']</v>
      </c>
      <c r="D20468" s="3">
        <v>3.0</v>
      </c>
    </row>
    <row r="20469" ht="15.75" customHeight="1">
      <c r="A20469" s="1">
        <v>21764.0</v>
      </c>
      <c r="B20469" s="3" t="s">
        <v>19351</v>
      </c>
      <c r="C20469" s="3" t="str">
        <f>IFERROR(__xludf.DUMMYFUNCTION("GOOGLETRANSLATE(B20469,""id"",""en"")"),"['Network', 'Network', 'Stupid', 'Network', 'Cheap', 'Disappointed', 'Customer', 'MLM', 'Morning', 'Morning', 'Leet', 'Udh', ' Buy ',' Package ',' Expensive ',' please ',' repaired ',' I killed ',' card ',' Telkomsel ',' Taik ', ""]")</f>
        <v>['Network', 'Network', 'Stupid', 'Network', 'Cheap', 'Disappointed', 'Customer', 'MLM', 'Morning', 'Morning', 'Leet', 'Udh', ' Buy ',' Package ',' Expensive ',' please ',' repaired ',' I killed ',' card ',' Telkomsel ',' Taik ', "]</v>
      </c>
      <c r="D20469" s="3">
        <v>1.0</v>
      </c>
    </row>
    <row r="20470" ht="15.75" customHeight="1">
      <c r="A20470" s="1">
        <v>21766.0</v>
      </c>
      <c r="B20470" s="3" t="s">
        <v>19352</v>
      </c>
      <c r="C20470" s="3" t="str">
        <f>IFERROR(__xludf.DUMMYFUNCTION("GOOGLETRANSLATE(B20470,""id"",""en"")"),"['crazy', 'customer', 'regret', 'use', 'Telkomsel', 'network', 'error', 'custumer', 'servum', 'chat', 'no', 'bales',' Bales', 'Bad', 'really', 'Telkomsel']")</f>
        <v>['crazy', 'customer', 'regret', 'use', 'Telkomsel', 'network', 'error', 'custumer', 'servum', 'chat', 'no', 'bales',' Bales', 'Bad', 'really', 'Telkomsel']</v>
      </c>
      <c r="D20470" s="3">
        <v>1.0</v>
      </c>
    </row>
    <row r="20471" ht="15.75" customHeight="1">
      <c r="A20471" s="1">
        <v>21767.0</v>
      </c>
      <c r="B20471" s="3" t="s">
        <v>19353</v>
      </c>
      <c r="C20471" s="3" t="str">
        <f>IFERROR(__xludf.DUMMYFUNCTION("GOOGLETRANSLATE(B20471,""id"",""en"")"),"['Application', 'Telkomsel', 'UDH', 'Blank', 'White', 'Hengk', 'Try', 'Unistal', 'Install', 'Telkom', 'please', 'fix']")</f>
        <v>['Application', 'Telkomsel', 'UDH', 'Blank', 'White', 'Hengk', 'Try', 'Unistal', 'Install', 'Telkom', 'please', 'fix']</v>
      </c>
      <c r="D20471" s="3">
        <v>2.0</v>
      </c>
    </row>
    <row r="20472" ht="15.75" customHeight="1">
      <c r="A20472" s="1">
        <v>21768.0</v>
      </c>
      <c r="B20472" s="3" t="s">
        <v>19354</v>
      </c>
      <c r="C20472" s="3" t="str">
        <f>IFERROR(__xludf.DUMMYFUNCTION("GOOGLETRANSLATE(B20472,""id"",""en"")"),"['WOI', 'Telkomsel', 'Network', 'Kayak', 'Taik', 'Presidential', 'Belitung', 'idiot', 'really', 'ugly']")</f>
        <v>['WOI', 'Telkomsel', 'Network', 'Kayak', 'Taik', 'Presidential', 'Belitung', 'idiot', 'really', 'ugly']</v>
      </c>
      <c r="D20472" s="3">
        <v>1.0</v>
      </c>
    </row>
    <row r="20473" ht="15.75" customHeight="1">
      <c r="A20473" s="1">
        <v>21769.0</v>
      </c>
      <c r="B20473" s="3" t="s">
        <v>19355</v>
      </c>
      <c r="C20473" s="3" t="str">
        <f>IFERROR(__xludf.DUMMYFUNCTION("GOOGLETRANSLATE(B20473,""id"",""en"")"),"['', 'Telkomsel', 'Login']")</f>
        <v>['', 'Telkomsel', 'Login']</v>
      </c>
      <c r="D20473" s="3">
        <v>5.0</v>
      </c>
    </row>
    <row r="20474" ht="15.75" customHeight="1">
      <c r="A20474" s="1">
        <v>21770.0</v>
      </c>
      <c r="B20474" s="3" t="s">
        <v>2730</v>
      </c>
      <c r="C20474" s="3" t="str">
        <f>IFERROR(__xludf.DUMMYFUNCTION("GOOGLETRANSLATE(B20474,""id"",""en"")"),"['Promo', 'interesting']")</f>
        <v>['Promo', 'interesting']</v>
      </c>
      <c r="D20474" s="3">
        <v>3.0</v>
      </c>
    </row>
    <row r="20475" ht="15.75" customHeight="1">
      <c r="A20475" s="1">
        <v>21771.0</v>
      </c>
      <c r="B20475" s="3" t="s">
        <v>19356</v>
      </c>
      <c r="C20475" s="3" t="str">
        <f>IFERROR(__xludf.DUMMYFUNCTION("GOOGLETRANSLATE(B20475,""id"",""en"")"),"['swelt', 'update', 'gabisa', 'opened', '']")</f>
        <v>['swelt', 'update', 'gabisa', 'opened', '']</v>
      </c>
      <c r="D20475" s="3">
        <v>1.0</v>
      </c>
    </row>
    <row r="20476" ht="15.75" customHeight="1">
      <c r="A20476" s="1">
        <v>21772.0</v>
      </c>
      <c r="B20476" s="3" t="s">
        <v>19357</v>
      </c>
      <c r="C20476" s="3" t="str">
        <f>IFERROR(__xludf.DUMMYFUNCTION("GOOGLETRANSLATE(B20476,""id"",""en"")"),"['buy', 'package', 'Telkomsel', 'expensive', 'really', 'Telkomsel', 'good', 'nelfon', 'doang', 'at home', 'pke', 'wifi', ' Apart from ',' home ',' Tri ',' Nelfon ',' Telkomsel ',' ']")</f>
        <v>['buy', 'package', 'Telkomsel', 'expensive', 'really', 'Telkomsel', 'good', 'nelfon', 'doang', 'at home', 'pke', 'wifi', ' Apart from ',' home ',' Tri ',' Nelfon ',' Telkomsel ',' ']</v>
      </c>
      <c r="D20476" s="3">
        <v>3.0</v>
      </c>
    </row>
    <row r="20477" ht="15.75" customHeight="1">
      <c r="A20477" s="1">
        <v>21773.0</v>
      </c>
      <c r="B20477" s="3" t="s">
        <v>19358</v>
      </c>
      <c r="C20477" s="3" t="str">
        <f>IFERROR(__xludf.DUMMYFUNCTION("GOOGLETRANSLATE(B20477,""id"",""en"")"),"['signal', 'obstacles', 'like', '']")</f>
        <v>['signal', 'obstacles', 'like', '']</v>
      </c>
      <c r="D20477" s="3">
        <v>3.0</v>
      </c>
    </row>
    <row r="20478" ht="15.75" customHeight="1">
      <c r="A20478" s="1">
        <v>21774.0</v>
      </c>
      <c r="B20478" s="3" t="s">
        <v>19359</v>
      </c>
      <c r="C20478" s="3" t="str">
        <f>IFERROR(__xludf.DUMMYFUNCTION("GOOGLETRANSLATE(B20478,""id"",""en"")"),"['product', 'varies', 'price', 'affordable']")</f>
        <v>['product', 'varies', 'price', 'affordable']</v>
      </c>
      <c r="D20478" s="3">
        <v>5.0</v>
      </c>
    </row>
    <row r="20479" ht="15.75" customHeight="1">
      <c r="A20479" s="1">
        <v>21776.0</v>
      </c>
      <c r="B20479" s="3" t="s">
        <v>19360</v>
      </c>
      <c r="C20479" s="3" t="str">
        <f>IFERROR(__xludf.DUMMYFUNCTION("GOOGLETRANSLATE(B20479,""id"",""en"")"),"['steady', 'makes it easier', 'purchase']")</f>
        <v>['steady', 'makes it easier', 'purchase']</v>
      </c>
      <c r="D20479" s="3">
        <v>5.0</v>
      </c>
    </row>
    <row r="20480" ht="15.75" customHeight="1">
      <c r="A20480" s="1">
        <v>21777.0</v>
      </c>
      <c r="B20480" s="3" t="s">
        <v>19361</v>
      </c>
      <c r="C20480" s="3" t="str">
        <f>IFERROR(__xludf.DUMMYFUNCTION("GOOGLETRANSLATE(B20480,""id"",""en"")"),"['Even though', 'Paketannya', 'expensive', 'the application', 'hope', 'hope', 'in the future', 'his quotes', 'price', ""]")</f>
        <v>['Even though', 'Paketannya', 'expensive', 'the application', 'hope', 'hope', 'in the future', 'his quotes', 'price', "]</v>
      </c>
      <c r="D20480" s="3">
        <v>5.0</v>
      </c>
    </row>
    <row r="20481" ht="15.75" customHeight="1">
      <c r="A20481" s="1">
        <v>21778.0</v>
      </c>
      <c r="B20481" s="3" t="s">
        <v>19362</v>
      </c>
      <c r="C20481" s="3" t="str">
        <f>IFERROR(__xludf.DUMMYFUNCTION("GOOGLETRANSLATE(B20481,""id"",""en"")"),"['Updated', 'slow', 'open', ""]")</f>
        <v>['Updated', 'slow', 'open', "]</v>
      </c>
      <c r="D20481" s="3">
        <v>1.0</v>
      </c>
    </row>
    <row r="20482" ht="15.75" customHeight="1">
      <c r="A20482" s="1">
        <v>21779.0</v>
      </c>
      <c r="B20482" s="3" t="s">
        <v>19363</v>
      </c>
      <c r="C20482" s="3" t="str">
        <f>IFERROR(__xludf.DUMMYFUNCTION("GOOGLETRANSLATE(B20482,""id"",""en"")"),"['annoyed', 'right', 'fill', 'quota', 'unlimited', '']")</f>
        <v>['annoyed', 'right', 'fill', 'quota', 'unlimited', '']</v>
      </c>
      <c r="D20482" s="3">
        <v>1.0</v>
      </c>
    </row>
    <row r="20483" ht="15.75" customHeight="1">
      <c r="A20483" s="1">
        <v>21780.0</v>
      </c>
      <c r="B20483" s="3" t="s">
        <v>19364</v>
      </c>
      <c r="C20483" s="3" t="str">
        <f>IFERROR(__xludf.DUMMYFUNCTION("GOOGLETRANSLATE(B20483,""id"",""en"")"),"['It's easier for', 'Irit', 'Telkomsel']")</f>
        <v>['It's easier for', 'Irit', 'Telkomsel']</v>
      </c>
      <c r="D20483" s="3">
        <v>5.0</v>
      </c>
    </row>
    <row r="20484" ht="15.75" customHeight="1">
      <c r="A20484" s="1">
        <v>21781.0</v>
      </c>
      <c r="B20484" s="3" t="s">
        <v>19365</v>
      </c>
      <c r="C20484" s="3" t="str">
        <f>IFERROR(__xludf.DUMMYFUNCTION("GOOGLETRANSLATE(B20484,""id"",""en"")"),"['Help', 'Prizes', 'Telkomsel', 'Hello', 'Success', 'Telkomsel', ""]")</f>
        <v>['Help', 'Prizes', 'Telkomsel', 'Hello', 'Success', 'Telkomsel', "]</v>
      </c>
      <c r="D20484" s="3">
        <v>5.0</v>
      </c>
    </row>
    <row r="20485" ht="15.75" customHeight="1">
      <c r="A20485" s="1">
        <v>21782.0</v>
      </c>
      <c r="B20485" s="3" t="s">
        <v>19366</v>
      </c>
      <c r="C20485" s="3" t="str">
        <f>IFERROR(__xludf.DUMMYFUNCTION("GOOGLETRANSLATE(B20485,""id"",""en"")"),"['service', 'application', 'use', 'understand', 'dear', 'point', 'application', 'change', 'with', 'Hadia', 'good', 'Please', ' Telkomsel ',' support ',' purchase ',' replace ',' Points', 'gift', 'exchange', '']")</f>
        <v>['service', 'application', 'use', 'understand', 'dear', 'point', 'application', 'change', 'with', 'Hadia', 'good', 'Please', ' Telkomsel ',' support ',' purchase ',' replace ',' Points', 'gift', 'exchange', '']</v>
      </c>
      <c r="D20485" s="3">
        <v>4.0</v>
      </c>
    </row>
    <row r="20486" ht="15.75" customHeight="1">
      <c r="A20486" s="1">
        <v>21783.0</v>
      </c>
      <c r="B20486" s="3" t="s">
        <v>19367</v>
      </c>
      <c r="C20486" s="3" t="str">
        <f>IFERROR(__xludf.DUMMYFUNCTION("GOOGLETRANSLATE(B20486,""id"",""en"")"),"['', 'Check', 'quota', 'nau', 'access',' must ',' uninstall ',' then ',' download ',' lgi ',' waste ',' apps', 'telkomsel ', 'star', '']")</f>
        <v>['', 'Check', 'quota', 'nau', 'access',' must ',' uninstall ',' then ',' download ',' lgi ',' waste ',' apps', 'telkomsel ', 'star', '']</v>
      </c>
      <c r="D20486" s="3">
        <v>1.0</v>
      </c>
    </row>
    <row r="20487" ht="15.75" customHeight="1">
      <c r="A20487" s="1">
        <v>21784.0</v>
      </c>
      <c r="B20487" s="3" t="s">
        <v>19368</v>
      </c>
      <c r="C20487" s="3" t="str">
        <f>IFERROR(__xludf.DUMMYFUNCTION("GOOGLETRANSLATE(B20487,""id"",""en"")"),"['It's easy', 'buy', 'package', 'Simple', 'Certain', 'promo', 'promo', 'provided', 'Telkomsel']")</f>
        <v>['It's easy', 'buy', 'package', 'Simple', 'Certain', 'promo', 'promo', 'provided', 'Telkomsel']</v>
      </c>
      <c r="D20487" s="3">
        <v>5.0</v>
      </c>
    </row>
    <row r="20488" ht="15.75" customHeight="1">
      <c r="A20488" s="1">
        <v>21785.0</v>
      </c>
      <c r="B20488" s="3" t="s">
        <v>19369</v>
      </c>
      <c r="C20488" s="3" t="str">
        <f>IFERROR(__xludf.DUMMYFUNCTION("GOOGLETRANSLATE(B20488,""id"",""en"")"),"['Lemot', 'HRS', 'Bedas', 'Strong', 'Telkomsel']")</f>
        <v>['Lemot', 'HRS', 'Bedas', 'Strong', 'Telkomsel']</v>
      </c>
      <c r="D20488" s="3">
        <v>5.0</v>
      </c>
    </row>
    <row r="20489" ht="15.75" customHeight="1">
      <c r="A20489" s="1">
        <v>21786.0</v>
      </c>
      <c r="B20489" s="3" t="s">
        <v>19370</v>
      </c>
      <c r="C20489" s="3" t="str">
        <f>IFERROR(__xludf.DUMMYFUNCTION("GOOGLETRANSLATE(B20489,""id"",""en"")"),"['error', 'ugly', 'cell', 'open', 'application', 'no', 'open', 'screen', 'white', 'already', 'check', 'no', ' ']")</f>
        <v>['error', 'ugly', 'cell', 'open', 'application', 'no', 'open', 'screen', 'white', 'already', 'check', 'no', ' ']</v>
      </c>
      <c r="D20489" s="3">
        <v>1.0</v>
      </c>
    </row>
    <row r="20490" ht="15.75" customHeight="1">
      <c r="A20490" s="1">
        <v>21787.0</v>
      </c>
      <c r="B20490" s="3" t="s">
        <v>19371</v>
      </c>
      <c r="C20490" s="3" t="str">
        <f>IFERROR(__xludf.DUMMYFUNCTION("GOOGLETRANSLATE(B20490,""id"",""en"")"),"['Package', 'Unlimited', 'YouTube', '']")</f>
        <v>['Package', 'Unlimited', 'YouTube', '']</v>
      </c>
      <c r="D20490" s="3">
        <v>1.0</v>
      </c>
    </row>
    <row r="20491" ht="15.75" customHeight="1">
      <c r="A20491" s="1">
        <v>21788.0</v>
      </c>
      <c r="B20491" s="3" t="s">
        <v>19372</v>
      </c>
      <c r="C20491" s="3" t="str">
        <f>IFERROR(__xludf.DUMMYFUNCTION("GOOGLETRANSLATE(B20491,""id"",""en"")"),"['MLS', 'really', 'moved', 'Network', 'Bags', 'Lohh']")</f>
        <v>['MLS', 'really', 'moved', 'Network', 'Bags', 'Lohh']</v>
      </c>
      <c r="D20491" s="3">
        <v>2.0</v>
      </c>
    </row>
    <row r="20492" ht="15.75" customHeight="1">
      <c r="A20492" s="1">
        <v>21789.0</v>
      </c>
      <c r="B20492" s="3" t="s">
        <v>19373</v>
      </c>
      <c r="C20492" s="3" t="str">
        <f>IFERROR(__xludf.DUMMYFUNCTION("GOOGLETRANSLATE(B20492,""id"",""en"")"),"['expensive', 'quality', 'network', 'losing', 'provider', 'proud', 'products',' child ',' country ',' chase ',' profit ',' chase ',' Satisfaction ',' Consumers']")</f>
        <v>['expensive', 'quality', 'network', 'losing', 'provider', 'proud', 'products',' child ',' country ',' chase ',' profit ',' chase ',' Satisfaction ',' Consumers']</v>
      </c>
      <c r="D20492" s="3">
        <v>1.0</v>
      </c>
    </row>
    <row r="20493" ht="15.75" customHeight="1">
      <c r="A20493" s="1">
        <v>21790.0</v>
      </c>
      <c r="B20493" s="3" t="s">
        <v>19374</v>
      </c>
      <c r="C20493" s="3" t="str">
        <f>IFERROR(__xludf.DUMMYFUNCTION("GOOGLETRANSLATE(B20493,""id"",""en"")"),"['just', 'cave', 'emang', 'ngak', 'download', 'android']")</f>
        <v>['just', 'cave', 'emang', 'ngak', 'download', 'android']</v>
      </c>
      <c r="D20493" s="3">
        <v>1.0</v>
      </c>
    </row>
    <row r="20494" ht="15.75" customHeight="1">
      <c r="A20494" s="1">
        <v>21792.0</v>
      </c>
      <c r="B20494" s="3" t="s">
        <v>11491</v>
      </c>
      <c r="C20494" s="3" t="str">
        <f>IFERROR(__xludf.DUMMYFUNCTION("GOOGLETRANSLATE(B20494,""id"",""en"")"),"['Open', 'application', '']")</f>
        <v>['Open', 'application', '']</v>
      </c>
      <c r="D20494" s="3">
        <v>3.0</v>
      </c>
    </row>
    <row r="20495" ht="15.75" customHeight="1">
      <c r="A20495" s="1">
        <v>21793.0</v>
      </c>
      <c r="B20495" s="3" t="s">
        <v>19375</v>
      </c>
      <c r="C20495" s="3" t="str">
        <f>IFERROR(__xludf.DUMMYFUNCTION("GOOGLETRANSLATE(B20495,""id"",""en"")"),"['Sometimes', 'Telkomsel', 'Nggk', 'fair', 'gave', 'Package', 'public']")</f>
        <v>['Sometimes', 'Telkomsel', 'Nggk', 'fair', 'gave', 'Package', 'public']</v>
      </c>
      <c r="D20495" s="3">
        <v>4.0</v>
      </c>
    </row>
    <row r="20496" ht="15.75" customHeight="1">
      <c r="A20496" s="1">
        <v>21794.0</v>
      </c>
      <c r="B20496" s="3" t="s">
        <v>19376</v>
      </c>
      <c r="C20496" s="3" t="str">
        <f>IFERROR(__xludf.DUMMYFUNCTION("GOOGLETRANSLATE(B20496,""id"",""en"")"),"['Login', 'Error', 'ntang']")</f>
        <v>['Login', 'Error', 'ntang']</v>
      </c>
      <c r="D20496" s="3">
        <v>3.0</v>
      </c>
    </row>
    <row r="20497" ht="15.75" customHeight="1">
      <c r="A20497" s="1">
        <v>21795.0</v>
      </c>
      <c r="B20497" s="3" t="s">
        <v>19377</v>
      </c>
      <c r="C20497" s="3" t="str">
        <f>IFERROR(__xludf.DUMMYFUNCTION("GOOGLETRANSLATE(B20497,""id"",""en"")"),"['Application', 'Telkomsel', 'Biaa', 'Open', 'Ribet', ""]")</f>
        <v>['Application', 'Telkomsel', 'Biaa', 'Open', 'Ribet', "]</v>
      </c>
      <c r="D20497" s="3">
        <v>5.0</v>
      </c>
    </row>
    <row r="20498" ht="15.75" customHeight="1">
      <c r="A20498" s="1">
        <v>21796.0</v>
      </c>
      <c r="B20498" s="3" t="s">
        <v>19378</v>
      </c>
      <c r="C20498" s="3" t="str">
        <f>IFERROR(__xludf.DUMMYFUNCTION("GOOGLETRANSLATE(B20498,""id"",""en"")"),"['contents', 'package', 'enter', 'package', 'suwadaya', 'gojek', 'missing']")</f>
        <v>['contents', 'package', 'enter', 'package', 'suwadaya', 'gojek', 'missing']</v>
      </c>
      <c r="D20498" s="3">
        <v>1.0</v>
      </c>
    </row>
    <row r="20499" ht="15.75" customHeight="1">
      <c r="A20499" s="1">
        <v>21797.0</v>
      </c>
      <c r="B20499" s="3" t="s">
        <v>19379</v>
      </c>
      <c r="C20499" s="3" t="str">
        <f>IFERROR(__xludf.DUMMYFUNCTION("GOOGLETRANSLATE(B20499,""id"",""en"")"),"['contents',' pulse ',' intermittent ',' pulse ',' sucked ',' appears', 'sms',' access', 'internet', 'non', 'package', 'card', ' Credit ',' sucked ',' detrimental ', ""]")</f>
        <v>['contents',' pulse ',' intermittent ',' pulse ',' sucked ',' appears', 'sms',' access', 'internet', 'non', 'package', 'card', ' Credit ',' sucked ',' detrimental ', "]</v>
      </c>
      <c r="D20499" s="3">
        <v>1.0</v>
      </c>
    </row>
    <row r="20500" ht="15.75" customHeight="1">
      <c r="A20500" s="1">
        <v>21798.0</v>
      </c>
      <c r="B20500" s="3" t="s">
        <v>19380</v>
      </c>
      <c r="C20500" s="3" t="str">
        <f>IFERROR(__xludf.DUMMYFUNCTION("GOOGLETRANSLATE(B20500,""id"",""en"")"),"['Telkomsel', 'Network', 'Leet', 'Bngt', 'Over', 'Belik', 'Card', 'Telkomsel', 'Use', 'Card', 'Very', 'Telkomsel', ' Please, 'Network', 'Fix', 'Customer', 'Satisfied']")</f>
        <v>['Telkomsel', 'Network', 'Leet', 'Bngt', 'Over', 'Belik', 'Card', 'Telkomsel', 'Use', 'Card', 'Very', 'Telkomsel', ' Please, 'Network', 'Fix', 'Customer', 'Satisfied']</v>
      </c>
      <c r="D20500" s="3">
        <v>1.0</v>
      </c>
    </row>
    <row r="20501" ht="15.75" customHeight="1">
      <c r="A20501" s="1">
        <v>21799.0</v>
      </c>
      <c r="B20501" s="3" t="s">
        <v>19381</v>
      </c>
      <c r="C20501" s="3" t="str">
        <f>IFERROR(__xludf.DUMMYFUNCTION("GOOGLETRANSLATE(B20501,""id"",""en"")"),"['Sorry', 'love', 'star', 'package', 'expensive', 'expensive', 'already', 'network', 'ugly', 'how', 'severe']")</f>
        <v>['Sorry', 'love', 'star', 'package', 'expensive', 'expensive', 'already', 'network', 'ugly', 'how', 'severe']</v>
      </c>
      <c r="D20501" s="3">
        <v>1.0</v>
      </c>
    </row>
    <row r="20502" ht="15.75" customHeight="1">
      <c r="A20502" s="1">
        <v>21800.0</v>
      </c>
      <c r="B20502" s="3" t="s">
        <v>19382</v>
      </c>
      <c r="C20502" s="3" t="str">
        <f>IFERROR(__xludf.DUMMYFUNCTION("GOOGLETRANSLATE(B20502,""id"",""en"")"),"['Mantul', 'steady', '']")</f>
        <v>['Mantul', 'steady', '']</v>
      </c>
      <c r="D20502" s="3">
        <v>5.0</v>
      </c>
    </row>
    <row r="20503" ht="15.75" customHeight="1">
      <c r="A20503" s="1">
        <v>21801.0</v>
      </c>
      <c r="B20503" s="3" t="s">
        <v>19383</v>
      </c>
      <c r="C20503" s="3" t="str">
        <f>IFERROR(__xludf.DUMMYFUNCTION("GOOGLETRANSLATE(B20503,""id"",""en"")"),"['Increase', 'Quality', 'Promo']")</f>
        <v>['Increase', 'Quality', 'Promo']</v>
      </c>
      <c r="D20503" s="3">
        <v>5.0</v>
      </c>
    </row>
    <row r="20504" ht="15.75" customHeight="1">
      <c r="A20504" s="1">
        <v>21802.0</v>
      </c>
      <c r="B20504" s="3" t="s">
        <v>19384</v>
      </c>
      <c r="C20504" s="3" t="str">
        <f>IFERROR(__xludf.DUMMYFUNCTION("GOOGLETRANSLATE(B20504,""id"",""en"")"),"['BERES', 'Telkomsel', 'Kouta', 'expensive', 'slow', 'really', 'network', 'lose', ""]")</f>
        <v>['BERES', 'Telkomsel', 'Kouta', 'expensive', 'slow', 'really', 'network', 'lose', "]</v>
      </c>
      <c r="D20504" s="3">
        <v>1.0</v>
      </c>
    </row>
    <row r="20505" ht="15.75" customHeight="1">
      <c r="A20505" s="1">
        <v>21803.0</v>
      </c>
      <c r="B20505" s="3" t="s">
        <v>19385</v>
      </c>
      <c r="C20505" s="3" t="str">
        <f>IFERROR(__xludf.DUMMYFUNCTION("GOOGLETRANSLATE(B20505,""id"",""en"")"),"['update', 'trbru', 'msuk', 'apk', 'uninstall', 'trs',' download ',' tetep ',' msuk ',' apk ',' blm ',' perfect ',' Users', 'Jngan', 'Suggested', 'Untk', 'Update', 'APK']")</f>
        <v>['update', 'trbru', 'msuk', 'apk', 'uninstall', 'trs',' download ',' tetep ',' msuk ',' apk ',' blm ',' perfect ',' Users', 'Jngan', 'Suggested', 'Untk', 'Update', 'APK']</v>
      </c>
      <c r="D20505" s="3">
        <v>2.0</v>
      </c>
    </row>
    <row r="20506" ht="15.75" customHeight="1">
      <c r="A20506" s="1">
        <v>21804.0</v>
      </c>
      <c r="B20506" s="3" t="s">
        <v>19386</v>
      </c>
      <c r="C20506" s="3" t="str">
        <f>IFERROR(__xludf.DUMMYFUNCTION("GOOGLETRANSLATE(B20506,""id"",""en"")"),"['Network', 'good', 'price', 'package', 'expensive']")</f>
        <v>['Network', 'good', 'price', 'package', 'expensive']</v>
      </c>
      <c r="D20506" s="3">
        <v>1.0</v>
      </c>
    </row>
    <row r="20507" ht="15.75" customHeight="1">
      <c r="A20507" s="1">
        <v>21805.0</v>
      </c>
      <c r="B20507" s="3" t="s">
        <v>19387</v>
      </c>
      <c r="C20507" s="3" t="str">
        <f>IFERROR(__xludf.DUMMYFUNCTION("GOOGLETRANSLATE(B20507,""id"",""en"")"),"['Update', 'App', 'MyTelkomsel', 'Screen', 'White']")</f>
        <v>['Update', 'App', 'MyTelkomsel', 'Screen', 'White']</v>
      </c>
      <c r="D20507" s="3">
        <v>2.0</v>
      </c>
    </row>
    <row r="20508" ht="15.75" customHeight="1">
      <c r="A20508" s="1">
        <v>21806.0</v>
      </c>
      <c r="B20508" s="3" t="s">
        <v>19388</v>
      </c>
      <c r="C20508" s="3" t="str">
        <f>IFERROR(__xludf.DUMMYFUNCTION("GOOGLETRANSLATE(B20508,""id"",""en"")"),"['Cheap', 'Meriahh']")</f>
        <v>['Cheap', 'Meriahh']</v>
      </c>
      <c r="D20508" s="3">
        <v>5.0</v>
      </c>
    </row>
    <row r="20509" ht="15.75" customHeight="1">
      <c r="A20509" s="1">
        <v>21807.0</v>
      </c>
      <c r="B20509" s="3" t="s">
        <v>5480</v>
      </c>
      <c r="C20509" s="3" t="str">
        <f>IFERROR(__xludf.DUMMYFUNCTION("GOOGLETRANSLATE(B20509,""id"",""en"")"),"['Knp', 'Open', 'Telkomsel', '']")</f>
        <v>['Knp', 'Open', 'Telkomsel', '']</v>
      </c>
      <c r="D20509" s="3">
        <v>2.0</v>
      </c>
    </row>
    <row r="20510" ht="15.75" customHeight="1">
      <c r="A20510" s="1">
        <v>21808.0</v>
      </c>
      <c r="B20510" s="3" t="s">
        <v>19389</v>
      </c>
      <c r="C20510" s="3" t="str">
        <f>IFERROR(__xludf.DUMMYFUNCTION("GOOGLETRANSLATE(B20510,""id"",""en"")"),"['expensive', 'package', 'run out', 'patience', 'pingin', 'switch', 'cheap', 'gini']")</f>
        <v>['expensive', 'package', 'run out', 'patience', 'pingin', 'switch', 'cheap', 'gini']</v>
      </c>
      <c r="D20510" s="3">
        <v>1.0</v>
      </c>
    </row>
    <row r="20511" ht="15.75" customHeight="1">
      <c r="A20511" s="1">
        <v>21810.0</v>
      </c>
      <c r="B20511" s="3" t="s">
        <v>19390</v>
      </c>
      <c r="C20511" s="3" t="str">
        <f>IFERROR(__xludf.DUMMYFUNCTION("GOOGLETRANSLATE(B20511,""id"",""en"")"),"['Telkomsel', 'satisfying', 'boss']")</f>
        <v>['Telkomsel', 'satisfying', 'boss']</v>
      </c>
      <c r="D20511" s="3">
        <v>5.0</v>
      </c>
    </row>
    <row r="20512" ht="15.75" customHeight="1">
      <c r="A20512" s="1">
        <v>21811.0</v>
      </c>
      <c r="B20512" s="3" t="s">
        <v>19391</v>
      </c>
      <c r="C20512" s="3" t="str">
        <f>IFERROR(__xludf.DUMMYFUNCTION("GOOGLETRANSLATE(B20512,""id"",""en"")"),"['Gampang', 'Registration']")</f>
        <v>['Gampang', 'Registration']</v>
      </c>
      <c r="D20512" s="3">
        <v>4.0</v>
      </c>
    </row>
    <row r="20513" ht="15.75" customHeight="1">
      <c r="A20513" s="1">
        <v>21812.0</v>
      </c>
      <c r="B20513" s="3" t="s">
        <v>19392</v>
      </c>
      <c r="C20513" s="3" t="str">
        <f>IFERROR(__xludf.DUMMYFUNCTION("GOOGLETRANSLATE(B20513,""id"",""en"")"),"['steady', 'the application', 'JDI', 'easy', 'contents', 'balance', 'Cool', 'Telkomsel', ""]")</f>
        <v>['steady', 'the application', 'JDI', 'easy', 'contents', 'balance', 'Cool', 'Telkomsel', "]</v>
      </c>
      <c r="D20513" s="3">
        <v>5.0</v>
      </c>
    </row>
    <row r="20514" ht="15.75" customHeight="1">
      <c r="A20514" s="1">
        <v>21813.0</v>
      </c>
      <c r="B20514" s="3" t="s">
        <v>19393</v>
      </c>
      <c r="C20514" s="3" t="str">
        <f>IFERROR(__xludf.DUMMYFUNCTION("GOOGLETRANSLATE(B20514,""id"",""en"")"),"['Good', 'No', 'Report', 'Buy', 'Package', 'Internet']")</f>
        <v>['Good', 'No', 'Report', 'Buy', 'Package', 'Internet']</v>
      </c>
      <c r="D20514" s="3">
        <v>5.0</v>
      </c>
    </row>
    <row r="20515" ht="15.75" customHeight="1">
      <c r="A20515" s="1">
        <v>21814.0</v>
      </c>
      <c r="B20515" s="3" t="s">
        <v>19394</v>
      </c>
      <c r="C20515" s="3" t="str">
        <f>IFERROR(__xludf.DUMMYFUNCTION("GOOGLETRANSLATE(B20515,""id"",""en"")"),"['Trimah', 'Love', 'Telkomsel', 'Help']")</f>
        <v>['Trimah', 'Love', 'Telkomsel', 'Help']</v>
      </c>
      <c r="D20515" s="3">
        <v>5.0</v>
      </c>
    </row>
    <row r="20516" ht="15.75" customHeight="1">
      <c r="A20516" s="1">
        <v>21815.0</v>
      </c>
      <c r="B20516" s="3" t="s">
        <v>19395</v>
      </c>
      <c r="C20516" s="3" t="str">
        <f>IFERROR(__xludf.DUMMYFUNCTION("GOOGLETRANSLATE(B20516,""id"",""en"")"),"['Not bad', 'Ribet']")</f>
        <v>['Not bad', 'Ribet']</v>
      </c>
      <c r="D20516" s="3">
        <v>2.0</v>
      </c>
    </row>
    <row r="20517" ht="15.75" customHeight="1">
      <c r="A20517" s="1">
        <v>21816.0</v>
      </c>
      <c r="B20517" s="3" t="s">
        <v>19396</v>
      </c>
      <c r="C20517" s="3" t="str">
        <f>IFERROR(__xludf.DUMMYFUNCTION("GOOGLETRANSLATE(B20517,""id"",""en"")"),"['Fix', 'Quality', 'Network', 'Nyh', 'Kouta', 'Nyh', 'Doang', 'expensive']")</f>
        <v>['Fix', 'Quality', 'Network', 'Nyh', 'Kouta', 'Nyh', 'Doang', 'expensive']</v>
      </c>
      <c r="D20517" s="3">
        <v>4.0</v>
      </c>
    </row>
    <row r="20518" ht="15.75" customHeight="1">
      <c r="A20518" s="1">
        <v>21817.0</v>
      </c>
      <c r="B20518" s="3" t="s">
        <v>19397</v>
      </c>
      <c r="C20518" s="3" t="str">
        <f>IFERROR(__xludf.DUMMYFUNCTION("GOOGLETRANSLATE(B20518,""id"",""en"")"),"['Hopefully', 'Telkomsel', 'Signal', 'Network', 'Internet', 'Village', 'Pananction', 'Sukasari', 'Kec', 'Tunjung', 'Teja', 'Serang', ' Banten ',' ']")</f>
        <v>['Hopefully', 'Telkomsel', 'Signal', 'Network', 'Internet', 'Village', 'Pananction', 'Sukasari', 'Kec', 'Tunjung', 'Teja', 'Serang', ' Banten ',' ']</v>
      </c>
      <c r="D20518" s="3">
        <v>5.0</v>
      </c>
    </row>
    <row r="20519" ht="15.75" customHeight="1">
      <c r="A20519" s="1">
        <v>21818.0</v>
      </c>
      <c r="B20519" s="3" t="s">
        <v>19398</v>
      </c>
      <c r="C20519" s="3" t="str">
        <f>IFERROR(__xludf.DUMMYFUNCTION("GOOGLETRANSLATE(B20519,""id"",""en"")"),"['signal', 'Benerin', 'Min', 'Login', 'KGK', 'I'M,' Telkonsel ',' Gara ',' friend ',' ane ',' Indosat ',' smartfren ',' fluent', '']")</f>
        <v>['signal', 'Benerin', 'Min', 'Login', 'KGK', 'I'M,' Telkonsel ',' Gara ',' friend ',' ane ',' Indosat ',' smartfren ',' fluent', '']</v>
      </c>
      <c r="D20519" s="3">
        <v>1.0</v>
      </c>
    </row>
    <row r="20520" ht="15.75" customHeight="1">
      <c r="A20520" s="1">
        <v>21819.0</v>
      </c>
      <c r="B20520" s="3" t="s">
        <v>19399</v>
      </c>
      <c r="C20520" s="3" t="str">
        <f>IFERROR(__xludf.DUMMYFUNCTION("GOOGLETRANSLATE(B20520,""id"",""en"")"),"['Increase', 'variation', 'package', 'internet', 'plus', 'call', 'free', 'operator']")</f>
        <v>['Increase', 'variation', 'package', 'internet', 'plus', 'call', 'free', 'operator']</v>
      </c>
      <c r="D20520" s="3">
        <v>3.0</v>
      </c>
    </row>
    <row r="20521" ht="15.75" customHeight="1">
      <c r="A20521" s="1">
        <v>21820.0</v>
      </c>
      <c r="B20521" s="3" t="s">
        <v>19400</v>
      </c>
      <c r="C20521" s="3" t="str">
        <f>IFERROR(__xludf.DUMMYFUNCTION("GOOGLETRANSLATE(B20521,""id"",""en"")"),"['The network', 'at home', 'please', 'repaired']")</f>
        <v>['The network', 'at home', 'please', 'repaired']</v>
      </c>
      <c r="D20521" s="3">
        <v>5.0</v>
      </c>
    </row>
    <row r="20522" ht="15.75" customHeight="1">
      <c r="A20522" s="1">
        <v>21821.0</v>
      </c>
      <c r="B20522" s="3" t="s">
        <v>19401</v>
      </c>
      <c r="C20522" s="3" t="str">
        <f>IFERROR(__xludf.DUMMYFUNCTION("GOOGLETRANSLATE(B20522,""id"",""en"")"),"['Aflication', 'Useful', 'Exchange', 'Points', 'Credit', 'LOL', 'Katanyamurah', 'Application', 'Block']")</f>
        <v>['Aflication', 'Useful', 'Exchange', 'Points', 'Credit', 'LOL', 'Katanyamurah', 'Application', 'Block']</v>
      </c>
      <c r="D20522" s="3">
        <v>1.0</v>
      </c>
    </row>
    <row r="20523" ht="15.75" customHeight="1">
      <c r="A20523" s="1">
        <v>21822.0</v>
      </c>
      <c r="B20523" s="3" t="s">
        <v>19402</v>
      </c>
      <c r="C20523" s="3" t="str">
        <f>IFERROR(__xludf.DUMMYFUNCTION("GOOGLETRANSLATE(B20523,""id"",""en"")"),"['already', 'bbrp', 'open', 'telkomsel', 'screen', 'white', 'doang', 'tlg', ""]")</f>
        <v>['already', 'bbrp', 'open', 'telkomsel', 'screen', 'white', 'doang', 'tlg', "]</v>
      </c>
      <c r="D20523" s="3">
        <v>1.0</v>
      </c>
    </row>
    <row r="20524" ht="15.75" customHeight="1">
      <c r="A20524" s="1">
        <v>21823.0</v>
      </c>
      <c r="B20524" s="3" t="s">
        <v>19403</v>
      </c>
      <c r="C20524" s="3" t="str">
        <f>IFERROR(__xludf.DUMMYFUNCTION("GOOGLETRANSLATE(B20524,""id"",""en"")"),"['steady', 'benefits', '']")</f>
        <v>['steady', 'benefits', '']</v>
      </c>
      <c r="D20524" s="3">
        <v>5.0</v>
      </c>
    </row>
    <row r="20525" ht="15.75" customHeight="1">
      <c r="A20525" s="1">
        <v>21824.0</v>
      </c>
      <c r="B20525" s="3" t="s">
        <v>19404</v>
      </c>
      <c r="C20525" s="3" t="str">
        <f>IFERROR(__xludf.DUMMYFUNCTION("GOOGLETRANSLATE(B20525,""id"",""en"")"),"['Application', 'best', 'smooth', 'fast', 'package', 'cheap', 'user', 'interface', 'user', 'friendly', 'basics',' debes', ' why ',' sorry ',' bang ',' satisfied ',' service ']")</f>
        <v>['Application', 'best', 'smooth', 'fast', 'package', 'cheap', 'user', 'interface', 'user', 'friendly', 'basics',' debes', ' why ',' sorry ',' bang ',' satisfied ',' service ']</v>
      </c>
      <c r="D20525" s="3">
        <v>1.0</v>
      </c>
    </row>
    <row r="20526" ht="15.75" customHeight="1">
      <c r="A20526" s="1">
        <v>21825.0</v>
      </c>
      <c r="B20526" s="3" t="s">
        <v>19405</v>
      </c>
      <c r="C20526" s="3" t="str">
        <f>IFERROR(__xludf.DUMMYFUNCTION("GOOGLETRANSLATE(B20526,""id"",""en"")"),"['', 'appears',' notif ',' update ',' then ',' application ',' update ',' disappointing ',' application ',' open ',' alias', 'blank', 'alternating ',' Uninstall ',' Install ',' ttpasih ',' poor ',' softer ',' use ',' pulse ',' quota ',' please ',' fix ','"&amp;" system ',' the application ', 'Application', 'error', 'forced', 'update', 'date', 'error', 'Telkomsel', 'poor', 'application', 'test', 'try', 'love', 'public ',' poor ',' ']")</f>
        <v>['', 'appears',' notif ',' update ',' then ',' application ',' update ',' disappointing ',' application ',' open ',' alias', 'blank', 'alternating ',' Uninstall ',' Install ',' ttpasih ',' poor ',' softer ',' use ',' pulse ',' quota ',' please ',' fix ',' system ',' the application ', 'Application', 'error', 'forced', 'update', 'date', 'error', 'Telkomsel', 'poor', 'application', 'test', 'try', 'love', 'public ',' poor ',' ']</v>
      </c>
      <c r="D20526" s="3">
        <v>1.0</v>
      </c>
    </row>
    <row r="20527" ht="15.75" customHeight="1">
      <c r="A20527" s="1">
        <v>21826.0</v>
      </c>
      <c r="B20527" s="3" t="s">
        <v>19406</v>
      </c>
      <c r="C20527" s="3" t="str">
        <f>IFERROR(__xludf.DUMMYFUNCTION("GOOGLETRANSLATE(B20527,""id"",""en"")"),"['report', 'suggest', 'updet', 'sorry', 'nggk', 'updet', 'karna', 'updet', 'nggk', 'open']")</f>
        <v>['report', 'suggest', 'updet', 'sorry', 'nggk', 'updet', 'karna', 'updet', 'nggk', 'open']</v>
      </c>
      <c r="D20527" s="3">
        <v>1.0</v>
      </c>
    </row>
    <row r="20528" ht="15.75" customHeight="1">
      <c r="A20528" s="1">
        <v>21827.0</v>
      </c>
      <c r="B20528" s="3" t="s">
        <v>19407</v>
      </c>
      <c r="C20528" s="3" t="str">
        <f>IFERROR(__xludf.DUMMYFUNCTION("GOOGLETRANSLATE(B20528,""id"",""en"")"),"['makes it easier', '']")</f>
        <v>['makes it easier', '']</v>
      </c>
      <c r="D20528" s="3">
        <v>5.0</v>
      </c>
    </row>
    <row r="20529" ht="15.75" customHeight="1">
      <c r="A20529" s="1">
        <v>21828.0</v>
      </c>
      <c r="B20529" s="3" t="s">
        <v>19408</v>
      </c>
      <c r="C20529" s="3" t="str">
        <f>IFERROR(__xludf.DUMMYFUNCTION("GOOGLETRANSLATE(B20529,""id"",""en"")"),"['The', 'Best', 'Telkomsel', 'Hopefully', 'Mangkin', 'Jaya']")</f>
        <v>['The', 'Best', 'Telkomsel', 'Hopefully', 'Mangkin', 'Jaya']</v>
      </c>
      <c r="D20529" s="3">
        <v>5.0</v>
      </c>
    </row>
    <row r="20530" ht="15.75" customHeight="1">
      <c r="A20530" s="1">
        <v>21830.0</v>
      </c>
      <c r="B20530" s="3" t="s">
        <v>19409</v>
      </c>
      <c r="C20530" s="3" t="str">
        <f>IFERROR(__xludf.DUMMYFUNCTION("GOOGLETRANSLATE(B20530,""id"",""en"")"),"['Please', 'Exchange', 'Points', 'Exchange', 'Credit', '']")</f>
        <v>['Please', 'Exchange', 'Points', 'Exchange', 'Credit', '']</v>
      </c>
      <c r="D20530" s="3">
        <v>4.0</v>
      </c>
    </row>
    <row r="20531" ht="15.75" customHeight="1">
      <c r="A20531" s="1">
        <v>21831.0</v>
      </c>
      <c r="B20531" s="3" t="s">
        <v>19410</v>
      </c>
      <c r="C20531" s="3" t="str">
        <f>IFERROR(__xludf.DUMMYFUNCTION("GOOGLETRANSLATE(B20531,""id"",""en"")"),"['Steady', 'Ribet']")</f>
        <v>['Steady', 'Ribet']</v>
      </c>
      <c r="D20531" s="3">
        <v>5.0</v>
      </c>
    </row>
    <row r="20532" ht="15.75" customHeight="1">
      <c r="A20532" s="1">
        <v>21832.0</v>
      </c>
      <c r="B20532" s="3" t="s">
        <v>19411</v>
      </c>
      <c r="C20532" s="3" t="str">
        <f>IFERROR(__xludf.DUMMYFUNCTION("GOOGLETRANSLATE(B20532,""id"",""en"")"),"['already', 'buy', 'buy', 'pulse', 'quota', 'fast', 'abis',' telkomsel ',' gaje ',' signal ',' jeeeeeeeeeeek ',' ngeloding ',' Video ',' Loding ',' Game ',' Ngelag ',' Hadehhh ',' Pekah ',' Telkomsel ',' Telkomsel ',' Change ',' Card ',' Pale ',' Telkomse"&amp;"l ',' ugly ' , 'The network', 'annoyed', ""]")</f>
        <v>['already', 'buy', 'buy', 'pulse', 'quota', 'fast', 'abis',' telkomsel ',' gaje ',' signal ',' jeeeeeeeeeeek ',' ngeloding ',' Video ',' Loding ',' Game ',' Ngelag ',' Hadehhh ',' Pekah ',' Telkomsel ',' Telkomsel ',' Change ',' Card ',' Pale ',' Telkomsel ',' ugly ' , 'The network', 'annoyed', "]</v>
      </c>
      <c r="D20532" s="3">
        <v>1.0</v>
      </c>
    </row>
    <row r="20533" ht="15.75" customHeight="1">
      <c r="A20533" s="1">
        <v>21833.0</v>
      </c>
      <c r="B20533" s="3" t="s">
        <v>19412</v>
      </c>
      <c r="C20533" s="3" t="str">
        <f>IFERROR(__xludf.DUMMYFUNCTION("GOOGLETRANSLATE(B20533,""id"",""en"")"),"['Help', 'in', 'Makasi', 'Telkomsek']")</f>
        <v>['Help', 'in', 'Makasi', 'Telkomsek']</v>
      </c>
      <c r="D20533" s="3">
        <v>5.0</v>
      </c>
    </row>
    <row r="20534" ht="15.75" customHeight="1">
      <c r="A20534" s="1">
        <v>21834.0</v>
      </c>
      <c r="B20534" s="3" t="s">
        <v>19413</v>
      </c>
      <c r="C20534" s="3" t="str">
        <f>IFERROR(__xludf.DUMMYFUNCTION("GOOGLETRANSLATE(B20534,""id"",""en"")"),"['easy', 'cheap', '']")</f>
        <v>['easy', 'cheap', '']</v>
      </c>
      <c r="D20534" s="3">
        <v>5.0</v>
      </c>
    </row>
    <row r="20535" ht="15.75" customHeight="1">
      <c r="A20535" s="1">
        <v>21835.0</v>
      </c>
      <c r="B20535" s="3" t="s">
        <v>9167</v>
      </c>
      <c r="C20535" s="3" t="str">
        <f>IFERROR(__xludf.DUMMYFUNCTION("GOOGLETRANSLATE(B20535,""id"",""en"")"),"['Application', 'Helpful']")</f>
        <v>['Application', 'Helpful']</v>
      </c>
      <c r="D20535" s="3">
        <v>5.0</v>
      </c>
    </row>
    <row r="20536" ht="15.75" customHeight="1">
      <c r="A20536" s="1">
        <v>21836.0</v>
      </c>
      <c r="B20536" s="3" t="s">
        <v>19414</v>
      </c>
      <c r="C20536" s="3" t="str">
        <f>IFERROR(__xludf.DUMMYFUNCTION("GOOGLETRANSLATE(B20536,""id"",""en"")"),"['Byk', 'choice', 'Telkomsel', 'network', 'all', 'remote', 'yrs', 'use', 'card', 'Telkomsel']")</f>
        <v>['Byk', 'choice', 'Telkomsel', 'network', 'all', 'remote', 'yrs', 'use', 'card', 'Telkomsel']</v>
      </c>
      <c r="D20536" s="3">
        <v>5.0</v>
      </c>
    </row>
    <row r="20537" ht="15.75" customHeight="1">
      <c r="A20537" s="1">
        <v>21837.0</v>
      </c>
      <c r="B20537" s="3" t="s">
        <v>19415</v>
      </c>
      <c r="C20537" s="3" t="str">
        <f>IFERROR(__xludf.DUMMYFUNCTION("GOOGLETRANSLATE(B20537,""id"",""en"")"),"['Service', 'good', 'just', 'skrng', 'hraga', 'expensive', 'bngt']")</f>
        <v>['Service', 'good', 'just', 'skrng', 'hraga', 'expensive', 'bngt']</v>
      </c>
      <c r="D20537" s="3">
        <v>5.0</v>
      </c>
    </row>
    <row r="20538" ht="15.75" customHeight="1">
      <c r="A20538" s="1">
        <v>21838.0</v>
      </c>
      <c r="B20538" s="3" t="s">
        <v>19416</v>
      </c>
      <c r="C20538" s="3" t="str">
        <f>IFERROR(__xludf.DUMMYFUNCTION("GOOGLETRANSLATE(B20538,""id"",""en"")"),"['Increase', 'Bonus', 'Used']")</f>
        <v>['Increase', 'Bonus', 'Used']</v>
      </c>
      <c r="D20538" s="3">
        <v>4.0</v>
      </c>
    </row>
    <row r="20539" ht="15.75" customHeight="1">
      <c r="A20539" s="1">
        <v>21839.0</v>
      </c>
      <c r="B20539" s="3" t="s">
        <v>19417</v>
      </c>
      <c r="C20539" s="3" t="str">
        <f>IFERROR(__xludf.DUMMYFUNCTION("GOOGLETRANSLATE(B20539,""id"",""en"")"),"['Abis',' quota ',' suck ',' pulse ',' jngn ',' suck ',' consumer ',' entitled ',' buy ',' quota ',' right ',' buy ',' quota ',' pulse ',' abiss', 'poor']")</f>
        <v>['Abis',' quota ',' suck ',' pulse ',' jngn ',' suck ',' consumer ',' entitled ',' buy ',' quota ',' right ',' buy ',' quota ',' pulse ',' abiss', 'poor']</v>
      </c>
      <c r="D20539" s="3">
        <v>2.0</v>
      </c>
    </row>
    <row r="20540" ht="15.75" customHeight="1">
      <c r="A20540" s="1">
        <v>21840.0</v>
      </c>
      <c r="B20540" s="3" t="s">
        <v>19418</v>
      </c>
      <c r="C20540" s="3" t="str">
        <f>IFERROR(__xludf.DUMMYFUNCTION("GOOGLETRANSLATE(B20540,""id"",""en"")"),"['Thank you', 'Telkomsel', 'Making', 'Telkomsel', 'Point', 'Hoping', 'Win', 'Gift', 'Telkomsel', 'Point', ""]")</f>
        <v>['Thank you', 'Telkomsel', 'Making', 'Telkomsel', 'Point', 'Hoping', 'Win', 'Gift', 'Telkomsel', 'Point', "]</v>
      </c>
      <c r="D20540" s="3">
        <v>5.0</v>
      </c>
    </row>
    <row r="20541" ht="15.75" customHeight="1">
      <c r="A20541" s="1">
        <v>21841.0</v>
      </c>
      <c r="B20541" s="3" t="s">
        <v>19419</v>
      </c>
      <c r="C20541" s="3" t="str">
        <f>IFERROR(__xludf.DUMMYFUNCTION("GOOGLETRANSLATE(B20541,""id"",""en"")"),"['use', 'Telkomsel', 'signal', 'bad']")</f>
        <v>['use', 'Telkomsel', 'signal', 'bad']</v>
      </c>
      <c r="D20541" s="3">
        <v>1.0</v>
      </c>
    </row>
    <row r="20542" ht="15.75" customHeight="1">
      <c r="A20542" s="1">
        <v>21842.0</v>
      </c>
      <c r="B20542" s="3" t="s">
        <v>19420</v>
      </c>
      <c r="C20542" s="3" t="str">
        <f>IFERROR(__xludf.DUMMYFUNCTION("GOOGLETRANSLATE(B20542,""id"",""en"")"),"['Satisfied', 'help', ""]")</f>
        <v>['Satisfied', 'help', "]</v>
      </c>
      <c r="D20542" s="3">
        <v>5.0</v>
      </c>
    </row>
    <row r="20543" ht="15.75" customHeight="1">
      <c r="A20543" s="1">
        <v>21843.0</v>
      </c>
      <c r="B20543" s="3" t="s">
        <v>19421</v>
      </c>
      <c r="C20543" s="3" t="str">
        <f>IFERROR(__xludf.DUMMYFUNCTION("GOOGLETRANSLATE(B20543,""id"",""en"")"),"['Disappointed', 'Telkomsel', 'ugly', 'network', 'slow', 'slow', 'price', 'quota', 'expensive', 'already', 'bought', 'use', ' quota ',' out ',' contents', 'pulse', 'registered', 'already', 'sumps',' turn on ',' data ',' cellular ',' features', 'save', 'pu"&amp;"lses' , 'please', 'provider', 'fast', 'fix']")</f>
        <v>['Disappointed', 'Telkomsel', 'ugly', 'network', 'slow', 'slow', 'price', 'quota', 'expensive', 'already', 'bought', 'use', ' quota ',' out ',' contents', 'pulse', 'registered', 'already', 'sumps',' turn on ',' data ',' cellular ',' features', 'save', 'pulses' , 'please', 'provider', 'fast', 'fix']</v>
      </c>
      <c r="D20543" s="3">
        <v>1.0</v>
      </c>
    </row>
    <row r="20544" ht="15.75" customHeight="1">
      <c r="A20544" s="1">
        <v>21844.0</v>
      </c>
      <c r="B20544" s="3" t="s">
        <v>19422</v>
      </c>
      <c r="C20544" s="3" t="str">
        <f>IFERROR(__xludf.DUMMYFUNCTION("GOOGLETRANSLATE(B20544,""id"",""en"")"),"['buy', 'package', 'application', 'Telkomsel', 'bln', 'SPRTI', 'then', 'service', 'repair', 'hrga', 'expensive', 'provider', ' Gini ',' Top ',' TRS ',' Network ',' Error ',' PDHL ',' JRINGAN ',' Good ',' work ',' Telkomsel ']")</f>
        <v>['buy', 'package', 'application', 'Telkomsel', 'bln', 'SPRTI', 'then', 'service', 'repair', 'hrga', 'expensive', 'provider', ' Gini ',' Top ',' TRS ',' Network ',' Error ',' PDHL ',' JRINGAN ',' Good ',' work ',' Telkomsel ']</v>
      </c>
      <c r="D20544" s="3">
        <v>1.0</v>
      </c>
    </row>
    <row r="20545" ht="15.75" customHeight="1">
      <c r="A20545" s="1">
        <v>21845.0</v>
      </c>
      <c r="B20545" s="3" t="s">
        <v>19423</v>
      </c>
      <c r="C20545" s="3" t="str">
        <f>IFERROR(__xludf.DUMMYFUNCTION("GOOGLETRANSLATE(B20545,""id"",""en"")"),"['Enter', 'LEG']")</f>
        <v>['Enter', 'LEG']</v>
      </c>
      <c r="D20545" s="3">
        <v>1.0</v>
      </c>
    </row>
    <row r="20546" ht="15.75" customHeight="1">
      <c r="A20546" s="1">
        <v>21846.0</v>
      </c>
      <c r="B20546" s="3" t="s">
        <v>19424</v>
      </c>
      <c r="C20546" s="3" t="str">
        <f>IFERROR(__xludf.DUMMYFUNCTION("GOOGLETRANSLATE(B20546,""id"",""en"")"),"['Good', 'promo', 'success']")</f>
        <v>['Good', 'promo', 'success']</v>
      </c>
      <c r="D20546" s="3">
        <v>5.0</v>
      </c>
    </row>
    <row r="20547" ht="15.75" customHeight="1">
      <c r="A20547" s="1">
        <v>21847.0</v>
      </c>
      <c r="B20547" s="3" t="s">
        <v>19425</v>
      </c>
      <c r="C20547" s="3" t="str">
        <f>IFERROR(__xludf.DUMMYFUNCTION("GOOGLETRANSLATE(B20547,""id"",""en"")"),"['Hargannya', 'expensive', 'network', 'ilang', 'Nilagan']")</f>
        <v>['Hargannya', 'expensive', 'network', 'ilang', 'Nilagan']</v>
      </c>
      <c r="D20547" s="3">
        <v>1.0</v>
      </c>
    </row>
    <row r="20548" ht="15.75" customHeight="1">
      <c r="A20548" s="1">
        <v>21848.0</v>
      </c>
      <c r="B20548" s="3" t="s">
        <v>19426</v>
      </c>
      <c r="C20548" s="3" t="str">
        <f>IFERROR(__xludf.DUMMYFUNCTION("GOOGLETRANSLATE(B20548,""id"",""en"")"),"['Telkom', 'pulse', 'sumps', 'debt', 'buy']")</f>
        <v>['Telkom', 'pulse', 'sumps', 'debt', 'buy']</v>
      </c>
      <c r="D20548" s="3">
        <v>1.0</v>
      </c>
    </row>
    <row r="20549" ht="15.75" customHeight="1">
      <c r="A20549" s="1">
        <v>21849.0</v>
      </c>
      <c r="B20549" s="3" t="s">
        <v>19427</v>
      </c>
      <c r="C20549" s="3" t="str">
        <f>IFERROR(__xludf.DUMMYFUNCTION("GOOGLETRANSLATE(B20549,""id"",""en"")"),"['Network', 'slow', 'forgiveness']")</f>
        <v>['Network', 'slow', 'forgiveness']</v>
      </c>
      <c r="D20549" s="3">
        <v>1.0</v>
      </c>
    </row>
    <row r="20550" ht="15.75" customHeight="1">
      <c r="A20550" s="1">
        <v>21850.0</v>
      </c>
      <c r="B20550" s="3" t="s">
        <v>1367</v>
      </c>
      <c r="C20550" s="3" t="str">
        <f>IFERROR(__xludf.DUMMYFUNCTION("GOOGLETRANSLATE(B20550,""id"",""en"")"),"['good']")</f>
        <v>['good']</v>
      </c>
      <c r="D20550" s="3">
        <v>2.0</v>
      </c>
    </row>
    <row r="20551" ht="15.75" customHeight="1">
      <c r="A20551" s="1">
        <v>21851.0</v>
      </c>
      <c r="B20551" s="3" t="s">
        <v>19428</v>
      </c>
      <c r="C20551" s="3" t="str">
        <f>IFERROR(__xludf.DUMMYFUNCTION("GOOGLETRANSLATE(B20551,""id"",""en"")"),"['Yesterday', 'yesterday', 'chek', 'already', 'chek', 'update', 'update', 'chek', 'ehhh', 'taunya', 'repeated', 'emang', ' Chek ',' Ane ',' Delete ',' Lahh ',' troubles', ""]")</f>
        <v>['Yesterday', 'yesterday', 'chek', 'already', 'chek', 'update', 'update', 'chek', 'ehhh', 'taunya', 'repeated', 'emang', ' Chek ',' Ane ',' Delete ',' Lahh ',' troubles', "]</v>
      </c>
      <c r="D20551" s="3">
        <v>1.0</v>
      </c>
    </row>
    <row r="20552" ht="15.75" customHeight="1">
      <c r="A20552" s="1">
        <v>21852.0</v>
      </c>
      <c r="B20552" s="3" t="s">
        <v>19429</v>
      </c>
      <c r="C20552" s="3" t="str">
        <f>IFERROR(__xludf.DUMMYFUNCTION("GOOGLETRANSLATE(B20552,""id"",""en"")"),"['Cheap', 'easy']")</f>
        <v>['Cheap', 'easy']</v>
      </c>
      <c r="D20552" s="3">
        <v>5.0</v>
      </c>
    </row>
    <row r="20553" ht="15.75" customHeight="1">
      <c r="A20553" s="1">
        <v>21853.0</v>
      </c>
      <c r="B20553" s="3" t="s">
        <v>19430</v>
      </c>
      <c r="C20553" s="3" t="str">
        <f>IFERROR(__xludf.DUMMYFUNCTION("GOOGLETRANSLATE(B20553,""id"",""en"")"),"['package', 'expensive', 'kayak']")</f>
        <v>['package', 'expensive', 'kayak']</v>
      </c>
      <c r="D20553" s="3">
        <v>2.0</v>
      </c>
    </row>
    <row r="20554" ht="15.75" customHeight="1">
      <c r="A20554" s="1">
        <v>21854.0</v>
      </c>
      <c r="B20554" s="3" t="s">
        <v>19431</v>
      </c>
      <c r="C20554" s="3" t="str">
        <f>IFERROR(__xludf.DUMMYFUNCTION("GOOGLETRANSLATE(B20554,""id"",""en"")"),"['Fast', 'Anti', 'Leet']")</f>
        <v>['Fast', 'Anti', 'Leet']</v>
      </c>
      <c r="D20554" s="3">
        <v>5.0</v>
      </c>
    </row>
    <row r="20555" ht="15.75" customHeight="1">
      <c r="A20555" s="1">
        <v>21855.0</v>
      </c>
      <c r="B20555" s="3" t="s">
        <v>19432</v>
      </c>
      <c r="C20555" s="3" t="str">
        <f>IFERROR(__xludf.DUMMYFUNCTION("GOOGLETRANSLATE(B20555,""id"",""en"")"),"['Application', 'Open', 'White', 'Screen', 'Telkomsel', '']")</f>
        <v>['Application', 'Open', 'White', 'Screen', 'Telkomsel', '']</v>
      </c>
      <c r="D20555" s="3">
        <v>1.0</v>
      </c>
    </row>
    <row r="20556" ht="15.75" customHeight="1">
      <c r="A20556" s="1">
        <v>21856.0</v>
      </c>
      <c r="B20556" s="3" t="s">
        <v>19433</v>
      </c>
      <c r="C20556" s="3" t="str">
        <f>IFERROR(__xludf.DUMMYFUNCTION("GOOGLETRANSLATE(B20556,""id"",""en"")"),"['Please', 'made', 'Feature', 'widget']")</f>
        <v>['Please', 'made', 'Feature', 'widget']</v>
      </c>
      <c r="D20556" s="3">
        <v>4.0</v>
      </c>
    </row>
    <row r="20557" ht="15.75" customHeight="1">
      <c r="A20557" s="1">
        <v>21857.0</v>
      </c>
      <c r="B20557" s="3" t="s">
        <v>19434</v>
      </c>
      <c r="C20557" s="3" t="str">
        <f>IFERROR(__xludf.DUMMYFUNCTION("GOOGLETRANSLATE(B20557,""id"",""en"")"),"['UDH', 'update', 'hose', 'brpa', 'update', 'then', 'gajelas', 'Telkomsel', 'bangsattt']")</f>
        <v>['UDH', 'update', 'hose', 'brpa', 'update', 'then', 'gajelas', 'Telkomsel', 'bangsattt']</v>
      </c>
      <c r="D20557" s="3">
        <v>1.0</v>
      </c>
    </row>
    <row r="20558" ht="15.75" customHeight="1">
      <c r="A20558" s="1">
        <v>21858.0</v>
      </c>
      <c r="B20558" s="3" t="s">
        <v>19435</v>
      </c>
      <c r="C20558" s="3" t="str">
        <f>IFERROR(__xludf.DUMMYFUNCTION("GOOGLETRANSLATE(B20558,""id"",""en"")"),"['Please', 'Update', 'Install', 'Android', 'Star', 'Appropriate', 'Promise', 'Install', 'Pixel', 'XL', 'Android', ""]")</f>
        <v>['Please', 'Update', 'Install', 'Android', 'Star', 'Appropriate', 'Promise', 'Install', 'Pixel', 'XL', 'Android', "]</v>
      </c>
      <c r="D20558" s="3">
        <v>5.0</v>
      </c>
    </row>
    <row r="20559" ht="15.75" customHeight="1">
      <c r="A20559" s="1">
        <v>21859.0</v>
      </c>
      <c r="B20559" s="3" t="s">
        <v>19436</v>
      </c>
      <c r="C20559" s="3" t="str">
        <f>IFERROR(__xludf.DUMMYFUNCTION("GOOGLETRANSLATE(B20559,""id"",""en"")"),"['The application', 'already', 'good', 'combo', 'Sakti', 'package', 'package', 'cheap', 'shop', 'person', 'person', 'school', ' Use ',' card ',' Tsel ',' buy ',' pulses', 'school']")</f>
        <v>['The application', 'already', 'good', 'combo', 'Sakti', 'package', 'package', 'cheap', 'shop', 'person', 'person', 'school', ' Use ',' card ',' Tsel ',' buy ',' pulses', 'school']</v>
      </c>
      <c r="D20559" s="3">
        <v>3.0</v>
      </c>
    </row>
    <row r="20560" ht="15.75" customHeight="1">
      <c r="A20560" s="1">
        <v>21860.0</v>
      </c>
      <c r="B20560" s="3" t="s">
        <v>19437</v>
      </c>
      <c r="C20560" s="3" t="str">
        <f>IFERROR(__xludf.DUMMYFUNCTION("GOOGLETRANSLATE(B20560,""id"",""en"")"),"['Help', 'fast']")</f>
        <v>['Help', 'fast']</v>
      </c>
      <c r="D20560" s="3">
        <v>4.0</v>
      </c>
    </row>
    <row r="20561" ht="15.75" customHeight="1">
      <c r="A20561" s="1">
        <v>21861.0</v>
      </c>
      <c r="B20561" s="3" t="s">
        <v>19438</v>
      </c>
      <c r="C20561" s="3" t="str">
        <f>IFERROR(__xludf.DUMMYFUNCTION("GOOGLETRANSLATE(B20561,""id"",""en"")"),"['choice', 'package', 'now', 'really', 'byk', 'buy', 'package', 'quota', 'kpake', 'tasty', 'buy', 'internet', ' main ',' it's needed ',' txs']")</f>
        <v>['choice', 'package', 'now', 'really', 'byk', 'buy', 'package', 'quota', 'kpake', 'tasty', 'buy', 'internet', ' main ',' it's needed ',' txs']</v>
      </c>
      <c r="D20561" s="3">
        <v>4.0</v>
      </c>
    </row>
    <row r="20562" ht="15.75" customHeight="1">
      <c r="A20562" s="1">
        <v>21862.0</v>
      </c>
      <c r="B20562" s="3" t="s">
        <v>19439</v>
      </c>
      <c r="C20562" s="3" t="str">
        <f>IFERROR(__xludf.DUMMYFUNCTION("GOOGLETRANSLATE(B20562,""id"",""en"")"),"['Telkomsel', 'fast', 'cheap', '']")</f>
        <v>['Telkomsel', 'fast', 'cheap', '']</v>
      </c>
      <c r="D20562" s="3">
        <v>5.0</v>
      </c>
    </row>
    <row r="20563" ht="15.75" customHeight="1">
      <c r="A20563" s="1">
        <v>21863.0</v>
      </c>
      <c r="B20563" s="3" t="s">
        <v>19440</v>
      </c>
      <c r="C20563" s="3" t="str">
        <f>IFERROR(__xludf.DUMMYFUNCTION("GOOGLETRANSLATE(B20563,""id"",""en"")"),"['Region', 'remote', 'signal', ""]")</f>
        <v>['Region', 'remote', 'signal', "]</v>
      </c>
      <c r="D20563" s="3">
        <v>4.0</v>
      </c>
    </row>
    <row r="20564" ht="15.75" customHeight="1">
      <c r="A20564" s="1">
        <v>21864.0</v>
      </c>
      <c r="B20564" s="3" t="s">
        <v>19441</v>
      </c>
      <c r="C20564" s="3" t="str">
        <f>IFERROR(__xludf.DUMMYFUNCTION("GOOGLETRANSLATE(B20564,""id"",""en"")"),"['Min', 'ask', 'billed', 'Mulu', 'package', 'emergency', 'pdhl', 'already', 'punasin', 'pulse', 'cheek', 'rb', ' already ',' times', 'min', 'stop', 'lunasin', 'what', 'dated', 'billed', 'mulu', 'pdhl', 'udh', 'chopped', 'pulses' , 'smpe', 'Monday', 'Yeste"&amp;"rday', 'billed', 'Mulu']")</f>
        <v>['Min', 'ask', 'billed', 'Mulu', 'package', 'emergency', 'pdhl', 'already', 'punasin', 'pulse', 'cheek', 'rb', ' already ',' times', 'min', 'stop', 'lunasin', 'what', 'dated', 'billed', 'mulu', 'pdhl', 'udh', 'chopped', 'pulses' , 'smpe', 'Monday', 'Yesterday', 'billed', 'Mulu']</v>
      </c>
      <c r="D20564" s="3">
        <v>3.0</v>
      </c>
    </row>
    <row r="20565" ht="15.75" customHeight="1">
      <c r="A20565" s="1">
        <v>21865.0</v>
      </c>
      <c r="B20565" s="3" t="s">
        <v>19442</v>
      </c>
      <c r="C20565" s="3" t="str">
        <f>IFERROR(__xludf.DUMMYFUNCTION("GOOGLETRANSLATE(B20565,""id"",""en"")"),"['reach', 'signal', 'broad', 'good', 'at the time', 'leftover', 'package', 'slow', 'slow', ""]")</f>
        <v>['reach', 'signal', 'broad', 'good', 'at the time', 'leftover', 'package', 'slow', 'slow', "]</v>
      </c>
      <c r="D20565" s="3">
        <v>4.0</v>
      </c>
    </row>
    <row r="20566" ht="15.75" customHeight="1">
      <c r="A20566" s="1">
        <v>21866.0</v>
      </c>
      <c r="B20566" s="3" t="s">
        <v>19443</v>
      </c>
      <c r="C20566" s="3" t="str">
        <f>IFERROR(__xludf.DUMMYFUNCTION("GOOGLETRANSLATE(B20566,""id"",""en"")"),"['Network', 'stable', 'makasih', ""]")</f>
        <v>['Network', 'stable', 'makasih', "]</v>
      </c>
      <c r="D20566" s="3">
        <v>4.0</v>
      </c>
    </row>
    <row r="20567" ht="15.75" customHeight="1">
      <c r="A20567" s="1">
        <v>21867.0</v>
      </c>
      <c r="B20567" s="3" t="s">
        <v>8490</v>
      </c>
      <c r="C20567" s="3" t="str">
        <f>IFERROR(__xludf.DUMMYFUNCTION("GOOGLETRANSLATE(B20567,""id"",""en"")"),"['Good', 'makes it easy']")</f>
        <v>['Good', 'makes it easy']</v>
      </c>
      <c r="D20567" s="3">
        <v>5.0</v>
      </c>
    </row>
    <row r="20568" ht="15.75" customHeight="1">
      <c r="A20568" s="1">
        <v>21868.0</v>
      </c>
      <c r="B20568" s="3" t="s">
        <v>19444</v>
      </c>
      <c r="C20568" s="3" t="str">
        <f>IFERROR(__xludf.DUMMYFUNCTION("GOOGLETRANSLATE(B20568,""id"",""en"")"),"['Disappointed', 'Telkomsel', 'Algorithm', 'Telkomsel', 'strategy', 'wise', 'customers',' buy ',' package ',' thousand ',' appears', 'offer', ' package ',' cheap ',' good ',' customer ',' kapok ',' think ',' continue ',' hope ',' repair ',' invite ',' fri"&amp;"end ',' migration ',' honest ' , '']")</f>
        <v>['Disappointed', 'Telkomsel', 'Algorithm', 'Telkomsel', 'strategy', 'wise', 'customers',' buy ',' package ',' thousand ',' appears', 'offer', ' package ',' cheap ',' good ',' customer ',' kapok ',' think ',' continue ',' hope ',' repair ',' invite ',' friend ',' migration ',' honest ' , '']</v>
      </c>
      <c r="D20568" s="3">
        <v>1.0</v>
      </c>
    </row>
    <row r="20569" ht="15.75" customHeight="1">
      <c r="A20569" s="1">
        <v>21869.0</v>
      </c>
      <c r="B20569" s="3" t="s">
        <v>3428</v>
      </c>
      <c r="C20569" s="3" t="str">
        <f>IFERROR(__xludf.DUMMYFUNCTION("GOOGLETRANSLATE(B20569,""id"",""en"")"),"['bad signal']")</f>
        <v>['bad signal']</v>
      </c>
      <c r="D20569" s="3">
        <v>1.0</v>
      </c>
    </row>
    <row r="20570" ht="15.75" customHeight="1">
      <c r="A20570" s="1">
        <v>21870.0</v>
      </c>
      <c r="B20570" s="3" t="s">
        <v>19445</v>
      </c>
      <c r="C20570" s="3" t="str">
        <f>IFERROR(__xludf.DUMMYFUNCTION("GOOGLETRANSLATE(B20570,""id"",""en"")"),"['access', 'easy', 'fast']")</f>
        <v>['access', 'easy', 'fast']</v>
      </c>
      <c r="D20570" s="3">
        <v>5.0</v>
      </c>
    </row>
    <row r="20571" ht="15.75" customHeight="1">
      <c r="A20571" s="1">
        <v>21871.0</v>
      </c>
      <c r="B20571" s="3" t="s">
        <v>19446</v>
      </c>
      <c r="C20571" s="3" t="str">
        <f>IFERROR(__xludf.DUMMYFUNCTION("GOOGLETRANSLATE(B20571,""id"",""en"")"),"['', 'enter', 'number', '']")</f>
        <v>['', 'enter', 'number', '']</v>
      </c>
      <c r="D20571" s="3">
        <v>5.0</v>
      </c>
    </row>
    <row r="20572" ht="15.75" customHeight="1">
      <c r="A20572" s="1">
        <v>21872.0</v>
      </c>
      <c r="B20572" s="3" t="s">
        <v>19447</v>
      </c>
      <c r="C20572" s="3" t="str">
        <f>IFERROR(__xludf.DUMMYFUNCTION("GOOGLETRANSLATE(B20572,""id"",""en"")"),"['Mantep', 'Network', '']")</f>
        <v>['Mantep', 'Network', '']</v>
      </c>
      <c r="D20572" s="3">
        <v>5.0</v>
      </c>
    </row>
    <row r="20573" ht="15.75" customHeight="1">
      <c r="A20573" s="1">
        <v>21873.0</v>
      </c>
      <c r="B20573" s="3" t="s">
        <v>19448</v>
      </c>
      <c r="C20573" s="3" t="str">
        <f>IFERROR(__xludf.DUMMYFUNCTION("GOOGLETRANSLATE(B20573,""id"",""en"")"),"['', 'Telkomsel', 'Bangett', ""]")</f>
        <v>['', 'Telkomsel', 'Bangett', "]</v>
      </c>
      <c r="D20573" s="3">
        <v>5.0</v>
      </c>
    </row>
    <row r="20574" ht="15.75" customHeight="1">
      <c r="A20574" s="1">
        <v>21874.0</v>
      </c>
      <c r="B20574" s="3" t="s">
        <v>19449</v>
      </c>
      <c r="C20574" s="3" t="str">
        <f>IFERROR(__xludf.DUMMYFUNCTION("GOOGLETRANSLATE(B20574,""id"",""en"")"),"['Login', 'Faced', 'White', 'Screen', 'No "",' Login ',' No"", 'Friendly', 'Application', 'Provider', ""]")</f>
        <v>['Login', 'Faced', 'White', 'Screen', 'No ",' Login ',' No", 'Friendly', 'Application', 'Provider', "]</v>
      </c>
      <c r="D20574" s="3">
        <v>1.0</v>
      </c>
    </row>
    <row r="20575" ht="15.75" customHeight="1">
      <c r="A20575" s="1">
        <v>21875.0</v>
      </c>
      <c r="B20575" s="3" t="s">
        <v>19450</v>
      </c>
      <c r="C20575" s="3" t="str">
        <f>IFERROR(__xludf.DUMMYFUNCTION("GOOGLETRANSLATE(B20575,""id"",""en"")"),"['like', 'promo', 'Telkomsel', 'bwt', 'ngambit', 'expenditure']")</f>
        <v>['like', 'promo', 'Telkomsel', 'bwt', 'ngambit', 'expenditure']</v>
      </c>
      <c r="D20575" s="3">
        <v>5.0</v>
      </c>
    </row>
    <row r="20576" ht="15.75" customHeight="1">
      <c r="A20576" s="1">
        <v>21876.0</v>
      </c>
      <c r="B20576" s="3" t="s">
        <v>19451</v>
      </c>
      <c r="C20576" s="3" t="str">
        <f>IFERROR(__xludf.DUMMYFUNCTION("GOOGLETRANSLATE(B20576,""id"",""en"")"),"['Telkomsel', 'Semga', 'serving']")</f>
        <v>['Telkomsel', 'Semga', 'serving']</v>
      </c>
      <c r="D20576" s="3">
        <v>5.0</v>
      </c>
    </row>
    <row r="20577" ht="15.75" customHeight="1">
      <c r="A20577" s="1">
        <v>21877.0</v>
      </c>
      <c r="B20577" s="3" t="s">
        <v>19452</v>
      </c>
      <c r="C20577" s="3" t="str">
        <f>IFERROR(__xludf.DUMMYFUNCTION("GOOGLETRANSLATE(B20577,""id"",""en"")"),"['Bagus',' no 'tranner', 'pulse', 'yaa', ""]")</f>
        <v>['Bagus',' no 'tranner', 'pulse', 'yaa', "]</v>
      </c>
      <c r="D20577" s="3">
        <v>3.0</v>
      </c>
    </row>
    <row r="20578" ht="15.75" customHeight="1">
      <c r="A20578" s="1">
        <v>21878.0</v>
      </c>
      <c r="B20578" s="3" t="s">
        <v>19453</v>
      </c>
      <c r="C20578" s="3" t="str">
        <f>IFERROR(__xludf.DUMMYFUNCTION("GOOGLETRANSLATE(B20578,""id"",""en"")"),"['Sis', 'please', 'check', 'quota', 'open', 'Telkomsel', 'how', 'solution', 'please', ""]")</f>
        <v>['Sis', 'please', 'check', 'quota', 'open', 'Telkomsel', 'how', 'solution', 'please', "]</v>
      </c>
      <c r="D20578" s="3">
        <v>1.0</v>
      </c>
    </row>
    <row r="20579" ht="15.75" customHeight="1">
      <c r="A20579" s="1">
        <v>21880.0</v>
      </c>
      <c r="B20579" s="3" t="s">
        <v>19454</v>
      </c>
      <c r="C20579" s="3" t="str">
        <f>IFERROR(__xludf.DUMMYFUNCTION("GOOGLETRANSLATE(B20579,""id"",""en"")"),"['Shipping', 'Link', 'Nendifry', 'Slow', ""]")</f>
        <v>['Shipping', 'Link', 'Nendifry', 'Slow', "]</v>
      </c>
      <c r="D20579" s="3">
        <v>3.0</v>
      </c>
    </row>
    <row r="20580" ht="15.75" customHeight="1">
      <c r="A20580" s="1">
        <v>21881.0</v>
      </c>
      <c r="B20580" s="3" t="s">
        <v>19455</v>
      </c>
      <c r="C20580" s="3" t="str">
        <f>IFERROR(__xludf.DUMMYFUNCTION("GOOGLETRANSLATE(B20580,""id"",""en"")"),"['The network', 'mantul']")</f>
        <v>['The network', 'mantul']</v>
      </c>
      <c r="D20580" s="3">
        <v>5.0</v>
      </c>
    </row>
    <row r="20581" ht="15.75" customHeight="1">
      <c r="A20581" s="1">
        <v>21882.0</v>
      </c>
      <c r="B20581" s="3" t="s">
        <v>19456</v>
      </c>
      <c r="C20581" s="3" t="str">
        <f>IFERROR(__xludf.DUMMYFUNCTION("GOOGLETRANSLATE(B20581,""id"",""en"")"),"['It's easy', 'urgent']")</f>
        <v>['It's easy', 'urgent']</v>
      </c>
      <c r="D20581" s="3">
        <v>5.0</v>
      </c>
    </row>
    <row r="20582" ht="15.75" customHeight="1">
      <c r="A20582" s="1">
        <v>21883.0</v>
      </c>
      <c r="B20582" s="3" t="s">
        <v>19457</v>
      </c>
      <c r="C20582" s="3" t="str">
        <f>IFERROR(__xludf.DUMMYFUNCTION("GOOGLETRANSLATE(B20582,""id"",""en"")"),"['Points', 'Exchange', 'Package', 'Data', 'Credit']")</f>
        <v>['Points', 'Exchange', 'Package', 'Data', 'Credit']</v>
      </c>
      <c r="D20582" s="3">
        <v>1.0</v>
      </c>
    </row>
    <row r="20583" ht="15.75" customHeight="1">
      <c r="A20583" s="1">
        <v>21884.0</v>
      </c>
      <c r="B20583" s="3" t="s">
        <v>7508</v>
      </c>
      <c r="C20583" s="3" t="str">
        <f>IFERROR(__xludf.DUMMYFUNCTION("GOOGLETRANSLATE(B20583,""id"",""en"")"),"['Easy', 'Telkomsel']")</f>
        <v>['Easy', 'Telkomsel']</v>
      </c>
      <c r="D20583" s="3">
        <v>5.0</v>
      </c>
    </row>
    <row r="20584" ht="15.75" customHeight="1">
      <c r="A20584" s="1">
        <v>21885.0</v>
      </c>
      <c r="B20584" s="3" t="s">
        <v>19458</v>
      </c>
      <c r="C20584" s="3" t="str">
        <f>IFERROR(__xludf.DUMMYFUNCTION("GOOGLETRANSLATE(B20584,""id"",""en"")"),"['Service', 'Machine', 'System', 'People', 'Humans', 'Info', 'People', 'Humans', '']")</f>
        <v>['Service', 'Machine', 'System', 'People', 'Humans', 'Info', 'People', 'Humans', '']</v>
      </c>
      <c r="D20584" s="3">
        <v>2.0</v>
      </c>
    </row>
    <row r="20585" ht="15.75" customHeight="1">
      <c r="A20585" s="1">
        <v>21886.0</v>
      </c>
      <c r="B20585" s="3" t="s">
        <v>19459</v>
      </c>
      <c r="C20585" s="3" t="str">
        <f>IFERROR(__xludf.DUMMYFUNCTION("GOOGLETRANSLATE(B20585,""id"",""en"")"),"['knapa', 'package', 'internet', 'night', 'lost', 'Telkomsel']")</f>
        <v>['knapa', 'package', 'internet', 'night', 'lost', 'Telkomsel']</v>
      </c>
      <c r="D20585" s="3">
        <v>5.0</v>
      </c>
    </row>
    <row r="20586" ht="15.75" customHeight="1">
      <c r="A20586" s="1">
        <v>21887.0</v>
      </c>
      <c r="B20586" s="3" t="s">
        <v>7509</v>
      </c>
      <c r="C20586" s="3" t="str">
        <f>IFERROR(__xludf.DUMMYFUNCTION("GOOGLETRANSLATE(B20586,""id"",""en"")"),"['The network', 'good']")</f>
        <v>['The network', 'good']</v>
      </c>
      <c r="D20586" s="3">
        <v>5.0</v>
      </c>
    </row>
    <row r="20587" ht="15.75" customHeight="1">
      <c r="A20587" s="1">
        <v>21888.0</v>
      </c>
      <c r="B20587" s="3" t="s">
        <v>19460</v>
      </c>
      <c r="C20587" s="3" t="str">
        <f>IFERROR(__xludf.DUMMYFUNCTION("GOOGLETRANSLATE(B20587,""id"",""en"")"),"['complaints', 'direct', 'responded', 'fast', 'given', 'solution', 'satisfying', 'good', 'job', 'Telkomsel']")</f>
        <v>['complaints', 'direct', 'responded', 'fast', 'given', 'solution', 'satisfying', 'good', 'job', 'Telkomsel']</v>
      </c>
      <c r="D20587" s="3">
        <v>5.0</v>
      </c>
    </row>
    <row r="20588" ht="15.75" customHeight="1">
      <c r="A20588" s="1">
        <v>21889.0</v>
      </c>
      <c r="B20588" s="3" t="s">
        <v>19461</v>
      </c>
      <c r="C20588" s="3" t="str">
        <f>IFERROR(__xludf.DUMMYFUNCTION("GOOGLETRANSLATE(B20588,""id"",""en"")"),"['', 'Telkomsel', 'easy', 'mantul']")</f>
        <v>['', 'Telkomsel', 'easy', 'mantul']</v>
      </c>
      <c r="D20588" s="3">
        <v>5.0</v>
      </c>
    </row>
    <row r="20589" ht="15.75" customHeight="1">
      <c r="A20589" s="1">
        <v>21890.0</v>
      </c>
      <c r="B20589" s="3" t="s">
        <v>19462</v>
      </c>
      <c r="C20589" s="3" t="str">
        <f>IFERROR(__xludf.DUMMYFUNCTION("GOOGLETRANSLATE(B20589,""id"",""en"")"),"['command', 'Increase', 'TPI', 'After', 'Follow', 'Application', 'TSB', 'Difficult', 'Open', 'Why', ""]")</f>
        <v>['command', 'Increase', 'TPI', 'After', 'Follow', 'Application', 'TSB', 'Difficult', 'Open', 'Why', "]</v>
      </c>
      <c r="D20589" s="3">
        <v>1.0</v>
      </c>
    </row>
    <row r="20590" ht="15.75" customHeight="1">
      <c r="A20590" s="1">
        <v>21891.0</v>
      </c>
      <c r="B20590" s="3" t="s">
        <v>19463</v>
      </c>
      <c r="C20590" s="3" t="str">
        <f>IFERROR(__xludf.DUMMYFUNCTION("GOOGLETRANSLATE(B20590,""id"",""en"")"),"['Sya', 'buy', 'pulse', 'directly', 'cut', 'bell', 'buy', 'package', 'internet', 'anything', 'Telkomsel', 'thief', ' ']")</f>
        <v>['Sya', 'buy', 'pulse', 'directly', 'cut', 'bell', 'buy', 'package', 'internet', 'anything', 'Telkomsel', 'thief', ' ']</v>
      </c>
      <c r="D20590" s="3">
        <v>1.0</v>
      </c>
    </row>
    <row r="20591" ht="15.75" customHeight="1">
      <c r="A20591" s="1">
        <v>21892.0</v>
      </c>
      <c r="B20591" s="3" t="s">
        <v>19464</v>
      </c>
      <c r="C20591" s="3" t="str">
        <f>IFERROR(__xludf.DUMMYFUNCTION("GOOGLETRANSLATE(B20591,""id"",""en"")"),"['BBbaaaaaiiiiiiii', 'Jringn', 'pntekkk', 'ggggaaaaaa', 'mhall', 'dousggg', 'jingan', 'kayak', 'clothes',' lilinnnn ',' dead ',' nyalaaa ',' Dead ',' Nyalaa ',' Tri ',' Network ',' AssSuuueeee ',' Tlkk ',' Bngsd ',' ']")</f>
        <v>['BBbaaaaaiiiiiiii', 'Jringn', 'pntekkk', 'ggggaaaaaa', 'mhall', 'dousggg', 'jingan', 'kayak', 'clothes',' lilinnnn ',' dead ',' nyalaaa ',' Dead ',' Nyalaa ',' Tri ',' Network ',' AssSuuueeee ',' Tlkk ',' Bngsd ',' ']</v>
      </c>
      <c r="D20591" s="3">
        <v>1.0</v>
      </c>
    </row>
    <row r="20592" ht="15.75" customHeight="1">
      <c r="A20592" s="1">
        <v>21893.0</v>
      </c>
      <c r="B20592" s="3" t="s">
        <v>19465</v>
      </c>
      <c r="C20592" s="3" t="str">
        <f>IFERROR(__xludf.DUMMYFUNCTION("GOOGLETRANSLATE(B20592,""id"",""en"")"),"['Good', 'Belu', 'pulse', 'check', 'bill', 'card', 'Hello']")</f>
        <v>['Good', 'Belu', 'pulse', 'check', 'bill', 'card', 'Hello']</v>
      </c>
      <c r="D20592" s="3">
        <v>5.0</v>
      </c>
    </row>
    <row r="20593" ht="15.75" customHeight="1">
      <c r="A20593" s="1">
        <v>21894.0</v>
      </c>
      <c r="B20593" s="3" t="s">
        <v>9231</v>
      </c>
      <c r="C20593" s="3" t="str">
        <f>IFERROR(__xludf.DUMMYFUNCTION("GOOGLETRANSLATE(B20593,""id"",""en"")"),"['Telkomsel', 'easy']")</f>
        <v>['Telkomsel', 'easy']</v>
      </c>
      <c r="D20593" s="3">
        <v>5.0</v>
      </c>
    </row>
    <row r="20594" ht="15.75" customHeight="1">
      <c r="A20594" s="1">
        <v>21896.0</v>
      </c>
      <c r="B20594" s="3" t="s">
        <v>19466</v>
      </c>
      <c r="C20594" s="3" t="str">
        <f>IFERROR(__xludf.DUMMYFUNCTION("GOOGLETRANSLATE(B20594,""id"",""en"")"),"['Quality', 'Trusted']")</f>
        <v>['Quality', 'Trusted']</v>
      </c>
      <c r="D20594" s="3">
        <v>5.0</v>
      </c>
    </row>
    <row r="20595" ht="15.75" customHeight="1">
      <c r="A20595" s="1">
        <v>21897.0</v>
      </c>
      <c r="B20595" s="3" t="s">
        <v>19467</v>
      </c>
      <c r="C20595" s="3" t="str">
        <f>IFERROR(__xludf.DUMMYFUNCTION("GOOGLETRANSLATE(B20595,""id"",""en"")"),"['Telkomsel', 'really', 'lag', 'bngt', 'disorder', 'netting', 'slow']")</f>
        <v>['Telkomsel', 'really', 'lag', 'bngt', 'disorder', 'netting', 'slow']</v>
      </c>
      <c r="D20595" s="3">
        <v>4.0</v>
      </c>
    </row>
    <row r="20596" ht="15.75" customHeight="1">
      <c r="A20596" s="1">
        <v>21898.0</v>
      </c>
      <c r="B20596" s="3" t="s">
        <v>19468</v>
      </c>
      <c r="C20596" s="3" t="str">
        <f>IFERROR(__xludf.DUMMYFUNCTION("GOOGLETRANSLATE(B20596,""id"",""en"")"),"['pulse', 'lost']")</f>
        <v>['pulse', 'lost']</v>
      </c>
      <c r="D20596" s="3">
        <v>1.0</v>
      </c>
    </row>
    <row r="20597" ht="15.75" customHeight="1">
      <c r="A20597" s="1">
        <v>21899.0</v>
      </c>
      <c r="B20597" s="3" t="s">
        <v>19469</v>
      </c>
      <c r="C20597" s="3" t="str">
        <f>IFERROR(__xludf.DUMMYFUNCTION("GOOGLETRANSLATE(B20597,""id"",""en"")"),"['What', 'application', 'run out', 'update', 'open', 'screen', 'white', 'doang']")</f>
        <v>['What', 'application', 'run out', 'update', 'open', 'screen', 'white', 'doang']</v>
      </c>
      <c r="D20597" s="3">
        <v>1.0</v>
      </c>
    </row>
    <row r="20598" ht="15.75" customHeight="1">
      <c r="A20598" s="1">
        <v>21900.0</v>
      </c>
      <c r="B20598" s="3" t="s">
        <v>19470</v>
      </c>
      <c r="C20598" s="3" t="str">
        <f>IFERROR(__xludf.DUMMYFUNCTION("GOOGLETRANSLATE(B20598,""id"",""en"")"),"['makes it easier', 'check', 'leftover', 'quota', 'purchase', 'package']")</f>
        <v>['makes it easier', 'check', 'leftover', 'quota', 'purchase', 'package']</v>
      </c>
      <c r="D20598" s="3">
        <v>4.0</v>
      </c>
    </row>
    <row r="20599" ht="15.75" customHeight="1">
      <c r="A20599" s="1">
        <v>21901.0</v>
      </c>
      <c r="B20599" s="3" t="s">
        <v>4921</v>
      </c>
      <c r="C20599" s="3" t="str">
        <f>IFERROR(__xludf.DUMMYFUNCTION("GOOGLETRANSLATE(B20599,""id"",""en"")"),"['Open', 'Telkomsel']")</f>
        <v>['Open', 'Telkomsel']</v>
      </c>
      <c r="D20599" s="3">
        <v>1.0</v>
      </c>
    </row>
    <row r="20600" ht="15.75" customHeight="1">
      <c r="A20600" s="1">
        <v>21903.0</v>
      </c>
      <c r="B20600" s="3" t="s">
        <v>19471</v>
      </c>
      <c r="C20600" s="3" t="str">
        <f>IFERROR(__xludf.DUMMYFUNCTION("GOOGLETRANSLATE(B20600,""id"",""en"")"),"['Exchange', 'Points',' Package ',' Telko ',' Deceiving ',' System ',' Busy ',' Try ',' Defulses', 'Times',' At Time ',' Different ',' Contact ',' Veronika ',' lie ',' difficult ',' service ',' Telkomsel ',' bad ']")</f>
        <v>['Exchange', 'Points',' Package ',' Telko ',' Deceiving ',' System ',' Busy ',' Try ',' Defulses', 'Times',' At Time ',' Different ',' Contact ',' Veronika ',' lie ',' difficult ',' service ',' Telkomsel ',' bad ']</v>
      </c>
      <c r="D20600" s="3">
        <v>1.0</v>
      </c>
    </row>
    <row r="20601" ht="15.75" customHeight="1">
      <c r="A20601" s="1">
        <v>21904.0</v>
      </c>
      <c r="B20601" s="3" t="s">
        <v>19472</v>
      </c>
      <c r="C20601" s="3" t="str">
        <f>IFERROR(__xludf.DUMMYFUNCTION("GOOGLETRANSLATE(B20601,""id"",""en"")"),"['Package', 'single', 'expensive', 'cheap', 'operator', 'use', 'Telkomsel', 'stop', 'switch', 'operator']")</f>
        <v>['Package', 'single', 'expensive', 'cheap', 'operator', 'use', 'Telkomsel', 'stop', 'switch', 'operator']</v>
      </c>
      <c r="D20601" s="3">
        <v>1.0</v>
      </c>
    </row>
    <row r="20602" ht="15.75" customHeight="1">
      <c r="A20602" s="1">
        <v>21905.0</v>
      </c>
      <c r="B20602" s="3" t="s">
        <v>19473</v>
      </c>
      <c r="C20602" s="3" t="str">
        <f>IFERROR(__xludf.DUMMYFUNCTION("GOOGLETRANSLATE(B20602,""id"",""en"")"),"['Good', 'The application', 'easy']")</f>
        <v>['Good', 'The application', 'easy']</v>
      </c>
      <c r="D20602" s="3">
        <v>5.0</v>
      </c>
    </row>
    <row r="20603" ht="15.75" customHeight="1">
      <c r="A20603" s="1">
        <v>21906.0</v>
      </c>
      <c r="B20603" s="3" t="s">
        <v>19474</v>
      </c>
      <c r="C20603" s="3" t="str">
        <f>IFERROR(__xludf.DUMMYFUNCTION("GOOGLETRANSLATE(B20603,""id"",""en"")"),"['OK']")</f>
        <v>['OK']</v>
      </c>
      <c r="D20603" s="3">
        <v>5.0</v>
      </c>
    </row>
    <row r="20604" ht="15.75" customHeight="1">
      <c r="A20604" s="1">
        <v>21907.0</v>
      </c>
      <c r="B20604" s="3" t="s">
        <v>19475</v>
      </c>
      <c r="C20604" s="3" t="str">
        <f>IFERROR(__xludf.DUMMYFUNCTION("GOOGLETRANSLATE(B20604,""id"",""en"")"),"['thank', 'love', 'Telkomsel', 'service', 'network', 'improve', 'performance', 'spirit', 'build', 'transportation', 'communication', 'NKRI', ' ']")</f>
        <v>['thank', 'love', 'Telkomsel', 'service', 'network', 'improve', 'performance', 'spirit', 'build', 'transportation', 'communication', 'NKRI', ' ']</v>
      </c>
      <c r="D20604" s="3">
        <v>5.0</v>
      </c>
    </row>
    <row r="20605" ht="15.75" customHeight="1">
      <c r="A20605" s="1">
        <v>21908.0</v>
      </c>
      <c r="B20605" s="3" t="s">
        <v>19476</v>
      </c>
      <c r="C20605" s="3" t="str">
        <f>IFERROR(__xludf.DUMMYFUNCTION("GOOGLETRANSLATE(B20605,""id"",""en"")"),"['application', 'poor', 'error', 'already', 'update', 'error', ""]")</f>
        <v>['application', 'poor', 'error', 'already', 'update', 'error', "]</v>
      </c>
      <c r="D20605" s="3">
        <v>5.0</v>
      </c>
    </row>
    <row r="20606" ht="15.75" customHeight="1">
      <c r="A20606" s="1">
        <v>21909.0</v>
      </c>
      <c r="B20606" s="3" t="s">
        <v>19477</v>
      </c>
      <c r="C20606" s="3" t="str">
        <f>IFERROR(__xludf.DUMMYFUNCTION("GOOGLETRANSLATE(B20606,""id"",""en"")"),"['buy', 'package', 'internet', 'failed', 'teruuuuus']")</f>
        <v>['buy', 'package', 'internet', 'failed', 'teruuuuus']</v>
      </c>
      <c r="D20606" s="3">
        <v>1.0</v>
      </c>
    </row>
    <row r="20607" ht="15.75" customHeight="1">
      <c r="A20607" s="1">
        <v>21910.0</v>
      </c>
      <c r="B20607" s="3" t="s">
        <v>19478</v>
      </c>
      <c r="C20607" s="3" t="str">
        <f>IFERROR(__xludf.DUMMYFUNCTION("GOOGLETRANSLATE(B20607,""id"",""en"")"),"['thank', 'love', 'easy']")</f>
        <v>['thank', 'love', 'easy']</v>
      </c>
      <c r="D20607" s="3">
        <v>5.0</v>
      </c>
    </row>
    <row r="20608" ht="15.75" customHeight="1">
      <c r="A20608" s="1">
        <v>21911.0</v>
      </c>
      <c r="B20608" s="3" t="s">
        <v>19479</v>
      </c>
      <c r="C20608" s="3" t="str">
        <f>IFERROR(__xludf.DUMMYFUNCTION("GOOGLETRANSLATE(B20608,""id"",""en"")"),"['', 'TARIP']")</f>
        <v>['', 'TARIP']</v>
      </c>
      <c r="D20608" s="3">
        <v>5.0</v>
      </c>
    </row>
    <row r="20609" ht="15.75" customHeight="1">
      <c r="A20609" s="1">
        <v>21912.0</v>
      </c>
      <c r="B20609" s="3" t="s">
        <v>19480</v>
      </c>
      <c r="C20609" s="3" t="str">
        <f>IFERROR(__xludf.DUMMYFUNCTION("GOOGLETRANSLATE(B20609,""id"",""en"")"),"['Network', 'Badkkkk', 'Package', 'Mahalll', 'Quality', 'zero']")</f>
        <v>['Network', 'Badkkkk', 'Package', 'Mahalll', 'Quality', 'zero']</v>
      </c>
      <c r="D20609" s="3">
        <v>1.0</v>
      </c>
    </row>
    <row r="20610" ht="15.75" customHeight="1">
      <c r="A20610" s="1">
        <v>21913.0</v>
      </c>
      <c r="B20610" s="3" t="s">
        <v>19481</v>
      </c>
      <c r="C20610" s="3" t="str">
        <f>IFERROR(__xludf.DUMMYFUNCTION("GOOGLETRANSLATE(B20610,""id"",""en"")"),"['Best', 'Anyway', 'Telkomsel']")</f>
        <v>['Best', 'Anyway', 'Telkomsel']</v>
      </c>
      <c r="D20610" s="3">
        <v>5.0</v>
      </c>
    </row>
    <row r="20611" ht="15.75" customHeight="1">
      <c r="A20611" s="1">
        <v>21914.0</v>
      </c>
      <c r="B20611" s="3" t="s">
        <v>19482</v>
      </c>
      <c r="C20611" s="3" t="str">
        <f>IFERROR(__xludf.DUMMYFUNCTION("GOOGLETRANSLATE(B20611,""id"",""en"")"),"['opened', 'Lacar', 'White', 'yaa', 'please', 'Telkomsel', ""]")</f>
        <v>['opened', 'Lacar', 'White', 'yaa', 'please', 'Telkomsel', "]</v>
      </c>
      <c r="D20611" s="3">
        <v>1.0</v>
      </c>
    </row>
    <row r="20612" ht="15.75" customHeight="1">
      <c r="A20612" s="1">
        <v>21915.0</v>
      </c>
      <c r="B20612" s="3" t="s">
        <v>19483</v>
      </c>
      <c r="C20612" s="3" t="str">
        <f>IFERROR(__xludf.DUMMYFUNCTION("GOOGLETRANSLATE(B20612,""id"",""en"")"),"['Best', 'sympathy', 'plumps', 'signal', 'The', 'Best', 'sympathy']")</f>
        <v>['Best', 'sympathy', 'plumps', 'signal', 'The', 'Best', 'sympathy']</v>
      </c>
      <c r="D20612" s="3">
        <v>5.0</v>
      </c>
    </row>
    <row r="20613" ht="15.75" customHeight="1">
      <c r="A20613" s="1">
        <v>21916.0</v>
      </c>
      <c r="B20613" s="3" t="s">
        <v>19484</v>
      </c>
      <c r="C20613" s="3" t="str">
        <f>IFERROR(__xludf.DUMMYFUNCTION("GOOGLETRANSLATE(B20613,""id"",""en"")"),"['Skarang', 'APL', 'Telkomsel', 'Samsung', 'No "",' Open ',' Ngeblank ',' Unistal ',' Delete ',' Data ',' Tetep ',' No""]")</f>
        <v>['Skarang', 'APL', 'Telkomsel', 'Samsung', 'No ",' Open ',' Ngeblank ',' Unistal ',' Delete ',' Data ',' Tetep ',' No"]</v>
      </c>
      <c r="D20613" s="3">
        <v>3.0</v>
      </c>
    </row>
    <row r="20614" ht="15.75" customHeight="1">
      <c r="A20614" s="1">
        <v>21917.0</v>
      </c>
      <c r="B20614" s="3" t="s">
        <v>14654</v>
      </c>
      <c r="C20614" s="3" t="str">
        <f>IFERROR(__xludf.DUMMYFUNCTION("GOOGLETRANSLATE(B20614,""id"",""en"")"),"['easy', 'transaction']")</f>
        <v>['easy', 'transaction']</v>
      </c>
      <c r="D20614" s="3">
        <v>4.0</v>
      </c>
    </row>
    <row r="20615" ht="15.75" customHeight="1">
      <c r="A20615" s="1">
        <v>21918.0</v>
      </c>
      <c r="B20615" s="3" t="s">
        <v>19485</v>
      </c>
      <c r="C20615" s="3" t="str">
        <f>IFERROR(__xludf.DUMMYFUNCTION("GOOGLETRANSLATE(B20615,""id"",""en"")"),"['Display', 'Good']")</f>
        <v>['Display', 'Good']</v>
      </c>
      <c r="D20615" s="3">
        <v>4.0</v>
      </c>
    </row>
    <row r="20616" ht="15.75" customHeight="1">
      <c r="A20616" s="1">
        <v>21919.0</v>
      </c>
      <c r="B20616" s="3" t="s">
        <v>4921</v>
      </c>
      <c r="C20616" s="3" t="str">
        <f>IFERROR(__xludf.DUMMYFUNCTION("GOOGLETRANSLATE(B20616,""id"",""en"")"),"['Open', 'Telkomsel']")</f>
        <v>['Open', 'Telkomsel']</v>
      </c>
      <c r="D20616" s="3">
        <v>5.0</v>
      </c>
    </row>
    <row r="20617" ht="15.75" customHeight="1">
      <c r="A20617" s="1">
        <v>21920.0</v>
      </c>
      <c r="B20617" s="3" t="s">
        <v>19486</v>
      </c>
      <c r="C20617" s="3" t="str">
        <f>IFERROR(__xludf.DUMMYFUNCTION("GOOGLETRANSLATE(B20617,""id"",""en"")"),"['Sorry', 'Knp', 'opened', 'application', '']")</f>
        <v>['Sorry', 'Knp', 'opened', 'application', '']</v>
      </c>
      <c r="D20617" s="3">
        <v>2.0</v>
      </c>
    </row>
    <row r="20618" ht="15.75" customHeight="1">
      <c r="A20618" s="1">
        <v>21921.0</v>
      </c>
      <c r="B20618" s="3" t="s">
        <v>19487</v>
      </c>
      <c r="C20618" s="3" t="str">
        <f>IFERROR(__xludf.DUMMYFUNCTION("GOOGLETRANSLATE(B20618,""id"",""en"")"),"['Useful', 'really', 'makes it easy', 'customer', 'especially', 'Mager']")</f>
        <v>['Useful', 'really', 'makes it easy', 'customer', 'especially', 'Mager']</v>
      </c>
      <c r="D20618" s="3">
        <v>5.0</v>
      </c>
    </row>
    <row r="20619" ht="15.75" customHeight="1">
      <c r="A20619" s="1">
        <v>21922.0</v>
      </c>
      <c r="B20619" s="3" t="s">
        <v>19488</v>
      </c>
      <c r="C20619" s="3" t="str">
        <f>IFERROR(__xludf.DUMMYFUNCTION("GOOGLETRANSLATE(B20619,""id"",""en"")"),"['Check', 'White', 'How', 'Doank', 'Good', 'Just', 'Maap', 'Doank', 'Criticism', 'Fix', 'Donk', ""]")</f>
        <v>['Check', 'White', 'How', 'Doank', 'Good', 'Just', 'Maap', 'Doank', 'Criticism', 'Fix', 'Donk', "]</v>
      </c>
      <c r="D20619" s="3">
        <v>1.0</v>
      </c>
    </row>
    <row r="20620" ht="15.75" customHeight="1">
      <c r="A20620" s="1">
        <v>21923.0</v>
      </c>
      <c r="B20620" s="3" t="s">
        <v>19489</v>
      </c>
      <c r="C20620" s="3" t="str">
        <f>IFERROR(__xludf.DUMMYFUNCTION("GOOGLETRANSLATE(B20620,""id"",""en"")"),"['card', 'Telkomsel', 'getting', 'tapping', 'Telkomsel', 'solution', 'apessss',' try ',' operator ',' enter ',' Papua ',' East ',' ']")</f>
        <v>['card', 'Telkomsel', 'getting', 'tapping', 'Telkomsel', 'solution', 'apessss',' try ',' operator ',' enter ',' Papua ',' East ',' ']</v>
      </c>
      <c r="D20620" s="3">
        <v>1.0</v>
      </c>
    </row>
    <row r="20621" ht="15.75" customHeight="1">
      <c r="A20621" s="1">
        <v>21924.0</v>
      </c>
      <c r="B20621" s="3" t="s">
        <v>19490</v>
      </c>
      <c r="C20621" s="3" t="str">
        <f>IFERROR(__xludf.DUMMYFUNCTION("GOOGLETRANSLATE(B20621,""id"",""en"")"),"['quota', 'internet', 'Points', 'GB']")</f>
        <v>['quota', 'internet', 'Points', 'GB']</v>
      </c>
      <c r="D20621" s="3">
        <v>5.0</v>
      </c>
    </row>
    <row r="20622" ht="15.75" customHeight="1">
      <c r="A20622" s="1">
        <v>21925.0</v>
      </c>
      <c r="B20622" s="3" t="s">
        <v>19491</v>
      </c>
      <c r="C20622" s="3" t="str">
        <f>IFERROR(__xludf.DUMMYFUNCTION("GOOGLETRANSLATE(B20622,""id"",""en"")"),"['Sya', 'love', 'star', 'dlu', 'try']")</f>
        <v>['Sya', 'love', 'star', 'dlu', 'try']</v>
      </c>
      <c r="D20622" s="3">
        <v>4.0</v>
      </c>
    </row>
    <row r="20623" ht="15.75" customHeight="1">
      <c r="A20623" s="1">
        <v>21926.0</v>
      </c>
      <c r="B20623" s="3" t="s">
        <v>19492</v>
      </c>
      <c r="C20623" s="3" t="str">
        <f>IFERROR(__xludf.DUMMYFUNCTION("GOOGLETRANSLATE(B20623,""id"",""en"")"),"['afternoon', 'out', 'update', 'night', 'update', 'severe', 'area', 'jakarta', 'west', 'suaah', 'really', 'network', ' Sometimes', 'sometimes',' ilang ']")</f>
        <v>['afternoon', 'out', 'update', 'night', 'update', 'severe', 'area', 'jakarta', 'west', 'suaah', 'really', 'network', ' Sometimes', 'sometimes',' ilang ']</v>
      </c>
      <c r="D20623" s="3">
        <v>1.0</v>
      </c>
    </row>
    <row r="20624" ht="15.75" customHeight="1">
      <c r="A20624" s="1">
        <v>21927.0</v>
      </c>
      <c r="B20624" s="3" t="s">
        <v>19493</v>
      </c>
      <c r="C20624" s="3" t="str">
        <f>IFERROR(__xludf.DUMMYFUNCTION("GOOGLETRANSLATE(B20624,""id"",""en"")"),"['', 'yes', 'naruk', 'coin', 'pulse', 'kayak', '']")</f>
        <v>['', 'yes', 'naruk', 'coin', 'pulse', 'kayak', '']</v>
      </c>
      <c r="D20624" s="3">
        <v>5.0</v>
      </c>
    </row>
    <row r="20625" ht="15.75" customHeight="1">
      <c r="A20625" s="1">
        <v>21928.0</v>
      </c>
      <c r="B20625" s="3" t="s">
        <v>19494</v>
      </c>
      <c r="C20625" s="3" t="str">
        <f>IFERROR(__xludf.DUMMYFUNCTION("GOOGLETRANSLATE(B20625,""id"",""en"")"),"['Package', 'Combo', 'Sakti', 'Unlimited', 'Notification', 'SMS', 'Package', 'NGG', 'Data', 'Package', 'Quota', 'GB', ' Package ',' Internet ',' Multimedia ',' Hallo ',' Telkomsel ',' On ',' Package ',' Where ',' Paketan ',' Expensive ',' Korting ',' Prov"&amp;"ider ', ""]")</f>
        <v>['Package', 'Combo', 'Sakti', 'Unlimited', 'Notification', 'SMS', 'Package', 'NGG', 'Data', 'Package', 'Quota', 'GB', ' Package ',' Internet ',' Multimedia ',' Hallo ',' Telkomsel ',' On ',' Package ',' Where ',' Paketan ',' Expensive ',' Korting ',' Provider ', "]</v>
      </c>
      <c r="D20625" s="3">
        <v>2.0</v>
      </c>
    </row>
    <row r="20626" ht="15.75" customHeight="1">
      <c r="A20626" s="1">
        <v>21929.0</v>
      </c>
      <c r="B20626" s="3" t="s">
        <v>19495</v>
      </c>
      <c r="C20626" s="3" t="str">
        <f>IFERROR(__xludf.DUMMYFUNCTION("GOOGLETRANSLATE(B20626,""id"",""en"")"),"['Potatoes',' weve ',' network ',' Telkomsel ',' already ',' Kek ',' Burikkkkkkk ',' people ',' stresss', 'mending', 'replace', 'card', ' Telkomsel ',' already ',' Kek ',' Taikk ',' lost ',' connection ',' night ',' missing ',' connection ',' noon ',' aft"&amp;"ernoon ',' network ',' taik ' , 'Erorrr', 'You', 'Dead', 'People', 'Buy', 'Closed', 'Company', 'Taikkk']")</f>
        <v>['Potatoes',' weve ',' network ',' Telkomsel ',' already ',' Kek ',' Burikkkkkkk ',' people ',' stresss', 'mending', 'replace', 'card', ' Telkomsel ',' already ',' Kek ',' Taikk ',' lost ',' connection ',' night ',' missing ',' connection ',' noon ',' afternoon ',' network ',' taik ' , 'Erorrr', 'You', 'Dead', 'People', 'Buy', 'Closed', 'Company', 'Taikkk']</v>
      </c>
      <c r="D20626" s="3">
        <v>1.0</v>
      </c>
    </row>
    <row r="20627" ht="15.75" customHeight="1">
      <c r="A20627" s="1">
        <v>21930.0</v>
      </c>
      <c r="B20627" s="3" t="s">
        <v>19496</v>
      </c>
      <c r="C20627" s="3" t="str">
        <f>IFERROR(__xludf.DUMMYFUNCTION("GOOGLETRANSLATE(B20627,""id"",""en"")"),"['Network', 'NGX', 'stable', 'slow', 'disorder']")</f>
        <v>['Network', 'NGX', 'stable', 'slow', 'disorder']</v>
      </c>
      <c r="D20627" s="3">
        <v>1.0</v>
      </c>
    </row>
    <row r="20628" ht="15.75" customHeight="1">
      <c r="A20628" s="1">
        <v>21931.0</v>
      </c>
      <c r="B20628" s="3" t="s">
        <v>19497</v>
      </c>
      <c r="C20628" s="3" t="str">
        <f>IFERROR(__xludf.DUMMYFUNCTION("GOOGLETRANSLATE(B20628,""id"",""en"")"),"['Telkomsel', 'Okay', 'difficult', 'opened', 'Please', 'check', ""]")</f>
        <v>['Telkomsel', 'Okay', 'difficult', 'opened', 'Please', 'check', "]</v>
      </c>
      <c r="D20628" s="3">
        <v>5.0</v>
      </c>
    </row>
    <row r="20629" ht="15.75" customHeight="1">
      <c r="A20629" s="1">
        <v>21932.0</v>
      </c>
      <c r="B20629" s="3" t="s">
        <v>12729</v>
      </c>
      <c r="C20629" s="3" t="str">
        <f>IFERROR(__xludf.DUMMYFUNCTION("GOOGLETRANSLATE(B20629,""id"",""en"")"),"['Please', 'fix', 'Telkomsel']")</f>
        <v>['Please', 'fix', 'Telkomsel']</v>
      </c>
      <c r="D20629" s="3">
        <v>1.0</v>
      </c>
    </row>
    <row r="20630" ht="15.75" customHeight="1">
      <c r="A20630" s="1">
        <v>21933.0</v>
      </c>
      <c r="B20630" s="3" t="s">
        <v>19498</v>
      </c>
      <c r="C20630" s="3" t="str">
        <f>IFERROR(__xludf.DUMMYFUNCTION("GOOGLETRANSLATE(B20630,""id"",""en"")"),"['signal', 'rotten', 'disappointing']")</f>
        <v>['signal', 'rotten', 'disappointing']</v>
      </c>
      <c r="D20630" s="3">
        <v>1.0</v>
      </c>
    </row>
    <row r="20631" ht="15.75" customHeight="1">
      <c r="A20631" s="1">
        <v>21934.0</v>
      </c>
      <c r="B20631" s="3" t="s">
        <v>19499</v>
      </c>
      <c r="C20631" s="3" t="str">
        <f>IFERROR(__xludf.DUMMYFUNCTION("GOOGLETRANSLATE(B20631,""id"",""en"")"),"['Bagusssssdddssssssssssssssssssssd', 'Loss', 'Download']")</f>
        <v>['Bagusssssdddssssssssssssssssssssd', 'Loss', 'Download']</v>
      </c>
      <c r="D20631" s="3">
        <v>5.0</v>
      </c>
    </row>
    <row r="20632" ht="15.75" customHeight="1">
      <c r="A20632" s="1">
        <v>21935.0</v>
      </c>
      <c r="B20632" s="3" t="s">
        <v>19500</v>
      </c>
      <c r="C20632" s="3" t="str">
        <f>IFERROR(__xludf.DUMMYFUNCTION("GOOGLETRANSLATE(B20632,""id"",""en"")"),"['Hello', 'Min', 'Please', 'Changed', 'Buy', 'Quota', 'On', 'Out', 'Use', 'Buy', 'Paketan', 'Quota', ' Data ',' Direct ',' Used ',' Wait ',' Quota ',' On ',' Out ']")</f>
        <v>['Hello', 'Min', 'Please', 'Changed', 'Buy', 'Quota', 'On', 'Out', 'Use', 'Buy', 'Paketan', 'Quota', ' Data ',' Direct ',' Used ',' Wait ',' Quota ',' On ',' Out ']</v>
      </c>
      <c r="D20632" s="3">
        <v>2.0</v>
      </c>
    </row>
    <row r="20633" ht="15.75" customHeight="1">
      <c r="A20633" s="1">
        <v>21936.0</v>
      </c>
      <c r="B20633" s="3" t="s">
        <v>19501</v>
      </c>
      <c r="C20633" s="3" t="str">
        <f>IFERROR(__xludf.DUMMYFUNCTION("GOOGLETRANSLATE(B20633,""id"",""en"")"),"['', 'APK', 'open', 'list', 'enter', 'apk', 'difficult']")</f>
        <v>['', 'APK', 'open', 'list', 'enter', 'apk', 'difficult']</v>
      </c>
      <c r="D20633" s="3">
        <v>1.0</v>
      </c>
    </row>
    <row r="20634" ht="15.75" customHeight="1">
      <c r="A20634" s="1">
        <v>21937.0</v>
      </c>
      <c r="B20634" s="3" t="s">
        <v>19502</v>
      </c>
      <c r="C20634" s="3" t="str">
        <f>IFERROR(__xludf.DUMMYFUNCTION("GOOGLETRANSLATE(B20634,""id"",""en"")"),"['here', 'kayak', 'provider', 'next door', 'surfing', 'price', 'expensive', 'connection', 'slow', 'right', 'rain', 'severe', ' The lag ',' kayak ',' provider ',' cheap ',' disappointed ',' already ',' loyal ', ""]")</f>
        <v>['here', 'kayak', 'provider', 'next door', 'surfing', 'price', 'expensive', 'connection', 'slow', 'right', 'rain', 'severe', ' The lag ',' kayak ',' provider ',' cheap ',' disappointed ',' already ',' loyal ', "]</v>
      </c>
      <c r="D20634" s="3">
        <v>1.0</v>
      </c>
    </row>
    <row r="20635" ht="15.75" customHeight="1">
      <c r="A20635" s="1">
        <v>21938.0</v>
      </c>
      <c r="B20635" s="3" t="s">
        <v>19503</v>
      </c>
      <c r="C20635" s="3" t="str">
        <f>IFERROR(__xludf.DUMMYFUNCTION("GOOGLETRANSLATE(B20635,""id"",""en"")"),"['Min', 'Network', 'ilang', 'Nilagan', 'UDH', 'Telkom', 'UDH', 'Min', 'Network', 'ilang', 'Nilagan']")</f>
        <v>['Min', 'Network', 'ilang', 'Nilagan', 'UDH', 'Telkom', 'UDH', 'Min', 'Network', 'ilang', 'Nilagan']</v>
      </c>
      <c r="D20635" s="3">
        <v>1.0</v>
      </c>
    </row>
    <row r="20636" ht="15.75" customHeight="1">
      <c r="A20636" s="1">
        <v>21939.0</v>
      </c>
      <c r="B20636" s="3" t="s">
        <v>19504</v>
      </c>
      <c r="C20636" s="3" t="str">
        <f>IFERROR(__xludf.DUMMYFUNCTION("GOOGLETRANSLATE(B20636,""id"",""en"")"),"['Help', 'practical']")</f>
        <v>['Help', 'practical']</v>
      </c>
      <c r="D20636" s="3">
        <v>5.0</v>
      </c>
    </row>
    <row r="20637" ht="15.75" customHeight="1">
      <c r="A20637" s="1">
        <v>21940.0</v>
      </c>
      <c r="B20637" s="3" t="s">
        <v>19505</v>
      </c>
      <c r="C20637" s="3" t="str">
        <f>IFERROR(__xludf.DUMMYFUNCTION("GOOGLETRANSLATE(B20637,""id"",""en"")"),"['', 'most', 'promo', 'forget', 'ama', 'network', 'letoi']")</f>
        <v>['', 'most', 'promo', 'forget', 'ama', 'network', 'letoi']</v>
      </c>
      <c r="D20637" s="3">
        <v>1.0</v>
      </c>
    </row>
    <row r="20638" ht="15.75" customHeight="1">
      <c r="A20638" s="1">
        <v>21941.0</v>
      </c>
      <c r="B20638" s="3" t="s">
        <v>19506</v>
      </c>
      <c r="C20638" s="3" t="str">
        <f>IFERROR(__xludf.DUMMYFUNCTION("GOOGLETRANSLATE(B20638,""id"",""en"")"),"['enter', 'the application', 'difficult', 'open', 'youtube', 'smooth', 'forgiveness', '']")</f>
        <v>['enter', 'the application', 'difficult', 'open', 'youtube', 'smooth', 'forgiveness', '']</v>
      </c>
      <c r="D20638" s="3">
        <v>1.0</v>
      </c>
    </row>
    <row r="20639" ht="15.75" customHeight="1">
      <c r="A20639" s="1">
        <v>21942.0</v>
      </c>
      <c r="B20639" s="3" t="s">
        <v>19507</v>
      </c>
      <c r="C20639" s="3" t="str">
        <f>IFERROR(__xludf.DUMMYFUNCTION("GOOGLETRANSLATE(B20639,""id"",""en"")"),"['Application', 'Heavy', 'Network', 'Good', 'Loading', '']")</f>
        <v>['Application', 'Heavy', 'Network', 'Good', 'Loading', '']</v>
      </c>
      <c r="D20639" s="3">
        <v>3.0</v>
      </c>
    </row>
    <row r="20640" ht="15.75" customHeight="1">
      <c r="A20640" s="1">
        <v>21943.0</v>
      </c>
      <c r="B20640" s="3" t="s">
        <v>19508</v>
      </c>
      <c r="C20640" s="3" t="str">
        <f>IFERROR(__xludf.DUMMYFUNCTION("GOOGLETRANSLATE(B20640,""id"",""en"")"),"['Telkomsel', 'already', 'package', 'expensive', 'network', 'severe', '']")</f>
        <v>['Telkomsel', 'already', 'package', 'expensive', 'network', 'severe', '']</v>
      </c>
      <c r="D20640" s="3">
        <v>1.0</v>
      </c>
    </row>
    <row r="20641" ht="15.75" customHeight="1">
      <c r="A20641" s="1">
        <v>21944.0</v>
      </c>
      <c r="B20641" s="3" t="s">
        <v>13062</v>
      </c>
      <c r="C20641" s="3" t="str">
        <f>IFERROR(__xludf.DUMMYFUNCTION("GOOGLETRANSLATE(B20641,""id"",""en"")"),"['Price', 'Package']")</f>
        <v>['Price', 'Package']</v>
      </c>
      <c r="D20641" s="3">
        <v>2.0</v>
      </c>
    </row>
    <row r="20642" ht="15.75" customHeight="1">
      <c r="A20642" s="1">
        <v>21945.0</v>
      </c>
      <c r="B20642" s="3" t="s">
        <v>19509</v>
      </c>
      <c r="C20642" s="3" t="str">
        <f>IFERROR(__xludf.DUMMYFUNCTION("GOOGLETRANSLATE(B20642,""id"",""en"")"),"['Upgrade', 'App', 'Telkomsel', 'version', 'the latest', 'please', 'love', 'explanation']")</f>
        <v>['Upgrade', 'App', 'Telkomsel', 'version', 'the latest', 'please', 'love', 'explanation']</v>
      </c>
      <c r="D20642" s="3">
        <v>4.0</v>
      </c>
    </row>
    <row r="20643" ht="15.75" customHeight="1">
      <c r="A20643" s="1">
        <v>21946.0</v>
      </c>
      <c r="B20643" s="3" t="s">
        <v>19510</v>
      </c>
      <c r="C20643" s="3" t="str">
        <f>IFERROR(__xludf.DUMMYFUNCTION("GOOGLETRANSLATE(B20643,""id"",""en"")"),"['Network', 'ngelag', 'gmn', 'udh', 'pay', 'expensive', 'msh', 'ngelg', 'beg', 'repaired', 'donk', 'network']")</f>
        <v>['Network', 'ngelag', 'gmn', 'udh', 'pay', 'expensive', 'msh', 'ngelg', 'beg', 'repaired', 'donk', 'network']</v>
      </c>
      <c r="D20643" s="3">
        <v>1.0</v>
      </c>
    </row>
    <row r="20644" ht="15.75" customHeight="1">
      <c r="A20644" s="1">
        <v>21947.0</v>
      </c>
      <c r="B20644" s="3" t="s">
        <v>19511</v>
      </c>
      <c r="C20644" s="3" t="str">
        <f>IFERROR(__xludf.DUMMYFUNCTION("GOOGLETRANSLATE(B20644,""id"",""en"")"),"['Sometimes', 'rich', 'cheats', 'right', 'quata', 'abis', 'pulse', 'pulses', ""]")</f>
        <v>['Sometimes', 'rich', 'cheats', 'right', 'quata', 'abis', 'pulse', 'pulses', "]</v>
      </c>
      <c r="D20644" s="3">
        <v>1.0</v>
      </c>
    </row>
    <row r="20645" ht="15.75" customHeight="1">
      <c r="A20645" s="1">
        <v>21948.0</v>
      </c>
      <c r="B20645" s="3" t="s">
        <v>19512</v>
      </c>
      <c r="C20645" s="3" t="str">
        <f>IFERROR(__xludf.DUMMYFUNCTION("GOOGLETRANSLATE(B20645,""id"",""en"")"),"['Signal', 'ugly', 'severe', 'severe', 'next door']")</f>
        <v>['Signal', 'ugly', 'severe', 'severe', 'next door']</v>
      </c>
      <c r="D20645" s="3">
        <v>1.0</v>
      </c>
    </row>
    <row r="20646" ht="15.75" customHeight="1">
      <c r="A20646" s="1">
        <v>21949.0</v>
      </c>
      <c r="B20646" s="3" t="s">
        <v>19513</v>
      </c>
      <c r="C20646" s="3" t="str">
        <f>IFERROR(__xludf.DUMMYFUNCTION("GOOGLETRANSLATE(B20646,""id"",""en"")"),"['already', 'expensive', 'network', 'like', 'ngilance', 'anjg']")</f>
        <v>['already', 'expensive', 'network', 'like', 'ngilance', 'anjg']</v>
      </c>
      <c r="D20646" s="3">
        <v>1.0</v>
      </c>
    </row>
    <row r="20647" ht="15.75" customHeight="1">
      <c r="A20647" s="1">
        <v>21950.0</v>
      </c>
      <c r="B20647" s="3" t="s">
        <v>19514</v>
      </c>
      <c r="C20647" s="3" t="str">
        <f>IFERROR(__xludf.DUMMYFUNCTION("GOOGLETRANSLATE(B20647,""id"",""en"")"),"['Hopefully', 'Beguna', 'User', 'Good']")</f>
        <v>['Hopefully', 'Beguna', 'User', 'Good']</v>
      </c>
      <c r="D20647" s="3">
        <v>4.0</v>
      </c>
    </row>
    <row r="20648" ht="15.75" customHeight="1">
      <c r="A20648" s="1">
        <v>21951.0</v>
      </c>
      <c r="B20648" s="3" t="s">
        <v>19515</v>
      </c>
      <c r="C20648" s="3" t="str">
        <f>IFERROR(__xludf.DUMMYFUNCTION("GOOGLETRANSLATE(B20648,""id"",""en"")"),"['', 'Credit', 'Direct', 'truncated', 'already', 'buy', 'package', 'pangilan']")</f>
        <v>['', 'Credit', 'Direct', 'truncated', 'already', 'buy', 'package', 'pangilan']</v>
      </c>
      <c r="D20648" s="3">
        <v>1.0</v>
      </c>
    </row>
    <row r="20649" ht="15.75" customHeight="1">
      <c r="A20649" s="1">
        <v>21952.0</v>
      </c>
      <c r="B20649" s="3" t="s">
        <v>19516</v>
      </c>
      <c r="C20649" s="3" t="str">
        <f>IFERROR(__xludf.DUMMYFUNCTION("GOOGLETRANSLATE(B20649,""id"",""en"")"),"['Signal', 'bad', 'package', 'expensive', 'lemut', 'kouta', 'emergency', 'contents', 'mortal', 'hadeeeeehhhh']")</f>
        <v>['Signal', 'bad', 'package', 'expensive', 'lemut', 'kouta', 'emergency', 'contents', 'mortal', 'hadeeeeehhhh']</v>
      </c>
      <c r="D20649" s="3">
        <v>1.0</v>
      </c>
    </row>
    <row r="20650" ht="15.75" customHeight="1">
      <c r="A20650" s="1">
        <v>21953.0</v>
      </c>
      <c r="B20650" s="3" t="s">
        <v>19517</v>
      </c>
      <c r="C20650" s="3" t="str">
        <f>IFERROR(__xludf.DUMMYFUNCTION("GOOGLETRANSLATE(B20650,""id"",""en"")"),"['provider', 'pulp', 'signal', 'ugly', 'package', 'expensive', 'udh', 'night', 'ilang', 'signal', 'mending', 'switch', ' Providers', 'suggestions',' regret ',' choose ',' provider ']")</f>
        <v>['provider', 'pulp', 'signal', 'ugly', 'package', 'expensive', 'udh', 'night', 'ilang', 'signal', 'mending', 'switch', ' Providers', 'suggestions',' regret ',' choose ',' provider ']</v>
      </c>
      <c r="D20650" s="3">
        <v>1.0</v>
      </c>
    </row>
    <row r="20651" ht="15.75" customHeight="1">
      <c r="A20651" s="1">
        <v>21954.0</v>
      </c>
      <c r="B20651" s="3" t="s">
        <v>19518</v>
      </c>
      <c r="C20651" s="3" t="str">
        <f>IFERROR(__xludf.DUMMYFUNCTION("GOOGLETRANSLATE(B20651,""id"",""en"")"),"['knapa', 'refurbished', 'APK', 'Sibuka']")</f>
        <v>['knapa', 'refurbished', 'APK', 'Sibuka']</v>
      </c>
      <c r="D20651" s="3">
        <v>1.0</v>
      </c>
    </row>
    <row r="20652" ht="15.75" customHeight="1">
      <c r="A20652" s="1">
        <v>21955.0</v>
      </c>
      <c r="B20652" s="3" t="s">
        <v>19519</v>
      </c>
      <c r="C20652" s="3" t="str">
        <f>IFERROR(__xludf.DUMMYFUNCTION("GOOGLETRANSLATE(B20652,""id"",""en"")"),"['recommendation', 'really', 'users', 'Telkomsel', 'satisfying', 'increase', 'promo', 'yaa', ""]")</f>
        <v>['recommendation', 'really', 'users', 'Telkomsel', 'satisfying', 'increase', 'promo', 'yaa', "]</v>
      </c>
      <c r="D20652" s="3">
        <v>5.0</v>
      </c>
    </row>
    <row r="20653" ht="15.75" customHeight="1">
      <c r="A20653" s="1">
        <v>21956.0</v>
      </c>
      <c r="B20653" s="3" t="s">
        <v>19520</v>
      </c>
      <c r="C20653" s="3" t="str">
        <f>IFERROR(__xludf.DUMMYFUNCTION("GOOGLETRANSLATE(B20653,""id"",""en"")"),"['opened', 'application', 'MyTelkomsel', 'knp', 'please', 'use', 'Telkomsel', 'the application', 'opened', 'download', 'reset', 'high school', ' Abis', 'update']")</f>
        <v>['opened', 'application', 'MyTelkomsel', 'knp', 'please', 'use', 'Telkomsel', 'the application', 'opened', 'download', 'reset', 'high school', ' Abis', 'update']</v>
      </c>
      <c r="D20653" s="3">
        <v>5.0</v>
      </c>
    </row>
    <row r="20654" ht="15.75" customHeight="1">
      <c r="A20654" s="1">
        <v>21957.0</v>
      </c>
      <c r="B20654" s="3" t="s">
        <v>19521</v>
      </c>
      <c r="C20654" s="3" t="str">
        <f>IFERROR(__xludf.DUMMYFUNCTION("GOOGLETRANSLATE(B20654,""id"",""en"")"),"['It's easy', 'access']")</f>
        <v>['It's easy', 'access']</v>
      </c>
      <c r="D20654" s="3">
        <v>5.0</v>
      </c>
    </row>
    <row r="20655" ht="15.75" customHeight="1">
      <c r="A20655" s="1">
        <v>21958.0</v>
      </c>
      <c r="B20655" s="3" t="s">
        <v>19522</v>
      </c>
      <c r="C20655" s="3" t="str">
        <f>IFERROR(__xludf.DUMMYFUNCTION("GOOGLETRANSLATE(B20655,""id"",""en"")"),"['Disruption', 'Please', 'Fix', 'Spread', 'Network', 'Boss', 'User', 'Telkomsel', 'Lost', ""]")</f>
        <v>['Disruption', 'Please', 'Fix', 'Spread', 'Network', 'Boss', 'User', 'Telkomsel', 'Lost', "]</v>
      </c>
      <c r="D20655" s="3">
        <v>1.0</v>
      </c>
    </row>
    <row r="20656" ht="15.75" customHeight="1">
      <c r="A20656" s="1">
        <v>21959.0</v>
      </c>
      <c r="B20656" s="3" t="s">
        <v>19523</v>
      </c>
      <c r="C20656" s="3" t="str">
        <f>IFERROR(__xludf.DUMMYFUNCTION("GOOGLETRANSLATE(B20656,""id"",""en"")"),"['Knp', 'Telkomsel', 'Uninstall', 'update', 'device', 'soft', 'connection', 'then', 'install', 'knp', ""]")</f>
        <v>['Knp', 'Telkomsel', 'Uninstall', 'update', 'device', 'soft', 'connection', 'then', 'install', 'knp', "]</v>
      </c>
      <c r="D20656" s="3">
        <v>5.0</v>
      </c>
    </row>
    <row r="20657" ht="15.75" customHeight="1">
      <c r="A20657" s="1">
        <v>21960.0</v>
      </c>
      <c r="B20657" s="3" t="s">
        <v>19524</v>
      </c>
      <c r="C20657" s="3" t="str">
        <f>IFERROR(__xludf.DUMMYFUNCTION("GOOGLETRANSLATE(B20657,""id"",""en"")"),"['signal', 'bad', 'rain', 'bad', 'tower', 'speed', 'high school', 'edge']")</f>
        <v>['signal', 'bad', 'rain', 'bad', 'tower', 'speed', 'high school', 'edge']</v>
      </c>
      <c r="D20657" s="3">
        <v>1.0</v>
      </c>
    </row>
    <row r="20658" ht="15.75" customHeight="1">
      <c r="A20658" s="1">
        <v>21961.0</v>
      </c>
      <c r="B20658" s="3" t="s">
        <v>19525</v>
      </c>
      <c r="C20658" s="3" t="str">
        <f>IFERROR(__xludf.DUMMYFUNCTION("GOOGLETRANSLATE(B20658,""id"",""en"")"),"['sympathy', 'good', 'signal', 'already', 'that's', 'exchange', 'point', 'get', 'gift']")</f>
        <v>['sympathy', 'good', 'signal', 'already', 'that's', 'exchange', 'point', 'get', 'gift']</v>
      </c>
      <c r="D20658" s="3">
        <v>2.0</v>
      </c>
    </row>
    <row r="20659" ht="15.75" customHeight="1">
      <c r="A20659" s="1">
        <v>21962.0</v>
      </c>
      <c r="B20659" s="3" t="s">
        <v>19526</v>
      </c>
      <c r="C20659" s="3" t="str">
        <f>IFERROR(__xludf.DUMMYFUNCTION("GOOGLETRANSLATE(B20659,""id"",""en"")"),"['sudh', 'contents', 'pulse', 'ehhh', 'application', 'gabisa', 'open', 'teach']")</f>
        <v>['sudh', 'contents', 'pulse', 'ehhh', 'application', 'gabisa', 'open', 'teach']</v>
      </c>
      <c r="D20659" s="3">
        <v>1.0</v>
      </c>
    </row>
    <row r="20660" ht="15.75" customHeight="1">
      <c r="A20660" s="1">
        <v>21963.0</v>
      </c>
      <c r="B20660" s="3" t="s">
        <v>19527</v>
      </c>
      <c r="C20660" s="3" t="str">
        <f>IFERROR(__xludf.DUMMYFUNCTION("GOOGLETRANSLATE(B20660,""id"",""en"")"),"['menu', 'complicated', 'package', 'gamer', 'anti', 'lag', 'divided', 'menu', 'sample', 'package', 'internet', 'application', ' divided ',' package ',' game ',' game ',' package ',' video ',' video ',' enthusiasts', 'consider', 'operator', 'rigid', 'accep"&amp;"t', 'input' ]")</f>
        <v>['menu', 'complicated', 'package', 'gamer', 'anti', 'lag', 'divided', 'menu', 'sample', 'package', 'internet', 'application', ' divided ',' package ',' game ',' game ',' package ',' video ',' video ',' enthusiasts', 'consider', 'operator', 'rigid', 'accept', 'input' ]</v>
      </c>
      <c r="D20660" s="3">
        <v>1.0</v>
      </c>
    </row>
    <row r="20661" ht="15.75" customHeight="1">
      <c r="A20661" s="1">
        <v>21964.0</v>
      </c>
      <c r="B20661" s="3" t="s">
        <v>19528</v>
      </c>
      <c r="C20661" s="3" t="str">
        <f>IFERROR(__xludf.DUMMYFUNCTION("GOOGLETRANSLATE(B20661,""id"",""en"")"),"['buy', 'Paketan', 'YouTube', 'Game', 'Painting', 'Mending', 'Sedanya', 'Paketan', 'YouTube', 'Game', 'Used', 'Discard', ' Discard ',' pulses', 'indeed', 'think', 'buy', 'pulse', 'use', 'leaves',' conditions', 'provisions',' apply ',' profit ',' Telkomsel"&amp;" ' ]")</f>
        <v>['buy', 'Paketan', 'YouTube', 'Game', 'Painting', 'Mending', 'Sedanya', 'Paketan', 'YouTube', 'Game', 'Used', 'Discard', ' Discard ',' pulses', 'indeed', 'think', 'buy', 'pulse', 'use', 'leaves',' conditions', 'provisions',' apply ',' profit ',' Telkomsel ' ]</v>
      </c>
      <c r="D20661" s="3">
        <v>1.0</v>
      </c>
    </row>
    <row r="20662" ht="15.75" customHeight="1">
      <c r="A20662" s="1">
        <v>21965.0</v>
      </c>
      <c r="B20662" s="3" t="s">
        <v>19529</v>
      </c>
      <c r="C20662" s="3" t="str">
        <f>IFERROR(__xludf.DUMMYFUNCTION("GOOGLETRANSLATE(B20662,""id"",""en"")"),"['opened', 'strange', 'abis', 'update']")</f>
        <v>['opened', 'strange', 'abis', 'update']</v>
      </c>
      <c r="D20662" s="3">
        <v>1.0</v>
      </c>
    </row>
    <row r="20663" ht="15.75" customHeight="1">
      <c r="A20663" s="1">
        <v>21966.0</v>
      </c>
      <c r="B20663" s="3" t="s">
        <v>19530</v>
      </c>
      <c r="C20663" s="3" t="str">
        <f>IFERROR(__xludf.DUMMYFUNCTION("GOOGLETRANSLATE(B20663,""id"",""en"")"),"['Good', 'bang', 'app', 'leftover', 'package', 'found']")</f>
        <v>['Good', 'bang', 'app', 'leftover', 'package', 'found']</v>
      </c>
      <c r="D20663" s="3">
        <v>5.0</v>
      </c>
    </row>
    <row r="20664" ht="15.75" customHeight="1">
      <c r="A20664" s="1">
        <v>21967.0</v>
      </c>
      <c r="B20664" s="3" t="s">
        <v>19531</v>
      </c>
      <c r="C20664" s="3" t="str">
        <f>IFERROR(__xludf.DUMMYFUNCTION("GOOGLETRANSLATE(B20664,""id"",""en"")"),"['already', 'expensive', 'network', 'like', 'ilang', 'Telkomsel', 'suggestion', 'cave', 'change', 'loss']")</f>
        <v>['already', 'expensive', 'network', 'like', 'ilang', 'Telkomsel', 'suggestion', 'cave', 'change', 'loss']</v>
      </c>
      <c r="D20664" s="3">
        <v>1.0</v>
      </c>
    </row>
    <row r="20665" ht="15.75" customHeight="1">
      <c r="A20665" s="1">
        <v>21968.0</v>
      </c>
      <c r="B20665" s="3" t="s">
        <v>19532</v>
      </c>
      <c r="C20665" s="3" t="str">
        <f>IFERROR(__xludf.DUMMYFUNCTION("GOOGLETRANSLATE(B20665,""id"",""en"")"),"['Pulp', 'really', 'already', 'buy', 'package', 'data', 'enter', 'enter']")</f>
        <v>['Pulp', 'really', 'already', 'buy', 'package', 'data', 'enter', 'enter']</v>
      </c>
      <c r="D20665" s="3">
        <v>1.0</v>
      </c>
    </row>
    <row r="20666" ht="15.75" customHeight="1">
      <c r="A20666" s="1">
        <v>21969.0</v>
      </c>
      <c r="B20666" s="3" t="s">
        <v>19533</v>
      </c>
      <c r="C20666" s="3" t="str">
        <f>IFERROR(__xludf.DUMMYFUNCTION("GOOGLETRANSLATE(B20666,""id"",""en"")"),"['Telkomsel', 'Ter', 'The', 'Bast', '']")</f>
        <v>['Telkomsel', 'Ter', 'The', 'Bast', '']</v>
      </c>
      <c r="D20666" s="3">
        <v>5.0</v>
      </c>
    </row>
    <row r="20667" ht="15.75" customHeight="1">
      <c r="A20667" s="1">
        <v>21971.0</v>
      </c>
      <c r="B20667" s="3" t="s">
        <v>19534</v>
      </c>
      <c r="C20667" s="3" t="str">
        <f>IFERROR(__xludf.DUMMYFUNCTION("GOOGLETRANSLATE(B20667,""id"",""en"")"),"['Not bad', 'help', 'wlu', 'sometimes', 'slow']")</f>
        <v>['Not bad', 'help', 'wlu', 'sometimes', 'slow']</v>
      </c>
      <c r="D20667" s="3">
        <v>5.0</v>
      </c>
    </row>
    <row r="20668" ht="15.75" customHeight="1">
      <c r="A20668" s="1">
        <v>21972.0</v>
      </c>
      <c r="B20668" s="3" t="s">
        <v>19535</v>
      </c>
      <c r="C20668" s="3" t="str">
        <f>IFERROR(__xludf.DUMMYFUNCTION("GOOGLETRANSLATE(B20668,""id"",""en"")"),"['sympathy', 'Telkomsel', 'steady', 'just', 'love', 'star', '']")</f>
        <v>['sympathy', 'Telkomsel', 'steady', 'just', 'love', 'star', '']</v>
      </c>
      <c r="D20668" s="3">
        <v>5.0</v>
      </c>
    </row>
    <row r="20669" ht="15.75" customHeight="1">
      <c r="A20669" s="1">
        <v>21973.0</v>
      </c>
      <c r="B20669" s="3" t="s">
        <v>19536</v>
      </c>
      <c r="C20669" s="3" t="str">
        <f>IFERROR(__xludf.DUMMYFUNCTION("GOOGLETRANSLATE(B20669,""id"",""en"")"),"['Fix', 'network', 'smooth']")</f>
        <v>['Fix', 'network', 'smooth']</v>
      </c>
      <c r="D20669" s="3">
        <v>5.0</v>
      </c>
    </row>
    <row r="20670" ht="15.75" customHeight="1">
      <c r="A20670" s="1">
        <v>21974.0</v>
      </c>
      <c r="B20670" s="3" t="s">
        <v>19537</v>
      </c>
      <c r="C20670" s="3" t="str">
        <f>IFERROR(__xludf.DUMMYFUNCTION("GOOGLETRANSLATE(B20670,""id"",""en"")"),"['Win', 'Lottery']")</f>
        <v>['Win', 'Lottery']</v>
      </c>
      <c r="D20670" s="3">
        <v>5.0</v>
      </c>
    </row>
    <row r="20671" ht="15.75" customHeight="1">
      <c r="A20671" s="1">
        <v>21975.0</v>
      </c>
      <c r="B20671" s="3" t="s">
        <v>19538</v>
      </c>
      <c r="C20671" s="3" t="str">
        <f>IFERROR(__xludf.DUMMYFUNCTION("GOOGLETRANSLATE(B20671,""id"",""en"")"),"['habbis', 'update', 'difficult', 'enter', 'nt', 'loading', 'white', 'mulu', 'ajjing']")</f>
        <v>['habbis', 'update', 'difficult', 'enter', 'nt', 'loading', 'white', 'mulu', 'ajjing']</v>
      </c>
      <c r="D20671" s="3">
        <v>1.0</v>
      </c>
    </row>
    <row r="20672" ht="15.75" customHeight="1">
      <c r="A20672" s="1">
        <v>21976.0</v>
      </c>
      <c r="B20672" s="3" t="s">
        <v>19539</v>
      </c>
      <c r="C20672" s="3" t="str">
        <f>IFERROR(__xludf.DUMMYFUNCTION("GOOGLETRANSLATE(B20672,""id"",""en"")"),"['Steady', 'Free', 'Hurry', 'Use', 'Telkomsel', 'Prepaid']")</f>
        <v>['Steady', 'Free', 'Hurry', 'Use', 'Telkomsel', 'Prepaid']</v>
      </c>
      <c r="D20672" s="3">
        <v>5.0</v>
      </c>
    </row>
    <row r="20673" ht="15.75" customHeight="1">
      <c r="A20673" s="1">
        <v>21977.0</v>
      </c>
      <c r="B20673" s="3" t="s">
        <v>19540</v>
      </c>
      <c r="C20673" s="3" t="str">
        <f>IFERROR(__xludf.DUMMYFUNCTION("GOOGLETRANSLATE(B20673,""id"",""en"")"),"['Lally', 'bonus', 'number', 'loyal', 'Telkomsel']")</f>
        <v>['Lally', 'bonus', 'number', 'loyal', 'Telkomsel']</v>
      </c>
      <c r="D20673" s="3">
        <v>5.0</v>
      </c>
    </row>
    <row r="20674" ht="15.75" customHeight="1">
      <c r="A20674" s="1">
        <v>21978.0</v>
      </c>
      <c r="B20674" s="3" t="s">
        <v>19541</v>
      </c>
      <c r="C20674" s="3" t="str">
        <f>IFERROR(__xludf.DUMMYFUNCTION("GOOGLETRANSLATE(B20674,""id"",""en"")"),"['Good', 'Perfeck']")</f>
        <v>['Good', 'Perfeck']</v>
      </c>
      <c r="D20674" s="3">
        <v>1.0</v>
      </c>
    </row>
    <row r="20675" ht="15.75" customHeight="1">
      <c r="A20675" s="1">
        <v>21979.0</v>
      </c>
      <c r="B20675" s="3" t="s">
        <v>19542</v>
      </c>
      <c r="C20675" s="3" t="str">
        <f>IFERROR(__xludf.DUMMYFUNCTION("GOOGLETRANSLATE(B20675,""id"",""en"")"),"['run out', 'first', 'quota', 'date', 'quota', 'leftover', 'reduced', 'Telkomsel', 'real', 'package', 'apply', 'only' The rest of ',' package ',' validity ',' spend ',' dluan ',' package ',' leftover ',' reduced ',' buy ',' expensive ',' expensive ',' per"&amp;"son ',' inland ' , 'disappointing', '']")</f>
        <v>['run out', 'first', 'quota', 'date', 'quota', 'leftover', 'reduced', 'Telkomsel', 'real', 'package', 'apply', 'only' The rest of ',' package ',' validity ',' spend ',' dluan ',' package ',' leftover ',' reduced ',' buy ',' expensive ',' expensive ',' person ',' inland ' , 'disappointing', '']</v>
      </c>
      <c r="D20675" s="3">
        <v>1.0</v>
      </c>
    </row>
    <row r="20676" ht="15.75" customHeight="1">
      <c r="A20676" s="1">
        <v>21980.0</v>
      </c>
      <c r="B20676" s="3" t="s">
        <v>19543</v>
      </c>
      <c r="C20676" s="3" t="str">
        <f>IFERROR(__xludf.DUMMYFUNCTION("GOOGLETRANSLATE(B20676,""id"",""en"")"),"['please', 'Telkomsel', 'comment', 'card', 'Telkomsel', 'network', 'full', 'play', 'game', 'watch', 'etc.', 'please', ' Repaired ',' ']")</f>
        <v>['please', 'Telkomsel', 'comment', 'card', 'Telkomsel', 'network', 'full', 'play', 'game', 'watch', 'etc.', 'please', ' Repaired ',' ']</v>
      </c>
      <c r="D20676" s="3">
        <v>1.0</v>
      </c>
    </row>
    <row r="20677" ht="15.75" customHeight="1">
      <c r="A20677" s="1">
        <v>21981.0</v>
      </c>
      <c r="B20677" s="3" t="s">
        <v>19544</v>
      </c>
      <c r="C20677" s="3" t="str">
        <f>IFERROR(__xludf.DUMMYFUNCTION("GOOGLETRANSLATE(B20677,""id"",""en"")"),"['network', 'super', 'slow', 'bangse', 'price', 'guaranteed', 'expensive', 'according to', 'expect', 'please', 'network', 'customize The price ',' blessing ',' Telkomsel ']")</f>
        <v>['network', 'super', 'slow', 'bangse', 'price', 'guaranteed', 'expensive', 'according to', 'expect', 'please', 'network', 'customize The price ',' blessing ',' Telkomsel ']</v>
      </c>
      <c r="D20677" s="3">
        <v>1.0</v>
      </c>
    </row>
    <row r="20678" ht="15.75" customHeight="1">
      <c r="A20678" s="1">
        <v>21982.0</v>
      </c>
      <c r="B20678" s="3" t="s">
        <v>19545</v>
      </c>
      <c r="C20678" s="3" t="str">
        <f>IFERROR(__xludf.DUMMYFUNCTION("GOOGLETRANSLATE(B20678,""id"",""en"")"),"['knp', 'right', 'buy', 'package', 'error', 'please', 'sorry', 'purchase', 'product', 'pulse', 'knp', 'fail', ' Then ',' ']")</f>
        <v>['knp', 'right', 'buy', 'package', 'error', 'please', 'sorry', 'purchase', 'product', 'pulse', 'knp', 'fail', ' Then ',' ']</v>
      </c>
      <c r="D20678" s="3">
        <v>1.0</v>
      </c>
    </row>
    <row r="20679" ht="15.75" customHeight="1">
      <c r="A20679" s="1">
        <v>21983.0</v>
      </c>
      <c r="B20679" s="3" t="s">
        <v>19546</v>
      </c>
      <c r="C20679" s="3" t="str">
        <f>IFERROR(__xludf.DUMMYFUNCTION("GOOGLETRANSLATE(B20679,""id"",""en"")"),"['Package', 'buy', 'missing', 'APK', 'Errr', '']")</f>
        <v>['Package', 'buy', 'missing', 'APK', 'Errr', '']</v>
      </c>
      <c r="D20679" s="3">
        <v>1.0</v>
      </c>
    </row>
    <row r="20680" ht="15.75" customHeight="1">
      <c r="A20680" s="1">
        <v>21984.0</v>
      </c>
      <c r="B20680" s="3" t="s">
        <v>19547</v>
      </c>
      <c r="C20680" s="3" t="str">
        <f>IFERROR(__xludf.DUMMYFUNCTION("GOOGLETRANSLATE(B20680,""id"",""en"")"),"['Area', 'Kecamatan', 'Maja', 'Kabupatrn', 'Majalengka', 'Please', 'Strength', 'Sousal', 'Reinforced']")</f>
        <v>['Area', 'Kecamatan', 'Maja', 'Kabupatrn', 'Majalengka', 'Please', 'Strength', 'Sousal', 'Reinforced']</v>
      </c>
      <c r="D20680" s="3">
        <v>5.0</v>
      </c>
    </row>
    <row r="20681" ht="15.75" customHeight="1">
      <c r="A20681" s="1">
        <v>21985.0</v>
      </c>
      <c r="B20681" s="3" t="s">
        <v>19548</v>
      </c>
      <c r="C20681" s="3" t="str">
        <f>IFERROR(__xludf.DUMMYFUNCTION("GOOGLETRANSLATE(B20681,""id"",""en"")"),"['Ancor', 'Ancor', 'how', 'update', 'enter', 'enter', 'application', 'screen', 'white', ""]")</f>
        <v>['Ancor', 'Ancor', 'how', 'update', 'enter', 'enter', 'application', 'screen', 'white', "]</v>
      </c>
      <c r="D20681" s="3">
        <v>1.0</v>
      </c>
    </row>
    <row r="20682" ht="15.75" customHeight="1">
      <c r="A20682" s="1">
        <v>21986.0</v>
      </c>
      <c r="B20682" s="3" t="s">
        <v>19549</v>
      </c>
      <c r="C20682" s="3" t="str">
        <f>IFERROR(__xludf.DUMMYFUNCTION("GOOGLETRANSLATE(B20682,""id"",""en"")"),"['Maintain']")</f>
        <v>['Maintain']</v>
      </c>
      <c r="D20682" s="3">
        <v>5.0</v>
      </c>
    </row>
    <row r="20683" ht="15.75" customHeight="1">
      <c r="A20683" s="1">
        <v>21988.0</v>
      </c>
      <c r="B20683" s="3" t="s">
        <v>19550</v>
      </c>
      <c r="C20683" s="3" t="str">
        <f>IFERROR(__xludf.DUMMYFUNCTION("GOOGLETRANSLATE(B20683,""id"",""en"")"),"['serious', 'secinta', 'card', '']")</f>
        <v>['serious', 'secinta', 'card', '']</v>
      </c>
      <c r="D20683" s="3">
        <v>5.0</v>
      </c>
    </row>
    <row r="20684" ht="15.75" customHeight="1">
      <c r="A20684" s="1">
        <v>21989.0</v>
      </c>
      <c r="B20684" s="3" t="s">
        <v>19551</v>
      </c>
      <c r="C20684" s="3" t="str">
        <f>IFERROR(__xludf.DUMMYFUNCTION("GOOGLETRANSLATE(B20684,""id"",""en"")"),"['wide network']")</f>
        <v>['wide network']</v>
      </c>
      <c r="D20684" s="3">
        <v>5.0</v>
      </c>
    </row>
    <row r="20685" ht="15.75" customHeight="1">
      <c r="A20685" s="1">
        <v>21990.0</v>
      </c>
      <c r="B20685" s="3" t="s">
        <v>19552</v>
      </c>
      <c r="C20685" s="3" t="str">
        <f>IFERROR(__xludf.DUMMYFUNCTION("GOOGLETRANSLATE(B20685,""id"",""en"")"),"['hope', 'chance', 'win', 'lottery', '']")</f>
        <v>['hope', 'chance', 'win', 'lottery', '']</v>
      </c>
      <c r="D20685" s="3">
        <v>5.0</v>
      </c>
    </row>
    <row r="20686" ht="15.75" customHeight="1">
      <c r="A20686" s="1">
        <v>21991.0</v>
      </c>
      <c r="B20686" s="3" t="s">
        <v>19553</v>
      </c>
      <c r="C20686" s="3" t="str">
        <f>IFERROR(__xludf.DUMMYFUNCTION("GOOGLETRANSLATE(B20686,""id"",""en"")"),"['Telkomsel', 'already', 'bankrupt', 'kah', 'bankrupt', 'telkomsel', 'package', 'expensive', 'slow']")</f>
        <v>['Telkomsel', 'already', 'bankrupt', 'kah', 'bankrupt', 'telkomsel', 'package', 'expensive', 'slow']</v>
      </c>
      <c r="D20686" s="3">
        <v>5.0</v>
      </c>
    </row>
    <row r="20687" ht="15.75" customHeight="1">
      <c r="A20687" s="1">
        <v>21992.0</v>
      </c>
      <c r="B20687" s="3" t="s">
        <v>19554</v>
      </c>
      <c r="C20687" s="3" t="str">
        <f>IFERROR(__xludf.DUMMYFUNCTION("GOOGLETRANSLATE(B20687,""id"",""en"")"),"['Buy', 'Package', 'VIU', 'Premium', 'Credit', 'Suck', 'Login', 'Viu', 'Account', 'Premium']")</f>
        <v>['Buy', 'Package', 'VIU', 'Premium', 'Credit', 'Suck', 'Login', 'Viu', 'Account', 'Premium']</v>
      </c>
      <c r="D20687" s="3">
        <v>1.0</v>
      </c>
    </row>
    <row r="20688" ht="15.75" customHeight="1">
      <c r="A20688" s="1">
        <v>21993.0</v>
      </c>
      <c r="B20688" s="3" t="s">
        <v>19555</v>
      </c>
      <c r="C20688" s="3" t="str">
        <f>IFERROR(__xludf.DUMMYFUNCTION("GOOGLETRANSLATE(B20688,""id"",""en"")"),"['Good', 'satisfied']")</f>
        <v>['Good', 'satisfied']</v>
      </c>
      <c r="D20688" s="3">
        <v>5.0</v>
      </c>
    </row>
    <row r="20689" ht="15.75" customHeight="1">
      <c r="A20689" s="1">
        <v>21994.0</v>
      </c>
      <c r="B20689" s="3" t="s">
        <v>19556</v>
      </c>
      <c r="C20689" s="3" t="str">
        <f>IFERROR(__xludf.DUMMYFUNCTION("GOOGLETRANSLATE(B20689,""id"",""en"")"),"['Addin', 'Method', 'Payment', 'Fund', 'Emoney']")</f>
        <v>['Addin', 'Method', 'Payment', 'Fund', 'Emoney']</v>
      </c>
      <c r="D20689" s="3">
        <v>5.0</v>
      </c>
    </row>
    <row r="20690" ht="15.75" customHeight="1">
      <c r="A20690" s="1">
        <v>21995.0</v>
      </c>
      <c r="B20690" s="3" t="s">
        <v>19557</v>
      </c>
      <c r="C20690" s="3" t="str">
        <f>IFERROR(__xludf.DUMMYFUNCTION("GOOGLETRANSLATE(B20690,""id"",""en"")"),"['card', 'gajelss',' expensive ',' doang ',' priority ',' network ',' mending ',' make ',' tri ',' expensive ',' ngelag ',' ngelag ',' ']")</f>
        <v>['card', 'gajelss',' expensive ',' doang ',' priority ',' network ',' mending ',' make ',' tri ',' expensive ',' ngelag ',' ngelag ',' ']</v>
      </c>
      <c r="D20690" s="3">
        <v>1.0</v>
      </c>
    </row>
    <row r="20691" ht="15.75" customHeight="1">
      <c r="A20691" s="1">
        <v>21996.0</v>
      </c>
      <c r="B20691" s="3" t="s">
        <v>19558</v>
      </c>
      <c r="C20691" s="3" t="str">
        <f>IFERROR(__xludf.DUMMYFUNCTION("GOOGLETRANSLATE(B20691,""id"",""en"")"),"['Fix', 'signal', 'strong']")</f>
        <v>['Fix', 'signal', 'strong']</v>
      </c>
      <c r="D20691" s="3">
        <v>5.0</v>
      </c>
    </row>
    <row r="20692" ht="15.75" customHeight="1">
      <c r="A20692" s="1">
        <v>21997.0</v>
      </c>
      <c r="B20692" s="3" t="s">
        <v>19559</v>
      </c>
      <c r="C20692" s="3" t="str">
        <f>IFERROR(__xludf.DUMMYFUNCTION("GOOGLETRANSLATE(B20692,""id"",""en"")"),"['cheat', 'card', 'Hello', 'already', 'get', 'tax', 'signal', 'ugly', 'really', ""]")</f>
        <v>['cheat', 'card', 'Hello', 'already', 'get', 'tax', 'signal', 'ugly', 'really', "]</v>
      </c>
      <c r="D20692" s="3">
        <v>1.0</v>
      </c>
    </row>
    <row r="20693" ht="15.75" customHeight="1">
      <c r="A20693" s="1">
        <v>21998.0</v>
      </c>
      <c r="B20693" s="3" t="s">
        <v>19560</v>
      </c>
      <c r="C20693" s="3" t="str">
        <f>IFERROR(__xludf.DUMMYFUNCTION("GOOGLETRANSLATE(B20693,""id"",""en"")"),"['UnlimitedMax', 'Try', 'Rich', 'Nise']")</f>
        <v>['UnlimitedMax', 'Try', 'Rich', 'Nise']</v>
      </c>
      <c r="D20693" s="3">
        <v>1.0</v>
      </c>
    </row>
    <row r="20694" ht="15.75" customHeight="1">
      <c r="A20694" s="1">
        <v>21999.0</v>
      </c>
      <c r="B20694" s="3" t="s">
        <v>19561</v>
      </c>
      <c r="C20694" s="3" t="str">
        <f>IFERROR(__xludf.DUMMYFUNCTION("GOOGLETRANSLATE(B20694,""id"",""en"")"),"['Hopefully', 'Mirah']")</f>
        <v>['Hopefully', 'Mirah']</v>
      </c>
      <c r="D20694" s="3">
        <v>3.0</v>
      </c>
    </row>
    <row r="20695" ht="15.75" customHeight="1">
      <c r="A20695" s="1">
        <v>22000.0</v>
      </c>
      <c r="B20695" s="3" t="s">
        <v>19562</v>
      </c>
      <c r="C20695" s="3" t="str">
        <f>IFERROR(__xludf.DUMMYFUNCTION("GOOGLETRANSLATE(B20695,""id"",""en"")"),"['Paketan', 'expensive', 'point', 'kek', 'delete', 'Telkomsel', 'Indonesia', 'proud', 'Ngecewa']")</f>
        <v>['Paketan', 'expensive', 'point', 'kek', 'delete', 'Telkomsel', 'Indonesia', 'proud', 'Ngecewa']</v>
      </c>
      <c r="D20695" s="3">
        <v>1.0</v>
      </c>
    </row>
    <row r="20696" ht="15.75" customHeight="1">
      <c r="A20696" s="1">
        <v>22001.0</v>
      </c>
      <c r="B20696" s="3" t="s">
        <v>19563</v>
      </c>
      <c r="C20696" s="3" t="str">
        <f>IFERROR(__xludf.DUMMYFUNCTION("GOOGLETRANSLATE(B20696,""id"",""en"")"),"['Thank you', 'help']")</f>
        <v>['Thank you', 'help']</v>
      </c>
      <c r="D20696" s="3">
        <v>5.0</v>
      </c>
    </row>
    <row r="20697" ht="15.75" customHeight="1">
      <c r="A20697" s="1">
        <v>22002.0</v>
      </c>
      <c r="B20697" s="3" t="s">
        <v>19564</v>
      </c>
      <c r="C20697" s="3" t="str">
        <f>IFERROR(__xludf.DUMMYFUNCTION("GOOGLETRANSLATE(B20697,""id"",""en"")"),"['Success', 'Trus', 'Telkomsel']")</f>
        <v>['Success', 'Trus', 'Telkomsel']</v>
      </c>
      <c r="D20697" s="3">
        <v>5.0</v>
      </c>
    </row>
    <row r="20698" ht="15.75" customHeight="1">
      <c r="A20698" s="1">
        <v>22003.0</v>
      </c>
      <c r="B20698" s="3" t="s">
        <v>19565</v>
      </c>
      <c r="C20698" s="3" t="str">
        <f>IFERROR(__xludf.DUMMYFUNCTION("GOOGLETRANSLATE(B20698,""id"",""en"")"),"['quota', 'unlimited', 'difficult']")</f>
        <v>['quota', 'unlimited', 'difficult']</v>
      </c>
      <c r="D20698" s="3">
        <v>2.0</v>
      </c>
    </row>
    <row r="20699" ht="15.75" customHeight="1">
      <c r="A20699" s="1">
        <v>22004.0</v>
      </c>
      <c r="B20699" s="3" t="s">
        <v>19566</v>
      </c>
      <c r="C20699" s="3" t="str">
        <f>IFERROR(__xludf.DUMMYFUNCTION("GOOGLETRANSLATE(B20699,""id"",""en"")"),"['admin', 'Help', 'love', 'loyal', 'Telkomsel', 'willing', 'belli', 'package', 'price', 'exorbitant', 'the network', 'like', ' Gini ',' Malulah ',' Telkomsel ',' Ngeluarin ',' Card ',' Jargon ',' Kartna ',' Oreng ',' Madure ',' The Network ',' Oath ',' Ng"&amp;"ilak ']")</f>
        <v>['admin', 'Help', 'love', 'loyal', 'Telkomsel', 'willing', 'belli', 'package', 'price', 'exorbitant', 'the network', 'like', ' Gini ',' Malulah ',' Telkomsel ',' Ngeluarin ',' Card ',' Jargon ',' Kartna ',' Oreng ',' Madure ',' The Network ',' Oath ',' Ngilak ']</v>
      </c>
      <c r="D20699" s="3">
        <v>1.0</v>
      </c>
    </row>
    <row r="20700" ht="15.75" customHeight="1">
      <c r="A20700" s="1">
        <v>22005.0</v>
      </c>
      <c r="B20700" s="3" t="s">
        <v>2109</v>
      </c>
      <c r="C20700" s="3" t="str">
        <f>IFERROR(__xludf.DUMMYFUNCTION("GOOGLETRANSLATE(B20700,""id"",""en"")"),"['Help', 'thank you']")</f>
        <v>['Help', 'thank you']</v>
      </c>
      <c r="D20700" s="3">
        <v>5.0</v>
      </c>
    </row>
    <row r="20701" ht="15.75" customHeight="1">
      <c r="A20701" s="1">
        <v>22006.0</v>
      </c>
      <c r="B20701" s="3" t="s">
        <v>19567</v>
      </c>
      <c r="C20701" s="3" t="str">
        <f>IFERROR(__xludf.DUMMYFUNCTION("GOOGLETRANSLATE(B20701,""id"",""en"")"),"['application', 'good', 'features', 'complete', 'steady', 'deh', 'basically', ""]")</f>
        <v>['application', 'good', 'features', 'complete', 'steady', 'deh', 'basically', "]</v>
      </c>
      <c r="D20701" s="3">
        <v>5.0</v>
      </c>
    </row>
    <row r="20702" ht="15.75" customHeight="1">
      <c r="A20702" s="1">
        <v>22007.0</v>
      </c>
      <c r="B20702" s="3" t="s">
        <v>19568</v>
      </c>
      <c r="C20702" s="3" t="str">
        <f>IFERROR(__xludf.DUMMYFUNCTION("GOOGLETRANSLATE(B20702,""id"",""en"")"),"['The network', 'Severe', 'kmren', 'ilang', 'Nilagan', 'just', 'check', 'quota', 'aje', 'kga']")</f>
        <v>['The network', 'Severe', 'kmren', 'ilang', 'Nilagan', 'just', 'check', 'quota', 'aje', 'kga']</v>
      </c>
      <c r="D20702" s="3">
        <v>1.0</v>
      </c>
    </row>
    <row r="20703" ht="15.75" customHeight="1">
      <c r="A20703" s="1">
        <v>22008.0</v>
      </c>
      <c r="B20703" s="3" t="s">
        <v>19569</v>
      </c>
      <c r="C20703" s="3" t="str">
        <f>IFERROR(__xludf.DUMMYFUNCTION("GOOGLETRANSLATE(B20703,""id"",""en"")"),"['card', 'prime', 'sultan', 'slow', 'yaallah', 'child', 'annoyed']")</f>
        <v>['card', 'prime', 'sultan', 'slow', 'yaallah', 'child', 'annoyed']</v>
      </c>
      <c r="D20703" s="3">
        <v>2.0</v>
      </c>
    </row>
    <row r="20704" ht="15.75" customHeight="1">
      <c r="A20704" s="1">
        <v>22009.0</v>
      </c>
      <c r="B20704" s="3" t="s">
        <v>19570</v>
      </c>
      <c r="C20704" s="3" t="str">
        <f>IFERROR(__xludf.DUMMYFUNCTION("GOOGLETRANSLATE(B20704,""id"",""en"")"),"['APL', 'emang', 'easy', 'for', 'users', 'Telkomsel']")</f>
        <v>['APL', 'emang', 'easy', 'for', 'users', 'Telkomsel']</v>
      </c>
      <c r="D20704" s="3">
        <v>4.0</v>
      </c>
    </row>
    <row r="20705" ht="15.75" customHeight="1">
      <c r="A20705" s="1">
        <v>22010.0</v>
      </c>
      <c r="B20705" s="3" t="s">
        <v>19571</v>
      </c>
      <c r="C20705" s="3" t="str">
        <f>IFERROR(__xludf.DUMMYFUNCTION("GOOGLETRANSLATE(B20705,""id"",""en"")"),"['Application', 'Ter', 'Uninstall', 'Install', 'Failed', 'Assisted', '']")</f>
        <v>['Application', 'Ter', 'Uninstall', 'Install', 'Failed', 'Assisted', '']</v>
      </c>
      <c r="D20705" s="3">
        <v>1.0</v>
      </c>
    </row>
    <row r="20706" ht="15.75" customHeight="1">
      <c r="A20706" s="1">
        <v>22011.0</v>
      </c>
      <c r="B20706" s="3" t="s">
        <v>19572</v>
      </c>
      <c r="C20706" s="3" t="str">
        <f>IFERROR(__xludf.DUMMYFUNCTION("GOOGLETRANSLATE(B20706,""id"",""en"")"),"['min', 'check', 'daily', 'missing', '']")</f>
        <v>['min', 'check', 'daily', 'missing', '']</v>
      </c>
      <c r="D20706" s="3">
        <v>1.0</v>
      </c>
    </row>
    <row r="20707" ht="15.75" customHeight="1">
      <c r="A20707" s="1">
        <v>22012.0</v>
      </c>
      <c r="B20707" s="3" t="s">
        <v>19573</v>
      </c>
      <c r="C20707" s="3" t="str">
        <f>IFERROR(__xludf.DUMMYFUNCTION("GOOGLETRANSLATE(B20707,""id"",""en"")"),"['Jln', 'Warakas', 'kel', 'papanggo', 'tlong', 'signal', 'ugly', 'really', 'trma', 'ksih']")</f>
        <v>['Jln', 'Warakas', 'kel', 'papanggo', 'tlong', 'signal', 'ugly', 'really', 'trma', 'ksih']</v>
      </c>
      <c r="D20707" s="3">
        <v>5.0</v>
      </c>
    </row>
    <row r="20708" ht="15.75" customHeight="1">
      <c r="A20708" s="1">
        <v>22013.0</v>
      </c>
      <c r="B20708" s="3" t="s">
        <v>19574</v>
      </c>
      <c r="C20708" s="3" t="str">
        <f>IFERROR(__xludf.DUMMYFUNCTION("GOOGLETRANSLATE(B20708,""id"",""en"")"),"['Good', 'signal', 'remote', 'village', 'no', '']")</f>
        <v>['Good', 'signal', 'remote', 'village', 'no', '']</v>
      </c>
      <c r="D20708" s="3">
        <v>5.0</v>
      </c>
    </row>
    <row r="20709" ht="15.75" customHeight="1">
      <c r="A20709" s="1">
        <v>22014.0</v>
      </c>
      <c r="B20709" s="3" t="s">
        <v>19575</v>
      </c>
      <c r="C20709" s="3" t="str">
        <f>IFERROR(__xludf.DUMMYFUNCTION("GOOGLETRANSLATE(B20709,""id"",""en"")"),"['Telkomsel', 'Paketan', 'Doang', 'expensive', 'internet', 'slow', ""]")</f>
        <v>['Telkomsel', 'Paketan', 'Doang', 'expensive', 'internet', 'slow', "]</v>
      </c>
      <c r="D20709" s="3">
        <v>1.0</v>
      </c>
    </row>
    <row r="20710" ht="15.75" customHeight="1">
      <c r="A20710" s="1">
        <v>22015.0</v>
      </c>
      <c r="B20710" s="3" t="s">
        <v>19576</v>
      </c>
      <c r="C20710" s="3" t="str">
        <f>IFERROR(__xludf.DUMMYFUNCTION("GOOGLETRANSLATE(B20710,""id"",""en"")"),"['use', 'Telkomsel', 'disappointed', 'your signal', 'ugly']")</f>
        <v>['use', 'Telkomsel', 'disappointed', 'your signal', 'ugly']</v>
      </c>
      <c r="D20710" s="3">
        <v>1.0</v>
      </c>
    </row>
    <row r="20711" ht="15.75" customHeight="1">
      <c r="A20711" s="1">
        <v>22016.0</v>
      </c>
      <c r="B20711" s="3" t="s">
        <v>19577</v>
      </c>
      <c r="C20711" s="3" t="str">
        <f>IFERROR(__xludf.DUMMYFUNCTION("GOOGLETRANSLATE(B20711,""id"",""en"")"),"['Telkom', 'signal', 'strong', 'extensive', 'cuih', 'lag', 'lag', 'change', 'please', 'fix', '']")</f>
        <v>['Telkom', 'signal', 'strong', 'extensive', 'cuih', 'lag', 'lag', 'change', 'please', 'fix', '']</v>
      </c>
      <c r="D20711" s="3">
        <v>1.0</v>
      </c>
    </row>
    <row r="20712" ht="15.75" customHeight="1">
      <c r="A20712" s="1">
        <v>22017.0</v>
      </c>
      <c r="B20712" s="3" t="s">
        <v>19578</v>
      </c>
      <c r="C20712" s="3" t="str">
        <f>IFERROR(__xludf.DUMMYFUNCTION("GOOGLETRANSLATE(B20712,""id"",""en"")"),"['The network', 'no', 'stable', 'malem', 'NOT', 'Good', 'ugly']")</f>
        <v>['The network', 'no', 'stable', 'malem', 'NOT', 'Good', 'ugly']</v>
      </c>
      <c r="D20712" s="3">
        <v>1.0</v>
      </c>
    </row>
    <row r="20713" ht="15.75" customHeight="1">
      <c r="A20713" s="1">
        <v>22018.0</v>
      </c>
      <c r="B20713" s="3" t="s">
        <v>19579</v>
      </c>
      <c r="C20713" s="3" t="str">
        <f>IFERROR(__xludf.DUMMYFUNCTION("GOOGLETRANSLATE(B20713,""id"",""en"")"),"['Love', 'star', 'Telkomsel', 'Nyh', 'Nyh', 'already', 'dilapidated', 'please', 'fix', 'system', 'network', 'Nyh', ' Trimaksih ']")</f>
        <v>['Love', 'star', 'Telkomsel', 'Nyh', 'Nyh', 'already', 'dilapidated', 'please', 'fix', 'system', 'network', 'Nyh', ' Trimaksih ']</v>
      </c>
      <c r="D20713" s="3">
        <v>1.0</v>
      </c>
    </row>
    <row r="20714" ht="15.75" customHeight="1">
      <c r="A20714" s="1">
        <v>22019.0</v>
      </c>
      <c r="B20714" s="3" t="s">
        <v>19580</v>
      </c>
      <c r="C20714" s="3" t="str">
        <f>IFERROR(__xludf.DUMMYFUNCTION("GOOGLETRANSLATE(B20714,""id"",""en"")"),"['waiter']")</f>
        <v>['waiter']</v>
      </c>
      <c r="D20714" s="3">
        <v>5.0</v>
      </c>
    </row>
    <row r="20715" ht="15.75" customHeight="1">
      <c r="A20715" s="1">
        <v>22020.0</v>
      </c>
      <c r="B20715" s="3" t="s">
        <v>19581</v>
      </c>
      <c r="C20715" s="3" t="str">
        <f>IFERROR(__xludf.DUMMYFUNCTION("GOOGLETRANSLATE(B20715,""id"",""en"")"),"['Utamain', 'signal', 'translucent', 'peoksok']")</f>
        <v>['Utamain', 'signal', 'translucent', 'peoksok']</v>
      </c>
      <c r="D20715" s="3">
        <v>1.0</v>
      </c>
    </row>
    <row r="20716" ht="15.75" customHeight="1">
      <c r="A20716" s="1">
        <v>22021.0</v>
      </c>
      <c r="B20716" s="3" t="s">
        <v>19582</v>
      </c>
      <c r="C20716" s="3" t="str">
        <f>IFERROR(__xludf.DUMMYFUNCTION("GOOGLETRANSLATE(B20716,""id"",""en"")"),"['Good', 'Application', 'Telkomsel', '']")</f>
        <v>['Good', 'Application', 'Telkomsel', '']</v>
      </c>
      <c r="D20716" s="3">
        <v>5.0</v>
      </c>
    </row>
    <row r="20717" ht="15.75" customHeight="1">
      <c r="A20717" s="1">
        <v>22022.0</v>
      </c>
      <c r="B20717" s="3" t="s">
        <v>19583</v>
      </c>
      <c r="C20717" s="3" t="str">
        <f>IFERROR(__xludf.DUMMYFUNCTION("GOOGLETRANSLATE(B20717,""id"",""en"")"),"['lbh', 'promo', 'package', 'data', 'cheap']")</f>
        <v>['lbh', 'promo', 'package', 'data', 'cheap']</v>
      </c>
      <c r="D20717" s="3">
        <v>5.0</v>
      </c>
    </row>
    <row r="20718" ht="15.75" customHeight="1">
      <c r="A20718" s="1">
        <v>22023.0</v>
      </c>
      <c r="B20718" s="3" t="s">
        <v>19584</v>
      </c>
      <c r="C20718" s="3" t="str">
        <f>IFERROR(__xludf.DUMMYFUNCTION("GOOGLETRANSLATE(B20718,""id"",""en"")"),"['', 'Far', 'price', 'Different', 'purchase', 'outside', 'App', 'annoyed', 'update', 'periodic', 'said', 'plus',' Display ',' responsive ']")</f>
        <v>['', 'Far', 'price', 'Different', 'purchase', 'outside', 'App', 'annoyed', 'update', 'periodic', 'said', 'plus',' Display ',' responsive ']</v>
      </c>
      <c r="D20718" s="3">
        <v>3.0</v>
      </c>
    </row>
    <row r="20719" ht="15.75" customHeight="1">
      <c r="A20719" s="1">
        <v>22024.0</v>
      </c>
      <c r="B20719" s="3" t="s">
        <v>19585</v>
      </c>
      <c r="C20719" s="3" t="str">
        <f>IFERROR(__xludf.DUMMYFUNCTION("GOOGLETRANSLATE(B20719,""id"",""en"")"),"['Satisfied', 'Paki', 'Telomsel']")</f>
        <v>['Satisfied', 'Paki', 'Telomsel']</v>
      </c>
      <c r="D20719" s="3">
        <v>5.0</v>
      </c>
    </row>
    <row r="20720" ht="15.75" customHeight="1">
      <c r="A20720" s="1">
        <v>22025.0</v>
      </c>
      <c r="B20720" s="3" t="s">
        <v>19586</v>
      </c>
      <c r="C20720" s="3" t="str">
        <f>IFERROR(__xludf.DUMMYFUNCTION("GOOGLETRANSLATE(B20720,""id"",""en"")"),"['buy', 'package', 'easy', 'comfortable', '']")</f>
        <v>['buy', 'package', 'easy', 'comfortable', '']</v>
      </c>
      <c r="D20720" s="3">
        <v>5.0</v>
      </c>
    </row>
    <row r="20721" ht="15.75" customHeight="1">
      <c r="A20721" s="1">
        <v>22026.0</v>
      </c>
      <c r="B20721" s="3" t="s">
        <v>19587</v>
      </c>
      <c r="C20721" s="3" t="str">
        <f>IFERROR(__xludf.DUMMYFUNCTION("GOOGLETRANSLATE(B20721,""id"",""en"")"),"['Telkom', 'already', 'Telkom', 'emang', 'good', 'network', 'here', 'bad', 'Nge', 'game', 'Engaged', 'strong', ' Please '""Fix']")</f>
        <v>['Telkom', 'already', 'Telkom', 'emang', 'good', 'network', 'here', 'bad', 'Nge', 'game', 'Engaged', 'strong', ' Please '"Fix']</v>
      </c>
      <c r="D20721" s="3">
        <v>1.0</v>
      </c>
    </row>
    <row r="20722" ht="15.75" customHeight="1">
      <c r="A20722" s="1">
        <v>22027.0</v>
      </c>
      <c r="B20722" s="3" t="s">
        <v>19588</v>
      </c>
      <c r="C20722" s="3" t="str">
        <f>IFERROR(__xludf.DUMMYFUNCTION("GOOGLETRANSLATE(B20722,""id"",""en"")"),"['', 'Telkomsel', 'Okay', 'Top', 'Markotop']")</f>
        <v>['', 'Telkomsel', 'Okay', 'Top', 'Markotop']</v>
      </c>
      <c r="D20722" s="3">
        <v>5.0</v>
      </c>
    </row>
    <row r="20723" ht="15.75" customHeight="1">
      <c r="A20723" s="1">
        <v>22028.0</v>
      </c>
      <c r="B20723" s="3" t="s">
        <v>19589</v>
      </c>
      <c r="C20723" s="3" t="str">
        <f>IFERROR(__xludf.DUMMYFUNCTION("GOOGLETRANSLATE(B20723,""id"",""en"")"),"['signal', 'bapuk', 'Telkomsel', 'price', 'expensive', 'signal', 'internet', 'Lost', ""]")</f>
        <v>['signal', 'bapuk', 'Telkomsel', 'price', 'expensive', 'signal', 'internet', 'Lost', "]</v>
      </c>
      <c r="D20723" s="3">
        <v>1.0</v>
      </c>
    </row>
    <row r="20724" ht="15.75" customHeight="1">
      <c r="A20724" s="1">
        <v>22029.0</v>
      </c>
      <c r="B20724" s="3" t="s">
        <v>19590</v>
      </c>
      <c r="C20724" s="3" t="str">
        <f>IFERROR(__xludf.DUMMYFUNCTION("GOOGLETRANSLATE(B20724,""id"",""en"")"),"['Please', 'Benefit', 'Customer', 'Lamu', 'Love', 'Price', 'Package', 'Cheap', 'Rb']")</f>
        <v>['Please', 'Benefit', 'Customer', 'Lamu', 'Love', 'Price', 'Package', 'Cheap', 'Rb']</v>
      </c>
      <c r="D20724" s="3">
        <v>1.0</v>
      </c>
    </row>
    <row r="20725" ht="15.75" customHeight="1">
      <c r="A20725" s="1">
        <v>22030.0</v>
      </c>
      <c r="B20725" s="3" t="s">
        <v>19591</v>
      </c>
      <c r="C20725" s="3" t="str">
        <f>IFERROR(__xludf.DUMMYFUNCTION("GOOGLETRANSLATE(B20725,""id"",""en"")"),"['Calace', 'signal', 'Telkomsel', '']")</f>
        <v>['Calace', 'signal', 'Telkomsel', '']</v>
      </c>
      <c r="D20725" s="3">
        <v>1.0</v>
      </c>
    </row>
    <row r="20726" ht="15.75" customHeight="1">
      <c r="A20726" s="1">
        <v>22031.0</v>
      </c>
      <c r="B20726" s="3" t="s">
        <v>19592</v>
      </c>
      <c r="C20726" s="3" t="str">
        <f>IFERROR(__xludf.DUMMYFUNCTION("GOOGLETRANSLATE(B20726,""id"",""en"")"),"['UDH', 'a week', 'gabisa', 'enter', 'UDH', 'Uninstall', 'then', 'Install', 'UDH', 'Update', 'opened', 'APK', ' Blank ',' White ',' Click ',' GTU ']")</f>
        <v>['UDH', 'a week', 'gabisa', 'enter', 'UDH', 'Uninstall', 'then', 'Install', 'UDH', 'Update', 'opened', 'APK', ' Blank ',' White ',' Click ',' GTU ']</v>
      </c>
      <c r="D20726" s="3">
        <v>1.0</v>
      </c>
    </row>
    <row r="20727" ht="15.75" customHeight="1">
      <c r="A20727" s="1">
        <v>22032.0</v>
      </c>
      <c r="B20727" s="3" t="s">
        <v>19593</v>
      </c>
      <c r="C20727" s="3" t="str">
        <f>IFERROR(__xludf.DUMMYFUNCTION("GOOGLETRANSLATE(B20727,""id"",""en"")"),"['idiot', 'network']")</f>
        <v>['idiot', 'network']</v>
      </c>
      <c r="D20727" s="3">
        <v>1.0</v>
      </c>
    </row>
    <row r="20728" ht="15.75" customHeight="1">
      <c r="A20728" s="1">
        <v>22033.0</v>
      </c>
      <c r="B20728" s="3" t="s">
        <v>19594</v>
      </c>
      <c r="C20728" s="3" t="str">
        <f>IFERROR(__xludf.DUMMYFUNCTION("GOOGLETRANSLATE(B20728,""id"",""en"")"),"['expensive', 'really', 'oath', 'cheap', 'im', '']")</f>
        <v>['expensive', 'really', 'oath', 'cheap', 'im', '']</v>
      </c>
      <c r="D20728" s="3">
        <v>3.0</v>
      </c>
    </row>
    <row r="20729" ht="15.75" customHeight="1">
      <c r="A20729" s="1">
        <v>22034.0</v>
      </c>
      <c r="B20729" s="3" t="s">
        <v>19595</v>
      </c>
      <c r="C20729" s="3" t="str">
        <f>IFERROR(__xludf.DUMMYFUNCTION("GOOGLETRANSLATE(B20729,""id"",""en"")"),"['Telkomsel', 'network', 'internet', 'slow', 'slow', 'skarang', 'kayak', 'dlu', 'super', 'slow', 'network', '']")</f>
        <v>['Telkomsel', 'network', 'internet', 'slow', 'slow', 'skarang', 'kayak', 'dlu', 'super', 'slow', 'network', '']</v>
      </c>
      <c r="D20729" s="3">
        <v>1.0</v>
      </c>
    </row>
    <row r="20730" ht="15.75" customHeight="1">
      <c r="A20730" s="1">
        <v>22035.0</v>
      </c>
      <c r="B20730" s="3" t="s">
        <v>19596</v>
      </c>
      <c r="C20730" s="3" t="str">
        <f>IFERROR(__xludf.DUMMYFUNCTION("GOOGLETRANSLATE(B20730,""id"",""en"")"),"['confused', 'application', 'bill', 'fall', 'tempo', 'November', 'pay']")</f>
        <v>['confused', 'application', 'bill', 'fall', 'tempo', 'November', 'pay']</v>
      </c>
      <c r="D20730" s="3">
        <v>1.0</v>
      </c>
    </row>
    <row r="20731" ht="15.75" customHeight="1">
      <c r="A20731" s="1">
        <v>22036.0</v>
      </c>
      <c r="B20731" s="3" t="s">
        <v>19597</v>
      </c>
      <c r="C20731" s="3" t="str">
        <f>IFERROR(__xludf.DUMMYFUNCTION("GOOGLETRANSLATE(B20731,""id"",""en"")"),"['Tsel', 'knapa', 'difficult', 'network', 'gini', 'rich']")</f>
        <v>['Tsel', 'knapa', 'difficult', 'network', 'gini', 'rich']</v>
      </c>
      <c r="D20731" s="3">
        <v>4.0</v>
      </c>
    </row>
    <row r="20732" ht="15.75" customHeight="1">
      <c r="A20732" s="1">
        <v>22037.0</v>
      </c>
      <c r="B20732" s="3" t="s">
        <v>19598</v>
      </c>
      <c r="C20732" s="3" t="str">
        <f>IFERROR(__xludf.DUMMYFUNCTION("GOOGLETRANSLATE(B20732,""id"",""en"")"),"['Update', 'Application', 'Event', 'Check', 'Daily', '']")</f>
        <v>['Update', 'Application', 'Event', 'Check', 'Daily', '']</v>
      </c>
      <c r="D20732" s="3">
        <v>4.0</v>
      </c>
    </row>
    <row r="20733" ht="15.75" customHeight="1">
      <c r="A20733" s="1">
        <v>22038.0</v>
      </c>
      <c r="B20733" s="3" t="s">
        <v>19599</v>
      </c>
      <c r="C20733" s="3" t="str">
        <f>IFERROR(__xludf.DUMMYFUNCTION("GOOGLETRANSLATE(B20733,""id"",""en"")"),"['Ngentoooooot', 'expensive', 'doang', 'ngentoooooot', 'network', 'slow', 'tsel', 'ngentoooooo']")</f>
        <v>['Ngentoooooot', 'expensive', 'doang', 'ngentoooooot', 'network', 'slow', 'tsel', 'ngentoooooo']</v>
      </c>
      <c r="D20733" s="3">
        <v>1.0</v>
      </c>
    </row>
    <row r="20734" ht="15.75" customHeight="1">
      <c r="A20734" s="1">
        <v>22039.0</v>
      </c>
      <c r="B20734" s="3" t="s">
        <v>19600</v>
      </c>
      <c r="C20734" s="3" t="str">
        <f>IFERROR(__xludf.DUMMYFUNCTION("GOOGLETRANSLATE(B20734,""id"",""en"")"),"['Buy', 'Package', 'Giga', 'YouTube', 'Package', 'Internet', 'Giga', 'YGDimana', 'Package', 'YouTube', 'Internet', 'Dipake', ' Toooooooongdooong ',' tolooooooong ',' trading ',' Bener ',' loss', 'frequency']")</f>
        <v>['Buy', 'Package', 'Giga', 'YouTube', 'Package', 'Internet', 'Giga', 'YGDimana', 'Package', 'YouTube', 'Internet', 'Dipake', ' Toooooooongdooong ',' tolooooooong ',' trading ',' Bener ',' loss', 'frequency']</v>
      </c>
      <c r="D20734" s="3">
        <v>1.0</v>
      </c>
    </row>
    <row r="20735" ht="15.75" customHeight="1">
      <c r="A20735" s="1">
        <v>22040.0</v>
      </c>
      <c r="B20735" s="3" t="s">
        <v>19601</v>
      </c>
      <c r="C20735" s="3" t="str">
        <f>IFERROR(__xludf.DUMMYFUNCTION("GOOGLETRANSLATE(B20735,""id"",""en"")"),"['APK', 'pulse', 'sumps', 'pulse', 'buy', 'package', 'please', 'fix', 'application', '']")</f>
        <v>['APK', 'pulse', 'sumps', 'pulse', 'buy', 'package', 'please', 'fix', 'application', '']</v>
      </c>
      <c r="D20735" s="3">
        <v>1.0</v>
      </c>
    </row>
    <row r="20736" ht="15.75" customHeight="1">
      <c r="A20736" s="1">
        <v>22041.0</v>
      </c>
      <c r="B20736" s="3" t="s">
        <v>19602</v>
      </c>
      <c r="C20736" s="3" t="str">
        <f>IFERROR(__xludf.DUMMYFUNCTION("GOOGLETRANSLATE(B20736,""id"",""en"")"),"['quota', 'surpass',' limit ',' signal ',' fix ',' emang ',' ajg ',' Telkomsel ',' village ',' cave ',' signal ',' axis', ' Cave ',' UDH ',' PAKEK ',' AXIS ']")</f>
        <v>['quota', 'surpass',' limit ',' signal ',' fix ',' emang ',' ajg ',' Telkomsel ',' village ',' cave ',' signal ',' axis', ' Cave ',' UDH ',' PAKEK ',' AXIS ']</v>
      </c>
      <c r="D20736" s="3">
        <v>5.0</v>
      </c>
    </row>
    <row r="20737" ht="15.75" customHeight="1">
      <c r="A20737" s="1">
        <v>22042.0</v>
      </c>
      <c r="B20737" s="3" t="s">
        <v>19603</v>
      </c>
      <c r="C20737" s="3" t="str">
        <f>IFERROR(__xludf.DUMMYFUNCTION("GOOGLETRANSLATE(B20737,""id"",""en"")"),"['Download', 'used']")</f>
        <v>['Download', 'used']</v>
      </c>
      <c r="D20737" s="3">
        <v>1.0</v>
      </c>
    </row>
    <row r="20738" ht="15.75" customHeight="1">
      <c r="A20738" s="1">
        <v>22043.0</v>
      </c>
      <c r="B20738" s="3" t="s">
        <v>19604</v>
      </c>
      <c r="C20738" s="3" t="str">
        <f>IFERROR(__xludf.DUMMYFUNCTION("GOOGLETRANSLATE(B20738,""id"",""en"")"),"['product', 'transparent']")</f>
        <v>['product', 'transparent']</v>
      </c>
      <c r="D20738" s="3">
        <v>1.0</v>
      </c>
    </row>
    <row r="20739" ht="15.75" customHeight="1">
      <c r="A20739" s="1">
        <v>22044.0</v>
      </c>
      <c r="B20739" s="3" t="s">
        <v>19605</v>
      </c>
      <c r="C20739" s="3" t="str">
        <f>IFERROR(__xludf.DUMMYFUNCTION("GOOGLETRANSLATE(B20739,""id"",""en"")"),"['sympathy', 'signal', 'bad']")</f>
        <v>['sympathy', 'signal', 'bad']</v>
      </c>
      <c r="D20739" s="3">
        <v>1.0</v>
      </c>
    </row>
    <row r="20740" ht="15.75" customHeight="1">
      <c r="A20740" s="1">
        <v>22045.0</v>
      </c>
      <c r="B20740" s="3" t="s">
        <v>19606</v>
      </c>
      <c r="C20740" s="3" t="str">
        <f>IFERROR(__xludf.DUMMYFUNCTION("GOOGLETRANSLATE(B20740,""id"",""en"")"),"['mainstay', 'disappointing', 'in the future', '']")</f>
        <v>['mainstay', 'disappointing', 'in the future', '']</v>
      </c>
      <c r="D20740" s="3">
        <v>1.0</v>
      </c>
    </row>
    <row r="20741" ht="15.75" customHeight="1">
      <c r="A20741" s="1">
        <v>22046.0</v>
      </c>
      <c r="B20741" s="3" t="s">
        <v>19607</v>
      </c>
      <c r="C20741" s="3" t="str">
        <f>IFERROR(__xludf.DUMMYFUNCTION("GOOGLETRANSLATE(B20741,""id"",""en"")"),"['Justice']")</f>
        <v>['Justice']</v>
      </c>
      <c r="D20741" s="3">
        <v>1.0</v>
      </c>
    </row>
    <row r="20742" ht="15.75" customHeight="1">
      <c r="A20742" s="1">
        <v>22047.0</v>
      </c>
      <c r="B20742" s="3" t="s">
        <v>19608</v>
      </c>
      <c r="C20742" s="3" t="str">
        <f>IFERROR(__xludf.DUMMYFUNCTION("GOOGLETRANSLATE(B20742,""id"",""en"")"),"['App', 'MyTelkomsel', 'Wear', 'Data', 'Open', 'Need', 'Network', 'Good', 'Wear', ""]")</f>
        <v>['App', 'MyTelkomsel', 'Wear', 'Data', 'Open', 'Need', 'Network', 'Good', 'Wear', "]</v>
      </c>
      <c r="D20742" s="3">
        <v>3.0</v>
      </c>
    </row>
    <row r="20743" ht="15.75" customHeight="1">
      <c r="A20743" s="1">
        <v>22048.0</v>
      </c>
      <c r="B20743" s="3" t="s">
        <v>19609</v>
      </c>
      <c r="C20743" s="3" t="str">
        <f>IFERROR(__xludf.DUMMYFUNCTION("GOOGLETRANSLATE(B20743,""id"",""en"")"),"['response', 'slow', 'Telkomsel', 'Regular']")</f>
        <v>['response', 'slow', 'Telkomsel', 'Regular']</v>
      </c>
      <c r="D20743" s="3">
        <v>1.0</v>
      </c>
    </row>
    <row r="20744" ht="15.75" customHeight="1">
      <c r="A20744" s="1">
        <v>22049.0</v>
      </c>
      <c r="B20744" s="3" t="s">
        <v>19610</v>
      </c>
      <c r="C20744" s="3" t="str">
        <f>IFERROR(__xludf.DUMMYFUNCTION("GOOGLETRANSLATE(B20744,""id"",""en"")"),"['contents', 'package', 'wifi', 'router', 'fit', 'login', 'app', 'telephone', 'smooth', 'please', 'solution', ""]")</f>
        <v>['contents', 'package', 'wifi', 'router', 'fit', 'login', 'app', 'telephone', 'smooth', 'please', 'solution', "]</v>
      </c>
      <c r="D20744" s="3">
        <v>1.0</v>
      </c>
    </row>
    <row r="20745" ht="15.75" customHeight="1">
      <c r="A20745" s="1">
        <v>22050.0</v>
      </c>
      <c r="B20745" s="3" t="s">
        <v>19611</v>
      </c>
      <c r="C20745" s="3" t="str">
        <f>IFERROR(__xludf.DUMMYFUNCTION("GOOGLETRANSLATE(B20745,""id"",""en"")"),"['pulse', 'suck', '']")</f>
        <v>['pulse', 'suck', '']</v>
      </c>
      <c r="D20745" s="3">
        <v>1.0</v>
      </c>
    </row>
    <row r="20746" ht="15.75" customHeight="1">
      <c r="A20746" s="1">
        <v>22051.0</v>
      </c>
      <c r="B20746" s="3" t="s">
        <v>19612</v>
      </c>
      <c r="C20746" s="3" t="str">
        <f>IFERROR(__xludf.DUMMYFUNCTION("GOOGLETRANSLATE(B20746,""id"",""en"")"),"['satisfying', 'Package', 'Combo', 'Sakti']")</f>
        <v>['satisfying', 'Package', 'Combo', 'Sakti']</v>
      </c>
      <c r="D20746" s="3">
        <v>5.0</v>
      </c>
    </row>
    <row r="20747" ht="15.75" customHeight="1">
      <c r="A20747" s="1">
        <v>22052.0</v>
      </c>
      <c r="B20747" s="3" t="s">
        <v>19613</v>
      </c>
      <c r="C20747" s="3" t="str">
        <f>IFERROR(__xludf.DUMMYFUNCTION("GOOGLETRANSLATE(B20747,""id"",""en"")"),"['hope', 'usure', 'get', 'Give', 'Telkomsel', 'Lottery', 'Point', 'Samsung', 'Ultra']")</f>
        <v>['hope', 'usure', 'get', 'Give', 'Telkomsel', 'Lottery', 'Point', 'Samsung', 'Ultra']</v>
      </c>
      <c r="D20747" s="3">
        <v>4.0</v>
      </c>
    </row>
    <row r="20748" ht="15.75" customHeight="1">
      <c r="A20748" s="1">
        <v>22053.0</v>
      </c>
      <c r="B20748" s="3" t="s">
        <v>13403</v>
      </c>
      <c r="C20748" s="3" t="str">
        <f>IFERROR(__xludf.DUMMYFUNCTION("GOOGLETRANSLATE(B20748,""id"",""en"")"),"['steady', '']")</f>
        <v>['steady', '']</v>
      </c>
      <c r="D20748" s="3">
        <v>5.0</v>
      </c>
    </row>
    <row r="20749" ht="15.75" customHeight="1">
      <c r="A20749" s="1">
        <v>22054.0</v>
      </c>
      <c r="B20749" s="3" t="s">
        <v>19614</v>
      </c>
      <c r="C20749" s="3" t="str">
        <f>IFERROR(__xludf.DUMMYFUNCTION("GOOGLETRANSLATE(B20749,""id"",""en"")"),"['Telkomsel', 'asw', 'already', 'buy', 'pulse', 'tranquility', 'already', 'delete', 'card', 'ajim', 'emang']")</f>
        <v>['Telkomsel', 'asw', 'already', 'buy', 'pulse', 'tranquility', 'already', 'delete', 'card', 'ajim', 'emang']</v>
      </c>
      <c r="D20749" s="3">
        <v>1.0</v>
      </c>
    </row>
    <row r="20750" ht="15.75" customHeight="1">
      <c r="A20750" s="1">
        <v>22055.0</v>
      </c>
      <c r="B20750" s="3" t="s">
        <v>19615</v>
      </c>
      <c r="C20750" s="3" t="str">
        <f>IFERROR(__xludf.DUMMYFUNCTION("GOOGLETRANSLATE(B20750,""id"",""en"")"),"['Please', 'Telkomsel', 'fix', 'service', 'list', 'package', 'combo', 'wuzzz', 'lemoot', 'love', 'star', 'complaint', ' Customers', 'Telkomsel', 'Please', 'followed up']")</f>
        <v>['Please', 'Telkomsel', 'fix', 'service', 'list', 'package', 'combo', 'wuzzz', 'lemoot', 'love', 'star', 'complaint', ' Customers', 'Telkomsel', 'Please', 'followed up']</v>
      </c>
      <c r="D20750" s="3">
        <v>5.0</v>
      </c>
    </row>
    <row r="20751" ht="15.75" customHeight="1">
      <c r="A20751" s="1">
        <v>22056.0</v>
      </c>
      <c r="B20751" s="3" t="s">
        <v>19616</v>
      </c>
      <c r="C20751" s="3" t="str">
        <f>IFERROR(__xludf.DUMMYFUNCTION("GOOGLETRANSLATE(B20751,""id"",""en"")"),"['Help', 'really', 'mytelkomsel']")</f>
        <v>['Help', 'really', 'mytelkomsel']</v>
      </c>
      <c r="D20751" s="3">
        <v>3.0</v>
      </c>
    </row>
    <row r="20752" ht="15.75" customHeight="1">
      <c r="A20752" s="1">
        <v>22057.0</v>
      </c>
      <c r="B20752" s="3" t="s">
        <v>19617</v>
      </c>
      <c r="C20752" s="3" t="str">
        <f>IFERROR(__xludf.DUMMYFUNCTION("GOOGLETRANSLATE(B20752,""id"",""en"")"),"['Loading', 'really']")</f>
        <v>['Loading', 'really']</v>
      </c>
      <c r="D20752" s="3">
        <v>1.0</v>
      </c>
    </row>
    <row r="20753" ht="15.75" customHeight="1">
      <c r="A20753" s="1">
        <v>22058.0</v>
      </c>
      <c r="B20753" s="3" t="s">
        <v>19618</v>
      </c>
      <c r="C20753" s="3" t="str">
        <f>IFERROR(__xludf.DUMMYFUNCTION("GOOGLETRANSLATE(B20753,""id"",""en"")"),"['Restore', 'Price', 'Package', 'Cheap', 'Min', '']")</f>
        <v>['Restore', 'Price', 'Package', 'Cheap', 'Min', '']</v>
      </c>
      <c r="D20753" s="3">
        <v>1.0</v>
      </c>
    </row>
    <row r="20754" ht="15.75" customHeight="1">
      <c r="A20754" s="1">
        <v>22059.0</v>
      </c>
      <c r="B20754" s="3" t="s">
        <v>19619</v>
      </c>
      <c r="C20754" s="3" t="str">
        <f>IFERROR(__xludf.DUMMYFUNCTION("GOOGLETRANSLATE(B20754,""id"",""en"")"),"['signal', 'Gara', 'Gara', 'comeback', 'already', 'expensive', 'lag', 'really', 'star']")</f>
        <v>['signal', 'Gara', 'Gara', 'comeback', 'already', 'expensive', 'lag', 'really', 'star']</v>
      </c>
      <c r="D20754" s="3">
        <v>1.0</v>
      </c>
    </row>
    <row r="20755" ht="15.75" customHeight="1">
      <c r="A20755" s="1">
        <v>22060.0</v>
      </c>
      <c r="B20755" s="3" t="s">
        <v>19620</v>
      </c>
      <c r="C20755" s="3" t="str">
        <f>IFERROR(__xludf.DUMMYFUNCTION("GOOGLETRANSLATE(B20755,""id"",""en"")"),"['Strange', 'Yesterday', 'Out', 'Down', 'Application']")</f>
        <v>['Strange', 'Yesterday', 'Out', 'Down', 'Application']</v>
      </c>
      <c r="D20755" s="3">
        <v>1.0</v>
      </c>
    </row>
    <row r="20756" ht="15.75" customHeight="1">
      <c r="A20756" s="1">
        <v>22061.0</v>
      </c>
      <c r="B20756" s="3" t="s">
        <v>19621</v>
      </c>
      <c r="C20756" s="3" t="str">
        <f>IFERROR(__xludf.DUMMYFUNCTION("GOOGLETRANSLATE(B20756,""id"",""en"")"),"['already', 'Install', 'Uninstall', 'Masi', 'Kaga', 'Open', 'strange', 'really', 'really', 'sometimes',' help ',' run out ',' Suddenly ',' fast ',' Error ']")</f>
        <v>['already', 'Install', 'Uninstall', 'Masi', 'Kaga', 'Open', 'strange', 'really', 'really', 'sometimes',' help ',' run out ',' Suddenly ',' fast ',' Error ']</v>
      </c>
      <c r="D20756" s="3">
        <v>3.0</v>
      </c>
    </row>
    <row r="20757" ht="15.75" customHeight="1">
      <c r="A20757" s="1">
        <v>22062.0</v>
      </c>
      <c r="B20757" s="3" t="s">
        <v>19622</v>
      </c>
      <c r="C20757" s="3" t="str">
        <f>IFERROR(__xludf.DUMMYFUNCTION("GOOGLETRANSLATE(B20757,""id"",""en"")"),"['Love', 'program']")</f>
        <v>['Love', 'program']</v>
      </c>
      <c r="D20757" s="3">
        <v>4.0</v>
      </c>
    </row>
    <row r="20758" ht="15.75" customHeight="1">
      <c r="A20758" s="1">
        <v>22063.0</v>
      </c>
      <c r="B20758" s="3" t="s">
        <v>19623</v>
      </c>
      <c r="C20758" s="3" t="str">
        <f>IFERROR(__xludf.DUMMYFUNCTION("GOOGLETRANSLATE(B20758,""id"",""en"")"),"['Please', 'Telkomsel', 'Signal', 'Onten', 'JLEK', 'BNGET', 'PKET', 'Data', 'Expensive', 'Cook', 'Sinyal', 'ugly', ' Maen ',' Game ',' Nglag ',' Please ',' Fix ',' User ',' Telkomsel ',' Comfortable ',' Kayak ']")</f>
        <v>['Please', 'Telkomsel', 'Signal', 'Onten', 'JLEK', 'BNGET', 'PKET', 'Data', 'Expensive', 'Cook', 'Sinyal', 'ugly', ' Maen ',' Game ',' Nglag ',' Please ',' Fix ',' User ',' Telkomsel ',' Comfortable ',' Kayak ']</v>
      </c>
      <c r="D20758" s="3">
        <v>1.0</v>
      </c>
    </row>
    <row r="20759" ht="15.75" customHeight="1">
      <c r="A20759" s="1">
        <v>22064.0</v>
      </c>
      <c r="B20759" s="3" t="s">
        <v>19624</v>
      </c>
      <c r="C20759" s="3" t="str">
        <f>IFERROR(__xludf.DUMMYFUNCTION("GOOGLETRANSLATE(B20759,""id"",""en"")"),"['Star', 'connection', 'stable', '']")</f>
        <v>['Star', 'connection', 'stable', '']</v>
      </c>
      <c r="D20759" s="3">
        <v>1.0</v>
      </c>
    </row>
    <row r="20760" ht="15.75" customHeight="1">
      <c r="A20760" s="1">
        <v>22065.0</v>
      </c>
      <c r="B20760" s="3" t="s">
        <v>19625</v>
      </c>
      <c r="C20760" s="3" t="str">
        <f>IFERROR(__xludf.DUMMYFUNCTION("GOOGLETRANSLATE(B20760,""id"",""en"")"),"['package', 'expensive', 'connection', 'no', 'stable', 'ping', 'great']")</f>
        <v>['package', 'expensive', 'connection', 'no', 'stable', 'ping', 'great']</v>
      </c>
      <c r="D20760" s="3">
        <v>1.0</v>
      </c>
    </row>
    <row r="20761" ht="15.75" customHeight="1">
      <c r="A20761" s="1">
        <v>22066.0</v>
      </c>
      <c r="B20761" s="3" t="s">
        <v>19626</v>
      </c>
      <c r="C20761" s="3" t="str">
        <f>IFERROR(__xludf.DUMMYFUNCTION("GOOGLETRANSLATE(B20761,""id"",""en"")"),"['network', 'Telkomsel', 'difficult', 'really', 'right', 'buy', 'good', 'until', 'ngelag', 'really']")</f>
        <v>['network', 'Telkomsel', 'difficult', 'really', 'right', 'buy', 'good', 'until', 'ngelag', 'really']</v>
      </c>
      <c r="D20761" s="3">
        <v>2.0</v>
      </c>
    </row>
    <row r="20762" ht="15.75" customHeight="1">
      <c r="A20762" s="1">
        <v>22067.0</v>
      </c>
      <c r="B20762" s="3" t="s">
        <v>19627</v>
      </c>
      <c r="C20762" s="3" t="str">
        <f>IFERROR(__xludf.DUMMYFUNCTION("GOOGLETRANSLATE(B20762,""id"",""en"")"),"['Telkomsel', 'Severe', 'Network', 'Internet', 'Please', 'MHN', 'Repaired']")</f>
        <v>['Telkomsel', 'Severe', 'Network', 'Internet', 'Please', 'MHN', 'Repaired']</v>
      </c>
      <c r="D20762" s="3">
        <v>2.0</v>
      </c>
    </row>
    <row r="20763" ht="15.75" customHeight="1">
      <c r="A20763" s="1">
        <v>22068.0</v>
      </c>
      <c r="B20763" s="3" t="s">
        <v>19628</v>
      </c>
      <c r="C20763" s="3" t="str">
        <f>IFERROR(__xludf.DUMMYFUNCTION("GOOGLETRANSLATE(B20763,""id"",""en"")"),"['Steady', 'Telkomsel', 'can', 'quota', 'additional', 'price', 'user']")</f>
        <v>['Steady', 'Telkomsel', 'can', 'quota', 'additional', 'price', 'user']</v>
      </c>
      <c r="D20763" s="3">
        <v>5.0</v>
      </c>
    </row>
    <row r="20764" ht="15.75" customHeight="1">
      <c r="A20764" s="1">
        <v>22070.0</v>
      </c>
      <c r="B20764" s="3" t="s">
        <v>19629</v>
      </c>
      <c r="C20764" s="3" t="str">
        <f>IFERROR(__xludf.DUMMYFUNCTION("GOOGLETRANSLATE(B20764,""id"",""en"")"),"['woiii', 'how', 'network', 'BURIK', 'work', ""]")</f>
        <v>['woiii', 'how', 'network', 'BURIK', 'work', "]</v>
      </c>
      <c r="D20764" s="3">
        <v>1.0</v>
      </c>
    </row>
    <row r="20765" ht="15.75" customHeight="1">
      <c r="A20765" s="1">
        <v>22071.0</v>
      </c>
      <c r="B20765" s="3" t="s">
        <v>19630</v>
      </c>
      <c r="C20765" s="3" t="str">
        <f>IFERROR(__xludf.DUMMYFUNCTION("GOOGLETRANSLATE(B20765,""id"",""en"")"),"['Addin', 'promo']")</f>
        <v>['Addin', 'promo']</v>
      </c>
      <c r="D20765" s="3">
        <v>5.0</v>
      </c>
    </row>
    <row r="20766" ht="15.75" customHeight="1">
      <c r="A20766" s="1">
        <v>22072.0</v>
      </c>
      <c r="B20766" s="3" t="s">
        <v>19631</v>
      </c>
      <c r="C20766" s="3" t="str">
        <f>IFERROR(__xludf.DUMMYFUNCTION("GOOGLETRANSLATE(B20766,""id"",""en"")"),"['Network', 'Telkomsel', 'lag', 'Telkomsel', 'Defeat', 'Mending', 'Move', 'EXSIS']")</f>
        <v>['Network', 'Telkomsel', 'lag', 'Telkomsel', 'Defeat', 'Mending', 'Move', 'EXSIS']</v>
      </c>
      <c r="D20766" s="3">
        <v>1.0</v>
      </c>
    </row>
    <row r="20767" ht="15.75" customHeight="1">
      <c r="A20767" s="1">
        <v>22073.0</v>
      </c>
      <c r="B20767" s="3" t="s">
        <v>19632</v>
      </c>
      <c r="C20767" s="3" t="str">
        <f>IFERROR(__xludf.DUMMYFUNCTION("GOOGLETRANSLATE(B20767,""id"",""en"")"),"['signal', 'dilapidated', 'threat']")</f>
        <v>['signal', 'dilapidated', 'threat']</v>
      </c>
      <c r="D20767" s="3">
        <v>1.0</v>
      </c>
    </row>
    <row r="20768" ht="15.75" customHeight="1">
      <c r="A20768" s="1">
        <v>22074.0</v>
      </c>
      <c r="B20768" s="3" t="s">
        <v>19633</v>
      </c>
      <c r="C20768" s="3" t="str">
        <f>IFERROR(__xludf.DUMMYFUNCTION("GOOGLETRANSLATE(B20768,""id"",""en"")"),"['already', 'lazy', 'package', 'difficult', 'enter', 'pulse', 'mah', 'ilang', 'udh', 'mah', 'signal', 'disorder', ' Mulu ',' Change ',' Ajh ',' ']")</f>
        <v>['already', 'lazy', 'package', 'difficult', 'enter', 'pulse', 'mah', 'ilang', 'udh', 'mah', 'signal', 'disorder', ' Mulu ',' Change ',' Ajh ',' ']</v>
      </c>
      <c r="D20768" s="3">
        <v>1.0</v>
      </c>
    </row>
    <row r="20769" ht="15.75" customHeight="1">
      <c r="A20769" s="1">
        <v>22075.0</v>
      </c>
      <c r="B20769" s="3" t="s">
        <v>19634</v>
      </c>
      <c r="C20769" s="3" t="str">
        <f>IFERROR(__xludf.DUMMYFUNCTION("GOOGLETRANSLATE(B20769,""id"",""en"")"),"['Leh', 'signal', 'right', 'Negame', 'broken', 'mulu', 'signal', 'full', 'base', 'idiot', ""]")</f>
        <v>['Leh', 'signal', 'right', 'Negame', 'broken', 'mulu', 'signal', 'full', 'base', 'idiot', "]</v>
      </c>
      <c r="D20769" s="3">
        <v>3.0</v>
      </c>
    </row>
    <row r="20770" ht="15.75" customHeight="1">
      <c r="A20770" s="1">
        <v>22076.0</v>
      </c>
      <c r="B20770" s="3" t="s">
        <v>19635</v>
      </c>
      <c r="C20770" s="3" t="str">
        <f>IFERROR(__xludf.DUMMYFUNCTION("GOOGLETRANSLATE(B20770,""id"",""en"")"),"['Satisfied', 'Logout', 'Application', 'Enter', 'Have', 'Wait', 'SMS', 'Verivikasi', 'Code', 'Verif']")</f>
        <v>['Satisfied', 'Logout', 'Application', 'Enter', 'Have', 'Wait', 'SMS', 'Verivikasi', 'Code', 'Verif']</v>
      </c>
      <c r="D20770" s="3">
        <v>1.0</v>
      </c>
    </row>
    <row r="20771" ht="15.75" customHeight="1">
      <c r="A20771" s="1">
        <v>22077.0</v>
      </c>
      <c r="B20771" s="3" t="s">
        <v>19636</v>
      </c>
      <c r="C20771" s="3" t="str">
        <f>IFERROR(__xludf.DUMMYFUNCTION("GOOGLETRANSLATE(B20771,""id"",""en"")"),"['Telkomsel', 'lag', 'broken', ""]")</f>
        <v>['Telkomsel', 'lag', 'broken', "]</v>
      </c>
      <c r="D20771" s="3">
        <v>1.0</v>
      </c>
    </row>
    <row r="20772" ht="15.75" customHeight="1">
      <c r="A20772" s="1">
        <v>22078.0</v>
      </c>
      <c r="B20772" s="3" t="s">
        <v>19637</v>
      </c>
      <c r="C20772" s="3" t="str">
        <f>IFERROR(__xludf.DUMMYFUNCTION("GOOGLETRANSLATE(B20772,""id"",""en"")"),"['Network', 'sometimes', 'broke', 'sister', 'neighbor', 'friend', 'hanging out', 'gimnaaaaa', 'price', 'doang', 'diggedein', 'quality' zero ',' slow ',' games', 'weve', 'Naturally', 'connection', 'belongs',' person ',' please ',' berberin ']")</f>
        <v>['Network', 'sometimes', 'broke', 'sister', 'neighbor', 'friend', 'hanging out', 'gimnaaaaa', 'price', 'doang', 'diggedein', 'quality' zero ',' slow ',' games', 'weve', 'Naturally', 'connection', 'belongs',' person ',' please ',' berberin ']</v>
      </c>
      <c r="D20772" s="3">
        <v>1.0</v>
      </c>
    </row>
    <row r="20773" ht="15.75" customHeight="1">
      <c r="A20773" s="1">
        <v>22079.0</v>
      </c>
      <c r="B20773" s="3" t="s">
        <v>19638</v>
      </c>
      <c r="C20773" s="3" t="str">
        <f>IFERROR(__xludf.DUMMYFUNCTION("GOOGLETRANSLATE(B20773,""id"",""en"")"),"['Nggk', 'Take', 'Pket', 'Telkomsel']")</f>
        <v>['Nggk', 'Take', 'Pket', 'Telkomsel']</v>
      </c>
      <c r="D20773" s="3">
        <v>1.0</v>
      </c>
    </row>
    <row r="20774" ht="15.75" customHeight="1">
      <c r="A20774" s="1">
        <v>22080.0</v>
      </c>
      <c r="B20774" s="3" t="s">
        <v>19639</v>
      </c>
      <c r="C20774" s="3" t="str">
        <f>IFERROR(__xludf.DUMMYFUNCTION("GOOGLETRANSLATE(B20774,""id"",""en"")"),"['Credit', 'Cut']")</f>
        <v>['Credit', 'Cut']</v>
      </c>
      <c r="D20774" s="3">
        <v>2.0</v>
      </c>
    </row>
    <row r="20775" ht="15.75" customHeight="1">
      <c r="A20775" s="1">
        <v>22081.0</v>
      </c>
      <c r="B20775" s="3" t="s">
        <v>1601</v>
      </c>
      <c r="C20775" s="3" t="str">
        <f>IFERROR(__xludf.DUMMYFUNCTION("GOOGLETRANSLATE(B20775,""id"",""en"")"),"['open']")</f>
        <v>['open']</v>
      </c>
      <c r="D20775" s="3">
        <v>2.0</v>
      </c>
    </row>
    <row r="20776" ht="15.75" customHeight="1">
      <c r="A20776" s="1">
        <v>22082.0</v>
      </c>
      <c r="B20776" s="3" t="s">
        <v>19640</v>
      </c>
      <c r="C20776" s="3" t="str">
        <f>IFERROR(__xludf.DUMMYFUNCTION("GOOGLETRANSLATE(B20776,""id"",""en"")"),"['Connected', 'Fund', 'Login', 'Manual', '']")</f>
        <v>['Connected', 'Fund', 'Login', 'Manual', '']</v>
      </c>
      <c r="D20776" s="3">
        <v>2.0</v>
      </c>
    </row>
    <row r="20777" ht="15.75" customHeight="1">
      <c r="A20777" s="1">
        <v>22083.0</v>
      </c>
      <c r="B20777" s="3" t="s">
        <v>19641</v>
      </c>
      <c r="C20777" s="3" t="str">
        <f>IFERROR(__xludf.DUMMYFUNCTION("GOOGLETRANSLATE(B20777,""id"",""en"")"),"['My place', 'The network', 'Bingiitss', '']")</f>
        <v>['My place', 'The network', 'Bingiitss', '']</v>
      </c>
      <c r="D20777" s="3">
        <v>5.0</v>
      </c>
    </row>
    <row r="20778" ht="15.75" customHeight="1">
      <c r="A20778" s="1">
        <v>22084.0</v>
      </c>
      <c r="B20778" s="3" t="s">
        <v>284</v>
      </c>
      <c r="C20778" s="3" t="str">
        <f>IFERROR(__xludf.DUMMYFUNCTION("GOOGLETRANSLATE(B20778,""id"",""en"")"),"['', 'help']")</f>
        <v>['', 'help']</v>
      </c>
      <c r="D20778" s="3">
        <v>5.0</v>
      </c>
    </row>
    <row r="20779" ht="15.75" customHeight="1">
      <c r="A20779" s="1">
        <v>22086.0</v>
      </c>
      <c r="B20779" s="3" t="s">
        <v>19642</v>
      </c>
      <c r="C20779" s="3" t="str">
        <f>IFERROR(__xludf.DUMMYFUNCTION("GOOGLETRANSLATE(B20779,""id"",""en"")"),"['Likee', 'Kouta', 'Free', 'Bosss', '']")</f>
        <v>['Likee', 'Kouta', 'Free', 'Bosss', '']</v>
      </c>
      <c r="D20779" s="3">
        <v>5.0</v>
      </c>
    </row>
    <row r="20780" ht="15.75" customHeight="1">
      <c r="A20780" s="1">
        <v>22087.0</v>
      </c>
      <c r="B20780" s="3" t="s">
        <v>19643</v>
      </c>
      <c r="C20780" s="3" t="str">
        <f>IFERROR(__xludf.DUMMYFUNCTION("GOOGLETRANSLATE(B20780,""id"",""en"")"),"['signal', 'error', 'yaa']")</f>
        <v>['signal', 'error', 'yaa']</v>
      </c>
      <c r="D20780" s="3">
        <v>5.0</v>
      </c>
    </row>
    <row r="20781" ht="15.75" customHeight="1">
      <c r="A20781" s="1">
        <v>22088.0</v>
      </c>
      <c r="B20781" s="3" t="s">
        <v>19644</v>
      </c>
      <c r="C20781" s="3" t="str">
        <f>IFERROR(__xludf.DUMMYFUNCTION("GOOGLETRANSLATE(B20781,""id"",""en"")"),"['buy', 'package', 'quota', 'app']")</f>
        <v>['buy', 'package', 'quota', 'app']</v>
      </c>
      <c r="D20781" s="3">
        <v>3.0</v>
      </c>
    </row>
    <row r="20782" ht="15.75" customHeight="1">
      <c r="A20782" s="1">
        <v>22089.0</v>
      </c>
      <c r="B20782" s="3" t="s">
        <v>19645</v>
      </c>
      <c r="C20782" s="3" t="str">
        <f>IFERROR(__xludf.DUMMYFUNCTION("GOOGLETRANSLATE(B20782,""id"",""en"")"),"['Package', 'expensive', 'really']")</f>
        <v>['Package', 'expensive', 'really']</v>
      </c>
      <c r="D20782" s="3">
        <v>2.0</v>
      </c>
    </row>
    <row r="20783" ht="15.75" customHeight="1">
      <c r="A20783" s="1">
        <v>22090.0</v>
      </c>
      <c r="B20783" s="3" t="s">
        <v>19646</v>
      </c>
      <c r="C20783" s="3" t="str">
        <f>IFERROR(__xludf.DUMMYFUNCTION("GOOGLETRANSLATE(B20783,""id"",""en"")"),"['Hello', 'Telkomsel', 'cave', 'minjem', 'pulse', 'forced', 'minjem', 'credit', 'loan', 'automatic', 'already', 'message', ' Borrow ',' pulse ',' emang ',' telkom ',' feel ',' minjem ',' play ',' journey ',' rich ',' gini ',' pulse ',' tup ',' pay ' , 'de"&amp;"bt', 'already', 'playing', 'ngeleg', 'ngeleg', 'Kaota', 'expensive', 'expensive', 'really', 'uh', 'dizzy', 'palaku', ' Please, 'Caotanya', 'Collapin', 'Price']")</f>
        <v>['Hello', 'Telkomsel', 'cave', 'minjem', 'pulse', 'forced', 'minjem', 'credit', 'loan', 'automatic', 'already', 'message', ' Borrow ',' pulse ',' emang ',' telkom ',' feel ',' minjem ',' play ',' journey ',' rich ',' gini ',' pulse ',' tup ',' pay ' , 'debt', 'already', 'playing', 'ngeleg', 'ngeleg', 'Kaota', 'expensive', 'expensive', 'really', 'uh', 'dizzy', 'palaku', ' Please, 'Caotanya', 'Collapin', 'Price']</v>
      </c>
      <c r="D20783" s="3">
        <v>2.0</v>
      </c>
    </row>
    <row r="20784" ht="15.75" customHeight="1">
      <c r="A20784" s="1">
        <v>22092.0</v>
      </c>
      <c r="B20784" s="3" t="s">
        <v>19647</v>
      </c>
      <c r="C20784" s="3" t="str">
        <f>IFERROR(__xludf.DUMMYFUNCTION("GOOGLETRANSLATE(B20784,""id"",""en"")"),"['Application', 'crazy', 'open', '']")</f>
        <v>['Application', 'crazy', 'open', '']</v>
      </c>
      <c r="D20784" s="3">
        <v>2.0</v>
      </c>
    </row>
    <row r="20785" ht="15.75" customHeight="1">
      <c r="A20785" s="1">
        <v>22094.0</v>
      </c>
      <c r="B20785" s="3" t="s">
        <v>19648</v>
      </c>
      <c r="C20785" s="3" t="str">
        <f>IFERROR(__xludf.DUMMYFUNCTION("GOOGLETRANSLATE(B20785,""id"",""en"")"),"['great']")</f>
        <v>['great']</v>
      </c>
      <c r="D20785" s="3">
        <v>5.0</v>
      </c>
    </row>
    <row r="20786" ht="15.75" customHeight="1">
      <c r="A20786" s="1">
        <v>22095.0</v>
      </c>
      <c r="B20786" s="3" t="s">
        <v>19649</v>
      </c>
      <c r="C20786" s="3" t="str">
        <f>IFERROR(__xludf.DUMMYFUNCTION("GOOGLETRANSLATE(B20786,""id"",""en"")"),"['Hi', 'min', 'unlimited', 'call', 'no']")</f>
        <v>['Hi', 'min', 'unlimited', 'call', 'no']</v>
      </c>
      <c r="D20786" s="3">
        <v>1.0</v>
      </c>
    </row>
    <row r="20787" ht="15.75" customHeight="1">
      <c r="A20787" s="1">
        <v>22096.0</v>
      </c>
      <c r="B20787" s="3" t="s">
        <v>19650</v>
      </c>
      <c r="C20787" s="3" t="str">
        <f>IFERROR(__xludf.DUMMYFUNCTION("GOOGLETRANSLATE(B20787,""id"",""en"")"),"['card', 'expensive', 'package', 'expensive', 'network', 'destroyed']")</f>
        <v>['card', 'expensive', 'package', 'expensive', 'network', 'destroyed']</v>
      </c>
      <c r="D20787" s="3">
        <v>1.0</v>
      </c>
    </row>
    <row r="20788" ht="15.75" customHeight="1">
      <c r="A20788" s="1">
        <v>22097.0</v>
      </c>
      <c r="B20788" s="3" t="s">
        <v>19651</v>
      </c>
      <c r="C20788" s="3" t="str">
        <f>IFERROR(__xludf.DUMMYFUNCTION("GOOGLETRANSLATE(B20788,""id"",""en"")"),"['Cheap', 'steady']")</f>
        <v>['Cheap', 'steady']</v>
      </c>
      <c r="D20788" s="3">
        <v>5.0</v>
      </c>
    </row>
    <row r="20789" ht="15.75" customHeight="1">
      <c r="A20789" s="1">
        <v>22098.0</v>
      </c>
      <c r="B20789" s="3" t="s">
        <v>19652</v>
      </c>
      <c r="C20789" s="3" t="str">
        <f>IFERROR(__xludf.DUMMYFUNCTION("GOOGLETRANSLATE(B20789,""id"",""en"")"),"['Error', 'difficult', 'opened']")</f>
        <v>['Error', 'difficult', 'opened']</v>
      </c>
      <c r="D20789" s="3">
        <v>2.0</v>
      </c>
    </row>
    <row r="20790" ht="15.75" customHeight="1">
      <c r="A20790" s="1">
        <v>22099.0</v>
      </c>
      <c r="B20790" s="3" t="s">
        <v>19653</v>
      </c>
      <c r="C20790" s="3" t="str">
        <f>IFERROR(__xludf.DUMMYFUNCTION("GOOGLETRANSLATE(B20790,""id"",""en"")"),"['network', 'internet', 'run', 'DFN', 'Honest', 'disappointing', 'darling', 'area', 'NDA', 'Telkomsel', 'already', 'wasted', ' cards', 'price', 'quota', 'mhal', 'network', 'nda', 'useful', 'take', 'luck', 'doang', 'developer', 'jerk', ""]")</f>
        <v>['network', 'internet', 'run', 'DFN', 'Honest', 'disappointing', 'darling', 'area', 'NDA', 'Telkomsel', 'already', 'wasted', ' cards', 'price', 'quota', 'mhal', 'network', 'nda', 'useful', 'take', 'luck', 'doang', 'developer', 'jerk', "]</v>
      </c>
      <c r="D20790" s="3">
        <v>1.0</v>
      </c>
    </row>
    <row r="20791" ht="15.75" customHeight="1">
      <c r="A20791" s="1">
        <v>22100.0</v>
      </c>
      <c r="B20791" s="3" t="s">
        <v>19654</v>
      </c>
      <c r="C20791" s="3" t="str">
        <f>IFERROR(__xludf.DUMMYFUNCTION("GOOGLETRANSLATE(B20791,""id"",""en"")"),"['Add', 'Package', 'Giganet', 'GB', 'Min', ""]")</f>
        <v>['Add', 'Package', 'Giganet', 'GB', 'Min', "]</v>
      </c>
      <c r="D20791" s="3">
        <v>5.0</v>
      </c>
    </row>
    <row r="20792" ht="15.75" customHeight="1">
      <c r="A20792" s="1">
        <v>22101.0</v>
      </c>
      <c r="B20792" s="3" t="s">
        <v>19655</v>
      </c>
      <c r="C20792" s="3" t="str">
        <f>IFERROR(__xludf.DUMMYFUNCTION("GOOGLETRANSLATE(B20792,""id"",""en"")"),"['Useful', 'Application', 'Telkomsel', 'Thank you', 'Telkomsel']")</f>
        <v>['Useful', 'Application', 'Telkomsel', 'Thank you', 'Telkomsel']</v>
      </c>
      <c r="D20792" s="3">
        <v>5.0</v>
      </c>
    </row>
    <row r="20793" ht="15.75" customHeight="1">
      <c r="A20793" s="1">
        <v>22102.0</v>
      </c>
      <c r="B20793" s="3" t="s">
        <v>19656</v>
      </c>
      <c r="C20793" s="3" t="str">
        <f>IFERROR(__xludf.DUMMYFUNCTION("GOOGLETRANSLATE(B20793,""id"",""en"")"),"['pulses', 'rise', 'Min', '']")</f>
        <v>['pulses', 'rise', 'Min', '']</v>
      </c>
      <c r="D20793" s="3">
        <v>4.0</v>
      </c>
    </row>
    <row r="20794" ht="15.75" customHeight="1">
      <c r="A20794" s="1">
        <v>22103.0</v>
      </c>
      <c r="B20794" s="3" t="s">
        <v>19657</v>
      </c>
      <c r="C20794" s="3" t="str">
        <f>IFERROR(__xludf.DUMMYFUNCTION("GOOGLETRANSLATE(B20794,""id"",""en"")"),"['loyal', 'really', 'Telkomsel', 'get', 'Lottery', '']")</f>
        <v>['loyal', 'really', 'Telkomsel', 'get', 'Lottery', '']</v>
      </c>
      <c r="D20794" s="3">
        <v>5.0</v>
      </c>
    </row>
    <row r="20795" ht="15.75" customHeight="1">
      <c r="A20795" s="1">
        <v>22104.0</v>
      </c>
      <c r="B20795" s="3" t="s">
        <v>19658</v>
      </c>
      <c r="C20795" s="3" t="str">
        <f>IFERROR(__xludf.DUMMYFUNCTION("GOOGLETRANSLATE(B20795,""id"",""en"")"),"['Hopefully', 'Bermana', '']")</f>
        <v>['Hopefully', 'Bermana', '']</v>
      </c>
      <c r="D20795" s="3">
        <v>1.0</v>
      </c>
    </row>
    <row r="20796" ht="15.75" customHeight="1">
      <c r="A20796" s="1">
        <v>22105.0</v>
      </c>
      <c r="B20796" s="3" t="s">
        <v>19659</v>
      </c>
      <c r="C20796" s="3" t="str">
        <f>IFERROR(__xludf.DUMMYFUNCTION("GOOGLETRANSLATE(B20796,""id"",""en"")"),"['Like', 'Application', 'Telkomsel', 'Telkomsel', 'Ribet', 'Buy', 'Package', 'Internet']")</f>
        <v>['Like', 'Application', 'Telkomsel', 'Telkomsel', 'Ribet', 'Buy', 'Package', 'Internet']</v>
      </c>
      <c r="D20796" s="3">
        <v>5.0</v>
      </c>
    </row>
    <row r="20797" ht="15.75" customHeight="1">
      <c r="A20797" s="1">
        <v>22106.0</v>
      </c>
      <c r="B20797" s="3" t="s">
        <v>19660</v>
      </c>
      <c r="C20797" s="3" t="str">
        <f>IFERROR(__xludf.DUMMYFUNCTION("GOOGLETRANSLATE(B20797,""id"",""en"")"),"['Super', 'Leet', 'Telkomsel']")</f>
        <v>['Super', 'Leet', 'Telkomsel']</v>
      </c>
      <c r="D20797" s="3">
        <v>1.0</v>
      </c>
    </row>
    <row r="20798" ht="15.75" customHeight="1">
      <c r="A20798" s="1">
        <v>22107.0</v>
      </c>
      <c r="B20798" s="3" t="s">
        <v>19661</v>
      </c>
      <c r="C20798" s="3" t="str">
        <f>IFERROR(__xludf.DUMMYFUNCTION("GOOGLETRANSLATE(B20798,""id"",""en"")"),"['The application', 'strange', 'payment', 'shopepay']")</f>
        <v>['The application', 'strange', 'payment', 'shopepay']</v>
      </c>
      <c r="D20798" s="3">
        <v>1.0</v>
      </c>
    </row>
    <row r="20799" ht="15.75" customHeight="1">
      <c r="A20799" s="1">
        <v>22108.0</v>
      </c>
      <c r="B20799" s="3" t="s">
        <v>19662</v>
      </c>
      <c r="C20799" s="3" t="str">
        <f>IFERROR(__xludf.DUMMYFUNCTION("GOOGLETRANSLATE(B20799,""id"",""en"")"),"['uda', 'expensive', 'emotion', 'loss', 'causing', 'kebanting', 'deliberate', '']")</f>
        <v>['uda', 'expensive', 'emotion', 'loss', 'causing', 'kebanting', 'deliberate', '']</v>
      </c>
      <c r="D20799" s="3">
        <v>1.0</v>
      </c>
    </row>
    <row r="20800" ht="15.75" customHeight="1">
      <c r="A20800" s="1">
        <v>22109.0</v>
      </c>
      <c r="B20800" s="3" t="s">
        <v>14725</v>
      </c>
      <c r="C20800" s="3" t="str">
        <f>IFERROR(__xludf.DUMMYFUNCTION("GOOGLETRANSLATE(B20800,""id"",""en"")"),"['promo']")</f>
        <v>['promo']</v>
      </c>
      <c r="D20800" s="3">
        <v>5.0</v>
      </c>
    </row>
    <row r="20801" ht="15.75" customHeight="1">
      <c r="A20801" s="1">
        <v>22110.0</v>
      </c>
      <c r="B20801" s="3" t="s">
        <v>19663</v>
      </c>
      <c r="C20801" s="3" t="str">
        <f>IFERROR(__xludf.DUMMYFUNCTION("GOOGLETRANSLATE(B20801,""id"",""en"")"),"['update', 'opened', 'screen', 'white', 'call', 'told', 'clear', 'cache', 'already', 'do', 'no', 'application', ' fail']")</f>
        <v>['update', 'opened', 'screen', 'white', 'call', 'told', 'clear', 'cache', 'already', 'do', 'no', 'application', ' fail']</v>
      </c>
      <c r="D20801" s="3">
        <v>1.0</v>
      </c>
    </row>
    <row r="20802" ht="15.75" customHeight="1">
      <c r="A20802" s="1">
        <v>22111.0</v>
      </c>
      <c r="B20802" s="3" t="s">
        <v>19664</v>
      </c>
      <c r="C20802" s="3" t="str">
        <f>IFERROR(__xludf.DUMMYFUNCTION("GOOGLETRANSLATE(B20802,""id"",""en"")"),"['expensive', 'love', 'event', 'cheap', '']")</f>
        <v>['expensive', 'love', 'event', 'cheap', '']</v>
      </c>
      <c r="D20802" s="3">
        <v>5.0</v>
      </c>
    </row>
    <row r="20803" ht="15.75" customHeight="1">
      <c r="A20803" s="1">
        <v>22112.0</v>
      </c>
      <c r="B20803" s="3" t="s">
        <v>19665</v>
      </c>
      <c r="C20803" s="3" t="str">
        <f>IFERROR(__xludf.DUMMYFUNCTION("GOOGLETRANSLATE(B20803,""id"",""en"")"),"['trimaxih', 'application', 'hope', 'in the future', 'petrified']")</f>
        <v>['trimaxih', 'application', 'hope', 'in the future', 'petrified']</v>
      </c>
      <c r="D20803" s="3">
        <v>3.0</v>
      </c>
    </row>
    <row r="20804" ht="15.75" customHeight="1">
      <c r="A20804" s="1">
        <v>22113.0</v>
      </c>
      <c r="B20804" s="3" t="s">
        <v>846</v>
      </c>
      <c r="C20804" s="3" t="str">
        <f>IFERROR(__xludf.DUMMYFUNCTION("GOOGLETRANSLATE(B20804,""id"",""en"")"),"['application', 'good']")</f>
        <v>['application', 'good']</v>
      </c>
      <c r="D20804" s="3">
        <v>4.0</v>
      </c>
    </row>
    <row r="20805" ht="15.75" customHeight="1">
      <c r="A20805" s="1">
        <v>22114.0</v>
      </c>
      <c r="B20805" s="3" t="s">
        <v>1191</v>
      </c>
      <c r="C20805" s="3" t="str">
        <f>IFERROR(__xludf.DUMMYFUNCTION("GOOGLETRANSLATE(B20805,""id"",""en"")"),"['APK']")</f>
        <v>['APK']</v>
      </c>
      <c r="D20805" s="3">
        <v>5.0</v>
      </c>
    </row>
    <row r="20806" ht="15.75" customHeight="1">
      <c r="A20806" s="1">
        <v>22115.0</v>
      </c>
      <c r="B20806" s="3" t="s">
        <v>19666</v>
      </c>
      <c r="C20806" s="3" t="str">
        <f>IFERROR(__xludf.DUMMYFUNCTION("GOOGLETRANSLATE(B20806,""id"",""en"")"),"['promo', 'buy', 'package', 'data', 'cheap', 'application', 'Telkomsel']")</f>
        <v>['promo', 'buy', 'package', 'data', 'cheap', 'application', 'Telkomsel']</v>
      </c>
      <c r="D20806" s="3">
        <v>5.0</v>
      </c>
    </row>
    <row r="20807" ht="15.75" customHeight="1">
      <c r="A20807" s="1">
        <v>22116.0</v>
      </c>
      <c r="B20807" s="3" t="s">
        <v>19667</v>
      </c>
      <c r="C20807" s="3" t="str">
        <f>IFERROR(__xludf.DUMMYFUNCTION("GOOGLETRANSLATE(B20807,""id"",""en"")"),"['Knp', 'screen', 'white', 'opened', 'duhhh']")</f>
        <v>['Knp', 'screen', 'white', 'opened', 'duhhh']</v>
      </c>
      <c r="D20807" s="3">
        <v>3.0</v>
      </c>
    </row>
    <row r="20808" ht="15.75" customHeight="1">
      <c r="A20808" s="1">
        <v>22117.0</v>
      </c>
      <c r="B20808" s="3" t="s">
        <v>19668</v>
      </c>
      <c r="C20808" s="3" t="str">
        <f>IFERROR(__xludf.DUMMYFUNCTION("GOOGLETRANSLATE(B20808,""id"",""en"")"),"['Steady', 'easy', 'cheap', 'Telkomsel']")</f>
        <v>['Steady', 'easy', 'cheap', 'Telkomsel']</v>
      </c>
      <c r="D20808" s="3">
        <v>5.0</v>
      </c>
    </row>
    <row r="20809" ht="15.75" customHeight="1">
      <c r="A20809" s="1">
        <v>22118.0</v>
      </c>
      <c r="B20809" s="3" t="s">
        <v>19669</v>
      </c>
      <c r="C20809" s="3" t="str">
        <f>IFERROR(__xludf.DUMMYFUNCTION("GOOGLETRANSLATE(B20809,""id"",""en"")"),"['info', 'ngk', 'response', 'ama', 'telkomsel', 'while', 'belom', 'already', 'buy', 'package', 'game', 'suggest', ' Buy ',' Koutaa ',' Internet ',' GB ',' Package ',' Game ',' Raying ',' Buy ']")</f>
        <v>['info', 'ngk', 'response', 'ama', 'telkomsel', 'while', 'belom', 'already', 'buy', 'package', 'game', 'suggest', ' Buy ',' Koutaa ',' Internet ',' GB ',' Package ',' Game ',' Raying ',' Buy ']</v>
      </c>
      <c r="D20809" s="3">
        <v>1.0</v>
      </c>
    </row>
    <row r="20810" ht="15.75" customHeight="1">
      <c r="A20810" s="1">
        <v>22119.0</v>
      </c>
      <c r="B20810" s="3" t="s">
        <v>19670</v>
      </c>
      <c r="C20810" s="3" t="str">
        <f>IFERROR(__xludf.DUMMYFUNCTION("GOOGLETRANSLATE(B20810,""id"",""en"")"),"['promo', 'price', 'cheap', 'buy', 'quota', 'internet', 'knpa', 'price', 'different', 'high school', 'user', 'krtu', ' KRTU ',' Tends', 'Sngat', 'Cheap', 'Fair', 'Please', 'Policy', 'Thank you']")</f>
        <v>['promo', 'price', 'cheap', 'buy', 'quota', 'internet', 'knpa', 'price', 'different', 'high school', 'user', 'krtu', ' KRTU ',' Tends', 'Sngat', 'Cheap', 'Fair', 'Please', 'Policy', 'Thank you']</v>
      </c>
      <c r="D20810" s="3">
        <v>1.0</v>
      </c>
    </row>
    <row r="20811" ht="15.75" customHeight="1">
      <c r="A20811" s="1">
        <v>22120.0</v>
      </c>
      <c r="B20811" s="3" t="s">
        <v>19671</v>
      </c>
      <c r="C20811" s="3" t="str">
        <f>IFERROR(__xludf.DUMMYFUNCTION("GOOGLETRANSLATE(B20811,""id"",""en"")"),"['network', 'telkosel', 'stable', 'please', 'fix']")</f>
        <v>['network', 'telkosel', 'stable', 'please', 'fix']</v>
      </c>
      <c r="D20811" s="3">
        <v>5.0</v>
      </c>
    </row>
    <row r="20812" ht="15.75" customHeight="1">
      <c r="A20812" s="1">
        <v>22121.0</v>
      </c>
      <c r="B20812" s="3" t="s">
        <v>19672</v>
      </c>
      <c r="C20812" s="3" t="str">
        <f>IFERROR(__xludf.DUMMYFUNCTION("GOOGLETRANSLATE(B20812,""id"",""en"")"),"['Please', 'fix', 'heavy', 'apps', 'mkek', 'kentank', '']")</f>
        <v>['Please', 'fix', 'heavy', 'apps', 'mkek', 'kentank', '']</v>
      </c>
      <c r="D20812" s="3">
        <v>1.0</v>
      </c>
    </row>
    <row r="20813" ht="15.75" customHeight="1">
      <c r="A20813" s="1">
        <v>22122.0</v>
      </c>
      <c r="B20813" s="3" t="s">
        <v>19673</v>
      </c>
      <c r="C20813" s="3" t="str">
        <f>IFERROR(__xludf.DUMMYFUNCTION("GOOGLETRANSLATE(B20813,""id"",""en"")"),"['Useful', 'really', 'purchase', 'package', 'data']")</f>
        <v>['Useful', 'really', 'purchase', 'package', 'data']</v>
      </c>
      <c r="D20813" s="3">
        <v>5.0</v>
      </c>
    </row>
    <row r="20814" ht="15.75" customHeight="1">
      <c r="A20814" s="1">
        <v>22123.0</v>
      </c>
      <c r="B20814" s="3" t="s">
        <v>19674</v>
      </c>
      <c r="C20814" s="3" t="str">
        <f>IFERROR(__xludf.DUMMYFUNCTION("GOOGLETRANSLATE(B20814,""id"",""en"")"),"['slow', 'really', 'network', 'time', 'buy', 'unlimited', 'giga', ""]")</f>
        <v>['slow', 'really', 'network', 'time', 'buy', 'unlimited', 'giga', "]</v>
      </c>
      <c r="D20814" s="3">
        <v>2.0</v>
      </c>
    </row>
    <row r="20815" ht="15.75" customHeight="1">
      <c r="A20815" s="1">
        <v>22124.0</v>
      </c>
      <c r="B20815" s="3" t="s">
        <v>19675</v>
      </c>
      <c r="C20815" s="3" t="str">
        <f>IFERROR(__xludf.DUMMYFUNCTION("GOOGLETRANSLATE(B20815,""id"",""en"")"),"['menu', 'chekin', 'lost', 'yesterday', 'turn', 'claim', 'package', 'data', 'lost', 'the application', ""]")</f>
        <v>['menu', 'chekin', 'lost', 'yesterday', 'turn', 'claim', 'package', 'data', 'lost', 'the application', "]</v>
      </c>
      <c r="D20815" s="3">
        <v>2.0</v>
      </c>
    </row>
    <row r="20816" ht="15.75" customHeight="1">
      <c r="A20816" s="1">
        <v>22125.0</v>
      </c>
      <c r="B20816" s="3" t="s">
        <v>19676</v>
      </c>
      <c r="C20816" s="3" t="str">
        <f>IFERROR(__xludf.DUMMYFUNCTION("GOOGLETRANSLATE(B20816,""id"",""en"")"),"['APK', 'good', 'ugly', 'times', 'wadepaken', ""]")</f>
        <v>['APK', 'good', 'ugly', 'times', 'wadepaken', "]</v>
      </c>
      <c r="D20816" s="3">
        <v>5.0</v>
      </c>
    </row>
    <row r="20817" ht="15.75" customHeight="1">
      <c r="A20817" s="1">
        <v>22126.0</v>
      </c>
      <c r="B20817" s="3" t="s">
        <v>19677</v>
      </c>
      <c r="C20817" s="3" t="str">
        <f>IFERROR(__xludf.DUMMYFUNCTION("GOOGLETRANSLATE(B20817,""id"",""en"")"),"['already', 'price', 'package', 'UDH', 'Litu', 'Kouta', 'internet', 'subtract']")</f>
        <v>['already', 'price', 'package', 'UDH', 'Litu', 'Kouta', 'internet', 'subtract']</v>
      </c>
      <c r="D20817" s="3">
        <v>1.0</v>
      </c>
    </row>
    <row r="20818" ht="15.75" customHeight="1">
      <c r="A20818" s="1">
        <v>22127.0</v>
      </c>
      <c r="B20818" s="3" t="s">
        <v>19678</v>
      </c>
      <c r="C20818" s="3" t="str">
        <f>IFERROR(__xludf.DUMMYFUNCTION("GOOGLETRANSLATE(B20818,""id"",""en"")"),"['signal', 'good', 'dokampung', 'pokoe', 'dbes']")</f>
        <v>['signal', 'good', 'dokampung', 'pokoe', 'dbes']</v>
      </c>
      <c r="D20818" s="3">
        <v>5.0</v>
      </c>
    </row>
    <row r="20819" ht="15.75" customHeight="1">
      <c r="A20819" s="1">
        <v>22128.0</v>
      </c>
      <c r="B20819" s="3" t="s">
        <v>19679</v>
      </c>
      <c r="C20819" s="3" t="str">
        <f>IFERROR(__xludf.DUMMYFUNCTION("GOOGLETRANSLATE(B20819,""id"",""en"")"),"['Please', 'The network', 'check', 'all', 'area', 'my area', 'already', 'network', 'Telkomsel', 'troubled', 'tower', 'obstacle', ' network ',' Different ',' provider ',' smooth ',' network ']")</f>
        <v>['Please', 'The network', 'check', 'all', 'area', 'my area', 'already', 'network', 'Telkomsel', 'troubled', 'tower', 'obstacle', ' network ',' Different ',' provider ',' smooth ',' network ']</v>
      </c>
      <c r="D20819" s="3">
        <v>1.0</v>
      </c>
    </row>
    <row r="20820" ht="15.75" customHeight="1">
      <c r="A20820" s="1">
        <v>22129.0</v>
      </c>
      <c r="B20820" s="3" t="s">
        <v>19680</v>
      </c>
      <c r="C20820" s="3" t="str">
        <f>IFERROR(__xludf.DUMMYFUNCTION("GOOGLETRANSLATE(B20820,""id"",""en"")"),"['', 'Telkomsel', 'help', 'choose', 'choice', 'package', 'internet', 'easy', 'suggestion', 'lower', 'chosen', 'cheap', "" ]")</f>
        <v>['', 'Telkomsel', 'help', 'choose', 'choice', 'package', 'internet', 'easy', 'suggestion', 'lower', 'chosen', 'cheap', " ]</v>
      </c>
      <c r="D20820" s="3">
        <v>4.0</v>
      </c>
    </row>
    <row r="20821" ht="15.75" customHeight="1">
      <c r="A20821" s="1">
        <v>22130.0</v>
      </c>
      <c r="B20821" s="3" t="s">
        <v>19681</v>
      </c>
      <c r="C20821" s="3" t="str">
        <f>IFERROR(__xludf.DUMMYFUNCTION("GOOGLETRANSLATE(B20821,""id"",""en"")"),"['APL', 'gabisa', 'check out', 'already', 'check out', 'repeated']")</f>
        <v>['APL', 'gabisa', 'check out', 'already', 'check out', 'repeated']</v>
      </c>
      <c r="D20821" s="3">
        <v>1.0</v>
      </c>
    </row>
    <row r="20822" ht="15.75" customHeight="1">
      <c r="A20822" s="1">
        <v>22131.0</v>
      </c>
      <c r="B20822" s="3" t="s">
        <v>19682</v>
      </c>
      <c r="C20822" s="3" t="str">
        <f>IFERROR(__xludf.DUMMYFUNCTION("GOOGLETRANSLATE(B20822,""id"",""en"")"),"['Destroyed', 'Network', 'Indihome', 'Nge', 'lag', 'Network', 'Nge', 'lag']")</f>
        <v>['Destroyed', 'Network', 'Indihome', 'Nge', 'lag', 'Network', 'Nge', 'lag']</v>
      </c>
      <c r="D20822" s="3">
        <v>1.0</v>
      </c>
    </row>
    <row r="20823" ht="15.75" customHeight="1">
      <c r="A20823" s="1">
        <v>22132.0</v>
      </c>
      <c r="B20823" s="3" t="s">
        <v>19683</v>
      </c>
      <c r="C20823" s="3" t="str">
        <f>IFERROR(__xludf.DUMMYFUNCTION("GOOGLETRANSLATE(B20823,""id"",""en"")"),"['Sometimes', 'its network', 'disorder', '']")</f>
        <v>['Sometimes', 'its network', 'disorder', '']</v>
      </c>
      <c r="D20823" s="3">
        <v>3.0</v>
      </c>
    </row>
    <row r="20824" ht="15.75" customHeight="1">
      <c r="A20824" s="1">
        <v>22133.0</v>
      </c>
      <c r="B20824" s="3" t="s">
        <v>19684</v>
      </c>
      <c r="C20824" s="3" t="str">
        <f>IFERROR(__xludf.DUMMYFUNCTION("GOOGLETRANSLATE(B20824,""id"",""en"")"),"['Strengthen', 'Network']")</f>
        <v>['Strengthen', 'Network']</v>
      </c>
      <c r="D20824" s="3">
        <v>5.0</v>
      </c>
    </row>
    <row r="20825" ht="15.75" customHeight="1">
      <c r="A20825" s="1">
        <v>22134.0</v>
      </c>
      <c r="B20825" s="3" t="s">
        <v>19685</v>
      </c>
      <c r="C20825" s="3" t="str">
        <f>IFERROR(__xludf.DUMMYFUNCTION("GOOGLETRANSLATE(B20825,""id"",""en"")"),"['Believe', 'Provider', 'Error', 'Telkomsel', 'Good', 'Doubt', 'Signal', 'Lost', 'Embossed', 'Speed', 'Internet', 'Low', ' Zoom ',' Meeting ',' Waiting ',' Minutes', 'Enter', 'Browsing', 'Web', 'Minutes',' Provider ',' Competition ',' Rise ',' Telkomsel '"&amp;",' collaps' ]")</f>
        <v>['Believe', 'Provider', 'Error', 'Telkomsel', 'Good', 'Doubt', 'Signal', 'Lost', 'Embossed', 'Speed', 'Internet', 'Low', ' Zoom ',' Meeting ',' Waiting ',' Minutes', 'Enter', 'Browsing', 'Web', 'Minutes',' Provider ',' Competition ',' Rise ',' Telkomsel ',' collaps' ]</v>
      </c>
      <c r="D20825" s="3">
        <v>1.0</v>
      </c>
    </row>
    <row r="20826" ht="15.75" customHeight="1">
      <c r="A20826" s="1">
        <v>22135.0</v>
      </c>
      <c r="B20826" s="3" t="s">
        <v>19686</v>
      </c>
      <c r="C20826" s="3" t="str">
        <f>IFERROR(__xludf.DUMMYFUNCTION("GOOGLETRANSLATE(B20826,""id"",""en"")"),"['package', 'expensive', 'network', 'slow']")</f>
        <v>['package', 'expensive', 'network', 'slow']</v>
      </c>
      <c r="D20826" s="3">
        <v>1.0</v>
      </c>
    </row>
    <row r="20827" ht="15.75" customHeight="1">
      <c r="A20827" s="1">
        <v>22136.0</v>
      </c>
      <c r="B20827" s="3" t="s">
        <v>19687</v>
      </c>
      <c r="C20827" s="3" t="str">
        <f>IFERROR(__xludf.DUMMYFUNCTION("GOOGLETRANSLATE(B20827,""id"",""en"")"),"['Feature', 'share', 'pulse']")</f>
        <v>['Feature', 'share', 'pulse']</v>
      </c>
      <c r="D20827" s="3">
        <v>4.0</v>
      </c>
    </row>
    <row r="20828" ht="15.75" customHeight="1">
      <c r="A20828" s="1">
        <v>22137.0</v>
      </c>
      <c r="B20828" s="3" t="s">
        <v>19688</v>
      </c>
      <c r="C20828" s="3" t="str">
        <f>IFERROR(__xludf.DUMMYFUNCTION("GOOGLETRANSLATE(B20828,""id"",""en"")"),"['use', 'quota', 'unlimited', 'speed', 'kbps',' crazy ',' try ',' bates', 'speed', 'quota', 'tpi', 'speed', ' Still ',' Kbps ',' Decreating ',' Customers ',' Jdi ',' Happy ',' That's ',' OTW ',' Delete ',' App ',' Mending ',' Next ""]")</f>
        <v>['use', 'quota', 'unlimited', 'speed', 'kbps',' crazy ',' try ',' bates', 'speed', 'quota', 'tpi', 'speed', ' Still ',' Kbps ',' Decreating ',' Customers ',' Jdi ',' Happy ',' That's ',' OTW ',' Delete ',' App ',' Mending ',' Next "]</v>
      </c>
      <c r="D20828" s="3">
        <v>1.0</v>
      </c>
    </row>
    <row r="20829" ht="15.75" customHeight="1">
      <c r="A20829" s="1">
        <v>22138.0</v>
      </c>
      <c r="B20829" s="3" t="s">
        <v>19689</v>
      </c>
      <c r="C20829" s="3" t="str">
        <f>IFERROR(__xludf.DUMMYFUNCTION("GOOGLETRANSLATE(B20829,""id"",""en"")"),"['Application', 'Lite', 'Jueleeek']")</f>
        <v>['Application', 'Lite', 'Jueleeek']</v>
      </c>
      <c r="D20829" s="3">
        <v>1.0</v>
      </c>
    </row>
    <row r="20830" ht="15.75" customHeight="1">
      <c r="A20830" s="1">
        <v>22139.0</v>
      </c>
      <c r="B20830" s="3" t="s">
        <v>19690</v>
      </c>
      <c r="C20830" s="3" t="str">
        <f>IFERROR(__xludf.DUMMYFUNCTION("GOOGLETRANSLATE(B20830,""id"",""en"")"),"['network', 'wind', 'breeze', 'gentle', 'slow', 'forgiveness', 'mulu', 'buy', 'quota']")</f>
        <v>['network', 'wind', 'breeze', 'gentle', 'slow', 'forgiveness', 'mulu', 'buy', 'quota']</v>
      </c>
      <c r="D20830" s="3">
        <v>1.0</v>
      </c>
    </row>
    <row r="20831" ht="15.75" customHeight="1">
      <c r="A20831" s="1">
        <v>22140.0</v>
      </c>
      <c r="B20831" s="3" t="s">
        <v>19691</v>
      </c>
      <c r="C20831" s="3" t="str">
        <f>IFERROR(__xludf.DUMMYFUNCTION("GOOGLETRANSLATE(B20831,""id"",""en"")"),"['gabisa', 'enter', 'application', 'buy', 'quota', 'pulse', 'gabisa', 'balance', 'online', 'ribetttttttttttttttt']")</f>
        <v>['gabisa', 'enter', 'application', 'buy', 'quota', 'pulse', 'gabisa', 'balance', 'online', 'ribetttttttttttttttt']</v>
      </c>
      <c r="D20831" s="3">
        <v>1.0</v>
      </c>
    </row>
    <row r="20832" ht="15.75" customHeight="1">
      <c r="A20832" s="1">
        <v>22141.0</v>
      </c>
      <c r="B20832" s="3" t="s">
        <v>19692</v>
      </c>
      <c r="C20832" s="3" t="str">
        <f>IFERROR(__xludf.DUMMYFUNCTION("GOOGLETRANSLATE(B20832,""id"",""en"")"),"['Mea', 'already', 'pakek', 'expensive', 'contents', 'package', '']")</f>
        <v>['Mea', 'already', 'pakek', 'expensive', 'contents', 'package', '']</v>
      </c>
      <c r="D20832" s="3">
        <v>4.0</v>
      </c>
    </row>
    <row r="20833" ht="15.75" customHeight="1">
      <c r="A20833" s="1">
        <v>22142.0</v>
      </c>
      <c r="B20833" s="3" t="s">
        <v>19693</v>
      </c>
      <c r="C20833" s="3" t="str">
        <f>IFERROR(__xludf.DUMMYFUNCTION("GOOGLETRANSLATE(B20833,""id"",""en"")"),"['', 'Open', 'APK', 'PDHL', 'Install', 'Brang "",' ']")</f>
        <v>['', 'Open', 'APK', 'PDHL', 'Install', 'Brang ",' ']</v>
      </c>
      <c r="D20833" s="3">
        <v>1.0</v>
      </c>
    </row>
    <row r="20834" ht="15.75" customHeight="1">
      <c r="A20834" s="1">
        <v>22143.0</v>
      </c>
      <c r="B20834" s="3" t="s">
        <v>19694</v>
      </c>
      <c r="C20834" s="3" t="str">
        <f>IFERROR(__xludf.DUMMYFUNCTION("GOOGLETRANSLATE(B20834,""id"",""en"")"),"['Buy', 'Kouta', 'Game', 'Play', 'After', 'Main', 'Lag', 'Sorry', 'Buy', 'Quota', 'Telkomsel']")</f>
        <v>['Buy', 'Kouta', 'Game', 'Play', 'After', 'Main', 'Lag', 'Sorry', 'Buy', 'Quota', 'Telkomsel']</v>
      </c>
      <c r="D20834" s="3">
        <v>1.0</v>
      </c>
    </row>
    <row r="20835" ht="15.75" customHeight="1">
      <c r="A20835" s="1">
        <v>22144.0</v>
      </c>
      <c r="B20835" s="3" t="s">
        <v>19695</v>
      </c>
      <c r="C20835" s="3" t="str">
        <f>IFERROR(__xludf.DUMMYFUNCTION("GOOGLETRANSLATE(B20835,""id"",""en"")"),"['opened', 'just', 'screen', 'white']")</f>
        <v>['opened', 'just', 'screen', 'white']</v>
      </c>
      <c r="D20835" s="3">
        <v>1.0</v>
      </c>
    </row>
    <row r="20836" ht="15.75" customHeight="1">
      <c r="A20836" s="1">
        <v>22145.0</v>
      </c>
      <c r="B20836" s="3" t="s">
        <v>19696</v>
      </c>
      <c r="C20836" s="3" t="str">
        <f>IFERROR(__xludf.DUMMYFUNCTION("GOOGLETRANSLATE(B20836,""id"",""en"")"),"['UDH', 'APK', 'cave', 'open', 'how', 'SIH', 'BENARIN']")</f>
        <v>['UDH', 'APK', 'cave', 'open', 'how', 'SIH', 'BENARIN']</v>
      </c>
      <c r="D20836" s="3">
        <v>1.0</v>
      </c>
    </row>
    <row r="20837" ht="15.75" customHeight="1">
      <c r="A20837" s="1">
        <v>22147.0</v>
      </c>
      <c r="B20837" s="3" t="s">
        <v>19697</v>
      </c>
      <c r="C20837" s="3" t="str">
        <f>IFERROR(__xludf.DUMMYFUNCTION("GOOGLETRANSLATE(B20837,""id"",""en"")"),"['Cheap', 'steady', '']")</f>
        <v>['Cheap', 'steady', '']</v>
      </c>
      <c r="D20837" s="3">
        <v>5.0</v>
      </c>
    </row>
    <row r="20838" ht="15.75" customHeight="1">
      <c r="A20838" s="1">
        <v>22148.0</v>
      </c>
      <c r="B20838" s="3" t="s">
        <v>19698</v>
      </c>
      <c r="C20838" s="3" t="str">
        <f>IFERROR(__xludf.DUMMYFUNCTION("GOOGLETRANSLATE(B20838,""id"",""en"")"),"['application', 'hlang', 'sndiri', 'trhelusi', 'donlod', 'reset', 'bsa', 'min', 'please', 'kn.kns',' sangt ',' mendkung ',' Thx]")</f>
        <v>['application', 'hlang', 'sndiri', 'trhelusi', 'donlod', 'reset', 'bsa', 'min', 'please', 'kn.kns',' sangt ',' mendkung ',' Thx]</v>
      </c>
      <c r="D20838" s="3">
        <v>1.0</v>
      </c>
    </row>
    <row r="20839" ht="15.75" customHeight="1">
      <c r="A20839" s="1">
        <v>22149.0</v>
      </c>
      <c r="B20839" s="3" t="s">
        <v>19699</v>
      </c>
      <c r="C20839" s="3" t="str">
        <f>IFERROR(__xludf.DUMMYFUNCTION("GOOGLETRANSLATE(B20839,""id"",""en"")"),"['The application', 'open']")</f>
        <v>['The application', 'open']</v>
      </c>
      <c r="D20839" s="3">
        <v>1.0</v>
      </c>
    </row>
    <row r="20840" ht="15.75" customHeight="1">
      <c r="A20840" s="1">
        <v>22150.0</v>
      </c>
      <c r="B20840" s="3" t="s">
        <v>19700</v>
      </c>
      <c r="C20840" s="3" t="str">
        <f>IFERROR(__xludf.DUMMYFUNCTION("GOOGLETRANSLATE(B20840,""id"",""en"")"),"['Application', 'Telkomsel', 'Open', 'White', 'Screen', 'Telkomsel', 'Please', 'Fix', ""]")</f>
        <v>['Application', 'Telkomsel', 'Open', 'White', 'Screen', 'Telkomsel', 'Please', 'Fix', "]</v>
      </c>
      <c r="D20840" s="3">
        <v>3.0</v>
      </c>
    </row>
    <row r="20841" ht="15.75" customHeight="1">
      <c r="A20841" s="1">
        <v>22151.0</v>
      </c>
      <c r="B20841" s="3" t="s">
        <v>19701</v>
      </c>
      <c r="C20841" s="3" t="str">
        <f>IFERROR(__xludf.DUMMYFUNCTION("GOOGLETRANSLATE(B20841,""id"",""en"")"),"['Sorry', 'ask', 'application', 'Telkomsel', 'Sya', 'open', 'a week', ""]")</f>
        <v>['Sorry', 'ask', 'application', 'Telkomsel', 'Sya', 'open', 'a week', "]</v>
      </c>
      <c r="D20841" s="3">
        <v>3.0</v>
      </c>
    </row>
    <row r="20842" ht="15.75" customHeight="1">
      <c r="A20842" s="1">
        <v>22152.0</v>
      </c>
      <c r="B20842" s="3" t="s">
        <v>19702</v>
      </c>
      <c r="C20842" s="3" t="str">
        <f>IFERROR(__xludf.DUMMYFUNCTION("GOOGLETRANSLATE(B20842,""id"",""en"")"),"['use', 'Telkomsel', 'times',' Gal ',' opened ',' color ',' white ',' already ',' update ',' install ',' reset ',' already ',' Tetep ',' color ',' screen ',' white ',' disappointed ',' heavy ']")</f>
        <v>['use', 'Telkomsel', 'times',' Gal ',' opened ',' color ',' white ',' already ',' update ',' install ',' reset ',' already ',' Tetep ',' color ',' screen ',' white ',' disappointed ',' heavy ']</v>
      </c>
      <c r="D20842" s="3">
        <v>1.0</v>
      </c>
    </row>
    <row r="20843" ht="15.75" customHeight="1">
      <c r="A20843" s="1">
        <v>22153.0</v>
      </c>
      <c r="B20843" s="3" t="s">
        <v>19703</v>
      </c>
      <c r="C20843" s="3" t="str">
        <f>IFERROR(__xludf.DUMMYFUNCTION("GOOGLETRANSLATE(B20843,""id"",""en"")"),"['complement', 'network', 'horrified', 'waw', 'really']")</f>
        <v>['complement', 'network', 'horrified', 'waw', 'really']</v>
      </c>
      <c r="D20843" s="3">
        <v>1.0</v>
      </c>
    </row>
    <row r="20844" ht="15.75" customHeight="1">
      <c r="A20844" s="1">
        <v>22154.0</v>
      </c>
      <c r="B20844" s="3" t="s">
        <v>19704</v>
      </c>
      <c r="C20844" s="3" t="str">
        <f>IFERROR(__xludf.DUMMYFUNCTION("GOOGLETRANSLATE(B20844,""id"",""en"")"),"['Leet', 'bad', '']")</f>
        <v>['Leet', 'bad', '']</v>
      </c>
      <c r="D20844" s="3">
        <v>1.0</v>
      </c>
    </row>
    <row r="20845" ht="15.75" customHeight="1">
      <c r="A20845" s="1">
        <v>22155.0</v>
      </c>
      <c r="B20845" s="3" t="s">
        <v>19705</v>
      </c>
      <c r="C20845" s="3" t="str">
        <f>IFERROR(__xludf.DUMMYFUNCTION("GOOGLETRANSLATE(B20845,""id"",""en"")"),"['hope', 'app', 'Telkomsel', 'access', 'smooth', 'quota', 'internet']")</f>
        <v>['hope', 'app', 'Telkomsel', 'access', 'smooth', 'quota', 'internet']</v>
      </c>
      <c r="D20845" s="3">
        <v>3.0</v>
      </c>
    </row>
    <row r="20846" ht="15.75" customHeight="1">
      <c r="A20846" s="1">
        <v>22156.0</v>
      </c>
      <c r="B20846" s="3" t="s">
        <v>859</v>
      </c>
      <c r="C20846" s="3" t="str">
        <f>IFERROR(__xludf.DUMMYFUNCTION("GOOGLETRANSLATE(B20846,""id"",""en"")"),"['help', '']")</f>
        <v>['help', '']</v>
      </c>
      <c r="D20846" s="3">
        <v>5.0</v>
      </c>
    </row>
    <row r="20847" ht="15.75" customHeight="1">
      <c r="A20847" s="1">
        <v>22157.0</v>
      </c>
      <c r="B20847" s="3" t="s">
        <v>5247</v>
      </c>
      <c r="C20847" s="3" t="str">
        <f>IFERROR(__xludf.DUMMYFUNCTION("GOOGLETRANSLATE(B20847,""id"",""en"")"),"['Loading']")</f>
        <v>['Loading']</v>
      </c>
      <c r="D20847" s="3">
        <v>3.0</v>
      </c>
    </row>
    <row r="20848" ht="15.75" customHeight="1">
      <c r="A20848" s="1">
        <v>22158.0</v>
      </c>
      <c r="B20848" s="3" t="s">
        <v>19706</v>
      </c>
      <c r="C20848" s="3" t="str">
        <f>IFERROR(__xludf.DUMMYFUNCTION("GOOGLETRANSLATE(B20848,""id"",""en"")"),"['active', 'active', 'expensive', 'price', 'package', 'expensive', 'user', 'active', 'moved', 'provider', ""]")</f>
        <v>['active', 'active', 'expensive', 'price', 'package', 'expensive', 'user', 'active', 'moved', 'provider', "]</v>
      </c>
      <c r="D20848" s="3">
        <v>1.0</v>
      </c>
    </row>
    <row r="20849" ht="15.75" customHeight="1">
      <c r="A20849" s="1">
        <v>22159.0</v>
      </c>
      <c r="B20849" s="3" t="s">
        <v>19707</v>
      </c>
      <c r="C20849" s="3" t="str">
        <f>IFERROR(__xludf.DUMMYFUNCTION("GOOGLETRANSLATE(B20849,""id"",""en"")"),"['Disappointed', 'Telkomsel', 'buy', 'package', 'special', 'play', 'games',' doang ',' difficult ',' entry ',' turn ',' package ',' fast ',' loss', 'buy', 'package', 'special', 'gamesmax', 'useful', '']")</f>
        <v>['Disappointed', 'Telkomsel', 'buy', 'package', 'special', 'play', 'games',' doang ',' difficult ',' entry ',' turn ',' package ',' fast ',' loss', 'buy', 'package', 'special', 'gamesmax', 'useful', '']</v>
      </c>
      <c r="D20849" s="3">
        <v>1.0</v>
      </c>
    </row>
    <row r="20850" ht="15.75" customHeight="1">
      <c r="A20850" s="1">
        <v>22160.0</v>
      </c>
      <c r="B20850" s="3" t="s">
        <v>19708</v>
      </c>
      <c r="C20850" s="3" t="str">
        <f>IFERROR(__xludf.DUMMYFUNCTION("GOOGLETRANSLATE(B20850,""id"",""en"")"),"['entry', 'notification', 'number', 'right', 'open', 'congratulations',' bonus', 'credit', 'telkomsel', 'rb', 'active', 'login', ' Application ',' MyTelkomsel ',' buy ',' Package ',' MyTelkomsel ',' DPT ',' promo ',' Tsel ',' Combosakti ',' right ',' I ',"&amp;"' check ',' empty ' , 'prank', 'Telkomsel', 'sincere', 'gave', 'pulse', 'ngak', 'zih', 'surprised', 'me', '']")</f>
        <v>['entry', 'notification', 'number', 'right', 'open', 'congratulations',' bonus', 'credit', 'telkomsel', 'rb', 'active', 'login', ' Application ',' MyTelkomsel ',' buy ',' Package ',' MyTelkomsel ',' DPT ',' promo ',' Tsel ',' Combosakti ',' right ',' I ',' check ',' empty ' , 'prank', 'Telkomsel', 'sincere', 'gave', 'pulse', 'ngak', 'zih', 'surprised', 'me', '']</v>
      </c>
      <c r="D20850" s="3">
        <v>1.0</v>
      </c>
    </row>
    <row r="20851" ht="15.75" customHeight="1">
      <c r="A20851" s="1">
        <v>22161.0</v>
      </c>
      <c r="B20851" s="3" t="s">
        <v>19709</v>
      </c>
      <c r="C20851" s="3" t="str">
        <f>IFERROR(__xludf.DUMMYFUNCTION("GOOGLETRANSLATE(B20851,""id"",""en"")"),"['Package', 'Internet', 'buy', 'missing', 'disappear', 'CORN', 'Disappointing', 'Severe', ""]")</f>
        <v>['Package', 'Internet', 'buy', 'missing', 'disappear', 'CORN', 'Disappointing', 'Severe', "]</v>
      </c>
      <c r="D20851" s="3">
        <v>1.0</v>
      </c>
    </row>
    <row r="20852" ht="15.75" customHeight="1">
      <c r="A20852" s="1">
        <v>22162.0</v>
      </c>
      <c r="B20852" s="3" t="s">
        <v>19710</v>
      </c>
      <c r="C20852" s="3" t="str">
        <f>IFERROR(__xludf.DUMMYFUNCTION("GOOGLETRANSLATE(B20852,""id"",""en"")"),"['Rich', 'already', 'times',' update ',' Open ',' APP ',' Salu ',' Load ',' reset ',' NOT ',' EASY ',' HARD ',' ']")</f>
        <v>['Rich', 'already', 'times',' update ',' Open ',' APP ',' Salu ',' Load ',' reset ',' NOT ',' EASY ',' HARD ',' ']</v>
      </c>
      <c r="D20852" s="3">
        <v>1.0</v>
      </c>
    </row>
    <row r="20853" ht="15.75" customHeight="1">
      <c r="A20853" s="1">
        <v>22163.0</v>
      </c>
      <c r="B20853" s="3" t="s">
        <v>19711</v>
      </c>
      <c r="C20853" s="3" t="str">
        <f>IFERROR(__xludf.DUMMYFUNCTION("GOOGLETRANSLATE(B20853,""id"",""en"")"),"['buy', 'package', 'simcard', 'person', 'difficult', 'login', 'verification', 'code', 'number', 'link', 'sent', 'number', ' Gabisa ',' bean ',' person ',' please ',' dev ',' made easier ']")</f>
        <v>['buy', 'package', 'simcard', 'person', 'difficult', 'login', 'verification', 'code', 'number', 'link', 'sent', 'number', ' Gabisa ',' bean ',' person ',' please ',' dev ',' made easier ']</v>
      </c>
      <c r="D20853" s="3">
        <v>2.0</v>
      </c>
    </row>
    <row r="20854" ht="15.75" customHeight="1">
      <c r="A20854" s="1">
        <v>22164.0</v>
      </c>
      <c r="B20854" s="3" t="s">
        <v>19712</v>
      </c>
      <c r="C20854" s="3" t="str">
        <f>IFERROR(__xludf.DUMMYFUNCTION("GOOGLETRANSLATE(B20854,""id"",""en"")"),"['Application', 'Network', 'Bener', 'Bener', 'Bad', 'Telkomsel', 'Good', 'Already', 'Sampe', 'Bener', 'Bener', 'Bad', ' ']")</f>
        <v>['Application', 'Network', 'Bener', 'Bener', 'Bad', 'Telkomsel', 'Good', 'Already', 'Sampe', 'Bener', 'Bener', 'Bad', ' ']</v>
      </c>
      <c r="D20854" s="3">
        <v>1.0</v>
      </c>
    </row>
    <row r="20855" ht="15.75" customHeight="1">
      <c r="A20855" s="1">
        <v>22165.0</v>
      </c>
      <c r="B20855" s="3" t="s">
        <v>19713</v>
      </c>
      <c r="C20855" s="3" t="str">
        <f>IFERROR(__xludf.DUMMYFUNCTION("GOOGLETRANSLATE(B20855,""id"",""en"")"),"['network', 'Telkomsel', 'slow', 'network', 'stable', 'sosmed', 'game', 'slow', 'already', 'subscription', 'Performance', 'Telkomsel', ' Gajelas, 'Leet', '']")</f>
        <v>['network', 'Telkomsel', 'slow', 'network', 'stable', 'sosmed', 'game', 'slow', 'already', 'subscription', 'Performance', 'Telkomsel', ' Gajelas, 'Leet', '']</v>
      </c>
      <c r="D20855" s="3">
        <v>1.0</v>
      </c>
    </row>
    <row r="20856" ht="15.75" customHeight="1">
      <c r="A20856" s="1">
        <v>22166.0</v>
      </c>
      <c r="B20856" s="3" t="s">
        <v>659</v>
      </c>
      <c r="C20856" s="3" t="str">
        <f>IFERROR(__xludf.DUMMYFUNCTION("GOOGLETRANSLATE(B20856,""id"",""en"")"),"['Application', 'Help']")</f>
        <v>['Application', 'Help']</v>
      </c>
      <c r="D20856" s="3">
        <v>4.0</v>
      </c>
    </row>
    <row r="20857" ht="15.75" customHeight="1">
      <c r="A20857" s="1">
        <v>22167.0</v>
      </c>
      <c r="B20857" s="3" t="s">
        <v>19714</v>
      </c>
      <c r="C20857" s="3" t="str">
        <f>IFERROR(__xludf.DUMMYFUNCTION("GOOGLETRANSLATE(B20857,""id"",""en"")"),"['silly', 'Telkomsel', 'network', 'Telkom', 'bad', 'quota', 'telkom', 'unemployed', ""]")</f>
        <v>['silly', 'Telkomsel', 'network', 'Telkom', 'bad', 'quota', 'telkom', 'unemployed', "]</v>
      </c>
      <c r="D20857" s="3">
        <v>1.0</v>
      </c>
    </row>
    <row r="20858" ht="15.75" customHeight="1">
      <c r="A20858" s="1">
        <v>22168.0</v>
      </c>
      <c r="B20858" s="3" t="s">
        <v>19715</v>
      </c>
      <c r="C20858" s="3" t="str">
        <f>IFERROR(__xludf.DUMMYFUNCTION("GOOGLETRANSLATE(B20858,""id"",""en"")"),"['Sangar', 'satisfying']")</f>
        <v>['Sangar', 'satisfying']</v>
      </c>
      <c r="D20858" s="3">
        <v>5.0</v>
      </c>
    </row>
    <row r="20859" ht="15.75" customHeight="1">
      <c r="A20859" s="1">
        <v>22169.0</v>
      </c>
      <c r="B20859" s="3" t="s">
        <v>19716</v>
      </c>
      <c r="C20859" s="3" t="str">
        <f>IFERROR(__xludf.DUMMYFUNCTION("GOOGLETRANSLATE(B20859,""id"",""en"")"),"['buy', 'credit', 'buy', 'quota', 'thousand', 'right', 'buy', 'quota', 'ngk', 'writing', 'pulse', 'sufficient', ' See ',' Credit ',' Stay ',' thousand ',' Cut ',' Ngk ',' Buy ',' Pay ',' Cut ',' That's Litu ',' Attracted ',' Buy ',' Quota ' , 'NGK', 'Nise"&amp;"', 'Week', 'Loss', 'Money', 'Pas', 'Pasan', 'Please', 'Fix', 'Ngk', 'Ngerugin', 'People']")</f>
        <v>['buy', 'credit', 'buy', 'quota', 'thousand', 'right', 'buy', 'quota', 'ngk', 'writing', 'pulse', 'sufficient', ' See ',' Credit ',' Stay ',' thousand ',' Cut ',' Ngk ',' Buy ',' Pay ',' Cut ',' That's Litu ',' Attracted ',' Buy ',' Quota ' , 'NGK', 'Nise', 'Week', 'Loss', 'Money', 'Pas', 'Pasan', 'Please', 'Fix', 'Ngk', 'Ngerugin', 'People']</v>
      </c>
      <c r="D20859" s="3">
        <v>2.0</v>
      </c>
    </row>
    <row r="20860" ht="15.75" customHeight="1">
      <c r="A20860" s="1">
        <v>22170.0</v>
      </c>
      <c r="B20860" s="3" t="s">
        <v>19717</v>
      </c>
      <c r="C20860" s="3" t="str">
        <f>IFERROR(__xludf.DUMMYFUNCTION("GOOGLETRANSLATE(B20860,""id"",""en"")"),"['ugly', 'application', 'times', 'fill', 'pulse', 'buy', 'package', 'difficult', 'open', 'application']")</f>
        <v>['ugly', 'application', 'times', 'fill', 'pulse', 'buy', 'package', 'difficult', 'open', 'application']</v>
      </c>
      <c r="D20860" s="3">
        <v>1.0</v>
      </c>
    </row>
    <row r="20861" ht="15.75" customHeight="1">
      <c r="A20861" s="1">
        <v>22171.0</v>
      </c>
      <c r="B20861" s="3" t="s">
        <v>19718</v>
      </c>
      <c r="C20861" s="3" t="str">
        <f>IFERROR(__xludf.DUMMYFUNCTION("GOOGLETRANSLATE(B20861,""id"",""en"")"),"['Region', 'home', 'Doang', 'Network', 'Telkomsel', 'ugly', 'Read', 'Reviews',' Ngeluh ',' Network ',' Telkomsel ',' already ',' stable']")</f>
        <v>['Region', 'home', 'Doang', 'Network', 'Telkomsel', 'ugly', 'Read', 'Reviews',' Ngeluh ',' Network ',' Telkomsel ',' already ',' stable']</v>
      </c>
      <c r="D20861" s="3">
        <v>2.0</v>
      </c>
    </row>
    <row r="20862" ht="15.75" customHeight="1">
      <c r="A20862" s="1">
        <v>22172.0</v>
      </c>
      <c r="B20862" s="3" t="s">
        <v>19719</v>
      </c>
      <c r="C20862" s="3" t="str">
        <f>IFERROR(__xludf.DUMMYFUNCTION("GOOGLETRANSLATE(B20862,""id"",""en"")"),"['Opened', 'Application', 'already', '']")</f>
        <v>['Opened', 'Application', 'already', '']</v>
      </c>
      <c r="D20862" s="3">
        <v>1.0</v>
      </c>
    </row>
    <row r="20863" ht="15.75" customHeight="1">
      <c r="A20863" s="1">
        <v>22173.0</v>
      </c>
      <c r="B20863" s="3" t="s">
        <v>19720</v>
      </c>
      <c r="C20863" s="3" t="str">
        <f>IFERROR(__xludf.DUMMYFUNCTION("GOOGLETRANSLATE(B20863,""id"",""en"")"),"['classmate', 'child', 'BUMN', 'MyTelkomsel', 'screen', 'white', 'already', 'already', 'hold', 'provider', 'BUMN', ""]")</f>
        <v>['classmate', 'child', 'BUMN', 'MyTelkomsel', 'screen', 'white', 'already', 'already', 'hold', 'provider', 'BUMN', "]</v>
      </c>
      <c r="D20863" s="3">
        <v>4.0</v>
      </c>
    </row>
    <row r="20864" ht="15.75" customHeight="1">
      <c r="A20864" s="1">
        <v>22174.0</v>
      </c>
      <c r="B20864" s="3" t="s">
        <v>19721</v>
      </c>
      <c r="C20864" s="3" t="str">
        <f>IFERROR(__xludf.DUMMYFUNCTION("GOOGLETRANSLATE(B20864,""id"",""en"")"),"['Abal', 'Login', 'Please', 'Repaired']")</f>
        <v>['Abal', 'Login', 'Please', 'Repaired']</v>
      </c>
      <c r="D20864" s="3">
        <v>1.0</v>
      </c>
    </row>
    <row r="20865" ht="15.75" customHeight="1">
      <c r="A20865" s="1">
        <v>22175.0</v>
      </c>
      <c r="B20865" s="3" t="s">
        <v>19722</v>
      </c>
      <c r="C20865" s="3" t="str">
        <f>IFERROR(__xludf.DUMMYFUNCTION("GOOGLETRANSLATE(B20865,""id"",""en"")"),"['Min', 'package', 'night', 'GB', 'RB', 'Pay', 'use', 'Dana', 'use', 'use', 'Fund']")</f>
        <v>['Min', 'package', 'night', 'GB', 'RB', 'Pay', 'use', 'Dana', 'use', 'use', 'Fund']</v>
      </c>
      <c r="D20865" s="3">
        <v>1.0</v>
      </c>
    </row>
    <row r="20866" ht="15.75" customHeight="1">
      <c r="A20866" s="1">
        <v>22176.0</v>
      </c>
      <c r="B20866" s="3" t="s">
        <v>15574</v>
      </c>
      <c r="C20866" s="3" t="str">
        <f>IFERROR(__xludf.DUMMYFUNCTION("GOOGLETRANSLATE(B20866,""id"",""en"")"),"['hope', 'promo']")</f>
        <v>['hope', 'promo']</v>
      </c>
      <c r="D20866" s="3">
        <v>5.0</v>
      </c>
    </row>
    <row r="20867" ht="15.75" customHeight="1">
      <c r="A20867" s="1">
        <v>22177.0</v>
      </c>
      <c r="B20867" s="3" t="s">
        <v>19723</v>
      </c>
      <c r="C20867" s="3" t="str">
        <f>IFERROR(__xludf.DUMMYFUNCTION("GOOGLETRANSLATE(B20867,""id"",""en"")"),"['Package', 'MSK', 'balance', 'Gopay', 'truncated']")</f>
        <v>['Package', 'MSK', 'balance', 'Gopay', 'truncated']</v>
      </c>
      <c r="D20867" s="3">
        <v>1.0</v>
      </c>
    </row>
    <row r="20868" ht="15.75" customHeight="1">
      <c r="A20868" s="1">
        <v>22178.0</v>
      </c>
      <c r="B20868" s="3" t="s">
        <v>19724</v>
      </c>
      <c r="C20868" s="3" t="str">
        <f>IFERROR(__xludf.DUMMYFUNCTION("GOOGLETRANSLATE(B20868,""id"",""en"")"),"['Fix', 'fix', 'star']")</f>
        <v>['Fix', 'fix', 'star']</v>
      </c>
      <c r="D20868" s="3">
        <v>1.0</v>
      </c>
    </row>
    <row r="20869" ht="15.75" customHeight="1">
      <c r="A20869" s="1">
        <v>22179.0</v>
      </c>
      <c r="B20869" s="3" t="s">
        <v>19725</v>
      </c>
      <c r="C20869" s="3" t="str">
        <f>IFERROR(__xludf.DUMMYFUNCTION("GOOGLETRANSLATE(B20869,""id"",""en"")"),"['', 'Telkomsel', 'hope', 'bring', 'blessing']")</f>
        <v>['', 'Telkomsel', 'hope', 'bring', 'blessing']</v>
      </c>
      <c r="D20869" s="3">
        <v>5.0</v>
      </c>
    </row>
    <row r="20870" ht="15.75" customHeight="1">
      <c r="A20870" s="1">
        <v>22180.0</v>
      </c>
      <c r="B20870" s="3" t="s">
        <v>19726</v>
      </c>
      <c r="C20870" s="3" t="str">
        <f>IFERROR(__xludf.DUMMYFUNCTION("GOOGLETRANSLATE(B20870,""id"",""en"")"),"['App', 'Telkomsel', 'ugly', 'little', 'little', 'error', 'login']")</f>
        <v>['App', 'Telkomsel', 'ugly', 'little', 'little', 'error', 'login']</v>
      </c>
      <c r="D20870" s="3">
        <v>1.0</v>
      </c>
    </row>
    <row r="20871" ht="15.75" customHeight="1">
      <c r="A20871" s="1">
        <v>22181.0</v>
      </c>
      <c r="B20871" s="3" t="s">
        <v>19727</v>
      </c>
      <c r="C20871" s="3" t="str">
        <f>IFERROR(__xludf.DUMMYFUNCTION("GOOGLETRANSLATE(B20871,""id"",""en"")"),"['apk', 'Telkomsel', 'no', 'open', 'love', 'star']")</f>
        <v>['apk', 'Telkomsel', 'no', 'open', 'love', 'star']</v>
      </c>
      <c r="D20871" s="3">
        <v>1.0</v>
      </c>
    </row>
    <row r="20872" ht="15.75" customHeight="1">
      <c r="A20872" s="1">
        <v>22182.0</v>
      </c>
      <c r="B20872" s="3" t="s">
        <v>19728</v>
      </c>
      <c r="C20872" s="3" t="str">
        <f>IFERROR(__xludf.DUMMYFUNCTION("GOOGLETRANSLATE(B20872,""id"",""en"")"),"['The application', 'Open', 'Muku', 'Posts', 'Load', 'Quota', 'Road', '']")</f>
        <v>['The application', 'Open', 'Muku', 'Posts', 'Load', 'Quota', 'Road', '']</v>
      </c>
      <c r="D20872" s="3">
        <v>1.0</v>
      </c>
    </row>
    <row r="20873" ht="15.75" customHeight="1">
      <c r="A20873" s="1">
        <v>22183.0</v>
      </c>
      <c r="B20873" s="3" t="s">
        <v>19729</v>
      </c>
      <c r="C20873" s="3" t="str">
        <f>IFERROR(__xludf.DUMMYFUNCTION("GOOGLETRANSLATE(B20873,""id"",""en"")"),"['Good', 'easy', 'smooth', '']")</f>
        <v>['Good', 'easy', 'smooth', '']</v>
      </c>
      <c r="D20873" s="3">
        <v>5.0</v>
      </c>
    </row>
    <row r="20874" ht="15.75" customHeight="1">
      <c r="A20874" s="1">
        <v>22184.0</v>
      </c>
      <c r="B20874" s="3" t="s">
        <v>19730</v>
      </c>
      <c r="C20874" s="3" t="str">
        <f>IFERROR(__xludf.DUMMYFUNCTION("GOOGLETRANSLATE(B20874,""id"",""en"")"),"['', 'Pekahhhh', 'signal', 'like', 'jumping', 'gajelas',' game ',' that's', 'checked', 'quota', 'potato', 'bangettt', 'maen ',' game ',' smooth ',' signal ',' delicious', 'please', 'fix', 'connectionaaa', 'honest', 'user', 'card', 'tasty', 'connection', '"&amp;"right', 'entry', 'yesterday', 'signal', 'like', 'jumping', 'Gituuu', 'how', 'Telkomsel', 'yaa', 'completed', 'automation', 'Mending ',' Move ',' card ',' ajaa ',' Daaahhhh ',' ']")</f>
        <v>['', 'Pekahhhh', 'signal', 'like', 'jumping', 'gajelas',' game ',' that's', 'checked', 'quota', 'potato', 'bangettt', 'maen ',' game ',' smooth ',' signal ',' delicious', 'please', 'fix', 'connectionaaa', 'honest', 'user', 'card', 'tasty', 'connection', 'right', 'entry', 'yesterday', 'signal', 'like', 'jumping', 'Gituuu', 'how', 'Telkomsel', 'yaa', 'completed', 'automation', 'Mending ',' Move ',' card ',' ajaa ',' Daaahhhh ',' ']</v>
      </c>
      <c r="D20874" s="3">
        <v>1.0</v>
      </c>
    </row>
    <row r="20875" ht="15.75" customHeight="1">
      <c r="A20875" s="1">
        <v>22185.0</v>
      </c>
      <c r="B20875" s="3" t="s">
        <v>19731</v>
      </c>
      <c r="C20875" s="3" t="str">
        <f>IFERROR(__xludf.DUMMYFUNCTION("GOOGLETRANSLATE(B20875,""id"",""en"")"),"['Update', 'slow', 'open', 'the application', '']")</f>
        <v>['Update', 'slow', 'open', 'the application', '']</v>
      </c>
      <c r="D20875" s="3">
        <v>1.0</v>
      </c>
    </row>
    <row r="20876" ht="15.75" customHeight="1">
      <c r="A20876" s="1">
        <v>22186.0</v>
      </c>
      <c r="B20876" s="3" t="s">
        <v>19732</v>
      </c>
      <c r="C20876" s="3" t="str">
        <f>IFERROR(__xludf.DUMMYFUNCTION("GOOGLETRANSLATE(B20876,""id"",""en"")"),"['Application', 'Lngsung', 'Lost', 'Instams', 'Many', 'Disappointing', '']")</f>
        <v>['Application', 'Lngsung', 'Lost', 'Instams', 'Many', 'Disappointing', '']</v>
      </c>
      <c r="D20876" s="3">
        <v>1.0</v>
      </c>
    </row>
    <row r="20877" ht="15.75" customHeight="1">
      <c r="A20877" s="1">
        <v>22187.0</v>
      </c>
      <c r="B20877" s="3" t="s">
        <v>19733</v>
      </c>
      <c r="C20877" s="3" t="str">
        <f>IFERROR(__xludf.DUMMYFUNCTION("GOOGLETRANSLATE(B20877,""id"",""en"")"),"['already', 'bonus', 'GB', '']")</f>
        <v>['already', 'bonus', 'GB', '']</v>
      </c>
      <c r="D20877" s="3">
        <v>1.0</v>
      </c>
    </row>
    <row r="20878" ht="15.75" customHeight="1">
      <c r="A20878" s="1">
        <v>22188.0</v>
      </c>
      <c r="B20878" s="3" t="s">
        <v>2439</v>
      </c>
      <c r="C20878" s="3" t="str">
        <f>IFERROR(__xludf.DUMMYFUNCTION("GOOGLETRANSLATE(B20878,""id"",""en"")"),"['Love', 'promo']")</f>
        <v>['Love', 'promo']</v>
      </c>
      <c r="D20878" s="3">
        <v>5.0</v>
      </c>
    </row>
    <row r="20879" ht="15.75" customHeight="1">
      <c r="A20879" s="1">
        <v>22189.0</v>
      </c>
      <c r="B20879" s="3" t="s">
        <v>19734</v>
      </c>
      <c r="C20879" s="3" t="str">
        <f>IFERROR(__xludf.DUMMYFUNCTION("GOOGLETRANSLATE(B20879,""id"",""en"")"),"['min', 'network', 'telkom', 'play', 'anything', 'kalu', 'play', 'misused', 'pdahal', 'jaringan', 'jerk', 'please', ' Repaired ',' Network ',' ']")</f>
        <v>['min', 'network', 'telkom', 'play', 'anything', 'kalu', 'play', 'misused', 'pdahal', 'jaringan', 'jerk', 'please', ' Repaired ',' Network ',' ']</v>
      </c>
      <c r="D20879" s="3">
        <v>1.0</v>
      </c>
    </row>
    <row r="20880" ht="15.75" customHeight="1">
      <c r="A20880" s="1">
        <v>22190.0</v>
      </c>
      <c r="B20880" s="3" t="s">
        <v>19735</v>
      </c>
      <c r="C20880" s="3" t="str">
        <f>IFERROR(__xludf.DUMMYFUNCTION("GOOGLETRANSLATE(B20880,""id"",""en"")"),"['knp', 'the application', 'download', 'era', 'sya', 'download', 'TPI', 'Loding', '']")</f>
        <v>['knp', 'the application', 'download', 'era', 'sya', 'download', 'TPI', 'Loding', '']</v>
      </c>
      <c r="D20880" s="3">
        <v>1.0</v>
      </c>
    </row>
    <row r="20881" ht="15.75" customHeight="1">
      <c r="A20881" s="1">
        <v>22191.0</v>
      </c>
      <c r="B20881" s="3" t="s">
        <v>19736</v>
      </c>
      <c r="C20881" s="3" t="str">
        <f>IFERROR(__xludf.DUMMYFUNCTION("GOOGLETRANSLATE(B20881,""id"",""en"")"),"['Please', 'help', 'no', 'open', 'apk', 'Telkomsel', 'open', 'screen', 'white', 'user', 'loyal', 'Telkomsel', ' times', 'open', 'mytelkomsel', 'ngak', 'screen', 'white', 'open', 'apk', 'please', 'help', 'response']")</f>
        <v>['Please', 'help', 'no', 'open', 'apk', 'Telkomsel', 'open', 'screen', 'white', 'user', 'loyal', 'Telkomsel', ' times', 'open', 'mytelkomsel', 'ngak', 'screen', 'white', 'open', 'apk', 'please', 'help', 'response']</v>
      </c>
      <c r="D20881" s="3">
        <v>1.0</v>
      </c>
    </row>
    <row r="20882" ht="15.75" customHeight="1">
      <c r="A20882" s="1">
        <v>22192.0</v>
      </c>
      <c r="B20882" s="3" t="s">
        <v>19737</v>
      </c>
      <c r="C20882" s="3" t="str">
        <f>IFERROR(__xludf.DUMMYFUNCTION("GOOGLETRANSLATE(B20882,""id"",""en"")"),"['Loading', 'signal', 'Bagus',' please ',' fix ',' application ',' right ',' log ',' signal ',' good ',' right ',' log ',' Cepet ',' Wait ',' Loading ',' ']")</f>
        <v>['Loading', 'signal', 'Bagus',' please ',' fix ',' application ',' right ',' log ',' signal ',' good ',' right ',' log ',' Cepet ',' Wait ',' Loading ',' ']</v>
      </c>
      <c r="D20882" s="3">
        <v>1.0</v>
      </c>
    </row>
    <row r="20883" ht="15.75" customHeight="1">
      <c r="A20883" s="1">
        <v>22193.0</v>
      </c>
      <c r="B20883" s="3" t="s">
        <v>19738</v>
      </c>
      <c r="C20883" s="3" t="str">
        <f>IFERROR(__xludf.DUMMYFUNCTION("GOOGLETRANSLATE(B20883,""id"",""en"")"),"['application', 'Telkomsel', 'slow', 'check', 'ina', 'uda', 'uda', 'defense', 'in', 'check', 'now', 'full', ' Mala ',' lost ']")</f>
        <v>['application', 'Telkomsel', 'slow', 'check', 'ina', 'uda', 'uda', 'defense', 'in', 'check', 'now', 'full', ' Mala ',' lost ']</v>
      </c>
      <c r="D20883" s="3">
        <v>1.0</v>
      </c>
    </row>
    <row r="20884" ht="15.75" customHeight="1">
      <c r="A20884" s="1">
        <v>22194.0</v>
      </c>
      <c r="B20884" s="3" t="s">
        <v>19739</v>
      </c>
      <c r="C20884" s="3" t="str">
        <f>IFERROR(__xludf.DUMMYFUNCTION("GOOGLETRANSLATE(B20884,""id"",""en"")"),"['Telkomsel', 'rain', 'storm', 'kmarin', 'network', 'internet', 'chaotic', ""]")</f>
        <v>['Telkomsel', 'rain', 'storm', 'kmarin', 'network', 'internet', 'chaotic', "]</v>
      </c>
      <c r="D20884" s="3">
        <v>5.0</v>
      </c>
    </row>
    <row r="20885" ht="15.75" customHeight="1">
      <c r="A20885" s="1">
        <v>22196.0</v>
      </c>
      <c r="B20885" s="3" t="s">
        <v>5788</v>
      </c>
      <c r="C20885" s="3" t="str">
        <f>IFERROR(__xludf.DUMMYFUNCTION("GOOGLETRANSLATE(B20885,""id"",""en"")"),"['Good', 'Helpful']")</f>
        <v>['Good', 'Helpful']</v>
      </c>
      <c r="D20885" s="3">
        <v>5.0</v>
      </c>
    </row>
    <row r="20886" ht="15.75" customHeight="1">
      <c r="A20886" s="1">
        <v>22197.0</v>
      </c>
      <c r="B20886" s="3" t="s">
        <v>19740</v>
      </c>
      <c r="C20886" s="3" t="str">
        <f>IFERROR(__xludf.DUMMYFUNCTION("GOOGLETRANSLATE(B20886,""id"",""en"")"),"['Application', 'Lemot', 'Severe']")</f>
        <v>['Application', 'Lemot', 'Severe']</v>
      </c>
      <c r="D20886" s="3">
        <v>1.0</v>
      </c>
    </row>
    <row r="20887" ht="15.75" customHeight="1">
      <c r="A20887" s="1">
        <v>22198.0</v>
      </c>
      <c r="B20887" s="3" t="s">
        <v>19741</v>
      </c>
      <c r="C20887" s="3" t="str">
        <f>IFERROR(__xludf.DUMMYFUNCTION("GOOGLETRANSLATE(B20887,""id"",""en"")"),"['', 'area', 'connection', 'internet', 'difficult', 'really', 'signal', 'sometimes',' connoted ',' sometimes', 'ndak', 'katane', 'arise ',' broad ',' what ',' extensive ',' ']")</f>
        <v>['', 'area', 'connection', 'internet', 'difficult', 'really', 'signal', 'sometimes',' connoted ',' sometimes', 'ndak', 'katane', 'arise ',' broad ',' what ',' extensive ',' ']</v>
      </c>
      <c r="D20887" s="3">
        <v>1.0</v>
      </c>
    </row>
    <row r="20888" ht="15.75" customHeight="1">
      <c r="A20888" s="1">
        <v>22199.0</v>
      </c>
      <c r="B20888" s="3" t="s">
        <v>19742</v>
      </c>
      <c r="C20888" s="3" t="str">
        <f>IFERROR(__xludf.DUMMYFUNCTION("GOOGLETRANSLATE(B20888,""id"",""en"")"),"['like', 'simple']")</f>
        <v>['like', 'simple']</v>
      </c>
      <c r="D20888" s="3">
        <v>5.0</v>
      </c>
    </row>
    <row r="20889" ht="15.75" customHeight="1">
      <c r="A20889" s="1">
        <v>22200.0</v>
      </c>
      <c r="B20889" s="3" t="s">
        <v>19743</v>
      </c>
      <c r="C20889" s="3" t="str">
        <f>IFERROR(__xludf.DUMMYFUNCTION("GOOGLETRANSLATE(B20889,""id"",""en"")"),"['Subscribe', 'automatic', 'resulting in', 'cut "",' pulse ']")</f>
        <v>['Subscribe', 'automatic', 'resulting in', 'cut ",' pulse ']</v>
      </c>
      <c r="D20889" s="3">
        <v>1.0</v>
      </c>
    </row>
    <row r="20890" ht="15.75" customHeight="1">
      <c r="A20890" s="1">
        <v>22201.0</v>
      </c>
      <c r="B20890" s="3" t="s">
        <v>19744</v>
      </c>
      <c r="C20890" s="3" t="str">
        <f>IFERROR(__xludf.DUMMYFUNCTION("GOOGLETRANSLATE(B20890,""id"",""en"")"),"['Help', 'makes it easier', 'choose', 'transaction']")</f>
        <v>['Help', 'makes it easier', 'choose', 'transaction']</v>
      </c>
      <c r="D20890" s="3">
        <v>5.0</v>
      </c>
    </row>
    <row r="20891" ht="15.75" customHeight="1">
      <c r="A20891" s="1">
        <v>22202.0</v>
      </c>
      <c r="B20891" s="3" t="s">
        <v>19745</v>
      </c>
      <c r="C20891" s="3" t="str">
        <f>IFERROR(__xludf.DUMMYFUNCTION("GOOGLETRANSLATE(B20891,""id"",""en"")"),"['Have', 'Updete', 'Updete', 'NGK', 'Open', 'Application', 'Honest', 'Disappointed', 'Service', 'Update', 'now', 'BKN', ' improved ',' difficult ',' consumer ',' Telkomsel ',' era ',' old school ',' until ',' era ',' android ',' skrg ',' service ',' here "&amp;"',' severe ' , 'Telkomsel', 'please', 'Telkomsel', 'GMN', 'open', 'Telkomsel', 'trimakasih', 'before', 'star', 'dlu', 'already', 'right', ' ']")</f>
        <v>['Have', 'Updete', 'Updete', 'NGK', 'Open', 'Application', 'Honest', 'Disappointed', 'Service', 'Update', 'now', 'BKN', ' improved ',' difficult ',' consumer ',' Telkomsel ',' era ',' old school ',' until ',' era ',' android ',' skrg ',' service ',' here ',' severe ' , 'Telkomsel', 'please', 'Telkomsel', 'GMN', 'open', 'Telkomsel', 'trimakasih', 'before', 'star', 'dlu', 'already', 'right', ' ']</v>
      </c>
      <c r="D20891" s="3">
        <v>1.0</v>
      </c>
    </row>
    <row r="20892" ht="15.75" customHeight="1">
      <c r="A20892" s="1">
        <v>22203.0</v>
      </c>
      <c r="B20892" s="3" t="s">
        <v>19746</v>
      </c>
      <c r="C20892" s="3" t="str">
        <f>IFERROR(__xludf.DUMMYFUNCTION("GOOGLETRANSLATE(B20892,""id"",""en"")"),"['Lemot', 'My boss', 'Loding', ""]")</f>
        <v>['Lemot', 'My boss', 'Loding', "]</v>
      </c>
      <c r="D20892" s="3">
        <v>5.0</v>
      </c>
    </row>
    <row r="20893" ht="15.75" customHeight="1">
      <c r="A20893" s="1">
        <v>22204.0</v>
      </c>
      <c r="B20893" s="3" t="s">
        <v>19145</v>
      </c>
      <c r="C20893" s="3" t="str">
        <f>IFERROR(__xludf.DUMMYFUNCTION("GOOGLETRANSLATE(B20893,""id"",""en"")"),"['The application', 'no', 'opened']")</f>
        <v>['The application', 'no', 'opened']</v>
      </c>
      <c r="D20893" s="3">
        <v>1.0</v>
      </c>
    </row>
    <row r="20894" ht="15.75" customHeight="1">
      <c r="A20894" s="1">
        <v>22205.0</v>
      </c>
      <c r="B20894" s="3" t="s">
        <v>11798</v>
      </c>
      <c r="C20894" s="3" t="str">
        <f>IFERROR(__xludf.DUMMYFUNCTION("GOOGLETRANSLATE(B20894,""id"",""en"")"),"['application', 'ugly', '']")</f>
        <v>['application', 'ugly', '']</v>
      </c>
      <c r="D20894" s="3">
        <v>1.0</v>
      </c>
    </row>
    <row r="20895" ht="15.75" customHeight="1">
      <c r="A20895" s="1">
        <v>22206.0</v>
      </c>
      <c r="B20895" s="3" t="s">
        <v>19747</v>
      </c>
      <c r="C20895" s="3" t="str">
        <f>IFERROR(__xludf.DUMMYFUNCTION("GOOGLETRANSLATE(B20895,""id"",""en"")"),"['signal', 'Telkomsel', 'already', 'rich', 'forest', 'network', 'card', 'expensive', 'network', 'supports',' complaint ',' network ',' Telkomsel ',' TTEP ',' improvement ',' repairs', 'network', 'regret', 'loyal', 'Telkomsel', ""]")</f>
        <v>['signal', 'Telkomsel', 'already', 'rich', 'forest', 'network', 'card', 'expensive', 'network', 'supports',' complaint ',' network ',' Telkomsel ',' TTEP ',' improvement ',' repairs', 'network', 'regret', 'loyal', 'Telkomsel', "]</v>
      </c>
      <c r="D20895" s="3">
        <v>1.0</v>
      </c>
    </row>
    <row r="20896" ht="15.75" customHeight="1">
      <c r="A20896" s="1">
        <v>22207.0</v>
      </c>
      <c r="B20896" s="3" t="s">
        <v>19748</v>
      </c>
      <c r="C20896" s="3" t="str">
        <f>IFERROR(__xludf.DUMMYFUNCTION("GOOGLETRANSLATE(B20896,""id"",""en"")"),"['', 'Quality', 'Network', 'Bad', 'Indonesia']")</f>
        <v>['', 'Quality', 'Network', 'Bad', 'Indonesia']</v>
      </c>
      <c r="D20896" s="3">
        <v>1.0</v>
      </c>
    </row>
    <row r="20897" ht="15.75" customHeight="1">
      <c r="A20897" s="1">
        <v>22209.0</v>
      </c>
      <c r="B20897" s="3" t="s">
        <v>19749</v>
      </c>
      <c r="C20897" s="3" t="str">
        <f>IFERROR(__xludf.DUMMYFUNCTION("GOOGLETRANSLATE(B20897,""id"",""en"")"),"['Follow', 'severe', 'paraah', 'star']")</f>
        <v>['Follow', 'severe', 'paraah', 'star']</v>
      </c>
      <c r="D20897" s="3">
        <v>1.0</v>
      </c>
    </row>
    <row r="20898" ht="15.75" customHeight="1">
      <c r="A20898" s="1">
        <v>22210.0</v>
      </c>
      <c r="B20898" s="3" t="s">
        <v>19750</v>
      </c>
      <c r="C20898" s="3" t="str">
        <f>IFERROR(__xludf.DUMMYFUNCTION("GOOGLETRANSLATE(B20898,""id"",""en"")"),"['upgraded', 'opened', 'severe', 'slow', '']")</f>
        <v>['upgraded', 'opened', 'severe', 'slow', '']</v>
      </c>
      <c r="D20898" s="3">
        <v>5.0</v>
      </c>
    </row>
    <row r="20899" ht="15.75" customHeight="1">
      <c r="A20899" s="1">
        <v>22211.0</v>
      </c>
      <c r="B20899" s="3" t="s">
        <v>19751</v>
      </c>
      <c r="C20899" s="3" t="str">
        <f>IFERROR(__xludf.DUMMYFUNCTION("GOOGLETRANSLATE(B20899,""id"",""en"")"),"['payaaah', 'update', 'blengggg', 'pepahh']")</f>
        <v>['payaaah', 'update', 'blengggg', 'pepahh']</v>
      </c>
      <c r="D20899" s="3">
        <v>2.0</v>
      </c>
    </row>
    <row r="20900" ht="15.75" customHeight="1">
      <c r="A20900" s="1">
        <v>22212.0</v>
      </c>
      <c r="B20900" s="3" t="s">
        <v>19752</v>
      </c>
      <c r="C20900" s="3" t="str">
        <f>IFERROR(__xludf.DUMMYFUNCTION("GOOGLETRANSLATE(B20900,""id"",""en"")"),"['The card', 'UDH', 'Discard', 'No', 'Buy', 'Package', 'Develover', 'No', 'No', 'Healthy', 'Gini', 'Trash', ' Telkomsel ',' Error ',' signal ',' ugly ',' package ',' expensive ',' pole ',' tower ',' where ',' quality ',' no ',' ']")</f>
        <v>['The card', 'UDH', 'Discard', 'No', 'Buy', 'Package', 'Develover', 'No', 'No', 'Healthy', 'Gini', 'Trash', ' Telkomsel ',' Error ',' signal ',' ugly ',' package ',' expensive ',' pole ',' tower ',' where ',' quality ',' no ',' ']</v>
      </c>
      <c r="D20900" s="3">
        <v>1.0</v>
      </c>
    </row>
    <row r="20901" ht="15.75" customHeight="1">
      <c r="A20901" s="1">
        <v>22213.0</v>
      </c>
      <c r="B20901" s="3" t="s">
        <v>19753</v>
      </c>
      <c r="C20901" s="3" t="str">
        <f>IFERROR(__xludf.DUMMYFUNCTION("GOOGLETRANSLATE(B20901,""id"",""en"")"),"['contents',' pulse ',' mbanking ',' transaction ',' succeed ',' pulse ',' until ',' skrg ',' enter ',' report ',' difficult ',' right ',' process', 'right', 'obligation', 'pay', 'paid', 'paid', 'pulse', 'please', 'dehh', 'fill in', 'pulse', 'bad', 'servi"&amp;"ce' , '']")</f>
        <v>['contents',' pulse ',' mbanking ',' transaction ',' succeed ',' pulse ',' until ',' skrg ',' enter ',' report ',' difficult ',' right ',' process', 'right', 'obligation', 'pay', 'paid', 'paid', 'pulse', 'please', 'dehh', 'fill in', 'pulse', 'bad', 'service' , '']</v>
      </c>
      <c r="D20901" s="3">
        <v>1.0</v>
      </c>
    </row>
    <row r="20902" ht="15.75" customHeight="1">
      <c r="A20902" s="1">
        <v>22214.0</v>
      </c>
      <c r="B20902" s="3" t="s">
        <v>19754</v>
      </c>
      <c r="C20902" s="3" t="str">
        <f>IFERROR(__xludf.DUMMYFUNCTION("GOOGLETRANSLATE(B20902,""id"",""en"")"),"['Open', 'Open', 'woooiiii']")</f>
        <v>['Open', 'Open', 'woooiiii']</v>
      </c>
      <c r="D20902" s="3">
        <v>1.0</v>
      </c>
    </row>
    <row r="20903" ht="15.75" customHeight="1">
      <c r="A20903" s="1">
        <v>22215.0</v>
      </c>
      <c r="B20903" s="3" t="s">
        <v>19755</v>
      </c>
      <c r="C20903" s="3" t="str">
        <f>IFERROR(__xludf.DUMMYFUNCTION("GOOGLETRANSLATE(B20903,""id"",""en"")"),"['Enter', 'Min', 'Install', 'reset', 'Tetep', 'enter', '']")</f>
        <v>['Enter', 'Min', 'Install', 'reset', 'Tetep', 'enter', '']</v>
      </c>
      <c r="D20903" s="3">
        <v>1.0</v>
      </c>
    </row>
    <row r="20904" ht="15.75" customHeight="1">
      <c r="A20904" s="1">
        <v>22216.0</v>
      </c>
      <c r="B20904" s="3" t="s">
        <v>19756</v>
      </c>
      <c r="C20904" s="3" t="str">
        <f>IFERROR(__xludf.DUMMYFUNCTION("GOOGLETRANSLATE(B20904,""id"",""en"")"),"['Gara', 'Gara', 'White', 'Scren', 'San', 'already', 'Mending', 'Uninstall', 'tired', 'Nigging', 'just', 'Hanging', ' Doang ']")</f>
        <v>['Gara', 'Gara', 'White', 'Scren', 'San', 'already', 'Mending', 'Uninstall', 'tired', 'Nigging', 'just', 'Hanging', ' Doang ']</v>
      </c>
      <c r="D20904" s="3">
        <v>1.0</v>
      </c>
    </row>
    <row r="20905" ht="15.75" customHeight="1">
      <c r="A20905" s="1">
        <v>22218.0</v>
      </c>
      <c r="B20905" s="3" t="s">
        <v>19757</v>
      </c>
      <c r="C20905" s="3" t="str">
        <f>IFERROR(__xludf.DUMMYFUNCTION("GOOGLETRANSLATE(B20905,""id"",""en"")"),"['easy', 'get', 'gift', 'Telkomsel', 'Points']")</f>
        <v>['easy', 'get', 'gift', 'Telkomsel', 'Points']</v>
      </c>
      <c r="D20905" s="3">
        <v>5.0</v>
      </c>
    </row>
    <row r="20906" ht="15.75" customHeight="1">
      <c r="A20906" s="1">
        <v>22220.0</v>
      </c>
      <c r="B20906" s="3" t="s">
        <v>19758</v>
      </c>
      <c r="C20906" s="3" t="str">
        <f>IFERROR(__xludf.DUMMYFUNCTION("GOOGLETRANSLATE(B20906,""id"",""en"")"),"['Application', 'Telkomsel', 'White', 'Yesterday', 'chaotic', ""]")</f>
        <v>['Application', 'Telkomsel', 'White', 'Yesterday', 'chaotic', "]</v>
      </c>
      <c r="D20906" s="3">
        <v>1.0</v>
      </c>
    </row>
    <row r="20907" ht="15.75" customHeight="1">
      <c r="A20907" s="1">
        <v>22221.0</v>
      </c>
      <c r="B20907" s="3" t="s">
        <v>19759</v>
      </c>
      <c r="C20907" s="3" t="str">
        <f>IFERROR(__xludf.DUMMYFUNCTION("GOOGLETRANSLATE(B20907,""id"",""en"")"),"['funny', 'application', 'pulse', 'exceed', 'price', 'package', 'bought', 'reply', 'pulse', 'intention', 'sell', 'data', ' ']")</f>
        <v>['funny', 'application', 'pulse', 'exceed', 'price', 'package', 'bought', 'reply', 'pulse', 'intention', 'sell', 'data', ' ']</v>
      </c>
      <c r="D20907" s="3">
        <v>1.0</v>
      </c>
    </row>
    <row r="20908" ht="15.75" customHeight="1">
      <c r="A20908" s="1">
        <v>22222.0</v>
      </c>
      <c r="B20908" s="3" t="s">
        <v>19760</v>
      </c>
      <c r="C20908" s="3" t="str">
        <f>IFERROR(__xludf.DUMMYFUNCTION("GOOGLETRANSLATE(B20908,""id"",""en"")"),"['Good', 'package', 'all-round', 'cheap']")</f>
        <v>['Good', 'package', 'all-round', 'cheap']</v>
      </c>
      <c r="D20908" s="3">
        <v>5.0</v>
      </c>
    </row>
    <row r="20909" ht="15.75" customHeight="1">
      <c r="A20909" s="1">
        <v>22223.0</v>
      </c>
      <c r="B20909" s="3" t="s">
        <v>19761</v>
      </c>
      <c r="C20909" s="3" t="str">
        <f>IFERROR(__xludf.DUMMYFUNCTION("GOOGLETRANSLATE(B20909,""id"",""en"")"),"['Help', 'Update', 'Price', 'Quota', 'Tetep', 'Expensive', '']")</f>
        <v>['Help', 'Update', 'Price', 'Quota', 'Tetep', 'Expensive', '']</v>
      </c>
      <c r="D20909" s="3">
        <v>5.0</v>
      </c>
    </row>
    <row r="20910" ht="15.75" customHeight="1">
      <c r="A20910" s="1">
        <v>22224.0</v>
      </c>
      <c r="B20910" s="3" t="s">
        <v>19762</v>
      </c>
      <c r="C20910" s="3" t="str">
        <f>IFERROR(__xludf.DUMMYFUNCTION("GOOGLETRANSLATE(B20910,""id"",""en"")"),"['gacha', 'gacha', 'TPI', 'signal', 'difficult', 'purchase', 'package', 'quota', 'sediain', 'payment', 'use', 'fund']")</f>
        <v>['gacha', 'gacha', 'TPI', 'signal', 'difficult', 'purchase', 'package', 'quota', 'sediain', 'payment', 'use', 'fund']</v>
      </c>
      <c r="D20910" s="3">
        <v>3.0</v>
      </c>
    </row>
    <row r="20911" ht="15.75" customHeight="1">
      <c r="A20911" s="1">
        <v>22225.0</v>
      </c>
      <c r="B20911" s="3" t="s">
        <v>19763</v>
      </c>
      <c r="C20911" s="3" t="str">
        <f>IFERROR(__xludf.DUMMYFUNCTION("GOOGLETRANSLATE(B20911,""id"",""en"")"),"['Price', 'expensive', 'signal', 'super', 'jeleeeek']")</f>
        <v>['Price', 'expensive', 'signal', 'super', 'jeleeeek']</v>
      </c>
      <c r="D20911" s="3">
        <v>1.0</v>
      </c>
    </row>
    <row r="20912" ht="15.75" customHeight="1">
      <c r="A20912" s="1">
        <v>22226.0</v>
      </c>
      <c r="B20912" s="3" t="s">
        <v>7817</v>
      </c>
      <c r="C20912" s="3" t="str">
        <f>IFERROR(__xludf.DUMMYFUNCTION("GOOGLETRANSLATE(B20912,""id"",""en"")"),"['Knp', 'Open']")</f>
        <v>['Knp', 'Open']</v>
      </c>
      <c r="D20912" s="3">
        <v>3.0</v>
      </c>
    </row>
    <row r="20913" ht="15.75" customHeight="1">
      <c r="A20913" s="1">
        <v>22227.0</v>
      </c>
      <c r="B20913" s="3" t="s">
        <v>19764</v>
      </c>
      <c r="C20913" s="3" t="str">
        <f>IFERROR(__xludf.DUMMYFUNCTION("GOOGLETRANSLATE(B20913,""id"",""en"")"),"['', 'installed']")</f>
        <v>['', 'installed']</v>
      </c>
      <c r="D20913" s="3">
        <v>1.0</v>
      </c>
    </row>
    <row r="20914" ht="15.75" customHeight="1">
      <c r="A20914" s="1">
        <v>22228.0</v>
      </c>
      <c r="B20914" s="3" t="s">
        <v>19765</v>
      </c>
      <c r="C20914" s="3" t="str">
        <f>IFERROR(__xludf.DUMMYFUNCTION("GOOGLETRANSLATE(B20914,""id"",""en"")"),"['Access', 'Application', 'White', 'Screen', 'Pas', 'Login', 'Notif', 'Troubled', 'Try', ""]")</f>
        <v>['Access', 'Application', 'White', 'Screen', 'Pas', 'Login', 'Notif', 'Troubled', 'Try', "]</v>
      </c>
      <c r="D20914" s="3">
        <v>1.0</v>
      </c>
    </row>
    <row r="20915" ht="15.75" customHeight="1">
      <c r="A20915" s="1">
        <v>22229.0</v>
      </c>
      <c r="B20915" s="3" t="s">
        <v>9977</v>
      </c>
      <c r="C20915" s="3" t="str">
        <f>IFERROR(__xludf.DUMMYFUNCTION("GOOGLETRANSLATE(B20915,""id"",""en"")"),"['Good', 'mantep']")</f>
        <v>['Good', 'mantep']</v>
      </c>
      <c r="D20915" s="3">
        <v>5.0</v>
      </c>
    </row>
    <row r="20916" ht="15.75" customHeight="1">
      <c r="A20916" s="1">
        <v>22230.0</v>
      </c>
      <c r="B20916" s="3" t="s">
        <v>19766</v>
      </c>
      <c r="C20916" s="3" t="str">
        <f>IFERROR(__xludf.DUMMYFUNCTION("GOOGLETRANSLATE(B20916,""id"",""en"")"),"['Good', 'times', 'Nieh', 'APK', 'spirit', 'APK', 'Nieh']")</f>
        <v>['Good', 'times', 'Nieh', 'APK', 'spirit', 'APK', 'Nieh']</v>
      </c>
      <c r="D20916" s="3">
        <v>5.0</v>
      </c>
    </row>
    <row r="20917" ht="15.75" customHeight="1">
      <c r="A20917" s="1">
        <v>22231.0</v>
      </c>
      <c r="B20917" s="3" t="s">
        <v>19767</v>
      </c>
      <c r="C20917" s="3" t="str">
        <f>IFERROR(__xludf.DUMMYFUNCTION("GOOGLETRANSLATE(B20917,""id"",""en"")"),"['lost', 'Daily', 'check', 'parahhhh', 'package', 'free', 'missing', 'love', 'star']")</f>
        <v>['lost', 'Daily', 'check', 'parahhhh', 'package', 'free', 'missing', 'love', 'star']</v>
      </c>
      <c r="D20917" s="3">
        <v>1.0</v>
      </c>
    </row>
    <row r="20918" ht="15.75" customHeight="1">
      <c r="A20918" s="1">
        <v>22233.0</v>
      </c>
      <c r="B20918" s="3" t="s">
        <v>19768</v>
      </c>
      <c r="C20918" s="3" t="str">
        <f>IFERROR(__xludf.DUMMYFUNCTION("GOOGLETRANSLATE(B20918,""id"",""en"")"),"['Sorry', 'minus', 'start', 'update', 'ugly', 'package', 'favorite', 'missing', '']")</f>
        <v>['Sorry', 'minus', 'start', 'update', 'ugly', 'package', 'favorite', 'missing', '']</v>
      </c>
      <c r="D20918" s="3">
        <v>2.0</v>
      </c>
    </row>
    <row r="20919" ht="15.75" customHeight="1">
      <c r="A20919" s="1">
        <v>22234.0</v>
      </c>
      <c r="B20919" s="3" t="s">
        <v>19769</v>
      </c>
      <c r="C20919" s="3" t="str">
        <f>IFERROR(__xludf.DUMMYFUNCTION("GOOGLETRANSLATE(B20919,""id"",""en"")"),"['UDH', 'Whitescreen', 'Enter', 'The application', 'Please', 'Fix', 'As soon as', 'buy', 'Package', ""]")</f>
        <v>['UDH', 'Whitescreen', 'Enter', 'The application', 'Please', 'Fix', 'As soon as', 'buy', 'Package', "]</v>
      </c>
      <c r="D20919" s="3">
        <v>1.0</v>
      </c>
    </row>
    <row r="20920" ht="15.75" customHeight="1">
      <c r="A20920" s="1">
        <v>22235.0</v>
      </c>
      <c r="B20920" s="3" t="s">
        <v>19770</v>
      </c>
      <c r="C20920" s="3" t="str">
        <f>IFERROR(__xludf.DUMMYFUNCTION("GOOGLETRANSLATE(B20920,""id"",""en"")"),"['apk', 'troublesome', 'told', 'login', 'mulu', 'capeeeee', 'deeeh', 'here', 'dilapidated', 'Telkomsel', 'expensive', 'severe']")</f>
        <v>['apk', 'troublesome', 'told', 'login', 'mulu', 'capeeeee', 'deeeh', 'here', 'dilapidated', 'Telkomsel', 'expensive', 'severe']</v>
      </c>
      <c r="D20920" s="3">
        <v>1.0</v>
      </c>
    </row>
    <row r="20921" ht="15.75" customHeight="1">
      <c r="A20921" s="1">
        <v>22237.0</v>
      </c>
      <c r="B20921" s="3" t="s">
        <v>1365</v>
      </c>
      <c r="C20921" s="3" t="str">
        <f>IFERROR(__xludf.DUMMYFUNCTION("GOOGLETRANSLATE(B20921,""id"",""en"")"),"['Thank you', 'Telkomsel']")</f>
        <v>['Thank you', 'Telkomsel']</v>
      </c>
      <c r="D20921" s="3">
        <v>5.0</v>
      </c>
    </row>
    <row r="20922" ht="15.75" customHeight="1">
      <c r="A20922" s="1">
        <v>22238.0</v>
      </c>
      <c r="B20922" s="3" t="s">
        <v>19771</v>
      </c>
      <c r="C20922" s="3" t="str">
        <f>IFERROR(__xludf.DUMMYFUNCTION("GOOGLETRANSLATE(B20922,""id"",""en"")"),"['Crazy', 'Cool', 'Bangen']")</f>
        <v>['Crazy', 'Cool', 'Bangen']</v>
      </c>
      <c r="D20922" s="3">
        <v>5.0</v>
      </c>
    </row>
    <row r="20923" ht="15.75" customHeight="1">
      <c r="A20923" s="1">
        <v>22239.0</v>
      </c>
      <c r="B20923" s="3" t="s">
        <v>19772</v>
      </c>
      <c r="C20923" s="3" t="str">
        <f>IFERROR(__xludf.DUMMYFUNCTION("GOOGLETRANSLATE(B20923,""id"",""en"")"),"['Telkomsel', 'Joss', 'help', 'quota', 'main', 'cheap', 'affordable', 'Jaya', ""]")</f>
        <v>['Telkomsel', 'Joss', 'help', 'quota', 'main', 'cheap', 'affordable', 'Jaya', "]</v>
      </c>
      <c r="D20923" s="3">
        <v>5.0</v>
      </c>
    </row>
    <row r="20924" ht="15.75" customHeight="1">
      <c r="A20924" s="1">
        <v>22240.0</v>
      </c>
      <c r="B20924" s="3" t="s">
        <v>859</v>
      </c>
      <c r="C20924" s="3" t="str">
        <f>IFERROR(__xludf.DUMMYFUNCTION("GOOGLETRANSLATE(B20924,""id"",""en"")"),"['help', '']")</f>
        <v>['help', '']</v>
      </c>
      <c r="D20924" s="3">
        <v>5.0</v>
      </c>
    </row>
    <row r="20925" ht="15.75" customHeight="1">
      <c r="A20925" s="1">
        <v>22241.0</v>
      </c>
      <c r="B20925" s="3" t="s">
        <v>19773</v>
      </c>
      <c r="C20925" s="3" t="str">
        <f>IFERROR(__xludf.DUMMYFUNCTION("GOOGLETRANSLATE(B20925,""id"",""en"")"),"['A Week', 'MyTelkomsel', 'Whitescreen', 'Response', 'MyTelkomsel', 'Service', 'Increases',' Bad ',' Appropriate ',' Price ',' Paketan ',' Delangit ',' ']")</f>
        <v>['A Week', 'MyTelkomsel', 'Whitescreen', 'Response', 'MyTelkomsel', 'Service', 'Increases',' Bad ',' Appropriate ',' Price ',' Paketan ',' Delangit ',' ']</v>
      </c>
      <c r="D20925" s="3">
        <v>1.0</v>
      </c>
    </row>
    <row r="20926" ht="15.75" customHeight="1">
      <c r="A20926" s="1">
        <v>22242.0</v>
      </c>
      <c r="B20926" s="3" t="s">
        <v>19774</v>
      </c>
      <c r="C20926" s="3" t="str">
        <f>IFERROR(__xludf.DUMMYFUNCTION("GOOGLETRANSLATE(B20926,""id"",""en"")"),"['', 'Install', 'Applikasin', 'Telkomsel', ""]")</f>
        <v>['', 'Install', 'Applikasin', 'Telkomsel', "]</v>
      </c>
      <c r="D20926" s="3">
        <v>2.0</v>
      </c>
    </row>
    <row r="20927" ht="15.75" customHeight="1">
      <c r="A20927" s="1">
        <v>22243.0</v>
      </c>
      <c r="B20927" s="3" t="s">
        <v>19775</v>
      </c>
      <c r="C20927" s="3" t="str">
        <f>IFERROR(__xludf.DUMMYFUNCTION("GOOGLETRANSLATE(B20927,""id"",""en"")"),"['knp', 'buy', 'package', 'price', 'that way', 'credit', 'sya', 'package', 'rb', 'pulse', 'pleah', 'what', ' ']")</f>
        <v>['knp', 'buy', 'package', 'price', 'that way', 'credit', 'sya', 'package', 'rb', 'pulse', 'pleah', 'what', ' ']</v>
      </c>
      <c r="D20927" s="3">
        <v>1.0</v>
      </c>
    </row>
    <row r="20928" ht="15.75" customHeight="1">
      <c r="A20928" s="1">
        <v>22244.0</v>
      </c>
      <c r="B20928" s="3" t="s">
        <v>19776</v>
      </c>
      <c r="C20928" s="3" t="str">
        <f>IFERROR(__xludf.DUMMYFUNCTION("GOOGLETRANSLATE(B20928,""id"",""en"")"),"['Bonus', 'steady', 'booos']")</f>
        <v>['Bonus', 'steady', 'booos']</v>
      </c>
      <c r="D20928" s="3">
        <v>5.0</v>
      </c>
    </row>
    <row r="20929" ht="15.75" customHeight="1">
      <c r="A20929" s="1">
        <v>22245.0</v>
      </c>
      <c r="B20929" s="3" t="s">
        <v>19777</v>
      </c>
      <c r="C20929" s="3" t="str">
        <f>IFERROR(__xludf.DUMMYFUNCTION("GOOGLETRANSLATE(B20929,""id"",""en"")"),"['', 'Telkomsel', 'mantaf']")</f>
        <v>['', 'Telkomsel', 'mantaf']</v>
      </c>
      <c r="D20929" s="3">
        <v>5.0</v>
      </c>
    </row>
    <row r="20930" ht="15.75" customHeight="1">
      <c r="A20930" s="1">
        <v>22246.0</v>
      </c>
      <c r="B20930" s="3" t="s">
        <v>1694</v>
      </c>
      <c r="C20930" s="3" t="str">
        <f>IFERROR(__xludf.DUMMYFUNCTION("GOOGLETRANSLATE(B20930,""id"",""en"")"),"['bad connection']")</f>
        <v>['bad connection']</v>
      </c>
      <c r="D20930" s="3">
        <v>2.0</v>
      </c>
    </row>
    <row r="20931" ht="15.75" customHeight="1">
      <c r="A20931" s="1">
        <v>22247.0</v>
      </c>
      <c r="B20931" s="3" t="s">
        <v>19778</v>
      </c>
      <c r="C20931" s="3" t="str">
        <f>IFERROR(__xludf.DUMMYFUNCTION("GOOGLETRANSLATE(B20931,""id"",""en"")"),"['Application', 'Login', 'already', 'Many', 'Times',' Click ',' Link ',' SMS ',' Enter ',' Try ',' Fix ',' Pay ',' expensive']")</f>
        <v>['Application', 'Login', 'already', 'Many', 'Times',' Click ',' Link ',' SMS ',' Enter ',' Try ',' Fix ',' Pay ',' expensive']</v>
      </c>
      <c r="D20931" s="3">
        <v>1.0</v>
      </c>
    </row>
    <row r="20932" ht="15.75" customHeight="1">
      <c r="A20932" s="1">
        <v>22248.0</v>
      </c>
      <c r="B20932" s="3" t="s">
        <v>19779</v>
      </c>
      <c r="C20932" s="3" t="str">
        <f>IFERROR(__xludf.DUMMYFUNCTION("GOOGLETRANSLATE(B20932,""id"",""en"")"),"['Applate', 'Defeats', 'Update', 'Enter']")</f>
        <v>['Applate', 'Defeats', 'Update', 'Enter']</v>
      </c>
      <c r="D20932" s="3">
        <v>1.0</v>
      </c>
    </row>
    <row r="20933" ht="15.75" customHeight="1">
      <c r="A20933" s="1">
        <v>22249.0</v>
      </c>
      <c r="B20933" s="3" t="s">
        <v>19780</v>
      </c>
      <c r="C20933" s="3" t="str">
        <f>IFERROR(__xludf.DUMMYFUNCTION("GOOGLETRANSLATE(B20933,""id"",""en"")"),"['steady', 'buy', 'package', 'cheap']")</f>
        <v>['steady', 'buy', 'package', 'cheap']</v>
      </c>
      <c r="D20933" s="3">
        <v>2.0</v>
      </c>
    </row>
    <row r="20934" ht="15.75" customHeight="1">
      <c r="A20934" s="1">
        <v>22250.0</v>
      </c>
      <c r="B20934" s="3" t="s">
        <v>19781</v>
      </c>
      <c r="C20934" s="3" t="str">
        <f>IFERROR(__xludf.DUMMYFUNCTION("GOOGLETRANSLATE(B20934,""id"",""en"")"),"['Jangaringan', 'Sudden', 'Telkomsel', 'Main', 'Game', 'Network', 'Best', 'Network', 'Baccomest', 'VNGke']")</f>
        <v>['Jangaringan', 'Sudden', 'Telkomsel', 'Main', 'Game', 'Network', 'Best', 'Network', 'Baccomest', 'VNGke']</v>
      </c>
      <c r="D20934" s="3">
        <v>3.0</v>
      </c>
    </row>
    <row r="20935" ht="15.75" customHeight="1">
      <c r="A20935" s="1">
        <v>22251.0</v>
      </c>
      <c r="B20935" s="3" t="s">
        <v>19782</v>
      </c>
      <c r="C20935" s="3" t="str">
        <f>IFERROR(__xludf.DUMMYFUNCTION("GOOGLETRANSLATE(B20935,""id"",""en"")"),"['Disappointed', 'Application', 'Gara', 'Gara', 'Application', 'Double', 'Activation', 'Paketan', 'Response', 'Fitting', 'Activation', 'Application', ' Please, 'fix', 'in the future']")</f>
        <v>['Disappointed', 'Application', 'Gara', 'Gara', 'Application', 'Double', 'Activation', 'Paketan', 'Response', 'Fitting', 'Activation', 'Application', ' Please, 'fix', 'in the future']</v>
      </c>
      <c r="D20935" s="3">
        <v>1.0</v>
      </c>
    </row>
    <row r="20936" ht="15.75" customHeight="1">
      <c r="A20936" s="1">
        <v>22252.0</v>
      </c>
      <c r="B20936" s="3" t="s">
        <v>19783</v>
      </c>
      <c r="C20936" s="3" t="str">
        <f>IFERROR(__xludf.DUMMYFUNCTION("GOOGLETRANSLATE(B20936,""id"",""en"")"),"['Network', 'Kek', 'Taik', 'buy', 'Kouta', 'expensive', 'can', 'sahah', 'network', 'open', 'Telkomsel', 'close', ' ']")</f>
        <v>['Network', 'Kek', 'Taik', 'buy', 'Kouta', 'expensive', 'can', 'sahah', 'network', 'open', 'Telkomsel', 'close', ' ']</v>
      </c>
      <c r="D20936" s="3">
        <v>1.0</v>
      </c>
    </row>
    <row r="20937" ht="15.75" customHeight="1">
      <c r="A20937" s="1">
        <v>22253.0</v>
      </c>
      <c r="B20937" s="3" t="s">
        <v>19784</v>
      </c>
      <c r="C20937" s="3" t="str">
        <f>IFERROR(__xludf.DUMMYFUNCTION("GOOGLETRANSLATE(B20937,""id"",""en"")"),"['gabisa', 'login', 'method', 'anything', 'reading', 'error']")</f>
        <v>['gabisa', 'login', 'method', 'anything', 'reading', 'error']</v>
      </c>
      <c r="D20937" s="3">
        <v>2.0</v>
      </c>
    </row>
    <row r="20938" ht="15.75" customHeight="1">
      <c r="A20938" s="1">
        <v>22255.0</v>
      </c>
      <c r="B20938" s="3" t="s">
        <v>19785</v>
      </c>
      <c r="C20938" s="3" t="str">
        <f>IFERROR(__xludf.DUMMYFUNCTION("GOOGLETRANSLATE(B20938,""id"",""en"")"),"['JDI', 'Gabiaa', 'opened']")</f>
        <v>['JDI', 'Gabiaa', 'opened']</v>
      </c>
      <c r="D20938" s="3">
        <v>1.0</v>
      </c>
    </row>
    <row r="20939" ht="15.75" customHeight="1">
      <c r="A20939" s="1">
        <v>22256.0</v>
      </c>
      <c r="B20939" s="3" t="s">
        <v>19786</v>
      </c>
      <c r="C20939" s="3" t="str">
        <f>IFERROR(__xludf.DUMMYFUNCTION("GOOGLETRANSLATE(B20939,""id"",""en"")"),"['Good', 'promo', 'forget', ""]")</f>
        <v>['Good', 'promo', 'forget', "]</v>
      </c>
      <c r="D20939" s="3">
        <v>5.0</v>
      </c>
    </row>
    <row r="20940" ht="15.75" customHeight="1">
      <c r="A20940" s="1">
        <v>22257.0</v>
      </c>
      <c r="B20940" s="3" t="s">
        <v>19787</v>
      </c>
      <c r="C20940" s="3" t="str">
        <f>IFERROR(__xludf.DUMMYFUNCTION("GOOGLETRANSLATE(B20940,""id"",""en"")"),"['sympathy', 'Telkomsel', 'good', 'really']")</f>
        <v>['sympathy', 'Telkomsel', 'good', 'really']</v>
      </c>
      <c r="D20940" s="3">
        <v>5.0</v>
      </c>
    </row>
    <row r="20941" ht="15.75" customHeight="1">
      <c r="A20941" s="1">
        <v>22258.0</v>
      </c>
      <c r="B20941" s="3" t="s">
        <v>19788</v>
      </c>
      <c r="C20941" s="3" t="str">
        <f>IFERROR(__xludf.DUMMYFUNCTION("GOOGLETRANSLATE(B20941,""id"",""en"")"),"['loading', 'forgiveness', 'network', 'Oredoo', 'good', '']")</f>
        <v>['loading', 'forgiveness', 'network', 'Oredoo', 'good', '']</v>
      </c>
      <c r="D20941" s="3">
        <v>1.0</v>
      </c>
    </row>
    <row r="20942" ht="15.75" customHeight="1">
      <c r="A20942" s="1">
        <v>22260.0</v>
      </c>
      <c r="B20942" s="3" t="s">
        <v>19789</v>
      </c>
      <c r="C20942" s="3" t="str">
        <f>IFERROR(__xludf.DUMMYFUNCTION("GOOGLETRANSLATE(B20942,""id"",""en"")"),"['slow', 'really', 'lazy', 'buy']")</f>
        <v>['slow', 'really', 'lazy', 'buy']</v>
      </c>
      <c r="D20942" s="3">
        <v>1.0</v>
      </c>
    </row>
    <row r="20943" ht="15.75" customHeight="1">
      <c r="A20943" s="1">
        <v>22261.0</v>
      </c>
      <c r="B20943" s="3" t="s">
        <v>19790</v>
      </c>
      <c r="C20943" s="3" t="str">
        <f>IFERROR(__xludf.DUMMYFUNCTION("GOOGLETRANSLATE(B20943,""id"",""en"")"),"['', 'Lay', 'gini']")</f>
        <v>['', 'Lay', 'gini']</v>
      </c>
      <c r="D20943" s="3">
        <v>4.0</v>
      </c>
    </row>
    <row r="20944" ht="15.75" customHeight="1">
      <c r="A20944" s="1">
        <v>22262.0</v>
      </c>
      <c r="B20944" s="3" t="s">
        <v>19791</v>
      </c>
      <c r="C20944" s="3" t="str">
        <f>IFERROR(__xludf.DUMMYFUNCTION("GOOGLETRANSLATE(B20944,""id"",""en"")"),"['Applyi', 'Yangg', 'virtuous', 'Bagus', 'dann', 'Help', '']")</f>
        <v>['Applyi', 'Yangg', 'virtuous', 'Bagus', 'dann', 'Help', '']</v>
      </c>
      <c r="D20944" s="3">
        <v>3.0</v>
      </c>
    </row>
    <row r="20945" ht="15.75" customHeight="1">
      <c r="A20945" s="1">
        <v>22263.0</v>
      </c>
      <c r="B20945" s="3" t="s">
        <v>19792</v>
      </c>
      <c r="C20945" s="3" t="str">
        <f>IFERROR(__xludf.DUMMYFUNCTION("GOOGLETRANSLATE(B20945,""id"",""en"")"),"['open', 'application', 'semalem', 'already', 'report', 'open']")</f>
        <v>['open', 'application', 'semalem', 'already', 'report', 'open']</v>
      </c>
      <c r="D20945" s="3">
        <v>1.0</v>
      </c>
    </row>
    <row r="20946" ht="15.75" customHeight="1">
      <c r="A20946" s="1">
        <v>22264.0</v>
      </c>
      <c r="B20946" s="3" t="s">
        <v>19793</v>
      </c>
      <c r="C20946" s="3" t="str">
        <f>IFERROR(__xludf.DUMMYFUNCTION("GOOGLETRANSLATE(B20946,""id"",""en"")"),"['WOI', 'Telkomsel', 'Gara', 'Gara', 'Telkomsel', 'I', 'work', 'Gara', 'Gara', 'Telkomsel']")</f>
        <v>['WOI', 'Telkomsel', 'Gara', 'Gara', 'Telkomsel', 'I', 'work', 'Gara', 'Gara', 'Telkomsel']</v>
      </c>
      <c r="D20946" s="3">
        <v>2.0</v>
      </c>
    </row>
    <row r="20947" ht="15.75" customHeight="1">
      <c r="A20947" s="1">
        <v>22265.0</v>
      </c>
      <c r="B20947" s="3" t="s">
        <v>19794</v>
      </c>
      <c r="C20947" s="3" t="str">
        <f>IFERROR(__xludf.DUMMYFUNCTION("GOOGLETRANSLATE(B20947,""id"",""en"")"),"['strange', 'Application', 'Choose', 'Network', 'Open', 'Use', 'Network', 'Indosat', 'Enter', 'Use', 'Network', 'Telkomsel', ' disappointed']")</f>
        <v>['strange', 'Application', 'Choose', 'Network', 'Open', 'Use', 'Network', 'Indosat', 'Enter', 'Use', 'Network', 'Telkomsel', ' disappointed']</v>
      </c>
      <c r="D20947" s="3">
        <v>1.0</v>
      </c>
    </row>
    <row r="20948" ht="15.75" customHeight="1">
      <c r="A20948" s="1">
        <v>22266.0</v>
      </c>
      <c r="B20948" s="3" t="s">
        <v>19795</v>
      </c>
      <c r="C20948" s="3" t="str">
        <f>IFERROR(__xludf.DUMMYFUNCTION("GOOGLETRANSLATE(B20948,""id"",""en"")"),"['application', 'error', 'open', 'data', 'plus', 'wifi', 'strange', ""]")</f>
        <v>['application', 'error', 'open', 'data', 'plus', 'wifi', 'strange', "]</v>
      </c>
      <c r="D20948" s="3">
        <v>5.0</v>
      </c>
    </row>
    <row r="20949" ht="15.75" customHeight="1">
      <c r="A20949" s="1">
        <v>22267.0</v>
      </c>
      <c r="B20949" s="3" t="s">
        <v>19796</v>
      </c>
      <c r="C20949" s="3" t="str">
        <f>IFERROR(__xludf.DUMMYFUNCTION("GOOGLETRANSLATE(B20949,""id"",""en"")"),"['', 'HRS', 'DRMNA', 'TGGL', 'PDAMA', 'Kalbar', 'DSNI', 'Tower', 'cell', 'ISAT', 'LNCAR', 'cell', 'smnjak ',' Corona ',' appears', 'smpai', 'seconds',' snyal ',' cell ',' sngat ',' mnurun ',' BKA ',' load ',' then ',' play ', 'GAM', 'Onlne', 'jammed', 'Go"&amp;"od', 'Snyal', 'ISAT', 'AKHR', 'PKE', 'Cell', 'MSKPN', 'Krtunya', 'Msh', 'AKTF ',' SLL ',' Aktfin ',' cell ',' DPT ',' Hidayah ',' Greetings', 'Dri', 'Sambas',' Klmntan ',' West ',' village ',' Sijang ', 'Kab', 'Sambas', '']")</f>
        <v>['', 'HRS', 'DRMNA', 'TGGL', 'PDAMA', 'Kalbar', 'DSNI', 'Tower', 'cell', 'ISAT', 'LNCAR', 'cell', 'smnjak ',' Corona ',' appears', 'smpai', 'seconds',' snyal ',' cell ',' sngat ',' mnurun ',' BKA ',' load ',' then ',' play ', 'GAM', 'Onlne', 'jammed', 'Good', 'Snyal', 'ISAT', 'AKHR', 'PKE', 'Cell', 'MSKPN', 'Krtunya', 'Msh', 'AKTF ',' SLL ',' Aktfin ',' cell ',' DPT ',' Hidayah ',' Greetings', 'Dri', 'Sambas',' Klmntan ',' West ',' village ',' Sijang ', 'Kab', 'Sambas', '']</v>
      </c>
      <c r="D20949" s="3">
        <v>1.0</v>
      </c>
    </row>
    <row r="20950" ht="15.75" customHeight="1">
      <c r="A20950" s="1">
        <v>22269.0</v>
      </c>
      <c r="B20950" s="3" t="s">
        <v>19797</v>
      </c>
      <c r="C20950" s="3" t="str">
        <f>IFERROR(__xludf.DUMMYFUNCTION("GOOGLETRANSLATE(B20950,""id"",""en"")"),"['Satisfied', 'Telkomsel']")</f>
        <v>['Satisfied', 'Telkomsel']</v>
      </c>
      <c r="D20950" s="3">
        <v>5.0</v>
      </c>
    </row>
    <row r="20951" ht="15.75" customHeight="1">
      <c r="A20951" s="1">
        <v>22270.0</v>
      </c>
      <c r="B20951" s="3" t="s">
        <v>19798</v>
      </c>
      <c r="C20951" s="3" t="str">
        <f>IFERROR(__xludf.DUMMYFUNCTION("GOOGLETRANSLATE(B20951,""id"",""en"")"),"['', 'Install', 'ngeta', 'open', 'pdhl', 'quota', 'full']")</f>
        <v>['', 'Install', 'ngeta', 'open', 'pdhl', 'quota', 'full']</v>
      </c>
      <c r="D20951" s="3">
        <v>3.0</v>
      </c>
    </row>
    <row r="20952" ht="15.75" customHeight="1">
      <c r="A20952" s="1">
        <v>22271.0</v>
      </c>
      <c r="B20952" s="3" t="s">
        <v>19799</v>
      </c>
      <c r="C20952" s="3" t="str">
        <f>IFERROR(__xludf.DUMMYFUNCTION("GOOGLETRANSLATE(B20952,""id"",""en"")"),"['signal', 'Burikk', 'quota', 'expensive', 'Bett', 'Mbok', 'Signal', 'BURIK', 'price', 'quota', 'expensive', 'expensive', ' ']")</f>
        <v>['signal', 'Burikk', 'quota', 'expensive', 'Bett', 'Mbok', 'Signal', 'BURIK', 'price', 'quota', 'expensive', 'expensive', ' ']</v>
      </c>
      <c r="D20952" s="3">
        <v>1.0</v>
      </c>
    </row>
    <row r="20953" ht="15.75" customHeight="1">
      <c r="A20953" s="1">
        <v>22272.0</v>
      </c>
      <c r="B20953" s="3" t="s">
        <v>19800</v>
      </c>
      <c r="C20953" s="3" t="str">
        <f>IFERROR(__xludf.DUMMYFUNCTION("GOOGLETRANSLATE(B20953,""id"",""en"")"),"['Sampek', 'Telkomsel', 'ngellag', 'buy', 'kouta', 'pakek', 'money', 'please', 'telkomsel', 'love', 'signal', 'as good as',' Customers', 'Telkomsel', 'Hope', 'Telkomsel', 'Bisalan']")</f>
        <v>['Sampek', 'Telkomsel', 'ngellag', 'buy', 'kouta', 'pakek', 'money', 'please', 'telkomsel', 'love', 'signal', 'as good as',' Customers', 'Telkomsel', 'Hope', 'Telkomsel', 'Bisalan']</v>
      </c>
      <c r="D20953" s="3">
        <v>1.0</v>
      </c>
    </row>
    <row r="20954" ht="15.75" customHeight="1">
      <c r="A20954" s="1">
        <v>22273.0</v>
      </c>
      <c r="B20954" s="3" t="s">
        <v>19801</v>
      </c>
      <c r="C20954" s="3" t="str">
        <f>IFERROR(__xludf.DUMMYFUNCTION("GOOGLETRANSLATE(B20954,""id"",""en"")"),"['application', 'fooling', 'web', 'appears',' promo ',' application ',' actually ',' application ',' bugs', 'nipu', 'mulu', 'uninstall', ' Mending ',' Update ',' Website ',' Ngepain ',' Update ']")</f>
        <v>['application', 'fooling', 'web', 'appears',' promo ',' application ',' actually ',' application ',' bugs', 'nipu', 'mulu', 'uninstall', ' Mending ',' Update ',' Website ',' Ngepain ',' Update ']</v>
      </c>
      <c r="D20954" s="3">
        <v>1.0</v>
      </c>
    </row>
    <row r="20955" ht="15.75" customHeight="1">
      <c r="A20955" s="1">
        <v>22274.0</v>
      </c>
      <c r="B20955" s="3" t="s">
        <v>19802</v>
      </c>
      <c r="C20955" s="3" t="str">
        <f>IFERROR(__xludf.DUMMYFUNCTION("GOOGLETRANSLATE(B20955,""id"",""en"")"),"['Network', 'problematic', 'Telkomsel', 'mainstay', 'network', 'telephone', 'cellular', 'country', 'beloved', 'Please', 'sorry', 'thrown', ' ball ',' present ',' customer ',' loyal ',' completed ',' as fast ',' return ',' trust ',' Telkomsel ',' ']")</f>
        <v>['Network', 'problematic', 'Telkomsel', 'mainstay', 'network', 'telephone', 'cellular', 'country', 'beloved', 'Please', 'sorry', 'thrown', ' ball ',' present ',' customer ',' loyal ',' completed ',' as fast ',' return ',' trust ',' Telkomsel ',' ']</v>
      </c>
      <c r="D20955" s="3">
        <v>3.0</v>
      </c>
    </row>
    <row r="20956" ht="15.75" customHeight="1">
      <c r="A20956" s="1">
        <v>22275.0</v>
      </c>
      <c r="B20956" s="3" t="s">
        <v>19803</v>
      </c>
      <c r="C20956" s="3" t="str">
        <f>IFERROR(__xludf.DUMMYFUNCTION("GOOGLETRANSLATE(B20956,""id"",""en"")"),"['Love', 'Combo', 'Sakti', 'GB', 'Pliss', 'Sis', 'Package', 'Expensive', 'Please', 'Telkomsel', ""]")</f>
        <v>['Love', 'Combo', 'Sakti', 'GB', 'Pliss', 'Sis', 'Package', 'Expensive', 'Please', 'Telkomsel', "]</v>
      </c>
      <c r="D20956" s="3">
        <v>5.0</v>
      </c>
    </row>
    <row r="20957" ht="15.75" customHeight="1">
      <c r="A20957" s="1">
        <v>22276.0</v>
      </c>
      <c r="B20957" s="3" t="s">
        <v>19804</v>
      </c>
      <c r="C20957" s="3" t="str">
        <f>IFERROR(__xludf.DUMMYFUNCTION("GOOGLETRANSLATE(B20957,""id"",""en"")"),"['Application', 'Bukak', 'Bentar', 'Ngak', 'Open']")</f>
        <v>['Application', 'Bukak', 'Bentar', 'Ngak', 'Open']</v>
      </c>
      <c r="D20957" s="3">
        <v>2.0</v>
      </c>
    </row>
    <row r="20958" ht="15.75" customHeight="1">
      <c r="A20958" s="1">
        <v>22277.0</v>
      </c>
      <c r="B20958" s="3" t="s">
        <v>19805</v>
      </c>
      <c r="C20958" s="3" t="str">
        <f>IFERROR(__xludf.DUMMYFUNCTION("GOOGLETRANSLATE(B20958,""id"",""en"")"),"['Ngeblank', 'White', 'right', 'Open', '']")</f>
        <v>['Ngeblank', 'White', 'right', 'Open', '']</v>
      </c>
      <c r="D20958" s="3">
        <v>3.0</v>
      </c>
    </row>
    <row r="20959" ht="15.75" customHeight="1">
      <c r="A20959" s="1">
        <v>22278.0</v>
      </c>
      <c r="B20959" s="3" t="s">
        <v>19806</v>
      </c>
      <c r="C20959" s="3" t="str">
        <f>IFERROR(__xludf.DUMMYFUNCTION("GOOGLETRANSLATE(B20959,""id"",""en"")"),"['Login', 'difficult', '']")</f>
        <v>['Login', 'difficult', '']</v>
      </c>
      <c r="D20959" s="3">
        <v>1.0</v>
      </c>
    </row>
    <row r="20960" ht="15.75" customHeight="1">
      <c r="A20960" s="1">
        <v>22279.0</v>
      </c>
      <c r="B20960" s="3" t="s">
        <v>19807</v>
      </c>
      <c r="C20960" s="3" t="str">
        <f>IFERROR(__xludf.DUMMYFUNCTION("GOOGLETRANSLATE(B20960,""id"",""en"")"),"['makes it easier', 'transaction', 'purchase', 'checks',' package ',' internet ',' pulse ',' darling ',' quota ',' gabisa ',' quota ',' run out ',' Forgot ',' check ',' ']")</f>
        <v>['makes it easier', 'transaction', 'purchase', 'checks',' package ',' internet ',' pulse ',' darling ',' quota ',' gabisa ',' quota ',' run out ',' Forgot ',' check ',' ']</v>
      </c>
      <c r="D20960" s="3">
        <v>5.0</v>
      </c>
    </row>
    <row r="20961" ht="15.75" customHeight="1">
      <c r="A20961" s="1">
        <v>22280.0</v>
      </c>
      <c r="B20961" s="3" t="s">
        <v>19808</v>
      </c>
      <c r="C20961" s="3" t="str">
        <f>IFERROR(__xludf.DUMMYFUNCTION("GOOGLETRANSLATE(B20961,""id"",""en"")"),"['signal', 'stable', '']")</f>
        <v>['signal', 'stable', '']</v>
      </c>
      <c r="D20961" s="3">
        <v>1.0</v>
      </c>
    </row>
    <row r="20962" ht="15.75" customHeight="1">
      <c r="A20962" s="1">
        <v>22281.0</v>
      </c>
      <c r="B20962" s="3" t="s">
        <v>2127</v>
      </c>
      <c r="C20962" s="3" t="str">
        <f>IFERROR(__xludf.DUMMYFUNCTION("GOOGLETRANSLATE(B20962,""id"",""en"")"),"['easy']")</f>
        <v>['easy']</v>
      </c>
      <c r="D20962" s="3">
        <v>5.0</v>
      </c>
    </row>
    <row r="20963" ht="15.75" customHeight="1">
      <c r="A20963" s="1">
        <v>22282.0</v>
      </c>
      <c r="B20963" s="3" t="s">
        <v>1425</v>
      </c>
      <c r="C20963" s="3" t="str">
        <f>IFERROR(__xludf.DUMMYFUNCTION("GOOGLETRANSLATE(B20963,""id"",""en"")"),"['Help', 'application']")</f>
        <v>['Help', 'application']</v>
      </c>
      <c r="D20963" s="3">
        <v>5.0</v>
      </c>
    </row>
    <row r="20964" ht="15.75" customHeight="1">
      <c r="A20964" s="1">
        <v>22283.0</v>
      </c>
      <c r="B20964" s="3" t="s">
        <v>19809</v>
      </c>
      <c r="C20964" s="3" t="str">
        <f>IFERROR(__xludf.DUMMYFUNCTION("GOOGLETRANSLATE(B20964,""id"",""en"")"),"['application', 'slow', 'opened', 'buy', 'package', 'difficult', '']")</f>
        <v>['application', 'slow', 'opened', 'buy', 'package', 'difficult', '']</v>
      </c>
      <c r="D20964" s="3">
        <v>1.0</v>
      </c>
    </row>
    <row r="20965" ht="15.75" customHeight="1">
      <c r="A20965" s="1">
        <v>22284.0</v>
      </c>
      <c r="B20965" s="3" t="s">
        <v>19810</v>
      </c>
      <c r="C20965" s="3" t="str">
        <f>IFERROR(__xludf.DUMMYFUNCTION("GOOGLETRANSLATE(B20965,""id"",""en"")"),"['Download', 'application', 'solution', 'how']")</f>
        <v>['Download', 'application', 'solution', 'how']</v>
      </c>
      <c r="D20965" s="3">
        <v>4.0</v>
      </c>
    </row>
    <row r="20966" ht="15.75" customHeight="1">
      <c r="A20966" s="1">
        <v>22285.0</v>
      </c>
      <c r="B20966" s="3" t="s">
        <v>19811</v>
      </c>
      <c r="C20966" s="3" t="str">
        <f>IFERROR(__xludf.DUMMYFUNCTION("GOOGLETRANSLATE(B20966,""id"",""en"")"),"['Package', 'multimedia', 'muter', 'muter', 'yaaa', 'smooth', 'rich', 'dlu']")</f>
        <v>['Package', 'multimedia', 'muter', 'muter', 'yaaa', 'smooth', 'rich', 'dlu']</v>
      </c>
      <c r="D20966" s="3">
        <v>1.0</v>
      </c>
    </row>
    <row r="20967" ht="15.75" customHeight="1">
      <c r="A20967" s="1">
        <v>22286.0</v>
      </c>
      <c r="B20967" s="3" t="s">
        <v>19812</v>
      </c>
      <c r="C20967" s="3" t="str">
        <f>IFERROR(__xludf.DUMMYFUNCTION("GOOGLETRANSLATE(B20967,""id"",""en"")"),"['thought', 'price', 'expensive', 'provider', 'quality', 'connection', 'reality', 'garbage', 'at the time', 'play', 'game', ' Checked ',' Connection ',' Area ',' Yogyakarta ',' Assessment ',' Wrong ',' ']")</f>
        <v>['thought', 'price', 'expensive', 'provider', 'quality', 'connection', 'reality', 'garbage', 'at the time', 'play', 'game', ' Checked ',' Connection ',' Area ',' Yogyakarta ',' Assessment ',' Wrong ',' ']</v>
      </c>
      <c r="D20967" s="3">
        <v>1.0</v>
      </c>
    </row>
    <row r="20968" ht="15.75" customHeight="1">
      <c r="A20968" s="1">
        <v>22287.0</v>
      </c>
      <c r="B20968" s="3" t="s">
        <v>19813</v>
      </c>
      <c r="C20968" s="3" t="str">
        <f>IFERROR(__xludf.DUMMYFUNCTION("GOOGLETRANSLATE(B20968,""id"",""en"")"),"['Application', 'Telkomsel', 'Kindel', 'Install', 'Keinstall', 'maintanance', ""]")</f>
        <v>['Application', 'Telkomsel', 'Kindel', 'Install', 'Keinstall', 'maintanance', "]</v>
      </c>
      <c r="D20968" s="3">
        <v>2.0</v>
      </c>
    </row>
    <row r="20969" ht="15.75" customHeight="1">
      <c r="A20969" s="1">
        <v>22288.0</v>
      </c>
      <c r="B20969" s="3" t="s">
        <v>19814</v>
      </c>
      <c r="C20969" s="3" t="str">
        <f>IFERROR(__xludf.DUMMYFUNCTION("GOOGLETRANSLATE(B20969,""id"",""en"")"),"['Dear', 'Telkomsel', 'Please', 'The info', 'Notice', 'Open', 'Application', 'Telkomsel', 'Nyedot', 'Quotes',' Gede ',' Really ',' applies', 'application', 'open', 'data', 'road', 'rich', 'open', 'video', 'youtube', 'looks',' use ',' appears', 'his writin"&amp;"g' , '']")</f>
        <v>['Dear', 'Telkomsel', 'Please', 'The info', 'Notice', 'Open', 'Application', 'Telkomsel', 'Nyedot', 'Quotes',' Gede ',' Really ',' applies', 'application', 'open', 'data', 'road', 'rich', 'open', 'video', 'youtube', 'looks',' use ',' appears', 'his writing' , '']</v>
      </c>
      <c r="D20969" s="3">
        <v>1.0</v>
      </c>
    </row>
    <row r="20970" ht="15.75" customHeight="1">
      <c r="A20970" s="1">
        <v>22289.0</v>
      </c>
      <c r="B20970" s="3" t="s">
        <v>19815</v>
      </c>
      <c r="C20970" s="3" t="str">
        <f>IFERROR(__xludf.DUMMYFUNCTION("GOOGLETRANSLATE(B20970,""id"",""en"")"),"['Good', 'Exchange', 'Points', 'Additional', 'Thanks', 'Telkomsel']")</f>
        <v>['Good', 'Exchange', 'Points', 'Additional', 'Thanks', 'Telkomsel']</v>
      </c>
      <c r="D20970" s="3">
        <v>5.0</v>
      </c>
    </row>
    <row r="20971" ht="15.75" customHeight="1">
      <c r="A20971" s="1">
        <v>22290.0</v>
      </c>
      <c r="B20971" s="3" t="s">
        <v>19816</v>
      </c>
      <c r="C20971" s="3" t="str">
        <f>IFERROR(__xludf.DUMMYFUNCTION("GOOGLETRANSLATE(B20971,""id"",""en"")"),"['The application', 'White', 'Screen', 'aka', 'opened', 'Unninstall', 'Times', 'Min', 'what']")</f>
        <v>['The application', 'White', 'Screen', 'aka', 'opened', 'Unninstall', 'Times', 'Min', 'what']</v>
      </c>
      <c r="D20971" s="3">
        <v>2.0</v>
      </c>
    </row>
    <row r="20972" ht="15.75" customHeight="1">
      <c r="A20972" s="1">
        <v>22291.0</v>
      </c>
      <c r="B20972" s="3" t="s">
        <v>19817</v>
      </c>
      <c r="C20972" s="3" t="str">
        <f>IFERROR(__xludf.DUMMYFUNCTION("GOOGLETRANSLATE(B20972,""id"",""en"")"),"['Network', 'Where']")</f>
        <v>['Network', 'Where']</v>
      </c>
      <c r="D20972" s="3">
        <v>5.0</v>
      </c>
    </row>
    <row r="20973" ht="15.75" customHeight="1">
      <c r="A20973" s="1">
        <v>22292.0</v>
      </c>
      <c r="B20973" s="3" t="s">
        <v>19818</v>
      </c>
      <c r="C20973" s="3" t="str">
        <f>IFERROR(__xludf.DUMMYFUNCTION("GOOGLETRANSLATE(B20973,""id"",""en"")"),"['Good', 'The application', 'help', ""]")</f>
        <v>['Good', 'The application', 'help', "]</v>
      </c>
      <c r="D20973" s="3">
        <v>5.0</v>
      </c>
    </row>
    <row r="20974" ht="15.75" customHeight="1">
      <c r="A20974" s="1">
        <v>22293.0</v>
      </c>
      <c r="B20974" s="3" t="s">
        <v>19819</v>
      </c>
      <c r="C20974" s="3" t="str">
        <f>IFERROR(__xludf.DUMMYFUNCTION("GOOGLETRANSLATE(B20974,""id"",""en"")"),"['Weird', 'Card', 'Telkomsel', 'Support', 'Data', 'Use', 'Card', 'Support', 'Data', 'How', ""]")</f>
        <v>['Weird', 'Card', 'Telkomsel', 'Support', 'Data', 'Use', 'Card', 'Support', 'Data', 'How', "]</v>
      </c>
      <c r="D20974" s="3">
        <v>1.0</v>
      </c>
    </row>
    <row r="20975" ht="15.75" customHeight="1">
      <c r="A20975" s="1">
        <v>22294.0</v>
      </c>
      <c r="B20975" s="3" t="s">
        <v>19820</v>
      </c>
      <c r="C20975" s="3" t="str">
        <f>IFERROR(__xludf.DUMMYFUNCTION("GOOGLETRANSLATE(B20975,""id"",""en"")"),"['APL', 'White', 'Screen', 'UDH', 'Update', 'Tetep', 'White', 'Screen']")</f>
        <v>['APL', 'White', 'Screen', 'UDH', 'Update', 'Tetep', 'White', 'Screen']</v>
      </c>
      <c r="D20975" s="3">
        <v>1.0</v>
      </c>
    </row>
    <row r="20976" ht="15.75" customHeight="1">
      <c r="A20976" s="1">
        <v>22295.0</v>
      </c>
      <c r="B20976" s="3" t="s">
        <v>19821</v>
      </c>
      <c r="C20976" s="3" t="str">
        <f>IFERROR(__xludf.DUMMYFUNCTION("GOOGLETRANSLATE(B20976,""id"",""en"")"),"['apk', 'error', 'network', 'slow', 'quality', 'bad', 'price', 'ride', 'hadeeehhh', '']")</f>
        <v>['apk', 'error', 'network', 'slow', 'quality', 'bad', 'price', 'ride', 'hadeeehhh', '']</v>
      </c>
      <c r="D20976" s="3">
        <v>1.0</v>
      </c>
    </row>
    <row r="20977" ht="15.75" customHeight="1">
      <c r="A20977" s="1">
        <v>22296.0</v>
      </c>
      <c r="B20977" s="3" t="s">
        <v>19822</v>
      </c>
      <c r="C20977" s="3" t="str">
        <f>IFERROR(__xludf.DUMMYFUNCTION("GOOGLETRANSLATE(B20977,""id"",""en"")"),"['Enk', 'buy', 'PKT', 'TPI', 'Honey', 'buy']")</f>
        <v>['Enk', 'buy', 'PKT', 'TPI', 'Honey', 'buy']</v>
      </c>
      <c r="D20977" s="3">
        <v>5.0</v>
      </c>
    </row>
    <row r="20978" ht="15.75" customHeight="1">
      <c r="A20978" s="1">
        <v>22297.0</v>
      </c>
      <c r="B20978" s="3" t="s">
        <v>19823</v>
      </c>
      <c r="C20978" s="3" t="str">
        <f>IFERROR(__xludf.DUMMYFUNCTION("GOOGLETRANSLATE(B20978,""id"",""en"")"),"['multiply', 'promo', 'quota']")</f>
        <v>['multiply', 'promo', 'quota']</v>
      </c>
      <c r="D20978" s="3">
        <v>5.0</v>
      </c>
    </row>
    <row r="20979" ht="15.75" customHeight="1">
      <c r="A20979" s="1">
        <v>22298.0</v>
      </c>
      <c r="B20979" s="3" t="s">
        <v>19824</v>
      </c>
      <c r="C20979" s="3" t="str">
        <f>IFERROR(__xludf.DUMMYFUNCTION("GOOGLETRANSLATE(B20979,""id"",""en"")"),"['application', 'makes it easier', 'user', ""]")</f>
        <v>['application', 'makes it easier', 'user', "]</v>
      </c>
      <c r="D20979" s="3">
        <v>5.0</v>
      </c>
    </row>
    <row r="20980" ht="15.75" customHeight="1">
      <c r="A20980" s="1">
        <v>22299.0</v>
      </c>
      <c r="B20980" s="3" t="s">
        <v>19825</v>
      </c>
      <c r="C20980" s="3" t="str">
        <f>IFERROR(__xludf.DUMMYFUNCTION("GOOGLETRANSLATE(B20980,""id"",""en"")"),"['Satisfied', 'Bnget', 'Lahh', ""]")</f>
        <v>['Satisfied', 'Bnget', 'Lahh', "]</v>
      </c>
      <c r="D20980" s="3">
        <v>5.0</v>
      </c>
    </row>
    <row r="20981" ht="15.75" customHeight="1">
      <c r="A20981" s="1">
        <v>22300.0</v>
      </c>
      <c r="B20981" s="3" t="s">
        <v>19826</v>
      </c>
      <c r="C20981" s="3" t="str">
        <f>IFERROR(__xludf.DUMMYFUNCTION("GOOGLETRANSLATE(B20981,""id"",""en"")"),"['Love', 'Full', 'Bintang', 'Karna', 'Network', 'Telkomsel', 'Morowali', 'Bad', 'Browsing', 'BKA', 'Mbanking', 'Slow', ' forgiveness', 'network', 'quality', 'alternating', 'BKA', 'shopee', 'browsing', 'mbanking', 'dlly', 'result', 'waiting', 'mnt', 'bru' "&amp;", 'Sent', 'transfer', 'balance', 'via', 'mbanking', 'notification', 'connection', 'disconnected', 'network', 'use', 'network', 'Telkomsel', ' Pay ',' yaa ',' Free ',' ']")</f>
        <v>['Love', 'Full', 'Bintang', 'Karna', 'Network', 'Telkomsel', 'Morowali', 'Bad', 'Browsing', 'BKA', 'Mbanking', 'Slow', ' forgiveness', 'network', 'quality', 'alternating', 'BKA', 'shopee', 'browsing', 'mbanking', 'dlly', 'result', 'waiting', 'mnt', 'bru' , 'Sent', 'transfer', 'balance', 'via', 'mbanking', 'notification', 'connection', 'disconnected', 'network', 'use', 'network', 'Telkomsel', ' Pay ',' yaa ',' Free ',' ']</v>
      </c>
      <c r="D20981" s="3">
        <v>2.0</v>
      </c>
    </row>
    <row r="20982" ht="15.75" customHeight="1">
      <c r="A20982" s="1">
        <v>22301.0</v>
      </c>
      <c r="B20982" s="3" t="s">
        <v>19827</v>
      </c>
      <c r="C20982" s="3" t="str">
        <f>IFERROR(__xludf.DUMMYFUNCTION("GOOGLETRANSLATE(B20982,""id"",""en"")"),"['already', 'updatr', 'told', 'update', 'sii', 'no', 'open', ""]")</f>
        <v>['already', 'updatr', 'told', 'update', 'sii', 'no', 'open', "]</v>
      </c>
      <c r="D20982" s="3">
        <v>2.0</v>
      </c>
    </row>
    <row r="20983" ht="15.75" customHeight="1">
      <c r="A20983" s="1">
        <v>22302.0</v>
      </c>
      <c r="B20983" s="3" t="s">
        <v>19828</v>
      </c>
      <c r="C20983" s="3" t="str">
        <f>IFERROR(__xludf.DUMMYFUNCTION("GOOGLETRANSLATE(B20983,""id"",""en"")"),"['expensive', 'network', 'missing', '']")</f>
        <v>['expensive', 'network', 'missing', '']</v>
      </c>
      <c r="D20983" s="3">
        <v>1.0</v>
      </c>
    </row>
    <row r="20984" ht="15.75" customHeight="1">
      <c r="A20984" s="1">
        <v>22303.0</v>
      </c>
      <c r="B20984" s="3" t="s">
        <v>19829</v>
      </c>
      <c r="C20984" s="3" t="str">
        <f>IFERROR(__xludf.DUMMYFUNCTION("GOOGLETRANSLATE(B20984,""id"",""en"")"),"['Please', 'Sorry', 'Quality', 'Network', 'Bad', 'Buy', 'Quota', 'Nominal', 'Quality', 'Network', 'Bad', 'Activity', ' a day ',' Provider ',' Compared ',' Telkomsel ',' Fix ',' Quality ',' Network ',' Latency ',' Network ']")</f>
        <v>['Please', 'Sorry', 'Quality', 'Network', 'Bad', 'Buy', 'Quota', 'Nominal', 'Quality', 'Network', 'Bad', 'Activity', ' a day ',' Provider ',' Compared ',' Telkomsel ',' Fix ',' Quality ',' Network ',' Latency ',' Network ']</v>
      </c>
      <c r="D20984" s="3">
        <v>1.0</v>
      </c>
    </row>
    <row r="20985" ht="15.75" customHeight="1">
      <c r="A20985" s="1">
        <v>22304.0</v>
      </c>
      <c r="B20985" s="3" t="s">
        <v>19830</v>
      </c>
      <c r="C20985" s="3" t="str">
        <f>IFERROR(__xludf.DUMMYFUNCTION("GOOGLETRANSLATE(B20985,""id"",""en"")"),"['Network', 'down']")</f>
        <v>['Network', 'down']</v>
      </c>
      <c r="D20985" s="3">
        <v>1.0</v>
      </c>
    </row>
    <row r="20986" ht="15.75" customHeight="1">
      <c r="A20986" s="1">
        <v>22305.0</v>
      </c>
      <c r="B20986" s="3" t="s">
        <v>19831</v>
      </c>
      <c r="C20986" s="3" t="str">
        <f>IFERROR(__xludf.DUMMYFUNCTION("GOOGLETRANSLATE(B20986,""id"",""en"")"),"['Telkomsel', 'ugly', 'really', 'price', 'nuruin', 'quality', 'price', 'expensive', 'quality', 'ugly', 'rich', 'Telkomsel']")</f>
        <v>['Telkomsel', 'ugly', 'really', 'price', 'nuruin', 'quality', 'price', 'expensive', 'quality', 'ugly', 'rich', 'Telkomsel']</v>
      </c>
      <c r="D20986" s="3">
        <v>1.0</v>
      </c>
    </row>
    <row r="20987" ht="15.75" customHeight="1">
      <c r="A20987" s="1">
        <v>22306.0</v>
      </c>
      <c r="B20987" s="3" t="s">
        <v>19832</v>
      </c>
      <c r="C20987" s="3" t="str">
        <f>IFERROR(__xludf.DUMMYFUNCTION("GOOGLETRANSLATE(B20987,""id"",""en"")"),"['Nidak', 'Daily', 'Check', 'Application', 'Telkomsel', ""]")</f>
        <v>['Nidak', 'Daily', 'Check', 'Application', 'Telkomsel', "]</v>
      </c>
      <c r="D20987" s="3">
        <v>2.0</v>
      </c>
    </row>
    <row r="20988" ht="15.75" customHeight="1">
      <c r="A20988" s="1">
        <v>22307.0</v>
      </c>
      <c r="B20988" s="3" t="s">
        <v>19833</v>
      </c>
      <c r="C20988" s="3" t="str">
        <f>IFERROR(__xludf.DUMMYFUNCTION("GOOGLETRANSLATE(B20988,""id"",""en"")"),"['Error', 'Mulu', 'ASSU', 'Buy', 'Package', 'Promo', 'Error', 'Signal', 'Jagoan', 'Aware', 'There', 'Performance', ' Telkomsel ',' dilapidated ', ""]")</f>
        <v>['Error', 'Mulu', 'ASSU', 'Buy', 'Package', 'Promo', 'Error', 'Signal', 'Jagoan', 'Aware', 'There', 'Performance', ' Telkomsel ',' dilapidated ', "]</v>
      </c>
      <c r="D20988" s="3">
        <v>1.0</v>
      </c>
    </row>
    <row r="20989" ht="15.75" customHeight="1">
      <c r="A20989" s="1">
        <v>22308.0</v>
      </c>
      <c r="B20989" s="3" t="s">
        <v>19834</v>
      </c>
      <c r="C20989" s="3" t="str">
        <f>IFERROR(__xludf.DUMMYFUNCTION("GOOGLETRANSLATE(B20989,""id"",""en"")"),"['Help', 'makes it easy']")</f>
        <v>['Help', 'makes it easy']</v>
      </c>
      <c r="D20989" s="3">
        <v>5.0</v>
      </c>
    </row>
    <row r="20990" ht="15.75" customHeight="1">
      <c r="A20990" s="1">
        <v>22309.0</v>
      </c>
      <c r="B20990" s="3" t="s">
        <v>19835</v>
      </c>
      <c r="C20990" s="3" t="str">
        <f>IFERROR(__xludf.DUMMYFUNCTION("GOOGLETRANSLATE(B20990,""id"",""en"")"),"['getapa', 'application', 'udh', 'open', 'try', 'download', 'log', 'trs', '']")</f>
        <v>['getapa', 'application', 'udh', 'open', 'try', 'download', 'log', 'trs', '']</v>
      </c>
      <c r="D20990" s="3">
        <v>3.0</v>
      </c>
    </row>
    <row r="20991" ht="15.75" customHeight="1">
      <c r="A20991" s="1">
        <v>22310.0</v>
      </c>
      <c r="B20991" s="3" t="s">
        <v>19836</v>
      </c>
      <c r="C20991" s="3" t="str">
        <f>IFERROR(__xludf.DUMMYFUNCTION("GOOGLETRANSLATE(B20991,""id"",""en"")"),"['Glad', 'buy', 'quota', 'Telkomsel', 'promo']")</f>
        <v>['Glad', 'buy', 'quota', 'Telkomsel', 'promo']</v>
      </c>
      <c r="D20991" s="3">
        <v>5.0</v>
      </c>
    </row>
    <row r="20992" ht="15.75" customHeight="1">
      <c r="A20992" s="1">
        <v>22311.0</v>
      </c>
      <c r="B20992" s="3" t="s">
        <v>19837</v>
      </c>
      <c r="C20992" s="3" t="str">
        <f>IFERROR(__xludf.DUMMYFUNCTION("GOOGLETRANSLATE(B20992,""id"",""en"")"),"['come here', 'signal', 'ilang']")</f>
        <v>['come here', 'signal', 'ilang']</v>
      </c>
      <c r="D20992" s="3">
        <v>1.0</v>
      </c>
    </row>
    <row r="20993" ht="15.75" customHeight="1">
      <c r="A20993" s="1">
        <v>22312.0</v>
      </c>
      <c r="B20993" s="3" t="s">
        <v>19838</v>
      </c>
      <c r="C20993" s="3" t="str">
        <f>IFERROR(__xludf.DUMMYFUNCTION("GOOGLETRANSLATE(B20993,""id"",""en"")"),"['old school', 'era', 'junior high school', 'said', 'love', 'monkey', 'cellphone', 'tulit', 'tulit', 'telkomsel', 'card', 'my first', ' the rates', 'Mahhaalll', 'ane', 'use']")</f>
        <v>['old school', 'era', 'junior high school', 'said', 'love', 'monkey', 'cellphone', 'tulit', 'tulit', 'telkomsel', 'card', 'my first', ' the rates', 'Mahhaalll', 'ane', 'use']</v>
      </c>
      <c r="D20993" s="3">
        <v>4.0</v>
      </c>
    </row>
    <row r="20994" ht="15.75" customHeight="1">
      <c r="A20994" s="1">
        <v>22313.0</v>
      </c>
      <c r="B20994" s="3" t="s">
        <v>19839</v>
      </c>
      <c r="C20994" s="3" t="str">
        <f>IFERROR(__xludf.DUMMYFUNCTION("GOOGLETRANSLATE(B20994,""id"",""en"")"),"['Application', 'AAAA', 'Bagus', 'Bangattt']")</f>
        <v>['Application', 'AAAA', 'Bagus', 'Bangattt']</v>
      </c>
      <c r="D20994" s="3">
        <v>5.0</v>
      </c>
    </row>
    <row r="20995" ht="15.75" customHeight="1">
      <c r="A20995" s="1">
        <v>22314.0</v>
      </c>
      <c r="B20995" s="3" t="s">
        <v>19840</v>
      </c>
      <c r="C20995" s="3" t="str">
        <f>IFERROR(__xludf.DUMMYFUNCTION("GOOGLETRANSLATE(B20995,""id"",""en"")"),"['Telkomsel', 'severe', 'price', 'expensive', 'quality', 'ugly', 'really']")</f>
        <v>['Telkomsel', 'severe', 'price', 'expensive', 'quality', 'ugly', 'really']</v>
      </c>
      <c r="D20995" s="3">
        <v>2.0</v>
      </c>
    </row>
    <row r="20996" ht="15.75" customHeight="1">
      <c r="A20996" s="1">
        <v>22315.0</v>
      </c>
      <c r="B20996" s="3" t="s">
        <v>19841</v>
      </c>
      <c r="C20996" s="3" t="str">
        <f>IFERROR(__xludf.DUMMYFUNCTION("GOOGLETRANSLATE(B20996,""id"",""en"")"),"['Knpa', 'open', 'application', 'blank', 'white', 'enter', 'enter', 'menu', ""]")</f>
        <v>['Knpa', 'open', 'application', 'blank', 'white', 'enter', 'enter', 'menu', "]</v>
      </c>
      <c r="D20996" s="3">
        <v>2.0</v>
      </c>
    </row>
    <row r="20997" ht="15.75" customHeight="1">
      <c r="A20997" s="1">
        <v>22316.0</v>
      </c>
      <c r="B20997" s="3" t="s">
        <v>19842</v>
      </c>
      <c r="C20997" s="3" t="str">
        <f>IFERROR(__xludf.DUMMYFUNCTION("GOOGLETRANSLATE(B20997,""id"",""en"")"),"['enter', 'slow', 'forgiveness', 'please', 'Telkomsel', 'increase', 'quality', 'apk', 'disappointing', 'consumer', ""]")</f>
        <v>['enter', 'slow', 'forgiveness', 'please', 'Telkomsel', 'increase', 'quality', 'apk', 'disappointing', 'consumer', "]</v>
      </c>
      <c r="D20997" s="3">
        <v>1.0</v>
      </c>
    </row>
    <row r="20998" ht="15.75" customHeight="1">
      <c r="A20998" s="1">
        <v>22317.0</v>
      </c>
      <c r="B20998" s="3" t="s">
        <v>846</v>
      </c>
      <c r="C20998" s="3" t="str">
        <f>IFERROR(__xludf.DUMMYFUNCTION("GOOGLETRANSLATE(B20998,""id"",""en"")"),"['application', 'good']")</f>
        <v>['application', 'good']</v>
      </c>
      <c r="D20998" s="3">
        <v>5.0</v>
      </c>
    </row>
    <row r="20999" ht="15.75" customHeight="1">
      <c r="A20999" s="1">
        <v>22318.0</v>
      </c>
      <c r="B20999" s="3" t="s">
        <v>19843</v>
      </c>
      <c r="C20999" s="3" t="str">
        <f>IFERROR(__xludf.DUMMYFUNCTION("GOOGLETRANSLATE(B20999,""id"",""en"")"),"['Fun', 'Easy', 'I hope', 'Telkomsel', 'TTP', 'Jaya', ""]")</f>
        <v>['Fun', 'Easy', 'I hope', 'Telkomsel', 'TTP', 'Jaya', "]</v>
      </c>
      <c r="D20999" s="3">
        <v>5.0</v>
      </c>
    </row>
    <row r="21000" ht="15.75" customHeight="1">
      <c r="A21000" s="1">
        <v>22319.0</v>
      </c>
      <c r="B21000" s="3" t="s">
        <v>19844</v>
      </c>
      <c r="C21000" s="3" t="str">
        <f>IFERROR(__xludf.DUMMYFUNCTION("GOOGLETRANSLATE(B21000,""id"",""en"")"),"['Buy', 'Package', 'Data', 'Via', 'Shopee', 'Pay', 'Apus', 'The Application']")</f>
        <v>['Buy', 'Package', 'Data', 'Via', 'Shopee', 'Pay', 'Apus', 'The Application']</v>
      </c>
      <c r="D21000" s="3">
        <v>1.0</v>
      </c>
    </row>
    <row r="21001" ht="15.75" customHeight="1">
      <c r="A21001" s="1">
        <v>22320.0</v>
      </c>
      <c r="B21001" s="3" t="s">
        <v>19845</v>
      </c>
      <c r="C21001" s="3" t="str">
        <f>IFERROR(__xludf.DUMMYFUNCTION("GOOGLETRANSLATE(B21001,""id"",""en"")"),"['knapa', 'bsa', 'entered', 'app', 'pdhl', 'awl', 'bsa', '']")</f>
        <v>['knapa', 'bsa', 'entered', 'app', 'pdhl', 'awl', 'bsa', '']</v>
      </c>
      <c r="D21001" s="3">
        <v>2.0</v>
      </c>
    </row>
    <row r="21002" ht="15.75" customHeight="1">
      <c r="A21002" s="1">
        <v>22321.0</v>
      </c>
      <c r="B21002" s="3" t="s">
        <v>19846</v>
      </c>
      <c r="C21002" s="3" t="str">
        <f>IFERROR(__xludf.DUMMYFUNCTION("GOOGLETRANSLATE(B21002,""id"",""en"")"),"['promo', 'member', 'member', 'uda', 'annual', 'dead', 'promo', 'mending', 'buy', 'card', 'run out', 'pakek', ' LIVE ',' Burn ',' Suggestion ',' Please ',' User ',' Prioritize ',' Karna ',' Consistent ', ""]")</f>
        <v>['promo', 'member', 'member', 'uda', 'annual', 'dead', 'promo', 'mending', 'buy', 'card', 'run out', 'pakek', ' LIVE ',' Burn ',' Suggestion ',' Please ',' User ',' Prioritize ',' Karna ',' Consistent ', "]</v>
      </c>
      <c r="D21002" s="3">
        <v>1.0</v>
      </c>
    </row>
    <row r="21003" ht="15.75" customHeight="1">
      <c r="A21003" s="1">
        <v>22322.0</v>
      </c>
      <c r="B21003" s="3" t="s">
        <v>19847</v>
      </c>
      <c r="C21003" s="3" t="str">
        <f>IFERROR(__xludf.DUMMYFUNCTION("GOOGLETRANSLATE(B21003,""id"",""en"")"),"['Application', 'Loading', 'Error', 'No "",' Kekeke ',' The Application ']")</f>
        <v>['Application', 'Loading', 'Error', 'No ",' Kekeke ',' The Application ']</v>
      </c>
      <c r="D21003" s="3">
        <v>2.0</v>
      </c>
    </row>
    <row r="21004" ht="15.75" customHeight="1">
      <c r="A21004" s="1">
        <v>22323.0</v>
      </c>
      <c r="B21004" s="3" t="s">
        <v>19848</v>
      </c>
      <c r="C21004" s="3" t="str">
        <f>IFERROR(__xludf.DUMMYFUNCTION("GOOGLETRANSLATE(B21004,""id"",""en"")"),"['balance', 'hilanggggg']")</f>
        <v>['balance', 'hilanggggg']</v>
      </c>
      <c r="D21004" s="3">
        <v>1.0</v>
      </c>
    </row>
    <row r="21005" ht="15.75" customHeight="1">
      <c r="A21005" s="1">
        <v>22324.0</v>
      </c>
      <c r="B21005" s="3" t="s">
        <v>19849</v>
      </c>
      <c r="C21005" s="3" t="str">
        <f>IFERROR(__xludf.DUMMYFUNCTION("GOOGLETRANSLATE(B21005,""id"",""en"")"),"['signal', 'already', 'register']")</f>
        <v>['signal', 'already', 'register']</v>
      </c>
      <c r="D21005" s="3">
        <v>2.0</v>
      </c>
    </row>
    <row r="21006" ht="15.75" customHeight="1">
      <c r="A21006" s="1">
        <v>22325.0</v>
      </c>
      <c r="B21006" s="3" t="s">
        <v>19850</v>
      </c>
      <c r="C21006" s="3" t="str">
        <f>IFERROR(__xludf.DUMMYFUNCTION("GOOGLETRANSLATE(B21006,""id"",""en"")"),"['App', 'Mytsel', 'Update', 'Update', 'Update', 'Enter', 'Looding', 'Muter', 'Enter', 'Menu', 'GMN', ""]")</f>
        <v>['App', 'Mytsel', 'Update', 'Update', 'Update', 'Enter', 'Looding', 'Muter', 'Enter', 'Menu', 'GMN', "]</v>
      </c>
      <c r="D21006" s="3">
        <v>1.0</v>
      </c>
    </row>
    <row r="21007" ht="15.75" customHeight="1">
      <c r="A21007" s="1">
        <v>22326.0</v>
      </c>
      <c r="B21007" s="3" t="s">
        <v>19851</v>
      </c>
      <c r="C21007" s="3" t="str">
        <f>IFERROR(__xludf.DUMMYFUNCTION("GOOGLETRANSLATE(B21007,""id"",""en"")"),"['Application', 'garbage', 'Log', 'Download']")</f>
        <v>['Application', 'garbage', 'Log', 'Download']</v>
      </c>
      <c r="D21007" s="3">
        <v>1.0</v>
      </c>
    </row>
    <row r="21008" ht="15.75" customHeight="1">
      <c r="A21008" s="1">
        <v>22327.0</v>
      </c>
      <c r="B21008" s="3" t="s">
        <v>19852</v>
      </c>
      <c r="C21008" s="3" t="str">
        <f>IFERROR(__xludf.DUMMYFUNCTION("GOOGLETRANSLATE(B21008,""id"",""en"")"),"['Price', 'Package', 'Good', 'Cheap']")</f>
        <v>['Price', 'Package', 'Good', 'Cheap']</v>
      </c>
      <c r="D21008" s="3">
        <v>5.0</v>
      </c>
    </row>
    <row r="21009" ht="15.75" customHeight="1">
      <c r="A21009" s="1">
        <v>22328.0</v>
      </c>
      <c r="B21009" s="3" t="s">
        <v>19853</v>
      </c>
      <c r="C21009" s="3" t="str">
        <f>IFERROR(__xludf.DUMMYFUNCTION("GOOGLETRANSLATE(B21009,""id"",""en"")"),"['Application', 'Not bad', 'good', 'in terms of', 'tdah', 'cece', 'shere', 'application', 'lgi', 'get', 'hdiah', 'package', ' Data ',' free ',' Daily ',' ']")</f>
        <v>['Application', 'Not bad', 'good', 'in terms of', 'tdah', 'cece', 'shere', 'application', 'lgi', 'get', 'hdiah', 'package', ' Data ',' free ',' Daily ',' ']</v>
      </c>
      <c r="D21009" s="3">
        <v>3.0</v>
      </c>
    </row>
    <row r="21010" ht="15.75" customHeight="1">
      <c r="A21010" s="1">
        <v>22329.0</v>
      </c>
      <c r="B21010" s="3" t="s">
        <v>19854</v>
      </c>
      <c r="C21010" s="3" t="str">
        <f>IFERROR(__xludf.DUMMYFUNCTION("GOOGLETRANSLATE(B21010,""id"",""en"")"),"['Bgus', 'Make it easy']")</f>
        <v>['Bgus', 'Make it easy']</v>
      </c>
      <c r="D21010" s="3">
        <v>5.0</v>
      </c>
    </row>
    <row r="21011" ht="15.75" customHeight="1">
      <c r="A21011" s="1">
        <v>22330.0</v>
      </c>
      <c r="B21011" s="3" t="s">
        <v>19855</v>
      </c>
      <c r="C21011" s="3" t="str">
        <f>IFERROR(__xludf.DUMMYFUNCTION("GOOGLETRANSLATE(B21011,""id"",""en"")"),"['Telkomsel', 'signal', 'down', 'mulu']")</f>
        <v>['Telkomsel', 'signal', 'down', 'mulu']</v>
      </c>
      <c r="D21011" s="3">
        <v>1.0</v>
      </c>
    </row>
    <row r="21012" ht="15.75" customHeight="1">
      <c r="A21012" s="1">
        <v>22331.0</v>
      </c>
      <c r="B21012" s="3" t="s">
        <v>19856</v>
      </c>
      <c r="C21012" s="3" t="str">
        <f>IFERROR(__xludf.DUMMYFUNCTION("GOOGLETRANSLATE(B21012,""id"",""en"")"),"['Update', 'Buy', 'Package', 'Internet', 'Method', 'Payment', '']")</f>
        <v>['Update', 'Buy', 'Package', 'Internet', 'Method', 'Payment', '']</v>
      </c>
      <c r="D21012" s="3">
        <v>1.0</v>
      </c>
    </row>
    <row r="21013" ht="15.75" customHeight="1">
      <c r="A21013" s="1">
        <v>22332.0</v>
      </c>
      <c r="B21013" s="3" t="s">
        <v>19857</v>
      </c>
      <c r="C21013" s="3" t="str">
        <f>IFERROR(__xludf.DUMMYFUNCTION("GOOGLETRANSLATE(B21013,""id"",""en"")"),"['price', 'doang', 'expensive', 'quality', 'signal', 'bad', 'customer', 'switch', 'repair', 'stay', 'wait']")</f>
        <v>['price', 'doang', 'expensive', 'quality', 'signal', 'bad', 'customer', 'switch', 'repair', 'stay', 'wait']</v>
      </c>
      <c r="D21013" s="3">
        <v>1.0</v>
      </c>
    </row>
    <row r="21014" ht="15.75" customHeight="1">
      <c r="A21014" s="1">
        <v>22333.0</v>
      </c>
      <c r="B21014" s="3" t="s">
        <v>19858</v>
      </c>
      <c r="C21014" s="3" t="str">
        <f>IFERROR(__xludf.DUMMYFUNCTION("GOOGLETRANSLATE(B21014,""id"",""en"")"),"['difficult', 'enter', 'written', 'oops', 'error']")</f>
        <v>['difficult', 'enter', 'written', 'oops', 'error']</v>
      </c>
      <c r="D21014" s="3">
        <v>1.0</v>
      </c>
    </row>
    <row r="21015" ht="15.75" customHeight="1">
      <c r="A21015" s="1">
        <v>22334.0</v>
      </c>
      <c r="B21015" s="3" t="s">
        <v>19859</v>
      </c>
      <c r="C21015" s="3" t="str">
        <f>IFERROR(__xludf.DUMMYFUNCTION("GOOGLETRANSLATE(B21015,""id"",""en"")"),"['Credit', 'enter']")</f>
        <v>['Credit', 'enter']</v>
      </c>
      <c r="D21015" s="3">
        <v>3.0</v>
      </c>
    </row>
    <row r="21016" ht="15.75" customHeight="1">
      <c r="A21016" s="1">
        <v>22335.0</v>
      </c>
      <c r="B21016" s="3" t="s">
        <v>19860</v>
      </c>
      <c r="C21016" s="3" t="str">
        <f>IFERROR(__xludf.DUMMYFUNCTION("GOOGLETRANSLATE(B21016,""id"",""en"")"),"['signal', 'Belin', 'boss', 'Cumoded', 'Sumberjambe', 'Jember', 'East Java', ""]")</f>
        <v>['signal', 'Belin', 'boss', 'Cumoded', 'Sumberjambe', 'Jember', 'East Java', "]</v>
      </c>
      <c r="D21016" s="3">
        <v>1.0</v>
      </c>
    </row>
    <row r="21017" ht="15.75" customHeight="1">
      <c r="A21017" s="1">
        <v>22336.0</v>
      </c>
      <c r="B21017" s="3" t="s">
        <v>19861</v>
      </c>
      <c r="C21017" s="3" t="str">
        <f>IFERROR(__xludf.DUMMYFUNCTION("GOOGLETRANSLATE(B21017,""id"",""en"")"),"['expensive', 'doang', 'signal', 'lemes']")</f>
        <v>['expensive', 'doang', 'signal', 'lemes']</v>
      </c>
      <c r="D21017" s="3">
        <v>1.0</v>
      </c>
    </row>
    <row r="21018" ht="15.75" customHeight="1">
      <c r="A21018" s="1">
        <v>22337.0</v>
      </c>
      <c r="B21018" s="3" t="s">
        <v>19862</v>
      </c>
      <c r="C21018" s="3" t="str">
        <f>IFERROR(__xludf.DUMMYFUNCTION("GOOGLETRANSLATE(B21018,""id"",""en"")"),"['Login', 'difficult', 'really', 'click', 'Link', 'Link', 'enter', ""]")</f>
        <v>['Login', 'difficult', 'really', 'click', 'Link', 'Link', 'enter', "]</v>
      </c>
      <c r="D21018" s="3">
        <v>1.0</v>
      </c>
    </row>
    <row r="21019" ht="15.75" customHeight="1">
      <c r="A21019" s="1">
        <v>22338.0</v>
      </c>
      <c r="B21019" s="3" t="s">
        <v>19863</v>
      </c>
      <c r="C21019" s="3" t="str">
        <f>IFERROR(__xludf.DUMMYFUNCTION("GOOGLETRANSLATE(B21019,""id"",""en"")"),"['App', 'good', 'really', 'regret', 'deh', 'come', 'download', 'skrang']")</f>
        <v>['App', 'good', 'really', 'regret', 'deh', 'come', 'download', 'skrang']</v>
      </c>
      <c r="D21019" s="3">
        <v>5.0</v>
      </c>
    </row>
    <row r="21020" ht="15.75" customHeight="1">
      <c r="A21020" s="1">
        <v>22339.0</v>
      </c>
      <c r="B21020" s="3" t="s">
        <v>19864</v>
      </c>
      <c r="C21020" s="3" t="str">
        <f>IFERROR(__xludf.DUMMYFUNCTION("GOOGLETRANSLATE(B21020,""id"",""en"")"),"['Belom', 'opened', 'application', 'min', '']")</f>
        <v>['Belom', 'opened', 'application', 'min', '']</v>
      </c>
      <c r="D21020" s="3">
        <v>2.0</v>
      </c>
    </row>
    <row r="21021" ht="15.75" customHeight="1">
      <c r="A21021" s="1">
        <v>22340.0</v>
      </c>
      <c r="B21021" s="3" t="s">
        <v>19865</v>
      </c>
      <c r="C21021" s="3" t="str">
        <f>IFERROR(__xludf.DUMMYFUNCTION("GOOGLETRANSLATE(B21021,""id"",""en"")"),"['The network', 'difficult', 'ngellag', 'package', 'expensive', 'network', 'accountability', 'Jawail']")</f>
        <v>['The network', 'difficult', 'ngellag', 'package', 'expensive', 'network', 'accountability', 'Jawail']</v>
      </c>
      <c r="D21021" s="3">
        <v>1.0</v>
      </c>
    </row>
    <row r="21022" ht="15.75" customHeight="1">
      <c r="A21022" s="1">
        <v>22341.0</v>
      </c>
      <c r="B21022" s="3" t="s">
        <v>5230</v>
      </c>
      <c r="C21022" s="3" t="str">
        <f>IFERROR(__xludf.DUMMYFUNCTION("GOOGLETRANSLATE(B21022,""id"",""en"")"),"['Love', 'Star']")</f>
        <v>['Love', 'Star']</v>
      </c>
      <c r="D21022" s="3">
        <v>4.0</v>
      </c>
    </row>
    <row r="21023" ht="15.75" customHeight="1">
      <c r="A21023" s="1">
        <v>22342.0</v>
      </c>
      <c r="B21023" s="3" t="s">
        <v>19866</v>
      </c>
      <c r="C21023" s="3" t="str">
        <f>IFERROR(__xludf.DUMMYFUNCTION("GOOGLETRANSLATE(B21023,""id"",""en"")"),"['Application', 'MyTelkomsel', 'Install', '']")</f>
        <v>['Application', 'MyTelkomsel', 'Install', '']</v>
      </c>
      <c r="D21023" s="3">
        <v>1.0</v>
      </c>
    </row>
    <row r="21024" ht="15.75" customHeight="1">
      <c r="A21024" s="1">
        <v>22343.0</v>
      </c>
      <c r="B21024" s="3" t="s">
        <v>19867</v>
      </c>
      <c r="C21024" s="3" t="str">
        <f>IFERROR(__xludf.DUMMYFUNCTION("GOOGLETRANSLATE(B21024,""id"",""en"")"),"['Package', 'expensive', 'slow']")</f>
        <v>['Package', 'expensive', 'slow']</v>
      </c>
      <c r="D21024" s="3">
        <v>1.0</v>
      </c>
    </row>
    <row r="21025" ht="15.75" customHeight="1">
      <c r="A21025" s="1">
        <v>22344.0</v>
      </c>
      <c r="B21025" s="3" t="s">
        <v>19868</v>
      </c>
      <c r="C21025" s="3" t="str">
        <f>IFERROR(__xludf.DUMMYFUNCTION("GOOGLETRANSLATE(B21025,""id"",""en"")"),"['apapula', 'kog', 'entered', 'error', 'yesterday', 'please', 'repair']")</f>
        <v>['apapula', 'kog', 'entered', 'error', 'yesterday', 'please', 'repair']</v>
      </c>
      <c r="D21025" s="3">
        <v>1.0</v>
      </c>
    </row>
    <row r="21026" ht="15.75" customHeight="1">
      <c r="A21026" s="1">
        <v>22345.0</v>
      </c>
      <c r="B21026" s="3" t="s">
        <v>19869</v>
      </c>
      <c r="C21026" s="3" t="str">
        <f>IFERROR(__xludf.DUMMYFUNCTION("GOOGLETRANSLATE(B21026,""id"",""en"")"),"['habit', 'log', 'SLL', 'conection', 'splatter', 'update', 'ttp', 'difficult', 'log', ""]")</f>
        <v>['habit', 'log', 'SLL', 'conection', 'splatter', 'update', 'ttp', 'difficult', 'log', "]</v>
      </c>
      <c r="D21026" s="3">
        <v>5.0</v>
      </c>
    </row>
    <row r="21027" ht="15.75" customHeight="1">
      <c r="A21027" s="1">
        <v>22346.0</v>
      </c>
      <c r="B21027" s="3" t="s">
        <v>19870</v>
      </c>
      <c r="C21027" s="3" t="str">
        <f>IFERROR(__xludf.DUMMYFUNCTION("GOOGLETRANSLATE(B21027,""id"",""en"")"),"['Update', 'Open', 'Application', '']")</f>
        <v>['Update', 'Open', 'Application', '']</v>
      </c>
      <c r="D21027" s="3">
        <v>1.0</v>
      </c>
    </row>
    <row r="21028" ht="15.75" customHeight="1">
      <c r="A21028" s="1">
        <v>22347.0</v>
      </c>
      <c r="B21028" s="3" t="s">
        <v>19871</v>
      </c>
      <c r="C21028" s="3" t="str">
        <f>IFERROR(__xludf.DUMMYFUNCTION("GOOGLETRANSLATE(B21028,""id"",""en"")"),"['yeah', 'please', 'Benerin', 'application', 'loss', 'pulse', '']")</f>
        <v>['yeah', 'please', 'Benerin', 'application', 'loss', 'pulse', '']</v>
      </c>
      <c r="D21028" s="3">
        <v>3.0</v>
      </c>
    </row>
    <row r="21029" ht="15.75" customHeight="1">
      <c r="A21029" s="1">
        <v>22348.0</v>
      </c>
      <c r="B21029" s="3" t="s">
        <v>19872</v>
      </c>
      <c r="C21029" s="3" t="str">
        <f>IFERROR(__xludf.DUMMYFUNCTION("GOOGLETRANSLATE(B21029,""id"",""en"")"),"['Honest', 'Telkomsel', 'Good', 'Telkomselny', 'Sumapah', 'Ngeselin', 'Level', 'Dewa', 'Ngwidupin', 'Data', 'Credit', 'Gradual', ' Missing ',' Sampek ',' Abis']")</f>
        <v>['Honest', 'Telkomsel', 'Good', 'Telkomselny', 'Sumapah', 'Ngeselin', 'Level', 'Dewa', 'Ngwidupin', 'Data', 'Credit', 'Gradual', ' Missing ',' Sampek ',' Abis']</v>
      </c>
      <c r="D21029" s="3">
        <v>4.0</v>
      </c>
    </row>
    <row r="21030" ht="15.75" customHeight="1">
      <c r="A21030" s="1">
        <v>22349.0</v>
      </c>
      <c r="B21030" s="3" t="s">
        <v>19873</v>
      </c>
      <c r="C21030" s="3" t="str">
        <f>IFERROR(__xludf.DUMMYFUNCTION("GOOGLETRANSLATE(B21030,""id"",""en"")"),"['Bner', 'poor', 'Telkomsel', 'UDH', 'expensive', 'quality', 'signal', 'commensurate', 'looks',' signal ',' full ',' full ',' connection ',' slow ',' cloudy ',' little ',' signal ',' slow ',' wind ',' little ',' signal ',' ilang ',' pdhl ',' area ',' urba"&amp;"n ' , 'Apalgi', 'village', 'Selroble', 'Telkomsel', '']")</f>
        <v>['Bner', 'poor', 'Telkomsel', 'UDH', 'expensive', 'quality', 'signal', 'commensurate', 'looks',' signal ',' full ',' full ',' connection ',' slow ',' cloudy ',' little ',' signal ',' slow ',' wind ',' little ',' signal ',' ilang ',' pdhl ',' area ',' urban ' , 'Apalgi', 'village', 'Selroble', 'Telkomsel', '']</v>
      </c>
      <c r="D21030" s="3">
        <v>3.0</v>
      </c>
    </row>
    <row r="21031" ht="15.75" customHeight="1">
      <c r="A21031" s="1">
        <v>22350.0</v>
      </c>
      <c r="B21031" s="3" t="s">
        <v>19874</v>
      </c>
      <c r="C21031" s="3" t="str">
        <f>IFERROR(__xludf.DUMMYFUNCTION("GOOGLETRANSLATE(B21031,""id"",""en"")"),"['Easy', 'Package', 'Internet', 'Cheap']")</f>
        <v>['Easy', 'Package', 'Internet', 'Cheap']</v>
      </c>
      <c r="D21031" s="3">
        <v>5.0</v>
      </c>
    </row>
    <row r="21032" ht="15.75" customHeight="1">
      <c r="A21032" s="1">
        <v>22351.0</v>
      </c>
      <c r="B21032" s="3" t="s">
        <v>19875</v>
      </c>
      <c r="C21032" s="3" t="str">
        <f>IFERROR(__xludf.DUMMYFUNCTION("GOOGLETRANSLATE(B21032,""id"",""en"")"),"['Application', 'error', 'Wait', 'Morning', 'buy', 'pulse', 'display', 'error', 'see', 'account', 'twitter', 'Official', ' Telkomsel ',' Complaints', 'Application', 'Troubled', 'Please', 'Repaired', 'Harm', 'Learning', 'Delay', 'Gara', 'Buy', 'Credit']")</f>
        <v>['Application', 'error', 'Wait', 'Morning', 'buy', 'pulse', 'display', 'error', 'see', 'account', 'twitter', 'Official', ' Telkomsel ',' Complaints', 'Application', 'Troubled', 'Please', 'Repaired', 'Harm', 'Learning', 'Delay', 'Gara', 'Buy', 'Credit']</v>
      </c>
      <c r="D21032" s="3">
        <v>1.0</v>
      </c>
    </row>
    <row r="21033" ht="15.75" customHeight="1">
      <c r="A21033" s="1">
        <v>22352.0</v>
      </c>
      <c r="B21033" s="3" t="s">
        <v>19876</v>
      </c>
      <c r="C21033" s="3" t="str">
        <f>IFERROR(__xludf.DUMMYFUNCTION("GOOGLETRANSLATE(B21033,""id"",""en"")"),"['Please', 'Repaired', 'Telkomsel', 'Network', 'Gajelas', 'Mulu', 'Dibekasi', 'Forest', 'Network', 'Gajelas', 'Mulu']")</f>
        <v>['Please', 'Repaired', 'Telkomsel', 'Network', 'Gajelas', 'Mulu', 'Dibekasi', 'Forest', 'Network', 'Gajelas', 'Mulu']</v>
      </c>
      <c r="D21033" s="3">
        <v>1.0</v>
      </c>
    </row>
    <row r="21034" ht="15.75" customHeight="1">
      <c r="A21034" s="1">
        <v>22353.0</v>
      </c>
      <c r="B21034" s="3" t="s">
        <v>19877</v>
      </c>
      <c r="C21034" s="3" t="str">
        <f>IFERROR(__xludf.DUMMYFUNCTION("GOOGLETRANSLATE(B21034,""id"",""en"")"),"['Knp', 'signal', 'stable', 'quota', 'internet', 'right', 'stay', 'unlimited', 'signal', 'smooth', ""]")</f>
        <v>['Knp', 'signal', 'stable', 'quota', 'internet', 'right', 'stay', 'unlimited', 'signal', 'smooth', "]</v>
      </c>
      <c r="D21034" s="3">
        <v>1.0</v>
      </c>
    </row>
    <row r="21035" ht="15.75" customHeight="1">
      <c r="A21035" s="1">
        <v>22354.0</v>
      </c>
      <c r="B21035" s="3" t="s">
        <v>19878</v>
      </c>
      <c r="C21035" s="3" t="str">
        <f>IFERROR(__xludf.DUMMYFUNCTION("GOOGLETRANSLATE(B21035,""id"",""en"")"),"['', 'Open', 'already', 'Update', 'White', 'Screen']")</f>
        <v>['', 'Open', 'already', 'Update', 'White', 'Screen']</v>
      </c>
      <c r="D21035" s="3">
        <v>1.0</v>
      </c>
    </row>
    <row r="21036" ht="15.75" customHeight="1">
      <c r="A21036" s="1">
        <v>22355.0</v>
      </c>
      <c r="B21036" s="3" t="s">
        <v>19879</v>
      </c>
      <c r="C21036" s="3" t="str">
        <f>IFERROR(__xludf.DUMMYFUNCTION("GOOGLETRANSLATE(B21036,""id"",""en"")"),"['ugly', 'sech', 'open', 'price', 'package', 'expensive']")</f>
        <v>['ugly', 'sech', 'open', 'price', 'package', 'expensive']</v>
      </c>
      <c r="D21036" s="3">
        <v>1.0</v>
      </c>
    </row>
    <row r="21037" ht="15.75" customHeight="1">
      <c r="A21037" s="1">
        <v>22357.0</v>
      </c>
      <c r="B21037" s="3" t="s">
        <v>19880</v>
      </c>
      <c r="C21037" s="3" t="str">
        <f>IFERROR(__xludf.DUMMYFUNCTION("GOOGLETRANSLATE(B21037,""id"",""en"")"),"['Play', 'Cut', 'pulse', 'as soon as',' user ',' love ',' transaction ',' what ',' plsa ',' reduced ',' right ',' psang ',' PKET ',' Maling ',' kellac ',' snapper ',' shortcomings', 'Telkomsel', 'fed up', 'plsa', 'reduced', '']")</f>
        <v>['Play', 'Cut', 'pulse', 'as soon as',' user ',' love ',' transaction ',' what ',' plsa ',' reduced ',' right ',' psang ',' PKET ',' Maling ',' kellac ',' snapper ',' shortcomings', 'Telkomsel', 'fed up', 'plsa', 'reduced', '']</v>
      </c>
      <c r="D21037" s="3">
        <v>1.0</v>
      </c>
    </row>
    <row r="21038" ht="15.75" customHeight="1">
      <c r="A21038" s="1">
        <v>22358.0</v>
      </c>
      <c r="B21038" s="3" t="s">
        <v>19881</v>
      </c>
      <c r="C21038" s="3" t="str">
        <f>IFERROR(__xludf.DUMMYFUNCTION("GOOGLETRANSLATE(B21038,""id"",""en"")"),"['report', 'fraud', 'notif', 'package', 'GB', 'pdahal', 'buy', 'bill', 'satisfied', 'regret', 'loyal', 'ama', ' Telkomsel ']")</f>
        <v>['report', 'fraud', 'notif', 'package', 'GB', 'pdahal', 'buy', 'bill', 'satisfied', 'regret', 'loyal', 'ama', ' Telkomsel ']</v>
      </c>
      <c r="D21038" s="3">
        <v>5.0</v>
      </c>
    </row>
    <row r="21039" ht="15.75" customHeight="1">
      <c r="A21039" s="1">
        <v>22359.0</v>
      </c>
      <c r="B21039" s="3" t="s">
        <v>19882</v>
      </c>
      <c r="C21039" s="3" t="str">
        <f>IFERROR(__xludf.DUMMYFUNCTION("GOOGLETRANSLATE(B21039,""id"",""en"")"),"['Males', 'Telkomsel', 'quota', 'expensive', 'network', 'dilapidated', '']")</f>
        <v>['Males', 'Telkomsel', 'quota', 'expensive', 'network', 'dilapidated', '']</v>
      </c>
      <c r="D21039" s="3">
        <v>1.0</v>
      </c>
    </row>
    <row r="21040" ht="15.75" customHeight="1">
      <c r="A21040" s="1">
        <v>22360.0</v>
      </c>
      <c r="B21040" s="3" t="s">
        <v>19883</v>
      </c>
      <c r="C21040" s="3" t="str">
        <f>IFERROR(__xludf.DUMMYFUNCTION("GOOGLETRANSLATE(B21040,""id"",""en"")"),"['Gabisa', 'complain', 'listen']")</f>
        <v>['Gabisa', 'complain', 'listen']</v>
      </c>
      <c r="D21040" s="3">
        <v>1.0</v>
      </c>
    </row>
    <row r="21041" ht="15.75" customHeight="1">
      <c r="A21041" s="1">
        <v>22361.0</v>
      </c>
      <c r="B21041" s="3" t="s">
        <v>12628</v>
      </c>
      <c r="C21041" s="3" t="str">
        <f>IFERROR(__xludf.DUMMYFUNCTION("GOOGLETRANSLATE(B21041,""id"",""en"")"),"['Application', 'Telkomsel']")</f>
        <v>['Application', 'Telkomsel']</v>
      </c>
      <c r="D21041" s="3">
        <v>2.0</v>
      </c>
    </row>
    <row r="21042" ht="15.75" customHeight="1">
      <c r="A21042" s="1">
        <v>22362.0</v>
      </c>
      <c r="B21042" s="3" t="s">
        <v>19884</v>
      </c>
      <c r="C21042" s="3" t="str">
        <f>IFERROR(__xludf.DUMMYFUNCTION("GOOGLETRANSLATE(B21042,""id"",""en"")"),"['', 'Telkomsel', 'Bukak']")</f>
        <v>['', 'Telkomsel', 'Bukak']</v>
      </c>
      <c r="D21042" s="3">
        <v>5.0</v>
      </c>
    </row>
    <row r="21043" ht="15.75" customHeight="1">
      <c r="A21043" s="1">
        <v>22363.0</v>
      </c>
      <c r="B21043" s="3" t="s">
        <v>19885</v>
      </c>
      <c r="C21043" s="3" t="str">
        <f>IFERROR(__xludf.DUMMYFUNCTION("GOOGLETRANSLATE(B21043,""id"",""en"")"),"['', 'Review', 'Delete', 'KNP', 'Telkomsel', 'NGK', 'Enter', 'System', 'System', 'TRS', 'Already', 'Mail', 'Ngk ', 'response', '']")</f>
        <v>['', 'Review', 'Delete', 'KNP', 'Telkomsel', 'NGK', 'Enter', 'System', 'System', 'TRS', 'Already', 'Mail', 'Ngk ', 'response', '']</v>
      </c>
      <c r="D21043" s="3">
        <v>3.0</v>
      </c>
    </row>
    <row r="21044" ht="15.75" customHeight="1">
      <c r="A21044" s="1">
        <v>22364.0</v>
      </c>
      <c r="B21044" s="3" t="s">
        <v>19886</v>
      </c>
      <c r="C21044" s="3" t="str">
        <f>IFERROR(__xludf.DUMMYFUNCTION("GOOGLETRANSLATE(B21044,""id"",""en"")"),"['Cool', 'my APK']")</f>
        <v>['Cool', 'my APK']</v>
      </c>
      <c r="D21044" s="3">
        <v>4.0</v>
      </c>
    </row>
    <row r="21045" ht="15.75" customHeight="1">
      <c r="A21045" s="1">
        <v>22365.0</v>
      </c>
      <c r="B21045" s="3" t="s">
        <v>19887</v>
      </c>
      <c r="C21045" s="3" t="str">
        <f>IFERROR(__xludf.DUMMYFUNCTION("GOOGLETRANSLATE(B21045,""id"",""en"")"),"['ugly', 'bangetttt', 'log', 'already', 'many', 'times', 'log', 'tetep', 'gabisa', 'emang', 'application', 'lol']")</f>
        <v>['ugly', 'bangetttt', 'log', 'already', 'many', 'times', 'log', 'tetep', 'gabisa', 'emang', 'application', 'lol']</v>
      </c>
      <c r="D21045" s="3">
        <v>1.0</v>
      </c>
    </row>
    <row r="21046" ht="15.75" customHeight="1">
      <c r="A21046" s="1">
        <v>22366.0</v>
      </c>
      <c r="B21046" s="3" t="s">
        <v>19888</v>
      </c>
      <c r="C21046" s="3" t="str">
        <f>IFERROR(__xludf.DUMMYFUNCTION("GOOGLETRANSLATE(B21046,""id"",""en"")"),"['Exchange', 'Point']")</f>
        <v>['Exchange', 'Point']</v>
      </c>
      <c r="D21046" s="3">
        <v>5.0</v>
      </c>
    </row>
    <row r="21047" ht="15.75" customHeight="1">
      <c r="A21047" s="1">
        <v>22368.0</v>
      </c>
      <c r="B21047" s="3" t="s">
        <v>14078</v>
      </c>
      <c r="C21047" s="3" t="str">
        <f>IFERROR(__xludf.DUMMYFUNCTION("GOOGLETRANSLATE(B21047,""id"",""en"")"),"['Good', 'Network']")</f>
        <v>['Good', 'Network']</v>
      </c>
      <c r="D21047" s="3">
        <v>5.0</v>
      </c>
    </row>
    <row r="21048" ht="15.75" customHeight="1">
      <c r="A21048" s="1">
        <v>22369.0</v>
      </c>
      <c r="B21048" s="3" t="s">
        <v>19889</v>
      </c>
      <c r="C21048" s="3" t="str">
        <f>IFERROR(__xludf.DUMMYFUNCTION("GOOGLETRANSLATE(B21048,""id"",""en"")"),"['Contents', 'Credit', 'Dana', 'Sampe', 'Transaction', 'Success']")</f>
        <v>['Contents', 'Credit', 'Dana', 'Sampe', 'Transaction', 'Success']</v>
      </c>
      <c r="D21048" s="3">
        <v>1.0</v>
      </c>
    </row>
    <row r="21049" ht="15.75" customHeight="1">
      <c r="A21049" s="1">
        <v>22370.0</v>
      </c>
      <c r="B21049" s="3" t="s">
        <v>19890</v>
      </c>
      <c r="C21049" s="3" t="str">
        <f>IFERROR(__xludf.DUMMYFUNCTION("GOOGLETRANSLATE(B21049,""id"",""en"")"),"['steady', 'service', 'fast', 'accurate']")</f>
        <v>['steady', 'service', 'fast', 'accurate']</v>
      </c>
      <c r="D21049" s="3">
        <v>5.0</v>
      </c>
    </row>
    <row r="21050" ht="15.75" customHeight="1">
      <c r="A21050" s="1">
        <v>22371.0</v>
      </c>
      <c r="B21050" s="3" t="s">
        <v>19891</v>
      </c>
      <c r="C21050" s="3" t="str">
        <f>IFERROR(__xludf.DUMMYFUNCTION("GOOGLETRANSLATE(B21050,""id"",""en"")"),"['Telkom', 'Jembot', 'Signal', 'GATEL']")</f>
        <v>['Telkom', 'Jembot', 'Signal', 'GATEL']</v>
      </c>
      <c r="D21050" s="3">
        <v>1.0</v>
      </c>
    </row>
    <row r="21051" ht="15.75" customHeight="1">
      <c r="A21051" s="1">
        <v>22372.0</v>
      </c>
      <c r="B21051" s="3" t="s">
        <v>19892</v>
      </c>
      <c r="C21051" s="3" t="str">
        <f>IFERROR(__xludf.DUMMYFUNCTION("GOOGLETRANSLATE(B21051,""id"",""en"")"),"['TOP', 'Game', 'TPI', 'Robux', 'Enter', 'Money', ""]")</f>
        <v>['TOP', 'Game', 'TPI', 'Robux', 'Enter', 'Money', "]</v>
      </c>
      <c r="D21051" s="3">
        <v>5.0</v>
      </c>
    </row>
    <row r="21052" ht="15.75" customHeight="1">
      <c r="A21052" s="1">
        <v>22373.0</v>
      </c>
      <c r="B21052" s="3" t="s">
        <v>19893</v>
      </c>
      <c r="C21052" s="3" t="str">
        <f>IFERROR(__xludf.DUMMYFUNCTION("GOOGLETRANSLATE(B21052,""id"",""en"")"),"['Maximize', 'Verification', 'Link', 'WiFi', 'Enter', '']")</f>
        <v>['Maximize', 'Verification', 'Link', 'WiFi', 'Enter', '']</v>
      </c>
      <c r="D21052" s="3">
        <v>4.0</v>
      </c>
    </row>
    <row r="21053" ht="15.75" customHeight="1">
      <c r="A21053" s="1">
        <v>22374.0</v>
      </c>
      <c r="B21053" s="3" t="s">
        <v>19894</v>
      </c>
      <c r="C21053" s="3" t="str">
        <f>IFERROR(__xludf.DUMMYFUNCTION("GOOGLETRANSLATE(B21053,""id"",""en"")"),"['The network', 'already', 'that's',' expensive ',' play ',' piing ',' ms', 'mulu', 'open', 'tiktok', 'quota', 'internet', ' GB ',' open ',' youtube ',' signal ',' slow ',' mulu ',' signal ',' good ',' signal ',' ghoib ',' download ',' game ',' really ' ]")</f>
        <v>['The network', 'already', 'that's',' expensive ',' play ',' piing ',' ms', 'mulu', 'open', 'tiktok', 'quota', 'internet', ' GB ',' open ',' youtube ',' signal ',' slow ',' mulu ',' signal ',' good ',' signal ',' ghoib ',' download ',' game ',' really ' ]</v>
      </c>
      <c r="D21053" s="3">
        <v>1.0</v>
      </c>
    </row>
    <row r="21054" ht="15.75" customHeight="1">
      <c r="A21054" s="1">
        <v>22375.0</v>
      </c>
      <c r="B21054" s="3" t="s">
        <v>19895</v>
      </c>
      <c r="C21054" s="3" t="str">
        <f>IFERROR(__xludf.DUMMYFUNCTION("GOOGLETRANSLATE(B21054,""id"",""en"")"),"['APK', 'supports', 'Please', 'Telkon', 'Provide', 'Package', 'Cheap', 'User', 'Telkom', ""]")</f>
        <v>['APK', 'supports', 'Please', 'Telkon', 'Provide', 'Package', 'Cheap', 'User', 'Telkom', "]</v>
      </c>
      <c r="D21054" s="3">
        <v>4.0</v>
      </c>
    </row>
    <row r="21055" ht="15.75" customHeight="1">
      <c r="A21055" s="1">
        <v>22376.0</v>
      </c>
      <c r="B21055" s="3" t="s">
        <v>19896</v>
      </c>
      <c r="C21055" s="3" t="str">
        <f>IFERROR(__xludf.DUMMYFUNCTION("GOOGLETRANSLATE(B21055,""id"",""en"")"),"['Network', 'ugly', 'package', 'expensive', 'kumplut', 'deh', 'telkomm']")</f>
        <v>['Network', 'ugly', 'package', 'expensive', 'kumplut', 'deh', 'telkomm']</v>
      </c>
      <c r="D21055" s="3">
        <v>1.0</v>
      </c>
    </row>
    <row r="21056" ht="15.75" customHeight="1">
      <c r="A21056" s="1">
        <v>22377.0</v>
      </c>
      <c r="B21056" s="3" t="s">
        <v>19897</v>
      </c>
      <c r="C21056" s="3" t="str">
        <f>IFERROR(__xludf.DUMMYFUNCTION("GOOGLETRANSLATE(B21056,""id"",""en"")"),"['', 'South Sulawesi', 'UDH', 'Bera', 'Network', 'Really', 'Disappointing', 'ilang', 'Mulu', 'GMANA', 'Pay', 'Buy', 'Paketan ',' free ',' responsibility ',' essence ',' disappointed ',' hope ',' in the future ',' fix ',' hopefully ',' thank you ', ""]")</f>
        <v>['', 'South Sulawesi', 'UDH', 'Bera', 'Network', 'Really', 'Disappointing', 'ilang', 'Mulu', 'GMANA', 'Pay', 'Buy', 'Paketan ',' free ',' responsibility ',' essence ',' disappointed ',' hope ',' in the future ',' fix ',' hopefully ',' thank you ', "]</v>
      </c>
      <c r="D21056" s="3">
        <v>1.0</v>
      </c>
    </row>
    <row r="21057" ht="15.75" customHeight="1">
      <c r="A21057" s="1">
        <v>22378.0</v>
      </c>
      <c r="B21057" s="3" t="s">
        <v>19898</v>
      </c>
      <c r="C21057" s="3" t="str">
        <f>IFERROR(__xludf.DUMMYFUNCTION("GOOGLETRANSLATE(B21057,""id"",""en"")"),"['application', 'opened', 'knpa', '']")</f>
        <v>['application', 'opened', 'knpa', '']</v>
      </c>
      <c r="D21057" s="3">
        <v>1.0</v>
      </c>
    </row>
    <row r="21058" ht="15.75" customHeight="1">
      <c r="A21058" s="1">
        <v>22379.0</v>
      </c>
      <c r="B21058" s="3" t="s">
        <v>19899</v>
      </c>
      <c r="C21058" s="3" t="str">
        <f>IFERROR(__xludf.DUMMYFUNCTION("GOOGLETRANSLATE(B21058,""id"",""en"")"),"['bad', 'accessed', 'all', 'Android', 'system', 'Android', 'Uzur', 'thought out', 'application', ""]")</f>
        <v>['bad', 'accessed', 'all', 'Android', 'system', 'Android', 'Uzur', 'thought out', 'application', "]</v>
      </c>
      <c r="D21058" s="3">
        <v>5.0</v>
      </c>
    </row>
    <row r="21059" ht="15.75" customHeight="1">
      <c r="A21059" s="1">
        <v>22380.0</v>
      </c>
      <c r="B21059" s="3" t="s">
        <v>19900</v>
      </c>
      <c r="C21059" s="3" t="str">
        <f>IFERROR(__xludf.DUMMYFUNCTION("GOOGLETRANSLATE(B21059,""id"",""en"")"),"['Severe', 'Telkomsel', 'Play', 'Game', 'LGI', 'Paketan', 'Expensive', 'Mnding', 'Change', 'Card', 'Next "",' ']")</f>
        <v>['Severe', 'Telkomsel', 'Play', 'Game', 'LGI', 'Paketan', 'Expensive', 'Mnding', 'Change', 'Card', 'Next ",' ']</v>
      </c>
      <c r="D21059" s="3">
        <v>1.0</v>
      </c>
    </row>
    <row r="21060" ht="15.75" customHeight="1">
      <c r="A21060" s="1">
        <v>22381.0</v>
      </c>
      <c r="B21060" s="3" t="s">
        <v>19901</v>
      </c>
      <c r="C21060" s="3" t="str">
        <f>IFERROR(__xludf.DUMMYFUNCTION("GOOGLETRANSLATE(B21060,""id"",""en"")"),"['Telkomsel', 'Error', 'already', 'Pay', 'Bill', 'Hello', 'Aktiv', 'Data', 'Naya']")</f>
        <v>['Telkomsel', 'Error', 'already', 'Pay', 'Bill', 'Hello', 'Aktiv', 'Data', 'Naya']</v>
      </c>
      <c r="D21060" s="3">
        <v>1.0</v>
      </c>
    </row>
    <row r="21061" ht="15.75" customHeight="1">
      <c r="A21061" s="1">
        <v>22382.0</v>
      </c>
      <c r="B21061" s="3" t="s">
        <v>19902</v>
      </c>
      <c r="C21061" s="3" t="str">
        <f>IFERROR(__xludf.DUMMYFUNCTION("GOOGLETRANSLATE(B21061,""id"",""en"")"),"['Application', 'Error', 'Mulu', 'Opened']")</f>
        <v>['Application', 'Error', 'Mulu', 'Opened']</v>
      </c>
      <c r="D21061" s="3">
        <v>1.0</v>
      </c>
    </row>
    <row r="21062" ht="15.75" customHeight="1">
      <c r="A21062" s="1">
        <v>22383.0</v>
      </c>
      <c r="B21062" s="3" t="s">
        <v>19903</v>
      </c>
      <c r="C21062" s="3" t="str">
        <f>IFERROR(__xludf.DUMMYFUNCTION("GOOGLETRANSLATE(B21062,""id"",""en"")"),"['', 'regret', 'buy', 'pulse', 'credit', 'blum', 'buyin', 'udh', 'run out', 'buy', 'pulselaya', 'entered', 'just ',' ']")</f>
        <v>['', 'regret', 'buy', 'pulse', 'credit', 'blum', 'buyin', 'udh', 'run out', 'buy', 'pulselaya', 'entered', 'just ',' ']</v>
      </c>
      <c r="D21062" s="3">
        <v>1.0</v>
      </c>
    </row>
    <row r="21063" ht="15.75" customHeight="1">
      <c r="A21063" s="1">
        <v>22384.0</v>
      </c>
      <c r="B21063" s="3" t="s">
        <v>19904</v>
      </c>
      <c r="C21063" s="3" t="str">
        <f>IFERROR(__xludf.DUMMYFUNCTION("GOOGLETRANSLATE(B21063,""id"",""en"")"),"['apk', 'blank', 'white', 'please', 'repair']")</f>
        <v>['apk', 'blank', 'white', 'please', 'repair']</v>
      </c>
      <c r="D21063" s="3">
        <v>1.0</v>
      </c>
    </row>
    <row r="21064" ht="15.75" customHeight="1">
      <c r="A21064" s="1">
        <v>22385.0</v>
      </c>
      <c r="B21064" s="3" t="s">
        <v>19905</v>
      </c>
      <c r="C21064" s="3" t="str">
        <f>IFERROR(__xludf.DUMMYFUNCTION("GOOGLETRANSLATE(B21064,""id"",""en"")"),"['card', 'sympathy', 'sympathy', 'network', 'internet', 'bad', 'expensive', '']")</f>
        <v>['card', 'sympathy', 'sympathy', 'network', 'internet', 'bad', 'expensive', '']</v>
      </c>
      <c r="D21064" s="3">
        <v>1.0</v>
      </c>
    </row>
    <row r="21065" ht="15.75" customHeight="1">
      <c r="A21065" s="1">
        <v>22386.0</v>
      </c>
      <c r="B21065" s="3" t="s">
        <v>19906</v>
      </c>
      <c r="C21065" s="3" t="str">
        <f>IFERROR(__xludf.DUMMYFUNCTION("GOOGLETRANSLATE(B21065,""id"",""en"")"),"['The application', 'Error', 'Thursday', 'des', ""]")</f>
        <v>['The application', 'Error', 'Thursday', 'des', "]</v>
      </c>
      <c r="D21065" s="3">
        <v>1.0</v>
      </c>
    </row>
    <row r="21066" ht="15.75" customHeight="1">
      <c r="A21066" s="1">
        <v>22387.0</v>
      </c>
      <c r="B21066" s="3" t="s">
        <v>19907</v>
      </c>
      <c r="C21066" s="3" t="str">
        <f>IFERROR(__xludf.DUMMYFUNCTION("GOOGLETRANSLATE(B21066,""id"",""en"")"),"['card', 'Sakti', 'cheap', 'pass',' already ',' make ',' expensive ',' name ',' cheats', 'style', 'wkwkwkwk', 'please', ' developer ',' beautiful ',' handsome ',' at the cheapest ',' package ',' as expensive ',' moved ',' card ',' no ',' buy ',' expensive"&amp;" ',' kek ',' gini ' , '']")</f>
        <v>['card', 'Sakti', 'cheap', 'pass',' already ',' make ',' expensive ',' name ',' cheats', 'style', 'wkwkwkwk', 'please', ' developer ',' beautiful ',' handsome ',' at the cheapest ',' package ',' as expensive ',' moved ',' card ',' no ',' buy ',' expensive ',' kek ',' gini ' , '']</v>
      </c>
      <c r="D21066" s="3">
        <v>1.0</v>
      </c>
    </row>
    <row r="21067" ht="15.75" customHeight="1">
      <c r="A21067" s="1">
        <v>22388.0</v>
      </c>
      <c r="B21067" s="3" t="s">
        <v>19908</v>
      </c>
      <c r="C21067" s="3" t="str">
        <f>IFERROR(__xludf.DUMMYFUNCTION("GOOGLETRANSLATE(B21067,""id"",""en"")"),"['Telkomsel', 'cave', 'prayer', 'employee', 'boss',' dead ',' looks', 'tomorrow', 'tomorrow', 'org', 'buy', 'Telkomsel', ' Org ',' Oon ',' Game ',' Tozon ',' Mulu ',' Learning ',' Network ',' ilang ',' ilang ',' Sometimes', 'Sampe', 'sometimes',' right ' "&amp;", 'Dead', 'Data', 'Asw', 'Telkom', 'ASW', 'Ajing', 'Ngen', 'Intention', 'Sell', 'Telkomsel', 'Ajing']")</f>
        <v>['Telkomsel', 'cave', 'prayer', 'employee', 'boss',' dead ',' looks', 'tomorrow', 'tomorrow', 'org', 'buy', 'Telkomsel', ' Org ',' Oon ',' Game ',' Tozon ',' Mulu ',' Learning ',' Network ',' ilang ',' ilang ',' Sometimes', 'Sampe', 'sometimes',' right ' , 'Dead', 'Data', 'Asw', 'Telkom', 'ASW', 'Ajing', 'Ngen', 'Intention', 'Sell', 'Telkomsel', 'Ajing']</v>
      </c>
      <c r="D21067" s="3">
        <v>1.0</v>
      </c>
    </row>
    <row r="21068" ht="15.75" customHeight="1">
      <c r="A21068" s="1">
        <v>22389.0</v>
      </c>
      <c r="B21068" s="3" t="s">
        <v>19909</v>
      </c>
      <c r="C21068" s="3" t="str">
        <f>IFERROR(__xludf.DUMMYFUNCTION("GOOGLETRANSLATE(B21068,""id"",""en"")"),"['Signal', 'severe', 'area', 'South Kalimantan', 'lost', 'night', 'morning', 'noon', 'a day', 'already', 'expensive', 'signal', ' Severe ',' Missing ',' Mending ',' Axis', 'Lemot', 'Rich', 'Gini', 'Already', 'Amid', 'City', 'Stay', 'Satisfying', 'internet"&amp;"' , '']")</f>
        <v>['Signal', 'severe', 'area', 'South Kalimantan', 'lost', 'night', 'morning', 'noon', 'a day', 'already', 'expensive', 'signal', ' Severe ',' Missing ',' Mending ',' Axis', 'Lemot', 'Rich', 'Gini', 'Already', 'Amid', 'City', 'Stay', 'Satisfying', 'internet' , '']</v>
      </c>
      <c r="D21068" s="3">
        <v>1.0</v>
      </c>
    </row>
    <row r="21069" ht="15.75" customHeight="1">
      <c r="A21069" s="1">
        <v>22391.0</v>
      </c>
      <c r="B21069" s="3" t="s">
        <v>19910</v>
      </c>
      <c r="C21069" s="3" t="str">
        <f>IFERROR(__xludf.DUMMYFUNCTION("GOOGLETRANSLATE(B21069,""id"",""en"")"),"['The App', 'Good', 'Network', 'Bad', 'Please', 'Fix', 'As soon as', 'Moga', 'Telkomsel', 'In the future']")</f>
        <v>['The App', 'Good', 'Network', 'Bad', 'Please', 'Fix', 'As soon as', 'Moga', 'Telkomsel', 'In the future']</v>
      </c>
      <c r="D21069" s="3">
        <v>4.0</v>
      </c>
    </row>
    <row r="21070" ht="15.75" customHeight="1">
      <c r="A21070" s="1">
        <v>22392.0</v>
      </c>
      <c r="B21070" s="3" t="s">
        <v>19911</v>
      </c>
      <c r="C21070" s="3" t="str">
        <f>IFERROR(__xludf.DUMMYFUNCTION("GOOGLETRANSLATE(B21070,""id"",""en"")"),"['Apasih', 'Telkomsel', 'buy', 'pulses', 'owe', 'buy', 'package', 'learn', 'pakek', 'how', 'Telkomsel']")</f>
        <v>['Apasih', 'Telkomsel', 'buy', 'pulses', 'owe', 'buy', 'package', 'learn', 'pakek', 'how', 'Telkomsel']</v>
      </c>
      <c r="D21070" s="3">
        <v>1.0</v>
      </c>
    </row>
    <row r="21071" ht="15.75" customHeight="1">
      <c r="A21071" s="1">
        <v>22393.0</v>
      </c>
      <c r="B21071" s="3" t="s">
        <v>19912</v>
      </c>
      <c r="C21071" s="3" t="str">
        <f>IFERROR(__xludf.DUMMYFUNCTION("GOOGLETRANSLATE(B21071,""id"",""en"")"),"['The application', 'dbuka', 'already', 'strange', 'really', '']")</f>
        <v>['The application', 'dbuka', 'already', 'strange', 'really', '']</v>
      </c>
      <c r="D21071" s="3">
        <v>1.0</v>
      </c>
    </row>
    <row r="21072" ht="15.75" customHeight="1">
      <c r="A21072" s="1">
        <v>22394.0</v>
      </c>
      <c r="B21072" s="3" t="s">
        <v>19913</v>
      </c>
      <c r="C21072" s="3" t="str">
        <f>IFERROR(__xludf.DUMMYFUNCTION("GOOGLETRANSLATE(B21072,""id"",""en"")"),"['Application', 'Error', 'No', 'opened', 'Please', 'Developer', 'Repaired', 'Application', 'The Network', 'Package', 'Expensive', 'The Line', ' bad']")</f>
        <v>['Application', 'Error', 'No', 'opened', 'Please', 'Developer', 'Repaired', 'Application', 'The Network', 'Package', 'Expensive', 'The Line', ' bad']</v>
      </c>
      <c r="D21072" s="3">
        <v>1.0</v>
      </c>
    </row>
    <row r="21073" ht="15.75" customHeight="1">
      <c r="A21073" s="1">
        <v>22395.0</v>
      </c>
      <c r="B21073" s="3" t="s">
        <v>19914</v>
      </c>
      <c r="C21073" s="3" t="str">
        <f>IFERROR(__xludf.DUMMYFUNCTION("GOOGLETRANSLATE(B21073,""id"",""en"")"),"['error', 'mulu', 'gajelas',' the application ',' right ',' opened ',' gabisa ',' mulu ',' already ',' uninstall ',' installed ',' tetep ',' Error ',' hilarious', 'class',' Telkomsel ',' Application ',' Supporters', 'Error', 'Mulu', 'Signal', 'Good', ""]")</f>
        <v>['error', 'mulu', 'gajelas',' the application ',' right ',' opened ',' gabisa ',' mulu ',' already ',' uninstall ',' installed ',' tetep ',' Error ',' hilarious', 'class',' Telkomsel ',' Application ',' Supporters', 'Error', 'Mulu', 'Signal', 'Good', "]</v>
      </c>
      <c r="D21073" s="3">
        <v>1.0</v>
      </c>
    </row>
    <row r="21074" ht="15.75" customHeight="1">
      <c r="A21074" s="1">
        <v>22396.0</v>
      </c>
      <c r="B21074" s="3" t="s">
        <v>1294</v>
      </c>
      <c r="C21074" s="3" t="str">
        <f>IFERROR(__xludf.DUMMYFUNCTION("GOOGLETRANSLATE(B21074,""id"",""en"")"),"['APK', 'Help']")</f>
        <v>['APK', 'Help']</v>
      </c>
      <c r="D21074" s="3">
        <v>5.0</v>
      </c>
    </row>
    <row r="21075" ht="15.75" customHeight="1">
      <c r="A21075" s="1">
        <v>22397.0</v>
      </c>
      <c r="B21075" s="3" t="s">
        <v>19915</v>
      </c>
      <c r="C21075" s="3" t="str">
        <f>IFERROR(__xludf.DUMMYFUNCTION("GOOGLETRANSLATE(B21075,""id"",""en"")"),"['Telkom', 'segment', 'market', 'teens', 'price', 'quota', 'cheap', '']")</f>
        <v>['Telkom', 'segment', 'market', 'teens', 'price', 'quota', 'cheap', '']</v>
      </c>
      <c r="D21075" s="3">
        <v>5.0</v>
      </c>
    </row>
    <row r="21076" ht="15.75" customHeight="1">
      <c r="A21076" s="1">
        <v>22398.0</v>
      </c>
      <c r="B21076" s="3" t="s">
        <v>19916</v>
      </c>
      <c r="C21076" s="3" t="str">
        <f>IFERROR(__xludf.DUMMYFUNCTION("GOOGLETRANSLATE(B21076,""id"",""en"")"),"['Application', 'Telkomsel', 'opened', 'screen', 'white', 'since', 'update', 'version', 'please', 'fix', 'the application']")</f>
        <v>['Application', 'Telkomsel', 'opened', 'screen', 'white', 'since', 'update', 'version', 'please', 'fix', 'the application']</v>
      </c>
      <c r="D21076" s="3">
        <v>1.0</v>
      </c>
    </row>
    <row r="21077" ht="15.75" customHeight="1">
      <c r="A21077" s="1">
        <v>22399.0</v>
      </c>
      <c r="B21077" s="3" t="s">
        <v>19917</v>
      </c>
      <c r="C21077" s="3" t="str">
        <f>IFERROR(__xludf.DUMMYFUNCTION("GOOGLETRANSLATE(B21077,""id"",""en"")"),"['Current', 'slow']")</f>
        <v>['Current', 'slow']</v>
      </c>
      <c r="D21077" s="3">
        <v>4.0</v>
      </c>
    </row>
    <row r="21078" ht="15.75" customHeight="1">
      <c r="A21078" s="1">
        <v>22400.0</v>
      </c>
      <c r="B21078" s="3" t="s">
        <v>19918</v>
      </c>
      <c r="C21078" s="3" t="str">
        <f>IFERROR(__xludf.DUMMYFUNCTION("GOOGLETRANSLATE(B21078,""id"",""en"")"),"['Cook', 'Chicken', 'Chicken', 'Rekep', 'MyTelkomsel', 'Emg', 'Cakep', ""]")</f>
        <v>['Cook', 'Chicken', 'Chicken', 'Rekep', 'MyTelkomsel', 'Emg', 'Cakep', "]</v>
      </c>
      <c r="D21078" s="3">
        <v>5.0</v>
      </c>
    </row>
    <row r="21079" ht="15.75" customHeight="1">
      <c r="A21079" s="1">
        <v>22401.0</v>
      </c>
      <c r="B21079" s="3" t="s">
        <v>478</v>
      </c>
      <c r="C21079" s="3" t="str">
        <f>IFERROR(__xludf.DUMMYFUNCTION("GOOGLETRANSLATE(B21079,""id"",""en"")"),"Of course")</f>
        <v>Of course</v>
      </c>
      <c r="D21079" s="3">
        <v>4.0</v>
      </c>
    </row>
    <row r="21080" ht="15.75" customHeight="1">
      <c r="A21080" s="1">
        <v>22402.0</v>
      </c>
      <c r="B21080" s="3" t="s">
        <v>2110</v>
      </c>
      <c r="C21080" s="3" t="str">
        <f>IFERROR(__xludf.DUMMYFUNCTION("GOOGLETRANSLATE(B21080,""id"",""en"")"),"['Telkomsel', '']")</f>
        <v>['Telkomsel', '']</v>
      </c>
      <c r="D21080" s="3">
        <v>5.0</v>
      </c>
    </row>
    <row r="21081" ht="15.75" customHeight="1">
      <c r="A21081" s="1">
        <v>22403.0</v>
      </c>
      <c r="B21081" s="3" t="s">
        <v>19919</v>
      </c>
      <c r="C21081" s="3" t="str">
        <f>IFERROR(__xludf.DUMMYFUNCTION("GOOGLETRANSLATE(B21081,""id"",""en"")"),"['easy', 'Ntuk', 'check', 'kouta', 'pulse', 'bonus']")</f>
        <v>['easy', 'Ntuk', 'check', 'kouta', 'pulse', 'bonus']</v>
      </c>
      <c r="D21081" s="3">
        <v>5.0</v>
      </c>
    </row>
    <row r="21082" ht="15.75" customHeight="1">
      <c r="A21082" s="1">
        <v>22405.0</v>
      </c>
      <c r="B21082" s="3" t="s">
        <v>19920</v>
      </c>
      <c r="C21082" s="3" t="str">
        <f>IFERROR(__xludf.DUMMYFUNCTION("GOOGLETRANSLATE(B21082,""id"",""en"")"),"['package', 'leftover', 'pulse', 'morning', 'check', 'pulse', 'run out', 'leftover', 'pulse', 'subscribe', 'package', 'please', ' enlightenment ',' donk ',' mind ',' where ',' leftover ',' pulse ']")</f>
        <v>['package', 'leftover', 'pulse', 'morning', 'check', 'pulse', 'run out', 'leftover', 'pulse', 'subscribe', 'package', 'please', ' enlightenment ',' donk ',' mind ',' where ',' leftover ',' pulse ']</v>
      </c>
      <c r="D21082" s="3">
        <v>4.0</v>
      </c>
    </row>
    <row r="21083" ht="15.75" customHeight="1">
      <c r="A21083" s="1">
        <v>22406.0</v>
      </c>
      <c r="B21083" s="3" t="s">
        <v>19921</v>
      </c>
      <c r="C21083" s="3" t="str">
        <f>IFERROR(__xludf.DUMMYFUNCTION("GOOGLETRANSLATE(B21083,""id"",""en"")"),"['already', 'expensive', 'difficult', 'log', 'waste', 'replace', 'prime', ""]")</f>
        <v>['already', 'expensive', 'difficult', 'log', 'waste', 'replace', 'prime', "]</v>
      </c>
      <c r="D21083" s="3">
        <v>1.0</v>
      </c>
    </row>
    <row r="21084" ht="15.75" customHeight="1">
      <c r="A21084" s="1">
        <v>22407.0</v>
      </c>
      <c r="B21084" s="3" t="s">
        <v>9230</v>
      </c>
      <c r="C21084" s="3" t="str">
        <f>IFERROR(__xludf.DUMMYFUNCTION("GOOGLETRANSLATE(B21084,""id"",""en"")"),"['slow connection', '']")</f>
        <v>['slow connection', '']</v>
      </c>
      <c r="D21084" s="3">
        <v>1.0</v>
      </c>
    </row>
    <row r="21085" ht="15.75" customHeight="1">
      <c r="A21085" s="1">
        <v>22408.0</v>
      </c>
      <c r="B21085" s="3" t="s">
        <v>19922</v>
      </c>
      <c r="C21085" s="3" t="str">
        <f>IFERROR(__xludf.DUMMYFUNCTION("GOOGLETRANSLATE(B21085,""id"",""en"")"),"['Operator', 'Mncam', 'What', 'Open', 'Application', 'Telmsel', 'SSLU', 'GMBAR', 'White', 'PKAI', 'Game', 'Leg', ' Severe ',' quota ',' expensive ',' bekasi ',' area ',' kotaa ',' bekasi ',' bintaraa ',' intention ',' oprtor ',' ']")</f>
        <v>['Operator', 'Mncam', 'What', 'Open', 'Application', 'Telmsel', 'SSLU', 'GMBAR', 'White', 'PKAI', 'Game', 'Leg', ' Severe ',' quota ',' expensive ',' bekasi ',' area ',' kotaa ',' bekasi ',' bintaraa ',' intention ',' oprtor ',' ']</v>
      </c>
      <c r="D21085" s="3">
        <v>2.0</v>
      </c>
    </row>
    <row r="21086" ht="15.75" customHeight="1">
      <c r="A21086" s="1">
        <v>22409.0</v>
      </c>
      <c r="B21086" s="3" t="s">
        <v>19923</v>
      </c>
      <c r="C21086" s="3" t="str">
        <f>IFERROR(__xludf.DUMMYFUNCTION("GOOGLETRANSLATE(B21086,""id"",""en"")"),"['SLAMA', 'Sya', 'TTEP', 'Stia', 'Telkomsel', 'Since', 'Updet', 'Smakin', 'wasteful', 'data', 'game', 'waste', ' Skrng ',' wasteful ',' Bngt ',' Heummmm ',' Disappointed ',' ']")</f>
        <v>['SLAMA', 'Sya', 'TTEP', 'Stia', 'Telkomsel', 'Since', 'Updet', 'Smakin', 'wasteful', 'data', 'game', 'waste', ' Skrng ',' wasteful ',' Bngt ',' Heummmm ',' Disappointed ',' ']</v>
      </c>
      <c r="D21086" s="3">
        <v>1.0</v>
      </c>
    </row>
    <row r="21087" ht="15.75" customHeight="1">
      <c r="A21087" s="1">
        <v>22410.0</v>
      </c>
      <c r="B21087" s="3" t="s">
        <v>19924</v>
      </c>
      <c r="C21087" s="3" t="str">
        <f>IFERROR(__xludf.DUMMYFUNCTION("GOOGLETRANSLATE(B21087,""id"",""en"")"),"['Open', 'Install', 'reset', '']")</f>
        <v>['Open', 'Install', 'reset', '']</v>
      </c>
      <c r="D21087" s="3">
        <v>3.0</v>
      </c>
    </row>
    <row r="21088" ht="15.75" customHeight="1">
      <c r="A21088" s="1">
        <v>22411.0</v>
      </c>
      <c r="B21088" s="3" t="s">
        <v>19925</v>
      </c>
      <c r="C21088" s="3" t="str">
        <f>IFERROR(__xludf.DUMMYFUNCTION("GOOGLETRANSLATE(B21088,""id"",""en"")"),"['wants',' package ',' expensive ',' tetep ',' bought ',' mind ',' signal ',' good ',' ehh ',' signal ',' ugly ',' really ',' No. ',' open ',' quota ',' pulse ',' missing ',' already ',' times', 'rich', 'gini', 'disappointed', 'really', '']")</f>
        <v>['wants',' package ',' expensive ',' tetep ',' bought ',' mind ',' signal ',' good ',' ehh ',' signal ',' ugly ',' really ',' No. ',' open ',' quota ',' pulse ',' missing ',' already ',' times', 'rich', 'gini', 'disappointed', 'really', '']</v>
      </c>
      <c r="D21088" s="3">
        <v>1.0</v>
      </c>
    </row>
    <row r="21089" ht="15.75" customHeight="1">
      <c r="A21089" s="1">
        <v>22412.0</v>
      </c>
      <c r="B21089" s="3" t="s">
        <v>19926</v>
      </c>
      <c r="C21089" s="3" t="str">
        <f>IFERROR(__xludf.DUMMYFUNCTION("GOOGLETRANSLATE(B21089,""id"",""en"")"),"['Details', 'see', 'quota', 'bnyak', 'promo']")</f>
        <v>['Details', 'see', 'quota', 'bnyak', 'promo']</v>
      </c>
      <c r="D21089" s="3">
        <v>5.0</v>
      </c>
    </row>
    <row r="21090" ht="15.75" customHeight="1">
      <c r="A21090" s="1">
        <v>22413.0</v>
      </c>
      <c r="B21090" s="3" t="s">
        <v>19927</v>
      </c>
      <c r="C21090" s="3" t="str">
        <f>IFERROR(__xludf.DUMMYFUNCTION("GOOGLETRANSLATE(B21090,""id"",""en"")"),"['Application', 'Percim', 'expensive']")</f>
        <v>['Application', 'Percim', 'expensive']</v>
      </c>
      <c r="D21090" s="3">
        <v>1.0</v>
      </c>
    </row>
    <row r="21091" ht="15.75" customHeight="1">
      <c r="A21091" s="1">
        <v>22414.0</v>
      </c>
      <c r="B21091" s="3" t="s">
        <v>19928</v>
      </c>
      <c r="C21091" s="3" t="str">
        <f>IFERROR(__xludf.DUMMYFUNCTION("GOOGLETRANSLATE(B21091,""id"",""en"")"),"['Good', 'mandatory', 'Download']")</f>
        <v>['Good', 'mandatory', 'Download']</v>
      </c>
      <c r="D21091" s="3">
        <v>5.0</v>
      </c>
    </row>
    <row r="21092" ht="15.75" customHeight="1">
      <c r="A21092" s="1">
        <v>22415.0</v>
      </c>
      <c r="B21092" s="3" t="s">
        <v>19929</v>
      </c>
      <c r="C21092" s="3" t="str">
        <f>IFERROR(__xludf.DUMMYFUNCTION("GOOGLETRANSLATE(B21092,""id"",""en"")"),"['Lemottt', 'Star', 'Oraa', 'Masoookkk', 'signal', 'ilang']")</f>
        <v>['Lemottt', 'Star', 'Oraa', 'Masoookkk', 'signal', 'ilang']</v>
      </c>
      <c r="D21092" s="3">
        <v>1.0</v>
      </c>
    </row>
    <row r="21093" ht="15.75" customHeight="1">
      <c r="A21093" s="1">
        <v>22416.0</v>
      </c>
      <c r="B21093" s="3" t="s">
        <v>19930</v>
      </c>
      <c r="C21093" s="3" t="str">
        <f>IFERROR(__xludf.DUMMYFUNCTION("GOOGLETRANSLATE(B21093,""id"",""en"")"),"['', 'Telkomsel', 'Install', '']")</f>
        <v>['', 'Telkomsel', 'Install', '']</v>
      </c>
      <c r="D21093" s="3">
        <v>1.0</v>
      </c>
    </row>
    <row r="21094" ht="15.75" customHeight="1">
      <c r="A21094" s="1">
        <v>22417.0</v>
      </c>
      <c r="B21094" s="3" t="s">
        <v>19931</v>
      </c>
      <c r="C21094" s="3" t="str">
        <f>IFERROR(__xludf.DUMMYFUNCTION("GOOGLETRANSLATE(B21094,""id"",""en"")"),"['Enter', 'error', 'system', 'how', 'Sis', 'please', 'repaired', 'my APK']")</f>
        <v>['Enter', 'error', 'system', 'how', 'Sis', 'please', 'repaired', 'my APK']</v>
      </c>
      <c r="D21094" s="3">
        <v>1.0</v>
      </c>
    </row>
    <row r="21095" ht="15.75" customHeight="1">
      <c r="A21095" s="1">
        <v>22418.0</v>
      </c>
      <c r="B21095" s="3" t="s">
        <v>19932</v>
      </c>
      <c r="C21095" s="3" t="str">
        <f>IFERROR(__xludf.DUMMYFUNCTION("GOOGLETRANSLATE(B21095,""id"",""en"")"),"['signal', 'region', 'pameungpeuk', 'kab', 'bandung', 'please', 'repaired', 'admin', '']")</f>
        <v>['signal', 'region', 'pameungpeuk', 'kab', 'bandung', 'please', 'repaired', 'admin', '']</v>
      </c>
      <c r="D21095" s="3">
        <v>3.0</v>
      </c>
    </row>
    <row r="21096" ht="15.75" customHeight="1">
      <c r="A21096" s="1">
        <v>22419.0</v>
      </c>
      <c r="B21096" s="3" t="s">
        <v>19933</v>
      </c>
      <c r="C21096" s="3" t="str">
        <f>IFERROR(__xludf.DUMMYFUNCTION("GOOGLETRANSLATE(B21096,""id"",""en"")"),"['Error', 'Gifts', 'Emotion', '']")</f>
        <v>['Error', 'Gifts', 'Emotion', '']</v>
      </c>
      <c r="D21096" s="3">
        <v>2.0</v>
      </c>
    </row>
    <row r="21097" ht="15.75" customHeight="1">
      <c r="A21097" s="1">
        <v>22420.0</v>
      </c>
      <c r="B21097" s="3" t="s">
        <v>19934</v>
      </c>
      <c r="C21097" s="3" t="str">
        <f>IFERROR(__xludf.DUMMYFUNCTION("GOOGLETRANSLATE(B21097,""id"",""en"")"),"['application', 'no', 'open']")</f>
        <v>['application', 'no', 'open']</v>
      </c>
      <c r="D21097" s="3">
        <v>5.0</v>
      </c>
    </row>
    <row r="21098" ht="15.75" customHeight="1">
      <c r="A21098" s="1">
        <v>22421.0</v>
      </c>
      <c r="B21098" s="3" t="s">
        <v>15645</v>
      </c>
      <c r="C21098" s="3" t="str">
        <f>IFERROR(__xludf.DUMMYFUNCTION("GOOGLETRANSLATE(B21098,""id"",""en"")"),"['Application', 'steady']")</f>
        <v>['Application', 'steady']</v>
      </c>
      <c r="D21098" s="3">
        <v>5.0</v>
      </c>
    </row>
    <row r="21099" ht="15.75" customHeight="1">
      <c r="A21099" s="1">
        <v>22422.0</v>
      </c>
      <c r="B21099" s="3" t="s">
        <v>19935</v>
      </c>
      <c r="C21099" s="3" t="str">
        <f>IFERROR(__xludf.DUMMYFUNCTION("GOOGLETRANSLATE(B21099,""id"",""en"")"),"['Application', 'right', 'opened', 'screen', 'white']")</f>
        <v>['Application', 'right', 'opened', 'screen', 'white']</v>
      </c>
      <c r="D21099" s="3">
        <v>1.0</v>
      </c>
    </row>
    <row r="21100" ht="15.75" customHeight="1">
      <c r="A21100" s="1">
        <v>22423.0</v>
      </c>
      <c r="B21100" s="3" t="s">
        <v>1365</v>
      </c>
      <c r="C21100" s="3" t="str">
        <f>IFERROR(__xludf.DUMMYFUNCTION("GOOGLETRANSLATE(B21100,""id"",""en"")"),"['Thank you', 'Telkomsel']")</f>
        <v>['Thank you', 'Telkomsel']</v>
      </c>
      <c r="D21100" s="3">
        <v>5.0</v>
      </c>
    </row>
    <row r="21101" ht="15.75" customHeight="1">
      <c r="A21101" s="1">
        <v>22424.0</v>
      </c>
      <c r="B21101" s="3" t="s">
        <v>19936</v>
      </c>
      <c r="C21101" s="3" t="str">
        <f>IFERROR(__xludf.DUMMYFUNCTION("GOOGLETRANSLATE(B21101,""id"",""en"")"),"['Steady', 'Register', 'Direct', 'Get', 'Quota', 'GB', 'Free']")</f>
        <v>['Steady', 'Register', 'Direct', 'Get', 'Quota', 'GB', 'Free']</v>
      </c>
      <c r="D21101" s="3">
        <v>5.0</v>
      </c>
    </row>
    <row r="21102" ht="15.75" customHeight="1">
      <c r="A21102" s="1">
        <v>22425.0</v>
      </c>
      <c r="B21102" s="3" t="s">
        <v>19937</v>
      </c>
      <c r="C21102" s="3" t="str">
        <f>IFERROR(__xludf.DUMMYFUNCTION("GOOGLETRANSLATE(B21102,""id"",""en"")"),"['Tlong', 'network', 'remote', 'village', 'increase', '']")</f>
        <v>['Tlong', 'network', 'remote', 'village', 'increase', '']</v>
      </c>
      <c r="D21102" s="3">
        <v>4.0</v>
      </c>
    </row>
    <row r="21103" ht="15.75" customHeight="1">
      <c r="A21103" s="1">
        <v>22426.0</v>
      </c>
      <c r="B21103" s="3" t="s">
        <v>19938</v>
      </c>
      <c r="C21103" s="3" t="str">
        <f>IFERROR(__xludf.DUMMYFUNCTION("GOOGLETRANSLATE(B21103,""id"",""en"")"),"['network', 'slow', 'please', 'levelkn', 'Telkomsel', '']")</f>
        <v>['network', 'slow', 'please', 'levelkn', 'Telkomsel', '']</v>
      </c>
      <c r="D21103" s="3">
        <v>4.0</v>
      </c>
    </row>
    <row r="21104" ht="15.75" customHeight="1">
      <c r="A21104" s="1">
        <v>22427.0</v>
      </c>
      <c r="B21104" s="3" t="s">
        <v>19939</v>
      </c>
      <c r="C21104" s="3" t="str">
        <f>IFERROR(__xludf.DUMMYFUNCTION("GOOGLETRANSLATE(B21104,""id"",""en"")"),"['Application', 'error', 'Mulu']")</f>
        <v>['Application', 'error', 'Mulu']</v>
      </c>
      <c r="D21104" s="3">
        <v>1.0</v>
      </c>
    </row>
    <row r="21105" ht="15.75" customHeight="1">
      <c r="A21105" s="1">
        <v>22428.0</v>
      </c>
      <c r="B21105" s="3" t="s">
        <v>19940</v>
      </c>
      <c r="C21105" s="3" t="str">
        <f>IFERROR(__xludf.DUMMYFUNCTION("GOOGLETRANSLATE(B21105,""id"",""en"")"),"['', 'user', 'friendly', 'menu', 'shifted', 'difficult', 'Tata', 'location', 'like', 'change']")</f>
        <v>['', 'user', 'friendly', 'menu', 'shifted', 'difficult', 'Tata', 'location', 'like', 'change']</v>
      </c>
      <c r="D21105" s="3">
        <v>1.0</v>
      </c>
    </row>
    <row r="21106" ht="15.75" customHeight="1">
      <c r="A21106" s="1">
        <v>22429.0</v>
      </c>
      <c r="B21106" s="3" t="s">
        <v>19941</v>
      </c>
      <c r="C21106" s="3" t="str">
        <f>IFERROR(__xludf.DUMMYFUNCTION("GOOGLETRANSLATE(B21106,""id"",""en"")"),"['quota', 'lost', 'quata', 'msh', 'missing', 'where', 'solution', 'how', '']")</f>
        <v>['quota', 'lost', 'quata', 'msh', 'missing', 'where', 'solution', 'how', '']</v>
      </c>
      <c r="D21106" s="3">
        <v>1.0</v>
      </c>
    </row>
    <row r="21107" ht="15.75" customHeight="1">
      <c r="A21107" s="1">
        <v>22430.0</v>
      </c>
      <c r="B21107" s="3" t="s">
        <v>19942</v>
      </c>
      <c r="C21107" s="3" t="str">
        <f>IFERROR(__xludf.DUMMYFUNCTION("GOOGLETRANSLATE(B21107,""id"",""en"")"),"['Good', 'hopefully', 'smooth', 'benefits']")</f>
        <v>['Good', 'hopefully', 'smooth', 'benefits']</v>
      </c>
      <c r="D21107" s="3">
        <v>5.0</v>
      </c>
    </row>
    <row r="21108" ht="15.75" customHeight="1">
      <c r="A21108" s="1">
        <v>22431.0</v>
      </c>
      <c r="B21108" s="3" t="s">
        <v>19943</v>
      </c>
      <c r="C21108" s="3" t="str">
        <f>IFERROR(__xludf.DUMMYFUNCTION("GOOGLETRANSLATE(B21108,""id"",""en"")"),"['Download', 'use', 'Samsung', 'Galaxy', '']")</f>
        <v>['Download', 'use', 'Samsung', 'Galaxy', '']</v>
      </c>
      <c r="D21108" s="3">
        <v>3.0</v>
      </c>
    </row>
    <row r="21109" ht="15.75" customHeight="1">
      <c r="A21109" s="1">
        <v>22432.0</v>
      </c>
      <c r="B21109" s="3" t="s">
        <v>19944</v>
      </c>
      <c r="C21109" s="3" t="str">
        <f>IFERROR(__xludf.DUMMYFUNCTION("GOOGLETRANSLATE(B21109,""id"",""en"")"),"['Network', 'Telkomsel', 'Internet', 'Good', 'Please', 'Fix', 'Telkomsel', 'Hopefully', 'Telkomsel', 'smooth', ""]")</f>
        <v>['Network', 'Telkomsel', 'Internet', 'Good', 'Please', 'Fix', 'Telkomsel', 'Hopefully', 'Telkomsel', 'smooth', "]</v>
      </c>
      <c r="D21109" s="3">
        <v>5.0</v>
      </c>
    </row>
    <row r="21110" ht="15.75" customHeight="1">
      <c r="A21110" s="1">
        <v>22433.0</v>
      </c>
      <c r="B21110" s="3" t="s">
        <v>19945</v>
      </c>
      <c r="C21110" s="3" t="str">
        <f>IFERROR(__xludf.DUMMYFUNCTION("GOOGLETRANSLATE(B21110,""id"",""en"")"),"['APK', 'Telkomsel', 'Sekarng', 'Open']")</f>
        <v>['APK', 'Telkomsel', 'Sekarng', 'Open']</v>
      </c>
      <c r="D21110" s="3">
        <v>2.0</v>
      </c>
    </row>
    <row r="21111" ht="15.75" customHeight="1">
      <c r="A21111" s="1">
        <v>22434.0</v>
      </c>
      <c r="B21111" s="3" t="s">
        <v>19946</v>
      </c>
      <c r="C21111" s="3" t="str">
        <f>IFERROR(__xludf.DUMMYFUNCTION("GOOGLETRANSLATE(B21111,""id"",""en"")"),"['Already', 'Download', 'Opened']")</f>
        <v>['Already', 'Download', 'Opened']</v>
      </c>
      <c r="D21111" s="3">
        <v>1.0</v>
      </c>
    </row>
    <row r="21112" ht="15.75" customHeight="1">
      <c r="A21112" s="1">
        <v>22435.0</v>
      </c>
      <c r="B21112" s="3" t="s">
        <v>19947</v>
      </c>
      <c r="C21112" s="3" t="str">
        <f>IFERROR(__xludf.DUMMYFUNCTION("GOOGLETRANSLATE(B21112,""id"",""en"")"),"['Kapok', 'internet', 'use', 'Telkomsel', 'deh', 'already', 'expensive', 'slow', 'play', ""]")</f>
        <v>['Kapok', 'internet', 'use', 'Telkomsel', 'deh', 'already', 'expensive', 'slow', 'play', "]</v>
      </c>
      <c r="D21112" s="3">
        <v>1.0</v>
      </c>
    </row>
    <row r="21113" ht="15.75" customHeight="1">
      <c r="A21113" s="1">
        <v>22436.0</v>
      </c>
      <c r="B21113" s="3" t="s">
        <v>19948</v>
      </c>
      <c r="C21113" s="3" t="str">
        <f>IFERROR(__xludf.DUMMYFUNCTION("GOOGLETRANSLATE(B21113,""id"",""en"")"),"['Telkomsel', 'Severe', 'already', 'trusted', 'karuan', 'omdo', 'signal', 'really', 'pay', 'package', 'expensive', 'signal', ' ',' Kiri ',' Please ',' Fix ',' Management ',' Signal ',' Normal ',' Kya ',' Current ',' Jaya ', ""]")</f>
        <v>['Telkomsel', 'Severe', 'already', 'trusted', 'karuan', 'omdo', 'signal', 'really', 'pay', 'package', 'expensive', 'signal', ' ',' Kiri ',' Please ',' Fix ',' Management ',' Signal ',' Normal ',' Kya ',' Current ',' Jaya ', "]</v>
      </c>
      <c r="D21113" s="3">
        <v>1.0</v>
      </c>
    </row>
    <row r="21114" ht="15.75" customHeight="1">
      <c r="A21114" s="1">
        <v>22438.0</v>
      </c>
      <c r="B21114" s="3" t="s">
        <v>19949</v>
      </c>
      <c r="C21114" s="3" t="str">
        <f>IFERROR(__xludf.DUMMYFUNCTION("GOOGLETRANSLATE(B21114,""id"",""en"")"),"['card', 'Kontoolll', 'North Sumatra', 'clock', 'night', 'clock', 'night', 'network', 'dead', 'total', 'expensive', 'expensive', ' Facilities', 'threat', 'emang', 'card', 'trashhh', '']")</f>
        <v>['card', 'Kontoolll', 'North Sumatra', 'clock', 'night', 'clock', 'night', 'network', 'dead', 'total', 'expensive', 'expensive', ' Facilities', 'threat', 'emang', 'card', 'trashhh', '']</v>
      </c>
      <c r="D21114" s="3">
        <v>1.0</v>
      </c>
    </row>
    <row r="21115" ht="15.75" customHeight="1">
      <c r="A21115" s="1">
        <v>22439.0</v>
      </c>
      <c r="B21115" s="3" t="s">
        <v>19950</v>
      </c>
      <c r="C21115" s="3" t="str">
        <f>IFERROR(__xludf.DUMMYFUNCTION("GOOGLETRANSLATE(B21115,""id"",""en"")"),"['package', 'expensive', 'signal', 'like', 'disorder', 'healthy', 'kah', 'turn', 'debt', 'tap', 'notif', 'sms',' fair ',' buy ',' money ',' free ']")</f>
        <v>['package', 'expensive', 'signal', 'like', 'disorder', 'healthy', 'kah', 'turn', 'debt', 'tap', 'notif', 'sms',' fair ',' buy ',' money ',' free ']</v>
      </c>
      <c r="D21115" s="3">
        <v>1.0</v>
      </c>
    </row>
    <row r="21116" ht="15.75" customHeight="1">
      <c r="A21116" s="1">
        <v>22440.0</v>
      </c>
      <c r="B21116" s="3" t="s">
        <v>19951</v>
      </c>
      <c r="C21116" s="3" t="str">
        <f>IFERROR(__xludf.DUMMYFUNCTION("GOOGLETRANSLATE(B21116,""id"",""en"")"),"['Log', 'Application', 'FAIL', '']")</f>
        <v>['Log', 'Application', 'FAIL', '']</v>
      </c>
      <c r="D21116" s="3">
        <v>1.0</v>
      </c>
    </row>
    <row r="21117" ht="15.75" customHeight="1">
      <c r="A21117" s="1">
        <v>22441.0</v>
      </c>
      <c r="B21117" s="3" t="s">
        <v>19952</v>
      </c>
      <c r="C21117" s="3" t="str">
        <f>IFERROR(__xludf.DUMMYFUNCTION("GOOGLETRANSLATE(B21117,""id"",""en"")"),"['Practical', 'Login', 'Sometimes',' Login ',' Difficult ',' Taste ',' Persulit ',' Facilitates', 'User', 'The Application', 'Please', 'In the future', ' Application ',' MyTelkomsel ',' user ',' helped ',' application ',' MyTelkomsel ',' ']")</f>
        <v>['Practical', 'Login', 'Sometimes',' Login ',' Difficult ',' Taste ',' Persulit ',' Facilitates', 'User', 'The Application', 'Please', 'In the future', ' Application ',' MyTelkomsel ',' user ',' helped ',' application ',' MyTelkomsel ',' ']</v>
      </c>
      <c r="D21117" s="3">
        <v>1.0</v>
      </c>
    </row>
    <row r="21118" ht="15.75" customHeight="1">
      <c r="A21118" s="1">
        <v>22442.0</v>
      </c>
      <c r="B21118" s="3" t="s">
        <v>19953</v>
      </c>
      <c r="C21118" s="3" t="str">
        <f>IFERROR(__xludf.DUMMYFUNCTION("GOOGLETRANSLATE(B21118,""id"",""en"")"),"['complete information']")</f>
        <v>['complete information']</v>
      </c>
      <c r="D21118" s="3">
        <v>5.0</v>
      </c>
    </row>
    <row r="21119" ht="15.75" customHeight="1">
      <c r="A21119" s="1">
        <v>22443.0</v>
      </c>
      <c r="B21119" s="3" t="s">
        <v>19954</v>
      </c>
      <c r="C21119" s="3" t="str">
        <f>IFERROR(__xludf.DUMMYFUNCTION("GOOGLETRANSLATE(B21119,""id"",""en"")"),"['Thank you', 'MyTelekomsel']")</f>
        <v>['Thank you', 'MyTelekomsel']</v>
      </c>
      <c r="D21119" s="3">
        <v>1.0</v>
      </c>
    </row>
    <row r="21120" ht="15.75" customHeight="1">
      <c r="A21120" s="1">
        <v>22444.0</v>
      </c>
      <c r="B21120" s="3" t="s">
        <v>19955</v>
      </c>
      <c r="C21120" s="3" t="str">
        <f>IFERROR(__xludf.DUMMYFUNCTION("GOOGLETRANSLATE(B21120,""id"",""en"")"),"['signal', 'sympathy', 'dwon']")</f>
        <v>['signal', 'sympathy', 'dwon']</v>
      </c>
      <c r="D21120" s="3">
        <v>4.0</v>
      </c>
    </row>
    <row r="21121" ht="15.75" customHeight="1">
      <c r="A21121" s="1">
        <v>22445.0</v>
      </c>
      <c r="B21121" s="3" t="s">
        <v>19956</v>
      </c>
      <c r="C21121" s="3" t="str">
        <f>IFERROR(__xludf.DUMMYFUNCTION("GOOGLETRANSLATE(B21121,""id"",""en"")"),"['Telkomsel', 'BUMN', 'welfare', 'people', 'view', 'feathers',' region ',' price ',' island ',' Java ',' expensive ',' turnover ',' Economy ',' Indonesia ',' Add ',' Features', 'Pulse', 'Sucked', 'BUMN', 'Company', 'Private', 'Managed', 'Country', 'Take',"&amp;" 'Benefit' , 'The magnitude', 'people', 'users', 'Telkomsel', 'Regions', 'Shirt', 'Benefits', 'Officials', 'Telkomsel', 'fat']")</f>
        <v>['Telkomsel', 'BUMN', 'welfare', 'people', 'view', 'feathers',' region ',' price ',' island ',' Java ',' expensive ',' turnover ',' Economy ',' Indonesia ',' Add ',' Features', 'Pulse', 'Sucked', 'BUMN', 'Company', 'Private', 'Managed', 'Country', 'Take', 'Benefit' , 'The magnitude', 'people', 'users', 'Telkomsel', 'Regions', 'Shirt', 'Benefits', 'Officials', 'Telkomsel', 'fat']</v>
      </c>
      <c r="D21121" s="3">
        <v>1.0</v>
      </c>
    </row>
    <row r="21122" ht="15.75" customHeight="1">
      <c r="A21122" s="1">
        <v>22446.0</v>
      </c>
      <c r="B21122" s="3" t="s">
        <v>19957</v>
      </c>
      <c r="C21122" s="3" t="str">
        <f>IFERROR(__xludf.DUMMYFUNCTION("GOOGLETRANSLATE(B21122,""id"",""en"")"),"['hope', 'Bukukk', 'deh', 'prayer', '']")</f>
        <v>['hope', 'Bukukk', 'deh', 'prayer', '']</v>
      </c>
      <c r="D21122" s="3">
        <v>5.0</v>
      </c>
    </row>
    <row r="21123" ht="15.75" customHeight="1">
      <c r="A21123" s="1">
        <v>22447.0</v>
      </c>
      <c r="B21123" s="3" t="s">
        <v>2439</v>
      </c>
      <c r="C21123" s="3" t="str">
        <f>IFERROR(__xludf.DUMMYFUNCTION("GOOGLETRANSLATE(B21123,""id"",""en"")"),"['Love', 'promo']")</f>
        <v>['Love', 'promo']</v>
      </c>
      <c r="D21123" s="3">
        <v>5.0</v>
      </c>
    </row>
    <row r="21124" ht="15.75" customHeight="1">
      <c r="A21124" s="1">
        <v>22448.0</v>
      </c>
      <c r="B21124" s="3" t="s">
        <v>19958</v>
      </c>
      <c r="C21124" s="3" t="str">
        <f>IFERROR(__xludf.DUMMYFUNCTION("GOOGLETRANSLATE(B21124,""id"",""en"")"),"['opened', 'the application', 'buy', 'card', 'Telkomsel', 'Download', 'Telkomsel', 'enter', 'application', 'screen', 'white', 'doang', ' Already ',' Try ',' Download ',' Reset ',' Tetep ',' Enter ']")</f>
        <v>['opened', 'the application', 'buy', 'card', 'Telkomsel', 'Download', 'Telkomsel', 'enter', 'application', 'screen', 'white', 'doang', ' Already ',' Try ',' Download ',' Reset ',' Tetep ',' Enter ']</v>
      </c>
      <c r="D21124" s="3">
        <v>1.0</v>
      </c>
    </row>
    <row r="21125" ht="15.75" customHeight="1">
      <c r="A21125" s="1">
        <v>22449.0</v>
      </c>
      <c r="B21125" s="3" t="s">
        <v>19959</v>
      </c>
      <c r="C21125" s="3" t="str">
        <f>IFERROR(__xludf.DUMMYFUNCTION("GOOGLETRANSLATE(B21125,""id"",""en"")"),"['Benerin', 'connection', 'oyy', 'quota', 'expensive', 'signal', 'minimal', 'fake', 'rating', 'maen', ""]")</f>
        <v>['Benerin', 'connection', 'oyy', 'quota', 'expensive', 'signal', 'minimal', 'fake', 'rating', 'maen', "]</v>
      </c>
      <c r="D21125" s="3">
        <v>1.0</v>
      </c>
    </row>
    <row r="21126" ht="15.75" customHeight="1">
      <c r="A21126" s="1">
        <v>22450.0</v>
      </c>
      <c r="B21126" s="3" t="s">
        <v>19960</v>
      </c>
      <c r="C21126" s="3" t="str">
        <f>IFERROR(__xludf.DUMMYFUNCTION("GOOGLETRANSLATE(B21126,""id"",""en"")"),"['', 'Love', 'Bitang', 'Tar', 'Klau', 'Good', 'Btang', '']")</f>
        <v>['', 'Love', 'Bitang', 'Tar', 'Klau', 'Good', 'Btang', '']</v>
      </c>
      <c r="D21126" s="3">
        <v>3.0</v>
      </c>
    </row>
    <row r="21127" ht="15.75" customHeight="1">
      <c r="A21127" s="1">
        <v>22451.0</v>
      </c>
      <c r="B21127" s="3" t="s">
        <v>19961</v>
      </c>
      <c r="C21127" s="3" t="str">
        <f>IFERROR(__xludf.DUMMYFUNCTION("GOOGLETRANSLATE(B21127,""id"",""en"")"),"['application', 'good', 'really', 'useful', '']")</f>
        <v>['application', 'good', 'really', 'useful', '']</v>
      </c>
      <c r="D21127" s="3">
        <v>5.0</v>
      </c>
    </row>
    <row r="21128" ht="15.75" customHeight="1">
      <c r="A21128" s="1">
        <v>22452.0</v>
      </c>
      <c r="B21128" s="3" t="s">
        <v>19962</v>
      </c>
      <c r="C21128" s="3" t="str">
        <f>IFERROR(__xludf.DUMMYFUNCTION("GOOGLETRANSLATE(B21128,""id"",""en"")"),"['hanging', 'fees', 'transfer', 'pulse', 'that's', 'think', 'transfer', 'pulse', 'sent']")</f>
        <v>['hanging', 'fees', 'transfer', 'pulse', 'that's', 'think', 'transfer', 'pulse', 'sent']</v>
      </c>
      <c r="D21128" s="3">
        <v>1.0</v>
      </c>
    </row>
    <row r="21129" ht="15.75" customHeight="1">
      <c r="A21129" s="1">
        <v>22453.0</v>
      </c>
      <c r="B21129" s="3" t="s">
        <v>19963</v>
      </c>
      <c r="C21129" s="3" t="str">
        <f>IFERROR(__xludf.DUMMYFUNCTION("GOOGLETRANSLATE(B21129,""id"",""en"")"),"['apk', 'bgus', 'bget']")</f>
        <v>['apk', 'bgus', 'bget']</v>
      </c>
      <c r="D21129" s="3">
        <v>5.0</v>
      </c>
    </row>
    <row r="21130" ht="15.75" customHeight="1">
      <c r="A21130" s="1">
        <v>22454.0</v>
      </c>
      <c r="B21130" s="3" t="s">
        <v>19964</v>
      </c>
      <c r="C21130" s="3" t="str">
        <f>IFERROR(__xludf.DUMMYFUNCTION("GOOGLETRANSLATE(B21130,""id"",""en"")"),"['Goodbangt', 'my APK']")</f>
        <v>['Goodbangt', 'my APK']</v>
      </c>
      <c r="D21130" s="3">
        <v>5.0</v>
      </c>
    </row>
    <row r="21131" ht="15.75" customHeight="1">
      <c r="A21131" s="1">
        <v>22455.0</v>
      </c>
      <c r="B21131" s="3" t="s">
        <v>19965</v>
      </c>
      <c r="C21131" s="3" t="str">
        <f>IFERROR(__xludf.DUMMYFUNCTION("GOOGLETRANSLATE(B21131,""id"",""en"")"),"['System', 'Operation', 'Update', 'Android', 'Application', 'Telkomsel', 'Install', '']")</f>
        <v>['System', 'Operation', 'Update', 'Android', 'Application', 'Telkomsel', 'Install', '']</v>
      </c>
      <c r="D21131" s="3">
        <v>4.0</v>
      </c>
    </row>
    <row r="21132" ht="15.75" customHeight="1">
      <c r="A21132" s="1">
        <v>22456.0</v>
      </c>
      <c r="B21132" s="3" t="s">
        <v>19966</v>
      </c>
      <c r="C21132" s="3" t="str">
        <f>IFERROR(__xludf.DUMMYFUNCTION("GOOGLETRANSLATE(B21132,""id"",""en"")"),"['application', 'difficult', 'opened', 'annoyed']")</f>
        <v>['application', 'difficult', 'opened', 'annoyed']</v>
      </c>
      <c r="D21132" s="3">
        <v>2.0</v>
      </c>
    </row>
    <row r="21133" ht="15.75" customHeight="1">
      <c r="A21133" s="1">
        <v>22457.0</v>
      </c>
      <c r="B21133" s="3" t="s">
        <v>19967</v>
      </c>
      <c r="C21133" s="3" t="str">
        <f>IFERROR(__xludf.DUMMYFUNCTION("GOOGLETRANSLATE(B21133,""id"",""en"")"),"['Application', 'makes it easy', 'information', 'surrounding', 'card', 'prepaid', 'Telkomsel']")</f>
        <v>['Application', 'makes it easy', 'information', 'surrounding', 'card', 'prepaid', 'Telkomsel']</v>
      </c>
      <c r="D21133" s="3">
        <v>4.0</v>
      </c>
    </row>
    <row r="21134" ht="15.75" customHeight="1">
      <c r="A21134" s="1">
        <v>22458.0</v>
      </c>
      <c r="B21134" s="3" t="s">
        <v>19968</v>
      </c>
      <c r="C21134" s="3" t="str">
        <f>IFERROR(__xludf.DUMMYFUNCTION("GOOGLETRANSLATE(B21134,""id"",""en"")"),"['The application', 'opened', 'closed', 'the application', 'UDH', 'a week', 'Maketin', 'Gara', 'application', 'PKET', 'expensive', 'auto', ' Change ',' card ',' ']")</f>
        <v>['The application', 'opened', 'closed', 'the application', 'UDH', 'a week', 'Maketin', 'Gara', 'application', 'PKET', 'expensive', 'auto', ' Change ',' card ',' ']</v>
      </c>
      <c r="D21134" s="3">
        <v>1.0</v>
      </c>
    </row>
    <row r="21135" ht="15.75" customHeight="1">
      <c r="A21135" s="1">
        <v>22459.0</v>
      </c>
      <c r="B21135" s="3" t="s">
        <v>19969</v>
      </c>
      <c r="C21135" s="3" t="str">
        <f>IFERROR(__xludf.DUMMYFUNCTION("GOOGLETRANSLATE(B21135,""id"",""en"")"),"['The application', 'opened', 'until', 'emotion']")</f>
        <v>['The application', 'opened', 'until', 'emotion']</v>
      </c>
      <c r="D21135" s="3">
        <v>1.0</v>
      </c>
    </row>
    <row r="21136" ht="15.75" customHeight="1">
      <c r="A21136" s="1">
        <v>22460.0</v>
      </c>
      <c r="B21136" s="3" t="s">
        <v>19970</v>
      </c>
      <c r="C21136" s="3" t="str">
        <f>IFERROR(__xludf.DUMMYFUNCTION("GOOGLETRANSLATE(B21136,""id"",""en"")"),"['Application', 'Telkomsel', 'missing', 'Install', 'reset', 'ngak', 'contact', 'where', '']")</f>
        <v>['Application', 'Telkomsel', 'missing', 'Install', 'reset', 'ngak', 'contact', 'where', '']</v>
      </c>
      <c r="D21136" s="3">
        <v>5.0</v>
      </c>
    </row>
    <row r="21137" ht="15.75" customHeight="1">
      <c r="A21137" s="1">
        <v>22462.0</v>
      </c>
      <c r="B21137" s="3" t="s">
        <v>19971</v>
      </c>
      <c r="C21137" s="3" t="str">
        <f>IFERROR(__xludf.DUMMYFUNCTION("GOOGLETRANSLATE(B21137,""id"",""en"")"),"['network', 'slow', 'price', 'package', 'expensive', 'accept', 'network', 'slow', 'operator', 'bad']")</f>
        <v>['network', 'slow', 'price', 'package', 'expensive', 'accept', 'network', 'slow', 'operator', 'bad']</v>
      </c>
      <c r="D21137" s="3">
        <v>1.0</v>
      </c>
    </row>
    <row r="21138" ht="15.75" customHeight="1">
      <c r="A21138" s="1">
        <v>22463.0</v>
      </c>
      <c r="B21138" s="3" t="s">
        <v>19972</v>
      </c>
      <c r="C21138" s="3" t="str">
        <f>IFERROR(__xludf.DUMMYFUNCTION("GOOGLETRANSLATE(B21138,""id"",""en"")"),"['programmer', 'abal', 'abal', 'open', 'the application', '']")</f>
        <v>['programmer', 'abal', 'abal', 'open', 'the application', '']</v>
      </c>
      <c r="D21138" s="3">
        <v>1.0</v>
      </c>
    </row>
    <row r="21139" ht="15.75" customHeight="1">
      <c r="A21139" s="1">
        <v>22464.0</v>
      </c>
      <c r="B21139" s="3" t="s">
        <v>19973</v>
      </c>
      <c r="C21139" s="3" t="str">
        <f>IFERROR(__xludf.DUMMYFUNCTION("GOOGLETRANSLATE(B21139,""id"",""en"")"),"['OII', 'Gabisa', 'opened', 'APK', 'Telkomsel', 'Heyyy', 'weehhh']")</f>
        <v>['OII', 'Gabisa', 'opened', 'APK', 'Telkomsel', 'Heyyy', 'weehhh']</v>
      </c>
      <c r="D21139" s="3">
        <v>1.0</v>
      </c>
    </row>
    <row r="21140" ht="15.75" customHeight="1">
      <c r="A21140" s="1">
        <v>22465.0</v>
      </c>
      <c r="B21140" s="3" t="s">
        <v>9821</v>
      </c>
      <c r="C21140" s="3" t="str">
        <f>IFERROR(__xludf.DUMMYFUNCTION("GOOGLETRANSLATE(B21140,""id"",""en"")"),"['slow connection']")</f>
        <v>['slow connection']</v>
      </c>
      <c r="D21140" s="3">
        <v>3.0</v>
      </c>
    </row>
    <row r="21141" ht="15.75" customHeight="1">
      <c r="A21141" s="1">
        <v>22466.0</v>
      </c>
      <c r="B21141" s="3" t="s">
        <v>19974</v>
      </c>
      <c r="C21141" s="3" t="str">
        <f>IFERROR(__xludf.DUMMYFUNCTION("GOOGLETRANSLATE(B21141,""id"",""en"")"),"['application', 'simple', 'accurate']")</f>
        <v>['application', 'simple', 'accurate']</v>
      </c>
      <c r="D21141" s="3">
        <v>5.0</v>
      </c>
    </row>
    <row r="21142" ht="15.75" customHeight="1">
      <c r="A21142" s="1">
        <v>22467.0</v>
      </c>
      <c r="B21142" s="3" t="s">
        <v>19975</v>
      </c>
      <c r="C21142" s="3" t="str">
        <f>IFERROR(__xludf.DUMMYFUNCTION("GOOGLETRANSLATE(B21142,""id"",""en"")"),"['Telkomsel', 'contents',' pulse ',' because ',' it's', 'already', 'grace', 'date', 'December', 'take', 'quota', 'combo', ' Sakti ',' GB ',' deliberate ',' pulses', 'run out', 'Sumpot', 'Sia', 'Manchester', 'Active', 'right', 'check', 'application', 'quot"&amp;"a' , 'What', 'active', 'quota', 'Yesterday', 'quota', 'sumps', 'quota', 'provider', ""]")</f>
        <v>['Telkomsel', 'contents',' pulse ',' because ',' it's', 'already', 'grace', 'date', 'December', 'take', 'quota', 'combo', ' Sakti ',' GB ',' deliberate ',' pulses', 'run out', 'Sumpot', 'Sia', 'Manchester', 'Active', 'right', 'check', 'application', 'quota' , 'What', 'active', 'quota', 'Yesterday', 'quota', 'sumps', 'quota', 'provider', "]</v>
      </c>
      <c r="D21142" s="3">
        <v>1.0</v>
      </c>
    </row>
    <row r="21143" ht="15.75" customHeight="1">
      <c r="A21143" s="1">
        <v>22468.0</v>
      </c>
      <c r="B21143" s="3" t="s">
        <v>19976</v>
      </c>
      <c r="C21143" s="3" t="str">
        <f>IFERROR(__xludf.DUMMYFUNCTION("GOOGLETRANSLATE(B21143,""id"",""en"")"),"['please', 'Telkom', 'pulse', 'run out', 'just', 'package', 'tariff', 'non', 'package', 'smpek', 'skrg', 'pulses',' Dri ',' please ',' Telkom ',' ']")</f>
        <v>['please', 'Telkom', 'pulse', 'run out', 'just', 'package', 'tariff', 'non', 'package', 'smpek', 'skrg', 'pulses',' Dri ',' please ',' Telkom ',' ']</v>
      </c>
      <c r="D21143" s="3">
        <v>1.0</v>
      </c>
    </row>
    <row r="21144" ht="15.75" customHeight="1">
      <c r="A21144" s="1">
        <v>22469.0</v>
      </c>
      <c r="B21144" s="3" t="s">
        <v>19977</v>
      </c>
      <c r="C21144" s="3" t="str">
        <f>IFERROR(__xludf.DUMMYFUNCTION("GOOGLETRANSLATE(B21144,""id"",""en"")"),"['Week', 'Application', 'Open', 'White', 'Screen', 'Clear', 'Cache', 'Install', 'White', 'Screen', 'Customer', 'Card', ' Hello ',' MiGi ',' Network ',' Card ',' Hello ',' Bad ',' Please ',' Fix ',' ']")</f>
        <v>['Week', 'Application', 'Open', 'White', 'Screen', 'Clear', 'Cache', 'Install', 'White', 'Screen', 'Customer', 'Card', ' Hello ',' MiGi ',' Network ',' Card ',' Hello ',' Bad ',' Please ',' Fix ',' ']</v>
      </c>
      <c r="D21144" s="3">
        <v>1.0</v>
      </c>
    </row>
    <row r="21145" ht="15.75" customHeight="1">
      <c r="A21145" s="1">
        <v>22470.0</v>
      </c>
      <c r="B21145" s="3" t="s">
        <v>19978</v>
      </c>
      <c r="C21145" s="3" t="str">
        <f>IFERROR(__xludf.DUMMYFUNCTION("GOOGLETRANSLATE(B21145,""id"",""en"")"),"['Application', 'opened', 'Open', 'White', 'Screen', 'already', 'Reinstall', 'White', 'Screen', ""]")</f>
        <v>['Application', 'opened', 'Open', 'White', 'Screen', 'already', 'Reinstall', 'White', 'Screen', "]</v>
      </c>
      <c r="D21145" s="3">
        <v>1.0</v>
      </c>
    </row>
    <row r="21146" ht="15.75" customHeight="1">
      <c r="A21146" s="1">
        <v>22471.0</v>
      </c>
      <c r="B21146" s="3" t="s">
        <v>859</v>
      </c>
      <c r="C21146" s="3" t="str">
        <f>IFERROR(__xludf.DUMMYFUNCTION("GOOGLETRANSLATE(B21146,""id"",""en"")"),"['help', '']")</f>
        <v>['help', '']</v>
      </c>
      <c r="D21146" s="3">
        <v>5.0</v>
      </c>
    </row>
    <row r="21147" ht="15.75" customHeight="1">
      <c r="A21147" s="1">
        <v>22472.0</v>
      </c>
      <c r="B21147" s="3" t="s">
        <v>19979</v>
      </c>
      <c r="C21147" s="3" t="str">
        <f>IFERROR(__xludf.DUMMYFUNCTION("GOOGLETRANSLATE(B21147,""id"",""en"")"),"['Increase', 'Tariff', 'Telkomsel', 'Mari', 'Switch', 'Provider', 'populat']")</f>
        <v>['Increase', 'Tariff', 'Telkomsel', 'Mari', 'Switch', 'Provider', 'populat']</v>
      </c>
      <c r="D21147" s="3">
        <v>1.0</v>
      </c>
    </row>
    <row r="21148" ht="15.75" customHeight="1">
      <c r="A21148" s="1">
        <v>22473.0</v>
      </c>
      <c r="B21148" s="3" t="s">
        <v>19980</v>
      </c>
      <c r="C21148" s="3" t="str">
        <f>IFERROR(__xludf.DUMMYFUNCTION("GOOGLETRANSLATE(B21148,""id"",""en"")"),"['no', 'login', 'failed', 'help', 'poor', 'no', 'bad', ""]")</f>
        <v>['no', 'login', 'failed', 'help', 'poor', 'no', 'bad', "]</v>
      </c>
      <c r="D21148" s="3">
        <v>1.0</v>
      </c>
    </row>
    <row r="21149" ht="15.75" customHeight="1">
      <c r="A21149" s="1">
        <v>22474.0</v>
      </c>
      <c r="B21149" s="3" t="s">
        <v>19981</v>
      </c>
      <c r="C21149" s="3" t="str">
        <f>IFERROR(__xludf.DUMMYFUNCTION("GOOGLETRANSLATE(B21149,""id"",""en"")"),"['years',' use ',' Telkomsel ',' may ',' here ',' ugly ',' spert ',' replace ',' provider ',' Telkomsel ',' display ',' already ',' Fill ',' pulses ',' bnyak ',' customers ',' disappointed ',' so, 'Telkomsel', ""]")</f>
        <v>['years',' use ',' Telkomsel ',' may ',' here ',' ugly ',' spert ',' replace ',' provider ',' Telkomsel ',' display ',' already ',' Fill ',' pulses ',' bnyak ',' customers ',' disappointed ',' so, 'Telkomsel', "]</v>
      </c>
      <c r="D21149" s="3">
        <v>1.0</v>
      </c>
    </row>
    <row r="21150" ht="15.75" customHeight="1">
      <c r="A21150" s="1">
        <v>22475.0</v>
      </c>
      <c r="B21150" s="3" t="s">
        <v>10718</v>
      </c>
      <c r="C21150" s="3" t="str">
        <f>IFERROR(__xludf.DUMMYFUNCTION("GOOGLETRANSLATE(B21150,""id"",""en"")"),"['expensive', 'slow', '']")</f>
        <v>['expensive', 'slow', '']</v>
      </c>
      <c r="D21150" s="3">
        <v>1.0</v>
      </c>
    </row>
    <row r="21151" ht="15.75" customHeight="1">
      <c r="A21151" s="1">
        <v>22476.0</v>
      </c>
      <c r="B21151" s="3" t="s">
        <v>19982</v>
      </c>
      <c r="C21151" s="3" t="str">
        <f>IFERROR(__xludf.DUMMYFUNCTION("GOOGLETRANSLATE(B21151,""id"",""en"")"),"['Nidak', 'Young', 'Download', 'Credit', 'Afternoon', 'RB', 'RB', 'Cause', 'Cause', 'Credit', 'Sya', 'Out', ' Didaga ',' Package ',' Credit ',' Buy ',' Call ',' Pulsayang ',' Out ',' ']")</f>
        <v>['Nidak', 'Young', 'Download', 'Credit', 'Afternoon', 'RB', 'RB', 'Cause', 'Cause', 'Credit', 'Sya', 'Out', ' Didaga ',' Package ',' Credit ',' Buy ',' Call ',' Pulsayang ',' Out ',' ']</v>
      </c>
      <c r="D21151" s="3">
        <v>5.0</v>
      </c>
    </row>
    <row r="21152" ht="15.75" customHeight="1">
      <c r="A21152" s="1">
        <v>22477.0</v>
      </c>
      <c r="B21152" s="3" t="s">
        <v>18641</v>
      </c>
      <c r="C21152" s="3" t="str">
        <f>IFERROR(__xludf.DUMMYFUNCTION("GOOGLETRANSLATE(B21152,""id"",""en"")"),"['Star', 'Talk', ""]")</f>
        <v>['Star', 'Talk', "]</v>
      </c>
      <c r="D21152" s="3">
        <v>4.0</v>
      </c>
    </row>
    <row r="21153" ht="15.75" customHeight="1">
      <c r="A21153" s="1">
        <v>22478.0</v>
      </c>
      <c r="B21153" s="3" t="s">
        <v>19983</v>
      </c>
      <c r="C21153" s="3" t="str">
        <f>IFERROR(__xludf.DUMMYFUNCTION("GOOGLETRANSLATE(B21153,""id"",""en"")"),"['Package', 'Package', 'Giga', 'Different', 'IN']")</f>
        <v>['Package', 'Package', 'Giga', 'Different', 'IN']</v>
      </c>
      <c r="D21153" s="3">
        <v>5.0</v>
      </c>
    </row>
    <row r="21154" ht="15.75" customHeight="1">
      <c r="A21154" s="1">
        <v>22479.0</v>
      </c>
      <c r="B21154" s="3" t="s">
        <v>19984</v>
      </c>
      <c r="C21154" s="3" t="str">
        <f>IFERROR(__xludf.DUMMYFUNCTION("GOOGLETRANSLATE(B21154,""id"",""en"")"),"['Application', 'application', 'idiot', 'disgust', 'tekkomsel']")</f>
        <v>['Application', 'application', 'idiot', 'disgust', 'tekkomsel']</v>
      </c>
      <c r="D21154" s="3">
        <v>1.0</v>
      </c>
    </row>
    <row r="21155" ht="15.75" customHeight="1">
      <c r="A21155" s="1">
        <v>22480.0</v>
      </c>
      <c r="B21155" s="3" t="s">
        <v>19985</v>
      </c>
      <c r="C21155" s="3" t="str">
        <f>IFERROR(__xludf.DUMMYFUNCTION("GOOGLETRANSLATE(B21155,""id"",""en"")"),"['Easy', 'heights', '']")</f>
        <v>['Easy', 'heights', '']</v>
      </c>
      <c r="D21155" s="3">
        <v>5.0</v>
      </c>
    </row>
    <row r="21156" ht="15.75" customHeight="1">
      <c r="A21156" s="1">
        <v>22481.0</v>
      </c>
      <c r="B21156" s="3" t="s">
        <v>19986</v>
      </c>
      <c r="C21156" s="3" t="str">
        <f>IFERROR(__xludf.DUMMYFUNCTION("GOOGLETRANSLATE(B21156,""id"",""en"")"),"['Increase', 'quality', 'promo']")</f>
        <v>['Increase', 'quality', 'promo']</v>
      </c>
      <c r="D21156" s="3">
        <v>4.0</v>
      </c>
    </row>
    <row r="21157" ht="15.75" customHeight="1">
      <c r="A21157" s="1">
        <v>22482.0</v>
      </c>
      <c r="B21157" s="3" t="s">
        <v>19987</v>
      </c>
      <c r="C21157" s="3" t="str">
        <f>IFERROR(__xludf.DUMMYFUNCTION("GOOGLETRANSLATE(B21157,""id"",""en"")"),"['Whitescreen', 'work', 'chaotic', 'bbrp', 'gini']")</f>
        <v>['Whitescreen', 'work', 'chaotic', 'bbrp', 'gini']</v>
      </c>
      <c r="D21157" s="3">
        <v>1.0</v>
      </c>
    </row>
    <row r="21158" ht="15.75" customHeight="1">
      <c r="A21158" s="1">
        <v>22483.0</v>
      </c>
      <c r="B21158" s="3" t="s">
        <v>19988</v>
      </c>
      <c r="C21158" s="3" t="str">
        <f>IFERROR(__xludf.DUMMYFUNCTION("GOOGLETRANSLATE(B21158,""id"",""en"")"),"['The application', 'difficult', 'open', 'error', 'heart', 'please', 'repair', 'system']")</f>
        <v>['The application', 'difficult', 'open', 'error', 'heart', 'please', 'repair', 'system']</v>
      </c>
      <c r="D21158" s="3">
        <v>2.0</v>
      </c>
    </row>
    <row r="21159" ht="15.75" customHeight="1">
      <c r="A21159" s="1">
        <v>22484.0</v>
      </c>
      <c r="B21159" s="3" t="s">
        <v>19989</v>
      </c>
      <c r="C21159" s="3" t="str">
        <f>IFERROR(__xludf.DUMMYFUNCTION("GOOGLETRANSLATE(B21159,""id"",""en"")"),"['Fraud', 'fighters',' Katakata ',' Internet ',' Internet ',' The rest ',' Dipake ',' Hooq ',' night ',' etc. ',' buy ',' package ',' Data ',' price ',' even ',' Fill ',' Pusla ',' Package ',' RB ',' Credit ',' Hope ',' Package ',' Out ',' Credit ',' Auto"&amp;"matic ' , 'Inedayed', 'hope', 'enter', 'hell', 'aminn']")</f>
        <v>['Fraud', 'fighters',' Katakata ',' Internet ',' Internet ',' The rest ',' Dipake ',' Hooq ',' night ',' etc. ',' buy ',' package ',' Data ',' price ',' even ',' Fill ',' Pusla ',' Package ',' RB ',' Credit ',' Hope ',' Package ',' Out ',' Credit ',' Automatic ' , 'Inedayed', 'hope', 'enter', 'hell', 'aminn']</v>
      </c>
      <c r="D21159" s="3">
        <v>1.0</v>
      </c>
    </row>
    <row r="21160" ht="15.75" customHeight="1">
      <c r="A21160" s="1">
        <v>22485.0</v>
      </c>
      <c r="B21160" s="3" t="s">
        <v>19990</v>
      </c>
      <c r="C21160" s="3" t="str">
        <f>IFERROR(__xludf.DUMMYFUNCTION("GOOGLETRANSLATE(B21160,""id"",""en"")"),"['apk', 'Gblok', 'Bukak', 'sruh', 'Install', 'reset', 'download', 'mlh', 'alternating', 'beyook']")</f>
        <v>['apk', 'Gblok', 'Bukak', 'sruh', 'Install', 'reset', 'download', 'mlh', 'alternating', 'beyook']</v>
      </c>
      <c r="D21160" s="3">
        <v>1.0</v>
      </c>
    </row>
    <row r="21161" ht="15.75" customHeight="1">
      <c r="A21161" s="1">
        <v>22486.0</v>
      </c>
      <c r="B21161" s="3" t="s">
        <v>19991</v>
      </c>
      <c r="C21161" s="3" t="str">
        <f>IFERROR(__xludf.DUMMYFUNCTION("GOOGLETRANSLATE(B21161,""id"",""en"")"),"['Bguss', 'Application', 'Nya', 'Makasii']")</f>
        <v>['Bguss', 'Application', 'Nya', 'Makasii']</v>
      </c>
      <c r="D21161" s="3">
        <v>5.0</v>
      </c>
    </row>
    <row r="21162" ht="15.75" customHeight="1">
      <c r="A21162" s="1">
        <v>22487.0</v>
      </c>
      <c r="B21162" s="3" t="s">
        <v>19992</v>
      </c>
      <c r="C21162" s="3" t="str">
        <f>IFERROR(__xludf.DUMMYFUNCTION("GOOGLETRANSLATE(B21162,""id"",""en"")"),"['Sunday', 'no', 'Open', 'Season', '']")</f>
        <v>['Sunday', 'no', 'Open', 'Season', '']</v>
      </c>
      <c r="D21162" s="3">
        <v>1.0</v>
      </c>
    </row>
    <row r="21163" ht="15.75" customHeight="1">
      <c r="A21163" s="1">
        <v>22488.0</v>
      </c>
      <c r="B21163" s="3" t="s">
        <v>19993</v>
      </c>
      <c r="C21163" s="3" t="str">
        <f>IFERROR(__xludf.DUMMYFUNCTION("GOOGLETRANSLATE(B21163,""id"",""en"")"),"['Lower', 'price', 'quota']")</f>
        <v>['Lower', 'price', 'quota']</v>
      </c>
      <c r="D21163" s="3">
        <v>3.0</v>
      </c>
    </row>
    <row r="21164" ht="15.75" customHeight="1">
      <c r="A21164" s="1">
        <v>22489.0</v>
      </c>
      <c r="B21164" s="3" t="s">
        <v>19994</v>
      </c>
      <c r="C21164" s="3" t="str">
        <f>IFERROR(__xludf.DUMMYFUNCTION("GOOGLETRANSLATE(B21164,""id"",""en"")"),"['buy', 'package', 'application']")</f>
        <v>['buy', 'package', 'application']</v>
      </c>
      <c r="D21164" s="3">
        <v>1.0</v>
      </c>
    </row>
    <row r="21165" ht="15.75" customHeight="1">
      <c r="A21165" s="1">
        <v>22490.0</v>
      </c>
      <c r="B21165" s="3" t="s">
        <v>19995</v>
      </c>
      <c r="C21165" s="3" t="str">
        <f>IFERROR(__xludf.DUMMYFUNCTION("GOOGLETRANSLATE(B21165,""id"",""en"")"),"['pulse', 'suck', 'yaa', 'package', 'a month', 'disappointed', 'bngt', 'rich', 'tuyul', 'pulse', 'yaaa']")</f>
        <v>['pulse', 'suck', 'yaa', 'package', 'a month', 'disappointed', 'bngt', 'rich', 'tuyul', 'pulse', 'yaaa']</v>
      </c>
      <c r="D21165" s="3">
        <v>2.0</v>
      </c>
    </row>
    <row r="21166" ht="15.75" customHeight="1">
      <c r="A21166" s="1">
        <v>22491.0</v>
      </c>
      <c r="B21166" s="3" t="s">
        <v>19996</v>
      </c>
      <c r="C21166" s="3" t="str">
        <f>IFERROR(__xludf.DUMMYFUNCTION("GOOGLETRANSLATE(B21166,""id"",""en"")"),"['Telkomsel', 'quota', 'data', 'Ministry of Religion', 'right', 'open', 'google', 'pulse', 'telkom', 'run out', ""]")</f>
        <v>['Telkomsel', 'quota', 'data', 'Ministry of Religion', 'right', 'open', 'google', 'pulse', 'telkom', 'run out', "]</v>
      </c>
      <c r="D21166" s="3">
        <v>1.0</v>
      </c>
    </row>
    <row r="21167" ht="15.75" customHeight="1">
      <c r="A21167" s="1">
        <v>22492.0</v>
      </c>
      <c r="B21167" s="3" t="s">
        <v>19997</v>
      </c>
      <c r="C21167" s="3" t="str">
        <f>IFERROR(__xludf.DUMMYFUNCTION("GOOGLETRANSLATE(B21167,""id"",""en"")"),"['quota', 'multimedia', 'game', 'ngk', 'used', 'untul', 'buy', 'mgk', 'telkomsel', 'bad', 'performance', 'all', ' people ',' complain ',' because ',' network ', ""]")</f>
        <v>['quota', 'multimedia', 'game', 'ngk', 'used', 'untul', 'buy', 'mgk', 'telkomsel', 'bad', 'performance', 'all', ' people ',' complain ',' because ',' network ', "]</v>
      </c>
      <c r="D21167" s="3">
        <v>1.0</v>
      </c>
    </row>
    <row r="21168" ht="15.75" customHeight="1">
      <c r="A21168" s="1">
        <v>22493.0</v>
      </c>
      <c r="B21168" s="3" t="s">
        <v>19998</v>
      </c>
      <c r="C21168" s="3" t="str">
        <f>IFERROR(__xludf.DUMMYFUNCTION("GOOGLETRANSLATE(B21168,""id"",""en"")"),"['Yesterday', 'buy', 'Package', 'UDH', 'Fill', 'Credit', 'Buy', 'Nambah', 'Kantel', 'Credit', 'Remnant', 'Suck', ' already ',' rich ',' government ',' right ',' org ',' poor ',' take ',' pdhl ',' quota ',' internal ',' GB ',' quota ',' unlimited ' , 'GB',"&amp;" 'mainya', 'just', 'Tiktok', 'Ama', 'SMS', 'quota', 'Jejek', 'signal', 'cmn', 'doang', 'herrrrrr']")</f>
        <v>['Yesterday', 'buy', 'Package', 'UDH', 'Fill', 'Credit', 'Buy', 'Nambah', 'Kantel', 'Credit', 'Remnant', 'Suck', ' already ',' rich ',' government ',' right ',' org ',' poor ',' take ',' pdhl ',' quota ',' internal ',' GB ',' quota ',' unlimited ' , 'GB', 'mainya', 'just', 'Tiktok', 'Ama', 'SMS', 'quota', 'Jejek', 'signal', 'cmn', 'doang', 'herrrrrr']</v>
      </c>
      <c r="D21168" s="3">
        <v>1.0</v>
      </c>
    </row>
    <row r="21169" ht="15.75" customHeight="1">
      <c r="A21169" s="1">
        <v>22494.0</v>
      </c>
      <c r="B21169" s="3" t="s">
        <v>19999</v>
      </c>
      <c r="C21169" s="3" t="str">
        <f>IFERROR(__xludf.DUMMYFUNCTION("GOOGLETRANSLATE(B21169,""id"",""en"")"),"['Telkomsel', 'card', 'expirability', 'doang', 'signal', 'slow', 'please', 'repaired', 'customer', 'blur', ""]")</f>
        <v>['Telkomsel', 'card', 'expirability', 'doang', 'signal', 'slow', 'please', 'repaired', 'customer', 'blur', "]</v>
      </c>
      <c r="D21169" s="3">
        <v>1.0</v>
      </c>
    </row>
    <row r="21170" ht="15.75" customHeight="1">
      <c r="A21170" s="1">
        <v>22495.0</v>
      </c>
      <c r="B21170" s="3" t="s">
        <v>20000</v>
      </c>
      <c r="C21170" s="3" t="str">
        <f>IFERROR(__xludf.DUMMYFUNCTION("GOOGLETRANSLATE(B21170,""id"",""en"")"),"['min', 'please', 'contents',' pulse ',' can ',' rb ',' quota ',' deliberate ',' kepet ',' telkomsel ',' just ',' kepet ',' Sempet ',' enter ',' directly ',' palingan ',' second ',' hurry ',' what ',' power ',' direct ',' notif ',' pulse ',' used ',' Sege"&amp;"rra ' , 'contents', 'pulses', 'outlets', 'closest', 'hmm', 'sad', 'min', '']")</f>
        <v>['min', 'please', 'contents',' pulse ',' can ',' rb ',' quota ',' deliberate ',' kepet ',' telkomsel ',' just ',' kepet ',' Sempet ',' enter ',' directly ',' palingan ',' second ',' hurry ',' what ',' power ',' direct ',' notif ',' pulse ',' used ',' Segerra ' , 'contents', 'pulses', 'outlets', 'closest', 'hmm', 'sad', 'min', '']</v>
      </c>
      <c r="D21170" s="3">
        <v>5.0</v>
      </c>
    </row>
    <row r="21171" ht="15.75" customHeight="1">
      <c r="A21171" s="1">
        <v>22496.0</v>
      </c>
      <c r="B21171" s="3" t="s">
        <v>20001</v>
      </c>
      <c r="C21171" s="3" t="str">
        <f>IFERROR(__xludf.DUMMYFUNCTION("GOOGLETRANSLATE(B21171,""id"",""en"")"),"['APK', 'expandable', 'package', 'internet', 'bought', 'omitted', 'package', 'internet', 'expensive', 'already', 'subscription', 'Telkomsel', ' Respect ',' Customer ',' Follow ',' Procedure ',' Sampe ',' Love ',' Assessment ',' Good ',' TPI ',' Service ',"&amp;"' Come ',' ugly ',' Change ' , 'star', '']")</f>
        <v>['APK', 'expandable', 'package', 'internet', 'bought', 'omitted', 'package', 'internet', 'expensive', 'already', 'subscription', 'Telkomsel', ' Respect ',' Customer ',' Follow ',' Procedure ',' Sampe ',' Love ',' Assessment ',' Good ',' TPI ',' Service ',' Come ',' ugly ',' Change ' , 'star', '']</v>
      </c>
      <c r="D21171" s="3">
        <v>3.0</v>
      </c>
    </row>
    <row r="21172" ht="15.75" customHeight="1">
      <c r="A21172" s="1">
        <v>22497.0</v>
      </c>
      <c r="B21172" s="3" t="s">
        <v>20002</v>
      </c>
      <c r="C21172" s="3" t="str">
        <f>IFERROR(__xludf.DUMMYFUNCTION("GOOGLETRANSLATE(B21172,""id"",""en"")"),"['buy', 'package', 'enter', 'enter']")</f>
        <v>['buy', 'package', 'enter', 'enter']</v>
      </c>
      <c r="D21172" s="3">
        <v>1.0</v>
      </c>
    </row>
    <row r="21173" ht="15.75" customHeight="1">
      <c r="A21173" s="1">
        <v>22498.0</v>
      </c>
      <c r="B21173" s="3" t="s">
        <v>20003</v>
      </c>
      <c r="C21173" s="3" t="str">
        <f>IFERROR(__xludf.DUMMYFUNCTION("GOOGLETRANSLATE(B21173,""id"",""en"")"),"['disturbance', '']")</f>
        <v>['disturbance', '']</v>
      </c>
      <c r="D21173" s="3">
        <v>1.0</v>
      </c>
    </row>
    <row r="21174" ht="15.75" customHeight="1">
      <c r="A21174" s="1">
        <v>22499.0</v>
      </c>
      <c r="B21174" s="3" t="s">
        <v>20004</v>
      </c>
      <c r="C21174" s="3" t="str">
        <f>IFERROR(__xludf.DUMMYFUNCTION("GOOGLETRANSLATE(B21174,""id"",""en"")"),"['steady', 'smooth', 'signal', 'strong']")</f>
        <v>['steady', 'smooth', 'signal', 'strong']</v>
      </c>
      <c r="D21174" s="3">
        <v>5.0</v>
      </c>
    </row>
    <row r="21175" ht="15.75" customHeight="1">
      <c r="A21175" s="1">
        <v>22500.0</v>
      </c>
      <c r="B21175" s="3" t="s">
        <v>20005</v>
      </c>
      <c r="C21175" s="3" t="str">
        <f>IFERROR(__xludf.DUMMYFUNCTION("GOOGLETRANSLATE(B21175,""id"",""en"")"),"['buy', 'quota', 'enter', 'loss', 'how', 'Telkomsel', 'bad', 'really', '']")</f>
        <v>['buy', 'quota', 'enter', 'loss', 'how', 'Telkomsel', 'bad', 'really', '']</v>
      </c>
      <c r="D21175" s="3">
        <v>1.0</v>
      </c>
    </row>
    <row r="21176" ht="15.75" customHeight="1">
      <c r="A21176" s="1">
        <v>22501.0</v>
      </c>
      <c r="B21176" s="3" t="s">
        <v>20006</v>
      </c>
      <c r="C21176" s="3" t="str">
        <f>IFERROR(__xludf.DUMMYFUNCTION("GOOGLETRANSLATE(B21176,""id"",""en"")"),"['update', 'application', 'login', 'error', 'regret', 'updated', '']")</f>
        <v>['update', 'application', 'login', 'error', 'regret', 'updated', '']</v>
      </c>
      <c r="D21176" s="3">
        <v>1.0</v>
      </c>
    </row>
    <row r="21177" ht="15.75" customHeight="1">
      <c r="A21177" s="1">
        <v>22503.0</v>
      </c>
      <c r="B21177" s="3" t="s">
        <v>20007</v>
      </c>
      <c r="C21177" s="3" t="str">
        <f>IFERROR(__xludf.DUMMYFUNCTION("GOOGLETRANSLATE(B21177,""id"",""en"")"),"['Help', 'promo', 'bnyk', 'cheap']")</f>
        <v>['Help', 'promo', 'bnyk', 'cheap']</v>
      </c>
      <c r="D21177" s="3">
        <v>5.0</v>
      </c>
    </row>
    <row r="21178" ht="15.75" customHeight="1">
      <c r="A21178" s="1">
        <v>22504.0</v>
      </c>
      <c r="B21178" s="3" t="s">
        <v>20008</v>
      </c>
      <c r="C21178" s="3" t="str">
        <f>IFERROR(__xludf.DUMMYFUNCTION("GOOGLETRANSLATE(B21178,""id"",""en"")"),"['Use', 'installed', 'reset', 'one', ""]")</f>
        <v>['Use', 'installed', 'reset', 'one', "]</v>
      </c>
      <c r="D21178" s="3">
        <v>1.0</v>
      </c>
    </row>
    <row r="21179" ht="15.75" customHeight="1">
      <c r="A21179" s="1">
        <v>22505.0</v>
      </c>
      <c r="B21179" s="3" t="s">
        <v>20009</v>
      </c>
      <c r="C21179" s="3" t="str">
        <f>IFERROR(__xludf.DUMMYFUNCTION("GOOGLETRANSLATE(B21179,""id"",""en"")"),"['What', 'contents',' quota ',' the application ',' open ',' already ',' expensive ',' pulse ',' ilang ',' please ',' Telkomsel ',' quota ',' run out ',' HAUUTO ',' quota ',' pulse ',' rugs', 'credit', 'rebu', 'fast', 'ilangnya', '']")</f>
        <v>['What', 'contents',' quota ',' the application ',' open ',' already ',' expensive ',' pulse ',' ilang ',' please ',' Telkomsel ',' quota ',' run out ',' HAUUTO ',' quota ',' pulse ',' rugs', 'credit', 'rebu', 'fast', 'ilangnya', '']</v>
      </c>
      <c r="D21179" s="3">
        <v>2.0</v>
      </c>
    </row>
    <row r="21180" ht="15.75" customHeight="1">
      <c r="A21180" s="1">
        <v>22506.0</v>
      </c>
      <c r="B21180" s="3" t="s">
        <v>20010</v>
      </c>
      <c r="C21180" s="3" t="str">
        <f>IFERROR(__xludf.DUMMYFUNCTION("GOOGLETRANSLATE(B21180,""id"",""en"")"),"['disappointed', 'application', 'open', 'already', 'update', 'poor']")</f>
        <v>['disappointed', 'application', 'open', 'already', 'update', 'poor']</v>
      </c>
      <c r="D21180" s="3">
        <v>1.0</v>
      </c>
    </row>
    <row r="21181" ht="15.75" customHeight="1">
      <c r="A21181" s="1">
        <v>22507.0</v>
      </c>
      <c r="B21181" s="3" t="s">
        <v>20011</v>
      </c>
      <c r="C21181" s="3" t="str">
        <f>IFERROR(__xludf.DUMMYFUNCTION("GOOGLETRANSLATE(B21181,""id"",""en"")"),"['network', 'internet', 'chaotic', 'smooth', 'plus',' sms', 'ads',' annoying ',' right ',' play ',' game ',' streaming ',' Online ',' Pay ',' Expensive ',' Bad ',' Quality ',' Big ',' Cap ',' Ngolah ',' Telkomsel ',' developing ',' forward ',' strange ','"&amp;" advanced ' , 'Forgot', 'BUMN', 'Pantesan', 'Wonder', '']")</f>
        <v>['network', 'internet', 'chaotic', 'smooth', 'plus',' sms', 'ads',' annoying ',' right ',' play ',' game ',' streaming ',' Online ',' Pay ',' Expensive ',' Bad ',' Quality ',' Big ',' Cap ',' Ngolah ',' Telkomsel ',' developing ',' forward ',' strange ',' advanced ' , 'Forgot', 'BUMN', 'Pantesan', 'Wonder', '']</v>
      </c>
      <c r="D21181" s="3">
        <v>1.0</v>
      </c>
    </row>
    <row r="21182" ht="15.75" customHeight="1">
      <c r="A21182" s="1">
        <v>22508.0</v>
      </c>
      <c r="B21182" s="3" t="s">
        <v>20012</v>
      </c>
      <c r="C21182" s="3" t="str">
        <f>IFERROR(__xludf.DUMMYFUNCTION("GOOGLETRANSLATE(B21182,""id"",""en"")"),"['activation', 'internet', 'really', 'minutes', 'pulse', 'buy', 'package', 'run out', 'piece', 'access', 'internet', 'non' package ',' request ',' wisdom ',' thank ',' thank ',' Not bad ',' pulses', 'ilang']")</f>
        <v>['activation', 'internet', 'really', 'minutes', 'pulse', 'buy', 'package', 'run out', 'piece', 'access', 'internet', 'non' package ',' request ',' wisdom ',' thank ',' thank ',' Not bad ',' pulses', 'ilang']</v>
      </c>
      <c r="D21182" s="3">
        <v>1.0</v>
      </c>
    </row>
    <row r="21183" ht="15.75" customHeight="1">
      <c r="A21183" s="1">
        <v>22510.0</v>
      </c>
      <c r="B21183" s="3" t="s">
        <v>20013</v>
      </c>
      <c r="C21183" s="3" t="str">
        <f>IFERROR(__xludf.DUMMYFUNCTION("GOOGLETRANSLATE(B21183,""id"",""en"")"),"['signal', 'Mekarjaya', 'Sumedang', 'Perum', 'Ibn', 'Sina', 'difficult', 'please', 'fix']")</f>
        <v>['signal', 'Mekarjaya', 'Sumedang', 'Perum', 'Ibn', 'Sina', 'difficult', 'please', 'fix']</v>
      </c>
      <c r="D21183" s="3">
        <v>1.0</v>
      </c>
    </row>
    <row r="21184" ht="15.75" customHeight="1">
      <c r="A21184" s="1">
        <v>22511.0</v>
      </c>
      <c r="B21184" s="3" t="s">
        <v>20014</v>
      </c>
      <c r="C21184" s="3" t="str">
        <f>IFERROR(__xludf.DUMMYFUNCTION("GOOGLETRANSLATE(B21184,""id"",""en"")"),"['Easy', 'buy', 'Package', 'Telkomsel']")</f>
        <v>['Easy', 'buy', 'Package', 'Telkomsel']</v>
      </c>
      <c r="D21184" s="3">
        <v>5.0</v>
      </c>
    </row>
    <row r="21185" ht="15.75" customHeight="1">
      <c r="A21185" s="1">
        <v>22512.0</v>
      </c>
      <c r="B21185" s="3" t="s">
        <v>20015</v>
      </c>
      <c r="C21185" s="3" t="str">
        <f>IFERROR(__xludf.DUMMYFUNCTION("GOOGLETRANSLATE(B21185,""id"",""en"")"),"['APL', 'Telkomsel', 'Daily', 'Check', 'Liat', 'Friend', 'YouTub', 'Daily', 'Check', '']")</f>
        <v>['APL', 'Telkomsel', 'Daily', 'Check', 'Liat', 'Friend', 'YouTub', 'Daily', 'Check', '']</v>
      </c>
      <c r="D21185" s="3">
        <v>4.0</v>
      </c>
    </row>
    <row r="21186" ht="15.75" customHeight="1">
      <c r="A21186" s="1">
        <v>22514.0</v>
      </c>
      <c r="B21186" s="3" t="s">
        <v>20016</v>
      </c>
      <c r="C21186" s="3" t="str">
        <f>IFERROR(__xludf.DUMMYFUNCTION("GOOGLETRANSLATE(B21186,""id"",""en"")"),"['Good', 'simple', 'fast']")</f>
        <v>['Good', 'simple', 'fast']</v>
      </c>
      <c r="D21186" s="3">
        <v>4.0</v>
      </c>
    </row>
    <row r="21187" ht="15.75" customHeight="1">
      <c r="A21187" s="1">
        <v>22515.0</v>
      </c>
      <c r="B21187" s="3" t="s">
        <v>20017</v>
      </c>
      <c r="C21187" s="3" t="str">
        <f>IFERROR(__xludf.DUMMYFUNCTION("GOOGLETRANSLATE(B21187,""id"",""en"")"),"['Telkomsel', 'ugly', 'service', 'network', 'full', 'bar', 'ngilan', 'blas',' stable ',' loss', 'user', 'expensive', ' Doang ',' Quality ',' Bad ']")</f>
        <v>['Telkomsel', 'ugly', 'service', 'network', 'full', 'bar', 'ngilan', 'blas',' stable ',' loss', 'user', 'expensive', ' Doang ',' Quality ',' Bad ']</v>
      </c>
      <c r="D21187" s="3">
        <v>1.0</v>
      </c>
    </row>
    <row r="21188" ht="15.75" customHeight="1">
      <c r="A21188" s="1">
        <v>22516.0</v>
      </c>
      <c r="B21188" s="3" t="s">
        <v>20018</v>
      </c>
      <c r="C21188" s="3" t="str">
        <f>IFERROR(__xludf.DUMMYFUNCTION("GOOGLETRANSLATE(B21188,""id"",""en"")"),"['application', 'error', 'error', 'system', 'here', 'bad', 'the application', 'already', 'uninstall', 'then', 'install', ""]")</f>
        <v>['application', 'error', 'error', 'system', 'here', 'bad', 'the application', 'already', 'uninstall', 'then', 'install', "]</v>
      </c>
      <c r="D21188" s="3">
        <v>5.0</v>
      </c>
    </row>
    <row r="21189" ht="15.75" customHeight="1">
      <c r="A21189" s="1">
        <v>22517.0</v>
      </c>
      <c r="B21189" s="3" t="s">
        <v>4750</v>
      </c>
      <c r="C21189" s="3" t="str">
        <f>IFERROR(__xludf.DUMMYFUNCTION("GOOGLETRANSLATE(B21189,""id"",""en"")"),"['The application', 'opened']")</f>
        <v>['The application', 'opened']</v>
      </c>
      <c r="D21189" s="3">
        <v>1.0</v>
      </c>
    </row>
    <row r="21190" ht="15.75" customHeight="1">
      <c r="A21190" s="1">
        <v>22518.0</v>
      </c>
      <c r="B21190" s="3" t="s">
        <v>20019</v>
      </c>
      <c r="C21190" s="3" t="str">
        <f>IFERROR(__xludf.DUMMYFUNCTION("GOOGLETRANSLATE(B21190,""id"",""en"")"),"['Open', 'Application', 'Lemot', 'White', 'Screen']")</f>
        <v>['Open', 'Application', 'Lemot', 'White', 'Screen']</v>
      </c>
      <c r="D21190" s="3">
        <v>1.0</v>
      </c>
    </row>
    <row r="21191" ht="15.75" customHeight="1">
      <c r="A21191" s="1">
        <v>22519.0</v>
      </c>
      <c r="B21191" s="3" t="s">
        <v>20020</v>
      </c>
      <c r="C21191" s="3" t="str">
        <f>IFERROR(__xludf.DUMMYFUNCTION("GOOGLETRANSLATE(B21191,""id"",""en"")"),"['Application', 'Slow', 'Open', 'APL', 'Stuck', '']")</f>
        <v>['Application', 'Slow', 'Open', 'APL', 'Stuck', '']</v>
      </c>
      <c r="D21191" s="3">
        <v>3.0</v>
      </c>
    </row>
    <row r="21192" ht="15.75" customHeight="1">
      <c r="A21192" s="1">
        <v>22520.0</v>
      </c>
      <c r="B21192" s="3" t="s">
        <v>20021</v>
      </c>
      <c r="C21192" s="3" t="str">
        <f>IFERROR(__xludf.DUMMYFUNCTION("GOOGLETRANSLATE(B21192,""id"",""en"")"),"['open', 'application', 'UDH', 'MGGU', 'open', 'see', 'control', 'quota', 'pulse', 'please', 'fix', '']")</f>
        <v>['open', 'application', 'UDH', 'MGGU', 'open', 'see', 'control', 'quota', 'pulse', 'please', 'fix', '']</v>
      </c>
      <c r="D21192" s="3">
        <v>1.0</v>
      </c>
    </row>
    <row r="21193" ht="15.75" customHeight="1">
      <c r="A21193" s="1">
        <v>22521.0</v>
      </c>
      <c r="B21193" s="3" t="s">
        <v>20022</v>
      </c>
      <c r="C21193" s="3" t="str">
        <f>IFERROR(__xludf.DUMMYFUNCTION("GOOGLETRANSLATE(B21193,""id"",""en"")"),"['branch', '']")</f>
        <v>['branch', '']</v>
      </c>
      <c r="D21193" s="3">
        <v>4.0</v>
      </c>
    </row>
    <row r="21194" ht="15.75" customHeight="1">
      <c r="A21194" s="1">
        <v>22522.0</v>
      </c>
      <c r="B21194" s="3" t="s">
        <v>20023</v>
      </c>
      <c r="C21194" s="3" t="str">
        <f>IFERROR(__xludf.DUMMYFUNCTION("GOOGLETRANSLATE(B21194,""id"",""en"")"),"['feature', 'dayli', 'chek', 'missing', 'do', 'update', 'continuous', 'Please', 'Telkomsel', 'fix', 'application']")</f>
        <v>['feature', 'dayli', 'chek', 'missing', 'do', 'update', 'continuous', 'Please', 'Telkomsel', 'fix', 'application']</v>
      </c>
      <c r="D21194" s="3">
        <v>1.0</v>
      </c>
    </row>
    <row r="21195" ht="15.75" customHeight="1">
      <c r="A21195" s="1">
        <v>22523.0</v>
      </c>
      <c r="B21195" s="3" t="s">
        <v>20024</v>
      </c>
      <c r="C21195" s="3" t="str">
        <f>IFERROR(__xludf.DUMMYFUNCTION("GOOGLETRANSLATE(B21195,""id"",""en"")"),"['Min', 'Knp', 'wanted', 'buy', 'package', 'price', 'trs',' balance ',' pulse ',' knp ',' gabisa ',' trs', ' "", 'pressing', 'Pay', 'Posts', 'Sorry', 'System', 'Disruption']")</f>
        <v>['Min', 'Knp', 'wanted', 'buy', 'package', 'price', 'trs',' balance ',' pulse ',' knp ',' gabisa ',' trs', ' ", 'pressing', 'Pay', 'Posts', 'Sorry', 'System', 'Disruption']</v>
      </c>
      <c r="D21195" s="3">
        <v>5.0</v>
      </c>
    </row>
    <row r="21196" ht="15.75" customHeight="1">
      <c r="A21196" s="1">
        <v>22524.0</v>
      </c>
      <c r="B21196" s="3" t="s">
        <v>20025</v>
      </c>
      <c r="C21196" s="3" t="str">
        <f>IFERROR(__xludf.DUMMYFUNCTION("GOOGLETRANSLATE(B21196,""id"",""en"")"),"['muter', 'apps', 'leave', 'times', '']")</f>
        <v>['muter', 'apps', 'leave', 'times', '']</v>
      </c>
      <c r="D21196" s="3">
        <v>1.0</v>
      </c>
    </row>
    <row r="21197" ht="15.75" customHeight="1">
      <c r="A21197" s="1">
        <v>22525.0</v>
      </c>
      <c r="B21197" s="3" t="s">
        <v>20026</v>
      </c>
      <c r="C21197" s="3" t="str">
        <f>IFERROR(__xludf.DUMMYFUNCTION("GOOGLETRANSLATE(B21197,""id"",""en"")"),"['Sip', 'App', 'Useful', '']")</f>
        <v>['Sip', 'App', 'Useful', '']</v>
      </c>
      <c r="D21197" s="3">
        <v>5.0</v>
      </c>
    </row>
    <row r="21198" ht="15.75" customHeight="1">
      <c r="A21198" s="1">
        <v>22526.0</v>
      </c>
      <c r="B21198" s="3" t="s">
        <v>2947</v>
      </c>
      <c r="C21198" s="3" t="str">
        <f>IFERROR(__xludf.DUMMYFUNCTION("GOOGLETRANSLATE(B21198,""id"",""en"")"),"['easy', 'cheap']")</f>
        <v>['easy', 'cheap']</v>
      </c>
      <c r="D21198" s="3">
        <v>5.0</v>
      </c>
    </row>
    <row r="21199" ht="15.75" customHeight="1">
      <c r="A21199" s="1">
        <v>22527.0</v>
      </c>
      <c r="B21199" s="3" t="s">
        <v>20027</v>
      </c>
      <c r="C21199" s="3" t="str">
        <f>IFERROR(__xludf.DUMMYFUNCTION("GOOGLETRANSLATE(B21199,""id"",""en"")"),"['Bethi', 'star', 'service', 'Telkomsel', '']")</f>
        <v>['Bethi', 'star', 'service', 'Telkomsel', '']</v>
      </c>
      <c r="D21199" s="3">
        <v>4.0</v>
      </c>
    </row>
    <row r="21200" ht="15.75" customHeight="1">
      <c r="A21200" s="1">
        <v>22528.0</v>
      </c>
      <c r="B21200" s="3" t="s">
        <v>20028</v>
      </c>
      <c r="C21200" s="3" t="str">
        <f>IFERROR(__xludf.DUMMYFUNCTION("GOOGLETRANSLATE(B21200,""id"",""en"")"),"['strange', 'stag', 'loading', 'doang', 'no', 'entry', 'already', 'download', 'no', 'open']")</f>
        <v>['strange', 'stag', 'loading', 'doang', 'no', 'entry', 'already', 'download', 'no', 'open']</v>
      </c>
      <c r="D21200" s="3">
        <v>1.0</v>
      </c>
    </row>
    <row r="21201" ht="15.75" customHeight="1">
      <c r="A21201" s="1">
        <v>22529.0</v>
      </c>
      <c r="B21201" s="3" t="s">
        <v>20029</v>
      </c>
      <c r="C21201" s="3" t="str">
        <f>IFERROR(__xludf.DUMMYFUNCTION("GOOGLETRANSLATE(B21201,""id"",""en"")"),"['card', 'sekrang', 'ahir', 'ahir', 'network', 'slow', 'padal', 'SLL', 'buy', 'packetan', 'slow', 'mercy', ' region ',' Ranggon ',' Ranggon ',' Defense ',' Card ',' Card ',' cellphone ',' price ',' CIM ',' price ',' thousand ',' empty ' , 'Blm', 'plz', 's"&amp;"tia', 'card', 'skrg', 'replace', 'cim', 'bad', 'service', 'jakarta', 'area', 'please', ' Fix ',' Service ',' Network ']")</f>
        <v>['card', 'sekrang', 'ahir', 'ahir', 'network', 'slow', 'padal', 'SLL', 'buy', 'packetan', 'slow', 'mercy', ' region ',' Ranggon ',' Ranggon ',' Defense ',' Card ',' Card ',' cellphone ',' price ',' CIM ',' price ',' thousand ',' empty ' , 'Blm', 'plz', 'stia', 'card', 'skrg', 'replace', 'cim', 'bad', 'service', 'jakarta', 'area', 'please', ' Fix ',' Service ',' Network ']</v>
      </c>
      <c r="D21201" s="3">
        <v>3.0</v>
      </c>
    </row>
    <row r="21202" ht="15.75" customHeight="1">
      <c r="A21202" s="1">
        <v>22530.0</v>
      </c>
      <c r="B21202" s="3" t="s">
        <v>20030</v>
      </c>
      <c r="C21202" s="3" t="str">
        <f>IFERROR(__xludf.DUMMYFUNCTION("GOOGLETRANSLATE(B21202,""id"",""en"")"),"['Package', 'combo', 'buy', 'buy', 'result', '']")</f>
        <v>['Package', 'combo', 'buy', 'buy', 'result', '']</v>
      </c>
      <c r="D21202" s="3">
        <v>1.0</v>
      </c>
    </row>
    <row r="21203" ht="15.75" customHeight="1">
      <c r="A21203" s="1">
        <v>22531.0</v>
      </c>
      <c r="B21203" s="3" t="s">
        <v>20031</v>
      </c>
      <c r="C21203" s="3" t="str">
        <f>IFERROR(__xludf.DUMMYFUNCTION("GOOGLETRANSLATE(B21203,""id"",""en"")"),"['Good', 'Paketan', 'Price', 'Diuruni', 'Yach', ""]")</f>
        <v>['Good', 'Paketan', 'Price', 'Diuruni', 'Yach', "]</v>
      </c>
      <c r="D21203" s="3">
        <v>5.0</v>
      </c>
    </row>
    <row r="21204" ht="15.75" customHeight="1">
      <c r="A21204" s="1">
        <v>22532.0</v>
      </c>
      <c r="B21204" s="3" t="s">
        <v>20032</v>
      </c>
      <c r="C21204" s="3" t="str">
        <f>IFERROR(__xludf.DUMMYFUNCTION("GOOGLETRANSLATE(B21204,""id"",""en"")"),"['Good', 'Satisfied', 'Application']")</f>
        <v>['Good', 'Satisfied', 'Application']</v>
      </c>
      <c r="D21204" s="3">
        <v>5.0</v>
      </c>
    </row>
    <row r="21205" ht="15.75" customHeight="1">
      <c r="A21205" s="1">
        <v>22533.0</v>
      </c>
      <c r="B21205" s="3" t="s">
        <v>3307</v>
      </c>
      <c r="C21205" s="3" t="str">
        <f>IFERROR(__xludf.DUMMYFUNCTION("GOOGLETRANSLATE(B21205,""id"",""en"")"),"['Application', 'Useful']")</f>
        <v>['Application', 'Useful']</v>
      </c>
      <c r="D21205" s="3">
        <v>1.0</v>
      </c>
    </row>
    <row r="21206" ht="15.75" customHeight="1">
      <c r="A21206" s="1">
        <v>22534.0</v>
      </c>
      <c r="B21206" s="3" t="s">
        <v>20033</v>
      </c>
      <c r="C21206" s="3" t="str">
        <f>IFERROR(__xludf.DUMMYFUNCTION("GOOGLETRANSLATE(B21206,""id"",""en"")"),"['Telkomsel', 'emang', 'good']")</f>
        <v>['Telkomsel', 'emang', 'good']</v>
      </c>
      <c r="D21206" s="3">
        <v>5.0</v>
      </c>
    </row>
    <row r="21207" ht="15.75" customHeight="1">
      <c r="A21207" s="1">
        <v>22535.0</v>
      </c>
      <c r="B21207" s="3" t="s">
        <v>20034</v>
      </c>
      <c r="C21207" s="3" t="str">
        <f>IFERROR(__xludf.DUMMYFUNCTION("GOOGLETRANSLATE(B21207,""id"",""en"")"),"['skrg', 'like', 'slow', 'signal', 'network', 'slow', 'access',' apalgi ',' right ',' weekend ',' open ',' sosmed ',' ']")</f>
        <v>['skrg', 'like', 'slow', 'signal', 'network', 'slow', 'access',' apalgi ',' right ',' weekend ',' open ',' sosmed ',' ']</v>
      </c>
      <c r="D21207" s="3">
        <v>4.0</v>
      </c>
    </row>
    <row r="21208" ht="15.75" customHeight="1">
      <c r="A21208" s="1">
        <v>22536.0</v>
      </c>
      <c r="B21208" s="3" t="s">
        <v>20035</v>
      </c>
      <c r="C21208" s="3" t="str">
        <f>IFERROR(__xludf.DUMMYFUNCTION("GOOGLETRANSLATE(B21208,""id"",""en"")"),"['buy', 'package', 'date', 'TPI', 'date', 'active', 'bln']")</f>
        <v>['buy', 'package', 'date', 'TPI', 'date', 'active', 'bln']</v>
      </c>
      <c r="D21208" s="3">
        <v>2.0</v>
      </c>
    </row>
    <row r="21209" ht="15.75" customHeight="1">
      <c r="A21209" s="1">
        <v>22537.0</v>
      </c>
      <c r="B21209" s="3" t="s">
        <v>20036</v>
      </c>
      <c r="C21209" s="3" t="str">
        <f>IFERROR(__xludf.DUMMYFUNCTION("GOOGLETRANSLATE(B21209,""id"",""en"")"),"['already', 'Login', 'Application', 'Link', 'SMS', 'Email', 'Telkomsel', ""]")</f>
        <v>['already', 'Login', 'Application', 'Link', 'SMS', 'Email', 'Telkomsel', "]</v>
      </c>
      <c r="D21209" s="3">
        <v>2.0</v>
      </c>
    </row>
    <row r="21210" ht="15.75" customHeight="1">
      <c r="A21210" s="1">
        <v>22538.0</v>
      </c>
      <c r="B21210" s="3" t="s">
        <v>20037</v>
      </c>
      <c r="C21210" s="3" t="str">
        <f>IFERROR(__xludf.DUMMYFUNCTION("GOOGLETRANSLATE(B21210,""id"",""en"")"),"['ugly', 'the application', 'enter', 'repeat', 'times', 'difficult', 'signal', 'lost', 'dead', 'electricity']")</f>
        <v>['ugly', 'the application', 'enter', 'repeat', 'times', 'difficult', 'signal', 'lost', 'dead', 'electricity']</v>
      </c>
      <c r="D21210" s="3">
        <v>1.0</v>
      </c>
    </row>
    <row r="21211" ht="15.75" customHeight="1">
      <c r="A21211" s="1">
        <v>22539.0</v>
      </c>
      <c r="B21211" s="3" t="s">
        <v>20038</v>
      </c>
      <c r="C21211" s="3" t="str">
        <f>IFERROR(__xludf.DUMMYFUNCTION("GOOGLETRANSLATE(B21211,""id"",""en"")"),"['application', 'good', 'bangetttttttt']")</f>
        <v>['application', 'good', 'bangetttttttt']</v>
      </c>
      <c r="D21211" s="3">
        <v>5.0</v>
      </c>
    </row>
    <row r="21212" ht="15.75" customHeight="1">
      <c r="A21212" s="1">
        <v>22540.0</v>
      </c>
      <c r="B21212" s="3" t="s">
        <v>20039</v>
      </c>
      <c r="C21212" s="3" t="str">
        <f>IFERROR(__xludf.DUMMYFUNCTION("GOOGLETRANSLATE(B21212,""id"",""en"")"),"['Login', 'This is', 'Close']")</f>
        <v>['Login', 'This is', 'Close']</v>
      </c>
      <c r="D21212" s="3">
        <v>1.0</v>
      </c>
    </row>
    <row r="21213" ht="15.75" customHeight="1">
      <c r="A21213" s="1">
        <v>22541.0</v>
      </c>
      <c r="B21213" s="3" t="s">
        <v>20040</v>
      </c>
      <c r="C21213" s="3" t="str">
        <f>IFERROR(__xludf.DUMMYFUNCTION("GOOGLETRANSLATE(B21213,""id"",""en"")"),"['Difficult', 'Loading', '']")</f>
        <v>['Difficult', 'Loading', '']</v>
      </c>
      <c r="D21213" s="3">
        <v>5.0</v>
      </c>
    </row>
    <row r="21214" ht="15.75" customHeight="1">
      <c r="A21214" s="1">
        <v>22542.0</v>
      </c>
      <c r="B21214" s="3" t="s">
        <v>20041</v>
      </c>
      <c r="C21214" s="3" t="str">
        <f>IFERROR(__xludf.DUMMYFUNCTION("GOOGLETRANSLATE(B21214,""id"",""en"")"),"['Easy', 'Purchase', 'Package', '']")</f>
        <v>['Easy', 'Purchase', 'Package', '']</v>
      </c>
      <c r="D21214" s="3">
        <v>5.0</v>
      </c>
    </row>
    <row r="21215" ht="15.75" customHeight="1">
      <c r="A21215" s="1">
        <v>22543.0</v>
      </c>
      <c r="B21215" s="3" t="s">
        <v>3507</v>
      </c>
      <c r="C21215" s="3" t="str">
        <f>IFERROR(__xludf.DUMMYFUNCTION("GOOGLETRANSLATE(B21215,""id"",""en"")"),"['like', 'application']")</f>
        <v>['like', 'application']</v>
      </c>
      <c r="D21215" s="3">
        <v>5.0</v>
      </c>
    </row>
    <row r="21216" ht="15.75" customHeight="1">
      <c r="A21216" s="1">
        <v>22545.0</v>
      </c>
      <c r="B21216" s="3" t="s">
        <v>20042</v>
      </c>
      <c r="C21216" s="3" t="str">
        <f>IFERROR(__xludf.DUMMYFUNCTION("GOOGLETRANSLATE(B21216,""id"",""en"")"),"['really', 'log', 'out', 'right', 'log', 'fail', 'for days', '']")</f>
        <v>['really', 'log', 'out', 'right', 'log', 'fail', 'for days', '']</v>
      </c>
      <c r="D21216" s="3">
        <v>2.0</v>
      </c>
    </row>
    <row r="21217" ht="15.75" customHeight="1">
      <c r="A21217" s="1">
        <v>22546.0</v>
      </c>
      <c r="B21217" s="3" t="s">
        <v>20043</v>
      </c>
      <c r="C21217" s="3" t="str">
        <f>IFERROR(__xludf.DUMMYFUNCTION("GOOGLETRANSLATE(B21217,""id"",""en"")"),"['Cheap', 'populyat', ""]")</f>
        <v>['Cheap', 'populyat', "]</v>
      </c>
      <c r="D21217" s="3">
        <v>5.0</v>
      </c>
    </row>
    <row r="21218" ht="15.75" customHeight="1">
      <c r="A21218" s="1">
        <v>22547.0</v>
      </c>
      <c r="B21218" s="3" t="s">
        <v>20044</v>
      </c>
      <c r="C21218" s="3" t="str">
        <f>IFERROR(__xludf.DUMMYFUNCTION("GOOGLETRANSLATE(B21218,""id"",""en"")"),"['Hopefully', 'Telkomsel', 'Leading']")</f>
        <v>['Hopefully', 'Telkomsel', 'Leading']</v>
      </c>
      <c r="D21218" s="3">
        <v>3.0</v>
      </c>
    </row>
    <row r="21219" ht="15.75" customHeight="1">
      <c r="A21219" s="1">
        <v>22548.0</v>
      </c>
      <c r="B21219" s="3" t="s">
        <v>20045</v>
      </c>
      <c r="C21219" s="3" t="str">
        <f>IFERROR(__xludf.DUMMYFUNCTION("GOOGLETRANSLATE(B21219,""id"",""en"")"),"['Edan', 'eling', 'expensive', 'poll']")</f>
        <v>['Edan', 'eling', 'expensive', 'poll']</v>
      </c>
      <c r="D21219" s="3">
        <v>2.0</v>
      </c>
    </row>
    <row r="21220" ht="15.75" customHeight="1">
      <c r="A21220" s="1">
        <v>22549.0</v>
      </c>
      <c r="B21220" s="3" t="s">
        <v>12229</v>
      </c>
      <c r="C21220" s="3" t="str">
        <f>IFERROR(__xludf.DUMMYFUNCTION("GOOGLETRANSLATE(B21220,""id"",""en"")"),"['Function']")</f>
        <v>['Function']</v>
      </c>
      <c r="D21220" s="3">
        <v>5.0</v>
      </c>
    </row>
    <row r="21221" ht="15.75" customHeight="1">
      <c r="A21221" s="1">
        <v>22550.0</v>
      </c>
      <c r="B21221" s="3" t="s">
        <v>20046</v>
      </c>
      <c r="C21221" s="3" t="str">
        <f>IFERROR(__xludf.DUMMYFUNCTION("GOOGLETRANSLATE(B21221,""id"",""en"")"),"['Network', 'Dipake', 'Game', 'lag', 'emng', 'garbage', 'Telkomsel']")</f>
        <v>['Network', 'Dipake', 'Game', 'lag', 'emng', 'garbage', 'Telkomsel']</v>
      </c>
      <c r="D21221" s="3">
        <v>1.0</v>
      </c>
    </row>
    <row r="21222" ht="15.75" customHeight="1">
      <c r="A21222" s="1">
        <v>22551.0</v>
      </c>
      <c r="B21222" s="3" t="s">
        <v>20047</v>
      </c>
      <c r="C21222" s="3" t="str">
        <f>IFERROR(__xludf.DUMMYFUNCTION("GOOGLETRANSLATE(B21222,""id"",""en"")"),"['The application', 'good', 'Neng', '']")</f>
        <v>['The application', 'good', 'Neng', '']</v>
      </c>
      <c r="D21222" s="3">
        <v>5.0</v>
      </c>
    </row>
    <row r="21223" ht="15.75" customHeight="1">
      <c r="A21223" s="1">
        <v>22552.0</v>
      </c>
      <c r="B21223" s="3" t="s">
        <v>20048</v>
      </c>
      <c r="C21223" s="3" t="str">
        <f>IFERROR(__xludf.DUMMYFUNCTION("GOOGLETRANSLATE(B21223,""id"",""en"")"),"['ugly', 'no', 'entered', 'information', 'opss', 'error', '']")</f>
        <v>['ugly', 'no', 'entered', 'information', 'opss', 'error', '']</v>
      </c>
      <c r="D21223" s="3">
        <v>1.0</v>
      </c>
    </row>
    <row r="21224" ht="15.75" customHeight="1">
      <c r="A21224" s="1">
        <v>22553.0</v>
      </c>
      <c r="B21224" s="3" t="s">
        <v>20049</v>
      </c>
      <c r="C21224" s="3" t="str">
        <f>IFERROR(__xludf.DUMMYFUNCTION("GOOGLETRANSLATE(B21224,""id"",""en"")"),"['regret', 'operator', 'Telkomsel', 'number', 'Indonesia', 'application', 'error', 'log', 'out', 'entry', 'difficult', 'play', ' Sorry ',' Just ',' Criticism ',' Hopefully ',' Happy ',' Fix ',' Severe ']")</f>
        <v>['regret', 'operator', 'Telkomsel', 'number', 'Indonesia', 'application', 'error', 'log', 'out', 'entry', 'difficult', 'play', ' Sorry ',' Just ',' Criticism ',' Hopefully ',' Happy ',' Fix ',' Severe ']</v>
      </c>
      <c r="D21224" s="3">
        <v>1.0</v>
      </c>
    </row>
    <row r="21225" ht="15.75" customHeight="1">
      <c r="A21225" s="1">
        <v>22554.0</v>
      </c>
      <c r="B21225" s="3" t="s">
        <v>20050</v>
      </c>
      <c r="C21225" s="3" t="str">
        <f>IFERROR(__xludf.DUMMYFUNCTION("GOOGLETRANSLATE(B21225,""id"",""en"")"),"['Transfer', 'pulse', 'rb', 'balance', 'rb', 'really', 'right', 'strange', 'here', 'really', 'beg', 'fix']")</f>
        <v>['Transfer', 'pulse', 'rb', 'balance', 'rb', 'really', 'right', 'strange', 'here', 'really', 'beg', 'fix']</v>
      </c>
      <c r="D21225" s="3">
        <v>1.0</v>
      </c>
    </row>
    <row r="21226" ht="15.75" customHeight="1">
      <c r="A21226" s="1">
        <v>22555.0</v>
      </c>
      <c r="B21226" s="3" t="s">
        <v>20051</v>
      </c>
      <c r="C21226" s="3" t="str">
        <f>IFERROR(__xludf.DUMMYFUNCTION("GOOGLETRANSLATE(B21226,""id"",""en"")"),"['Please', 'Application', 'After', 'Buy', 'Vocher', 'Video', 'Pas',' Confirm ',' Code ',' Purchase ',' code ',' Wrong ',' please ',' reply ',' fraud ',' name ']")</f>
        <v>['Please', 'Application', 'After', 'Buy', 'Vocher', 'Video', 'Pas',' Confirm ',' Code ',' Purchase ',' code ',' Wrong ',' please ',' reply ',' fraud ',' name ']</v>
      </c>
      <c r="D21226" s="3">
        <v>1.0</v>
      </c>
    </row>
    <row r="21227" ht="15.75" customHeight="1">
      <c r="A21227" s="1">
        <v>22556.0</v>
      </c>
      <c r="B21227" s="3" t="s">
        <v>2023</v>
      </c>
      <c r="C21227" s="3" t="str">
        <f>IFERROR(__xludf.DUMMYFUNCTION("GOOGLETRANSLATE(B21227,""id"",""en"")"),"['Open', 'The application', '']")</f>
        <v>['Open', 'The application', '']</v>
      </c>
      <c r="D21227" s="3">
        <v>1.0</v>
      </c>
    </row>
    <row r="21228" ht="15.75" customHeight="1">
      <c r="A21228" s="1">
        <v>22557.0</v>
      </c>
      <c r="B21228" s="3" t="s">
        <v>20052</v>
      </c>
      <c r="C21228" s="3" t="str">
        <f>IFERROR(__xludf.DUMMYFUNCTION("GOOGLETRANSLATE(B21228,""id"",""en"")"),"['Application', 'Open', 'Open', '']")</f>
        <v>['Application', 'Open', 'Open', '']</v>
      </c>
      <c r="D21228" s="3">
        <v>1.0</v>
      </c>
    </row>
    <row r="21229" ht="15.75" customHeight="1">
      <c r="A21229" s="1">
        <v>22558.0</v>
      </c>
      <c r="B21229" s="3" t="s">
        <v>20053</v>
      </c>
      <c r="C21229" s="3" t="str">
        <f>IFERROR(__xludf.DUMMYFUNCTION("GOOGLETRANSLATE(B21229,""id"",""en"")"),"['already', 'Telkomsel', 'access', 'right', 'opened', 'screen', 'white', 'disappointing', ""]")</f>
        <v>['already', 'Telkomsel', 'access', 'right', 'opened', 'screen', 'white', 'disappointing', "]</v>
      </c>
      <c r="D21229" s="3">
        <v>1.0</v>
      </c>
    </row>
    <row r="21230" ht="15.75" customHeight="1">
      <c r="A21230" s="1">
        <v>22559.0</v>
      </c>
      <c r="B21230" s="3" t="s">
        <v>20054</v>
      </c>
      <c r="C21230" s="3" t="str">
        <f>IFERROR(__xludf.DUMMYFUNCTION("GOOGLETRANSLATE(B21230,""id"",""en"")"),"['Easy', 'Ribet']")</f>
        <v>['Easy', 'Ribet']</v>
      </c>
      <c r="D21230" s="3">
        <v>5.0</v>
      </c>
    </row>
    <row r="21231" ht="15.75" customHeight="1">
      <c r="A21231" s="1">
        <v>22560.0</v>
      </c>
      <c r="B21231" s="3" t="s">
        <v>20055</v>
      </c>
      <c r="C21231" s="3" t="str">
        <f>IFERROR(__xludf.DUMMYFUNCTION("GOOGLETRANSLATE(B21231,""id"",""en"")"),"['', 'Telkomsel', 'smg', 'network', 'in the future', 'lbh', 'good', '']")</f>
        <v>['', 'Telkomsel', 'smg', 'network', 'in the future', 'lbh', 'good', '']</v>
      </c>
      <c r="D21231" s="3">
        <v>5.0</v>
      </c>
    </row>
    <row r="21232" ht="15.75" customHeight="1">
      <c r="A21232" s="1">
        <v>22561.0</v>
      </c>
      <c r="B21232" s="3" t="s">
        <v>20056</v>
      </c>
      <c r="C21232" s="3" t="str">
        <f>IFERROR(__xludf.DUMMYFUNCTION("GOOGLETRANSLATE(B21232,""id"",""en"")"),"['The application', 'ugly', 'update', 'difficult', 'login', 'the application']")</f>
        <v>['The application', 'ugly', 'update', 'difficult', 'login', 'the application']</v>
      </c>
      <c r="D21232" s="3">
        <v>1.0</v>
      </c>
    </row>
    <row r="21233" ht="15.75" customHeight="1">
      <c r="A21233" s="1">
        <v>22563.0</v>
      </c>
      <c r="B21233" s="3" t="s">
        <v>20057</v>
      </c>
      <c r="C21233" s="3" t="str">
        <f>IFERROR(__xludf.DUMMYFUNCTION("GOOGLETRANSLATE(B21233,""id"",""en"")"),"['Application', 'classmates', 'Telkomsel', 'error', 'get away', '']")</f>
        <v>['Application', 'classmates', 'Telkomsel', 'error', 'get away', '']</v>
      </c>
      <c r="D21233" s="3">
        <v>1.0</v>
      </c>
    </row>
    <row r="21234" ht="15.75" customHeight="1">
      <c r="A21234" s="1">
        <v>22564.0</v>
      </c>
      <c r="B21234" s="3" t="s">
        <v>20058</v>
      </c>
      <c r="C21234" s="3" t="str">
        <f>IFERROR(__xludf.DUMMYFUNCTION("GOOGLETRANSLATE(B21234,""id"",""en"")"),"['A Week', 'White', 'Screen', 'Login', 'Complaints',' Reviews', 'Bad', 'Update', 'Forced', 'Uninstall', 'Sampe', 'Review', ' ']")</f>
        <v>['A Week', 'White', 'Screen', 'Login', 'Complaints',' Reviews', 'Bad', 'Update', 'Forced', 'Uninstall', 'Sampe', 'Review', ' ']</v>
      </c>
      <c r="D21234" s="3">
        <v>1.0</v>
      </c>
    </row>
    <row r="21235" ht="15.75" customHeight="1">
      <c r="A21235" s="1">
        <v>22565.0</v>
      </c>
      <c r="B21235" s="3" t="s">
        <v>20059</v>
      </c>
      <c r="C21235" s="3" t="str">
        <f>IFERROR(__xludf.DUMMYFUNCTION("GOOGLETRANSLATE(B21235,""id"",""en"")"),"['Network', 'ilang', 'connection', 'trs', 'afternoon', 'until', 'night', 'Lok', 'jakarta', 'west']")</f>
        <v>['Network', 'ilang', 'connection', 'trs', 'afternoon', 'until', 'night', 'Lok', 'jakarta', 'west']</v>
      </c>
      <c r="D21235" s="3">
        <v>3.0</v>
      </c>
    </row>
    <row r="21236" ht="15.75" customHeight="1">
      <c r="A21236" s="1">
        <v>22566.0</v>
      </c>
      <c r="B21236" s="3" t="s">
        <v>20060</v>
      </c>
      <c r="C21236" s="3" t="str">
        <f>IFERROR(__xludf.DUMMYFUNCTION("GOOGLETRANSLATE(B21236,""id"",""en"")"),"['emang', 'APK', 'open', 'signal', 'provider', 'how', 'buy', 'quota', 'open', 'idiot']")</f>
        <v>['emang', 'APK', 'open', 'signal', 'provider', 'how', 'buy', 'quota', 'open', 'idiot']</v>
      </c>
      <c r="D21236" s="3">
        <v>1.0</v>
      </c>
    </row>
    <row r="21237" ht="15.75" customHeight="1">
      <c r="A21237" s="1">
        <v>22568.0</v>
      </c>
      <c r="B21237" s="3" t="s">
        <v>20061</v>
      </c>
      <c r="C21237" s="3" t="str">
        <f>IFERROR(__xludf.DUMMYFUNCTION("GOOGLETRANSLATE(B21237,""id"",""en"")"),"['Telkomsel', 'love', 'cloudy', 'little', 'slow', 'mnta', 'forgiveness',' rain ',' MuterRr ',' connects', 'strange', 'network', ' Telkomsel ',' tea ',' price ',' expensive ',' neighbors', 'please', 'donk', 'network', 'fix', 'greetings',' java ',' west ']")</f>
        <v>['Telkomsel', 'love', 'cloudy', 'little', 'slow', 'mnta', 'forgiveness',' rain ',' MuterRr ',' connects', 'strange', 'network', ' Telkomsel ',' tea ',' price ',' expensive ',' neighbors', 'please', 'donk', 'network', 'fix', 'greetings',' java ',' west ']</v>
      </c>
      <c r="D21237" s="3">
        <v>1.0</v>
      </c>
    </row>
    <row r="21238" ht="15.75" customHeight="1">
      <c r="A21238" s="1">
        <v>22569.0</v>
      </c>
      <c r="B21238" s="3" t="s">
        <v>20062</v>
      </c>
      <c r="C21238" s="3" t="str">
        <f>IFERROR(__xludf.DUMMYFUNCTION("GOOGLETRANSLATE(B21238,""id"",""en"")"),"['Open', 'Application', 'Telkomsel', 'Heavy', 'Lalod', '']")</f>
        <v>['Open', 'Application', 'Telkomsel', 'Heavy', 'Lalod', '']</v>
      </c>
      <c r="D21238" s="3">
        <v>2.0</v>
      </c>
    </row>
    <row r="21239" ht="15.75" customHeight="1">
      <c r="A21239" s="1">
        <v>22570.0</v>
      </c>
      <c r="B21239" s="3" t="s">
        <v>20063</v>
      </c>
      <c r="C21239" s="3" t="str">
        <f>IFERROR(__xludf.DUMMYFUNCTION("GOOGLETRANSLATE(B21239,""id"",""en"")"),"['Out', 'Update', 'Open', 'Application', 'Service', 'Telkomsel', 'CaCD']")</f>
        <v>['Out', 'Update', 'Open', 'Application', 'Service', 'Telkomsel', 'CaCD']</v>
      </c>
      <c r="D21239" s="3">
        <v>1.0</v>
      </c>
    </row>
    <row r="21240" ht="15.75" customHeight="1">
      <c r="A21240" s="1">
        <v>22571.0</v>
      </c>
      <c r="B21240" s="3" t="s">
        <v>20064</v>
      </c>
      <c r="C21240" s="3" t="str">
        <f>IFERROR(__xludf.DUMMYFUNCTION("GOOGLETRANSLATE(B21240,""id"",""en"")"),"['Manatap', 'tapingak', 'TOP', 'GAM']")</f>
        <v>['Manatap', 'tapingak', 'TOP', 'GAM']</v>
      </c>
      <c r="D21240" s="3">
        <v>5.0</v>
      </c>
    </row>
    <row r="21241" ht="15.75" customHeight="1">
      <c r="A21241" s="1">
        <v>22572.0</v>
      </c>
      <c r="B21241" s="3" t="s">
        <v>20065</v>
      </c>
      <c r="C21241" s="3" t="str">
        <f>IFERROR(__xludf.DUMMYFUNCTION("GOOGLETRANSLATE(B21241,""id"",""en"")"),"['Application', 'Pakek', 'date', 'November', 'Sampek', 'December', 'pleasegggh']")</f>
        <v>['Application', 'Pakek', 'date', 'November', 'Sampek', 'December', 'pleasegggh']</v>
      </c>
      <c r="D21241" s="3">
        <v>1.0</v>
      </c>
    </row>
    <row r="21242" ht="15.75" customHeight="1">
      <c r="A21242" s="1">
        <v>22573.0</v>
      </c>
      <c r="B21242" s="3" t="s">
        <v>20066</v>
      </c>
      <c r="C21242" s="3" t="str">
        <f>IFERROR(__xludf.DUMMYFUNCTION("GOOGLETRANSLATE(B21242,""id"",""en"")"),"['easy', 'no', 'ribet']")</f>
        <v>['easy', 'no', 'ribet']</v>
      </c>
      <c r="D21242" s="3">
        <v>5.0</v>
      </c>
    </row>
    <row r="21243" ht="15.75" customHeight="1">
      <c r="A21243" s="1">
        <v>22574.0</v>
      </c>
      <c r="B21243" s="3" t="s">
        <v>180</v>
      </c>
      <c r="C21243" s="3" t="str">
        <f>IFERROR(__xludf.DUMMYFUNCTION("GOOGLETRANSLATE(B21243,""id"",""en"")"),"['hopefully']")</f>
        <v>['hopefully']</v>
      </c>
      <c r="D21243" s="3">
        <v>5.0</v>
      </c>
    </row>
    <row r="21244" ht="15.75" customHeight="1">
      <c r="A21244" s="1">
        <v>22575.0</v>
      </c>
      <c r="B21244" s="3" t="s">
        <v>20067</v>
      </c>
      <c r="C21244" s="3" t="str">
        <f>IFERROR(__xludf.DUMMYFUNCTION("GOOGLETRANSLATE(B21244,""id"",""en"")"),"['steady', 'easy', 'use', '']")</f>
        <v>['steady', 'easy', 'use', '']</v>
      </c>
      <c r="D21244" s="3">
        <v>5.0</v>
      </c>
    </row>
    <row r="21245" ht="15.75" customHeight="1">
      <c r="A21245" s="1">
        <v>22576.0</v>
      </c>
      <c r="B21245" s="3" t="s">
        <v>20068</v>
      </c>
      <c r="C21245" s="3" t="str">
        <f>IFERROR(__xludf.DUMMYFUNCTION("GOOGLETRANSLATE(B21245,""id"",""en"")"),"['signal', 'might', 'difficult']")</f>
        <v>['signal', 'might', 'difficult']</v>
      </c>
      <c r="D21245" s="3">
        <v>2.0</v>
      </c>
    </row>
    <row r="21246" ht="15.75" customHeight="1">
      <c r="A21246" s="1">
        <v>22577.0</v>
      </c>
      <c r="B21246" s="3" t="s">
        <v>20069</v>
      </c>
      <c r="C21246" s="3" t="str">
        <f>IFERROR(__xludf.DUMMYFUNCTION("GOOGLETRANSLATE(B21246,""id"",""en"")"),"['Help', 'Bangett', 'Love', 'Bintang', '']")</f>
        <v>['Help', 'Bangett', 'Love', 'Bintang', '']</v>
      </c>
      <c r="D21246" s="3">
        <v>5.0</v>
      </c>
    </row>
    <row r="21247" ht="15.75" customHeight="1">
      <c r="A21247" s="1">
        <v>22578.0</v>
      </c>
      <c r="B21247" s="3" t="s">
        <v>20070</v>
      </c>
      <c r="C21247" s="3" t="str">
        <f>IFERROR(__xludf.DUMMYFUNCTION("GOOGLETRANSLATE(B21247,""id"",""en"")"),"['Koutaa', 'internet', 'truncated', 'pulses', 'how', 'Telkomsel', 'disappointed']")</f>
        <v>['Koutaa', 'internet', 'truncated', 'pulses', 'how', 'Telkomsel', 'disappointed']</v>
      </c>
      <c r="D21247" s="3">
        <v>2.0</v>
      </c>
    </row>
    <row r="21248" ht="15.75" customHeight="1">
      <c r="A21248" s="1">
        <v>22579.0</v>
      </c>
      <c r="B21248" s="3" t="s">
        <v>20071</v>
      </c>
      <c r="C21248" s="3" t="str">
        <f>IFERROR(__xludf.DUMMYFUNCTION("GOOGLETRANSLATE(B21248,""id"",""en"")"),"['really', 'NDA', 'Login', 'Verification', 'Mulu', 'Failed', 'Select', 'Login', 'Method', 'Nda', 'Want', 'Please', ' Repaired ',' thank ',' love ',' ']")</f>
        <v>['really', 'NDA', 'Login', 'Verification', 'Mulu', 'Failed', 'Select', 'Login', 'Method', 'Nda', 'Want', 'Please', ' Repaired ',' thank ',' love ',' ']</v>
      </c>
      <c r="D21248" s="3">
        <v>1.0</v>
      </c>
    </row>
    <row r="21249" ht="15.75" customHeight="1">
      <c r="A21249" s="1">
        <v>22580.0</v>
      </c>
      <c r="B21249" s="3" t="s">
        <v>20072</v>
      </c>
      <c r="C21249" s="3" t="str">
        <f>IFERROR(__xludf.DUMMYFUNCTION("GOOGLETRANSLATE(B21249,""id"",""en"")"),"['Service', 'complete']")</f>
        <v>['Service', 'complete']</v>
      </c>
      <c r="D21249" s="3">
        <v>5.0</v>
      </c>
    </row>
    <row r="21250" ht="15.75" customHeight="1">
      <c r="A21250" s="1">
        <v>22581.0</v>
      </c>
      <c r="B21250" s="3" t="s">
        <v>20073</v>
      </c>
      <c r="C21250" s="3" t="str">
        <f>IFERROR(__xludf.DUMMYFUNCTION("GOOGLETRANSLATE(B21250,""id"",""en"")"),"['communication', 'Jangakaun', 'broad', 'signal', 'strong', 'as often as',' promo ',' quota ',' price ',' cheap ',' God willing ',' God ',' Consumers', 'increases',' Amin ', ""]")</f>
        <v>['communication', 'Jangakaun', 'broad', 'signal', 'strong', 'as often as',' promo ',' quota ',' price ',' cheap ',' God willing ',' God ',' Consumers', 'increases',' Amin ', "]</v>
      </c>
      <c r="D21250" s="3">
        <v>4.0</v>
      </c>
    </row>
    <row r="21251" ht="15.75" customHeight="1">
      <c r="A21251" s="1">
        <v>22582.0</v>
      </c>
      <c r="B21251" s="3" t="s">
        <v>20074</v>
      </c>
      <c r="C21251" s="3" t="str">
        <f>IFERROR(__xludf.DUMMYFUNCTION("GOOGLETRANSLATE(B21251,""id"",""en"")"),"['Severe', 'Men', 'APK', 'How', 'mAh', 'contents',' Kouta ',' Telkomsel ',' promotion ',' doang ',' Benerin ',' APK ',' critical']")</f>
        <v>['Severe', 'Men', 'APK', 'How', 'mAh', 'contents',' Kouta ',' Telkomsel ',' promotion ',' doang ',' Benerin ',' APK ',' critical']</v>
      </c>
      <c r="D21251" s="3">
        <v>1.0</v>
      </c>
    </row>
    <row r="21252" ht="15.75" customHeight="1">
      <c r="A21252" s="1">
        <v>22583.0</v>
      </c>
      <c r="B21252" s="3" t="s">
        <v>20075</v>
      </c>
      <c r="C21252" s="3" t="str">
        <f>IFERROR(__xludf.DUMMYFUNCTION("GOOGLETRANSLATE(B21252,""id"",""en"")"),"['Good', 'skali', 'stabilized', 'network', 'sometimes', 'game', 'likes', 'road', 'area', 'bandung', 'west']")</f>
        <v>['Good', 'skali', 'stabilized', 'network', 'sometimes', 'game', 'likes', 'road', 'area', 'bandung', 'west']</v>
      </c>
      <c r="D21252" s="3">
        <v>5.0</v>
      </c>
    </row>
    <row r="21253" ht="15.75" customHeight="1">
      <c r="A21253" s="1">
        <v>22584.0</v>
      </c>
      <c r="B21253" s="3" t="s">
        <v>20076</v>
      </c>
      <c r="C21253" s="3" t="str">
        <f>IFERROR(__xludf.DUMMYFUNCTION("GOOGLETRANSLATE(B21253,""id"",""en"")"),"['Jaya', 'Trus', 'Telkomsel']")</f>
        <v>['Jaya', 'Trus', 'Telkomsel']</v>
      </c>
      <c r="D21253" s="3">
        <v>5.0</v>
      </c>
    </row>
    <row r="21254" ht="15.75" customHeight="1">
      <c r="A21254" s="1">
        <v>22585.0</v>
      </c>
      <c r="B21254" s="3" t="s">
        <v>20077</v>
      </c>
      <c r="C21254" s="3" t="str">
        <f>IFERROR(__xludf.DUMMYFUNCTION("GOOGLETRANSLATE(B21254,""id"",""en"")"),"['quality', 'application', 'bad', 'blank', 'difficult', 'entry', 'error', '']")</f>
        <v>['quality', 'application', 'bad', 'blank', 'difficult', 'entry', 'error', '']</v>
      </c>
      <c r="D21254" s="3">
        <v>1.0</v>
      </c>
    </row>
    <row r="21255" ht="15.75" customHeight="1">
      <c r="A21255" s="1">
        <v>22586.0</v>
      </c>
      <c r="B21255" s="3" t="s">
        <v>20078</v>
      </c>
      <c r="C21255" s="3" t="str">
        <f>IFERROR(__xludf.DUMMYFUNCTION("GOOGLETRANSLATE(B21255,""id"",""en"")"),"['pulse', 'contents',' ad ',' need ',' quota ',' quota ',' GB ',' HR ',' RB ',' RB ',' buy ',' reply ',' SMS ',' check ',' Tsel ',' hm ',' promo ',' des', 'sms',' package ',' worth ',' thousand ',' check ',' pulse ',' reduced ' , 'worth', 'confused', 'bel"&amp;"ieve', 'sms',' purchase ',' fail ',' make sure ',' pulse ',' purchase ',' type ',' send ',' check ',' repeat purchase']")</f>
        <v>['pulse', 'contents',' ad ',' need ',' quota ',' quota ',' GB ',' HR ',' RB ',' RB ',' buy ',' reply ',' SMS ',' check ',' Tsel ',' hm ',' promo ',' des', 'sms',' package ',' worth ',' thousand ',' check ',' pulse ',' reduced ' , 'worth', 'confused', 'believe', 'sms',' purchase ',' fail ',' make sure ',' pulse ',' purchase ',' type ',' send ',' check ',' repeat purchase']</v>
      </c>
      <c r="D21255" s="3">
        <v>1.0</v>
      </c>
    </row>
    <row r="21256" ht="15.75" customHeight="1">
      <c r="A21256" s="1">
        <v>22587.0</v>
      </c>
      <c r="B21256" s="3" t="s">
        <v>20079</v>
      </c>
      <c r="C21256" s="3" t="str">
        <f>IFERROR(__xludf.DUMMYFUNCTION("GOOGLETRANSLATE(B21256,""id"",""en"")"),"['Males', 'Bngt', 'Login', 'TRS', 'White', 'Screen', ""]")</f>
        <v>['Males', 'Bngt', 'Login', 'TRS', 'White', 'Screen', "]</v>
      </c>
      <c r="D21256" s="3">
        <v>1.0</v>
      </c>
    </row>
    <row r="21257" ht="15.75" customHeight="1">
      <c r="A21257" s="1">
        <v>22588.0</v>
      </c>
      <c r="B21257" s="3" t="s">
        <v>20054</v>
      </c>
      <c r="C21257" s="3" t="str">
        <f>IFERROR(__xludf.DUMMYFUNCTION("GOOGLETRANSLATE(B21257,""id"",""en"")"),"['Easy', 'Ribet']")</f>
        <v>['Easy', 'Ribet']</v>
      </c>
      <c r="D21257" s="3">
        <v>5.0</v>
      </c>
    </row>
    <row r="21258" ht="15.75" customHeight="1">
      <c r="A21258" s="1">
        <v>22589.0</v>
      </c>
      <c r="B21258" s="3" t="s">
        <v>20080</v>
      </c>
      <c r="C21258" s="3" t="str">
        <f>IFERROR(__xludf.DUMMYFUNCTION("GOOGLETRANSLATE(B21258,""id"",""en"")"),"['Star', 'difficult', 'open', 'application']")</f>
        <v>['Star', 'difficult', 'open', 'application']</v>
      </c>
      <c r="D21258" s="3">
        <v>2.0</v>
      </c>
    </row>
    <row r="21259" ht="15.75" customHeight="1">
      <c r="A21259" s="1">
        <v>22590.0</v>
      </c>
      <c r="B21259" s="3" t="s">
        <v>478</v>
      </c>
      <c r="C21259" s="3" t="str">
        <f>IFERROR(__xludf.DUMMYFUNCTION("GOOGLETRANSLATE(B21259,""id"",""en"")"),"Of course")</f>
        <v>Of course</v>
      </c>
      <c r="D21259" s="3">
        <v>3.0</v>
      </c>
    </row>
    <row r="21260" ht="15.75" customHeight="1">
      <c r="A21260" s="1">
        <v>22591.0</v>
      </c>
      <c r="B21260" s="3" t="s">
        <v>20081</v>
      </c>
      <c r="C21260" s="3" t="str">
        <f>IFERROR(__xludf.DUMMYFUNCTION("GOOGLETRANSLATE(B21260,""id"",""en"")"),"['Glad', 'really', 'Telkomsel', 'Daily', 'check out', 'jdi', 'right', 'package', 'dying', 'diginain', 'bonus',' quota ',' Internet ',' Dri ',' check out ',' right ',' already ',' bonus', 'GB', 'Daily', 'check out', 'disappear', ""]")</f>
        <v>['Glad', 'really', 'Telkomsel', 'Daily', 'check out', 'jdi', 'right', 'package', 'dying', 'diginain', 'bonus',' quota ',' Internet ',' Dri ',' check out ',' right ',' already ',' bonus', 'GB', 'Daily', 'check out', 'disappear', "]</v>
      </c>
      <c r="D21260" s="3">
        <v>3.0</v>
      </c>
    </row>
    <row r="21261" ht="15.75" customHeight="1">
      <c r="A21261" s="1">
        <v>22592.0</v>
      </c>
      <c r="B21261" s="3" t="s">
        <v>20082</v>
      </c>
      <c r="C21261" s="3" t="str">
        <f>IFERROR(__xludf.DUMMYFUNCTION("GOOGLETRANSLATE(B21261,""id"",""en"")"),"['tlg', 'kouta', 'child', 'school', 'hrs', 'price']")</f>
        <v>['tlg', 'kouta', 'child', 'school', 'hrs', 'price']</v>
      </c>
      <c r="D21261" s="3">
        <v>5.0</v>
      </c>
    </row>
    <row r="21262" ht="15.75" customHeight="1">
      <c r="A21262" s="1">
        <v>22593.0</v>
      </c>
      <c r="B21262" s="3" t="s">
        <v>20083</v>
      </c>
      <c r="C21262" s="3" t="str">
        <f>IFERROR(__xludf.DUMMYFUNCTION("GOOGLETRANSLATE(B21262,""id"",""en"")"),"['check in']")</f>
        <v>['check in']</v>
      </c>
      <c r="D21262" s="3">
        <v>1.0</v>
      </c>
    </row>
    <row r="21263" ht="15.75" customHeight="1">
      <c r="A21263" s="1">
        <v>22595.0</v>
      </c>
      <c r="B21263" s="3" t="s">
        <v>20084</v>
      </c>
      <c r="C21263" s="3" t="str">
        <f>IFERROR(__xludf.DUMMYFUNCTION("GOOGLETRANSLATE(B21263,""id"",""en"")"),"['', 'Doang', 'Paketan', 'Abis', 'PLLZ', 'Direct', 'Lost', 'Gajelass', ""]")</f>
        <v>['', 'Doang', 'Paketan', 'Abis', 'PLLZ', 'Direct', 'Lost', 'Gajelass', "]</v>
      </c>
      <c r="D21263" s="3">
        <v>1.0</v>
      </c>
    </row>
    <row r="21264" ht="15.75" customHeight="1">
      <c r="A21264" s="1">
        <v>22596.0</v>
      </c>
      <c r="B21264" s="3" t="s">
        <v>20085</v>
      </c>
      <c r="C21264" s="3" t="str">
        <f>IFERROR(__xludf.DUMMYFUNCTION("GOOGLETRANSLATE(B21264,""id"",""en"")"),"['Signal', 'Internet', 'Good', '']")</f>
        <v>['Signal', 'Internet', 'Good', '']</v>
      </c>
      <c r="D21264" s="3">
        <v>5.0</v>
      </c>
    </row>
    <row r="21265" ht="15.75" customHeight="1">
      <c r="A21265" s="1">
        <v>22597.0</v>
      </c>
      <c r="B21265" s="3" t="s">
        <v>20086</v>
      </c>
      <c r="C21265" s="3" t="str">
        <f>IFERROR(__xludf.DUMMYFUNCTION("GOOGLETRANSLATE(B21265,""id"",""en"")"),"['LBH', 'easy', 'understandable']")</f>
        <v>['LBH', 'easy', 'understandable']</v>
      </c>
      <c r="D21265" s="3">
        <v>5.0</v>
      </c>
    </row>
    <row r="21266" ht="15.75" customHeight="1">
      <c r="A21266" s="1">
        <v>22598.0</v>
      </c>
      <c r="B21266" s="3" t="s">
        <v>20087</v>
      </c>
      <c r="C21266" s="3" t="str">
        <f>IFERROR(__xludf.DUMMYFUNCTION("GOOGLETRANSLATE(B21266,""id"",""en"")"),"['ugly', 'Loading']")</f>
        <v>['ugly', 'Loading']</v>
      </c>
      <c r="D21266" s="3">
        <v>1.0</v>
      </c>
    </row>
    <row r="21267" ht="15.75" customHeight="1">
      <c r="A21267" s="1">
        <v>22599.0</v>
      </c>
      <c r="B21267" s="3" t="s">
        <v>20088</v>
      </c>
      <c r="C21267" s="3" t="str">
        <f>IFERROR(__xludf.DUMMYFUNCTION("GOOGLETRANSLATE(B21267,""id"",""en"")"),"['intentionally', 'love', 'star', 'unlimited', 'Telkomsel', 'reduced', 'kbps',' please ',' concerned ',' see ',' consumer ',' complain ',' Capacity ',' Network ',' Easy ',' Hopefully ',' Normal ',' ']")</f>
        <v>['intentionally', 'love', 'star', 'unlimited', 'Telkomsel', 'reduced', 'kbps',' please ',' concerned ',' see ',' consumer ',' complain ',' Capacity ',' Network ',' Easy ',' Hopefully ',' Normal ',' ']</v>
      </c>
      <c r="D21267" s="3">
        <v>2.0</v>
      </c>
    </row>
    <row r="21268" ht="15.75" customHeight="1">
      <c r="A21268" s="1">
        <v>22600.0</v>
      </c>
      <c r="B21268" s="3" t="s">
        <v>9252</v>
      </c>
      <c r="C21268" s="3" t="str">
        <f>IFERROR(__xludf.DUMMYFUNCTION("GOOGLETRANSLATE(B21268,""id"",""en"")"),"['expensive', '']")</f>
        <v>['expensive', '']</v>
      </c>
      <c r="D21268" s="3">
        <v>3.0</v>
      </c>
    </row>
    <row r="21269" ht="15.75" customHeight="1">
      <c r="A21269" s="1">
        <v>22601.0</v>
      </c>
      <c r="B21269" s="3" t="s">
        <v>20089</v>
      </c>
      <c r="C21269" s="3" t="str">
        <f>IFERROR(__xludf.DUMMYFUNCTION("GOOGLETRANSLATE(B21269,""id"",""en"")"),"['price', 'quota', 'kaga', 'light', 'user', 'simple', 'ngojol', 'maen', 'game', 'youtube']")</f>
        <v>['price', 'quota', 'kaga', 'light', 'user', 'simple', 'ngojol', 'maen', 'game', 'youtube']</v>
      </c>
      <c r="D21269" s="3">
        <v>2.0</v>
      </c>
    </row>
    <row r="21270" ht="15.75" customHeight="1">
      <c r="A21270" s="1">
        <v>22602.0</v>
      </c>
      <c r="B21270" s="3" t="s">
        <v>20090</v>
      </c>
      <c r="C21270" s="3" t="str">
        <f>IFERROR(__xludf.DUMMYFUNCTION("GOOGLETRANSLATE(B21270,""id"",""en"")"),"['Can', 'Redem', 'Points', 'wkwkw']")</f>
        <v>['Can', 'Redem', 'Points', 'wkwkw']</v>
      </c>
      <c r="D21270" s="3">
        <v>5.0</v>
      </c>
    </row>
    <row r="21271" ht="15.75" customHeight="1">
      <c r="A21271" s="1">
        <v>22603.0</v>
      </c>
      <c r="B21271" s="3" t="s">
        <v>20091</v>
      </c>
      <c r="C21271" s="3" t="str">
        <f>IFERROR(__xludf.DUMMYFUNCTION("GOOGLETRANSLATE(B21271,""id"",""en"")"),"['Lemot', 'noon', 'night']")</f>
        <v>['Lemot', 'noon', 'night']</v>
      </c>
      <c r="D21271" s="3">
        <v>5.0</v>
      </c>
    </row>
    <row r="21272" ht="15.75" customHeight="1">
      <c r="A21272" s="1">
        <v>22604.0</v>
      </c>
      <c r="B21272" s="3" t="s">
        <v>20092</v>
      </c>
      <c r="C21272" s="3" t="str">
        <f>IFERROR(__xludf.DUMMYFUNCTION("GOOGLETRANSLATE(B21272,""id"",""en"")"),"['Send', 'email', 'please', 'Sis', 'Fixed', 'The network']")</f>
        <v>['Send', 'email', 'please', 'Sis', 'Fixed', 'The network']</v>
      </c>
      <c r="D21272" s="3">
        <v>4.0</v>
      </c>
    </row>
    <row r="21273" ht="15.75" customHeight="1">
      <c r="A21273" s="1">
        <v>22605.0</v>
      </c>
      <c r="B21273" s="3" t="s">
        <v>20093</v>
      </c>
      <c r="C21273" s="3" t="str">
        <f>IFERROR(__xludf.DUMMYFUNCTION("GOOGLETRANSLATE(B21273,""id"",""en"")"),"['Mammying', 'Customer', 'After' Main ',' Main ',' Out of 'Quota', 'Multi', 'Media', 'Slow', 'Kek', 'Snail', 'Deliberate', ' Detected ',' GIMNA ',' Mending ',' Distribution ',' Quota ',' Normal ']")</f>
        <v>['Mammying', 'Customer', 'After' Main ',' Main ',' Out of 'Quota', 'Multi', 'Media', 'Slow', 'Kek', 'Snail', 'Deliberate', ' Detected ',' GIMNA ',' Mending ',' Distribution ',' Quota ',' Normal ']</v>
      </c>
      <c r="D21273" s="3">
        <v>1.0</v>
      </c>
    </row>
    <row r="21274" ht="15.75" customHeight="1">
      <c r="A21274" s="1">
        <v>22606.0</v>
      </c>
      <c r="B21274" s="3" t="s">
        <v>1167</v>
      </c>
      <c r="C21274" s="3" t="str">
        <f>IFERROR(__xludf.DUMMYFUNCTION("GOOGLETRANSLATE(B21274,""id"",""en"")"),"['help']")</f>
        <v>['help']</v>
      </c>
      <c r="D21274" s="3">
        <v>5.0</v>
      </c>
    </row>
    <row r="21275" ht="15.75" customHeight="1">
      <c r="A21275" s="1">
        <v>22607.0</v>
      </c>
      <c r="B21275" s="3" t="s">
        <v>20094</v>
      </c>
      <c r="C21275" s="3" t="str">
        <f>IFERROR(__xludf.DUMMYFUNCTION("GOOGLETRANSLATE(B21275,""id"",""en"")"),"['Credit', 'truncated', 'usage', 'internet', 'quota', 'truncated', 'PAOK', 'Telkomsel']")</f>
        <v>['Credit', 'truncated', 'usage', 'internet', 'quota', 'truncated', 'PAOK', 'Telkomsel']</v>
      </c>
      <c r="D21275" s="3">
        <v>1.0</v>
      </c>
    </row>
    <row r="21276" ht="15.75" customHeight="1">
      <c r="A21276" s="1">
        <v>22608.0</v>
      </c>
      <c r="B21276" s="3" t="s">
        <v>20095</v>
      </c>
      <c r="C21276" s="3" t="str">
        <f>IFERROR(__xludf.DUMMYFUNCTION("GOOGLETRANSLATE(B21276,""id"",""en"")"),"['Register', 'Package', 'Description', 'Package', 'Ribet', 'Please', 'Repaired', 'Simple', 'Easy', 'understood', 'Thank you']")</f>
        <v>['Register', 'Package', 'Description', 'Package', 'Ribet', 'Please', 'Repaired', 'Simple', 'Easy', 'understood', 'Thank you']</v>
      </c>
      <c r="D21276" s="3">
        <v>4.0</v>
      </c>
    </row>
    <row r="21277" ht="15.75" customHeight="1">
      <c r="A21277" s="1">
        <v>22609.0</v>
      </c>
      <c r="B21277" s="3" t="s">
        <v>20096</v>
      </c>
      <c r="C21277" s="3" t="str">
        <f>IFERROR(__xludf.DUMMYFUNCTION("GOOGLETRANSLATE(B21277,""id"",""en"")"),"['wasteful', 'network', 'stable']")</f>
        <v>['wasteful', 'network', 'stable']</v>
      </c>
      <c r="D21277" s="3">
        <v>5.0</v>
      </c>
    </row>
    <row r="21278" ht="15.75" customHeight="1">
      <c r="A21278" s="1">
        <v>22610.0</v>
      </c>
      <c r="B21278" s="3" t="s">
        <v>20097</v>
      </c>
      <c r="C21278" s="3" t="str">
        <f>IFERROR(__xludf.DUMMYFUNCTION("GOOGLETRANSLATE(B21278,""id"",""en"")"),"['Please', 'yaa', 'love', 'menu', 'stop', 'package', 'ndak', 'list']")</f>
        <v>['Please', 'yaa', 'love', 'menu', 'stop', 'package', 'ndak', 'list']</v>
      </c>
      <c r="D21278" s="3">
        <v>1.0</v>
      </c>
    </row>
    <row r="21279" ht="15.75" customHeight="1">
      <c r="A21279" s="1">
        <v>22611.0</v>
      </c>
      <c r="B21279" s="3" t="s">
        <v>20098</v>
      </c>
      <c r="C21279" s="3" t="str">
        <f>IFERROR(__xludf.DUMMYFUNCTION("GOOGLETRANSLATE(B21279,""id"",""en"")"),"['Cool', 'Pokonyah', 'Telkomsel']")</f>
        <v>['Cool', 'Pokonyah', 'Telkomsel']</v>
      </c>
      <c r="D21279" s="3">
        <v>5.0</v>
      </c>
    </row>
    <row r="21280" ht="15.75" customHeight="1">
      <c r="A21280" s="1">
        <v>22612.0</v>
      </c>
      <c r="B21280" s="3" t="s">
        <v>20099</v>
      </c>
      <c r="C21280" s="3" t="str">
        <f>IFERROR(__xludf.DUMMYFUNCTION("GOOGLETRANSLATE(B21280,""id"",""en"")"),"['buy', 'package', 'open', 'the application', 'slow', 'dead', 'bolster', 'mat', 'usually', 'update', 'update', 'update', ' expensive ',' doang ',' buy ',' package ',' signal ',' ']")</f>
        <v>['buy', 'package', 'open', 'the application', 'slow', 'dead', 'bolster', 'mat', 'usually', 'update', 'update', 'update', ' expensive ',' doang ',' buy ',' package ',' signal ',' ']</v>
      </c>
      <c r="D21280" s="3">
        <v>1.0</v>
      </c>
    </row>
    <row r="21281" ht="15.75" customHeight="1">
      <c r="A21281" s="1">
        <v>22613.0</v>
      </c>
      <c r="B21281" s="3" t="s">
        <v>20100</v>
      </c>
      <c r="C21281" s="3" t="str">
        <f>IFERROR(__xludf.DUMMYFUNCTION("GOOGLETRANSLATE(B21281,""id"",""en"")"),"['Network', 'good', 'price', 'package', 'doang', 'mahalin', 'ngak', 'according to', 'quality', 'network', 'price', ""]")</f>
        <v>['Network', 'good', 'price', 'package', 'doang', 'mahalin', 'ngak', 'according to', 'quality', 'network', 'price', "]</v>
      </c>
      <c r="D21281" s="3">
        <v>1.0</v>
      </c>
    </row>
    <row r="21282" ht="15.75" customHeight="1">
      <c r="A21282" s="1">
        <v>22614.0</v>
      </c>
      <c r="B21282" s="3" t="s">
        <v>20101</v>
      </c>
      <c r="C21282" s="3" t="str">
        <f>IFERROR(__xludf.DUMMYFUNCTION("GOOGLETRANSLATE(B21282,""id"",""en"")"),"['Telkomsel', 'no', 'open']")</f>
        <v>['Telkomsel', 'no', 'open']</v>
      </c>
      <c r="D21282" s="3">
        <v>1.0</v>
      </c>
    </row>
    <row r="21283" ht="15.75" customHeight="1">
      <c r="A21283" s="1">
        <v>22615.0</v>
      </c>
      <c r="B21283" s="3" t="s">
        <v>20102</v>
      </c>
      <c r="C21283" s="3" t="str">
        <f>IFERROR(__xludf.DUMMYFUNCTION("GOOGLETRANSLATE(B21283,""id"",""en"")"),"['Buk', 'promo', 'cheap']")</f>
        <v>['Buk', 'promo', 'cheap']</v>
      </c>
      <c r="D21283" s="3">
        <v>5.0</v>
      </c>
    </row>
    <row r="21284" ht="15.75" customHeight="1">
      <c r="A21284" s="1">
        <v>22616.0</v>
      </c>
      <c r="B21284" s="3" t="s">
        <v>20103</v>
      </c>
      <c r="C21284" s="3" t="str">
        <f>IFERROR(__xludf.DUMMYFUNCTION("GOOGLETRANSLATE(B21284,""id"",""en"")"),"['Please', 'Telkomsel', 'price', 'package', 'expensive', 'network', 'problematic', 'already', 'buy', 'price', 'expensive', 'disorder', ' Ngilak ',' ']")</f>
        <v>['Please', 'Telkomsel', 'price', 'package', 'expensive', 'network', 'problematic', 'already', 'buy', 'price', 'expensive', 'disorder', ' Ngilak ',' ']</v>
      </c>
      <c r="D21284" s="3">
        <v>1.0</v>
      </c>
    </row>
    <row r="21285" ht="15.75" customHeight="1">
      <c r="A21285" s="1">
        <v>22617.0</v>
      </c>
      <c r="B21285" s="3" t="s">
        <v>20104</v>
      </c>
      <c r="C21285" s="3" t="str">
        <f>IFERROR(__xludf.DUMMYFUNCTION("GOOGLETRANSLATE(B21285,""id"",""en"")"),"['Kek', 'garbage', 'network', 'Telkomsel', 'skrng', 'kek', 'dlu', 'stable', 'always',' lost ',' arising ',' missing ',' embossed ',' worse ',' lgi ',' pulak ',' network ',' ping ',' dahlah ',' ntah ',' card ',' anything ',' ']")</f>
        <v>['Kek', 'garbage', 'network', 'Telkomsel', 'skrng', 'kek', 'dlu', 'stable', 'always',' lost ',' arising ',' missing ',' embossed ',' worse ',' lgi ',' pulak ',' network ',' ping ',' dahlah ',' ntah ',' card ',' anything ',' ']</v>
      </c>
      <c r="D21285" s="3">
        <v>1.0</v>
      </c>
    </row>
    <row r="21286" ht="15.75" customHeight="1">
      <c r="A21286" s="1">
        <v>22618.0</v>
      </c>
      <c r="B21286" s="3" t="s">
        <v>20105</v>
      </c>
      <c r="C21286" s="3" t="str">
        <f>IFERROR(__xludf.DUMMYFUNCTION("GOOGLETRANSLATE(B21286,""id"",""en"")"),"['Help', 'unfortunately', 'price', 'package', 'kouta', 'expensive', 'area', 'kalbar']")</f>
        <v>['Help', 'unfortunately', 'price', 'package', 'kouta', 'expensive', 'area', 'kalbar']</v>
      </c>
      <c r="D21286" s="3">
        <v>5.0</v>
      </c>
    </row>
    <row r="21287" ht="15.75" customHeight="1">
      <c r="A21287" s="1">
        <v>22619.0</v>
      </c>
      <c r="B21287" s="3" t="s">
        <v>20106</v>
      </c>
      <c r="C21287" s="3" t="str">
        <f>IFERROR(__xludf.DUMMYFUNCTION("GOOGLETRANSLATE(B21287,""id"",""en"")"),"['love', 'dlu', 'because', 'try']")</f>
        <v>['love', 'dlu', 'because', 'try']</v>
      </c>
      <c r="D21287" s="3">
        <v>2.0</v>
      </c>
    </row>
    <row r="21288" ht="15.75" customHeight="1">
      <c r="A21288" s="1">
        <v>22620.0</v>
      </c>
      <c r="B21288" s="3" t="s">
        <v>20107</v>
      </c>
      <c r="C21288" s="3" t="str">
        <f>IFERROR(__xludf.DUMMYFUNCTION("GOOGLETRANSLATE(B21288,""id"",""en"")"),"['Strezzz', 'application', 'opened', 'pke', 'wifi', 'turn', 'pke', 'quota', 'pulses',' abis', 'suck', 'ngaco', ' GMNA ',' Indonesia ',' advanced ',' Telkomsel ',' Ajh ',' his products', '']")</f>
        <v>['Strezzz', 'application', 'opened', 'pke', 'wifi', 'turn', 'pke', 'quota', 'pulses',' abis', 'suck', 'ngaco', ' GMNA ',' Indonesia ',' advanced ',' Telkomsel ',' Ajh ',' his products', '']</v>
      </c>
      <c r="D21288" s="3">
        <v>1.0</v>
      </c>
    </row>
    <row r="21289" ht="15.75" customHeight="1">
      <c r="A21289" s="1">
        <v>22621.0</v>
      </c>
      <c r="B21289" s="3" t="s">
        <v>20108</v>
      </c>
      <c r="C21289" s="3" t="str">
        <f>IFERROR(__xludf.DUMMYFUNCTION("GOOGLETRANSLATE(B21289,""id"",""en"")"),"['Open', 'The application', 'really', 'signal', 'good', 'connection', 'change']")</f>
        <v>['Open', 'The application', 'really', 'signal', 'good', 'connection', 'change']</v>
      </c>
      <c r="D21289" s="3">
        <v>1.0</v>
      </c>
    </row>
    <row r="21290" ht="15.75" customHeight="1">
      <c r="A21290" s="1">
        <v>22622.0</v>
      </c>
      <c r="B21290" s="3" t="s">
        <v>20109</v>
      </c>
      <c r="C21290" s="3" t="str">
        <f>IFERROR(__xludf.DUMMYFUNCTION("GOOGLETRANSLATE(B21290,""id"",""en"")"),"['Cerna', 'Can', 'Hadia']")</f>
        <v>['Cerna', 'Can', 'Hadia']</v>
      </c>
      <c r="D21290" s="3">
        <v>5.0</v>
      </c>
    </row>
    <row r="21291" ht="15.75" customHeight="1">
      <c r="A21291" s="1">
        <v>22623.0</v>
      </c>
      <c r="B21291" s="3" t="s">
        <v>20110</v>
      </c>
      <c r="C21291" s="3" t="str">
        <f>IFERROR(__xludf.DUMMYFUNCTION("GOOGLETRANSLATE(B21291,""id"",""en"")"),"['Increases', 'Quality', 'Lotsin', 'Promo', 'rivals']")</f>
        <v>['Increases', 'Quality', 'Lotsin', 'Promo', 'rivals']</v>
      </c>
      <c r="D21291" s="3">
        <v>5.0</v>
      </c>
    </row>
    <row r="21292" ht="15.75" customHeight="1">
      <c r="A21292" s="1">
        <v>22624.0</v>
      </c>
      <c r="B21292" s="3" t="s">
        <v>20111</v>
      </c>
      <c r="C21292" s="3" t="str">
        <f>IFERROR(__xludf.DUMMYFUNCTION("GOOGLETRANSLATE(B21292,""id"",""en"")"),"['Aji', 'Pamuke', 'want', 'get', 'gift']")</f>
        <v>['Aji', 'Pamuke', 'want', 'get', 'gift']</v>
      </c>
      <c r="D21292" s="3">
        <v>5.0</v>
      </c>
    </row>
    <row r="21293" ht="15.75" customHeight="1">
      <c r="A21293" s="1">
        <v>22625.0</v>
      </c>
      <c r="B21293" s="3" t="s">
        <v>20112</v>
      </c>
      <c r="C21293" s="3" t="str">
        <f>IFERROR(__xludf.DUMMYFUNCTION("GOOGLETRANSLATE(B21293,""id"",""en"")"),"['Sekaang', 'network', 'already', 'ugly', 'times',' sometimes', 'dead', 'package', 'already', 'buy', 'expensive', 'please', ' Overcome ']")</f>
        <v>['Sekaang', 'network', 'already', 'ugly', 'times',' sometimes', 'dead', 'package', 'already', 'buy', 'expensive', 'please', ' Overcome ']</v>
      </c>
      <c r="D21293" s="3">
        <v>2.0</v>
      </c>
    </row>
    <row r="21294" ht="15.75" customHeight="1">
      <c r="A21294" s="1">
        <v>22626.0</v>
      </c>
      <c r="B21294" s="3" t="s">
        <v>20113</v>
      </c>
      <c r="C21294" s="3" t="str">
        <f>IFERROR(__xludf.DUMMYFUNCTION("GOOGLETRANSLATE(B21294,""id"",""en"")"),"['Package', 'Inhernet', 'On', 'Credit', 'Suck', 'Forgiveness', 'Telkomsel', 'Bad', 'Performance', 'Telkomsel']")</f>
        <v>['Package', 'Inhernet', 'On', 'Credit', 'Suck', 'Forgiveness', 'Telkomsel', 'Bad', 'Performance', 'Telkomsel']</v>
      </c>
      <c r="D21294" s="3">
        <v>1.0</v>
      </c>
    </row>
    <row r="21295" ht="15.75" customHeight="1">
      <c r="A21295" s="1">
        <v>22627.0</v>
      </c>
      <c r="B21295" s="3" t="s">
        <v>20114</v>
      </c>
      <c r="C21295" s="3" t="str">
        <f>IFERROR(__xludf.DUMMYFUNCTION("GOOGLETRANSLATE(B21295,""id"",""en"")"),"['Network', 'ugly', 'really', 'briefly', 'lag', 'lag', 'lag', 'lag', 'package', 'expensive', 'according to', 'services',' ']")</f>
        <v>['Network', 'ugly', 'really', 'briefly', 'lag', 'lag', 'lag', 'lag', 'package', 'expensive', 'according to', 'services',' ']</v>
      </c>
      <c r="D21295" s="3">
        <v>1.0</v>
      </c>
    </row>
    <row r="21296" ht="15.75" customHeight="1">
      <c r="A21296" s="1">
        <v>22628.0</v>
      </c>
      <c r="B21296" s="3" t="s">
        <v>20115</v>
      </c>
      <c r="C21296" s="3" t="str">
        <f>IFERROR(__xludf.DUMMYFUNCTION("GOOGLETRANSLATE(B21296,""id"",""en"")"),"['Application', 'Super', 'slow']")</f>
        <v>['Application', 'Super', 'slow']</v>
      </c>
      <c r="D21296" s="3">
        <v>1.0</v>
      </c>
    </row>
    <row r="21297" ht="15.75" customHeight="1">
      <c r="A21297" s="1">
        <v>22629.0</v>
      </c>
      <c r="B21297" s="3" t="s">
        <v>20116</v>
      </c>
      <c r="C21297" s="3" t="str">
        <f>IFERROR(__xludf.DUMMYFUNCTION("GOOGLETRANSLATE(B21297,""id"",""en"")"),"['pulse', 'sumps', 'then', 'package']")</f>
        <v>['pulse', 'sumps', 'then', 'package']</v>
      </c>
      <c r="D21297" s="3">
        <v>1.0</v>
      </c>
    </row>
    <row r="21298" ht="15.75" customHeight="1">
      <c r="A21298" s="1">
        <v>22630.0</v>
      </c>
      <c r="B21298" s="3" t="s">
        <v>20117</v>
      </c>
      <c r="C21298" s="3" t="str">
        <f>IFERROR(__xludf.DUMMYFUNCTION("GOOGLETRANSLATE(B21298,""id"",""en"")"),"['Telkomsel', 'Season', 'Gara', 'Gara', 'Network', 'ugly', 'really']")</f>
        <v>['Telkomsel', 'Season', 'Gara', 'Gara', 'Network', 'ugly', 'really']</v>
      </c>
      <c r="D21298" s="3">
        <v>1.0</v>
      </c>
    </row>
    <row r="21299" ht="15.75" customHeight="1">
      <c r="A21299" s="1">
        <v>22631.0</v>
      </c>
      <c r="B21299" s="3" t="s">
        <v>20118</v>
      </c>
      <c r="C21299" s="3" t="str">
        <f>IFERROR(__xludf.DUMMYFUNCTION("GOOGLETRANSLATE(B21299,""id"",""en"")"),"['Sorry', 'Bintang', 'Customer', 'Service', 'Features',' Veronika ',' Low ',' Response ',' Professional ',' Signal ',' Telkomsel ',' Severe ',' Feeling ',' Edge ',' Bar ',' Signal ',' Telkom ',' Down ',' Drastic ',' Complaints', 'Process',' Improvement ',"&amp;"' Leet ',' Enter ',' Sunday ' , 'Belom', 'resolved', 'Wait', 'resolved', 'signal', 'Telkomsel', 'location', 'Kawasaki', 'area', 'port', 'signal', 'astagfirullah']")</f>
        <v>['Sorry', 'Bintang', 'Customer', 'Service', 'Features',' Veronika ',' Low ',' Response ',' Professional ',' Signal ',' Telkomsel ',' Severe ',' Feeling ',' Edge ',' Bar ',' Signal ',' Telkom ',' Down ',' Drastic ',' Complaints', 'Process',' Improvement ',' Leet ',' Enter ',' Sunday ' , 'Belom', 'resolved', 'Wait', 'resolved', 'signal', 'Telkomsel', 'location', 'Kawasaki', 'area', 'port', 'signal', 'astagfirullah']</v>
      </c>
      <c r="D21299" s="3">
        <v>1.0</v>
      </c>
    </row>
    <row r="21300" ht="15.75" customHeight="1">
      <c r="A21300" s="1">
        <v>22632.0</v>
      </c>
      <c r="B21300" s="3" t="s">
        <v>20119</v>
      </c>
      <c r="C21300" s="3" t="str">
        <f>IFERROR(__xludf.DUMMYFUNCTION("GOOGLETRANSLATE(B21300,""id"",""en"")"),"['dear', 'connection', 'internet', 'Telkomsel', 'bad', 'moved', 'operator', 'internet', '']")</f>
        <v>['dear', 'connection', 'internet', 'Telkomsel', 'bad', 'moved', 'operator', 'internet', '']</v>
      </c>
      <c r="D21300" s="3">
        <v>1.0</v>
      </c>
    </row>
    <row r="21301" ht="15.75" customHeight="1">
      <c r="A21301" s="1">
        <v>22633.0</v>
      </c>
      <c r="B21301" s="3" t="s">
        <v>20120</v>
      </c>
      <c r="C21301" s="3" t="str">
        <f>IFERROR(__xludf.DUMMYFUNCTION("GOOGLETRANSLATE(B21301,""id"",""en"")"),"['', 'APK', 'reading', 'update', 'right', 'playstore', 'update', 'what', 'jdi', 'gini', 'udh', 'so', 'exchange ',' Point ',' like ',' failed ',' trs', 'point', 'regret', 'rich', 'card', 'next door', 'nuker', 'use', 'pulses']")</f>
        <v>['', 'APK', 'reading', 'update', 'right', 'playstore', 'update', 'what', 'jdi', 'gini', 'udh', 'so', 'exchange ',' Point ',' like ',' failed ',' trs', 'point', 'regret', 'rich', 'card', 'next door', 'nuker', 'use', 'pulses']</v>
      </c>
      <c r="D21301" s="3">
        <v>2.0</v>
      </c>
    </row>
    <row r="21302" ht="15.75" customHeight="1">
      <c r="A21302" s="1">
        <v>22634.0</v>
      </c>
      <c r="B21302" s="3" t="s">
        <v>20121</v>
      </c>
      <c r="C21302" s="3" t="str">
        <f>IFERROR(__xludf.DUMMYFUNCTION("GOOGLETRANSLATE(B21302,""id"",""en"")"),"['Buy', 'Package', 'Network', 'Telkom', 'Cell', 'Difficult', 'Ouch', 'Please', 'repair', ""]")</f>
        <v>['Buy', 'Package', 'Network', 'Telkom', 'Cell', 'Difficult', 'Ouch', 'Please', 'repair', "]</v>
      </c>
      <c r="D21302" s="3">
        <v>3.0</v>
      </c>
    </row>
    <row r="21303" ht="15.75" customHeight="1">
      <c r="A21303" s="1">
        <v>22635.0</v>
      </c>
      <c r="B21303" s="3" t="s">
        <v>20122</v>
      </c>
      <c r="C21303" s="3" t="str">
        <f>IFERROR(__xludf.DUMMYFUNCTION("GOOGLETRANSLATE(B21303,""id"",""en"")"),"['goodla', 'blm', 'gagala', 'kasi', 'promo', '']")</f>
        <v>['goodla', 'blm', 'gagala', 'kasi', 'promo', '']</v>
      </c>
      <c r="D21303" s="3">
        <v>5.0</v>
      </c>
    </row>
    <row r="21304" ht="15.75" customHeight="1">
      <c r="A21304" s="1">
        <v>22636.0</v>
      </c>
      <c r="B21304" s="3" t="s">
        <v>20123</v>
      </c>
      <c r="C21304" s="3" t="str">
        <f>IFERROR(__xludf.DUMMYFUNCTION("GOOGLETRANSLATE(B21304,""id"",""en"")"),"['hard', 'feature', 'pulse', 'safe', 'provider', 'next door', 'quota', 'run out', 'pulse', 'directly', 'absorbence', 'run out', ' ']")</f>
        <v>['hard', 'feature', 'pulse', 'safe', 'provider', 'next door', 'quota', 'run out', 'pulse', 'directly', 'absorbence', 'run out', ' ']</v>
      </c>
      <c r="D21304" s="3">
        <v>1.0</v>
      </c>
    </row>
    <row r="21305" ht="15.75" customHeight="1">
      <c r="A21305" s="1">
        <v>22637.0</v>
      </c>
      <c r="B21305" s="3" t="s">
        <v>20124</v>
      </c>
      <c r="C21305" s="3" t="str">
        <f>IFERROR(__xludf.DUMMYFUNCTION("GOOGLETRANSLATE(B21305,""id"",""en"")"),"['Severe', 'network', 'internet', 'slow', 'user', 'loyal', 'sympathy', 'disappointed', '']")</f>
        <v>['Severe', 'network', 'internet', 'slow', 'user', 'loyal', 'sympathy', 'disappointed', '']</v>
      </c>
      <c r="D21305" s="3">
        <v>1.0</v>
      </c>
    </row>
    <row r="21306" ht="15.75" customHeight="1">
      <c r="A21306" s="1">
        <v>22638.0</v>
      </c>
      <c r="B21306" s="3" t="s">
        <v>20125</v>
      </c>
      <c r="C21306" s="3" t="str">
        <f>IFERROR(__xludf.DUMMYFUNCTION("GOOGLETRANSLATE(B21306,""id"",""en"")"),"['network', 'severe', 'city', 'just', 'can', 'already', 'package', 'expensive', 'network', 'destroyed', 'melting', 'quota', ' fast ',' run out ',' network ',' slow ',' really ',' severe ',' ']")</f>
        <v>['network', 'severe', 'city', 'just', 'can', 'already', 'package', 'expensive', 'network', 'destroyed', 'melting', 'quota', ' fast ',' run out ',' network ',' slow ',' really ',' severe ',' ']</v>
      </c>
      <c r="D21306" s="3">
        <v>1.0</v>
      </c>
    </row>
    <row r="21307" ht="15.75" customHeight="1">
      <c r="A21307" s="1">
        <v>22639.0</v>
      </c>
      <c r="B21307" s="3" t="s">
        <v>20126</v>
      </c>
      <c r="C21307" s="3" t="str">
        <f>IFERROR(__xludf.DUMMYFUNCTION("GOOGLETRANSLATE(B21307,""id"",""en"")"),"['Update', 'System', 'AndroidX', 'Application', 'Installed', 'Please', 'Repaired', 'As soon as']")</f>
        <v>['Update', 'System', 'AndroidX', 'Application', 'Installed', 'Please', 'Repaired', 'As soon as']</v>
      </c>
      <c r="D21307" s="3">
        <v>1.0</v>
      </c>
    </row>
    <row r="21308" ht="15.75" customHeight="1">
      <c r="A21308" s="1">
        <v>22640.0</v>
      </c>
      <c r="B21308" s="3" t="s">
        <v>20127</v>
      </c>
      <c r="C21308" s="3" t="str">
        <f>IFERROR(__xludf.DUMMYFUNCTION("GOOGLETRANSLATE(B21308,""id"",""en"")"),"['application', 'enter', 'account', 'how', 'quota', 'udh', 'abis', ""]")</f>
        <v>['application', 'enter', 'account', 'how', 'quota', 'udh', 'abis', "]</v>
      </c>
      <c r="D21308" s="3">
        <v>1.0</v>
      </c>
    </row>
    <row r="21309" ht="15.75" customHeight="1">
      <c r="A21309" s="1">
        <v>22641.0</v>
      </c>
      <c r="B21309" s="3" t="s">
        <v>20128</v>
      </c>
      <c r="C21309" s="3" t="str">
        <f>IFERROR(__xludf.DUMMYFUNCTION("GOOGLETRANSLATE(B21309,""id"",""en"")"),"['expensive', 'no', 'signal', '']")</f>
        <v>['expensive', 'no', 'signal', '']</v>
      </c>
      <c r="D21309" s="3">
        <v>1.0</v>
      </c>
    </row>
    <row r="21310" ht="15.75" customHeight="1">
      <c r="A21310" s="1">
        <v>22642.0</v>
      </c>
      <c r="B21310" s="3" t="s">
        <v>20129</v>
      </c>
      <c r="C21310" s="3" t="str">
        <f>IFERROR(__xludf.DUMMYFUNCTION("GOOGLETRANSLATE(B21310,""id"",""en"")"),"['deh', 'card', 'Change', 'Hello']")</f>
        <v>['deh', 'card', 'Change', 'Hello']</v>
      </c>
      <c r="D21310" s="3">
        <v>2.0</v>
      </c>
    </row>
    <row r="21311" ht="15.75" customHeight="1">
      <c r="A21311" s="1">
        <v>22643.0</v>
      </c>
      <c r="B21311" s="3" t="s">
        <v>20130</v>
      </c>
      <c r="C21311" s="3" t="str">
        <f>IFERROR(__xludf.DUMMYFUNCTION("GOOGLETRANSLATE(B21311,""id"",""en"")"),"['The application', 'Cool', 'access', 'Telkomsel', 'use', 'card', 'slow']")</f>
        <v>['The application', 'Cool', 'access', 'Telkomsel', 'use', 'card', 'slow']</v>
      </c>
      <c r="D21311" s="3">
        <v>1.0</v>
      </c>
    </row>
    <row r="21312" ht="15.75" customHeight="1">
      <c r="A21312" s="1">
        <v>22644.0</v>
      </c>
      <c r="B21312" s="3" t="s">
        <v>2795</v>
      </c>
      <c r="C21312" s="3" t="str">
        <f>IFERROR(__xludf.DUMMYFUNCTION("GOOGLETRANSLATE(B21312,""id"",""en"")"),"['Use', 'Telkomsel']")</f>
        <v>['Use', 'Telkomsel']</v>
      </c>
      <c r="D21312" s="3">
        <v>5.0</v>
      </c>
    </row>
    <row r="21313" ht="15.75" customHeight="1">
      <c r="A21313" s="1">
        <v>22645.0</v>
      </c>
      <c r="B21313" s="3" t="s">
        <v>20131</v>
      </c>
      <c r="C21313" s="3" t="str">
        <f>IFERROR(__xludf.DUMMYFUNCTION("GOOGLETRANSLATE(B21313,""id"",""en"")"),"['update', 'difficult', 'login', 'reset', '']")</f>
        <v>['update', 'difficult', 'login', 'reset', '']</v>
      </c>
      <c r="D21313" s="3">
        <v>1.0</v>
      </c>
    </row>
    <row r="21314" ht="15.75" customHeight="1">
      <c r="A21314" s="1">
        <v>22646.0</v>
      </c>
      <c r="B21314" s="3" t="s">
        <v>20132</v>
      </c>
      <c r="C21314" s="3" t="str">
        <f>IFERROR(__xludf.DUMMYFUNCTION("GOOGLETRANSLATE(B21314,""id"",""en"")"),"['Provider', 'Worst', 'Suggestion', 'Continue', 'Buy', 'PKET', 'Internet', 'Telkomsel', 'Mending', 'Use', 'Msh', 'City', ' connection ',' kek ',' rural ',' live ',' rural ',' gpp ',' deh ',' pkai ',' telkomsel ',' in the city ',' ush ',' network ',' high "&amp;"school ' , 'SPRTI', 'DESESA', 'Tempts', 'remote', 'provider', 'LAKNAT', 'Clock', 'night', 'signal', 'lost']")</f>
        <v>['Provider', 'Worst', 'Suggestion', 'Continue', 'Buy', 'PKET', 'Internet', 'Telkomsel', 'Mending', 'Use', 'Msh', 'City', ' connection ',' kek ',' rural ',' live ',' rural ',' gpp ',' deh ',' pkai ',' telkomsel ',' in the city ',' ush ',' network ',' high school ' , 'SPRTI', 'DESESA', 'Tempts', 'remote', 'provider', 'LAKNAT', 'Clock', 'night', 'signal', 'lost']</v>
      </c>
      <c r="D21314" s="3">
        <v>1.0</v>
      </c>
    </row>
    <row r="21315" ht="15.75" customHeight="1">
      <c r="A21315" s="1">
        <v>22647.0</v>
      </c>
      <c r="B21315" s="3" t="s">
        <v>20133</v>
      </c>
      <c r="C21315" s="3" t="str">
        <f>IFERROR(__xludf.DUMMYFUNCTION("GOOGLETRANSLATE(B21315,""id"",""en"")"),"['Network', 'Embed', 'Advertising', 'Best', 'Banten', 'Pekah', '']")</f>
        <v>['Network', 'Embed', 'Advertising', 'Best', 'Banten', 'Pekah', '']</v>
      </c>
      <c r="D21315" s="3">
        <v>1.0</v>
      </c>
    </row>
    <row r="21316" ht="15.75" customHeight="1">
      <c r="A21316" s="1">
        <v>22648.0</v>
      </c>
      <c r="B21316" s="3" t="s">
        <v>20134</v>
      </c>
      <c r="C21316" s="3" t="str">
        <f>IFERROR(__xludf.DUMMYFUNCTION("GOOGLETRANSLATE(B21316,""id"",""en"")"),"['Please', 'response', 'complaints',' Telkomsel ',' Ask ',' times', 'complaints',' response ',' transaction ',' package ',' emergency ',' contents', ' Credit ',' automatic ',' getting ',' cut ',' credit ',' repeat ',' reset ',' response ',' telkomsel ',' "&amp;"diamin ',' loss', 'please', 'return' , 'pulse', 'application', 'unistal']")</f>
        <v>['Please', 'response', 'complaints',' Telkomsel ',' Ask ',' times', 'complaints',' response ',' transaction ',' package ',' emergency ',' contents', ' Credit ',' automatic ',' getting ',' cut ',' credit ',' repeat ',' reset ',' response ',' telkomsel ',' diamin ',' loss', 'please', 'return' , 'pulse', 'application', 'unistal']</v>
      </c>
      <c r="D21316" s="3">
        <v>1.0</v>
      </c>
    </row>
    <row r="21317" ht="15.75" customHeight="1">
      <c r="A21317" s="1">
        <v>22649.0</v>
      </c>
      <c r="B21317" s="3" t="s">
        <v>20135</v>
      </c>
      <c r="C21317" s="3" t="str">
        <f>IFERROR(__xludf.DUMMYFUNCTION("GOOGLETRANSLATE(B21317,""id"",""en"")"),"['price', 'package', 'expensive', 'doang', 'quality', 'signal', 'bad', '']")</f>
        <v>['price', 'package', 'expensive', 'doang', 'quality', 'signal', 'bad', '']</v>
      </c>
      <c r="D21317" s="3">
        <v>1.0</v>
      </c>
    </row>
    <row r="21318" ht="15.75" customHeight="1">
      <c r="A21318" s="1">
        <v>22650.0</v>
      </c>
      <c r="B21318" s="3" t="s">
        <v>20136</v>
      </c>
      <c r="C21318" s="3" t="str">
        <f>IFERROR(__xludf.DUMMYFUNCTION("GOOGLETRANSLATE(B21318,""id"",""en"")"),"['', 'shoot', 'fall', 'ntr', 'satellite', 'klu', 'naunt', 'network', 'customer', 'disappointed', 'network', 'stable', 'it's hard ']")</f>
        <v>['', 'shoot', 'fall', 'ntr', 'satellite', 'klu', 'naunt', 'network', 'customer', 'disappointed', 'network', 'stable', 'it's hard ']</v>
      </c>
      <c r="D21318" s="3">
        <v>1.0</v>
      </c>
    </row>
    <row r="21319" ht="15.75" customHeight="1">
      <c r="A21319" s="1">
        <v>22651.0</v>
      </c>
      <c r="B21319" s="3" t="s">
        <v>20137</v>
      </c>
      <c r="C21319" s="3" t="str">
        <f>IFERROR(__xludf.DUMMYFUNCTION("GOOGLETRANSLATE(B21319,""id"",""en"")"),"['Hello', 'admin', 'card', 'rare', 'promo', 'card', 'different', 'price', 'package', 'Telkomsel', 'Please', 'response', ' Min ',' ']")</f>
        <v>['Hello', 'admin', 'card', 'rare', 'promo', 'card', 'different', 'price', 'package', 'Telkomsel', 'Please', 'response', ' Min ',' ']</v>
      </c>
      <c r="D21319" s="3">
        <v>5.0</v>
      </c>
    </row>
    <row r="21320" ht="15.75" customHeight="1">
      <c r="A21320" s="1">
        <v>22652.0</v>
      </c>
      <c r="B21320" s="3" t="s">
        <v>20138</v>
      </c>
      <c r="C21320" s="3" t="str">
        <f>IFERROR(__xludf.DUMMYFUNCTION("GOOGLETRANSLATE(B21320,""id"",""en"")"),"['Internet', 'BURIK', 'Signal', 'Lost', 'Telkomsel', 'Sebagus', 'Please', 'Kasi', 'Telkomsel']")</f>
        <v>['Internet', 'BURIK', 'Signal', 'Lost', 'Telkomsel', 'Sebagus', 'Please', 'Kasi', 'Telkomsel']</v>
      </c>
      <c r="D21320" s="3">
        <v>1.0</v>
      </c>
    </row>
    <row r="21321" ht="15.75" customHeight="1">
      <c r="A21321" s="1">
        <v>22653.0</v>
      </c>
      <c r="B21321" s="3" t="s">
        <v>20139</v>
      </c>
      <c r="C21321" s="3" t="str">
        <f>IFERROR(__xludf.DUMMYFUNCTION("GOOGLETRANSLATE(B21321,""id"",""en"")"),"['Points',' already ',' exchange ',' quota ',' yng ',' GB ',' pulse ',' apply ',' just ',' tuker ',' krena ',' abis', ' package ',' told ',' contents', 'pulse', 'Reedom', 'gift', 'pulse', 'sorry', 'pulse', 'take', 'gift', 'Telkomsel', 'expensive' , 'compl"&amp;"icated']")</f>
        <v>['Points',' already ',' exchange ',' quota ',' yng ',' GB ',' pulse ',' apply ',' just ',' tuker ',' krena ',' abis', ' package ',' told ',' contents', 'pulse', 'Reedom', 'gift', 'pulse', 'sorry', 'pulse', 'take', 'gift', 'Telkomsel', 'expensive' , 'complicated']</v>
      </c>
      <c r="D21321" s="3">
        <v>1.0</v>
      </c>
    </row>
    <row r="21322" ht="15.75" customHeight="1">
      <c r="A21322" s="1">
        <v>22654.0</v>
      </c>
      <c r="B21322" s="3" t="s">
        <v>1392</v>
      </c>
      <c r="C21322" s="3" t="str">
        <f>IFERROR(__xludf.DUMMYFUNCTION("GOOGLETRANSLATE(B21322,""id"",""en"")"),"['network', '']")</f>
        <v>['network', '']</v>
      </c>
      <c r="D21322" s="3">
        <v>1.0</v>
      </c>
    </row>
    <row r="21323" ht="15.75" customHeight="1">
      <c r="A21323" s="1">
        <v>22655.0</v>
      </c>
      <c r="B21323" s="3" t="s">
        <v>20140</v>
      </c>
      <c r="C21323" s="3" t="str">
        <f>IFERROR(__xludf.DUMMYFUNCTION("GOOGLETRANSLATE(B21323,""id"",""en"")"),"['clock', 'network', 'always', 'dead', 'ugly', 'package', 'expensive', 'expensive', 'speed', 'according to']")</f>
        <v>['clock', 'network', 'always', 'dead', 'ugly', 'package', 'expensive', 'expensive', 'speed', 'according to']</v>
      </c>
      <c r="D21323" s="3">
        <v>1.0</v>
      </c>
    </row>
    <row r="21324" ht="15.75" customHeight="1">
      <c r="A21324" s="1">
        <v>22656.0</v>
      </c>
      <c r="B21324" s="3" t="s">
        <v>20141</v>
      </c>
      <c r="C21324" s="3" t="str">
        <f>IFERROR(__xludf.DUMMYFUNCTION("GOOGLETRANSLATE(B21324,""id"",""en"")"),"['Enter', 'Facebook', 'failed', 'Mulu', 'sslalu', 'appears', 'writing', 'session', 'belom', 'enter']")</f>
        <v>['Enter', 'Facebook', 'failed', 'Mulu', 'sslalu', 'appears', 'writing', 'session', 'belom', 'enter']</v>
      </c>
      <c r="D21324" s="3">
        <v>1.0</v>
      </c>
    </row>
    <row r="21325" ht="15.75" customHeight="1">
      <c r="A21325" s="1">
        <v>22657.0</v>
      </c>
      <c r="B21325" s="3" t="s">
        <v>20142</v>
      </c>
      <c r="C21325" s="3" t="str">
        <f>IFERROR(__xludf.DUMMYFUNCTION("GOOGLETRANSLATE(B21325,""id"",""en"")"),"['Please', 'network', 'sucks',' network ',' disconnected ',' network ',' lose ',' pressed ',' njm ',' gara ',' gara ',' network ',' Telkomsel ',' disconnected ',' failed ',' glory ',' point ',' gini ',' play ',' game ',' online ',' times', 'bgin', 'someti"&amp;"mes',' watch ' , 'streaming', 'Live', 'etc.', 'network', 'sometimes', 'stable', 'beg', 'concerned', 'please', 'Overcome', 'network']")</f>
        <v>['Please', 'network', 'sucks',' network ',' disconnected ',' network ',' lose ',' pressed ',' njm ',' gara ',' gara ',' network ',' Telkomsel ',' disconnected ',' failed ',' glory ',' point ',' gini ',' play ',' game ',' online ',' times', 'bgin', 'sometimes',' watch ' , 'streaming', 'Live', 'etc.', 'network', 'sometimes', 'stable', 'beg', 'concerned', 'please', 'Overcome', 'network']</v>
      </c>
      <c r="D21325" s="3">
        <v>1.0</v>
      </c>
    </row>
    <row r="21326" ht="15.75" customHeight="1">
      <c r="A21326" s="1">
        <v>22658.0</v>
      </c>
      <c r="B21326" s="3" t="s">
        <v>20143</v>
      </c>
      <c r="C21326" s="3" t="str">
        <f>IFERROR(__xludf.DUMMYFUNCTION("GOOGLETRANSLATE(B21326,""id"",""en"")"),"['network', 'worst', 'change', 'disappointed', 'Telkomsel', 'usually', 'network', 'in the city', 'Pulak', 'disappointed', 'times',' user ',' Faithful ',' Telkomsel ']")</f>
        <v>['network', 'worst', 'change', 'disappointed', 'Telkomsel', 'usually', 'network', 'in the city', 'Pulak', 'disappointed', 'times',' user ',' Faithful ',' Telkomsel ']</v>
      </c>
      <c r="D21326" s="3">
        <v>1.0</v>
      </c>
    </row>
    <row r="21327" ht="15.75" customHeight="1">
      <c r="A21327" s="1">
        <v>22659.0</v>
      </c>
      <c r="B21327" s="3" t="s">
        <v>651</v>
      </c>
      <c r="C21327" s="3" t="str">
        <f>IFERROR(__xludf.DUMMYFUNCTION("GOOGLETRANSLATE(B21327,""id"",""en"")"),"['Network', 'stable']")</f>
        <v>['Network', 'stable']</v>
      </c>
      <c r="D21327" s="3">
        <v>1.0</v>
      </c>
    </row>
    <row r="21328" ht="15.75" customHeight="1">
      <c r="A21328" s="1">
        <v>22660.0</v>
      </c>
      <c r="B21328" s="3" t="s">
        <v>20144</v>
      </c>
      <c r="C21328" s="3" t="str">
        <f>IFERROR(__xludf.DUMMYFUNCTION("GOOGLETRANSLATE(B21328,""id"",""en"")"),"['sucked', 'pulse', 'quota', 'GB', 'weird', '']")</f>
        <v>['sucked', 'pulse', 'quota', 'GB', 'weird', '']</v>
      </c>
      <c r="D21328" s="3">
        <v>2.0</v>
      </c>
    </row>
    <row r="21329" ht="15.75" customHeight="1">
      <c r="A21329" s="1">
        <v>22661.0</v>
      </c>
      <c r="B21329" s="3" t="s">
        <v>20145</v>
      </c>
      <c r="C21329" s="3" t="str">
        <f>IFERROR(__xludf.DUMMYFUNCTION("GOOGLETRANSLATE(B21329,""id"",""en"")"),"['Close', 'Application', 'The problem', 'Error', 'opened', 'repaired']")</f>
        <v>['Close', 'Application', 'The problem', 'Error', 'opened', 'repaired']</v>
      </c>
      <c r="D21329" s="3">
        <v>1.0</v>
      </c>
    </row>
    <row r="21330" ht="15.75" customHeight="1">
      <c r="A21330" s="1">
        <v>22662.0</v>
      </c>
      <c r="B21330" s="3" t="s">
        <v>20146</v>
      </c>
      <c r="C21330" s="3" t="str">
        <f>IFERROR(__xludf.DUMMYFUNCTION("GOOGLETRANSLATE(B21330,""id"",""en"")"),"['', 'understand', 'Ujan', 'no', 'disorder', 'disorder', 'application', 'sometimes',' error ',' mantep ',' really ',' package ',' expensive ',' Network ',' disorder ',' ']")</f>
        <v>['', 'understand', 'Ujan', 'no', 'disorder', 'disorder', 'application', 'sometimes',' error ',' mantep ',' really ',' package ',' expensive ',' Network ',' disorder ',' ']</v>
      </c>
      <c r="D21330" s="3">
        <v>1.0</v>
      </c>
    </row>
    <row r="21331" ht="15.75" customHeight="1">
      <c r="A21331" s="1">
        <v>22663.0</v>
      </c>
      <c r="B21331" s="3" t="s">
        <v>20147</v>
      </c>
      <c r="C21331" s="3" t="str">
        <f>IFERROR(__xludf.DUMMYFUNCTION("GOOGLETRANSLATE(B21331,""id"",""en"")"),"['Telkomsel', 'can't be', 'sinynya', 'buy', 'package', 'expensive', 'network', 'disruption', 'telkomsel', 'can be', 'procroring', 'network', ' Kecang ',' consumer ',' disappointed ']")</f>
        <v>['Telkomsel', 'can't be', 'sinynya', 'buy', 'package', 'expensive', 'network', 'disruption', 'telkomsel', 'can be', 'procroring', 'network', ' Kecang ',' consumer ',' disappointed ']</v>
      </c>
      <c r="D21331" s="3">
        <v>1.0</v>
      </c>
    </row>
    <row r="21332" ht="15.75" customHeight="1">
      <c r="A21332" s="1">
        <v>22664.0</v>
      </c>
      <c r="B21332" s="3" t="s">
        <v>20148</v>
      </c>
      <c r="C21332" s="3" t="str">
        <f>IFERROR(__xludf.DUMMYFUNCTION("GOOGLETRANSLATE(B21332,""id"",""en"")"),"['connection', 'skrng', 'disconnected', 'taik']")</f>
        <v>['connection', 'skrng', 'disconnected', 'taik']</v>
      </c>
      <c r="D21332" s="3">
        <v>1.0</v>
      </c>
    </row>
    <row r="21333" ht="15.75" customHeight="1">
      <c r="A21333" s="1">
        <v>22665.0</v>
      </c>
      <c r="B21333" s="3" t="s">
        <v>20149</v>
      </c>
      <c r="C21333" s="3" t="str">
        <f>IFERROR(__xludf.DUMMYFUNCTION("GOOGLETRANSLATE(B21333,""id"",""en"")"),"['Ahh', 'Telkomsel', 'signal', 'Kek', 'Popo', 'Mending', 'Select', 'tri']")</f>
        <v>['Ahh', 'Telkomsel', 'signal', 'Kek', 'Popo', 'Mending', 'Select', 'tri']</v>
      </c>
      <c r="D21333" s="3">
        <v>1.0</v>
      </c>
    </row>
    <row r="21334" ht="15.75" customHeight="1">
      <c r="A21334" s="1">
        <v>22666.0</v>
      </c>
      <c r="B21334" s="3" t="s">
        <v>20150</v>
      </c>
      <c r="C21334" s="3" t="str">
        <f>IFERROR(__xludf.DUMMYFUNCTION("GOOGLETRANSLATE(B21334,""id"",""en"")"),"['card', 'gaje', 'me', 'use', 'open', 'kagak', 'open', 'package']")</f>
        <v>['card', 'gaje', 'me', 'use', 'open', 'kagak', 'open', 'package']</v>
      </c>
      <c r="D21334" s="3">
        <v>1.0</v>
      </c>
    </row>
    <row r="21335" ht="15.75" customHeight="1">
      <c r="A21335" s="1">
        <v>22667.0</v>
      </c>
      <c r="B21335" s="3" t="s">
        <v>20151</v>
      </c>
      <c r="C21335" s="3" t="str">
        <f>IFERROR(__xludf.DUMMYFUNCTION("GOOGLETRANSLATE(B21335,""id"",""en"")"),"['Afternoon', 'enter', 'Telkomsel', 'error', 'number', 'Udab', 'Bener', 'Yesterday', ""]")</f>
        <v>['Afternoon', 'enter', 'Telkomsel', 'error', 'number', 'Udab', 'Bener', 'Yesterday', "]</v>
      </c>
      <c r="D21335" s="3">
        <v>2.0</v>
      </c>
    </row>
    <row r="21336" ht="15.75" customHeight="1">
      <c r="A21336" s="1">
        <v>22668.0</v>
      </c>
      <c r="B21336" s="3" t="s">
        <v>20152</v>
      </c>
      <c r="C21336" s="3" t="str">
        <f>IFERROR(__xludf.DUMMYFUNCTION("GOOGLETRANSLATE(B21336,""id"",""en"")"),"['gabisa', 'Login', 'account', 'warning', 'read', 'oops', 'error', '']")</f>
        <v>['gabisa', 'Login', 'account', 'warning', 'read', 'oops', 'error', '']</v>
      </c>
      <c r="D21336" s="3">
        <v>1.0</v>
      </c>
    </row>
    <row r="21337" ht="15.75" customHeight="1">
      <c r="A21337" s="1">
        <v>22669.0</v>
      </c>
      <c r="B21337" s="3" t="s">
        <v>20153</v>
      </c>
      <c r="C21337" s="3" t="str">
        <f>IFERROR(__xludf.DUMMYFUNCTION("GOOGLETRANSLATE(B21337,""id"",""en"")"),"['card', 'chapter', 'signal', 'kek', 'chapter', 'friend', 'signal', 'lamcar', 'just', 'down', 'devil', 'card', ' unclean']")</f>
        <v>['card', 'chapter', 'signal', 'kek', 'chapter', 'friend', 'signal', 'lamcar', 'just', 'down', 'devil', 'card', ' unclean']</v>
      </c>
      <c r="D21337" s="3">
        <v>1.0</v>
      </c>
    </row>
    <row r="21338" ht="15.75" customHeight="1">
      <c r="A21338" s="1">
        <v>22670.0</v>
      </c>
      <c r="B21338" s="3" t="s">
        <v>20154</v>
      </c>
      <c r="C21338" s="3" t="str">
        <f>IFERROR(__xludf.DUMMYFUNCTION("GOOGLETRANSLATE(B21338,""id"",""en"")"),"['The network', 'slow', 'really']")</f>
        <v>['The network', 'slow', 'really']</v>
      </c>
      <c r="D21338" s="3">
        <v>1.0</v>
      </c>
    </row>
    <row r="21339" ht="15.75" customHeight="1">
      <c r="A21339" s="1">
        <v>22671.0</v>
      </c>
      <c r="B21339" s="3" t="s">
        <v>20155</v>
      </c>
      <c r="C21339" s="3" t="str">
        <f>IFERROR(__xludf.DUMMYFUNCTION("GOOGLETRANSLATE(B21339,""id"",""en"")"),"['difficult', 'Bangett', 'APK', 'opened', 'qualified', 'open', 'apk', 'ginian', 'doang', 'heavy', 'really', 'apk', ' strange ',' oath ']")</f>
        <v>['difficult', 'Bangett', 'APK', 'opened', 'qualified', 'open', 'apk', 'ginian', 'doang', 'heavy', 'really', 'apk', ' strange ',' oath ']</v>
      </c>
      <c r="D21339" s="3">
        <v>1.0</v>
      </c>
    </row>
    <row r="21340" ht="15.75" customHeight="1">
      <c r="A21340" s="1">
        <v>22672.0</v>
      </c>
      <c r="B21340" s="3" t="s">
        <v>20156</v>
      </c>
      <c r="C21340" s="3" t="str">
        <f>IFERROR(__xludf.DUMMYFUNCTION("GOOGLETRANSLATE(B21340,""id"",""en"")"),"['cheap']")</f>
        <v>['cheap']</v>
      </c>
      <c r="D21340" s="3">
        <v>5.0</v>
      </c>
    </row>
    <row r="21341" ht="15.75" customHeight="1">
      <c r="A21341" s="1">
        <v>22673.0</v>
      </c>
      <c r="B21341" s="3" t="s">
        <v>20157</v>
      </c>
      <c r="C21341" s="3" t="str">
        <f>IFERROR(__xludf.DUMMYFUNCTION("GOOGLETRANSLATE(B21341,""id"",""en"")"),"['according to', 'provisions',' quota ',' combo ',' Sakti ',' price ',' quota ',' main ',' out ',' quota ',' multimedia ',' maximum ',' Useful ',' access', 'sosmed', 'the rest', 'according to', 'provisions',' designed ',' products', 'knowledge', 'hope', '"&amp;"Telkomsel', 'Fair', 'honest' , 'products',' sold ',' rating ',' empty ',' Telkomsel ',' Indonesia ',' performance ',' system ',' bad ',' need ',' improvement ',' development ',' Technology ',' ']")</f>
        <v>['according to', 'provisions',' quota ',' combo ',' Sakti ',' price ',' quota ',' main ',' out ',' quota ',' multimedia ',' maximum ',' Useful ',' access', 'sosmed', 'the rest', 'according to', 'provisions',' designed ',' products', 'knowledge', 'hope', 'Telkomsel', 'Fair', 'honest' , 'products',' sold ',' rating ',' empty ',' Telkomsel ',' Indonesia ',' performance ',' system ',' bad ',' need ',' improvement ',' development ',' Technology ',' ']</v>
      </c>
      <c r="D21341" s="3">
        <v>1.0</v>
      </c>
    </row>
    <row r="21342" ht="15.75" customHeight="1">
      <c r="A21342" s="1">
        <v>22674.0</v>
      </c>
      <c r="B21342" s="3" t="s">
        <v>20158</v>
      </c>
      <c r="C21342" s="3" t="str">
        <f>IFERROR(__xludf.DUMMYFUNCTION("GOOGLETRANSLATE(B21342,""id"",""en"")"),"['Disappointed', 'really', 'operator', 'since' down ',' signal ',' down ',' wait ',' malem ',' really ',' normal ',' emang ',' Home ',' village ',' obstacles', 'signal', 'Telkomsel', 'signal', 'severe', 'really', 'experience', 'personal', 'already', 'Telk"&amp;"omsel', 'replace' , 'Uhhh', 'hope', 'fix', 'thank you']")</f>
        <v>['Disappointed', 'really', 'operator', 'since' down ',' signal ',' down ',' wait ',' malem ',' really ',' normal ',' emang ',' Home ',' village ',' obstacles', 'signal', 'Telkomsel', 'signal', 'severe', 'really', 'experience', 'personal', 'already', 'Telkomsel', 'replace' , 'Uhhh', 'hope', 'fix', 'thank you']</v>
      </c>
      <c r="D21342" s="3">
        <v>1.0</v>
      </c>
    </row>
    <row r="21343" ht="15.75" customHeight="1">
      <c r="A21343" s="1">
        <v>22675.0</v>
      </c>
      <c r="B21343" s="3" t="s">
        <v>20159</v>
      </c>
      <c r="C21343" s="3" t="str">
        <f>IFERROR(__xludf.DUMMYFUNCTION("GOOGLETRANSLATE(B21343,""id"",""en"")"),"['pulse', 'debt']")</f>
        <v>['pulse', 'debt']</v>
      </c>
      <c r="D21343" s="3">
        <v>5.0</v>
      </c>
    </row>
    <row r="21344" ht="15.75" customHeight="1">
      <c r="A21344" s="1">
        <v>22676.0</v>
      </c>
      <c r="B21344" s="3" t="s">
        <v>20160</v>
      </c>
      <c r="C21344" s="3" t="str">
        <f>IFERROR(__xludf.DUMMYFUNCTION("GOOGLETRANSLATE(B21344,""id"",""en"")"),"['operator', 'dilapidated', 'quality', 'network', 'buy', 'package', 'expensive', 'network', 'kayak', 'conch']")</f>
        <v>['operator', 'dilapidated', 'quality', 'network', 'buy', 'package', 'expensive', 'network', 'kayak', 'conch']</v>
      </c>
      <c r="D21344" s="3">
        <v>1.0</v>
      </c>
    </row>
    <row r="21345" ht="15.75" customHeight="1">
      <c r="A21345" s="1">
        <v>22677.0</v>
      </c>
      <c r="B21345" s="3" t="s">
        <v>20161</v>
      </c>
      <c r="C21345" s="3" t="str">
        <f>IFERROR(__xludf.DUMMYFUNCTION("GOOGLETRANSLATE(B21345,""id"",""en"")"),"['card', 'prime', 'already', 'annual', 'promo', 'package', 'cheap', 'a month']")</f>
        <v>['card', 'prime', 'already', 'annual', 'promo', 'package', 'cheap', 'a month']</v>
      </c>
      <c r="D21345" s="3">
        <v>1.0</v>
      </c>
    </row>
    <row r="21346" ht="15.75" customHeight="1">
      <c r="A21346" s="1">
        <v>22678.0</v>
      </c>
      <c r="B21346" s="3" t="s">
        <v>20162</v>
      </c>
      <c r="C21346" s="3" t="str">
        <f>IFERROR(__xludf.DUMMYFUNCTION("GOOGLETRANSLATE(B21346,""id"",""en"")"),"['error', 'buy', 'package', 'telephone', 'unlimited', 'already', 'card', 'already', 'Sakti']")</f>
        <v>['error', 'buy', 'package', 'telephone', 'unlimited', 'already', 'card', 'already', 'Sakti']</v>
      </c>
      <c r="D21346" s="3">
        <v>1.0</v>
      </c>
    </row>
    <row r="21347" ht="15.75" customHeight="1">
      <c r="A21347" s="1">
        <v>22680.0</v>
      </c>
      <c r="B21347" s="3" t="s">
        <v>20163</v>
      </c>
      <c r="C21347" s="3" t="str">
        <f>IFERROR(__xludf.DUMMYFUNCTION("GOOGLETRANSLATE(B21347,""id"",""en"")"),"['Enter', 'Application', 'Telkomsel', 'Pay', 'Bill', 'Hard', 'Ampunnnnnn']")</f>
        <v>['Enter', 'Application', 'Telkomsel', 'Pay', 'Bill', 'Hard', 'Ampunnnnnn']</v>
      </c>
      <c r="D21347" s="3">
        <v>1.0</v>
      </c>
    </row>
    <row r="21348" ht="15.75" customHeight="1">
      <c r="A21348" s="1">
        <v>22681.0</v>
      </c>
      <c r="B21348" s="3" t="s">
        <v>20164</v>
      </c>
      <c r="C21348" s="3" t="str">
        <f>IFERROR(__xludf.DUMMYFUNCTION("GOOGLETRANSLATE(B21348,""id"",""en"")"),"['Telkomsel', 'Best', 'Compare']")</f>
        <v>['Telkomsel', 'Best', 'Compare']</v>
      </c>
      <c r="D21348" s="3">
        <v>5.0</v>
      </c>
    </row>
    <row r="21349" ht="15.75" customHeight="1">
      <c r="A21349" s="1">
        <v>22682.0</v>
      </c>
      <c r="B21349" s="3" t="s">
        <v>20165</v>
      </c>
      <c r="C21349" s="3" t="str">
        <f>IFERROR(__xludf.DUMMYFUNCTION("GOOGLETRANSLATE(B21349,""id"",""en"")"),"['range', 'broad', 'signal', 'strong']")</f>
        <v>['range', 'broad', 'signal', 'strong']</v>
      </c>
      <c r="D21349" s="3">
        <v>5.0</v>
      </c>
    </row>
    <row r="21350" ht="15.75" customHeight="1">
      <c r="A21350" s="1">
        <v>22683.0</v>
      </c>
      <c r="B21350" s="3" t="s">
        <v>20166</v>
      </c>
      <c r="C21350" s="3" t="str">
        <f>IFERROR(__xludf.DUMMYFUNCTION("GOOGLETRANSLATE(B21350,""id"",""en"")"),"['Star', 'enter', 'account', '']")</f>
        <v>['Star', 'enter', 'account', '']</v>
      </c>
      <c r="D21350" s="3">
        <v>1.0</v>
      </c>
    </row>
    <row r="21351" ht="15.75" customHeight="1">
      <c r="A21351" s="1">
        <v>22684.0</v>
      </c>
      <c r="B21351" s="3" t="s">
        <v>20167</v>
      </c>
      <c r="C21351" s="3" t="str">
        <f>IFERROR(__xludf.DUMMYFUNCTION("GOOGLETRANSLATE(B21351,""id"",""en"")"),"['Purchase', 'Package', 'Data', 'Process',' Minutes', 'Purchase', 'Process',' Transaction ',' Device ',' Redmi ',' Note ',' Android ',' ']")</f>
        <v>['Purchase', 'Package', 'Data', 'Process',' Minutes', 'Purchase', 'Process',' Transaction ',' Device ',' Redmi ',' Note ',' Android ',' ']</v>
      </c>
      <c r="D21351" s="3">
        <v>1.0</v>
      </c>
    </row>
    <row r="21352" ht="15.75" customHeight="1">
      <c r="A21352" s="1">
        <v>22685.0</v>
      </c>
      <c r="B21352" s="3" t="s">
        <v>20168</v>
      </c>
      <c r="C21352" s="3" t="str">
        <f>IFERROR(__xludf.DUMMYFUNCTION("GOOGLETRANSLATE(B21352,""id"",""en"")"),"['Mao', 'enter', 'Telkomsel', 'Ribet', 'code', 'update', 'correction', 'network', 'difficult']")</f>
        <v>['Mao', 'enter', 'Telkomsel', 'Ribet', 'code', 'update', 'correction', 'network', 'difficult']</v>
      </c>
      <c r="D21352" s="3">
        <v>1.0</v>
      </c>
    </row>
    <row r="21353" ht="15.75" customHeight="1">
      <c r="A21353" s="1">
        <v>22686.0</v>
      </c>
      <c r="B21353" s="3" t="s">
        <v>20169</v>
      </c>
      <c r="C21353" s="3" t="str">
        <f>IFERROR(__xludf.DUMMYFUNCTION("GOOGLETRANSLATE(B21353,""id"",""en"")"),"['YTH', 'Telkomsel', 'date', 'Nov', 'Application', 'Telkomsel', 'opened', 'explanation', 'donk']")</f>
        <v>['YTH', 'Telkomsel', 'date', 'Nov', 'Application', 'Telkomsel', 'opened', 'explanation', 'donk']</v>
      </c>
      <c r="D21353" s="3">
        <v>3.0</v>
      </c>
    </row>
    <row r="21354" ht="15.75" customHeight="1">
      <c r="A21354" s="1">
        <v>22687.0</v>
      </c>
      <c r="B21354" s="3" t="s">
        <v>20170</v>
      </c>
      <c r="C21354" s="3" t="str">
        <f>IFERROR(__xludf.DUMMYFUNCTION("GOOGLETRANSLATE(B21354,""id"",""en"")"),"['here', 'ugly', 'signal', 'mending', 'change', 'provider', 'deh', ""]")</f>
        <v>['here', 'ugly', 'signal', 'mending', 'change', 'provider', 'deh', "]</v>
      </c>
      <c r="D21354" s="3">
        <v>1.0</v>
      </c>
    </row>
    <row r="21355" ht="15.75" customHeight="1">
      <c r="A21355" s="1">
        <v>22688.0</v>
      </c>
      <c r="B21355" s="3" t="s">
        <v>20171</v>
      </c>
      <c r="C21355" s="3" t="str">
        <f>IFERROR(__xludf.DUMMYFUNCTION("GOOGLETRANSLATE(B21355,""id"",""en"")"),"['already', 'signal', 'stay', 'jakarta', 'amsong', 'sympathy']")</f>
        <v>['already', 'signal', 'stay', 'jakarta', 'amsong', 'sympathy']</v>
      </c>
      <c r="D21355" s="3">
        <v>1.0</v>
      </c>
    </row>
    <row r="21356" ht="15.75" customHeight="1">
      <c r="A21356" s="1">
        <v>22689.0</v>
      </c>
      <c r="B21356" s="3" t="s">
        <v>20172</v>
      </c>
      <c r="C21356" s="3" t="str">
        <f>IFERROR(__xludf.DUMMYFUNCTION("GOOGLETRANSLATE(B21356,""id"",""en"")"),"['Bujug', 'busyet', 'price', 'package', 'crazyaaaaa', 'strong', ""]")</f>
        <v>['Bujug', 'busyet', 'price', 'package', 'crazyaaaaa', 'strong', "]</v>
      </c>
      <c r="D21356" s="3">
        <v>3.0</v>
      </c>
    </row>
    <row r="21357" ht="15.75" customHeight="1">
      <c r="A21357" s="1">
        <v>22690.0</v>
      </c>
      <c r="B21357" s="3" t="s">
        <v>20173</v>
      </c>
      <c r="C21357" s="3" t="str">
        <f>IFERROR(__xludf.DUMMYFUNCTION("GOOGLETRANSLATE(B21357,""id"",""en"")"),"['Best', 'Anyway']")</f>
        <v>['Best', 'Anyway']</v>
      </c>
      <c r="D21357" s="3">
        <v>5.0</v>
      </c>
    </row>
    <row r="21358" ht="15.75" customHeight="1">
      <c r="A21358" s="1">
        <v>22691.0</v>
      </c>
      <c r="B21358" s="3" t="s">
        <v>20174</v>
      </c>
      <c r="C21358" s="3" t="str">
        <f>IFERROR(__xludf.DUMMYFUNCTION("GOOGLETRANSLATE(B21358,""id"",""en"")"),"['Network', 'Kayak', 'Telkomsel', 'Network', 'Stable', 'Please', 'Repaired', 'The Network', ""]")</f>
        <v>['Network', 'Kayak', 'Telkomsel', 'Network', 'Stable', 'Please', 'Repaired', 'The Network', "]</v>
      </c>
      <c r="D21358" s="3">
        <v>1.0</v>
      </c>
    </row>
    <row r="21359" ht="15.75" customHeight="1">
      <c r="A21359" s="1">
        <v>22692.0</v>
      </c>
      <c r="B21359" s="3" t="s">
        <v>20175</v>
      </c>
      <c r="C21359" s="3" t="str">
        <f>IFERROR(__xludf.DUMMYFUNCTION("GOOGLETRANSLATE(B21359,""id"",""en"")"),"['Please', 'Fix', 'Connection', 'Network', 'Package', 'Data', 'Game', 'Severe', 'JRINGAN', 'Disconnect', ""]")</f>
        <v>['Please', 'Fix', 'Connection', 'Network', 'Package', 'Data', 'Game', 'Severe', 'JRINGAN', 'Disconnect', "]</v>
      </c>
      <c r="D21359" s="3">
        <v>1.0</v>
      </c>
    </row>
    <row r="21360" ht="15.75" customHeight="1">
      <c r="A21360" s="1">
        <v>22693.0</v>
      </c>
      <c r="B21360" s="3" t="s">
        <v>20176</v>
      </c>
      <c r="C21360" s="3" t="str">
        <f>IFERROR(__xludf.DUMMYFUNCTION("GOOGLETRANSLATE(B21360,""id"",""en"")"),"['Buaka', 'the application', 'slow', 'really', 'Please', 'fix']")</f>
        <v>['Buaka', 'the application', 'slow', 'really', 'Please', 'fix']</v>
      </c>
      <c r="D21360" s="3">
        <v>1.0</v>
      </c>
    </row>
    <row r="21361" ht="15.75" customHeight="1">
      <c r="A21361" s="1">
        <v>22694.0</v>
      </c>
      <c r="B21361" s="3" t="s">
        <v>20177</v>
      </c>
      <c r="C21361" s="3" t="str">
        <f>IFERROR(__xludf.DUMMYFUNCTION("GOOGLETRANSLATE(B21361,""id"",""en"")"),"['private sector worker']")</f>
        <v>['private sector worker']</v>
      </c>
      <c r="D21361" s="3">
        <v>5.0</v>
      </c>
    </row>
    <row r="21362" ht="15.75" customHeight="1">
      <c r="A21362" s="1">
        <v>22695.0</v>
      </c>
      <c r="B21362" s="3" t="s">
        <v>7724</v>
      </c>
      <c r="C21362" s="3" t="str">
        <f>IFERROR(__xludf.DUMMYFUNCTION("GOOGLETRANSLATE(B21362,""id"",""en"")"),"['Telkomsel', 'heart', '']")</f>
        <v>['Telkomsel', 'heart', '']</v>
      </c>
      <c r="D21362" s="3">
        <v>5.0</v>
      </c>
    </row>
    <row r="21363" ht="15.75" customHeight="1">
      <c r="A21363" s="1">
        <v>22697.0</v>
      </c>
      <c r="B21363" s="3" t="s">
        <v>20178</v>
      </c>
      <c r="C21363" s="3" t="str">
        <f>IFERROR(__xludf.DUMMYFUNCTION("GOOGLETRANSLATE(B21363,""id"",""en"")"),"['trouble', 'kah', 'package', 'run out', '']")</f>
        <v>['trouble', 'kah', 'package', 'run out', '']</v>
      </c>
      <c r="D21363" s="3">
        <v>2.0</v>
      </c>
    </row>
    <row r="21364" ht="15.75" customHeight="1">
      <c r="A21364" s="1">
        <v>22698.0</v>
      </c>
      <c r="B21364" s="3" t="s">
        <v>20179</v>
      </c>
      <c r="C21364" s="3" t="str">
        <f>IFERROR(__xludf.DUMMYFUNCTION("GOOGLETRANSLATE(B21364,""id"",""en"")"),"['Disappointed', 'Threat', 'The Network']")</f>
        <v>['Disappointed', 'Threat', 'The Network']</v>
      </c>
      <c r="D21364" s="3">
        <v>1.0</v>
      </c>
    </row>
    <row r="21365" ht="15.75" customHeight="1">
      <c r="A21365" s="1">
        <v>22699.0</v>
      </c>
      <c r="B21365" s="3" t="s">
        <v>20180</v>
      </c>
      <c r="C21365" s="3" t="str">
        <f>IFERROR(__xludf.DUMMYFUNCTION("GOOGLETRANSLATE(B21365,""id"",""en"")"),"['Please', 'Tsel', 'Network', 'Region', 'Kec', 'Mine', 'Kab', 'Kampar', 'already', 'Network', ""]")</f>
        <v>['Please', 'Tsel', 'Network', 'Region', 'Kec', 'Mine', 'Kab', 'Kampar', 'already', 'Network', "]</v>
      </c>
      <c r="D21365" s="3">
        <v>1.0</v>
      </c>
    </row>
    <row r="21366" ht="15.75" customHeight="1">
      <c r="A21366" s="1">
        <v>22700.0</v>
      </c>
      <c r="B21366" s="3" t="s">
        <v>20181</v>
      </c>
      <c r="C21366" s="3" t="str">
        <f>IFERROR(__xludf.DUMMYFUNCTION("GOOGLETRANSLATE(B21366,""id"",""en"")"),"['Telkomsel', 'already', 'like', 'lemoot', 'pool', 'signal', 'internet', 'like', 'axis',' times', 'buy', 'package', ' Data ',' Telkomsel ',' ']")</f>
        <v>['Telkomsel', 'already', 'like', 'lemoot', 'pool', 'signal', 'internet', 'like', 'axis',' times', 'buy', 'package', ' Data ',' Telkomsel ',' ']</v>
      </c>
      <c r="D21366" s="3">
        <v>1.0</v>
      </c>
    </row>
    <row r="21367" ht="15.75" customHeight="1">
      <c r="A21367" s="1">
        <v>22701.0</v>
      </c>
      <c r="B21367" s="3" t="s">
        <v>20182</v>
      </c>
      <c r="C21367" s="3" t="str">
        <f>IFERROR(__xludf.DUMMYFUNCTION("GOOGLETRANSLATE(B21367,""id"",""en"")"),"['signal', 'rich']")</f>
        <v>['signal', 'rich']</v>
      </c>
      <c r="D21367" s="3">
        <v>1.0</v>
      </c>
    </row>
    <row r="21368" ht="15.75" customHeight="1">
      <c r="A21368" s="1">
        <v>22702.0</v>
      </c>
      <c r="B21368" s="3" t="s">
        <v>20183</v>
      </c>
      <c r="C21368" s="3" t="str">
        <f>IFERROR(__xludf.DUMMYFUNCTION("GOOGLETRANSLATE(B21368,""id"",""en"")"),"['', 'Teklkomsel', 'steady']")</f>
        <v>['', 'Teklkomsel', 'steady']</v>
      </c>
      <c r="D21368" s="3">
        <v>5.0</v>
      </c>
    </row>
    <row r="21369" ht="15.75" customHeight="1">
      <c r="A21369" s="1">
        <v>22703.0</v>
      </c>
      <c r="B21369" s="3" t="s">
        <v>20184</v>
      </c>
      <c r="C21369" s="3" t="str">
        <f>IFERROR(__xludf.DUMMYFUNCTION("GOOGLETRANSLATE(B21369,""id"",""en"")"),"['', 'kagak', 'login', 'reset', 'kampreeeett', 'logout', 'sndiri', 'funny', 'product', 'expensive', 'doank', 'TPI', 'quality ',' Jelekk ',' please ',' dehh ',' log ',' many ',' get ',' notif ',' sms', 'otp', 'kagak', 'open', 'link', 'basic', 'abal', 'fix'"&amp;", 'donk', 'service', 'pecma', 'expensive', 'cost', 'quality', 'equivalent', 'dngan', 'gsm', "" ]")</f>
        <v>['', 'kagak', 'login', 'reset', 'kampreeeett', 'logout', 'sndiri', 'funny', 'product', 'expensive', 'doank', 'TPI', 'quality ',' Jelekk ',' please ',' dehh ',' log ',' many ',' get ',' notif ',' sms', 'otp', 'kagak', 'open', 'link', 'basic', 'abal', 'fix', 'donk', 'service', 'pecma', 'expensive', 'cost', 'quality', 'equivalent', 'dngan', 'gsm', " ]</v>
      </c>
      <c r="D21369" s="3">
        <v>1.0</v>
      </c>
    </row>
    <row r="21370" ht="15.75" customHeight="1">
      <c r="A21370" s="1">
        <v>22704.0</v>
      </c>
      <c r="B21370" s="3" t="s">
        <v>9701</v>
      </c>
      <c r="C21370" s="3" t="str">
        <f>IFERROR(__xludf.DUMMYFUNCTION("GOOGLETRANSLATE(B21370,""id"",""en"")"),"['best', '']")</f>
        <v>['best', '']</v>
      </c>
      <c r="D21370" s="3">
        <v>5.0</v>
      </c>
    </row>
    <row r="21371" ht="15.75" customHeight="1">
      <c r="A21371" s="1">
        <v>22705.0</v>
      </c>
      <c r="B21371" s="3" t="s">
        <v>20185</v>
      </c>
      <c r="C21371" s="3" t="str">
        <f>IFERROR(__xludf.DUMMYFUNCTION("GOOGLETRANSLATE(B21371,""id"",""en"")"),"['Not bad', 'satisfying', 'help', 'enhanced', 'quality', 'quantity', 'good', 'luck', '']")</f>
        <v>['Not bad', 'satisfying', 'help', 'enhanced', 'quality', 'quantity', 'good', 'luck', '']</v>
      </c>
      <c r="D21371" s="3">
        <v>4.0</v>
      </c>
    </row>
    <row r="21372" ht="15.75" customHeight="1">
      <c r="A21372" s="1">
        <v>22706.0</v>
      </c>
      <c r="B21372" s="3" t="s">
        <v>20186</v>
      </c>
      <c r="C21372" s="3" t="str">
        <f>IFERROR(__xludf.DUMMYFUNCTION("GOOGLETRANSLATE(B21372,""id"",""en"")"),"['quality', 'signal', 'bad', 'yesterday', 'buy', 'package']")</f>
        <v>['quality', 'signal', 'bad', 'yesterday', 'buy', 'package']</v>
      </c>
      <c r="D21372" s="3">
        <v>1.0</v>
      </c>
    </row>
    <row r="21373" ht="15.75" customHeight="1">
      <c r="A21373" s="1">
        <v>22707.0</v>
      </c>
      <c r="B21373" s="3" t="s">
        <v>20187</v>
      </c>
      <c r="C21373" s="3" t="str">
        <f>IFERROR(__xludf.DUMMYFUNCTION("GOOGLETRANSLATE(B21373,""id"",""en"")"),"['Thank you', 'The network', 'weak', 'user', 'replace', 'Thank you', 'presents',' package ',' internet ',' slow ',' expensive ',' satisfied ',' quality ',' comparable ',' price ']")</f>
        <v>['Thank you', 'The network', 'weak', 'user', 'replace', 'Thank you', 'presents',' package ',' internet ',' slow ',' expensive ',' satisfied ',' quality ',' comparable ',' price ']</v>
      </c>
      <c r="D21373" s="3">
        <v>5.0</v>
      </c>
    </row>
    <row r="21374" ht="15.75" customHeight="1">
      <c r="A21374" s="1">
        <v>22708.0</v>
      </c>
      <c r="B21374" s="3" t="s">
        <v>20188</v>
      </c>
      <c r="C21374" s="3" t="str">
        <f>IFERROR(__xludf.DUMMYFUNCTION("GOOGLETRANSLATE(B21374,""id"",""en"")"),"['enter', 'bro', 'application', 'operator']")</f>
        <v>['enter', 'bro', 'application', 'operator']</v>
      </c>
      <c r="D21374" s="3">
        <v>1.0</v>
      </c>
    </row>
    <row r="21375" ht="15.75" customHeight="1">
      <c r="A21375" s="1">
        <v>22709.0</v>
      </c>
      <c r="B21375" s="3" t="s">
        <v>20189</v>
      </c>
      <c r="C21375" s="3" t="str">
        <f>IFERROR(__xludf.DUMMYFUNCTION("GOOGLETRANSLATE(B21375,""id"",""en"")"),"['application', 'bother', 'need', 'login', 'difficult', 'open', 'login', 'reset', 'it open', 'BENAHIN', 'already', 'expensive', ' TPI ',' Kualitaa ',' Makinbagus', 'Bad']")</f>
        <v>['application', 'bother', 'need', 'login', 'difficult', 'open', 'login', 'reset', 'it open', 'BENAHIN', 'already', 'expensive', ' TPI ',' Kualitaa ',' Makinbagus', 'Bad']</v>
      </c>
      <c r="D21375" s="3">
        <v>1.0</v>
      </c>
    </row>
    <row r="21376" ht="15.75" customHeight="1">
      <c r="A21376" s="1">
        <v>22710.0</v>
      </c>
      <c r="B21376" s="3" t="s">
        <v>20190</v>
      </c>
      <c r="C21376" s="3" t="str">
        <f>IFERROR(__xludf.DUMMYFUNCTION("GOOGLETRANSLATE(B21376,""id"",""en"")"),"['Telkomsel', 'severe', 'signal', 'jakarta', 'west', 'quota', 'expensive', 'network', 'slow', 'gax', 'balanced']")</f>
        <v>['Telkomsel', 'severe', 'signal', 'jakarta', 'west', 'quota', 'expensive', 'network', 'slow', 'gax', 'balanced']</v>
      </c>
      <c r="D21376" s="3">
        <v>1.0</v>
      </c>
    </row>
    <row r="21377" ht="15.75" customHeight="1">
      <c r="A21377" s="1">
        <v>22711.0</v>
      </c>
      <c r="B21377" s="3" t="s">
        <v>20191</v>
      </c>
      <c r="C21377" s="3" t="str">
        <f>IFERROR(__xludf.DUMMYFUNCTION("GOOGLETRANSLATE(B21377,""id"",""en"")"),"['network', 'UDH', 'NGK', 'good', 'quota', 'expensive', 'ngpain', 'buy', 'quota', 'network', 'here', 'ngeeleg', ' Leet ',' ']")</f>
        <v>['network', 'UDH', 'NGK', 'good', 'quota', 'expensive', 'ngpain', 'buy', 'quota', 'network', 'here', 'ngeeleg', ' Leet ',' ']</v>
      </c>
      <c r="D21377" s="3">
        <v>1.0</v>
      </c>
    </row>
    <row r="21378" ht="15.75" customHeight="1">
      <c r="A21378" s="1">
        <v>22712.0</v>
      </c>
      <c r="B21378" s="3" t="s">
        <v>20192</v>
      </c>
      <c r="C21378" s="3" t="str">
        <f>IFERROR(__xludf.DUMMYFUNCTION("GOOGLETRANSLATE(B21378,""id"",""en"")"),"['', 'Telkomsel', 'application', 'Bermana', 'check', 'balance', 'Points']")</f>
        <v>['', 'Telkomsel', 'application', 'Bermana', 'check', 'balance', 'Points']</v>
      </c>
      <c r="D21378" s="3">
        <v>5.0</v>
      </c>
    </row>
    <row r="21379" ht="15.75" customHeight="1">
      <c r="A21379" s="1">
        <v>22713.0</v>
      </c>
      <c r="B21379" s="3" t="s">
        <v>20193</v>
      </c>
      <c r="C21379" s="3" t="str">
        <f>IFERROR(__xludf.DUMMYFUNCTION("GOOGLETRANSLATE(B21379,""id"",""en"")"),"['Buy', 'Package', 'Application', 'Cheap']")</f>
        <v>['Buy', 'Package', 'Application', 'Cheap']</v>
      </c>
      <c r="D21379" s="3">
        <v>3.0</v>
      </c>
    </row>
    <row r="21380" ht="15.75" customHeight="1">
      <c r="A21380" s="1">
        <v>22715.0</v>
      </c>
      <c r="B21380" s="3" t="s">
        <v>20194</v>
      </c>
      <c r="C21380" s="3" t="str">
        <f>IFERROR(__xludf.DUMMYFUNCTION("GOOGLETRANSLATE(B21380,""id"",""en"")"),"['Area', 'Surabaya', 'South', 'Internet', 'lemoooottttttttttt']")</f>
        <v>['Area', 'Surabaya', 'South', 'Internet', 'lemoooottttttttttt']</v>
      </c>
      <c r="D21380" s="3">
        <v>2.0</v>
      </c>
    </row>
    <row r="21381" ht="15.75" customHeight="1">
      <c r="A21381" s="1">
        <v>22716.0</v>
      </c>
      <c r="B21381" s="3" t="s">
        <v>20195</v>
      </c>
      <c r="C21381" s="3" t="str">
        <f>IFERROR(__xludf.DUMMYFUNCTION("GOOGLETRANSLATE(B21381,""id"",""en"")"),"['satisfying', 'TPI', 'Reduced', 'price', 'package', 'internet']")</f>
        <v>['satisfying', 'TPI', 'Reduced', 'price', 'package', 'internet']</v>
      </c>
      <c r="D21381" s="3">
        <v>5.0</v>
      </c>
    </row>
    <row r="21382" ht="15.75" customHeight="1">
      <c r="A21382" s="1">
        <v>22717.0</v>
      </c>
      <c r="B21382" s="3" t="s">
        <v>20196</v>
      </c>
      <c r="C21382" s="3" t="str">
        <f>IFERROR(__xludf.DUMMYFUNCTION("GOOGLETRANSLATE(B21382,""id"",""en"")"),"['Please', 'package', 'nerf', 'expensive', 'times', ""]")</f>
        <v>['Please', 'package', 'nerf', 'expensive', 'times', "]</v>
      </c>
      <c r="D21382" s="3">
        <v>5.0</v>
      </c>
    </row>
    <row r="21383" ht="15.75" customHeight="1">
      <c r="A21383" s="1">
        <v>22718.0</v>
      </c>
      <c r="B21383" s="3" t="s">
        <v>20197</v>
      </c>
      <c r="C21383" s="3" t="str">
        <f>IFERROR(__xludf.DUMMYFUNCTION("GOOGLETRANSLATE(B21383,""id"",""en"")"),"['Telkomsel', 'here', 'bad', 'network', 'reviews',' bad ',' response ',' disappointment ',' dissatisfaction ',' user ',' noticed ',' please ',' cooperation ',' service ',' free ',' times', 'waterpark', 'mannnn', 'oiyaa', 'btw', 'open', 'locker', '']")</f>
        <v>['Telkomsel', 'here', 'bad', 'network', 'reviews',' bad ',' response ',' disappointment ',' dissatisfaction ',' user ',' noticed ',' please ',' cooperation ',' service ',' free ',' times', 'waterpark', 'mannnn', 'oiyaa', 'btw', 'open', 'locker', '']</v>
      </c>
      <c r="D21383" s="3">
        <v>1.0</v>
      </c>
    </row>
    <row r="21384" ht="15.75" customHeight="1">
      <c r="A21384" s="1">
        <v>22719.0</v>
      </c>
      <c r="B21384" s="3" t="s">
        <v>20198</v>
      </c>
      <c r="C21384" s="3" t="str">
        <f>IFERROR(__xludf.DUMMYFUNCTION("GOOGLETRANSLATE(B21384,""id"",""en"")"),"['Think', 'expensive', 'network', 'smooth', 'rotten', ""]")</f>
        <v>['Think', 'expensive', 'network', 'smooth', 'rotten', "]</v>
      </c>
      <c r="D21384" s="3">
        <v>1.0</v>
      </c>
    </row>
    <row r="21385" ht="15.75" customHeight="1">
      <c r="A21385" s="1">
        <v>22720.0</v>
      </c>
      <c r="B21385" s="3" t="s">
        <v>20199</v>
      </c>
      <c r="C21385" s="3" t="str">
        <f>IFERROR(__xludf.DUMMYFUNCTION("GOOGLETRANSLATE(B21385,""id"",""en"")"),"['Feature', 'Complete', 'complaints', 'Consumer', 'Telkomsel', 'shows', 'ugliness', 'prove', 'operator', ""]")</f>
        <v>['Feature', 'Complete', 'complaints', 'Consumer', 'Telkomsel', 'shows', 'ugliness', 'prove', 'operator', "]</v>
      </c>
      <c r="D21385" s="3">
        <v>1.0</v>
      </c>
    </row>
    <row r="21386" ht="15.75" customHeight="1">
      <c r="A21386" s="1">
        <v>22721.0</v>
      </c>
      <c r="B21386" s="3" t="s">
        <v>20200</v>
      </c>
      <c r="C21386" s="3" t="str">
        <f>IFERROR(__xludf.DUMMYFUNCTION("GOOGLETRANSLATE(B21386,""id"",""en"")"),"['Apply', 'BURIK', 'Open', 'menu', 'colonies', 'Ngilak', 'troubel', ""]")</f>
        <v>['Apply', 'BURIK', 'Open', 'menu', 'colonies', 'Ngilak', 'troubel', "]</v>
      </c>
      <c r="D21386" s="3">
        <v>1.0</v>
      </c>
    </row>
    <row r="21387" ht="15.75" customHeight="1">
      <c r="A21387" s="1">
        <v>22722.0</v>
      </c>
      <c r="B21387" s="3" t="s">
        <v>20201</v>
      </c>
      <c r="C21387" s="3" t="str">
        <f>IFERROR(__xludf.DUMMYFUNCTION("GOOGLETRANSLATE(B21387,""id"",""en"")"),"['Thanks', 'Love', 'Package', 'Free', '']")</f>
        <v>['Thanks', 'Love', 'Package', 'Free', '']</v>
      </c>
      <c r="D21387" s="3">
        <v>5.0</v>
      </c>
    </row>
    <row r="21388" ht="15.75" customHeight="1">
      <c r="A21388" s="1">
        <v>22723.0</v>
      </c>
      <c r="B21388" s="3" t="s">
        <v>20202</v>
      </c>
      <c r="C21388" s="3" t="str">
        <f>IFERROR(__xludf.DUMMYFUNCTION("GOOGLETRANSLATE(B21388,""id"",""en"")"),"['package', 'gamemax', 'thrown', 'oath', 'really', 'package', 'waste', 'pulse', 'internet', 'ngelag', 'really']")</f>
        <v>['package', 'gamemax', 'thrown', 'oath', 'really', 'package', 'waste', 'pulse', 'internet', 'ngelag', 'really']</v>
      </c>
      <c r="D21388" s="3">
        <v>1.0</v>
      </c>
    </row>
    <row r="21389" ht="15.75" customHeight="1">
      <c r="A21389" s="1">
        <v>22724.0</v>
      </c>
      <c r="B21389" s="3" t="s">
        <v>20203</v>
      </c>
      <c r="C21389" s="3" t="str">
        <f>IFERROR(__xludf.DUMMYFUNCTION("GOOGLETRANSLATE(B21389,""id"",""en"")"),"['', 'wife', 'loyal', 'hold', '']")</f>
        <v>['', 'wife', 'loyal', 'hold', '']</v>
      </c>
      <c r="D21389" s="3">
        <v>5.0</v>
      </c>
    </row>
    <row r="21390" ht="15.75" customHeight="1">
      <c r="A21390" s="1">
        <v>22725.0</v>
      </c>
      <c r="B21390" s="3" t="s">
        <v>20204</v>
      </c>
      <c r="C21390" s="3" t="str">
        <f>IFERROR(__xludf.DUMMYFUNCTION("GOOGLETRANSLATE(B21390,""id"",""en"")"),"['likes',' Telkomsel ',' understand ',' package ',' that's', 'kayak', 'quota', 'watch', 'quota', 'sosmed', 'quota', 'sosmed', ' Local ',' etc. ',' Times', 'Description', 'APK', 'quota', 'ask', 'Mulu', 'Twitter', 'account', 'Officer', 'Customer', 'Service'"&amp;" , 'friendly', 'BTW', 'explained', 'short', 'The', 'Point', 'Basa', 'stale']")</f>
        <v>['likes',' Telkomsel ',' understand ',' package ',' that's', 'kayak', 'quota', 'watch', 'quota', 'sosmed', 'quota', 'sosmed', ' Local ',' etc. ',' Times', 'Description', 'APK', 'quota', 'ask', 'Mulu', 'Twitter', 'account', 'Officer', 'Customer', 'Service' , 'friendly', 'BTW', 'explained', 'short', 'The', 'Point', 'Basa', 'stale']</v>
      </c>
      <c r="D21390" s="3">
        <v>5.0</v>
      </c>
    </row>
    <row r="21391" ht="15.75" customHeight="1">
      <c r="A21391" s="1">
        <v>22726.0</v>
      </c>
      <c r="B21391" s="3" t="s">
        <v>20205</v>
      </c>
      <c r="C21391" s="3" t="str">
        <f>IFERROR(__xludf.DUMMYFUNCTION("GOOGLETRANSLATE(B21391,""id"",""en"")"),"['signal', 'Telkomsel', 'area', 'bad', 'price', 'package', 'expensive', 'signal', 'network', 'internet', 'bad', 'disappointed', ' Quality ',' network ',' internet ',' comparable ',' price ',' Dibillain ',' minus', 'love', ""]")</f>
        <v>['signal', 'Telkomsel', 'area', 'bad', 'price', 'package', 'expensive', 'signal', 'network', 'internet', 'bad', 'disappointed', ' Quality ',' network ',' internet ',' comparable ',' price ',' Dibillain ',' minus', 'love', "]</v>
      </c>
      <c r="D21391" s="3">
        <v>1.0</v>
      </c>
    </row>
    <row r="21392" ht="15.75" customHeight="1">
      <c r="A21392" s="1">
        <v>22727.0</v>
      </c>
      <c r="B21392" s="3" t="s">
        <v>20206</v>
      </c>
      <c r="C21392" s="3" t="str">
        <f>IFERROR(__xludf.DUMMYFUNCTION("GOOGLETRANSLATE(B21392,""id"",""en"")"),"['Assalamualaikum', 'Please', 'Sorry', 'User', 'Telkomsel', 'Knp', 'Gituh', 'Network', 'Telkomsel', 'Bad', 'Please', 'Fix', ' Users', 'Faithful', 'Telkomsel', 'Disappointed', 'Please', 'As soon as',' Nyah ',' Fix ',' disappointing ',' use ', ""]")</f>
        <v>['Assalamualaikum', 'Please', 'Sorry', 'User', 'Telkomsel', 'Knp', 'Gituh', 'Network', 'Telkomsel', 'Bad', 'Please', 'Fix', ' Users', 'Faithful', 'Telkomsel', 'Disappointed', 'Please', 'As soon as',' Nyah ',' Fix ',' disappointing ',' use ', "]</v>
      </c>
      <c r="D21392" s="3">
        <v>1.0</v>
      </c>
    </row>
    <row r="21393" ht="15.75" customHeight="1">
      <c r="A21393" s="1">
        <v>22728.0</v>
      </c>
      <c r="B21393" s="3" t="s">
        <v>20207</v>
      </c>
      <c r="C21393" s="3" t="str">
        <f>IFERROR(__xludf.DUMMYFUNCTION("GOOGLETRANSLATE(B21393,""id"",""en"")"),"['Likasi', 'wooIiii', 'signal', 'signal', 'ugly', 'signal', 'Telkomsel', '']")</f>
        <v>['Likasi', 'wooIiii', 'signal', 'signal', 'ugly', 'signal', 'Telkomsel', '']</v>
      </c>
      <c r="D21393" s="3">
        <v>1.0</v>
      </c>
    </row>
    <row r="21394" ht="15.75" customHeight="1">
      <c r="A21394" s="1">
        <v>22729.0</v>
      </c>
      <c r="B21394" s="3" t="s">
        <v>20208</v>
      </c>
      <c r="C21394" s="3" t="str">
        <f>IFERROR(__xludf.DUMMYFUNCTION("GOOGLETRANSLATE(B21394,""id"",""en"")"),"['Package', 'data', 'expensive', 'network', 'Kek', 'snail']")</f>
        <v>['Package', 'data', 'expensive', 'network', 'Kek', 'snail']</v>
      </c>
      <c r="D21394" s="3">
        <v>1.0</v>
      </c>
    </row>
    <row r="21395" ht="15.75" customHeight="1">
      <c r="A21395" s="1">
        <v>22730.0</v>
      </c>
      <c r="B21395" s="3" t="s">
        <v>20209</v>
      </c>
      <c r="C21395" s="3" t="str">
        <f>IFERROR(__xludf.DUMMYFUNCTION("GOOGLETRANSLATE(B21395,""id"",""en"")"),"['Region', 'Tanjung', 'Pandan', 'Belitung', 'Signal', 'Telkomsel', 'Disappear']")</f>
        <v>['Region', 'Tanjung', 'Pandan', 'Belitung', 'Signal', 'Telkomsel', 'Disappear']</v>
      </c>
      <c r="D21395" s="3">
        <v>1.0</v>
      </c>
    </row>
    <row r="21396" ht="15.75" customHeight="1">
      <c r="A21396" s="1">
        <v>22731.0</v>
      </c>
      <c r="B21396" s="3" t="s">
        <v>20210</v>
      </c>
      <c r="C21396" s="3" t="str">
        <f>IFERROR(__xludf.DUMMYFUNCTION("GOOGLETRANSLATE(B21396,""id"",""en"")"),"['Install', 'already', 'try', 'times', '']")</f>
        <v>['Install', 'already', 'try', 'times', '']</v>
      </c>
      <c r="D21396" s="3">
        <v>1.0</v>
      </c>
    </row>
    <row r="21397" ht="15.75" customHeight="1">
      <c r="A21397" s="1">
        <v>22732.0</v>
      </c>
      <c r="B21397" s="3" t="s">
        <v>20211</v>
      </c>
      <c r="C21397" s="3" t="str">
        <f>IFERROR(__xludf.DUMMYFUNCTION("GOOGLETRANSLATE(B21397,""id"",""en"")"),"['Bgus',' Dipcha ',' might ',' pass', 'ugly', 'skali', 'network', 'ngak', 'open', 'the application', 'pdhl', 'network', ' internet ',' good ',' alternating ',' install ',' uninstall ',' change ',' hope ',' in the future ',' good ',' deh ', ""]")</f>
        <v>['Bgus',' Dipcha ',' might ',' pass', 'ugly', 'skali', 'network', 'ngak', 'open', 'the application', 'pdhl', 'network', ' internet ',' good ',' alternating ',' install ',' uninstall ',' change ',' hope ',' in the future ',' good ',' deh ', "]</v>
      </c>
      <c r="D21397" s="3">
        <v>1.0</v>
      </c>
    </row>
    <row r="21398" ht="15.75" customHeight="1">
      <c r="A21398" s="1">
        <v>22733.0</v>
      </c>
      <c r="B21398" s="3" t="s">
        <v>20212</v>
      </c>
      <c r="C21398" s="3" t="str">
        <f>IFERROR(__xludf.DUMMYFUNCTION("GOOGLETRANSLATE(B21398,""id"",""en"")"),"['min', 'application', 'open', 'knapa', '']")</f>
        <v>['min', 'application', 'open', 'knapa', '']</v>
      </c>
      <c r="D21398" s="3">
        <v>4.0</v>
      </c>
    </row>
    <row r="21399" ht="15.75" customHeight="1">
      <c r="A21399" s="1">
        <v>22734.0</v>
      </c>
      <c r="B21399" s="3" t="s">
        <v>20213</v>
      </c>
      <c r="C21399" s="3" t="str">
        <f>IFERROR(__xludf.DUMMYFUNCTION("GOOGLETRANSLATE(B21399,""id"",""en"")"),"['Wei', 'Sinyal', 'Bagusin', 'Signal', 'Claim', 'Gift', 'Daily', 'Ceck', 'Quota', 'Multimedia', 'Network', 'Lemot', ' BANGJE ',' Download ',' Signal ',' Full ',' Reconnecting ']")</f>
        <v>['Wei', 'Sinyal', 'Bagusin', 'Signal', 'Claim', 'Gift', 'Daily', 'Ceck', 'Quota', 'Multimedia', 'Network', 'Lemot', ' BANGJE ',' Download ',' Signal ',' Full ',' Reconnecting ']</v>
      </c>
      <c r="D21399" s="3">
        <v>1.0</v>
      </c>
    </row>
    <row r="21400" ht="15.75" customHeight="1">
      <c r="A21400" s="1">
        <v>22735.0</v>
      </c>
      <c r="B21400" s="3" t="s">
        <v>20214</v>
      </c>
      <c r="C21400" s="3" t="str">
        <f>IFERROR(__xludf.DUMMYFUNCTION("GOOGLETRANSLATE(B21400,""id"",""en"")"),"['Login', 'Application', 'Siih', 'Severe', 'Telkomsel', 'The Network']")</f>
        <v>['Login', 'Application', 'Siih', 'Severe', 'Telkomsel', 'The Network']</v>
      </c>
      <c r="D21400" s="3">
        <v>2.0</v>
      </c>
    </row>
    <row r="21401" ht="15.75" customHeight="1">
      <c r="A21401" s="1">
        <v>22736.0</v>
      </c>
      <c r="B21401" s="3" t="s">
        <v>20215</v>
      </c>
      <c r="C21401" s="3" t="str">
        <f>IFERROR(__xludf.DUMMYFUNCTION("GOOGLETRANSLATE(B21401,""id"",""en"")"),"['Network', 'already']")</f>
        <v>['Network', 'already']</v>
      </c>
      <c r="D21401" s="3">
        <v>1.0</v>
      </c>
    </row>
    <row r="21402" ht="15.75" customHeight="1">
      <c r="A21402" s="1">
        <v>22737.0</v>
      </c>
      <c r="B21402" s="3" t="s">
        <v>20216</v>
      </c>
      <c r="C21402" s="3" t="str">
        <f>IFERROR(__xludf.DUMMYFUNCTION("GOOGLETRANSLATE(B21402,""id"",""en"")"),"['Come', 'ugly', 'network', 'price', 'expensive', 'balanced', 'price', 'quality', 'network', 'good', 'what', 'Sihh', ' ']")</f>
        <v>['Come', 'ugly', 'network', 'price', 'expensive', 'balanced', 'price', 'quality', 'network', 'good', 'what', 'Sihh', ' ']</v>
      </c>
      <c r="D21402" s="3">
        <v>1.0</v>
      </c>
    </row>
    <row r="21403" ht="15.75" customHeight="1">
      <c r="A21403" s="1">
        <v>22738.0</v>
      </c>
      <c r="B21403" s="3" t="s">
        <v>19059</v>
      </c>
      <c r="C21403" s="3" t="str">
        <f>IFERROR(__xludf.DUMMYFUNCTION("GOOGLETRANSLATE(B21403,""id"",""en"")"),"['easy', 'fast', '']")</f>
        <v>['easy', 'fast', '']</v>
      </c>
      <c r="D21403" s="3">
        <v>4.0</v>
      </c>
    </row>
    <row r="21404" ht="15.75" customHeight="1">
      <c r="A21404" s="1">
        <v>22740.0</v>
      </c>
      <c r="B21404" s="3" t="s">
        <v>20217</v>
      </c>
      <c r="C21404" s="3" t="str">
        <f>IFERROR(__xludf.DUMMYFUNCTION("GOOGLETRANSLATE(B21404,""id"",""en"")"),"['Kota', 'Mataram', 'Attract', 'Jaya', 'Road', 'Swasembada', 'NTB', 'Network', 'lag', 'boarding', 'boarding', 'floor', ' Please ',' pay attention ',' network ',' disturbed ',' play ',' task ', ""]")</f>
        <v>['Kota', 'Mataram', 'Attract', 'Jaya', 'Road', 'Swasembada', 'NTB', 'Network', 'lag', 'boarding', 'boarding', 'floor', ' Please ',' pay attention ',' network ',' disturbed ',' play ',' task ', "]</v>
      </c>
      <c r="D21404" s="3">
        <v>1.0</v>
      </c>
    </row>
    <row r="21405" ht="15.75" customHeight="1">
      <c r="A21405" s="1">
        <v>22741.0</v>
      </c>
      <c r="B21405" s="3" t="s">
        <v>20218</v>
      </c>
      <c r="C21405" s="3" t="str">
        <f>IFERROR(__xludf.DUMMYFUNCTION("GOOGLETRANSLATE(B21405,""id"",""en"")"),"['application', 'easy', 'control', 'pulse', 'package', 'internet']")</f>
        <v>['application', 'easy', 'control', 'pulse', 'package', 'internet']</v>
      </c>
      <c r="D21405" s="3">
        <v>5.0</v>
      </c>
    </row>
    <row r="21406" ht="15.75" customHeight="1">
      <c r="A21406" s="1">
        <v>22743.0</v>
      </c>
      <c r="B21406" s="3" t="s">
        <v>20219</v>
      </c>
      <c r="C21406" s="3" t="str">
        <f>IFERROR(__xludf.DUMMYFUNCTION("GOOGLETRANSLATE(B21406,""id"",""en"")"),"['Package', 'GB', 'All', 'Internet', 'Credit', 'Eat', '']")</f>
        <v>['Package', 'GB', 'All', 'Internet', 'Credit', 'Eat', '']</v>
      </c>
      <c r="D21406" s="3">
        <v>1.0</v>
      </c>
    </row>
    <row r="21407" ht="15.75" customHeight="1">
      <c r="A21407" s="1">
        <v>22744.0</v>
      </c>
      <c r="B21407" s="3" t="s">
        <v>20220</v>
      </c>
      <c r="C21407" s="3" t="str">
        <f>IFERROR(__xludf.DUMMYFUNCTION("GOOGLETRANSLATE(B21407,""id"",""en"")"),"['Hello', 'Telkomsel', 'How', 'Open', 'Application', 'Screen', 'White', 'Doang', 'Pay', 'Bill', ""]")</f>
        <v>['Hello', 'Telkomsel', 'How', 'Open', 'Application', 'Screen', 'White', 'Doang', 'Pay', 'Bill', "]</v>
      </c>
      <c r="D21407" s="3">
        <v>1.0</v>
      </c>
    </row>
    <row r="21408" ht="15.75" customHeight="1">
      <c r="A21408" s="1">
        <v>22745.0</v>
      </c>
      <c r="B21408" s="3" t="s">
        <v>20221</v>
      </c>
      <c r="C21408" s="3" t="str">
        <f>IFERROR(__xludf.DUMMYFUNCTION("GOOGLETRANSLATE(B21408,""id"",""en"")"),"['signal', 'down', 'waaaak', 'pieeeee', 'iki', '']")</f>
        <v>['signal', 'down', 'waaaak', 'pieeeee', 'iki', '']</v>
      </c>
      <c r="D21408" s="3">
        <v>1.0</v>
      </c>
    </row>
    <row r="21409" ht="15.75" customHeight="1">
      <c r="A21409" s="1">
        <v>22746.0</v>
      </c>
      <c r="B21409" s="3" t="s">
        <v>20222</v>
      </c>
      <c r="C21409" s="3" t="str">
        <f>IFERROR(__xludf.DUMMYFUNCTION("GOOGLETRANSLATE(B21409,""id"",""en"")"),"['hahahahah', 'feel', 'complaints', 'card', 'expensive', 'network', 'garbage', '']")</f>
        <v>['hahahahah', 'feel', 'complaints', 'card', 'expensive', 'network', 'garbage', '']</v>
      </c>
      <c r="D21409" s="3">
        <v>5.0</v>
      </c>
    </row>
    <row r="21410" ht="15.75" customHeight="1">
      <c r="A21410" s="1">
        <v>22747.0</v>
      </c>
      <c r="B21410" s="3" t="s">
        <v>20223</v>
      </c>
      <c r="C21410" s="3" t="str">
        <f>IFERROR(__xludf.DUMMYFUNCTION("GOOGLETRANSLATE(B21410,""id"",""en"")"),"['Knp', 'Network', 'City', 'Padang', 'Severe']")</f>
        <v>['Knp', 'Network', 'City', 'Padang', 'Severe']</v>
      </c>
      <c r="D21410" s="3">
        <v>2.0</v>
      </c>
    </row>
    <row r="21411" ht="15.75" customHeight="1">
      <c r="A21411" s="1">
        <v>22748.0</v>
      </c>
      <c r="B21411" s="3" t="s">
        <v>20224</v>
      </c>
      <c r="C21411" s="3" t="str">
        <f>IFERROR(__xludf.DUMMYFUNCTION("GOOGLETRANSLATE(B21411,""id"",""en"")"),"['Signal', 'Severe', 'Game', 'Setabil', 'Teros', 'Telkomsel', 'Severe', 'Paketan', 'Expensive', 'Signal', 'Fix', ""]")</f>
        <v>['Signal', 'Severe', 'Game', 'Setabil', 'Teros', 'Telkomsel', 'Severe', 'Paketan', 'Expensive', 'Signal', 'Fix', "]</v>
      </c>
      <c r="D21411" s="3">
        <v>1.0</v>
      </c>
    </row>
    <row r="21412" ht="15.75" customHeight="1">
      <c r="A21412" s="1">
        <v>22749.0</v>
      </c>
      <c r="B21412" s="3" t="s">
        <v>20225</v>
      </c>
      <c r="C21412" s="3" t="str">
        <f>IFERROR(__xludf.DUMMYFUNCTION("GOOGLETRANSLATE(B21412,""id"",""en"")"),"['Lahh', 'gabisa', 'entry', 'ogeb']")</f>
        <v>['Lahh', 'gabisa', 'entry', 'ogeb']</v>
      </c>
      <c r="D21412" s="3">
        <v>1.0</v>
      </c>
    </row>
    <row r="21413" ht="15.75" customHeight="1">
      <c r="A21413" s="1">
        <v>22750.0</v>
      </c>
      <c r="B21413" s="3" t="s">
        <v>20226</v>
      </c>
      <c r="C21413" s="3" t="str">
        <f>IFERROR(__xludf.DUMMYFUNCTION("GOOGLETRANSLATE(B21413,""id"",""en"")"),"['pulse', 'sufficient', 'purchase', 'package', 'ksel']")</f>
        <v>['pulse', 'sufficient', 'purchase', 'package', 'ksel']</v>
      </c>
      <c r="D21413" s="3">
        <v>3.0</v>
      </c>
    </row>
    <row r="21414" ht="15.75" customHeight="1">
      <c r="A21414" s="1">
        <v>22751.0</v>
      </c>
      <c r="B21414" s="3" t="s">
        <v>20227</v>
      </c>
      <c r="C21414" s="3" t="str">
        <f>IFERROR(__xludf.DUMMYFUNCTION("GOOGLETRANSLATE(B21414,""id"",""en"")"),"['Severe', 'Credit', 'Use', 'Khatas', 'Abis', ""]")</f>
        <v>['Severe', 'Credit', 'Use', 'Khatas', 'Abis', "]</v>
      </c>
      <c r="D21414" s="3">
        <v>1.0</v>
      </c>
    </row>
    <row r="21415" ht="15.75" customHeight="1">
      <c r="A21415" s="1">
        <v>22752.0</v>
      </c>
      <c r="B21415" s="3" t="s">
        <v>13062</v>
      </c>
      <c r="C21415" s="3" t="str">
        <f>IFERROR(__xludf.DUMMYFUNCTION("GOOGLETRANSLATE(B21415,""id"",""en"")"),"['Price', 'Package']")</f>
        <v>['Price', 'Package']</v>
      </c>
      <c r="D21415" s="3">
        <v>2.0</v>
      </c>
    </row>
    <row r="21416" ht="15.75" customHeight="1">
      <c r="A21416" s="1">
        <v>22753.0</v>
      </c>
      <c r="B21416" s="3" t="s">
        <v>20228</v>
      </c>
      <c r="C21416" s="3" t="str">
        <f>IFERROR(__xludf.DUMMYFUNCTION("GOOGLETRANSLATE(B21416,""id"",""en"")"),"['Telkomsel', 'Benerin', 'signal', 'as soon as possible,' ngak ',' Mending ',' Ush ',' card ',' Telkomsel ',' deh ',' kouta ',' expensive ',' Network ',' slow ',' Pulak ',' repay ',' Mending ',' closed ',' company ',' Telkomsel ']")</f>
        <v>['Telkomsel', 'Benerin', 'signal', 'as soon as possible,' ngak ',' Mending ',' Ush ',' card ',' Telkomsel ',' deh ',' kouta ',' expensive ',' Network ',' slow ',' Pulak ',' repay ',' Mending ',' closed ',' company ',' Telkomsel ']</v>
      </c>
      <c r="D21416" s="3">
        <v>1.0</v>
      </c>
    </row>
    <row r="21417" ht="15.75" customHeight="1">
      <c r="A21417" s="1">
        <v>22754.0</v>
      </c>
      <c r="B21417" s="3" t="s">
        <v>20229</v>
      </c>
      <c r="C21417" s="3" t="str">
        <f>IFERROR(__xludf.DUMMYFUNCTION("GOOGLETRANSLATE(B21417,""id"",""en"")"),"['strange', 'installed', 'checked', 'no', 'Try', 'Download', 'installed']")</f>
        <v>['strange', 'installed', 'checked', 'no', 'Try', 'Download', 'installed']</v>
      </c>
      <c r="D21417" s="3">
        <v>1.0</v>
      </c>
    </row>
    <row r="21418" ht="15.75" customHeight="1">
      <c r="A21418" s="1">
        <v>22755.0</v>
      </c>
      <c r="B21418" s="3" t="s">
        <v>20230</v>
      </c>
      <c r="C21418" s="3" t="str">
        <f>IFERROR(__xludf.DUMMYFUNCTION("GOOGLETRANSLATE(B21418,""id"",""en"")"),"['Telkomsel', 'ugly', 'electricity', 'go out', 'network', 'cave', 'moved', 'customer', 'ugly', 'quality', ""]")</f>
        <v>['Telkomsel', 'ugly', 'electricity', 'go out', 'network', 'cave', 'moved', 'customer', 'ugly', 'quality', "]</v>
      </c>
      <c r="D21418" s="3">
        <v>1.0</v>
      </c>
    </row>
    <row r="21419" ht="15.75" customHeight="1">
      <c r="A21419" s="1">
        <v>22756.0</v>
      </c>
      <c r="B21419" s="3" t="s">
        <v>20231</v>
      </c>
      <c r="C21419" s="3" t="str">
        <f>IFERROR(__xludf.DUMMYFUNCTION("GOOGLETRANSLATE(B21419,""id"",""en"")"),"['Benerin', 'signal', ""]")</f>
        <v>['Benerin', 'signal', "]</v>
      </c>
      <c r="D21419" s="3">
        <v>1.0</v>
      </c>
    </row>
    <row r="21420" ht="15.75" customHeight="1">
      <c r="A21420" s="1">
        <v>22757.0</v>
      </c>
      <c r="B21420" s="3" t="s">
        <v>20232</v>
      </c>
      <c r="C21420" s="3" t="str">
        <f>IFERROR(__xludf.DUMMYFUNCTION("GOOGLETRANSLATE(B21420,""id"",""en"")"),"['process', 'transaction', 'buy', 'quota', 'kog', ""]")</f>
        <v>['process', 'transaction', 'buy', 'quota', 'kog', "]</v>
      </c>
      <c r="D21420" s="3">
        <v>4.0</v>
      </c>
    </row>
    <row r="21421" ht="15.75" customHeight="1">
      <c r="A21421" s="1">
        <v>22759.0</v>
      </c>
      <c r="B21421" s="3" t="s">
        <v>20233</v>
      </c>
      <c r="C21421" s="3" t="str">
        <f>IFERROR(__xludf.DUMMYFUNCTION("GOOGLETRANSLATE(B21421,""id"",""en"")"),"['Share', 'Point', 'Telkomsel']")</f>
        <v>['Share', 'Point', 'Telkomsel']</v>
      </c>
      <c r="D21421" s="3">
        <v>5.0</v>
      </c>
    </row>
    <row r="21422" ht="15.75" customHeight="1">
      <c r="A21422" s="1">
        <v>22760.0</v>
      </c>
      <c r="B21422" s="3" t="s">
        <v>20234</v>
      </c>
      <c r="C21422" s="3" t="str">
        <f>IFERROR(__xludf.DUMMYFUNCTION("GOOGLETRANSLATE(B21422,""id"",""en"")"),"['Nienedain', 'Package', 'Combo', 'Sakti', 'Unlimited', 'Quota', 'Multimedia', 'Sosmed', 'YouTube', 'Lemot', 'Used']")</f>
        <v>['Nienedain', 'Package', 'Combo', 'Sakti', 'Unlimited', 'Quota', 'Multimedia', 'Sosmed', 'YouTube', 'Lemot', 'Used']</v>
      </c>
      <c r="D21422" s="3">
        <v>1.0</v>
      </c>
    </row>
    <row r="21423" ht="15.75" customHeight="1">
      <c r="A21423" s="1">
        <v>22761.0</v>
      </c>
      <c r="B21423" s="3" t="s">
        <v>20235</v>
      </c>
      <c r="C21423" s="3" t="str">
        <f>IFERROR(__xludf.DUMMYFUNCTION("GOOGLETRANSLATE(B21423,""id"",""en"")"),"['Package', 'bought', 'divided', 'if', 'family', 'use', 'sympathy', 'replace', 'yellow', 'ex', 'BUMN', ""]")</f>
        <v>['Package', 'bought', 'divided', 'if', 'family', 'use', 'sympathy', 'replace', 'yellow', 'ex', 'BUMN', "]</v>
      </c>
      <c r="D21423" s="3">
        <v>1.0</v>
      </c>
    </row>
    <row r="21424" ht="15.75" customHeight="1">
      <c r="A21424" s="1">
        <v>22762.0</v>
      </c>
      <c r="B21424" s="3" t="s">
        <v>20236</v>
      </c>
      <c r="C21424" s="3" t="str">
        <f>IFERROR(__xludf.DUMMYFUNCTION("GOOGLETRANSLATE(B21424,""id"",""en"")"),"['network', 'Telkomsel', 'already', 'ngak', 'good', 'good', 'company', 'private', 'ehh', 'country', 'network', 'bad', ' exceed ',' ugliness', 'sin', 'human', ""]")</f>
        <v>['network', 'Telkomsel', 'already', 'ngak', 'good', 'good', 'company', 'private', 'ehh', 'country', 'network', 'bad', ' exceed ',' ugliness', 'sin', 'human', "]</v>
      </c>
      <c r="D21424" s="3">
        <v>1.0</v>
      </c>
    </row>
    <row r="21425" ht="15.75" customHeight="1">
      <c r="A21425" s="1">
        <v>22763.0</v>
      </c>
      <c r="B21425" s="3" t="s">
        <v>20237</v>
      </c>
      <c r="C21425" s="3" t="str">
        <f>IFERROR(__xludf.DUMMYFUNCTION("GOOGLETRANSLATE(B21425,""id"",""en"")"),"['Update', 'Login', 'Error', 'Please']")</f>
        <v>['Update', 'Login', 'Error', 'Please']</v>
      </c>
      <c r="D21425" s="3">
        <v>1.0</v>
      </c>
    </row>
    <row r="21426" ht="15.75" customHeight="1">
      <c r="A21426" s="1">
        <v>22764.0</v>
      </c>
      <c r="B21426" s="3" t="s">
        <v>20238</v>
      </c>
      <c r="C21426" s="3" t="str">
        <f>IFERROR(__xludf.DUMMYFUNCTION("GOOGLETRANSLATE(B21426,""id"",""en"")"),"['Telkomsel', 'entry', 'application', 'failed', 'severe']")</f>
        <v>['Telkomsel', 'entry', 'application', 'failed', 'severe']</v>
      </c>
      <c r="D21426" s="3">
        <v>1.0</v>
      </c>
    </row>
    <row r="21427" ht="15.75" customHeight="1">
      <c r="A21427" s="1">
        <v>22765.0</v>
      </c>
      <c r="B21427" s="3" t="s">
        <v>20239</v>
      </c>
      <c r="C21427" s="3" t="str">
        <f>IFERROR(__xludf.DUMMYFUNCTION("GOOGLETRANSLATE(B21427,""id"",""en"")"),"['Data', 'cellular', 'use', 'Indosat', 'Oredoo', 'Telkomsel', 'Cut', 'pulse', 'information', 'use', 'access',' internet ',' non ',' package ',' hadeeuuh ',' package ',' data ',' use ',' network ',' corruption ',' name ']")</f>
        <v>['Data', 'cellular', 'use', 'Indosat', 'Oredoo', 'Telkomsel', 'Cut', 'pulse', 'information', 'use', 'access',' internet ',' non ',' package ',' hadeeuuh ',' package ',' data ',' use ',' network ',' corruption ',' name ']</v>
      </c>
      <c r="D21427" s="3">
        <v>1.0</v>
      </c>
    </row>
    <row r="21428" ht="15.75" customHeight="1">
      <c r="A21428" s="1">
        <v>22766.0</v>
      </c>
      <c r="B21428" s="3" t="s">
        <v>20240</v>
      </c>
      <c r="C21428" s="3" t="str">
        <f>IFERROR(__xludf.DUMMYFUNCTION("GOOGLETRANSLATE(B21428,""id"",""en"")"),"['signal', 'bad', 'cave', 'telkom', 'signal', 'kek', 'package', 'expensive', 'base', 'fortunately', 'thinking', 'people', ' ']")</f>
        <v>['signal', 'bad', 'cave', 'telkom', 'signal', 'kek', 'package', 'expensive', 'base', 'fortunately', 'thinking', 'people', ' ']</v>
      </c>
      <c r="D21428" s="3">
        <v>1.0</v>
      </c>
    </row>
    <row r="21429" ht="15.75" customHeight="1">
      <c r="A21429" s="1">
        <v>22767.0</v>
      </c>
      <c r="B21429" s="3" t="s">
        <v>20241</v>
      </c>
      <c r="C21429" s="3" t="str">
        <f>IFERROR(__xludf.DUMMYFUNCTION("GOOGLETRANSLATE(B21429,""id"",""en"")"),"['Mantul', 'Information', 'Choice', 'Products', 'Tsel', ""]")</f>
        <v>['Mantul', 'Information', 'Choice', 'Products', 'Tsel', "]</v>
      </c>
      <c r="D21429" s="3">
        <v>5.0</v>
      </c>
    </row>
    <row r="21430" ht="15.75" customHeight="1">
      <c r="A21430" s="1">
        <v>22768.0</v>
      </c>
      <c r="B21430" s="3" t="s">
        <v>2119</v>
      </c>
      <c r="C21430" s="3" t="str">
        <f>IFERROR(__xludf.DUMMYFUNCTION("GOOGLETRANSLATE(B21430,""id"",""en"")"),"['', 'opened']")</f>
        <v>['', 'opened']</v>
      </c>
      <c r="D21430" s="3">
        <v>1.0</v>
      </c>
    </row>
    <row r="21431" ht="15.75" customHeight="1">
      <c r="A21431" s="1">
        <v>22769.0</v>
      </c>
      <c r="B21431" s="3" t="s">
        <v>20242</v>
      </c>
      <c r="C21431" s="3" t="str">
        <f>IFERROR(__xludf.DUMMYFUNCTION("GOOGLETRANSLATE(B21431,""id"",""en"")"),"['Benerin', 'network', 'price', 'package', 'exorbitant', 'signal', 'down', 'asw']")</f>
        <v>['Benerin', 'network', 'price', 'package', 'exorbitant', 'signal', 'down', 'asw']</v>
      </c>
      <c r="D21431" s="3">
        <v>1.0</v>
      </c>
    </row>
    <row r="21432" ht="15.75" customHeight="1">
      <c r="A21432" s="1">
        <v>22770.0</v>
      </c>
      <c r="B21432" s="3" t="s">
        <v>20243</v>
      </c>
      <c r="C21432" s="3" t="str">
        <f>IFERROR(__xludf.DUMMYFUNCTION("GOOGLETRANSLATE(B21432,""id"",""en"")"),"['Down', 'Price', 'Bole', ""]")</f>
        <v>['Down', 'Price', 'Bole', "]</v>
      </c>
      <c r="D21432" s="3">
        <v>4.0</v>
      </c>
    </row>
    <row r="21433" ht="15.75" customHeight="1">
      <c r="A21433" s="1">
        <v>22771.0</v>
      </c>
      <c r="B21433" s="3" t="s">
        <v>20244</v>
      </c>
      <c r="C21433" s="3" t="str">
        <f>IFERROR(__xludf.DUMMYFUNCTION("GOOGLETRANSLATE(B21433,""id"",""en"")"),"['The network', 'please', 'repaired', 'like', 'missing', 'signal', 'area']")</f>
        <v>['The network', 'please', 'repaired', 'like', 'missing', 'signal', 'area']</v>
      </c>
      <c r="D21433" s="3">
        <v>2.0</v>
      </c>
    </row>
    <row r="21434" ht="15.75" customHeight="1">
      <c r="A21434" s="1">
        <v>22772.0</v>
      </c>
      <c r="B21434" s="3" t="s">
        <v>20245</v>
      </c>
      <c r="C21434" s="3" t="str">
        <f>IFERROR(__xludf.DUMMYFUNCTION("GOOGLETRANSLATE(B21434,""id"",""en"")"),"['buy', 'pulse', '']")</f>
        <v>['buy', 'pulse', '']</v>
      </c>
      <c r="D21434" s="3">
        <v>5.0</v>
      </c>
    </row>
    <row r="21435" ht="15.75" customHeight="1">
      <c r="A21435" s="1">
        <v>22773.0</v>
      </c>
      <c r="B21435" s="3" t="s">
        <v>20246</v>
      </c>
      <c r="C21435" s="3" t="str">
        <f>IFERROR(__xludf.DUMMYFUNCTION("GOOGLETRANSLATE(B21435,""id"",""en"")"),"['Please', 'repaired', 'disruption', 'wasteful', 'user', 'at home', 'repaired', 'loss', 'trust', 'users', 'Telkomsel', ""]")</f>
        <v>['Please', 'repaired', 'disruption', 'wasteful', 'user', 'at home', 'repaired', 'loss', 'trust', 'users', 'Telkomsel', "]</v>
      </c>
      <c r="D21435" s="3">
        <v>1.0</v>
      </c>
    </row>
    <row r="21436" ht="15.75" customHeight="1">
      <c r="A21436" s="1">
        <v>22774.0</v>
      </c>
      <c r="B21436" s="3" t="s">
        <v>20247</v>
      </c>
      <c r="C21436" s="3" t="str">
        <f>IFERROR(__xludf.DUMMYFUNCTION("GOOGLETRANSLATE(B21436,""id"",""en"")"),"['Application', 'opened', 'Install', '']")</f>
        <v>['Application', 'opened', 'Install', '']</v>
      </c>
      <c r="D21436" s="3">
        <v>3.0</v>
      </c>
    </row>
    <row r="21437" ht="15.75" customHeight="1">
      <c r="A21437" s="1">
        <v>22775.0</v>
      </c>
      <c r="B21437" s="3" t="s">
        <v>20248</v>
      </c>
      <c r="C21437" s="3" t="str">
        <f>IFERROR(__xludf.DUMMYFUNCTION("GOOGLETRANSLATE(B21437,""id"",""en"")"),"['application', 'good', 'tdak', 'troubles',' owner ',' account ',' see ',' leftover ',' internet ',' tnggal ',' BKA ',' APLI ',' good ',' really ',' deh ',' pkk ']")</f>
        <v>['application', 'good', 'tdak', 'troubles',' owner ',' account ',' see ',' leftover ',' internet ',' tnggal ',' BKA ',' APLI ',' good ',' really ',' deh ',' pkk ']</v>
      </c>
      <c r="D21437" s="3">
        <v>5.0</v>
      </c>
    </row>
    <row r="21438" ht="15.75" customHeight="1">
      <c r="A21438" s="1">
        <v>22776.0</v>
      </c>
      <c r="B21438" s="3" t="s">
        <v>12406</v>
      </c>
      <c r="C21438" s="3" t="str">
        <f>IFERROR(__xludf.DUMMYFUNCTION("GOOGLETRANSLATE(B21438,""id"",""en"")"),"['Application', 'Open', 'Error']")</f>
        <v>['Application', 'Open', 'Error']</v>
      </c>
      <c r="D21438" s="3">
        <v>1.0</v>
      </c>
    </row>
    <row r="21439" ht="15.75" customHeight="1">
      <c r="A21439" s="1">
        <v>22777.0</v>
      </c>
      <c r="B21439" s="3" t="s">
        <v>644</v>
      </c>
      <c r="C21439" s="3" t="str">
        <f>IFERROR(__xludf.DUMMYFUNCTION("GOOGLETRANSLATE(B21439,""id"",""en"")"),"['Promo']")</f>
        <v>['Promo']</v>
      </c>
      <c r="D21439" s="3">
        <v>5.0</v>
      </c>
    </row>
    <row r="21440" ht="15.75" customHeight="1">
      <c r="A21440" s="1">
        <v>22778.0</v>
      </c>
      <c r="B21440" s="3" t="s">
        <v>20249</v>
      </c>
      <c r="C21440" s="3" t="str">
        <f>IFERROR(__xludf.DUMMYFUNCTION("GOOGLETRANSLATE(B21440,""id"",""en"")"),"['Sorry', 'apk', 'Telkomsel', 'Bukak', 'suggestion']")</f>
        <v>['Sorry', 'apk', 'Telkomsel', 'Bukak', 'suggestion']</v>
      </c>
      <c r="D21440" s="3">
        <v>5.0</v>
      </c>
    </row>
    <row r="21441" ht="15.75" customHeight="1">
      <c r="A21441" s="1">
        <v>22780.0</v>
      </c>
      <c r="B21441" s="3" t="s">
        <v>20250</v>
      </c>
      <c r="C21441" s="3" t="str">
        <f>IFERROR(__xludf.DUMMYFUNCTION("GOOGLETRANSLATE(B21441,""id"",""en"")"),"['Favors', 'card', 'Telkomsel', 'reach', 'remote', 'country']")</f>
        <v>['Favors', 'card', 'Telkomsel', 'reach', 'remote', 'country']</v>
      </c>
      <c r="D21441" s="3">
        <v>5.0</v>
      </c>
    </row>
    <row r="21442" ht="15.75" customHeight="1">
      <c r="A21442" s="1">
        <v>22781.0</v>
      </c>
      <c r="B21442" s="3" t="s">
        <v>20251</v>
      </c>
      <c r="C21442" s="3" t="str">
        <f>IFERROR(__xludf.DUMMYFUNCTION("GOOGLETRANSLATE(B21442,""id"",""en"")"),"['already', 'umpsecuch', 'times',' buy ',' package ',' check ',' daily ',' missing ',' check ',' get ',' bonus', 'share', ' Severe ',' Telkomshit ',' ']")</f>
        <v>['already', 'umpsecuch', 'times',' buy ',' package ',' check ',' daily ',' missing ',' check ',' get ',' bonus', 'share', ' Severe ',' Telkomshit ',' ']</v>
      </c>
      <c r="D21442" s="3">
        <v>1.0</v>
      </c>
    </row>
    <row r="21443" ht="15.75" customHeight="1">
      <c r="A21443" s="1">
        <v>22782.0</v>
      </c>
      <c r="B21443" s="3" t="s">
        <v>20252</v>
      </c>
      <c r="C21443" s="3" t="str">
        <f>IFERROR(__xludf.DUMMYFUNCTION("GOOGLETRANSLATE(B21443,""id"",""en"")"),"['Credit', 'cave', 'cut', 'data', 'internet', 'turned off', 'fare', 'meal', 'money', 'illicit', 'Telkomsel', 'anjnk', ' Thieves', 'Money', 'People', 'Government', 'Help', 'Action', 'Telkomsel', 'Sense', 'Akalan', 'Pemrntah', 'Covering', 'Debt', 'Steal' , "&amp;"'public money', '']")</f>
        <v>['Credit', 'cave', 'cut', 'data', 'internet', 'turned off', 'fare', 'meal', 'money', 'illicit', 'Telkomsel', 'anjnk', ' Thieves', 'Money', 'People', 'Government', 'Help', 'Action', 'Telkomsel', 'Sense', 'Akalan', 'Pemrntah', 'Covering', 'Debt', 'Steal' , 'public money', '']</v>
      </c>
      <c r="D21443" s="3">
        <v>1.0</v>
      </c>
    </row>
    <row r="21444" ht="15.75" customHeight="1">
      <c r="A21444" s="1">
        <v>22783.0</v>
      </c>
      <c r="B21444" s="3" t="s">
        <v>20253</v>
      </c>
      <c r="C21444" s="3" t="str">
        <f>IFERROR(__xludf.DUMMYFUNCTION("GOOGLETRANSLATE(B21444,""id"",""en"")"),"['Hi', 'MiInn', 'Open', 'Apps', '']")</f>
        <v>['Hi', 'MiInn', 'Open', 'Apps', '']</v>
      </c>
      <c r="D21444" s="3">
        <v>5.0</v>
      </c>
    </row>
    <row r="21445" ht="15.75" customHeight="1">
      <c r="A21445" s="1">
        <v>22784.0</v>
      </c>
      <c r="B21445" s="3" t="s">
        <v>1167</v>
      </c>
      <c r="C21445" s="3" t="str">
        <f>IFERROR(__xludf.DUMMYFUNCTION("GOOGLETRANSLATE(B21445,""id"",""en"")"),"['help']")</f>
        <v>['help']</v>
      </c>
      <c r="D21445" s="3">
        <v>3.0</v>
      </c>
    </row>
    <row r="21446" ht="15.75" customHeight="1">
      <c r="A21446" s="1">
        <v>22785.0</v>
      </c>
      <c r="B21446" s="3" t="s">
        <v>20254</v>
      </c>
      <c r="C21446" s="3" t="str">
        <f>IFERROR(__xludf.DUMMYFUNCTION("GOOGLETRANSLATE(B21446,""id"",""en"")"),"['Try', 'Good', 'Addin']")</f>
        <v>['Try', 'Good', 'Addin']</v>
      </c>
      <c r="D21446" s="3">
        <v>3.0</v>
      </c>
    </row>
    <row r="21447" ht="15.75" customHeight="1">
      <c r="A21447" s="1">
        <v>22786.0</v>
      </c>
      <c r="B21447" s="3" t="s">
        <v>20255</v>
      </c>
      <c r="C21447" s="3" t="str">
        <f>IFERROR(__xludf.DUMMYFUNCTION("GOOGLETRANSLATE(B21447,""id"",""en"")"),"['Network', 'ugly', 'cave', 'pakek', '']")</f>
        <v>['Network', 'ugly', 'cave', 'pakek', '']</v>
      </c>
      <c r="D21447" s="3">
        <v>1.0</v>
      </c>
    </row>
    <row r="21448" ht="15.75" customHeight="1">
      <c r="A21448" s="1">
        <v>22787.0</v>
      </c>
      <c r="B21448" s="3" t="s">
        <v>20256</v>
      </c>
      <c r="C21448" s="3" t="str">
        <f>IFERROR(__xludf.DUMMYFUNCTION("GOOGLETRANSLATE(B21448,""id"",""en"")"),"['Contents', 'Package', 'Open', 'YouTube', 'Sousal', 'Ancur']")</f>
        <v>['Contents', 'Package', 'Open', 'YouTube', 'Sousal', 'Ancur']</v>
      </c>
      <c r="D21448" s="3">
        <v>1.0</v>
      </c>
    </row>
    <row r="21449" ht="15.75" customHeight="1">
      <c r="A21449" s="1">
        <v>22788.0</v>
      </c>
      <c r="B21449" s="3" t="s">
        <v>20257</v>
      </c>
      <c r="C21449" s="3" t="str">
        <f>IFERROR(__xludf.DUMMYFUNCTION("GOOGLETRANSLATE(B21449,""id"",""en"")"),"['ugly', 'quality', 'signal', '']")</f>
        <v>['ugly', 'quality', 'signal', '']</v>
      </c>
      <c r="D21449" s="3">
        <v>1.0</v>
      </c>
    </row>
    <row r="21450" ht="15.75" customHeight="1">
      <c r="A21450" s="1">
        <v>22789.0</v>
      </c>
      <c r="B21450" s="3" t="s">
        <v>20258</v>
      </c>
      <c r="C21450" s="3" t="str">
        <f>IFERROR(__xludf.DUMMYFUNCTION("GOOGLETRANSLATE(B21450,""id"",""en"")"),"['min', 'application', 'Telkomsel', 'login', 'full', 'check', 'pulse', 'price', 'quota', 'screen', 'colored', 'white', ' Please, 'Explanation', 'Min', ""]")</f>
        <v>['min', 'application', 'Telkomsel', 'login', 'full', 'check', 'pulse', 'price', 'quota', 'screen', 'colored', 'white', ' Please, 'Explanation', 'Min', "]</v>
      </c>
      <c r="D21450" s="3">
        <v>1.0</v>
      </c>
    </row>
    <row r="21451" ht="15.75" customHeight="1">
      <c r="A21451" s="1">
        <v>22790.0</v>
      </c>
      <c r="B21451" s="3" t="s">
        <v>20259</v>
      </c>
      <c r="C21451" s="3" t="str">
        <f>IFERROR(__xludf.DUMMYFUNCTION("GOOGLETRANSLATE(B21451,""id"",""en"")"),"['Star', 'Kasi', 'Network', 'Telkomsel', 'ugly', ""]")</f>
        <v>['Star', 'Kasi', 'Network', 'Telkomsel', 'ugly', "]</v>
      </c>
      <c r="D21451" s="3">
        <v>1.0</v>
      </c>
    </row>
    <row r="21452" ht="15.75" customHeight="1">
      <c r="A21452" s="1">
        <v>22791.0</v>
      </c>
      <c r="B21452" s="3" t="s">
        <v>20260</v>
      </c>
      <c r="C21452" s="3" t="str">
        <f>IFERROR(__xludf.DUMMYFUNCTION("GOOGLETRANSLATE(B21452,""id"",""en"")"),"['Telkomsel', 'already', 'cool', 'oath', 'quota', 'expensive', 'kayak', 'gini', 'mending', 'indosat']")</f>
        <v>['Telkomsel', 'already', 'cool', 'oath', 'quota', 'expensive', 'kayak', 'gini', 'mending', 'indosat']</v>
      </c>
      <c r="D21452" s="3">
        <v>1.0</v>
      </c>
    </row>
    <row r="21453" ht="15.75" customHeight="1">
      <c r="A21453" s="1">
        <v>22792.0</v>
      </c>
      <c r="B21453" s="3" t="s">
        <v>2657</v>
      </c>
      <c r="C21453" s="3" t="str">
        <f>IFERROR(__xludf.DUMMYFUNCTION("GOOGLETRANSLATE(B21453,""id"",""en"")"),"['signal', 'like', 'ugly']")</f>
        <v>['signal', 'like', 'ugly']</v>
      </c>
      <c r="D21453" s="3">
        <v>3.0</v>
      </c>
    </row>
    <row r="21454" ht="15.75" customHeight="1">
      <c r="A21454" s="1">
        <v>22793.0</v>
      </c>
      <c r="B21454" s="3" t="s">
        <v>20261</v>
      </c>
      <c r="C21454" s="3" t="str">
        <f>IFERROR(__xludf.DUMMYFUNCTION("GOOGLETRANSLATE(B21454,""id"",""en"")"),"['Login', 'difficult', 'really']")</f>
        <v>['Login', 'difficult', 'really']</v>
      </c>
      <c r="D21454" s="3">
        <v>1.0</v>
      </c>
    </row>
    <row r="21455" ht="15.75" customHeight="1">
      <c r="A21455" s="1">
        <v>22794.0</v>
      </c>
      <c r="B21455" s="3" t="s">
        <v>20262</v>
      </c>
      <c r="C21455" s="3" t="str">
        <f>IFERROR(__xludf.DUMMYFUNCTION("GOOGLETRANSLATE(B21455,""id"",""en"")"),"['buy', 'quota', 'game', 'pub', 'kox', 'use', 'search', 'quota', 'regular', 'puyeng', 'already', 'already', ' Buy ',' pulse ', ""]")</f>
        <v>['buy', 'quota', 'game', 'pub', 'kox', 'use', 'search', 'quota', 'regular', 'puyeng', 'already', 'already', ' Buy ',' pulse ', "]</v>
      </c>
      <c r="D21455" s="3">
        <v>1.0</v>
      </c>
    </row>
    <row r="21456" ht="15.75" customHeight="1">
      <c r="A21456" s="1">
        <v>22795.0</v>
      </c>
      <c r="B21456" s="3" t="s">
        <v>20263</v>
      </c>
      <c r="C21456" s="3" t="str">
        <f>IFERROR(__xludf.DUMMYFUNCTION("GOOGLETRANSLATE(B21456,""id"",""en"")"),"['Loading', 'already', 'rich', 'fan', 'wind']")</f>
        <v>['Loading', 'already', 'rich', 'fan', 'wind']</v>
      </c>
      <c r="D21456" s="3">
        <v>1.0</v>
      </c>
    </row>
    <row r="21457" ht="15.75" customHeight="1">
      <c r="A21457" s="1">
        <v>22796.0</v>
      </c>
      <c r="B21457" s="3" t="s">
        <v>20264</v>
      </c>
      <c r="C21457" s="3" t="str">
        <f>IFERROR(__xludf.DUMMYFUNCTION("GOOGLETRANSLATE(B21457,""id"",""en"")"),"['Jaringn', 'Telkomsel', 'kyk', 'monkey', 'price', 'expensive', 'cooking', 'kot', 'network', 'kb', 'dtk', 'continues']")</f>
        <v>['Jaringn', 'Telkomsel', 'kyk', 'monkey', 'price', 'expensive', 'cooking', 'kot', 'network', 'kb', 'dtk', 'continues']</v>
      </c>
      <c r="D21457" s="3">
        <v>1.0</v>
      </c>
    </row>
    <row r="21458" ht="15.75" customHeight="1">
      <c r="A21458" s="1">
        <v>22798.0</v>
      </c>
      <c r="B21458" s="3" t="s">
        <v>20265</v>
      </c>
      <c r="C21458" s="3" t="str">
        <f>IFERROR(__xludf.DUMMYFUNCTION("GOOGLETRANSLATE(B21458,""id"",""en"")"),"['pulse', 'reduced', 'use', 'internet']")</f>
        <v>['pulse', 'reduced', 'use', 'internet']</v>
      </c>
      <c r="D21458" s="3">
        <v>1.0</v>
      </c>
    </row>
    <row r="21459" ht="15.75" customHeight="1">
      <c r="A21459" s="1">
        <v>22799.0</v>
      </c>
      <c r="B21459" s="3" t="s">
        <v>20266</v>
      </c>
      <c r="C21459" s="3" t="str">
        <f>IFERROR(__xludf.DUMMYFUNCTION("GOOGLETRANSLATE(B21459,""id"",""en"")"),"['Application', 'Error', 'Benerin', 'Rugilah', 'Download', 'APK', 'Damn']")</f>
        <v>['Application', 'Error', 'Benerin', 'Rugilah', 'Download', 'APK', 'Damn']</v>
      </c>
      <c r="D21459" s="3">
        <v>1.0</v>
      </c>
    </row>
    <row r="21460" ht="15.75" customHeight="1">
      <c r="A21460" s="1">
        <v>22800.0</v>
      </c>
      <c r="B21460" s="3" t="s">
        <v>20267</v>
      </c>
      <c r="C21460" s="3" t="str">
        <f>IFERROR(__xludf.DUMMYFUNCTION("GOOGLETRANSLATE(B21460,""id"",""en"")"),"['Lost', 'signal', 'disappointed', 'Customer', 'MyTelkomsel', 'Please', 'Fixed', 'Performance', 'Fixed', 'Sousal', 'Lost', 'Customer', ' Faithful ',' MyTelkomsel ',' ']")</f>
        <v>['Lost', 'signal', 'disappointed', 'Customer', 'MyTelkomsel', 'Please', 'Fixed', 'Performance', 'Fixed', 'Sousal', 'Lost', 'Customer', ' Faithful ',' MyTelkomsel ',' ']</v>
      </c>
      <c r="D21460" s="3">
        <v>1.0</v>
      </c>
    </row>
    <row r="21461" ht="15.75" customHeight="1">
      <c r="A21461" s="1">
        <v>22801.0</v>
      </c>
      <c r="B21461" s="3" t="s">
        <v>20268</v>
      </c>
      <c r="C21461" s="3" t="str">
        <f>IFERROR(__xludf.DUMMYFUNCTION("GOOGLETRANSLATE(B21461,""id"",""en"")"),"['Good', 'package', 'internet', 'expensive', '']")</f>
        <v>['Good', 'package', 'internet', 'expensive', '']</v>
      </c>
      <c r="D21461" s="3">
        <v>4.0</v>
      </c>
    </row>
    <row r="21462" ht="15.75" customHeight="1">
      <c r="A21462" s="1">
        <v>22802.0</v>
      </c>
      <c r="B21462" s="3" t="s">
        <v>20269</v>
      </c>
      <c r="C21462" s="3" t="str">
        <f>IFERROR(__xludf.DUMMYFUNCTION("GOOGLETRANSLATE(B21462,""id"",""en"")"),"['hope', 'cheap', 'card', 'already', 'expensive', 'so', 'thank you']")</f>
        <v>['hope', 'cheap', 'card', 'already', 'expensive', 'so', 'thank you']</v>
      </c>
      <c r="D21462" s="3">
        <v>5.0</v>
      </c>
    </row>
    <row r="21463" ht="15.75" customHeight="1">
      <c r="A21463" s="1">
        <v>22803.0</v>
      </c>
      <c r="B21463" s="3" t="s">
        <v>20270</v>
      </c>
      <c r="C21463" s="3" t="str">
        <f>IFERROR(__xludf.DUMMYFUNCTION("GOOGLETRANSLATE(B21463,""id"",""en"")"),"['Update', 'HARD', 'Opened', 'The Application', '']")</f>
        <v>['Update', 'HARD', 'Opened', 'The Application', '']</v>
      </c>
      <c r="D21463" s="3">
        <v>3.0</v>
      </c>
    </row>
    <row r="21464" ht="15.75" customHeight="1">
      <c r="A21464" s="1">
        <v>22804.0</v>
      </c>
      <c r="B21464" s="3" t="s">
        <v>20271</v>
      </c>
      <c r="C21464" s="3" t="str">
        <f>IFERROR(__xludf.DUMMYFUNCTION("GOOGLETRANSLATE(B21464,""id"",""en"")"),"['price', 'my package', 'expensive', 'compared to', 'price', 'package', 'person', 'around me', '']")</f>
        <v>['price', 'my package', 'expensive', 'compared to', 'price', 'package', 'person', 'around me', '']</v>
      </c>
      <c r="D21464" s="3">
        <v>2.0</v>
      </c>
    </row>
    <row r="21465" ht="15.75" customHeight="1">
      <c r="A21465" s="1">
        <v>22805.0</v>
      </c>
      <c r="B21465" s="3" t="s">
        <v>20272</v>
      </c>
      <c r="C21465" s="3" t="str">
        <f>IFERROR(__xludf.DUMMYFUNCTION("GOOGLETRANSLATE(B21465,""id"",""en"")"),"['Maap', 'star', 'Tekomsel', 'package', 'expensive', 'signal', 'jlk', 'baaaaaaaget', 'disappointed', 'Telkomsel', ""]")</f>
        <v>['Maap', 'star', 'Tekomsel', 'package', 'expensive', 'signal', 'jlk', 'baaaaaaaget', 'disappointed', 'Telkomsel', "]</v>
      </c>
      <c r="D21465" s="3">
        <v>1.0</v>
      </c>
    </row>
    <row r="21466" ht="15.75" customHeight="1">
      <c r="A21466" s="1">
        <v>22806.0</v>
      </c>
      <c r="B21466" s="3" t="s">
        <v>20273</v>
      </c>
      <c r="C21466" s="3" t="str">
        <f>IFERROR(__xludf.DUMMYFUNCTION("GOOGLETRANSLATE(B21466,""id"",""en"")"),"['Application', 'Useful', 'Help', ""]")</f>
        <v>['Application', 'Useful', 'Help', "]</v>
      </c>
      <c r="D21466" s="3">
        <v>5.0</v>
      </c>
    </row>
    <row r="21467" ht="15.75" customHeight="1">
      <c r="A21467" s="1">
        <v>22807.0</v>
      </c>
      <c r="B21467" s="3" t="s">
        <v>20274</v>
      </c>
      <c r="C21467" s="3" t="str">
        <f>IFERROR(__xludf.DUMMYFUNCTION("GOOGLETRANSLATE(B21467,""id"",""en"")"),"['', 'Telkomsel', 'The', 'service', 'friendly', 'satisfying', 'customers', 'Telkomsel', 'Terimaksih', ""]")</f>
        <v>['', 'Telkomsel', 'The', 'service', 'friendly', 'satisfying', 'customers', 'Telkomsel', 'Terimaksih', "]</v>
      </c>
      <c r="D21467" s="3">
        <v>5.0</v>
      </c>
    </row>
    <row r="21468" ht="15.75" customHeight="1">
      <c r="A21468" s="1">
        <v>22808.0</v>
      </c>
      <c r="B21468" s="3" t="s">
        <v>20275</v>
      </c>
      <c r="C21468" s="3" t="str">
        <f>IFERROR(__xludf.DUMMYFUNCTION("GOOGLETRANSLATE(B21468,""id"",""en"")"),"['Saeful', 'Mubarok', 'Ames']")</f>
        <v>['Saeful', 'Mubarok', 'Ames']</v>
      </c>
      <c r="D21468" s="3">
        <v>1.0</v>
      </c>
    </row>
    <row r="21469" ht="15.75" customHeight="1">
      <c r="A21469" s="1">
        <v>22809.0</v>
      </c>
      <c r="B21469" s="3" t="s">
        <v>20276</v>
      </c>
      <c r="C21469" s="3" t="str">
        <f>IFERROR(__xludf.DUMMYFUNCTION("GOOGLETRANSLATE(B21469,""id"",""en"")"),"['Mntap']")</f>
        <v>['Mntap']</v>
      </c>
      <c r="D21469" s="3">
        <v>5.0</v>
      </c>
    </row>
    <row r="21470" ht="15.75" customHeight="1">
      <c r="A21470" s="1">
        <v>22810.0</v>
      </c>
      <c r="B21470" s="3" t="s">
        <v>20277</v>
      </c>
      <c r="C21470" s="3" t="str">
        <f>IFERROR(__xludf.DUMMYFUNCTION("GOOGLETRANSLATE(B21470,""id"",""en"")"),"['capital', 'win', 'speed', 'comfortable', 'AJG', 'signal', 'ngeleg', 'pretentious',' package ',' expensive ',' AJG ',' Najiss', ' ']")</f>
        <v>['capital', 'win', 'speed', 'comfortable', 'AJG', 'signal', 'ngeleg', 'pretentious',' package ',' expensive ',' AJG ',' Najiss', ' ']</v>
      </c>
      <c r="D21470" s="3">
        <v>1.0</v>
      </c>
    </row>
    <row r="21471" ht="15.75" customHeight="1">
      <c r="A21471" s="1">
        <v>22811.0</v>
      </c>
      <c r="B21471" s="3" t="s">
        <v>20278</v>
      </c>
      <c r="C21471" s="3" t="str">
        <f>IFERROR(__xludf.DUMMYFUNCTION("GOOGLETRANSLATE(B21471,""id"",""en"")"),"['open', 'the application', 'difficult', 'really', 'enter', 'wait', 'a day', '']")</f>
        <v>['open', 'the application', 'difficult', 'really', 'enter', 'wait', 'a day', '']</v>
      </c>
      <c r="D21471" s="3">
        <v>1.0</v>
      </c>
    </row>
    <row r="21472" ht="15.75" customHeight="1">
      <c r="A21472" s="1">
        <v>22812.0</v>
      </c>
      <c r="B21472" s="3" t="s">
        <v>20279</v>
      </c>
      <c r="C21472" s="3" t="str">
        <f>IFERROR(__xludf.DUMMYFUNCTION("GOOGLETRANSLATE(B21472,""id"",""en"")"),"['application', 'garbage', 'enter', 'saro', 'update']")</f>
        <v>['application', 'garbage', 'enter', 'saro', 'update']</v>
      </c>
      <c r="D21472" s="3">
        <v>1.0</v>
      </c>
    </row>
    <row r="21473" ht="15.75" customHeight="1">
      <c r="A21473" s="1">
        <v>22813.0</v>
      </c>
      <c r="B21473" s="3" t="s">
        <v>20280</v>
      </c>
      <c r="C21473" s="3" t="str">
        <f>IFERROR(__xludf.DUMMYFUNCTION("GOOGLETRANSLATE(B21473,""id"",""en"")"),"['App', 'garbage', 'slow', 'open', 'already', 'fitting', 'rich', 'GPRS', 'price', 'quota', 'expensive', 'open', ' Status', 'Lucky', 'Gede', 'Quality', 'Bad', 'Hopefully', 'Referring', 'Amiiin', ""]")</f>
        <v>['App', 'garbage', 'slow', 'open', 'already', 'fitting', 'rich', 'GPRS', 'price', 'quota', 'expensive', 'open', ' Status', 'Lucky', 'Gede', 'Quality', 'Bad', 'Hopefully', 'Referring', 'Amiiin', "]</v>
      </c>
      <c r="D21473" s="3">
        <v>1.0</v>
      </c>
    </row>
    <row r="21474" ht="15.75" customHeight="1">
      <c r="A21474" s="1">
        <v>22814.0</v>
      </c>
      <c r="B21474" s="3" t="s">
        <v>20281</v>
      </c>
      <c r="C21474" s="3" t="str">
        <f>IFERROR(__xludf.DUMMYFUNCTION("GOOGLETRANSLATE(B21474,""id"",""en"")"),"['setting', 'selection', 'package', 'data', 'min', 'choose', 'package', 'data', 'use', 'package', 'data', 'sometimes',' Package ',' Data ',' Out ',' Active ',' Full ',' Used ',' Selection ',' Package ',' Data ',' Used ', ""]")</f>
        <v>['setting', 'selection', 'package', 'data', 'min', 'choose', 'package', 'data', 'use', 'package', 'data', 'sometimes',' Package ',' Data ',' Out ',' Active ',' Full ',' Used ',' Selection ',' Package ',' Data ',' Used ', "]</v>
      </c>
      <c r="D21474" s="3">
        <v>3.0</v>
      </c>
    </row>
    <row r="21475" ht="15.75" customHeight="1">
      <c r="A21475" s="1">
        <v>22815.0</v>
      </c>
      <c r="B21475" s="3" t="s">
        <v>20282</v>
      </c>
      <c r="C21475" s="3" t="str">
        <f>IFERROR(__xludf.DUMMYFUNCTION("GOOGLETRANSLATE(B21475,""id"",""en"")"),"['Satisfied', 'Thanks']")</f>
        <v>['Satisfied', 'Thanks']</v>
      </c>
      <c r="D21475" s="3">
        <v>4.0</v>
      </c>
    </row>
    <row r="21476" ht="15.75" customHeight="1">
      <c r="A21476" s="1">
        <v>22816.0</v>
      </c>
      <c r="B21476" s="3" t="s">
        <v>20283</v>
      </c>
      <c r="C21476" s="3" t="str">
        <f>IFERROR(__xludf.DUMMYFUNCTION("GOOGLETRANSLATE(B21476,""id"",""en"")"),"['network', 'Telkom', 'slow', 'please', 'the application', 'yaampun', 'login', 'difficult', 'internet', 'good', 'login', 'customer', ' Tsel ',' Lohh ']")</f>
        <v>['network', 'Telkom', 'slow', 'please', 'the application', 'yaampun', 'login', 'difficult', 'internet', 'good', 'login', 'customer', ' Tsel ',' Lohh ']</v>
      </c>
      <c r="D21476" s="3">
        <v>1.0</v>
      </c>
    </row>
    <row r="21477" ht="15.75" customHeight="1">
      <c r="A21477" s="1">
        <v>22817.0</v>
      </c>
      <c r="B21477" s="3" t="s">
        <v>20284</v>
      </c>
      <c r="C21477" s="3" t="str">
        <f>IFERROR(__xludf.DUMMYFUNCTION("GOOGLETRANSLATE(B21477,""id"",""en"")"),"['Remove', 'promo', 'cheap', 'customer', 'customer', 'loyal', 'telkomse']")</f>
        <v>['Remove', 'promo', 'cheap', 'customer', 'customer', 'loyal', 'telkomse']</v>
      </c>
      <c r="D21477" s="3">
        <v>5.0</v>
      </c>
    </row>
    <row r="21478" ht="15.75" customHeight="1">
      <c r="A21478" s="1">
        <v>22818.0</v>
      </c>
      <c r="B21478" s="3" t="s">
        <v>20285</v>
      </c>
      <c r="C21478" s="3" t="str">
        <f>IFERROR(__xludf.DUMMYFUNCTION("GOOGLETRANSLATE(B21478,""id"",""en"")"),"['cook', 'yes', 'sucked', 'then', 'application', 'turn', 'enter', 'oopss', 'error', 'notif', 'strange']")</f>
        <v>['cook', 'yes', 'sucked', 'then', 'application', 'turn', 'enter', 'oopss', 'error', 'notif', 'strange']</v>
      </c>
      <c r="D21478" s="3">
        <v>1.0</v>
      </c>
    </row>
    <row r="21479" ht="15.75" customHeight="1">
      <c r="A21479" s="1">
        <v>22819.0</v>
      </c>
      <c r="B21479" s="3" t="s">
        <v>20286</v>
      </c>
      <c r="C21479" s="3" t="str">
        <f>IFERROR(__xludf.DUMMYFUNCTION("GOOGLETRANSLATE(B21479,""id"",""en"")"),"['right', 'credit', 'sufficient', 'buy', 'package', 'failed', 'description', 'pulse', 'sufficient', '']")</f>
        <v>['right', 'credit', 'sufficient', 'buy', 'package', 'failed', 'description', 'pulse', 'sufficient', '']</v>
      </c>
      <c r="D21479" s="3">
        <v>1.0</v>
      </c>
    </row>
    <row r="21480" ht="15.75" customHeight="1">
      <c r="A21480" s="1">
        <v>22820.0</v>
      </c>
      <c r="B21480" s="3" t="s">
        <v>20287</v>
      </c>
      <c r="C21480" s="3" t="str">
        <f>IFERROR(__xludf.DUMMYFUNCTION("GOOGLETRANSLATE(B21480,""id"",""en"")"),"['', 'kal', 'cell', 'special', 'area', 'banjarmasin', 'rain', 'network', 'Telkomsel', 'lost', 'territory', 'inland', 'Telkomsel ',' missing ',' user ',' loyal ',' Telkomsel ',' please ',' TamBHN ',' BTS ',' inland ',' Kalimantan ',' Telkomsel ',' Yyaa ','"&amp;" hope ',' hope ', 'Success', 'then']")</f>
        <v>['', 'kal', 'cell', 'special', 'area', 'banjarmasin', 'rain', 'network', 'Telkomsel', 'lost', 'territory', 'inland', 'Telkomsel ',' missing ',' user ',' loyal ',' Telkomsel ',' please ',' TamBHN ',' BTS ',' inland ',' Kalimantan ',' Telkomsel ',' Yyaa ',' hope ',' hope ', 'Success', 'then']</v>
      </c>
      <c r="D21480" s="3">
        <v>3.0</v>
      </c>
    </row>
    <row r="21481" ht="15.75" customHeight="1">
      <c r="A21481" s="1">
        <v>22821.0</v>
      </c>
      <c r="B21481" s="3" t="s">
        <v>20288</v>
      </c>
      <c r="C21481" s="3" t="str">
        <f>IFERROR(__xludf.DUMMYFUNCTION("GOOGLETRANSLATE(B21481,""id"",""en"")"),"['application', 'use', 'network', 'Telkomsel', 'open', 'use', 'network', 'open', 'package', 'Telkomsel', 'after', 'contents',' Use ',' Network ',' Application ',' Wait ',' Content ',' Credit ',' Open ',' Credit ',' Inedible ',' Application ',' Update ',' "&amp;"Good ']")</f>
        <v>['application', 'use', 'network', 'Telkomsel', 'open', 'use', 'network', 'open', 'package', 'Telkomsel', 'after', 'contents',' Use ',' Network ',' Application ',' Wait ',' Content ',' Credit ',' Open ',' Credit ',' Inedible ',' Application ',' Update ',' Good ']</v>
      </c>
      <c r="D21481" s="3">
        <v>1.0</v>
      </c>
    </row>
    <row r="21482" ht="15.75" customHeight="1">
      <c r="A21482" s="1">
        <v>22823.0</v>
      </c>
      <c r="B21482" s="3" t="s">
        <v>20289</v>
      </c>
      <c r="C21482" s="3" t="str">
        <f>IFERROR(__xludf.DUMMYFUNCTION("GOOGLETRANSLATE(B21482,""id"",""en"")"),"['', 'Telkomsel', 'tool', 'equipment']")</f>
        <v>['', 'Telkomsel', 'tool', 'equipment']</v>
      </c>
      <c r="D21482" s="3">
        <v>5.0</v>
      </c>
    </row>
    <row r="21483" ht="15.75" customHeight="1">
      <c r="A21483" s="1">
        <v>22824.0</v>
      </c>
      <c r="B21483" s="3" t="s">
        <v>20290</v>
      </c>
      <c r="C21483" s="3" t="str">
        <f>IFERROR(__xludf.DUMMYFUNCTION("GOOGLETRANSLATE(B21483,""id"",""en"")"),"['The application', 'bug', 'difficult', 'login', 'troubles', 'SIM', 'installed', 'Link', 'Login', ""]")</f>
        <v>['The application', 'bug', 'difficult', 'login', 'troubles', 'SIM', 'installed', 'Link', 'Login', "]</v>
      </c>
      <c r="D21483" s="3">
        <v>1.0</v>
      </c>
    </row>
    <row r="21484" ht="15.75" customHeight="1">
      <c r="A21484" s="1">
        <v>22825.0</v>
      </c>
      <c r="B21484" s="3" t="s">
        <v>20291</v>
      </c>
      <c r="C21484" s="3" t="str">
        <f>IFERROR(__xludf.DUMMYFUNCTION("GOOGLETRANSLATE(B21484,""id"",""en"")"),"['network', 'the widest', 'difficult', 'network', 'village', 'hope', 'fix', 'price', 'expensive', 'signal', 'lost', 'application']")</f>
        <v>['network', 'the widest', 'difficult', 'network', 'village', 'hope', 'fix', 'price', 'expensive', 'signal', 'lost', 'application']</v>
      </c>
      <c r="D21484" s="3">
        <v>1.0</v>
      </c>
    </row>
    <row r="21485" ht="15.75" customHeight="1">
      <c r="A21485" s="1">
        <v>22826.0</v>
      </c>
      <c r="B21485" s="3" t="s">
        <v>20292</v>
      </c>
      <c r="C21485" s="3" t="str">
        <f>IFERROR(__xludf.DUMMYFUNCTION("GOOGLETRANSLATE(B21485,""id"",""en"")"),"['Date', 'December', 'appl', 'open', 'enter', 'enter', 'error', 'system', 'bgin', 'open', 'smooth', 'open', ' App ',' Difficult ',' Bener ']")</f>
        <v>['Date', 'December', 'appl', 'open', 'enter', 'enter', 'error', 'system', 'bgin', 'open', 'smooth', 'open', ' App ',' Difficult ',' Bener ']</v>
      </c>
      <c r="D21485" s="3">
        <v>1.0</v>
      </c>
    </row>
    <row r="21486" ht="15.75" customHeight="1">
      <c r="A21486" s="1">
        <v>22827.0</v>
      </c>
      <c r="B21486" s="3" t="s">
        <v>20293</v>
      </c>
      <c r="C21486" s="3" t="str">
        <f>IFERROR(__xludf.DUMMYFUNCTION("GOOGLETRANSLATE(B21486,""id"",""en"")"),"['buy', 'Package', 'Internet', 'Telkomsel', 'Credit', 'Target', 'Koutaa', 'Severe', 'Disappointed', 'bnget', 'already', 'signal', ' lost', '']")</f>
        <v>['buy', 'Package', 'Internet', 'Telkomsel', 'Credit', 'Target', 'Koutaa', 'Severe', 'Disappointed', 'bnget', 'already', 'signal', ' lost', '']</v>
      </c>
      <c r="D21486" s="3">
        <v>2.0</v>
      </c>
    </row>
    <row r="21487" ht="15.75" customHeight="1">
      <c r="A21487" s="1">
        <v>22829.0</v>
      </c>
      <c r="B21487" s="3" t="s">
        <v>20294</v>
      </c>
      <c r="C21487" s="3" t="str">
        <f>IFERROR(__xludf.DUMMYFUNCTION("GOOGLETRANSLATE(B21487,""id"",""en"")"),"['elu', 'annoying', 'really', 'bete', '']")</f>
        <v>['elu', 'annoying', 'really', 'bete', '']</v>
      </c>
      <c r="D21487" s="3">
        <v>2.0</v>
      </c>
    </row>
    <row r="21488" ht="15.75" customHeight="1">
      <c r="A21488" s="1">
        <v>22830.0</v>
      </c>
      <c r="B21488" s="3" t="s">
        <v>20295</v>
      </c>
      <c r="C21488" s="3" t="str">
        <f>IFERROR(__xludf.DUMMYFUNCTION("GOOGLETRANSLATE(B21488,""id"",""en"")"),"['Application', 'bad']")</f>
        <v>['Application', 'bad']</v>
      </c>
      <c r="D21488" s="3">
        <v>1.0</v>
      </c>
    </row>
    <row r="21489" ht="15.75" customHeight="1">
      <c r="A21489" s="1">
        <v>22831.0</v>
      </c>
      <c r="B21489" s="3" t="s">
        <v>20296</v>
      </c>
      <c r="C21489" s="3" t="str">
        <f>IFERROR(__xludf.DUMMYFUNCTION("GOOGLETRANSLATE(B21489,""id"",""en"")"),"['Package', 'Game', 'little', 'napa', 'signal', 'fullbar', 'play', 'rotten', 'package', 'game', 'sucked', 'quota', ' regular']")</f>
        <v>['Package', 'Game', 'little', 'napa', 'signal', 'fullbar', 'play', 'rotten', 'package', 'game', 'sucked', 'quota', ' regular']</v>
      </c>
      <c r="D21489" s="3">
        <v>1.0</v>
      </c>
    </row>
    <row r="21490" ht="15.75" customHeight="1">
      <c r="A21490" s="1">
        <v>22832.0</v>
      </c>
      <c r="B21490" s="3" t="s">
        <v>20297</v>
      </c>
      <c r="C21490" s="3" t="str">
        <f>IFERROR(__xludf.DUMMYFUNCTION("GOOGLETRANSLATE(B21490,""id"",""en"")"),"['price', 'quota', 'expensive', 'network', 'slow', 'slow', 'slow', 'vain', 'vain', 'use', 'telkomtol', 'telkomnyet', ' Discard ',' Discard ',' Money ']")</f>
        <v>['price', 'quota', 'expensive', 'network', 'slow', 'slow', 'slow', 'vain', 'vain', 'use', 'telkomtol', 'telkomnyet', ' Discard ',' Discard ',' Money ']</v>
      </c>
      <c r="D21490" s="3">
        <v>1.0</v>
      </c>
    </row>
    <row r="21491" ht="15.75" customHeight="1">
      <c r="A21491" s="1">
        <v>22833.0</v>
      </c>
      <c r="B21491" s="3" t="s">
        <v>20298</v>
      </c>
      <c r="C21491" s="3" t="str">
        <f>IFERROR(__xludf.DUMMYFUNCTION("GOOGLETRANSLATE(B21491,""id"",""en"")"),"['printed', 'sms', 'buy']")</f>
        <v>['printed', 'sms', 'buy']</v>
      </c>
      <c r="D21491" s="3">
        <v>1.0</v>
      </c>
    </row>
    <row r="21492" ht="15.75" customHeight="1">
      <c r="A21492" s="1">
        <v>22834.0</v>
      </c>
      <c r="B21492" s="3" t="s">
        <v>20299</v>
      </c>
      <c r="C21492" s="3" t="str">
        <f>IFERROR(__xludf.DUMMYFUNCTION("GOOGLETRANSLATE(B21492,""id"",""en"")"),"['Application', 'Reduced', 'Fund', 'Remove', 'Internet']")</f>
        <v>['Application', 'Reduced', 'Fund', 'Remove', 'Internet']</v>
      </c>
      <c r="D21492" s="3">
        <v>5.0</v>
      </c>
    </row>
    <row r="21493" ht="15.75" customHeight="1">
      <c r="A21493" s="1">
        <v>22835.0</v>
      </c>
      <c r="B21493" s="3" t="s">
        <v>20300</v>
      </c>
      <c r="C21493" s="3" t="str">
        <f>IFERROR(__xludf.DUMMYFUNCTION("GOOGLETRANSLATE(B21493,""id"",""en"")"),"['That's', 'Alhamdulillah', 'already', 'Log', '']")</f>
        <v>['That's', 'Alhamdulillah', 'already', 'Log', '']</v>
      </c>
      <c r="D21493" s="3">
        <v>3.0</v>
      </c>
    </row>
    <row r="21494" ht="15.75" customHeight="1">
      <c r="A21494" s="1">
        <v>22836.0</v>
      </c>
      <c r="B21494" s="3" t="s">
        <v>20301</v>
      </c>
      <c r="C21494" s="3" t="str">
        <f>IFERROR(__xludf.DUMMYFUNCTION("GOOGLETRANSLATE(B21494,""id"",""en"")"),"['min', 'please', 'signal', 'aga', 'fix', 'times', 'play', 'scroll', 'tiktok', 'like', 'ngeleg', 'min']")</f>
        <v>['min', 'please', 'signal', 'aga', 'fix', 'times', 'play', 'scroll', 'tiktok', 'like', 'ngeleg', 'min']</v>
      </c>
      <c r="D21494" s="3">
        <v>1.0</v>
      </c>
    </row>
    <row r="21495" ht="15.75" customHeight="1">
      <c r="A21495" s="1">
        <v>22837.0</v>
      </c>
      <c r="B21495" s="3" t="s">
        <v>20302</v>
      </c>
      <c r="C21495" s="3" t="str">
        <f>IFERROR(__xludf.DUMMYFUNCTION("GOOGLETRANSLATE(B21495,""id"",""en"")"),"['Woii', 'Jahanam', 'Signal', 'Kayak', 'Trash', 'Good', 'Indosat', 'Bener', ""]")</f>
        <v>['Woii', 'Jahanam', 'Signal', 'Kayak', 'Trash', 'Good', 'Indosat', 'Bener', "]</v>
      </c>
      <c r="D21495" s="3">
        <v>1.0</v>
      </c>
    </row>
    <row r="21496" ht="15.75" customHeight="1">
      <c r="A21496" s="1">
        <v>22838.0</v>
      </c>
      <c r="B21496" s="3" t="s">
        <v>20303</v>
      </c>
      <c r="C21496" s="3" t="str">
        <f>IFERROR(__xludf.DUMMYFUNCTION("GOOGLETRANSLATE(B21496,""id"",""en"")"),"['Help', 'Application', 'BLI', 'Package', 'LBH', 'Cheap', 'Missing', 'brp', 'leftover', 'quota', 'pls', ""]")</f>
        <v>['Help', 'Application', 'BLI', 'Package', 'LBH', 'Cheap', 'Missing', 'brp', 'leftover', 'quota', 'pls', "]</v>
      </c>
      <c r="D21496" s="3">
        <v>5.0</v>
      </c>
    </row>
    <row r="21497" ht="15.75" customHeight="1">
      <c r="A21497" s="1">
        <v>22839.0</v>
      </c>
      <c r="B21497" s="3" t="s">
        <v>20304</v>
      </c>
      <c r="C21497" s="3" t="str">
        <f>IFERROR(__xludf.DUMMYFUNCTION("GOOGLETRANSLATE(B21497,""id"",""en"")"),"['Quality', 'network', 'jelekkkkkkkk', 'oath', 'chickens',' regret ',' use ',' Telkomsel ',' loyal ',' Telkomsel ',' really ',' disappointing ',' ']")</f>
        <v>['Quality', 'network', 'jelekkkkkkkk', 'oath', 'chickens',' regret ',' use ',' Telkomsel ',' loyal ',' Telkomsel ',' really ',' disappointing ',' ']</v>
      </c>
      <c r="D21497" s="3">
        <v>1.0</v>
      </c>
    </row>
    <row r="21498" ht="15.75" customHeight="1">
      <c r="A21498" s="1">
        <v>22840.0</v>
      </c>
      <c r="B21498" s="3" t="s">
        <v>20305</v>
      </c>
      <c r="C21498" s="3" t="str">
        <f>IFERROR(__xludf.DUMMYFUNCTION("GOOGLETRANSLATE(B21498,""id"",""en"")"),"['please', 'anjr', 'me', 'failed', 'mulu', 'login', 'gmna', 'google', 'fail', 'mulu', 'number', 'telephone', ' oath ',' ngeselin ',' tomorrow ',' right ',' mah ',' please ',' meek ',' package ',' guenya ', ""]")</f>
        <v>['please', 'anjr', 'me', 'failed', 'mulu', 'login', 'gmna', 'google', 'fail', 'mulu', 'number', 'telephone', ' oath ',' ngeselin ',' tomorrow ',' right ',' mah ',' please ',' meek ',' package ',' guenya ', "]</v>
      </c>
      <c r="D21498" s="3">
        <v>1.0</v>
      </c>
    </row>
    <row r="21499" ht="15.75" customHeight="1">
      <c r="A21499" s="1">
        <v>22841.0</v>
      </c>
      <c r="B21499" s="3" t="s">
        <v>4621</v>
      </c>
      <c r="C21499" s="3" t="str">
        <f>IFERROR(__xludf.DUMMYFUNCTION("GOOGLETRANSLATE(B21499,""id"",""en"")"),"['Quality', 'Signal', 'Bad']")</f>
        <v>['Quality', 'Signal', 'Bad']</v>
      </c>
      <c r="D21499" s="3">
        <v>1.0</v>
      </c>
    </row>
    <row r="21500" ht="15.75" customHeight="1">
      <c r="A21500" s="1">
        <v>22842.0</v>
      </c>
      <c r="B21500" s="3" t="s">
        <v>20306</v>
      </c>
      <c r="C21500" s="3" t="str">
        <f>IFERROR(__xludf.DUMMYFUNCTION("GOOGLETRANSLATE(B21500,""id"",""en"")"),"['Nambah', 'severe', 'application', 'boro', 'boro', 'entry', 'difficult', 'really', 'login', 'number', 'complaint', 'fix']")</f>
        <v>['Nambah', 'severe', 'application', 'boro', 'boro', 'entry', 'difficult', 'really', 'login', 'number', 'complaint', 'fix']</v>
      </c>
      <c r="D21500" s="3">
        <v>1.0</v>
      </c>
    </row>
    <row r="21501" ht="15.75" customHeight="1">
      <c r="A21501" s="1">
        <v>22843.0</v>
      </c>
      <c r="B21501" s="3" t="s">
        <v>20307</v>
      </c>
      <c r="C21501" s="3" t="str">
        <f>IFERROR(__xludf.DUMMYFUNCTION("GOOGLETRANSLATE(B21501,""id"",""en"")"),"['signal', 'threat', '']")</f>
        <v>['signal', 'threat', '']</v>
      </c>
      <c r="D21501" s="3">
        <v>1.0</v>
      </c>
    </row>
    <row r="21502" ht="15.75" customHeight="1">
      <c r="A21502" s="1">
        <v>22844.0</v>
      </c>
      <c r="B21502" s="3" t="s">
        <v>20308</v>
      </c>
      <c r="C21502" s="3" t="str">
        <f>IFERROR(__xludf.DUMMYFUNCTION("GOOGLETRANSLATE(B21502,""id"",""en"")"),"['Application', 'Error', 'Package', 'Keburu', 'Out', 'Errr', 'APK', 'Internet', 'Slow', 'Disappointing', 'Deh', 'Telkomsel', ' Please ',' repaired ',' Customer ',' blur ']")</f>
        <v>['Application', 'Error', 'Package', 'Keburu', 'Out', 'Errr', 'APK', 'Internet', 'Slow', 'Disappointing', 'Deh', 'Telkomsel', ' Please ',' repaired ',' Customer ',' blur ']</v>
      </c>
      <c r="D21502" s="3">
        <v>1.0</v>
      </c>
    </row>
    <row r="21503" ht="15.75" customHeight="1">
      <c r="A21503" s="1">
        <v>22845.0</v>
      </c>
      <c r="B21503" s="3" t="s">
        <v>20309</v>
      </c>
      <c r="C21503" s="3" t="str">
        <f>IFERROR(__xludf.DUMMYFUNCTION("GOOGLETRANSLATE(B21503,""id"",""en"")"),"['Telkomsel', 'Bad', 'Quality', 'Siyala', 'Please', 'Mept', '']")</f>
        <v>['Telkomsel', 'Bad', 'Quality', 'Siyala', 'Please', 'Mept', '']</v>
      </c>
      <c r="D21503" s="3">
        <v>2.0</v>
      </c>
    </row>
    <row r="21504" ht="15.75" customHeight="1">
      <c r="A21504" s="1">
        <v>22846.0</v>
      </c>
      <c r="B21504" s="3" t="s">
        <v>20310</v>
      </c>
      <c r="C21504" s="3" t="str">
        <f>IFERROR(__xludf.DUMMYFUNCTION("GOOGLETRANSLATE(B21504,""id"",""en"")"),"['Min', 'multiptenizes',' exchange ',' point ',' entertainment ',' kayak ',' diamon ',' entertainment ',' voucher ',' watch ',' already ',' update ',' Order ',' Update ',' ']")</f>
        <v>['Min', 'multiptenizes',' exchange ',' point ',' entertainment ',' kayak ',' diamon ',' entertainment ',' voucher ',' watch ',' already ',' update ',' Order ',' Update ',' ']</v>
      </c>
      <c r="D21504" s="3">
        <v>2.0</v>
      </c>
    </row>
    <row r="21505" ht="15.75" customHeight="1">
      <c r="A21505" s="1">
        <v>22847.0</v>
      </c>
      <c r="B21505" s="3" t="s">
        <v>20311</v>
      </c>
      <c r="C21505" s="3" t="str">
        <f>IFERROR(__xludf.DUMMYFUNCTION("GOOGLETRANSLATE(B21505,""id"",""en"")"),"['Telkomsel', 'Leet', 'Region', 'Kalimantan', 'Land', 'Seasoning', 'Seburuk', 'Use', 'Telkomsel', 'Hello', 'Leet', 'Network', ' Pekahh ',' ']")</f>
        <v>['Telkomsel', 'Leet', 'Region', 'Kalimantan', 'Land', 'Seasoning', 'Seburuk', 'Use', 'Telkomsel', 'Hello', 'Leet', 'Network', ' Pekahh ',' ']</v>
      </c>
      <c r="D21505" s="3">
        <v>1.0</v>
      </c>
    </row>
    <row r="21506" ht="15.75" customHeight="1">
      <c r="A21506" s="1">
        <v>22848.0</v>
      </c>
      <c r="B21506" s="3" t="s">
        <v>20312</v>
      </c>
      <c r="C21506" s="3" t="str">
        <f>IFERROR(__xludf.DUMMYFUNCTION("GOOGLETRANSLATE(B21506,""id"",""en"")"),"['expensive', 'buy', 'pket', 'slow', 'forgiveness', 'already', 'kayak', 'era']")</f>
        <v>['expensive', 'buy', 'pket', 'slow', 'forgiveness', 'already', 'kayak', 'era']</v>
      </c>
      <c r="D21506" s="3">
        <v>1.0</v>
      </c>
    </row>
    <row r="21507" ht="15.75" customHeight="1">
      <c r="A21507" s="1">
        <v>22849.0</v>
      </c>
      <c r="B21507" s="3" t="s">
        <v>20313</v>
      </c>
      <c r="C21507" s="3" t="str">
        <f>IFERROR(__xludf.DUMMYFUNCTION("GOOGLETRANSLATE(B21507,""id"",""en"")"),"['The network', 'okay']")</f>
        <v>['The network', 'okay']</v>
      </c>
      <c r="D21507" s="3">
        <v>5.0</v>
      </c>
    </row>
    <row r="21508" ht="15.75" customHeight="1">
      <c r="A21508" s="1">
        <v>22850.0</v>
      </c>
      <c r="B21508" s="3" t="s">
        <v>20314</v>
      </c>
      <c r="C21508" s="3" t="str">
        <f>IFERROR(__xludf.DUMMYFUNCTION("GOOGLETRANSLATE(B21508,""id"",""en"")"),"['Here', 'Bad', 'Application', 'Error', 'Please', 'Fix', '']")</f>
        <v>['Here', 'Bad', 'Application', 'Error', 'Please', 'Fix', '']</v>
      </c>
      <c r="D21508" s="3">
        <v>1.0</v>
      </c>
    </row>
    <row r="21509" ht="15.75" customHeight="1">
      <c r="A21509" s="1">
        <v>22851.0</v>
      </c>
      <c r="B21509" s="3" t="s">
        <v>20315</v>
      </c>
      <c r="C21509" s="3" t="str">
        <f>IFERROR(__xludf.DUMMYFUNCTION("GOOGLETRANSLATE(B21509,""id"",""en"")"),"['Mending', 'Hijrah', 'Ajalah', 'here', 'Ngaco', 'Telkomsel', 'Signal', 'Lemot', 'Buy', 'Package', 'Dial', 'Difficult', ' The application ',' difficult ',' really ',' access', 'broken', 'really']")</f>
        <v>['Mending', 'Hijrah', 'Ajalah', 'here', 'Ngaco', 'Telkomsel', 'Signal', 'Lemot', 'Buy', 'Package', 'Dial', 'Difficult', ' The application ',' difficult ',' really ',' access', 'broken', 'really']</v>
      </c>
      <c r="D21509" s="3">
        <v>1.0</v>
      </c>
    </row>
    <row r="21510" ht="15.75" customHeight="1">
      <c r="A21510" s="1">
        <v>22852.0</v>
      </c>
      <c r="B21510" s="3" t="s">
        <v>20316</v>
      </c>
      <c r="C21510" s="3" t="str">
        <f>IFERROR(__xludf.DUMMYFUNCTION("GOOGLETRANSLATE(B21510,""id"",""en"")"),"['Quality', 'Signal', 'Internet', 'Telkomsel', 'Rely on', 'Network', 'Down', '']")</f>
        <v>['Quality', 'Signal', 'Internet', 'Telkomsel', 'Rely on', 'Network', 'Down', '']</v>
      </c>
      <c r="D21510" s="3">
        <v>1.0</v>
      </c>
    </row>
    <row r="21511" ht="15.75" customHeight="1">
      <c r="A21511" s="1">
        <v>22853.0</v>
      </c>
      <c r="B21511" s="3" t="s">
        <v>20317</v>
      </c>
      <c r="C21511" s="3" t="str">
        <f>IFERROR(__xludf.DUMMYFUNCTION("GOOGLETRANSLATE(B21511,""id"",""en"")"),"['Severe', 'Signal', 'Telkomsel', 'Severe', 'Open', 'Application', 'Difficult']")</f>
        <v>['Severe', 'Signal', 'Telkomsel', 'Severe', 'Open', 'Application', 'Difficult']</v>
      </c>
      <c r="D21511" s="3">
        <v>1.0</v>
      </c>
    </row>
    <row r="21512" ht="15.75" customHeight="1">
      <c r="A21512" s="1">
        <v>22854.0</v>
      </c>
      <c r="B21512" s="3" t="s">
        <v>20318</v>
      </c>
      <c r="C21512" s="3" t="str">
        <f>IFERROR(__xludf.DUMMYFUNCTION("GOOGLETRANSLATE(B21512,""id"",""en"")"),"['makes it easier', 'tuk', 'purchase', 'quota']")</f>
        <v>['makes it easier', 'tuk', 'purchase', 'quota']</v>
      </c>
      <c r="D21512" s="3">
        <v>5.0</v>
      </c>
    </row>
    <row r="21513" ht="15.75" customHeight="1">
      <c r="A21513" s="1">
        <v>22855.0</v>
      </c>
      <c r="B21513" s="3" t="s">
        <v>20319</v>
      </c>
      <c r="C21513" s="3" t="str">
        <f>IFERROR(__xludf.DUMMYFUNCTION("GOOGLETRANSLATE(B21513,""id"",""en"")"),"['Telkom', 'in front']")</f>
        <v>['Telkom', 'in front']</v>
      </c>
      <c r="D21513" s="3">
        <v>5.0</v>
      </c>
    </row>
    <row r="21514" ht="15.75" customHeight="1">
      <c r="A21514" s="1">
        <v>22857.0</v>
      </c>
      <c r="B21514" s="3" t="s">
        <v>20320</v>
      </c>
      <c r="C21514" s="3" t="str">
        <f>IFERROR(__xludf.DUMMYFUNCTION("GOOGLETRANSLATE(B21514,""id"",""en"")"),"['Clear', 'sound']")</f>
        <v>['Clear', 'sound']</v>
      </c>
      <c r="D21514" s="3">
        <v>5.0</v>
      </c>
    </row>
    <row r="21515" ht="15.75" customHeight="1">
      <c r="A21515" s="1">
        <v>22858.0</v>
      </c>
      <c r="B21515" s="3" t="s">
        <v>20321</v>
      </c>
      <c r="C21515" s="3" t="str">
        <f>IFERROR(__xludf.DUMMYFUNCTION("GOOGLETRANSLATE(B21515,""id"",""en"")"),"['like', 'happy']")</f>
        <v>['like', 'happy']</v>
      </c>
      <c r="D21515" s="3">
        <v>5.0</v>
      </c>
    </row>
    <row r="21516" ht="15.75" customHeight="1">
      <c r="A21516" s="1">
        <v>22859.0</v>
      </c>
      <c r="B21516" s="3" t="s">
        <v>20322</v>
      </c>
      <c r="C21516" s="3" t="str">
        <f>IFERROR(__xludf.DUMMYFUNCTION("GOOGLETRANSLATE(B21516,""id"",""en"")"),"['Sis',' APK ',' MyTelkomsel ',' buy ',' package ',' pulses', 'already', 'prefer', 'transaction', 'fail', 'apk', 'already', ' Upgrade ',' enter ',' APK ',' writing ',' Error ',' Thank you ',' Please ',' Acquired ',' Nurse ']")</f>
        <v>['Sis',' APK ',' MyTelkomsel ',' buy ',' package ',' pulses', 'already', 'prefer', 'transaction', 'fail', 'apk', 'already', ' Upgrade ',' enter ',' APK ',' writing ',' Error ',' Thank you ',' Please ',' Acquired ',' Nurse ']</v>
      </c>
      <c r="D21516" s="3">
        <v>3.0</v>
      </c>
    </row>
    <row r="21517" ht="15.75" customHeight="1">
      <c r="A21517" s="1">
        <v>22860.0</v>
      </c>
      <c r="B21517" s="3" t="s">
        <v>20323</v>
      </c>
      <c r="C21517" s="3" t="str">
        <f>IFERROR(__xludf.DUMMYFUNCTION("GOOGLETRANSLATE(B21517,""id"",""en"")"),"['It's easier for', 'buy', 'package', 'satisfied']")</f>
        <v>['It's easier for', 'buy', 'package', 'satisfied']</v>
      </c>
      <c r="D21517" s="3">
        <v>5.0</v>
      </c>
    </row>
    <row r="21518" ht="15.75" customHeight="1">
      <c r="A21518" s="1">
        <v>22861.0</v>
      </c>
      <c r="B21518" s="3" t="s">
        <v>20324</v>
      </c>
      <c r="C21518" s="3" t="str">
        <f>IFERROR(__xludf.DUMMYFUNCTION("GOOGLETRANSLATE(B21518,""id"",""en"")"),"['expensive', 'doang', 'signal', 'Lok', 'improvement', 'malem', 'urgent', 'signal', 'ilang', '']")</f>
        <v>['expensive', 'doang', 'signal', 'Lok', 'improvement', 'malem', 'urgent', 'signal', 'ilang', '']</v>
      </c>
      <c r="D21518" s="3">
        <v>1.0</v>
      </c>
    </row>
    <row r="21519" ht="15.75" customHeight="1">
      <c r="A21519" s="1">
        <v>22862.0</v>
      </c>
      <c r="B21519" s="3" t="s">
        <v>20325</v>
      </c>
      <c r="C21519" s="3" t="str">
        <f>IFERROR(__xludf.DUMMYFUNCTION("GOOGLETRANSLATE(B21519,""id"",""en"")"),"['difficult', 'log', 'skrg', 'gabisa', 'enter']")</f>
        <v>['difficult', 'log', 'skrg', 'gabisa', 'enter']</v>
      </c>
      <c r="D21519" s="3">
        <v>1.0</v>
      </c>
    </row>
    <row r="21520" ht="15.75" customHeight="1">
      <c r="A21520" s="1">
        <v>22863.0</v>
      </c>
      <c r="B21520" s="3" t="s">
        <v>20326</v>
      </c>
      <c r="C21520" s="3" t="str">
        <f>IFERROR(__xludf.DUMMYFUNCTION("GOOGLETRANSLATE(B21520,""id"",""en"")"),"['pulse', 'Sumpot', 'signs', 'Telkomsel', 'go bankrupt', 'take', 'pulses', ""]")</f>
        <v>['pulse', 'Sumpot', 'signs', 'Telkomsel', 'go bankrupt', 'take', 'pulses', "]</v>
      </c>
      <c r="D21520" s="3">
        <v>1.0</v>
      </c>
    </row>
    <row r="21521" ht="15.75" customHeight="1">
      <c r="A21521" s="1">
        <v>22864.0</v>
      </c>
      <c r="B21521" s="3" t="s">
        <v>20327</v>
      </c>
      <c r="C21521" s="3" t="str">
        <f>IFERROR(__xludf.DUMMYFUNCTION("GOOGLETRANSLATE(B21521,""id"",""en"")"),"['Bener', 'apk', 'update', 'good', 'ugly', 'network', 'slow', '']")</f>
        <v>['Bener', 'apk', 'update', 'good', 'ugly', 'network', 'slow', '']</v>
      </c>
      <c r="D21521" s="3">
        <v>1.0</v>
      </c>
    </row>
    <row r="21522" ht="15.75" customHeight="1">
      <c r="A21522" s="1">
        <v>22865.0</v>
      </c>
      <c r="B21522" s="3" t="s">
        <v>5279</v>
      </c>
      <c r="C21522" s="3" t="str">
        <f>IFERROR(__xludf.DUMMYFUNCTION("GOOGLETRANSLATE(B21522,""id"",""en"")"),"['Promo', 'interesting', '']")</f>
        <v>['Promo', 'interesting', '']</v>
      </c>
      <c r="D21522" s="3">
        <v>5.0</v>
      </c>
    </row>
    <row r="21523" ht="15.75" customHeight="1">
      <c r="A21523" s="1">
        <v>22866.0</v>
      </c>
      <c r="B21523" s="3" t="s">
        <v>20328</v>
      </c>
      <c r="C21523" s="3" t="str">
        <f>IFERROR(__xludf.DUMMYFUNCTION("GOOGLETRANSLATE(B21523,""id"",""en"")"),"['application', 'difficult', 'opened', 'blank', 'white', 'signal', 'good', 'youtube', 'smooth']")</f>
        <v>['application', 'difficult', 'opened', 'blank', 'white', 'signal', 'good', 'youtube', 'smooth']</v>
      </c>
      <c r="D21523" s="3">
        <v>1.0</v>
      </c>
    </row>
    <row r="21524" ht="15.75" customHeight="1">
      <c r="A21524" s="1">
        <v>22867.0</v>
      </c>
      <c r="B21524" s="3" t="s">
        <v>20329</v>
      </c>
      <c r="C21524" s="3" t="str">
        <f>IFERROR(__xludf.DUMMYFUNCTION("GOOGLETRANSLATE(B21524,""id"",""en"")"),"['', 'Gift', 'Lottery', '']")</f>
        <v>['', 'Gift', 'Lottery', '']</v>
      </c>
      <c r="D21524" s="3">
        <v>5.0</v>
      </c>
    </row>
    <row r="21525" ht="15.75" customHeight="1">
      <c r="A21525" s="1">
        <v>22868.0</v>
      </c>
      <c r="B21525" s="3" t="s">
        <v>20330</v>
      </c>
      <c r="C21525" s="3" t="str">
        <f>IFERROR(__xludf.DUMMYFUNCTION("GOOGLETRANSLATE(B21525,""id"",""en"")"),"['Please', 'Increase', 'APK', 'Open', 'APK', 'Apalgi', 'Buy', 'Package']")</f>
        <v>['Please', 'Increase', 'APK', 'Open', 'APK', 'Apalgi', 'Buy', 'Package']</v>
      </c>
      <c r="D21525" s="3">
        <v>3.0</v>
      </c>
    </row>
    <row r="21526" ht="15.75" customHeight="1">
      <c r="A21526" s="1">
        <v>22869.0</v>
      </c>
      <c r="B21526" s="3" t="s">
        <v>20331</v>
      </c>
      <c r="C21526" s="3" t="str">
        <f>IFERROR(__xludf.DUMMYFUNCTION("GOOGLETRANSLATE(B21526,""id"",""en"")"),"['Log', 'Telkomsel', 'Yesterday', ""]")</f>
        <v>['Log', 'Telkomsel', 'Yesterday', "]</v>
      </c>
      <c r="D21526" s="3">
        <v>2.0</v>
      </c>
    </row>
    <row r="21527" ht="15.75" customHeight="1">
      <c r="A21527" s="1">
        <v>22870.0</v>
      </c>
      <c r="B21527" s="3" t="s">
        <v>20332</v>
      </c>
      <c r="C21527" s="3" t="str">
        <f>IFERROR(__xludf.DUMMYFUNCTION("GOOGLETRANSLATE(B21527,""id"",""en"")"),"['Tsel', 'slow', 'package', 'Terosss']")</f>
        <v>['Tsel', 'slow', 'package', 'Terosss']</v>
      </c>
      <c r="D21527" s="3">
        <v>1.0</v>
      </c>
    </row>
    <row r="21528" ht="15.75" customHeight="1">
      <c r="A21528" s="1">
        <v>22871.0</v>
      </c>
      <c r="B21528" s="3" t="s">
        <v>20333</v>
      </c>
      <c r="C21528" s="3" t="str">
        <f>IFERROR(__xludf.DUMMYFUNCTION("GOOGLETRANSLATE(B21528,""id"",""en"")"),"['open', 'app', 'Telkomsell', 'slow', 'bang', 'yak', ""]")</f>
        <v>['open', 'app', 'Telkomsell', 'slow', 'bang', 'yak', "]</v>
      </c>
      <c r="D21528" s="3">
        <v>1.0</v>
      </c>
    </row>
    <row r="21529" ht="15.75" customHeight="1">
      <c r="A21529" s="1">
        <v>22872.0</v>
      </c>
      <c r="B21529" s="3" t="s">
        <v>20334</v>
      </c>
      <c r="C21529" s="3" t="str">
        <f>IFERROR(__xludf.DUMMYFUNCTION("GOOGLETRANSLATE(B21529,""id"",""en"")"),"['Application', 'MyTelkomsel', 'Open', 'Difficult', 'Caskek', 'Remnant', 'Kouta']")</f>
        <v>['Application', 'MyTelkomsel', 'Open', 'Difficult', 'Caskek', 'Remnant', 'Kouta']</v>
      </c>
      <c r="D21529" s="3">
        <v>1.0</v>
      </c>
    </row>
    <row r="21530" ht="15.75" customHeight="1">
      <c r="A21530" s="1">
        <v>22873.0</v>
      </c>
      <c r="B21530" s="3" t="s">
        <v>20335</v>
      </c>
      <c r="C21530" s="3" t="str">
        <f>IFERROR(__xludf.DUMMYFUNCTION("GOOGLETRANSLATE(B21530,""id"",""en"")"),"['buy', 'pulse', 'forget', 'Matiin', 'Data', 'Jngn', 'Direct', 'Suck', 'Telkomsel', 'Abis',' Money ',' Denger ',' Kon ',' ']")</f>
        <v>['buy', 'pulse', 'forget', 'Matiin', 'Data', 'Jngn', 'Direct', 'Suck', 'Telkomsel', 'Abis',' Money ',' Denger ',' Kon ',' ']</v>
      </c>
      <c r="D21530" s="3">
        <v>1.0</v>
      </c>
    </row>
    <row r="21531" ht="15.75" customHeight="1">
      <c r="A21531" s="1">
        <v>22874.0</v>
      </c>
      <c r="B21531" s="3" t="s">
        <v>20336</v>
      </c>
      <c r="C21531" s="3" t="str">
        <f>IFERROR(__xludf.DUMMYFUNCTION("GOOGLETRANSLATE(B21531,""id"",""en"")"),"['Package', 'unlimited']")</f>
        <v>['Package', 'unlimited']</v>
      </c>
      <c r="D21531" s="3">
        <v>4.0</v>
      </c>
    </row>
    <row r="21532" ht="15.75" customHeight="1">
      <c r="A21532" s="1">
        <v>22875.0</v>
      </c>
      <c r="B21532" s="3" t="s">
        <v>20337</v>
      </c>
      <c r="C21532" s="3" t="str">
        <f>IFERROR(__xludf.DUMMYFUNCTION("GOOGLETRANSLATE(B21532,""id"",""en"")"),"['package', 'expensive', 'according to', 'quality', '']")</f>
        <v>['package', 'expensive', 'according to', 'quality', '']</v>
      </c>
      <c r="D21532" s="3">
        <v>1.0</v>
      </c>
    </row>
    <row r="21533" ht="15.75" customHeight="1">
      <c r="A21533" s="1">
        <v>22876.0</v>
      </c>
      <c r="B21533" s="3" t="s">
        <v>20338</v>
      </c>
      <c r="C21533" s="3" t="str">
        <f>IFERROR(__xludf.DUMMYFUNCTION("GOOGLETRANSLATE(B21533,""id"",""en"")"),"['application', 'recommendation', 'open', 'application', 'use', 'network', 'provider', 'open', 'intention', 'contents',' quota ',' Telkomsel ',' Buy ',' Application ',' Credit ',' Main ',' Suck ',' Reduced ',' Credit ',' Cut ',' Sampe ',' second ',' Email"&amp;" ',' Erick ',' Tohir ' , 'evaluation', '']")</f>
        <v>['application', 'recommendation', 'open', 'application', 'use', 'network', 'provider', 'open', 'intention', 'contents',' quota ',' Telkomsel ',' Buy ',' Application ',' Credit ',' Main ',' Suck ',' Reduced ',' Credit ',' Cut ',' Sampe ',' second ',' Email ',' Erick ',' Tohir ' , 'evaluation', '']</v>
      </c>
      <c r="D21533" s="3">
        <v>1.0</v>
      </c>
    </row>
    <row r="21534" ht="15.75" customHeight="1">
      <c r="A21534" s="1">
        <v>22878.0</v>
      </c>
      <c r="B21534" s="3" t="s">
        <v>20339</v>
      </c>
      <c r="C21534" s="3" t="str">
        <f>IFERROR(__xludf.DUMMYFUNCTION("GOOGLETRANSLATE(B21534,""id"",""en"")"),"['Satisfied', 'Package', 'Unlimited']")</f>
        <v>['Satisfied', 'Package', 'Unlimited']</v>
      </c>
      <c r="D21534" s="3">
        <v>5.0</v>
      </c>
    </row>
    <row r="21535" ht="15.75" customHeight="1">
      <c r="A21535" s="1">
        <v>22879.0</v>
      </c>
      <c r="B21535" s="3" t="s">
        <v>20340</v>
      </c>
      <c r="C21535" s="3" t="str">
        <f>IFERROR(__xludf.DUMMYFUNCTION("GOOGLETRANSLATE(B21535,""id"",""en"")"),"['Telkomsel', 'mentang', 'biggest', 'Attention', 'card', 'prepaid', 'blm', 'grace', 'blm', 'run out', 'contents',' pulse ',' It is recommended ',' postpaid ',' sense ',' operator ',' Tengang ',' Telkomsel ',' sell ',' expensive ',' service ',' poor ',' no"&amp;"mer ',' already ',' known ' , 'Customer', 'Severe', 'really', 'deh']")</f>
        <v>['Telkomsel', 'mentang', 'biggest', 'Attention', 'card', 'prepaid', 'blm', 'grace', 'blm', 'run out', 'contents',' pulse ',' It is recommended ',' postpaid ',' sense ',' operator ',' Tengang ',' Telkomsel ',' sell ',' expensive ',' service ',' poor ',' nomer ',' already ',' known ' , 'Customer', 'Severe', 'really', 'deh']</v>
      </c>
      <c r="D21535" s="3">
        <v>1.0</v>
      </c>
    </row>
    <row r="21536" ht="15.75" customHeight="1">
      <c r="A21536" s="1">
        <v>22880.0</v>
      </c>
      <c r="B21536" s="3" t="s">
        <v>20341</v>
      </c>
      <c r="C21536" s="3" t="str">
        <f>IFERROR(__xludf.DUMMYFUNCTION("GOOGLETRANSLATE(B21536,""id"",""en"")"),"['Telkomsel', 'expensive', 'Doang', 'Good', 'Provider', 'Play', 'Mobile', 'Legends',' Main ',' Original ',' Current ',' Really ',' Cave ',' Test ',' Doang ',' Telkomsel ',' lag ',' moved ',' guys']")</f>
        <v>['Telkomsel', 'expensive', 'Doang', 'Good', 'Provider', 'Play', 'Mobile', 'Legends',' Main ',' Original ',' Current ',' Really ',' Cave ',' Test ',' Doang ',' Telkomsel ',' lag ',' moved ',' guys']</v>
      </c>
      <c r="D21536" s="3">
        <v>1.0</v>
      </c>
    </row>
    <row r="21537" ht="15.75" customHeight="1">
      <c r="A21537" s="1">
        <v>22881.0</v>
      </c>
      <c r="B21537" s="3" t="s">
        <v>20342</v>
      </c>
      <c r="C21537" s="3" t="str">
        <f>IFERROR(__xludf.DUMMYFUNCTION("GOOGLETRANSLATE(B21537,""id"",""en"")"),"['network', 'Internet', 'Telkomsel', 'ugly', 'Please', 'repaired']")</f>
        <v>['network', 'Internet', 'Telkomsel', 'ugly', 'Please', 'repaired']</v>
      </c>
      <c r="D21537" s="3">
        <v>3.0</v>
      </c>
    </row>
    <row r="21538" ht="15.75" customHeight="1">
      <c r="A21538" s="1">
        <v>22882.0</v>
      </c>
      <c r="B21538" s="3" t="s">
        <v>20343</v>
      </c>
      <c r="C21538" s="3" t="str">
        <f>IFERROR(__xludf.DUMMYFUNCTION("GOOGLETRANSLATE(B21538,""id"",""en"")"),"['already', 'package', 'expensive', 'strange', 'cave', 'buy', 'package', 'unlimited', 'youtube', 'tetep', 'abis',' multimedia ',' Unlimited ',' YouTube ',' strange ',' buy ',' already ',' Abis', ""]")</f>
        <v>['already', 'package', 'expensive', 'strange', 'cave', 'buy', 'package', 'unlimited', 'youtube', 'tetep', 'abis',' multimedia ',' Unlimited ',' YouTube ',' strange ',' buy ',' already ',' Abis', "]</v>
      </c>
      <c r="D21538" s="3">
        <v>1.0</v>
      </c>
    </row>
    <row r="21539" ht="15.75" customHeight="1">
      <c r="A21539" s="1">
        <v>22883.0</v>
      </c>
      <c r="B21539" s="3" t="s">
        <v>20344</v>
      </c>
      <c r="C21539" s="3" t="str">
        <f>IFERROR(__xludf.DUMMYFUNCTION("GOOGLETRANSLATE(B21539,""id"",""en"")"),"['Steady', 'Info', 'Network', 'Telkomsel', 'Region', 'Maluku', 'Network', 'Disruption']")</f>
        <v>['Steady', 'Info', 'Network', 'Telkomsel', 'Region', 'Maluku', 'Network', 'Disruption']</v>
      </c>
      <c r="D21539" s="3">
        <v>4.0</v>
      </c>
    </row>
    <row r="21540" ht="15.75" customHeight="1">
      <c r="A21540" s="1">
        <v>22884.0</v>
      </c>
      <c r="B21540" s="3" t="s">
        <v>20345</v>
      </c>
      <c r="C21540" s="3" t="str">
        <f>IFERROR(__xludf.DUMMYFUNCTION("GOOGLETRANSLATE(B21540,""id"",""en"")"),"['expensive', 'Sis', 'Rb', '']")</f>
        <v>['expensive', 'Sis', 'Rb', '']</v>
      </c>
      <c r="D21540" s="3">
        <v>3.0</v>
      </c>
    </row>
    <row r="21541" ht="15.75" customHeight="1">
      <c r="A21541" s="1">
        <v>22885.0</v>
      </c>
      <c r="B21541" s="3" t="s">
        <v>20346</v>
      </c>
      <c r="C21541" s="3" t="str">
        <f>IFERROR(__xludf.DUMMYFUNCTION("GOOGLETRANSLATE(B21541,""id"",""en"")"),"['Suggestion', 'good', 'Telkomsel', 'send', 'kover', 'pulse', 'balance', 'ewalet', 'account', 'where', 'tanyak', ' ']")</f>
        <v>['Suggestion', 'good', 'Telkomsel', 'send', 'kover', 'pulse', 'balance', 'ewalet', 'account', 'where', 'tanyak', ' ']</v>
      </c>
      <c r="D21541" s="3">
        <v>2.0</v>
      </c>
    </row>
    <row r="21542" ht="15.75" customHeight="1">
      <c r="A21542" s="1">
        <v>22886.0</v>
      </c>
      <c r="B21542" s="3" t="s">
        <v>20347</v>
      </c>
      <c r="C21542" s="3" t="str">
        <f>IFERROR(__xludf.DUMMYFUNCTION("GOOGLETRANSLATE(B21542,""id"",""en"")"),"['application', 'ngbug', 'open', 'signal', 'full']")</f>
        <v>['application', 'ngbug', 'open', 'signal', 'full']</v>
      </c>
      <c r="D21542" s="3">
        <v>2.0</v>
      </c>
    </row>
    <row r="21543" ht="15.75" customHeight="1">
      <c r="A21543" s="1">
        <v>22887.0</v>
      </c>
      <c r="B21543" s="3" t="s">
        <v>20348</v>
      </c>
      <c r="C21543" s="3" t="str">
        <f>IFERROR(__xludf.DUMMYFUNCTION("GOOGLETRANSLATE(B21543,""id"",""en"")"),"['Good', 'no', 'slow']")</f>
        <v>['Good', 'no', 'slow']</v>
      </c>
      <c r="D21543" s="3">
        <v>5.0</v>
      </c>
    </row>
    <row r="21544" ht="15.75" customHeight="1">
      <c r="A21544" s="1">
        <v>22888.0</v>
      </c>
      <c r="B21544" s="3" t="s">
        <v>4911</v>
      </c>
      <c r="C21544" s="3" t="str">
        <f>IFERROR(__xludf.DUMMYFUNCTION("GOOGLETRANSLATE(B21544,""id"",""en"")"),"['Dipake', '']")</f>
        <v>['Dipake', '']</v>
      </c>
      <c r="D21544" s="3">
        <v>2.0</v>
      </c>
    </row>
    <row r="21545" ht="15.75" customHeight="1">
      <c r="A21545" s="1">
        <v>22889.0</v>
      </c>
      <c r="B21545" s="3" t="s">
        <v>20349</v>
      </c>
      <c r="C21545" s="3" t="str">
        <f>IFERROR(__xludf.DUMMYFUNCTION("GOOGLETRANSLATE(B21545,""id"",""en"")"),"['Credit', 'Cut', 'Pas',' Deliberate ',' Monitor ',' Data ',' Position ',' Kouta ',' Udh ',' Hbis', 'Intention', 'Maket', ' Cut ',' Maket ',' Application ',' Dimna ',' Kouta ']")</f>
        <v>['Credit', 'Cut', 'Pas',' Deliberate ',' Monitor ',' Data ',' Position ',' Kouta ',' Udh ',' Hbis', 'Intention', 'Maket', ' Cut ',' Maket ',' Application ',' Dimna ',' Kouta ']</v>
      </c>
      <c r="D21545" s="3">
        <v>2.0</v>
      </c>
    </row>
    <row r="21546" ht="15.75" customHeight="1">
      <c r="A21546" s="1">
        <v>22890.0</v>
      </c>
      <c r="B21546" s="3" t="s">
        <v>20350</v>
      </c>
      <c r="C21546" s="3" t="str">
        <f>IFERROR(__xludf.DUMMYFUNCTION("GOOGLETRANSLATE(B21546,""id"",""en"")"),"['Sorry', 'Telkomsel', 'smooth', 'updet', 'opened', 'bad', 'disappointing', 'Please', 'attention', 'thank you']")</f>
        <v>['Sorry', 'Telkomsel', 'smooth', 'updet', 'opened', 'bad', 'disappointing', 'Please', 'attention', 'thank you']</v>
      </c>
      <c r="D21546" s="3">
        <v>3.0</v>
      </c>
    </row>
    <row r="21547" ht="15.75" customHeight="1">
      <c r="A21547" s="1">
        <v>22891.0</v>
      </c>
      <c r="B21547" s="3" t="s">
        <v>20351</v>
      </c>
      <c r="C21547" s="3" t="str">
        <f>IFERROR(__xludf.DUMMYFUNCTION("GOOGLETRANSLATE(B21547,""id"",""en"")"),"['Telkomsel', 'Kalimantan', 'Amin', 'Jaya', 'slow', 'signal', 'package', 'expensive', 'network', 'lift', 'profit', 'provider']")</f>
        <v>['Telkomsel', 'Kalimantan', 'Amin', 'Jaya', 'slow', 'signal', 'package', 'expensive', 'network', 'lift', 'profit', 'provider']</v>
      </c>
      <c r="D21547" s="3">
        <v>1.0</v>
      </c>
    </row>
    <row r="21548" ht="15.75" customHeight="1">
      <c r="A21548" s="1">
        <v>22892.0</v>
      </c>
      <c r="B21548" s="3" t="s">
        <v>20352</v>
      </c>
      <c r="C21548" s="3" t="str">
        <f>IFERROR(__xludf.DUMMYFUNCTION("GOOGLETRANSLATE(B21548,""id"",""en"")"),"['Telkomsel', 'Application', 'Telkomsel', 'Hurry', 'Fix', 'Quality', 'Left Binggal', 'User', 'Faithful', ""]")</f>
        <v>['Telkomsel', 'Application', 'Telkomsel', 'Hurry', 'Fix', 'Quality', 'Left Binggal', 'User', 'Faithful', "]</v>
      </c>
      <c r="D21548" s="3">
        <v>1.0</v>
      </c>
    </row>
    <row r="21549" ht="15.75" customHeight="1">
      <c r="A21549" s="1">
        <v>22893.0</v>
      </c>
      <c r="B21549" s="3" t="s">
        <v>20353</v>
      </c>
      <c r="C21549" s="3" t="str">
        <f>IFERROR(__xludf.DUMMYFUNCTION("GOOGLETRANSLATE(B21549,""id"",""en"")"),"['Application', 'opened', 'update', 'Install', 'reset', 'open', 'safe', 'opened', 'web', '']")</f>
        <v>['Application', 'opened', 'update', 'Install', 'reset', 'open', 'safe', 'opened', 'web', '']</v>
      </c>
      <c r="D21549" s="3">
        <v>2.0</v>
      </c>
    </row>
    <row r="21550" ht="15.75" customHeight="1">
      <c r="A21550" s="1">
        <v>22894.0</v>
      </c>
      <c r="B21550" s="3" t="s">
        <v>20354</v>
      </c>
      <c r="C21550" s="3" t="str">
        <f>IFERROR(__xludf.DUMMYFUNCTION("GOOGLETRANSLATE(B21550,""id"",""en"")"),"['open', 'application', 'MyTelkomsel', 'at the same time', 'open', 'appear', 'writing', 'error', 'please', 'try', 'following', ' He ',' Encourage ',' Update ',' Telkomsel ',' Uninstall ',' reset ',' Tetep ']")</f>
        <v>['open', 'application', 'MyTelkomsel', 'at the same time', 'open', 'appear', 'writing', 'error', 'please', 'try', 'following', ' He ',' Encourage ',' Update ',' Telkomsel ',' Uninstall ',' reset ',' Tetep ']</v>
      </c>
      <c r="D21550" s="3">
        <v>5.0</v>
      </c>
    </row>
    <row r="21551" ht="15.75" customHeight="1">
      <c r="A21551" s="1">
        <v>22895.0</v>
      </c>
      <c r="B21551" s="3" t="s">
        <v>20355</v>
      </c>
      <c r="C21551" s="3" t="str">
        <f>IFERROR(__xludf.DUMMYFUNCTION("GOOGLETRANSLATE(B21551,""id"",""en"")"),"['', 'intention', 'card', 'cave', 'play', 'ngejump', 'mulu', 'signal', 'expensive', 'expensive', 'according to', 'quality']")</f>
        <v>['', 'intention', 'card', 'cave', 'play', 'ngejump', 'mulu', 'signal', 'expensive', 'expensive', 'according to', 'quality']</v>
      </c>
      <c r="D21551" s="3">
        <v>1.0</v>
      </c>
    </row>
    <row r="21552" ht="15.75" customHeight="1">
      <c r="A21552" s="1">
        <v>22896.0</v>
      </c>
      <c r="B21552" s="3" t="s">
        <v>20356</v>
      </c>
      <c r="C21552" s="3" t="str">
        <f>IFERROR(__xludf.DUMMYFUNCTION("GOOGLETRANSLATE(B21552,""id"",""en"")"),"['ugly', 'shy', 'shame', 'company', 'bonafide', 'abal', 'abal', 'consumer', 'king', 'poor', 'Loe', '']")</f>
        <v>['ugly', 'shy', 'shame', 'company', 'bonafide', 'abal', 'abal', 'consumer', 'king', 'poor', 'Loe', '']</v>
      </c>
      <c r="D21552" s="3">
        <v>1.0</v>
      </c>
    </row>
    <row r="21553" ht="15.75" customHeight="1">
      <c r="A21553" s="1">
        <v>22897.0</v>
      </c>
      <c r="B21553" s="3" t="s">
        <v>20357</v>
      </c>
      <c r="C21553" s="3" t="str">
        <f>IFERROR(__xludf.DUMMYFUNCTION("GOOGLETRANSLATE(B21553,""id"",""en"")"),"['auto', 'uninstl', 'Karna', 'updated', 'APK', 'opened', 'screen', 'white', 'doank', ""]")</f>
        <v>['auto', 'uninstl', 'Karna', 'updated', 'APK', 'opened', 'screen', 'white', 'doank', "]</v>
      </c>
      <c r="D21553" s="3">
        <v>1.0</v>
      </c>
    </row>
    <row r="21554" ht="15.75" customHeight="1">
      <c r="A21554" s="1">
        <v>22898.0</v>
      </c>
      <c r="B21554" s="3" t="s">
        <v>20358</v>
      </c>
      <c r="C21554" s="3" t="str">
        <f>IFERROR(__xludf.DUMMYFUNCTION("GOOGLETRANSLATE(B21554,""id"",""en"")"),"['Open', 'APK', 'BSA', 'Enter', '']")</f>
        <v>['Open', 'APK', 'BSA', 'Enter', '']</v>
      </c>
      <c r="D21554" s="3">
        <v>1.0</v>
      </c>
    </row>
    <row r="21555" ht="15.75" customHeight="1">
      <c r="A21555" s="1">
        <v>22899.0</v>
      </c>
      <c r="B21555" s="3" t="s">
        <v>20359</v>
      </c>
      <c r="C21555" s="3" t="str">
        <f>IFERROR(__xludf.DUMMYFUNCTION("GOOGLETRANSLATE(B21555,""id"",""en"")"),"['Sousiny', 'Becus',' ASSU ',' Gada ',' Load ',' Very ',' right ',' Maen ',' Game ',' Male ',' Card ',' Telkomsel ',' Nyesek ',' ASSU ']")</f>
        <v>['Sousiny', 'Becus',' ASSU ',' Gada ',' Load ',' Very ',' right ',' Maen ',' Game ',' Male ',' Card ',' Telkomsel ',' Nyesek ',' ASSU ']</v>
      </c>
      <c r="D21555" s="3">
        <v>5.0</v>
      </c>
    </row>
    <row r="21556" ht="15.75" customHeight="1">
      <c r="A21556" s="1">
        <v>22900.0</v>
      </c>
      <c r="B21556" s="3" t="s">
        <v>20360</v>
      </c>
      <c r="C21556" s="3" t="str">
        <f>IFERROR(__xludf.DUMMYFUNCTION("GOOGLETRANSLATE(B21556,""id"",""en"")"),"['quota', 'data', 'Telkomsel', 'expensive', 'in the world']")</f>
        <v>['quota', 'data', 'Telkomsel', 'expensive', 'in the world']</v>
      </c>
      <c r="D21556" s="3">
        <v>1.0</v>
      </c>
    </row>
    <row r="21557" ht="15.75" customHeight="1">
      <c r="A21557" s="1">
        <v>22901.0</v>
      </c>
      <c r="B21557" s="3" t="s">
        <v>20361</v>
      </c>
      <c r="C21557" s="3" t="str">
        <f>IFERROR(__xludf.DUMMYFUNCTION("GOOGLETRANSLATE(B21557,""id"",""en"")"),"['fill', 'pulse', 'buy', 'package', 'buy', 'package', 'no', 'enter', 'pulse', 'run out']")</f>
        <v>['fill', 'pulse', 'buy', 'package', 'buy', 'package', 'no', 'enter', 'pulse', 'run out']</v>
      </c>
      <c r="D21557" s="3">
        <v>1.0</v>
      </c>
    </row>
    <row r="21558" ht="15.75" customHeight="1">
      <c r="A21558" s="1">
        <v>22902.0</v>
      </c>
      <c r="B21558" s="3" t="s">
        <v>20362</v>
      </c>
      <c r="C21558" s="3" t="str">
        <f>IFERROR(__xludf.DUMMYFUNCTION("GOOGLETRANSLATE(B21558,""id"",""en"")"),"['easy', 'network', 'good', 'slow']")</f>
        <v>['easy', 'network', 'good', 'slow']</v>
      </c>
      <c r="D21558" s="3">
        <v>5.0</v>
      </c>
    </row>
    <row r="21559" ht="15.75" customHeight="1">
      <c r="A21559" s="1">
        <v>22903.0</v>
      </c>
      <c r="B21559" s="3" t="s">
        <v>20363</v>
      </c>
      <c r="C21559" s="3" t="str">
        <f>IFERROR(__xludf.DUMMYFUNCTION("GOOGLETRANSLATE(B21559,""id"",""en"")"),"['Abis', 'update', 'opened', 'screen', 'white', 'doang']")</f>
        <v>['Abis', 'update', 'opened', 'screen', 'white', 'doang']</v>
      </c>
      <c r="D21559" s="3">
        <v>1.0</v>
      </c>
    </row>
    <row r="21560" ht="15.75" customHeight="1">
      <c r="A21560" s="1">
        <v>22904.0</v>
      </c>
      <c r="B21560" s="3" t="s">
        <v>934</v>
      </c>
      <c r="C21560" s="3" t="str">
        <f>IFERROR(__xludf.DUMMYFUNCTION("GOOGLETRANSLATE(B21560,""id"",""en"")"),"['interesting', '']")</f>
        <v>['interesting', '']</v>
      </c>
      <c r="D21560" s="3">
        <v>4.0</v>
      </c>
    </row>
    <row r="21561" ht="15.75" customHeight="1">
      <c r="A21561" s="1">
        <v>22905.0</v>
      </c>
      <c r="B21561" s="3" t="s">
        <v>20364</v>
      </c>
      <c r="C21561" s="3" t="str">
        <f>IFERROR(__xludf.DUMMYFUNCTION("GOOGLETRANSLATE(B21561,""id"",""en"")"),"['told', 'download', 'turn', 'downld', 'nda', 'entry', 'opss', 'error', '']")</f>
        <v>['told', 'download', 'turn', 'downld', 'nda', 'entry', 'opss', 'error', '']</v>
      </c>
      <c r="D21561" s="3">
        <v>1.0</v>
      </c>
    </row>
    <row r="21562" ht="15.75" customHeight="1">
      <c r="A21562" s="1">
        <v>22906.0</v>
      </c>
      <c r="B21562" s="3" t="s">
        <v>20365</v>
      </c>
      <c r="C21562" s="3" t="str">
        <f>IFERROR(__xludf.DUMMYFUNCTION("GOOGLETRANSLATE(B21562,""id"",""en"")"),"['Quality', 'signal']")</f>
        <v>['Quality', 'signal']</v>
      </c>
      <c r="D21562" s="3">
        <v>4.0</v>
      </c>
    </row>
    <row r="21563" ht="15.75" customHeight="1">
      <c r="A21563" s="1">
        <v>22907.0</v>
      </c>
      <c r="B21563" s="3" t="s">
        <v>20366</v>
      </c>
      <c r="C21563" s="3" t="str">
        <f>IFERROR(__xludf.DUMMYFUNCTION("GOOGLETRANSLATE(B21563,""id"",""en"")"),"['Please', 'Telkomsel', 'Please', 'Repaired', 'Signal', 'Internet', 'Lag', 'Lost', 'Dieses',' Kampai ',' Kecamatan ',' Talo ',' Regency ',' Seluma ',' Province ',' Bengkulu ']")</f>
        <v>['Please', 'Telkomsel', 'Please', 'Repaired', 'Signal', 'Internet', 'Lag', 'Lost', 'Dieses',' Kampai ',' Kecamatan ',' Talo ',' Regency ',' Seluma ',' Province ',' Bengkulu ']</v>
      </c>
      <c r="D21563" s="3">
        <v>1.0</v>
      </c>
    </row>
    <row r="21564" ht="15.75" customHeight="1">
      <c r="A21564" s="1">
        <v>22908.0</v>
      </c>
      <c r="B21564" s="3" t="s">
        <v>20367</v>
      </c>
      <c r="C21564" s="3" t="str">
        <f>IFERROR(__xludf.DUMMYFUNCTION("GOOGLETRANSLATE(B21564,""id"",""en"")"),"['already', 'yesterday', 'application', 'Telkomsel', 'gabisa', 'open', 'already', 'uninstall', 'install', 'ttp', 'gabisa', 'already', ' Restart ',' TTP ',' Gabisa ',' ']")</f>
        <v>['already', 'yesterday', 'application', 'Telkomsel', 'gabisa', 'open', 'already', 'uninstall', 'install', 'ttp', 'gabisa', 'already', ' Restart ',' TTP ',' Gabisa ',' ']</v>
      </c>
      <c r="D21564" s="3">
        <v>1.0</v>
      </c>
    </row>
    <row r="21565" ht="15.75" customHeight="1">
      <c r="A21565" s="1">
        <v>22909.0</v>
      </c>
      <c r="B21565" s="3" t="s">
        <v>20368</v>
      </c>
      <c r="C21565" s="3" t="str">
        <f>IFERROR(__xludf.DUMMYFUNCTION("GOOGLETRANSLATE(B21565,""id"",""en"")"),"['Fak', 'Network', 'Telkomsel', 'Auto', 'Congratulations', 'OTW', 'OTW', 'Network', 'next door', 'Jos', '']")</f>
        <v>['Fak', 'Network', 'Telkomsel', 'Auto', 'Congratulations', 'OTW', 'OTW', 'Network', 'next door', 'Jos', '']</v>
      </c>
      <c r="D21565" s="3">
        <v>2.0</v>
      </c>
    </row>
    <row r="21566" ht="15.75" customHeight="1">
      <c r="A21566" s="1">
        <v>22910.0</v>
      </c>
      <c r="B21566" s="3" t="s">
        <v>20369</v>
      </c>
      <c r="C21566" s="3" t="str">
        <f>IFERROR(__xludf.DUMMYFUNCTION("GOOGLETRANSLATE(B21566,""id"",""en"")"),"['expensive', 'comparable', 'quality', 'bad', '']")</f>
        <v>['expensive', 'comparable', 'quality', 'bad', '']</v>
      </c>
      <c r="D21566" s="3">
        <v>1.0</v>
      </c>
    </row>
    <row r="21567" ht="15.75" customHeight="1">
      <c r="A21567" s="1">
        <v>22911.0</v>
      </c>
      <c r="B21567" s="3" t="s">
        <v>20370</v>
      </c>
      <c r="C21567" s="3" t="str">
        <f>IFERROR(__xludf.DUMMYFUNCTION("GOOGLETRANSLATE(B21567,""id"",""en"")"),"['Knpa', 'price']")</f>
        <v>['Knpa', 'price']</v>
      </c>
      <c r="D21567" s="3">
        <v>5.0</v>
      </c>
    </row>
    <row r="21568" ht="15.75" customHeight="1">
      <c r="A21568" s="1">
        <v>22912.0</v>
      </c>
      <c r="B21568" s="3" t="s">
        <v>20371</v>
      </c>
      <c r="C21568" s="3" t="str">
        <f>IFERROR(__xludf.DUMMYFUNCTION("GOOGLETRANSLATE(B21568,""id"",""en"")"),"['Redem', 'Points']")</f>
        <v>['Redem', 'Points']</v>
      </c>
      <c r="D21568" s="3">
        <v>5.0</v>
      </c>
    </row>
    <row r="21569" ht="15.75" customHeight="1">
      <c r="A21569" s="1">
        <v>22913.0</v>
      </c>
      <c r="B21569" s="3" t="s">
        <v>20372</v>
      </c>
      <c r="C21569" s="3" t="str">
        <f>IFERROR(__xludf.DUMMYFUNCTION("GOOGLETRANSLATE(B21569,""id"",""en"")"),"['Telkomsel', 'no', 'bad', 'check', 'pulse', 'no', 'application', 'no', 'moved', 'provider', 'telkom']")</f>
        <v>['Telkomsel', 'no', 'bad', 'check', 'pulse', 'no', 'application', 'no', 'moved', 'provider', 'telkom']</v>
      </c>
      <c r="D21569" s="3">
        <v>1.0</v>
      </c>
    </row>
    <row r="21570" ht="15.75" customHeight="1">
      <c r="A21570" s="1">
        <v>22914.0</v>
      </c>
      <c r="B21570" s="3" t="s">
        <v>20373</v>
      </c>
      <c r="C21570" s="3" t="str">
        <f>IFERROR(__xludf.DUMMYFUNCTION("GOOGLETRANSLATE(B21570,""id"",""en"")"),"['Sgat', 'Help', 'Trima', 'ksih', ""]")</f>
        <v>['Sgat', 'Help', 'Trima', 'ksih', "]</v>
      </c>
      <c r="D21570" s="3">
        <v>5.0</v>
      </c>
    </row>
    <row r="21571" ht="15.75" customHeight="1">
      <c r="A21571" s="1">
        <v>22915.0</v>
      </c>
      <c r="B21571" s="3" t="s">
        <v>20374</v>
      </c>
      <c r="C21571" s="3" t="str">
        <f>IFERROR(__xludf.DUMMYFUNCTION("GOOGLETRANSLATE(B21571,""id"",""en"")"),"['Bad', 'Teu', 'Asup', 'Bangkee']")</f>
        <v>['Bad', 'Teu', 'Asup', 'Bangkee']</v>
      </c>
      <c r="D21571" s="3">
        <v>3.0</v>
      </c>
    </row>
    <row r="21572" ht="15.75" customHeight="1">
      <c r="A21572" s="1">
        <v>22916.0</v>
      </c>
      <c r="B21572" s="3" t="s">
        <v>20375</v>
      </c>
      <c r="C21572" s="3" t="str">
        <f>IFERROR(__xludf.DUMMYFUNCTION("GOOGLETRANSLATE(B21572,""id"",""en"")"),"['shelek', 'shelek', 'network', 'Telkomsel', 'kayak', 'taekk', 'play', 'shelek', 'network', 'hadeh', 'hope', 'crew', ' Telkomsel ',' on earth ',' Kirer ',' Kangker ',' Brain ',' Brain ',' Cook ',' War ',' Network ',' Cave ',' Selek ',' Difficult ',' Duduc"&amp;"k ' , 'hope', 'Your', 'every', 'day', 'gloomy']")</f>
        <v>['shelek', 'shelek', 'network', 'Telkomsel', 'kayak', 'taekk', 'play', 'shelek', 'network', 'hadeh', 'hope', 'crew', ' Telkomsel ',' on earth ',' Kirer ',' Kangker ',' Brain ',' Brain ',' Cook ',' War ',' Network ',' Cave ',' Selek ',' Difficult ',' Duduck ' , 'hope', 'Your', 'every', 'day', 'gloomy']</v>
      </c>
      <c r="D21572" s="3">
        <v>1.0</v>
      </c>
    </row>
    <row r="21573" ht="15.75" customHeight="1">
      <c r="A21573" s="1">
        <v>22917.0</v>
      </c>
      <c r="B21573" s="3" t="s">
        <v>20376</v>
      </c>
      <c r="C21573" s="3" t="str">
        <f>IFERROR(__xludf.DUMMYFUNCTION("GOOGLETRANSLATE(B21573,""id"",""en"")"),"['Thank you', 'Telkomsel', 'APK', 'Help', ""]")</f>
        <v>['Thank you', 'Telkomsel', 'APK', 'Help', "]</v>
      </c>
      <c r="D21573" s="3">
        <v>4.0</v>
      </c>
    </row>
    <row r="21574" ht="15.75" customHeight="1">
      <c r="A21574" s="1">
        <v>22919.0</v>
      </c>
      <c r="B21574" s="3" t="s">
        <v>20377</v>
      </c>
      <c r="C21574" s="3" t="str">
        <f>IFERROR(__xludf.DUMMYFUNCTION("GOOGLETRANSLATE(B21574,""id"",""en"")"),"['fill', 'package', 'data', 'easy']")</f>
        <v>['fill', 'package', 'data', 'easy']</v>
      </c>
      <c r="D21574" s="3">
        <v>5.0</v>
      </c>
    </row>
    <row r="21575" ht="15.75" customHeight="1">
      <c r="A21575" s="1">
        <v>22920.0</v>
      </c>
      <c r="B21575" s="3" t="s">
        <v>20378</v>
      </c>
      <c r="C21575" s="3" t="str">
        <f>IFERROR(__xludf.DUMMYFUNCTION("GOOGLETRANSLATE(B21575,""id"",""en"")"),"['Here', 'Bad', 'Difficult', 'Login', ""]")</f>
        <v>['Here', 'Bad', 'Difficult', 'Login', "]</v>
      </c>
      <c r="D21575" s="3">
        <v>1.0</v>
      </c>
    </row>
    <row r="21576" ht="15.75" customHeight="1">
      <c r="A21576" s="1">
        <v>22921.0</v>
      </c>
      <c r="B21576" s="3" t="s">
        <v>20379</v>
      </c>
      <c r="C21576" s="3" t="str">
        <f>IFERROR(__xludf.DUMMYFUNCTION("GOOGLETRANSLATE(B21576,""id"",""en"")"),"['Network', 'Region', 'Riau', 'Pelalawan', 'Stable']")</f>
        <v>['Network', 'Region', 'Riau', 'Pelalawan', 'Stable']</v>
      </c>
      <c r="D21576" s="3">
        <v>3.0</v>
      </c>
    </row>
    <row r="21577" ht="15.75" customHeight="1">
      <c r="A21577" s="1">
        <v>22922.0</v>
      </c>
      <c r="B21577" s="3" t="s">
        <v>20380</v>
      </c>
      <c r="C21577" s="3" t="str">
        <f>IFERROR(__xludf.DUMMYFUNCTION("GOOGLETRANSLATE(B21577,""id"",""en"")"),"['Ribet', 'Installation', 'Gada', 'Change', '']")</f>
        <v>['Ribet', 'Installation', 'Gada', 'Change', '']</v>
      </c>
      <c r="D21577" s="3">
        <v>1.0</v>
      </c>
    </row>
    <row r="21578" ht="15.75" customHeight="1">
      <c r="A21578" s="1">
        <v>22923.0</v>
      </c>
      <c r="B21578" s="3" t="s">
        <v>20381</v>
      </c>
      <c r="C21578" s="3" t="str">
        <f>IFERROR(__xludf.DUMMYFUNCTION("GOOGLETRANSLATE(B21578,""id"",""en"")"),"['Ngerti', 'Telkomnyet', 'package', 'expensive', 'service', 'bad', 'signal', 'bapuk']")</f>
        <v>['Ngerti', 'Telkomnyet', 'package', 'expensive', 'service', 'bad', 'signal', 'bapuk']</v>
      </c>
      <c r="D21578" s="3">
        <v>1.0</v>
      </c>
    </row>
    <row r="21579" ht="15.75" customHeight="1">
      <c r="A21579" s="1">
        <v>22924.0</v>
      </c>
      <c r="B21579" s="3" t="s">
        <v>20382</v>
      </c>
      <c r="C21579" s="3" t="str">
        <f>IFERROR(__xludf.DUMMYFUNCTION("GOOGLETRANSLATE(B21579,""id"",""en"")"),"['Card', 'Telkomsel', 'ugly', 'buy', 'package', 'data', 'quota', 'national', 'GB', 'Kouta', 'apps',' GB ',' Koutaa ',' Apps', 'Changed', 'Kouta', 'OMG', 'Watch', 'GB', 'What']")</f>
        <v>['Card', 'Telkomsel', 'ugly', 'buy', 'package', 'data', 'quota', 'national', 'GB', 'Kouta', 'apps',' GB ',' Koutaa ',' Apps', 'Changed', 'Kouta', 'OMG', 'Watch', 'GB', 'What']</v>
      </c>
      <c r="D21579" s="3">
        <v>1.0</v>
      </c>
    </row>
    <row r="21580" ht="15.75" customHeight="1">
      <c r="A21580" s="1">
        <v>22925.0</v>
      </c>
      <c r="B21580" s="3" t="s">
        <v>20383</v>
      </c>
      <c r="C21580" s="3" t="str">
        <f>IFERROR(__xludf.DUMMYFUNCTION("GOOGLETRANSLATE(B21580,""id"",""en"")"),"['Severe', 'Telkomsel', 'missing', 'signal', 'stable', 'skrng', 'please', 'repair', 'telkom', 'pig']")</f>
        <v>['Severe', 'Telkomsel', 'missing', 'signal', 'stable', 'skrng', 'please', 'repair', 'telkom', 'pig']</v>
      </c>
      <c r="D21580" s="3">
        <v>1.0</v>
      </c>
    </row>
    <row r="21581" ht="15.75" customHeight="1">
      <c r="A21581" s="1">
        <v>22926.0</v>
      </c>
      <c r="B21581" s="3" t="s">
        <v>20384</v>
      </c>
      <c r="C21581" s="3" t="str">
        <f>IFERROR(__xludf.DUMMYFUNCTION("GOOGLETRANSLATE(B21581,""id"",""en"")"),"['Credit', 'Make', 'monetary', 'Jatohnya', 'Harm', 'People']")</f>
        <v>['Credit', 'Make', 'monetary', 'Jatohnya', 'Harm', 'People']</v>
      </c>
      <c r="D21581" s="3">
        <v>1.0</v>
      </c>
    </row>
    <row r="21582" ht="15.75" customHeight="1">
      <c r="A21582" s="1">
        <v>22927.0</v>
      </c>
      <c r="B21582" s="3" t="s">
        <v>20385</v>
      </c>
      <c r="C21582" s="3" t="str">
        <f>IFERROR(__xludf.DUMMYFUNCTION("GOOGLETRANSLATE(B21582,""id"",""en"")"),"['apk', 'update', 'broken', 'trs', 'dri', 'apk', 'pdhl', 'ram', '']")</f>
        <v>['apk', 'update', 'broken', 'trs', 'dri', 'apk', 'pdhl', 'ram', '']</v>
      </c>
      <c r="D21582" s="3">
        <v>1.0</v>
      </c>
    </row>
    <row r="21583" ht="15.75" customHeight="1">
      <c r="A21583" s="1">
        <v>22928.0</v>
      </c>
      <c r="B21583" s="3" t="s">
        <v>20386</v>
      </c>
      <c r="C21583" s="3" t="str">
        <f>IFERROR(__xludf.DUMMYFUNCTION("GOOGLETRANSLATE(B21583,""id"",""en"")"),"['Disappointed', 'card', 'Telkomsel', 'no', 'signal', 'already', 'muter', 'where', 'search', 'signal', 'no', 'please', ' repair ']")</f>
        <v>['Disappointed', 'card', 'Telkomsel', 'no', 'signal', 'already', 'muter', 'where', 'search', 'signal', 'no', 'please', ' repair ']</v>
      </c>
      <c r="D21583" s="3">
        <v>1.0</v>
      </c>
    </row>
    <row r="21584" ht="15.75" customHeight="1">
      <c r="A21584" s="1">
        <v>22929.0</v>
      </c>
      <c r="B21584" s="3" t="s">
        <v>20387</v>
      </c>
      <c r="C21584" s="3" t="str">
        <f>IFERROR(__xludf.DUMMYFUNCTION("GOOGLETRANSLATE(B21584,""id"",""en"")"),"['Signal', 'Telkomsel', 'Bad', 'Provider', 'number', 'Indonesia', 'Karna', 'Network', 'Network', 'Edge', 'HSDPA', 'Down', ' quality', '']")</f>
        <v>['Signal', 'Telkomsel', 'Bad', 'Provider', 'number', 'Indonesia', 'Karna', 'Network', 'Network', 'Edge', 'HSDPA', 'Down', ' quality', '']</v>
      </c>
      <c r="D21584" s="3">
        <v>1.0</v>
      </c>
    </row>
    <row r="21585" ht="15.75" customHeight="1">
      <c r="A21585" s="1">
        <v>22930.0</v>
      </c>
      <c r="B21585" s="3" t="s">
        <v>2119</v>
      </c>
      <c r="C21585" s="3" t="str">
        <f>IFERROR(__xludf.DUMMYFUNCTION("GOOGLETRANSLATE(B21585,""id"",""en"")"),"['', 'opened']")</f>
        <v>['', 'opened']</v>
      </c>
      <c r="D21585" s="3">
        <v>1.0</v>
      </c>
    </row>
    <row r="21586" ht="15.75" customHeight="1">
      <c r="A21586" s="1">
        <v>22931.0</v>
      </c>
      <c r="B21586" s="3" t="s">
        <v>20388</v>
      </c>
      <c r="C21586" s="3" t="str">
        <f>IFERROR(__xludf.DUMMYFUNCTION("GOOGLETRANSLATE(B21586,""id"",""en"")"),"['Network', 'already', 'lose', 'card', 'slow', 'really', 'Telkomsel']")</f>
        <v>['Network', 'already', 'lose', 'card', 'slow', 'really', 'Telkomsel']</v>
      </c>
      <c r="D21586" s="3">
        <v>1.0</v>
      </c>
    </row>
    <row r="21587" ht="15.75" customHeight="1">
      <c r="A21587" s="1">
        <v>22933.0</v>
      </c>
      <c r="B21587" s="3" t="s">
        <v>20389</v>
      </c>
      <c r="C21587" s="3" t="str">
        <f>IFERROR(__xludf.DUMMYFUNCTION("GOOGLETRANSLATE(B21587,""id"",""en"")"),"['Enter', 'Loading', 'Loading', 'Open', 'YouTube', 'Current', 'Jaya']")</f>
        <v>['Enter', 'Loading', 'Loading', 'Open', 'YouTube', 'Current', 'Jaya']</v>
      </c>
      <c r="D21587" s="3">
        <v>1.0</v>
      </c>
    </row>
    <row r="21588" ht="15.75" customHeight="1">
      <c r="A21588" s="1">
        <v>22935.0</v>
      </c>
      <c r="B21588" s="3" t="s">
        <v>255</v>
      </c>
      <c r="C21588" s="3" t="str">
        <f>IFERROR(__xludf.DUMMYFUNCTION("GOOGLETRANSLATE(B21588,""id"",""en"")"),"['APK', 'good', 'really', '']")</f>
        <v>['APK', 'good', 'really', '']</v>
      </c>
      <c r="D21588" s="3">
        <v>5.0</v>
      </c>
    </row>
    <row r="21589" ht="15.75" customHeight="1">
      <c r="A21589" s="1">
        <v>22936.0</v>
      </c>
      <c r="B21589" s="3" t="s">
        <v>20390</v>
      </c>
      <c r="C21589" s="3" t="str">
        <f>IFERROR(__xludf.DUMMYFUNCTION("GOOGLETRANSLATE(B21589,""id"",""en"")"),"['Date', 'Choice', 'Package', 'OMG', 'Sakti', 'Direct', 'Combo', 'RB', 'Search', 'Package', 'Monthly', 'Kayak', ' Limbung ',' Kah ',' Telkomsel ',' Network ',' Down ',' Stable ',' Customer ',' Disappointed ',' Lho ', ""]")</f>
        <v>['Date', 'Choice', 'Package', 'OMG', 'Sakti', 'Direct', 'Combo', 'RB', 'Search', 'Package', 'Monthly', 'Kayak', ' Limbung ',' Kah ',' Telkomsel ',' Network ',' Down ',' Stable ',' Customer ',' Disappointed ',' Lho ', "]</v>
      </c>
      <c r="D21589" s="3">
        <v>3.0</v>
      </c>
    </row>
    <row r="21590" ht="15.75" customHeight="1">
      <c r="A21590" s="1">
        <v>22937.0</v>
      </c>
      <c r="B21590" s="3" t="s">
        <v>20391</v>
      </c>
      <c r="C21590" s="3" t="str">
        <f>IFERROR(__xludf.DUMMYFUNCTION("GOOGLETRANSLATE(B21590,""id"",""en"")"),"['installed']")</f>
        <v>['installed']</v>
      </c>
      <c r="D21590" s="3">
        <v>1.0</v>
      </c>
    </row>
    <row r="21591" ht="15.75" customHeight="1">
      <c r="A21591" s="1">
        <v>22938.0</v>
      </c>
      <c r="B21591" s="3" t="s">
        <v>20392</v>
      </c>
      <c r="C21591" s="3" t="str">
        <f>IFERROR(__xludf.DUMMYFUNCTION("GOOGLETRANSLATE(B21591,""id"",""en"")"),"['experience', 'real', 'good', 'application', 'note', 'hoax', '']")</f>
        <v>['experience', 'real', 'good', 'application', 'note', 'hoax', '']</v>
      </c>
      <c r="D21591" s="3">
        <v>4.0</v>
      </c>
    </row>
    <row r="21592" ht="15.75" customHeight="1">
      <c r="A21592" s="1">
        <v>22939.0</v>
      </c>
      <c r="B21592" s="3" t="s">
        <v>20393</v>
      </c>
      <c r="C21592" s="3" t="str">
        <f>IFERROR(__xludf.DUMMYFUNCTION("GOOGLETRANSLATE(B21592,""id"",""en"")"),"['Stable', 'Rain']")</f>
        <v>['Stable', 'Rain']</v>
      </c>
      <c r="D21592" s="3">
        <v>5.0</v>
      </c>
    </row>
    <row r="21593" ht="15.75" customHeight="1">
      <c r="A21593" s="1">
        <v>22940.0</v>
      </c>
      <c r="B21593" s="3" t="s">
        <v>20394</v>
      </c>
      <c r="C21593" s="3" t="str">
        <f>IFERROR(__xludf.DUMMYFUNCTION("GOOGLETRANSLATE(B21593,""id"",""en"")"),"['Difficult', 'really', 'log', 'Something', 'Wrong', 'Emosyi', 'this is' 'trash']")</f>
        <v>['Difficult', 'really', 'log', 'Something', 'Wrong', 'Emosyi', 'this is' 'trash']</v>
      </c>
      <c r="D21593" s="3">
        <v>1.0</v>
      </c>
    </row>
    <row r="21594" ht="15.75" customHeight="1">
      <c r="A21594" s="1">
        <v>22941.0</v>
      </c>
      <c r="B21594" s="3" t="s">
        <v>20395</v>
      </c>
      <c r="C21594" s="3" t="str">
        <f>IFERROR(__xludf.DUMMYFUNCTION("GOOGLETRANSLATE(B21594,""id"",""en"")"),"['Lazy', 'APK']")</f>
        <v>['Lazy', 'APK']</v>
      </c>
      <c r="D21594" s="3">
        <v>1.0</v>
      </c>
    </row>
    <row r="21595" ht="15.75" customHeight="1">
      <c r="A21595" s="1">
        <v>22943.0</v>
      </c>
      <c r="B21595" s="3" t="s">
        <v>20396</v>
      </c>
      <c r="C21595" s="3" t="str">
        <f>IFERROR(__xludf.DUMMYFUNCTION("GOOGLETRANSLATE(B21595,""id"",""en"")"),"['Increase', 'Service', 'Best']")</f>
        <v>['Increase', 'Service', 'Best']</v>
      </c>
      <c r="D21595" s="3">
        <v>4.0</v>
      </c>
    </row>
    <row r="21596" ht="15.75" customHeight="1">
      <c r="A21596" s="1">
        <v>22944.0</v>
      </c>
      <c r="B21596" s="3" t="s">
        <v>20397</v>
      </c>
      <c r="C21596" s="3" t="str">
        <f>IFERROR(__xludf.DUMMYFUNCTION("GOOGLETRANSLATE(B21596,""id"",""en"")"),"['woi', 'ajg', 'buy', 'quota', 'difficult', 'network', 'difficult', 'price', 'expensive', 'change', 'operator', 'ajalah', ' little ',' error ',' dancok ']")</f>
        <v>['woi', 'ajg', 'buy', 'quota', 'difficult', 'network', 'difficult', 'price', 'expensive', 'change', 'operator', 'ajalah', ' little ',' error ',' dancok ']</v>
      </c>
      <c r="D21596" s="3">
        <v>1.0</v>
      </c>
    </row>
    <row r="21597" ht="15.75" customHeight="1">
      <c r="A21597" s="1">
        <v>22945.0</v>
      </c>
      <c r="B21597" s="3" t="s">
        <v>20398</v>
      </c>
      <c r="C21597" s="3" t="str">
        <f>IFERROR(__xludf.DUMMYFUNCTION("GOOGLETRANSLATE(B21597,""id"",""en"")"),"['Application', 'strange', 'bin', 'magical']")</f>
        <v>['Application', 'strange', 'bin', 'magical']</v>
      </c>
      <c r="D21597" s="3">
        <v>2.0</v>
      </c>
    </row>
    <row r="21598" ht="15.75" customHeight="1">
      <c r="A21598" s="1">
        <v>22946.0</v>
      </c>
      <c r="B21598" s="3" t="s">
        <v>20399</v>
      </c>
      <c r="C21598" s="3" t="str">
        <f>IFERROR(__xludf.DUMMYFUNCTION("GOOGLETRANSLATE(B21598,""id"",""en"")"),"['Synity', 'ugly', 'sending', 'message', 'failed', ""]")</f>
        <v>['Synity', 'ugly', 'sending', 'message', 'failed', "]</v>
      </c>
      <c r="D21598" s="3">
        <v>3.0</v>
      </c>
    </row>
    <row r="21599" ht="15.75" customHeight="1">
      <c r="A21599" s="1">
        <v>22947.0</v>
      </c>
      <c r="B21599" s="3" t="s">
        <v>20400</v>
      </c>
      <c r="C21599" s="3" t="str">
        <f>IFERROR(__xludf.DUMMYFUNCTION("GOOGLETRANSLATE(B21599,""id"",""en"")"),"['hard', 'application', 'operator', 'open', 'use', 'quota', 'rich', 'axis',' open ',' application ',' free ',' trus', ' Package ',' cheap ',' missing ',' ']")</f>
        <v>['hard', 'application', 'operator', 'open', 'use', 'quota', 'rich', 'axis',' open ',' application ',' free ',' trus', ' Package ',' cheap ',' missing ',' ']</v>
      </c>
      <c r="D21599" s="3">
        <v>1.0</v>
      </c>
    </row>
    <row r="21600" ht="15.75" customHeight="1">
      <c r="A21600" s="1">
        <v>22948.0</v>
      </c>
      <c r="B21600" s="3" t="s">
        <v>20401</v>
      </c>
      <c r="C21600" s="3" t="str">
        <f>IFERROR(__xludf.DUMMYFUNCTION("GOOGLETRANSLATE(B21600,""id"",""en"")"),"['Telkomsel', 'Error']")</f>
        <v>['Telkomsel', 'Error']</v>
      </c>
      <c r="D21600" s="3">
        <v>2.0</v>
      </c>
    </row>
    <row r="21601" ht="15.75" customHeight="1">
      <c r="A21601" s="1">
        <v>22949.0</v>
      </c>
      <c r="B21601" s="3" t="s">
        <v>20402</v>
      </c>
      <c r="C21601" s="3" t="str">
        <f>IFERROR(__xludf.DUMMYFUNCTION("GOOGLETRANSLATE(B21601,""id"",""en"")"),"['Cool', 'loading', 'slow']")</f>
        <v>['Cool', 'loading', 'slow']</v>
      </c>
      <c r="D21601" s="3">
        <v>5.0</v>
      </c>
    </row>
    <row r="21602" ht="15.75" customHeight="1">
      <c r="A21602" s="1">
        <v>22950.0</v>
      </c>
      <c r="B21602" s="3" t="s">
        <v>20403</v>
      </c>
      <c r="C21602" s="3" t="str">
        <f>IFERROR(__xludf.DUMMYFUNCTION("GOOGLETRANSLATE(B21602,""id"",""en"")"),"['Disappointed', 'Network', 'ugly', 'package', 'internet', 'expensive', 'beg', 'fix', 'consumer', 'loyal', ""]")</f>
        <v>['Disappointed', 'Network', 'ugly', 'package', 'internet', 'expensive', 'beg', 'fix', 'consumer', 'loyal', "]</v>
      </c>
      <c r="D21602" s="3">
        <v>1.0</v>
      </c>
    </row>
    <row r="21603" ht="15.75" customHeight="1">
      <c r="A21603" s="1">
        <v>22951.0</v>
      </c>
      <c r="B21603" s="3" t="s">
        <v>20404</v>
      </c>
      <c r="C21603" s="3" t="str">
        <f>IFERROR(__xludf.DUMMYFUNCTION("GOOGLETRANSLATE(B21603,""id"",""en"")"),"['TGL', 'Sedanh', 'Brada', 'Depok', 'Network', 'Telkomsel', 'ugly', 'srkali', 'internet']")</f>
        <v>['TGL', 'Sedanh', 'Brada', 'Depok', 'Network', 'Telkomsel', 'ugly', 'srkali', 'internet']</v>
      </c>
      <c r="D21603" s="3">
        <v>1.0</v>
      </c>
    </row>
    <row r="21604" ht="15.75" customHeight="1">
      <c r="A21604" s="1">
        <v>22952.0</v>
      </c>
      <c r="B21604" s="3" t="s">
        <v>3567</v>
      </c>
      <c r="C21604" s="3" t="str">
        <f>IFERROR(__xludf.DUMMYFUNCTION("GOOGLETRANSLATE(B21604,""id"",""en"")"),"['easy', '']")</f>
        <v>['easy', '']</v>
      </c>
      <c r="D21604" s="3">
        <v>5.0</v>
      </c>
    </row>
    <row r="21605" ht="15.75" customHeight="1">
      <c r="A21605" s="1">
        <v>22954.0</v>
      </c>
      <c r="B21605" s="3" t="s">
        <v>20405</v>
      </c>
      <c r="C21605" s="3" t="str">
        <f>IFERROR(__xludf.DUMMYFUNCTION("GOOGLETRANSLATE(B21605,""id"",""en"")"),"['Tauuuuu', 'here', 'Jeleq', 'then', 'price', 'package', 'internet', 'expensive']")</f>
        <v>['Tauuuuu', 'here', 'Jeleq', 'then', 'price', 'package', 'internet', 'expensive']</v>
      </c>
      <c r="D21605" s="3">
        <v>1.0</v>
      </c>
    </row>
    <row r="21606" ht="15.75" customHeight="1">
      <c r="A21606" s="1">
        <v>22956.0</v>
      </c>
      <c r="B21606" s="3" t="s">
        <v>20406</v>
      </c>
      <c r="C21606" s="3" t="str">
        <f>IFERROR(__xludf.DUMMYFUNCTION("GOOGLETRANSLATE(B21606,""id"",""en"")"),"['Package', 'expensive', 'expensive', 'network', 'Badkkkkkkkkkkk']")</f>
        <v>['Package', 'expensive', 'expensive', 'network', 'Badkkkkkkkkkkk']</v>
      </c>
      <c r="D21606" s="3">
        <v>1.0</v>
      </c>
    </row>
    <row r="21607" ht="15.75" customHeight="1">
      <c r="A21607" s="1">
        <v>22957.0</v>
      </c>
      <c r="B21607" s="3" t="s">
        <v>20407</v>
      </c>
      <c r="C21607" s="3" t="str">
        <f>IFERROR(__xludf.DUMMYFUNCTION("GOOGLETRANSLATE(B21607,""id"",""en"")"),"['Service', 'Worst', 'Tipu', '']")</f>
        <v>['Service', 'Worst', 'Tipu', '']</v>
      </c>
      <c r="D21607" s="3">
        <v>1.0</v>
      </c>
    </row>
    <row r="21608" ht="15.75" customHeight="1">
      <c r="A21608" s="1">
        <v>22960.0</v>
      </c>
      <c r="B21608" s="3" t="s">
        <v>20408</v>
      </c>
      <c r="C21608" s="3" t="str">
        <f>IFERROR(__xludf.DUMMYFUNCTION("GOOGLETRANSLATE(B21608,""id"",""en"")"),"['signal', 'bad', 'subscribe', 'price', 'package', 'expensive', '']")</f>
        <v>['signal', 'bad', 'subscribe', 'price', 'package', 'expensive', '']</v>
      </c>
      <c r="D21608" s="3">
        <v>1.0</v>
      </c>
    </row>
    <row r="21609" ht="15.75" customHeight="1">
      <c r="A21609" s="1">
        <v>22961.0</v>
      </c>
      <c r="B21609" s="3" t="s">
        <v>20409</v>
      </c>
      <c r="C21609" s="3" t="str">
        <f>IFERROR(__xludf.DUMMYFUNCTION("GOOGLETRANSLATE(B21609,""id"",""en"")"),"['Signal', 'Good', 'Open', 'You', 'Tube', 'Difficult']")</f>
        <v>['Signal', 'Good', 'Open', 'You', 'Tube', 'Difficult']</v>
      </c>
      <c r="D21609" s="3">
        <v>3.0</v>
      </c>
    </row>
    <row r="21610" ht="15.75" customHeight="1">
      <c r="A21610" s="1">
        <v>22962.0</v>
      </c>
      <c r="B21610" s="3" t="s">
        <v>20410</v>
      </c>
      <c r="C21610" s="3" t="str">
        <f>IFERROR(__xludf.DUMMYFUNCTION("GOOGLETRANSLATE(B21610,""id"",""en"")"),"['Information', 'complete', 'purchase', 'package', 'quota', 'easy', 'fast', 'good', ""]")</f>
        <v>['Information', 'complete', 'purchase', 'package', 'quota', 'easy', 'fast', 'good', "]</v>
      </c>
      <c r="D21610" s="3">
        <v>5.0</v>
      </c>
    </row>
    <row r="21611" ht="15.75" customHeight="1">
      <c r="A21611" s="1">
        <v>22963.0</v>
      </c>
      <c r="B21611" s="3" t="s">
        <v>20411</v>
      </c>
      <c r="C21611" s="3" t="str">
        <f>IFERROR(__xludf.DUMMYFUNCTION("GOOGLETRANSLATE(B21611,""id"",""en"")"),"['already', 'Telkom', 'deficiency', 'bnyk', 'price', 'package', 'expensive', 'network', 'minimal', 'speed', 'internet', 'slow' signal ',' like ',' missing ',' report ',' advantages', 'empty', 'balanced', 'doang']")</f>
        <v>['already', 'Telkom', 'deficiency', 'bnyk', 'price', 'package', 'expensive', 'network', 'minimal', 'speed', 'internet', 'slow' signal ',' like ',' missing ',' report ',' advantages', 'empty', 'balanced', 'doang']</v>
      </c>
      <c r="D21611" s="3">
        <v>1.0</v>
      </c>
    </row>
    <row r="21612" ht="15.75" customHeight="1">
      <c r="A21612" s="1">
        <v>22964.0</v>
      </c>
      <c r="B21612" s="3" t="s">
        <v>20412</v>
      </c>
      <c r="C21612" s="3" t="str">
        <f>IFERROR(__xludf.DUMMYFUNCTION("GOOGLETRANSLATE(B21612,""id"",""en"")"),"['Application', 'updated', 'entered', 'many years', 'not', 'fixed', 'good', 'as if', 'blocked', 'application', 'tried', 'enter']")</f>
        <v>['Application', 'updated', 'entered', 'many years', 'not', 'fixed', 'good', 'as if', 'blocked', 'application', 'tried', 'enter']</v>
      </c>
      <c r="D21612" s="3">
        <v>1.0</v>
      </c>
    </row>
    <row r="21613" ht="15.75" customHeight="1">
      <c r="A21613" s="1">
        <v>22965.0</v>
      </c>
      <c r="B21613" s="3" t="s">
        <v>20413</v>
      </c>
      <c r="C21613" s="3" t="str">
        <f>IFERROR(__xludf.DUMMYFUNCTION("GOOGLETRANSLATE(B21613,""id"",""en"")"),"['Telkomsel', 'play', 'game', 'online', 'ilang', 'like', 'change', 'mulu', 'satisfied']")</f>
        <v>['Telkomsel', 'play', 'game', 'online', 'ilang', 'like', 'change', 'mulu', 'satisfied']</v>
      </c>
      <c r="D21613" s="3">
        <v>1.0</v>
      </c>
    </row>
    <row r="21614" ht="15.75" customHeight="1">
      <c r="A21614" s="1">
        <v>22966.0</v>
      </c>
      <c r="B21614" s="3" t="s">
        <v>20414</v>
      </c>
      <c r="C21614" s="3" t="str">
        <f>IFERROR(__xludf.DUMMYFUNCTION("GOOGLETRANSLATE(B21614,""id"",""en"")"),"['difficult', 'really', 'Login', 'Season', 'cave', 'send', 'sms',' already ',' click ',' opss', 'error', 'please', ' How ',' Ngga ',' Delicious', 'Telkomsel', 'Ribet', 'Login']")</f>
        <v>['difficult', 'really', 'Login', 'Season', 'cave', 'send', 'sms',' already ',' click ',' opss', 'error', 'please', ' How ',' Ngga ',' Delicious', 'Telkomsel', 'Ribet', 'Login']</v>
      </c>
      <c r="D21614" s="3">
        <v>1.0</v>
      </c>
    </row>
    <row r="21615" ht="15.75" customHeight="1">
      <c r="A21615" s="1">
        <v>22967.0</v>
      </c>
      <c r="B21615" s="3" t="s">
        <v>20415</v>
      </c>
      <c r="C21615" s="3" t="str">
        <f>IFERROR(__xludf.DUMMYFUNCTION("GOOGLETRANSLATE(B21615,""id"",""en"")"),"['Install', 'application', 'cook', 'for a while', 'verification', 'mulu', 'boundary', 'verification', 'second', 'loading', 'really', 'Bukak', ' Link ',' expiration ',' Mulu ',' Enterwood ',' disappointing ']")</f>
        <v>['Install', 'application', 'cook', 'for a while', 'verification', 'mulu', 'boundary', 'verification', 'second', 'loading', 'really', 'Bukak', ' Link ',' expiration ',' Mulu ',' Enterwood ',' disappointing ']</v>
      </c>
      <c r="D21615" s="3">
        <v>2.0</v>
      </c>
    </row>
    <row r="21616" ht="15.75" customHeight="1">
      <c r="A21616" s="1">
        <v>22968.0</v>
      </c>
      <c r="B21616" s="3" t="s">
        <v>20416</v>
      </c>
      <c r="C21616" s="3" t="str">
        <f>IFERROR(__xludf.DUMMYFUNCTION("GOOGLETRANSLATE(B21616,""id"",""en"")"),"['package', 'internet', 'expensive', 'network', 'ugly']")</f>
        <v>['package', 'internet', 'expensive', 'network', 'ugly']</v>
      </c>
      <c r="D21616" s="3">
        <v>1.0</v>
      </c>
    </row>
    <row r="21617" ht="15.75" customHeight="1">
      <c r="A21617" s="1">
        <v>22969.0</v>
      </c>
      <c r="B21617" s="3" t="s">
        <v>20417</v>
      </c>
      <c r="C21617" s="3" t="str">
        <f>IFERROR(__xludf.DUMMYFUNCTION("GOOGLETRANSLATE(B21617,""id"",""en"")"),"['MyTelkomsel', 'Chekin', 'Head', 'Gift', 'emggak', 'Please', 'Jngn', 'Customer', 'Oada', 'Moving', 'neighbor', 'Next to']")</f>
        <v>['MyTelkomsel', 'Chekin', 'Head', 'Gift', 'emggak', 'Please', 'Jngn', 'Customer', 'Oada', 'Moving', 'neighbor', 'Next to']</v>
      </c>
      <c r="D21617" s="3">
        <v>5.0</v>
      </c>
    </row>
    <row r="21618" ht="15.75" customHeight="1">
      <c r="A21618" s="1">
        <v>22970.0</v>
      </c>
      <c r="B21618" s="3" t="s">
        <v>1601</v>
      </c>
      <c r="C21618" s="3" t="str">
        <f>IFERROR(__xludf.DUMMYFUNCTION("GOOGLETRANSLATE(B21618,""id"",""en"")"),"['open']")</f>
        <v>['open']</v>
      </c>
      <c r="D21618" s="3">
        <v>5.0</v>
      </c>
    </row>
    <row r="21619" ht="15.75" customHeight="1">
      <c r="A21619" s="1">
        <v>22971.0</v>
      </c>
      <c r="B21619" s="3" t="s">
        <v>20418</v>
      </c>
      <c r="C21619" s="3" t="str">
        <f>IFERROR(__xludf.DUMMYFUNCTION("GOOGLETRANSLATE(B21619,""id"",""en"")"),"['Date', 'des', 'update', 'Android', 'smartphone', 'update', 'Android', 'Telkomsel', 'deleted', 'Download', 'Telkomsel']")</f>
        <v>['Date', 'des', 'update', 'Android', 'smartphone', 'update', 'Android', 'Telkomsel', 'deleted', 'Download', 'Telkomsel']</v>
      </c>
      <c r="D21619" s="3">
        <v>5.0</v>
      </c>
    </row>
    <row r="21620" ht="15.75" customHeight="1">
      <c r="A21620" s="1">
        <v>22972.0</v>
      </c>
      <c r="B21620" s="3" t="s">
        <v>20419</v>
      </c>
      <c r="C21620" s="3" t="str">
        <f>IFERROR(__xludf.DUMMYFUNCTION("GOOGLETRANSLATE(B21620,""id"",""en"")"),"['signal', 'good', 'package', 'cheap', '']")</f>
        <v>['signal', 'good', 'package', 'cheap', '']</v>
      </c>
      <c r="D21620" s="3">
        <v>5.0</v>
      </c>
    </row>
    <row r="21621" ht="15.75" customHeight="1">
      <c r="A21621" s="1">
        <v>22973.0</v>
      </c>
      <c r="B21621" s="3" t="s">
        <v>20420</v>
      </c>
      <c r="C21621" s="3" t="str">
        <f>IFERROR(__xludf.DUMMYFUNCTION("GOOGLETRANSLATE(B21621,""id"",""en"")"),"['ugly', 'entry', 'application', 'Telkomsel', 'access',' enter ',' bad ',' name ',' brand ',' telkosel ',' quality ',' ugly ',' disappointed']")</f>
        <v>['ugly', 'entry', 'application', 'Telkomsel', 'access',' enter ',' bad ',' name ',' brand ',' telkosel ',' quality ',' ugly ',' disappointed']</v>
      </c>
      <c r="D21621" s="3">
        <v>1.0</v>
      </c>
    </row>
    <row r="21622" ht="15.75" customHeight="1">
      <c r="A21622" s="1">
        <v>22974.0</v>
      </c>
      <c r="B21622" s="3" t="s">
        <v>20421</v>
      </c>
      <c r="C21622" s="3" t="str">
        <f>IFERROR(__xludf.DUMMYFUNCTION("GOOGLETRANSLATE(B21622,""id"",""en"")"),"['ugly', 'bagusan', 'update']")</f>
        <v>['ugly', 'bagusan', 'update']</v>
      </c>
      <c r="D21622" s="3">
        <v>1.0</v>
      </c>
    </row>
    <row r="21623" ht="15.75" customHeight="1">
      <c r="A21623" s="1">
        <v>22975.0</v>
      </c>
      <c r="B21623" s="3" t="s">
        <v>20422</v>
      </c>
      <c r="C21623" s="3" t="str">
        <f>IFERROR(__xludf.DUMMYFUNCTION("GOOGLETRANSLATE(B21623,""id"",""en"")"),"['makes it easier', 'buy', 'quota', 'internet']")</f>
        <v>['makes it easier', 'buy', 'quota', 'internet']</v>
      </c>
      <c r="D21623" s="3">
        <v>5.0</v>
      </c>
    </row>
    <row r="21624" ht="15.75" customHeight="1">
      <c r="A21624" s="1">
        <v>22976.0</v>
      </c>
      <c r="B21624" s="3" t="s">
        <v>20423</v>
      </c>
      <c r="C21624" s="3" t="str">
        <f>IFERROR(__xludf.DUMMYFUNCTION("GOOGLETRANSLATE(B21624,""id"",""en"")"),"['Terimaksih', 'Telkomsel', 'Audh', 'Service', 'Best', 'Customer']")</f>
        <v>['Terimaksih', 'Telkomsel', 'Audh', 'Service', 'Best', 'Customer']</v>
      </c>
      <c r="D21624" s="3">
        <v>4.0</v>
      </c>
    </row>
    <row r="21625" ht="15.75" customHeight="1">
      <c r="A21625" s="1">
        <v>22977.0</v>
      </c>
      <c r="B21625" s="3" t="s">
        <v>15509</v>
      </c>
      <c r="C21625" s="3" t="str">
        <f>IFERROR(__xludf.DUMMYFUNCTION("GOOGLETRANSLATE(B21625,""id"",""en"")"),"['transaction', 'Fund']")</f>
        <v>['transaction', 'Fund']</v>
      </c>
      <c r="D21625" s="3">
        <v>1.0</v>
      </c>
    </row>
    <row r="21626" ht="15.75" customHeight="1">
      <c r="A21626" s="1">
        <v>22978.0</v>
      </c>
      <c r="B21626" s="3" t="s">
        <v>20424</v>
      </c>
      <c r="C21626" s="3" t="str">
        <f>IFERROR(__xludf.DUMMYFUNCTION("GOOGLETRANSLATE(B21626,""id"",""en"")"),"['quality', 'signal', 'data', 'ugly', 'application', 'nge', 'bug', 'poor']")</f>
        <v>['quality', 'signal', 'data', 'ugly', 'application', 'nge', 'bug', 'poor']</v>
      </c>
      <c r="D21626" s="3">
        <v>1.0</v>
      </c>
    </row>
    <row r="21627" ht="15.75" customHeight="1">
      <c r="A21627" s="1">
        <v>22979.0</v>
      </c>
      <c r="B21627" s="3" t="s">
        <v>20425</v>
      </c>
      <c r="C21627" s="3" t="str">
        <f>IFERROR(__xludf.DUMMYFUNCTION("GOOGLETRANSLATE(B21627,""id"",""en"")"),"['fix', 'signal', 'min', 'already', 'signal', 'leg', 'mulu', 'kayak', 'telkomsel', 'good', 'network', 'where' City ',' signal ',' forgiveness', 'open', 'sosmed', 'slow', 'please', 'fix', 'signal']")</f>
        <v>['fix', 'signal', 'min', 'already', 'signal', 'leg', 'mulu', 'kayak', 'telkomsel', 'good', 'network', 'where' City ',' signal ',' forgiveness', 'open', 'sosmed', 'slow', 'please', 'fix', 'signal']</v>
      </c>
      <c r="D21627" s="3">
        <v>1.0</v>
      </c>
    </row>
    <row r="21628" ht="15.75" customHeight="1">
      <c r="A21628" s="1">
        <v>22980.0</v>
      </c>
      <c r="B21628" s="3" t="s">
        <v>20426</v>
      </c>
      <c r="C21628" s="3" t="str">
        <f>IFERROR(__xludf.DUMMYFUNCTION("GOOGLETRANSLATE(B21628,""id"",""en"")"),"['Java', 'already', 'week', 'signal', 'bad', 'ALIII', '']")</f>
        <v>['Java', 'already', 'week', 'signal', 'bad', 'ALIII', '']</v>
      </c>
      <c r="D21628" s="3">
        <v>1.0</v>
      </c>
    </row>
    <row r="21629" ht="15.75" customHeight="1">
      <c r="A21629" s="1">
        <v>22981.0</v>
      </c>
      <c r="B21629" s="3" t="s">
        <v>20427</v>
      </c>
      <c r="C21629" s="3" t="str">
        <f>IFERROR(__xludf.DUMMYFUNCTION("GOOGLETRANSLATE(B21629,""id"",""en"")"),"['Stay', 'Region', 'Seturan', 'Yogyakarta', 'Quality', 'Network', 'ugly', 'Slow', 'Disconnected', 'lag', 'ping', 'Ngk', ' Stable ',' Changed ',' Emotion ',' Price ',' Package ',' Telkomsel ',' Competitor ']")</f>
        <v>['Stay', 'Region', 'Seturan', 'Yogyakarta', 'Quality', 'Network', 'ugly', 'Slow', 'Disconnected', 'lag', 'ping', 'Ngk', ' Stable ',' Changed ',' Emotion ',' Price ',' Package ',' Telkomsel ',' Competitor ']</v>
      </c>
      <c r="D21629" s="3">
        <v>1.0</v>
      </c>
    </row>
    <row r="21630" ht="15.75" customHeight="1">
      <c r="A21630" s="1">
        <v>22982.0</v>
      </c>
      <c r="B21630" s="3" t="s">
        <v>20428</v>
      </c>
      <c r="C21630" s="3" t="str">
        <f>IFERROR(__xludf.DUMMYFUNCTION("GOOGLETRANSLATE(B21630,""id"",""en"")"),"['application', 'slow', 'network', 'bad']")</f>
        <v>['application', 'slow', 'network', 'bad']</v>
      </c>
      <c r="D21630" s="3">
        <v>1.0</v>
      </c>
    </row>
    <row r="21631" ht="15.75" customHeight="1">
      <c r="A21631" s="1">
        <v>22983.0</v>
      </c>
      <c r="B21631" s="3" t="s">
        <v>20429</v>
      </c>
      <c r="C21631" s="3" t="str">
        <f>IFERROR(__xludf.DUMMYFUNCTION("GOOGLETRANSLATE(B21631,""id"",""en"")"),"['NGK', 'enter', 'tlngin', 'donk', 'obstacle']")</f>
        <v>['NGK', 'enter', 'tlngin', 'donk', 'obstacle']</v>
      </c>
      <c r="D21631" s="3">
        <v>5.0</v>
      </c>
    </row>
    <row r="21632" ht="15.75" customHeight="1">
      <c r="A21632" s="1">
        <v>22984.0</v>
      </c>
      <c r="B21632" s="3" t="s">
        <v>20430</v>
      </c>
      <c r="C21632" s="3" t="str">
        <f>IFERROR(__xludf.DUMMYFUNCTION("GOOGLETRANSLATE(B21632,""id"",""en"")"),"['Update', 'Lemooooottt', 'Opened', 'Application', 'PDHL', 'Open', 'Application', 'Disappointed']")</f>
        <v>['Update', 'Lemooooottt', 'Opened', 'Application', 'PDHL', 'Open', 'Application', 'Disappointed']</v>
      </c>
      <c r="D21632" s="3">
        <v>1.0</v>
      </c>
    </row>
    <row r="21633" ht="15.75" customHeight="1">
      <c r="A21633" s="1">
        <v>22985.0</v>
      </c>
      <c r="B21633" s="3" t="s">
        <v>20431</v>
      </c>
      <c r="C21633" s="3" t="str">
        <f>IFERROR(__xludf.DUMMYFUNCTION("GOOGLETRANSLATE(B21633,""id"",""en"")"),"['Application', 'okay', 'network', 'here', 'bad', 'open', 'youtube', 'loading', 'mlu', 'minute', 'come on', 'upgraded', ' LGI ',' Quality ',' The network ',' Sampe ',' Change ',' Provider ']")</f>
        <v>['Application', 'okay', 'network', 'here', 'bad', 'open', 'youtube', 'loading', 'mlu', 'minute', 'come on', 'upgraded', ' LGI ',' Quality ',' The network ',' Sampe ',' Change ',' Provider ']</v>
      </c>
      <c r="D21633" s="3">
        <v>4.0</v>
      </c>
    </row>
    <row r="21634" ht="15.75" customHeight="1">
      <c r="A21634" s="1">
        <v>22986.0</v>
      </c>
      <c r="B21634" s="3" t="s">
        <v>20432</v>
      </c>
      <c r="C21634" s="3" t="str">
        <f>IFERROR(__xludf.DUMMYFUNCTION("GOOGLETRANSLATE(B21634,""id"",""en"")"),"['Ngak', 'Maketin', 'Data', 'Posts',' Disorders', 'Have', 'Wait', 'Mnit', 'Try', 'Wait', 'Samapai', 'Mnit', ' TTEP ',' Ngak ']")</f>
        <v>['Ngak', 'Maketin', 'Data', 'Posts',' Disorders', 'Have', 'Wait', 'Mnit', 'Try', 'Wait', 'Samapai', 'Mnit', ' TTEP ',' Ngak ']</v>
      </c>
      <c r="D21634" s="3">
        <v>1.0</v>
      </c>
    </row>
    <row r="21635" ht="15.75" customHeight="1">
      <c r="A21635" s="1">
        <v>22987.0</v>
      </c>
      <c r="B21635" s="3" t="s">
        <v>20433</v>
      </c>
      <c r="C21635" s="3" t="str">
        <f>IFERROR(__xludf.DUMMYFUNCTION("GOOGLETRANSLATE(B21635,""id"",""en"")"),"['Dear', 'admin', 'Telkomsel', 'Please', 'Payment', 'Vritual', 'BNI', 'Mandiri', 'BCA', 'BRI', 'Briva', 'input', ' making it easier ',' payment ',' purchase ',' pulse ',' app ',' so, 'thank you', ""]")</f>
        <v>['Dear', 'admin', 'Telkomsel', 'Please', 'Payment', 'Vritual', 'BNI', 'Mandiri', 'BCA', 'BRI', 'Briva', 'input', ' making it easier ',' payment ',' purchase ',' pulse ',' app ',' so, 'thank you', "]</v>
      </c>
      <c r="D21635" s="3">
        <v>4.0</v>
      </c>
    </row>
    <row r="21636" ht="15.75" customHeight="1">
      <c r="A21636" s="1">
        <v>22988.0</v>
      </c>
      <c r="B21636" s="3" t="s">
        <v>20434</v>
      </c>
      <c r="C21636" s="3" t="str">
        <f>IFERROR(__xludf.DUMMYFUNCTION("GOOGLETRANSLATE(B21636,""id"",""en"")"),"['Help', 'choice', 'package']")</f>
        <v>['Help', 'choice', 'package']</v>
      </c>
      <c r="D21636" s="3">
        <v>5.0</v>
      </c>
    </row>
    <row r="21637" ht="15.75" customHeight="1">
      <c r="A21637" s="1">
        <v>22989.0</v>
      </c>
      <c r="B21637" s="3" t="s">
        <v>20435</v>
      </c>
      <c r="C21637" s="3" t="str">
        <f>IFERROR(__xludf.DUMMYFUNCTION("GOOGLETRANSLATE(B21637,""id"",""en"")"),"['The application', 'slow', 'really', 'entered', 'error', 'mere', 'developing', 'team', 'ugly', 'troublesome', 'customer']")</f>
        <v>['The application', 'slow', 'really', 'entered', 'error', 'mere', 'developing', 'team', 'ugly', 'troublesome', 'customer']</v>
      </c>
      <c r="D21637" s="3">
        <v>1.0</v>
      </c>
    </row>
    <row r="21638" ht="15.75" customHeight="1">
      <c r="A21638" s="1">
        <v>22990.0</v>
      </c>
      <c r="B21638" s="3" t="s">
        <v>20436</v>
      </c>
      <c r="C21638" s="3" t="str">
        <f>IFERROR(__xludf.DUMMYFUNCTION("GOOGLETRANSLATE(B21638,""id"",""en"")"),"['Steady', 'help', 'promo']")</f>
        <v>['Steady', 'help', 'promo']</v>
      </c>
      <c r="D21638" s="3">
        <v>5.0</v>
      </c>
    </row>
    <row r="21639" ht="15.75" customHeight="1">
      <c r="A21639" s="1">
        <v>22991.0</v>
      </c>
      <c r="B21639" s="3" t="s">
        <v>20437</v>
      </c>
      <c r="C21639" s="3" t="str">
        <f>IFERROR(__xludf.DUMMYFUNCTION("GOOGLETRANSLATE(B21639,""id"",""en"")"),"['Enter', 'Method', 'Facebook', 'Telkomsek', 'GPS', 'Motor', 'Bosa', 'Login', 'Method', 'Automatic', 'Filling', 'Package', ' Internet ',' Nomer ',' Telkomsel ',' number ',' GPS ',' Motor ',' ']")</f>
        <v>['Enter', 'Method', 'Facebook', 'Telkomsek', 'GPS', 'Motor', 'Bosa', 'Login', 'Method', 'Automatic', 'Filling', 'Package', ' Internet ',' Nomer ',' Telkomsel ',' number ',' GPS ',' Motor ',' ']</v>
      </c>
      <c r="D21639" s="3">
        <v>1.0</v>
      </c>
    </row>
    <row r="21640" ht="15.75" customHeight="1">
      <c r="A21640" s="1">
        <v>22992.0</v>
      </c>
      <c r="B21640" s="3" t="s">
        <v>20438</v>
      </c>
      <c r="C21640" s="3" t="str">
        <f>IFERROR(__xludf.DUMMYFUNCTION("GOOGLETRANSLATE(B21640,""id"",""en"")"),"['signal', 'slow', 'price', 'package', 'data', 'expensive', 'please', 'price', 'affordable', '']")</f>
        <v>['signal', 'slow', 'price', 'package', 'data', 'expensive', 'please', 'price', 'affordable', '']</v>
      </c>
      <c r="D21640" s="3">
        <v>2.0</v>
      </c>
    </row>
    <row r="21641" ht="15.75" customHeight="1">
      <c r="A21641" s="1">
        <v>22993.0</v>
      </c>
      <c r="B21641" s="3" t="s">
        <v>20439</v>
      </c>
      <c r="C21641" s="3" t="str">
        <f>IFERROR(__xludf.DUMMYFUNCTION("GOOGLETRANSLATE(B21641,""id"",""en"")"),"['Quality', 'Signal', 'Bad', 'Signal', 'Lost', 'Udh', 'Complain', 'Tetep', 'Quality', 'Bad', 'Please', 'Level', ' Quality ',' signal ',' Lose ',' Indi ',' Home ',' Costumer ',' Costumer ',' Karna ',' UDH ',' Pay ',' Package ',' Quota ',' Internet ' , 'acc"&amp;"ording to', 'rates', 'application', 'already', 'complain', 'love', 'star', 'network', 'bad', 'rotten', ""]")</f>
        <v>['Quality', 'Signal', 'Bad', 'Signal', 'Lost', 'Udh', 'Complain', 'Tetep', 'Quality', 'Bad', 'Please', 'Level', ' Quality ',' signal ',' Lose ',' Indi ',' Home ',' Costumer ',' Costumer ',' Karna ',' UDH ',' Pay ',' Package ',' Quota ',' Internet ' , 'according to', 'rates', 'application', 'already', 'complain', 'love', 'star', 'network', 'bad', 'rotten', "]</v>
      </c>
      <c r="D21641" s="3">
        <v>1.0</v>
      </c>
    </row>
    <row r="21642" ht="15.75" customHeight="1">
      <c r="A21642" s="1">
        <v>22994.0</v>
      </c>
      <c r="B21642" s="3" t="s">
        <v>20440</v>
      </c>
      <c r="C21642" s="3" t="str">
        <f>IFERROR(__xludf.DUMMYFUNCTION("GOOGLETRANSLATE(B21642,""id"",""en"")"),"['Signal', 'ugly', 'Sangad', 'Ngejin', 'Task', 'Signal', 'Lost', 'Taik', 'Working', 'NGD', 'expensive', 'Doank']")</f>
        <v>['Signal', 'ugly', 'Sangad', 'Ngejin', 'Task', 'Signal', 'Lost', 'Taik', 'Working', 'NGD', 'expensive', 'Doank']</v>
      </c>
      <c r="D21642" s="3">
        <v>1.0</v>
      </c>
    </row>
    <row r="21643" ht="15.75" customHeight="1">
      <c r="A21643" s="1">
        <v>22995.0</v>
      </c>
      <c r="B21643" s="3" t="s">
        <v>20441</v>
      </c>
      <c r="C21643" s="3" t="str">
        <f>IFERROR(__xludf.DUMMYFUNCTION("GOOGLETRANSLATE(B21643,""id"",""en"")"),"['Package', 'Combo', 'Sakti', 'Present', 'Quota', 'Sosmed', 'Pas',' Moving ',' I mean ',' When ',' Sosmed ',' Quota ',' Internet ',' main ',' run out ',' uses', 'quota', 'sosmed', 'quota', 'main', 'keceptan', 'internet', 'different', 'quota', 'main' , 'Av"&amp;"ailable', 'Quota', 'Internet', 'Main', 'Teraedia', 'Quota', 'Sosmed', 'Simultaneous',' Quota ',' Internet ',' Application ',' Sosmed ',' Quota ',' Application ',' Sosmed ',' ']")</f>
        <v>['Package', 'Combo', 'Sakti', 'Present', 'Quota', 'Sosmed', 'Pas',' Moving ',' I mean ',' When ',' Sosmed ',' Quota ',' Internet ',' main ',' run out ',' uses', 'quota', 'sosmed', 'quota', 'main', 'keceptan', 'internet', 'different', 'quota', 'main' , 'Available', 'Quota', 'Internet', 'Main', 'Teraedia', 'Quota', 'Sosmed', 'Simultaneous',' Quota ',' Internet ',' Application ',' Sosmed ',' Quota ',' Application ',' Sosmed ',' ']</v>
      </c>
      <c r="D21643" s="3">
        <v>4.0</v>
      </c>
    </row>
    <row r="21644" ht="15.75" customHeight="1">
      <c r="A21644" s="1">
        <v>22996.0</v>
      </c>
      <c r="B21644" s="3" t="s">
        <v>2693</v>
      </c>
      <c r="C21644" s="3" t="str">
        <f>IFERROR(__xludf.DUMMYFUNCTION("GOOGLETRANSLATE(B21644,""id"",""en"")"),"['application', 'good', 'really']")</f>
        <v>['application', 'good', 'really']</v>
      </c>
      <c r="D21644" s="3">
        <v>5.0</v>
      </c>
    </row>
    <row r="21645" ht="15.75" customHeight="1">
      <c r="A21645" s="1">
        <v>22997.0</v>
      </c>
      <c r="B21645" s="3" t="s">
        <v>20442</v>
      </c>
      <c r="C21645" s="3" t="str">
        <f>IFERROR(__xludf.DUMMYFUNCTION("GOOGLETRANSLATE(B21645,""id"",""en"")"),"['already', 'times',' pulse ',' truncated ',' reason ',' access', 'internet', 'non', 'package', 'internet', 'card', 'yellow', ' Nggk ',' purpose ',' try ', ""]")</f>
        <v>['already', 'times',' pulse ',' truncated ',' reason ',' access', 'internet', 'non', 'package', 'internet', 'card', 'yellow', ' Nggk ',' purpose ',' try ', "]</v>
      </c>
      <c r="D21645" s="3">
        <v>1.0</v>
      </c>
    </row>
    <row r="21646" ht="15.75" customHeight="1">
      <c r="A21646" s="1">
        <v>22998.0</v>
      </c>
      <c r="B21646" s="3" t="s">
        <v>20443</v>
      </c>
      <c r="C21646" s="3" t="str">
        <f>IFERROR(__xludf.DUMMYFUNCTION("GOOGLETRANSLATE(B21646,""id"",""en"")"),"['Login', 'difficult', 'forgiveness', 'error', 'ajg']")</f>
        <v>['Login', 'difficult', 'forgiveness', 'error', 'ajg']</v>
      </c>
      <c r="D21646" s="3">
        <v>1.0</v>
      </c>
    </row>
    <row r="21647" ht="15.75" customHeight="1">
      <c r="A21647" s="1">
        <v>22999.0</v>
      </c>
      <c r="B21647" s="3" t="s">
        <v>20444</v>
      </c>
      <c r="C21647" s="3" t="str">
        <f>IFERROR(__xludf.DUMMYFUNCTION("GOOGLETRANSLATE(B21647,""id"",""en"")"),"['Network', 'Kagaada', 'Improvement', 'Threat', 'Pekah', '']")</f>
        <v>['Network', 'Kagaada', 'Improvement', 'Threat', 'Pekah', '']</v>
      </c>
      <c r="D21647" s="3">
        <v>1.0</v>
      </c>
    </row>
    <row r="21648" ht="15.75" customHeight="1">
      <c r="A21648" s="1">
        <v>23000.0</v>
      </c>
      <c r="B21648" s="3" t="s">
        <v>20445</v>
      </c>
      <c r="C21648" s="3" t="str">
        <f>IFERROR(__xludf.DUMMYFUNCTION("GOOGLETRANSLATE(B21648,""id"",""en"")"),"['Place', 'network', 'problematic', 'area', 'experiencing', 'disappointing', 'smooth', 'already', 'price', 'expensive', 'synchy', 'ugly']")</f>
        <v>['Place', 'network', 'problematic', 'area', 'experiencing', 'disappointing', 'smooth', 'already', 'price', 'expensive', 'synchy', 'ugly']</v>
      </c>
      <c r="D21648" s="3">
        <v>1.0</v>
      </c>
    </row>
    <row r="21649" ht="15.75" customHeight="1">
      <c r="A21649" s="1">
        <v>23001.0</v>
      </c>
      <c r="B21649" s="3" t="s">
        <v>1536</v>
      </c>
      <c r="C21649" s="3" t="str">
        <f>IFERROR(__xludf.DUMMYFUNCTION("GOOGLETRANSLATE(B21649,""id"",""en"")"),"['application', 'it's easy']")</f>
        <v>['application', 'it's easy']</v>
      </c>
      <c r="D21649" s="3">
        <v>4.0</v>
      </c>
    </row>
    <row r="21650" ht="15.75" customHeight="1">
      <c r="A21650" s="1">
        <v>23002.0</v>
      </c>
      <c r="B21650" s="3" t="s">
        <v>20446</v>
      </c>
      <c r="C21650" s="3" t="str">
        <f>IFERROR(__xludf.DUMMYFUNCTION("GOOGLETRANSLATE(B21650,""id"",""en"")"),"['ugly', 'really', 'pdhl', 'price', 'package', 'expensive']")</f>
        <v>['ugly', 'really', 'pdhl', 'price', 'package', 'expensive']</v>
      </c>
      <c r="D21650" s="3">
        <v>1.0</v>
      </c>
    </row>
    <row r="21651" ht="15.75" customHeight="1">
      <c r="A21651" s="1">
        <v>23003.0</v>
      </c>
      <c r="B21651" s="3" t="s">
        <v>20447</v>
      </c>
      <c r="C21651" s="3" t="str">
        <f>IFERROR(__xludf.DUMMYFUNCTION("GOOGLETRANSLATE(B21651,""id"",""en"")"),"['Error', 'right', 'list', '']")</f>
        <v>['Error', 'right', 'list', '']</v>
      </c>
      <c r="D21651" s="3">
        <v>1.0</v>
      </c>
    </row>
    <row r="21652" ht="15.75" customHeight="1">
      <c r="A21652" s="1">
        <v>23004.0</v>
      </c>
      <c r="B21652" s="3" t="s">
        <v>20448</v>
      </c>
      <c r="C21652" s="3" t="str">
        <f>IFERROR(__xludf.DUMMYFUNCTION("GOOGLETRANSLATE(B21652,""id"",""en"")"),"['Moga', 'Win', 'Points']")</f>
        <v>['Moga', 'Win', 'Points']</v>
      </c>
      <c r="D21652" s="3">
        <v>4.0</v>
      </c>
    </row>
    <row r="21653" ht="15.75" customHeight="1">
      <c r="A21653" s="1">
        <v>23005.0</v>
      </c>
      <c r="B21653" s="3" t="s">
        <v>20449</v>
      </c>
      <c r="C21653" s="3" t="str">
        <f>IFERROR(__xludf.DUMMYFUNCTION("GOOGLETRANSLATE(B21653,""id"",""en"")"),"['application', 'already', 'access', 'fix', 'please', 'developer', 'sit', 'sweet', 'doang']")</f>
        <v>['application', 'already', 'access', 'fix', 'please', 'developer', 'sit', 'sweet', 'doang']</v>
      </c>
      <c r="D21653" s="3">
        <v>1.0</v>
      </c>
    </row>
    <row r="21654" ht="15.75" customHeight="1">
      <c r="A21654" s="1">
        <v>23006.0</v>
      </c>
      <c r="B21654" s="3" t="s">
        <v>20450</v>
      </c>
      <c r="C21654" s="3" t="str">
        <f>IFERROR(__xludf.DUMMYFUNCTION("GOOGLETRANSLATE(B21654,""id"",""en"")"),"['dwonload', 'already', 'dwonload', 'just' just 'already', 'told', 'dwonload', 'reset', 'spend', 'quota']")</f>
        <v>['dwonload', 'already', 'dwonload', 'just' just 'already', 'told', 'dwonload', 'reset', 'spend', 'quota']</v>
      </c>
      <c r="D21654" s="3">
        <v>1.0</v>
      </c>
    </row>
    <row r="21655" ht="15.75" customHeight="1">
      <c r="A21655" s="1">
        <v>23007.0</v>
      </c>
      <c r="B21655" s="3" t="s">
        <v>20451</v>
      </c>
      <c r="C21655" s="3" t="str">
        <f>IFERROR(__xludf.DUMMYFUNCTION("GOOGLETRANSLATE(B21655,""id"",""en"")"),"['related', 'interests', 'community']")</f>
        <v>['related', 'interests', 'community']</v>
      </c>
      <c r="D21655" s="3">
        <v>1.0</v>
      </c>
    </row>
    <row r="21656" ht="15.75" customHeight="1">
      <c r="A21656" s="1">
        <v>23008.0</v>
      </c>
      <c r="B21656" s="3" t="s">
        <v>20452</v>
      </c>
      <c r="C21656" s="3" t="str">
        <f>IFERROR(__xludf.DUMMYFUNCTION("GOOGLETRANSLATE(B21656,""id"",""en"")"),"['mudh', 'buy', 'package', 'like', 'his application', 'help', 'maaaf', 'late', 'suggest', 'nyaaaa', 'hehehe']")</f>
        <v>['mudh', 'buy', 'package', 'like', 'his application', 'help', 'maaaf', 'late', 'suggest', 'nyaaaa', 'hehehe']</v>
      </c>
      <c r="D21656" s="3">
        <v>5.0</v>
      </c>
    </row>
    <row r="21657" ht="15.75" customHeight="1">
      <c r="A21657" s="1">
        <v>23009.0</v>
      </c>
      <c r="B21657" s="3" t="s">
        <v>20453</v>
      </c>
      <c r="C21657" s="3" t="str">
        <f>IFERROR(__xludf.DUMMYFUNCTION("GOOGLETRANSLATE(B21657,""id"",""en"")"),"['Steady', 'hope', 'Helpful']")</f>
        <v>['Steady', 'hope', 'Helpful']</v>
      </c>
      <c r="D21657" s="3">
        <v>5.0</v>
      </c>
    </row>
    <row r="21658" ht="15.75" customHeight="1">
      <c r="A21658" s="1">
        <v>23010.0</v>
      </c>
      <c r="B21658" s="3" t="s">
        <v>20454</v>
      </c>
      <c r="C21658" s="3" t="str">
        <f>IFERROR(__xludf.DUMMYFUNCTION("GOOGLETRANSLATE(B21658,""id"",""en"")"),"['Quality', 'Network', 'Bad', 'Kaga', 'Telkomsel', 'Please', 'Fix', 'Customer', 'Faithful', 'Telkomsel', 'Quality', 'Network', ' signal ',' bad ',' please ',' fix ',' hope ',' full ',' Telkomsel ', ""]")</f>
        <v>['Quality', 'Network', 'Bad', 'Kaga', 'Telkomsel', 'Please', 'Fix', 'Customer', 'Faithful', 'Telkomsel', 'Quality', 'Network', ' signal ',' bad ',' please ',' fix ',' hope ',' full ',' Telkomsel ', "]</v>
      </c>
      <c r="D21658" s="3">
        <v>1.0</v>
      </c>
    </row>
    <row r="21659" ht="15.75" customHeight="1">
      <c r="A21659" s="1">
        <v>23011.0</v>
      </c>
      <c r="B21659" s="3" t="s">
        <v>20455</v>
      </c>
      <c r="C21659" s="3" t="str">
        <f>IFERROR(__xludf.DUMMYFUNCTION("GOOGLETRANSLATE(B21659,""id"",""en"")"),"['expensive', 'doang', 'noise', 'contents', 'network', 'pdhl', 'jkt']")</f>
        <v>['expensive', 'doang', 'noise', 'contents', 'network', 'pdhl', 'jkt']</v>
      </c>
      <c r="D21659" s="3">
        <v>1.0</v>
      </c>
    </row>
    <row r="21660" ht="15.75" customHeight="1">
      <c r="A21660" s="1">
        <v>23013.0</v>
      </c>
      <c r="B21660" s="3" t="s">
        <v>18741</v>
      </c>
      <c r="C21660" s="3" t="str">
        <f>IFERROR(__xludf.DUMMYFUNCTION("GOOGLETRANSLATE(B21660,""id"",""en"")"),"['how']")</f>
        <v>['how']</v>
      </c>
      <c r="D21660" s="3">
        <v>1.0</v>
      </c>
    </row>
    <row r="21661" ht="15.75" customHeight="1">
      <c r="A21661" s="1">
        <v>23014.0</v>
      </c>
      <c r="B21661" s="3" t="s">
        <v>20456</v>
      </c>
      <c r="C21661" s="3" t="str">
        <f>IFERROR(__xludf.DUMMYFUNCTION("GOOGLETRANSLATE(B21661,""id"",""en"")"),"['Destroyed', 'Network', 'Good', 'Pulak', 'Network', 'Axis', 'Position', 'City', 'Please', 'Fix', ""]")</f>
        <v>['Destroyed', 'Network', 'Good', 'Pulak', 'Network', 'Axis', 'Position', 'City', 'Please', 'Fix', "]</v>
      </c>
      <c r="D21661" s="3">
        <v>1.0</v>
      </c>
    </row>
    <row r="21662" ht="15.75" customHeight="1">
      <c r="A21662" s="1">
        <v>23015.0</v>
      </c>
      <c r="B21662" s="3" t="s">
        <v>20457</v>
      </c>
      <c r="C21662" s="3" t="str">
        <f>IFERROR(__xludf.DUMMYFUNCTION("GOOGLETRANSLATE(B21662,""id"",""en"")"),"['Good', 'Unstal', 'Heavy', 'Open']")</f>
        <v>['Good', 'Unstal', 'Heavy', 'Open']</v>
      </c>
      <c r="D21662" s="3">
        <v>4.0</v>
      </c>
    </row>
    <row r="21663" ht="15.75" customHeight="1">
      <c r="A21663" s="1">
        <v>23016.0</v>
      </c>
      <c r="B21663" s="3" t="s">
        <v>20458</v>
      </c>
      <c r="C21663" s="3" t="str">
        <f>IFERROR(__xludf.DUMMYFUNCTION("GOOGLETRANSLATE(B21663,""id"",""en"")"),"['customer', 'loyal', 'Telkomsel']")</f>
        <v>['customer', 'loyal', 'Telkomsel']</v>
      </c>
      <c r="D21663" s="3">
        <v>4.0</v>
      </c>
    </row>
    <row r="21664" ht="15.75" customHeight="1">
      <c r="A21664" s="1">
        <v>23017.0</v>
      </c>
      <c r="B21664" s="3" t="s">
        <v>20459</v>
      </c>
      <c r="C21664" s="3" t="str">
        <f>IFERROR(__xludf.DUMMYFUNCTION("GOOGLETRANSLATE(B21664,""id"",""en"")"),"['Contents',' credit ',' ovo ',' times', 'enter', 'then', 'complain', 'ovo', 'success',' told ',' contact ',' Telkomsel ',' ehh ',' contact ',' Matiin ',' maxinya ',' Try ',' Telkomsel ',' service ',' ugly ']")</f>
        <v>['Contents',' credit ',' ovo ',' times', 'enter', 'then', 'complain', 'ovo', 'success',' told ',' contact ',' Telkomsel ',' ehh ',' contact ',' Matiin ',' maxinya ',' Try ',' Telkomsel ',' service ',' ugly ']</v>
      </c>
      <c r="D21664" s="3">
        <v>1.0</v>
      </c>
    </row>
    <row r="21665" ht="15.75" customHeight="1">
      <c r="A21665" s="1">
        <v>23018.0</v>
      </c>
      <c r="B21665" s="3" t="s">
        <v>20460</v>
      </c>
      <c r="C21665" s="3" t="str">
        <f>IFERROR(__xludf.DUMMYFUNCTION("GOOGLETRANSLATE(B21665,""id"",""en"")"),"['Good', 'help', 'appk']")</f>
        <v>['Good', 'help', 'appk']</v>
      </c>
      <c r="D21665" s="3">
        <v>5.0</v>
      </c>
    </row>
    <row r="21666" ht="15.75" customHeight="1">
      <c r="A21666" s="1">
        <v>23019.0</v>
      </c>
      <c r="B21666" s="3" t="s">
        <v>20461</v>
      </c>
      <c r="C21666" s="3" t="str">
        <f>IFERROR(__xludf.DUMMYFUNCTION("GOOGLETRANSLATE(B21666,""id"",""en"")"),"['entry', 'application', 'Tsel', 'here', 'network', 'bad', 'Telkomsel', 'super', 'slow', 'Telkomsel', 'good', 'please', ' Its explanation ',' Thank you ']")</f>
        <v>['entry', 'application', 'Tsel', 'here', 'network', 'bad', 'Telkomsel', 'super', 'slow', 'Telkomsel', 'good', 'please', ' Its explanation ',' Thank you ']</v>
      </c>
      <c r="D21666" s="3">
        <v>1.0</v>
      </c>
    </row>
    <row r="21667" ht="15.75" customHeight="1">
      <c r="A21667" s="1">
        <v>23020.0</v>
      </c>
      <c r="B21667" s="3" t="s">
        <v>20462</v>
      </c>
      <c r="C21667" s="3" t="str">
        <f>IFERROR(__xludf.DUMMYFUNCTION("GOOGLETRANSLATE(B21667,""id"",""en"")"),"['Alhamdulillah', 'help', 'trimakasi', 'Telkomsel']")</f>
        <v>['Alhamdulillah', 'help', 'trimakasi', 'Telkomsel']</v>
      </c>
      <c r="D21667" s="3">
        <v>5.0</v>
      </c>
    </row>
    <row r="21668" ht="15.75" customHeight="1">
      <c r="A21668" s="1">
        <v>23021.0</v>
      </c>
      <c r="B21668" s="3" t="s">
        <v>20463</v>
      </c>
      <c r="C21668" s="3" t="str">
        <f>IFERROR(__xludf.DUMMYFUNCTION("GOOGLETRANSLATE(B21668,""id"",""en"")"),"['Network', 'Tanjung', 'Uncang', 'Batam']")</f>
        <v>['Network', 'Tanjung', 'Uncang', 'Batam']</v>
      </c>
      <c r="D21668" s="3">
        <v>1.0</v>
      </c>
    </row>
    <row r="21669" ht="15.75" customHeight="1">
      <c r="A21669" s="1">
        <v>23022.0</v>
      </c>
      <c r="B21669" s="3" t="s">
        <v>859</v>
      </c>
      <c r="C21669" s="3" t="str">
        <f>IFERROR(__xludf.DUMMYFUNCTION("GOOGLETRANSLATE(B21669,""id"",""en"")"),"['help', '']")</f>
        <v>['help', '']</v>
      </c>
      <c r="D21669" s="3">
        <v>5.0</v>
      </c>
    </row>
    <row r="21670" ht="15.75" customHeight="1">
      <c r="A21670" s="1">
        <v>23024.0</v>
      </c>
      <c r="B21670" s="3" t="s">
        <v>20464</v>
      </c>
      <c r="C21670" s="3" t="str">
        <f>IFERROR(__xludf.DUMMYFUNCTION("GOOGLETRANSLATE(B21670,""id"",""en"")"),"['Disappointed', 'application', 'opened', 'access', 'internet', 'easy']")</f>
        <v>['Disappointed', 'application', 'opened', 'access', 'internet', 'easy']</v>
      </c>
      <c r="D21670" s="3">
        <v>1.0</v>
      </c>
    </row>
    <row r="21671" ht="15.75" customHeight="1">
      <c r="A21671" s="1">
        <v>23025.0</v>
      </c>
      <c r="B21671" s="3" t="s">
        <v>20465</v>
      </c>
      <c r="C21671" s="3" t="str">
        <f>IFERROR(__xludf.DUMMYFUNCTION("GOOGLETRANSLATE(B21671,""id"",""en"")"),"['APK', 'good', 'makes it easy', 'charging', 'pulse', 'buy', 'package', 'data', 'times',' open ',' wifi ',' error ',' Annoying ',' system ',' ']")</f>
        <v>['APK', 'good', 'makes it easy', 'charging', 'pulse', 'buy', 'package', 'data', 'times',' open ',' wifi ',' error ',' Annoying ',' system ',' ']</v>
      </c>
      <c r="D21671" s="3">
        <v>3.0</v>
      </c>
    </row>
    <row r="21672" ht="15.75" customHeight="1">
      <c r="A21672" s="1">
        <v>23026.0</v>
      </c>
      <c r="B21672" s="3" t="s">
        <v>20466</v>
      </c>
      <c r="C21672" s="3" t="str">
        <f>IFERROR(__xludf.DUMMYFUNCTION("GOOGLETRANSLATE(B21672,""id"",""en"")"),"['Update', 'version', 'the latest', 'ugly', 'open']")</f>
        <v>['Update', 'version', 'the latest', 'ugly', 'open']</v>
      </c>
      <c r="D21672" s="3">
        <v>1.0</v>
      </c>
    </row>
    <row r="21673" ht="15.75" customHeight="1">
      <c r="A21673" s="1">
        <v>23027.0</v>
      </c>
      <c r="B21673" s="3" t="s">
        <v>6543</v>
      </c>
      <c r="C21673" s="3" t="str">
        <f>IFERROR(__xludf.DUMMYFUNCTION("GOOGLETRANSLATE(B21673,""id"",""en"")"),"['lag']")</f>
        <v>['lag']</v>
      </c>
      <c r="D21673" s="3">
        <v>5.0</v>
      </c>
    </row>
    <row r="21674" ht="15.75" customHeight="1">
      <c r="A21674" s="1">
        <v>23028.0</v>
      </c>
      <c r="B21674" s="3" t="s">
        <v>20467</v>
      </c>
      <c r="C21674" s="3" t="str">
        <f>IFERROR(__xludf.DUMMYFUNCTION("GOOGLETRANSLATE(B21674,""id"",""en"")"),"['Request', 'points', 'exchanged', 'pulses']")</f>
        <v>['Request', 'points', 'exchanged', 'pulses']</v>
      </c>
      <c r="D21674" s="3">
        <v>5.0</v>
      </c>
    </row>
    <row r="21675" ht="15.75" customHeight="1">
      <c r="A21675" s="1">
        <v>23029.0</v>
      </c>
      <c r="B21675" s="3" t="s">
        <v>20468</v>
      </c>
      <c r="C21675" s="3" t="str">
        <f>IFERROR(__xludf.DUMMYFUNCTION("GOOGLETRANSLATE(B21675,""id"",""en"")"),"['difficult', 'bat', 'enter', 'apk', 'screen', 'white', 'please', 'repair']")</f>
        <v>['difficult', 'bat', 'enter', 'apk', 'screen', 'white', 'please', 'repair']</v>
      </c>
      <c r="D21675" s="3">
        <v>1.0</v>
      </c>
    </row>
    <row r="21676" ht="15.75" customHeight="1">
      <c r="A21676" s="1">
        <v>23030.0</v>
      </c>
      <c r="B21676" s="3" t="s">
        <v>20469</v>
      </c>
      <c r="C21676" s="3" t="str">
        <f>IFERROR(__xludf.DUMMYFUNCTION("GOOGLETRANSLATE(B21676,""id"",""en"")"),"['', 'December', 'ngeleg', 'really', 'network', 'package', 'GB', 'please', 'fix', 'ngeleg', 'buy', 'deh', "" ]")</f>
        <v>['', 'December', 'ngeleg', 'really', 'network', 'package', 'GB', 'please', 'fix', 'ngeleg', 'buy', 'deh', " ]</v>
      </c>
      <c r="D21676" s="3">
        <v>1.0</v>
      </c>
    </row>
    <row r="21677" ht="15.75" customHeight="1">
      <c r="A21677" s="1">
        <v>23032.0</v>
      </c>
      <c r="B21677" s="3" t="s">
        <v>20470</v>
      </c>
      <c r="C21677" s="3" t="str">
        <f>IFERROR(__xludf.DUMMYFUNCTION("GOOGLETRANSLATE(B21677,""id"",""en"")"),"['Increase']")</f>
        <v>['Increase']</v>
      </c>
      <c r="D21677" s="3">
        <v>5.0</v>
      </c>
    </row>
    <row r="21678" ht="15.75" customHeight="1">
      <c r="A21678" s="1">
        <v>23033.0</v>
      </c>
      <c r="B21678" s="3" t="s">
        <v>20471</v>
      </c>
      <c r="C21678" s="3" t="str">
        <f>IFERROR(__xludf.DUMMYFUNCTION("GOOGLETRANSLATE(B21678,""id"",""en"")"),"['steady', 'signal', 'good', 'thank', 'love', 'Telkomsel', '']")</f>
        <v>['steady', 'signal', 'good', 'thank', 'love', 'Telkomsel', '']</v>
      </c>
      <c r="D21678" s="3">
        <v>5.0</v>
      </c>
    </row>
    <row r="21679" ht="15.75" customHeight="1">
      <c r="A21679" s="1">
        <v>23034.0</v>
      </c>
      <c r="B21679" s="3" t="s">
        <v>10422</v>
      </c>
      <c r="C21679" s="3" t="str">
        <f>IFERROR(__xludf.DUMMYFUNCTION("GOOGLETRANSLATE(B21679,""id"",""en"")"),"['useful']")</f>
        <v>['useful']</v>
      </c>
      <c r="D21679" s="3">
        <v>5.0</v>
      </c>
    </row>
    <row r="21680" ht="15.75" customHeight="1">
      <c r="A21680" s="1">
        <v>23035.0</v>
      </c>
      <c r="B21680" s="3" t="s">
        <v>20472</v>
      </c>
      <c r="C21680" s="3" t="str">
        <f>IFERROR(__xludf.DUMMYFUNCTION("GOOGLETRANSLATE(B21680,""id"",""en"")"),"['Signal', 'Telkomsel', 'Good', 'Where']")</f>
        <v>['Signal', 'Telkomsel', 'Good', 'Where']</v>
      </c>
      <c r="D21680" s="3">
        <v>5.0</v>
      </c>
    </row>
    <row r="21681" ht="15.75" customHeight="1">
      <c r="A21681" s="1">
        <v>23036.0</v>
      </c>
      <c r="B21681" s="3" t="s">
        <v>20473</v>
      </c>
      <c r="C21681" s="3" t="str">
        <f>IFERROR(__xludf.DUMMYFUNCTION("GOOGLETRANSLATE(B21681,""id"",""en"")"),"['Customer', 'service', 'Bener', 'conclusion', 'repair']")</f>
        <v>['Customer', 'service', 'Bener', 'conclusion', 'repair']</v>
      </c>
      <c r="D21681" s="3">
        <v>1.0</v>
      </c>
    </row>
    <row r="21682" ht="15.75" customHeight="1">
      <c r="A21682" s="1">
        <v>23037.0</v>
      </c>
      <c r="B21682" s="3" t="s">
        <v>20474</v>
      </c>
      <c r="C21682" s="3" t="str">
        <f>IFERROR(__xludf.DUMMYFUNCTION("GOOGLETRANSLATE(B21682,""id"",""en"")"),"['', 'signal', 'rich', 'asuuuuuuuu', 'ora', 'neng', 'bekasi', 'ora', 'neng', 'tegal', 'bae', 'ndoboli', "" ]")</f>
        <v>['', 'signal', 'rich', 'asuuuuuuuu', 'ora', 'neng', 'bekasi', 'ora', 'neng', 'tegal', 'bae', 'ndoboli', " ]</v>
      </c>
      <c r="D21682" s="3">
        <v>1.0</v>
      </c>
    </row>
    <row r="21683" ht="15.75" customHeight="1">
      <c r="A21683" s="1">
        <v>23038.0</v>
      </c>
      <c r="B21683" s="3" t="s">
        <v>619</v>
      </c>
      <c r="C21683" s="3" t="str">
        <f>IFERROR(__xludf.DUMMYFUNCTION("GOOGLETRANSLATE(B21683,""id"",""en"")"),"['Good', 'help']")</f>
        <v>['Good', 'help']</v>
      </c>
      <c r="D21683" s="3">
        <v>5.0</v>
      </c>
    </row>
    <row r="21684" ht="15.75" customHeight="1">
      <c r="A21684" s="1">
        <v>23039.0</v>
      </c>
      <c r="B21684" s="3" t="s">
        <v>20475</v>
      </c>
      <c r="C21684" s="3" t="str">
        <f>IFERROR(__xludf.DUMMYFUNCTION("GOOGLETRANSLATE(B21684,""id"",""en"")"),"['Likeaaaaaaa', 'likuaaaaaaaa']")</f>
        <v>['Likeaaaaaaa', 'likuaaaaaaaa']</v>
      </c>
      <c r="D21684" s="3">
        <v>5.0</v>
      </c>
    </row>
    <row r="21685" ht="15.75" customHeight="1">
      <c r="A21685" s="1">
        <v>23040.0</v>
      </c>
      <c r="B21685" s="3" t="s">
        <v>20476</v>
      </c>
      <c r="C21685" s="3" t="str">
        <f>IFERROR(__xludf.DUMMYFUNCTION("GOOGLETRANSLATE(B21685,""id"",""en"")"),"['network', 'Telkomsel', 'SKR', 'bad', 'really', 'good', 'really']")</f>
        <v>['network', 'Telkomsel', 'SKR', 'bad', 'really', 'good', 'really']</v>
      </c>
      <c r="D21685" s="3">
        <v>5.0</v>
      </c>
    </row>
    <row r="21686" ht="15.75" customHeight="1">
      <c r="A21686" s="1">
        <v>23041.0</v>
      </c>
      <c r="B21686" s="3" t="s">
        <v>20477</v>
      </c>
      <c r="C21686" s="3" t="str">
        <f>IFERROR(__xludf.DUMMYFUNCTION("GOOGLETRANSLATE(B21686,""id"",""en"")"),"['Telkomsel', 'champion', 'in', 'msalah', 'network', 'smpe', 'different', 'network', 'abal', 'Thank', 'Telkomsel', 'accompany', ' Sya ',' on ',' blessing ']")</f>
        <v>['Telkomsel', 'champion', 'in', 'msalah', 'network', 'smpe', 'different', 'network', 'abal', 'Thank', 'Telkomsel', 'accompany', ' Sya ',' on ',' blessing ']</v>
      </c>
      <c r="D21686" s="3">
        <v>5.0</v>
      </c>
    </row>
    <row r="21687" ht="15.75" customHeight="1">
      <c r="A21687" s="1">
        <v>23042.0</v>
      </c>
      <c r="B21687" s="3" t="s">
        <v>20478</v>
      </c>
      <c r="C21687" s="3" t="str">
        <f>IFERROR(__xludf.DUMMYFUNCTION("GOOGLETRANSLATE(B21687,""id"",""en"")"),"['appears', 'Kouta', 'Facebook', 'issued', 'right', 'continued', 'pay', 'network', 'slow', 'repair']")</f>
        <v>['appears', 'Kouta', 'Facebook', 'issued', 'right', 'continued', 'pay', 'network', 'slow', 'repair']</v>
      </c>
      <c r="D21687" s="3">
        <v>1.0</v>
      </c>
    </row>
    <row r="21688" ht="15.75" customHeight="1">
      <c r="A21688" s="1">
        <v>23043.0</v>
      </c>
      <c r="B21688" s="3" t="s">
        <v>20479</v>
      </c>
      <c r="C21688" s="3" t="str">
        <f>IFERROR(__xludf.DUMMYFUNCTION("GOOGLETRANSLATE(B21688,""id"",""en"")"),"['Comfortable', 'Telkomsel', '']")</f>
        <v>['Comfortable', 'Telkomsel', '']</v>
      </c>
      <c r="D21688" s="3">
        <v>5.0</v>
      </c>
    </row>
    <row r="21689" ht="15.75" customHeight="1">
      <c r="A21689" s="1">
        <v>23044.0</v>
      </c>
      <c r="B21689" s="3" t="s">
        <v>20480</v>
      </c>
      <c r="C21689" s="3" t="str">
        <f>IFERROR(__xludf.DUMMYFUNCTION("GOOGLETRANSLATE(B21689,""id"",""en"")"),"['right', 'already', 'until']")</f>
        <v>['right', 'already', 'until']</v>
      </c>
      <c r="D21689" s="3">
        <v>5.0</v>
      </c>
    </row>
    <row r="21690" ht="15.75" customHeight="1">
      <c r="A21690" s="1">
        <v>23046.0</v>
      </c>
      <c r="B21690" s="3" t="s">
        <v>20481</v>
      </c>
      <c r="C21690" s="3" t="str">
        <f>IFERROR(__xludf.DUMMYFUNCTION("GOOGLETRANSLATE(B21690,""id"",""en"")"),"['Disruption', 'Mulu', 'Application', 'Sousal', 'Suitable', 'Very', 'Serasi', 'UDH', 'Package', 'Expensive', 'Package', 'Expensive', ' signal ',' good ',' package ',' expensive ',' signal ',' ugly ',' disorder ',' mulu ',' try ',' disorder ',' minimal ','"&amp;" love ',' package ' , 'Free', 'Kek', 'stingy', 'Fortunately', 'Doang', '']")</f>
        <v>['Disruption', 'Mulu', 'Application', 'Sousal', 'Suitable', 'Very', 'Serasi', 'UDH', 'Package', 'Expensive', 'Package', 'Expensive', ' signal ',' good ',' package ',' expensive ',' signal ',' ugly ',' disorder ',' mulu ',' try ',' disorder ',' minimal ',' love ',' package ' , 'Free', 'Kek', 'stingy', 'Fortunately', 'Doang', '']</v>
      </c>
      <c r="D21690" s="3">
        <v>1.0</v>
      </c>
    </row>
    <row r="21691" ht="15.75" customHeight="1">
      <c r="A21691" s="1">
        <v>23047.0</v>
      </c>
      <c r="B21691" s="3" t="s">
        <v>20482</v>
      </c>
      <c r="C21691" s="3" t="str">
        <f>IFERROR(__xludf.DUMMYFUNCTION("GOOGLETRANSLATE(B21691,""id"",""en"")"),"['', 'really', 'Hallo', 'Telkomsel']")</f>
        <v>['', 'really', 'Hallo', 'Telkomsel']</v>
      </c>
      <c r="D21691" s="3">
        <v>5.0</v>
      </c>
    </row>
    <row r="21692" ht="15.75" customHeight="1">
      <c r="A21692" s="1">
        <v>23048.0</v>
      </c>
      <c r="B21692" s="3" t="s">
        <v>20483</v>
      </c>
      <c r="C21692" s="3" t="str">
        <f>IFERROR(__xludf.DUMMYFUNCTION("GOOGLETRANSLATE(B21692,""id"",""en"")"),"['', 'Telkomsel', 'Severe', 'take', 'package', 'internet', 'application', 'difficult', 'price', 'expensive', 'compared to', 'as good', 'disappointed ']")</f>
        <v>['', 'Telkomsel', 'Severe', 'take', 'package', 'internet', 'application', 'difficult', 'price', 'expensive', 'compared to', 'as good', 'disappointed ']</v>
      </c>
      <c r="D21692" s="3">
        <v>1.0</v>
      </c>
    </row>
    <row r="21693" ht="15.75" customHeight="1">
      <c r="A21693" s="1">
        <v>23049.0</v>
      </c>
      <c r="B21693" s="3" t="s">
        <v>20484</v>
      </c>
      <c r="C21693" s="3" t="str">
        <f>IFERROR(__xludf.DUMMYFUNCTION("GOOGLETRANSLATE(B21693,""id"",""en"")"),"['The essence', 'disappointing', 'application', 'lalod', 'package', 'star', '']")</f>
        <v>['The essence', 'disappointing', 'application', 'lalod', 'package', 'star', '']</v>
      </c>
      <c r="D21693" s="3">
        <v>1.0</v>
      </c>
    </row>
    <row r="21694" ht="15.75" customHeight="1">
      <c r="A21694" s="1">
        <v>23050.0</v>
      </c>
      <c r="B21694" s="3" t="s">
        <v>20485</v>
      </c>
      <c r="C21694" s="3" t="str">
        <f>IFERROR(__xludf.DUMMYFUNCTION("GOOGLETRANSLATE(B21694,""id"",""en"")"),"['Telkomsel', 'Pride', 'Society', 'Indonesia']")</f>
        <v>['Telkomsel', 'Pride', 'Society', 'Indonesia']</v>
      </c>
      <c r="D21694" s="3">
        <v>5.0</v>
      </c>
    </row>
    <row r="21695" ht="15.75" customHeight="1">
      <c r="A21695" s="1">
        <v>23051.0</v>
      </c>
      <c r="B21695" s="3" t="s">
        <v>20486</v>
      </c>
      <c r="C21695" s="3" t="str">
        <f>IFERROR(__xludf.DUMMYFUNCTION("GOOGLETRANSLATE(B21695,""id"",""en"")"),"['LOL', 'Apalikasi', 'GIFT', 'PROBLEM', 'BONDO', '']")</f>
        <v>['LOL', 'Apalikasi', 'GIFT', 'PROBLEM', 'BONDO', '']</v>
      </c>
      <c r="D21695" s="3">
        <v>1.0</v>
      </c>
    </row>
    <row r="21696" ht="15.75" customHeight="1">
      <c r="A21696" s="1">
        <v>23052.0</v>
      </c>
      <c r="B21696" s="3" t="s">
        <v>20487</v>
      </c>
      <c r="C21696" s="3" t="str">
        <f>IFERROR(__xludf.DUMMYFUNCTION("GOOGLETRANSLATE(B21696,""id"",""en"")"),"['a month', 'Login', '']")</f>
        <v>['a month', 'Login', '']</v>
      </c>
      <c r="D21696" s="3">
        <v>3.0</v>
      </c>
    </row>
    <row r="21697" ht="15.75" customHeight="1">
      <c r="A21697" s="1">
        <v>23053.0</v>
      </c>
      <c r="B21697" s="3" t="s">
        <v>20488</v>
      </c>
      <c r="C21697" s="3" t="str">
        <f>IFERROR(__xludf.DUMMYFUNCTION("GOOGLETRANSLATE(B21697,""id"",""en"")"),"['okay thanks']")</f>
        <v>['okay thanks']</v>
      </c>
      <c r="D21697" s="3">
        <v>5.0</v>
      </c>
    </row>
    <row r="21698" ht="15.75" customHeight="1">
      <c r="A21698" s="1">
        <v>23054.0</v>
      </c>
      <c r="B21698" s="3" t="s">
        <v>2372</v>
      </c>
      <c r="C21698" s="3" t="str">
        <f>IFERROR(__xludf.DUMMYFUNCTION("GOOGLETRANSLATE(B21698,""id"",""en"")"),"['', '']")</f>
        <v>['', '']</v>
      </c>
      <c r="D21698" s="3">
        <v>1.0</v>
      </c>
    </row>
    <row r="21699" ht="15.75" customHeight="1">
      <c r="A21699" s="1">
        <v>23055.0</v>
      </c>
      <c r="B21699" s="3" t="s">
        <v>20489</v>
      </c>
      <c r="C21699" s="3" t="str">
        <f>IFERROR(__xludf.DUMMYFUNCTION("GOOGLETRANSLATE(B21699,""id"",""en"")"),"['The network', 'ugly', 'wanted', 'change', 'card']")</f>
        <v>['The network', 'ugly', 'wanted', 'change', 'card']</v>
      </c>
      <c r="D21699" s="3">
        <v>1.0</v>
      </c>
    </row>
    <row r="21700" ht="15.75" customHeight="1">
      <c r="A21700" s="1">
        <v>23056.0</v>
      </c>
      <c r="B21700" s="3" t="s">
        <v>20490</v>
      </c>
      <c r="C21700" s="3" t="str">
        <f>IFERROR(__xludf.DUMMYFUNCTION("GOOGLETRANSLATE(B21700,""id"",""en"")"),"['Package', 'Free']")</f>
        <v>['Package', 'Free']</v>
      </c>
      <c r="D21700" s="3">
        <v>5.0</v>
      </c>
    </row>
    <row r="21701" ht="15.75" customHeight="1">
      <c r="A21701" s="1">
        <v>23057.0</v>
      </c>
      <c r="B21701" s="3" t="s">
        <v>20491</v>
      </c>
      <c r="C21701" s="3" t="str">
        <f>IFERROR(__xludf.DUMMYFUNCTION("GOOGLETRANSLATE(B21701,""id"",""en"")"),"['Ngellag', 'Severe', 'Come on', 'Cave', 'Use', 'Telkom', 'Ngelag', 'Forgiveness']")</f>
        <v>['Ngellag', 'Severe', 'Come on', 'Cave', 'Use', 'Telkom', 'Ngelag', 'Forgiveness']</v>
      </c>
      <c r="D21701" s="3">
        <v>1.0</v>
      </c>
    </row>
    <row r="21702" ht="15.75" customHeight="1">
      <c r="A21702" s="1">
        <v>23058.0</v>
      </c>
      <c r="B21702" s="3" t="s">
        <v>20492</v>
      </c>
      <c r="C21702" s="3" t="str">
        <f>IFERROR(__xludf.DUMMYFUNCTION("GOOGLETRANSLATE(B21702,""id"",""en"")"),"['Telkomsel', 'okay', 'service', 'good', 'okay', '']")</f>
        <v>['Telkomsel', 'okay', 'service', 'good', 'okay', '']</v>
      </c>
      <c r="D21702" s="3">
        <v>5.0</v>
      </c>
    </row>
    <row r="21703" ht="15.75" customHeight="1">
      <c r="A21703" s="1">
        <v>23059.0</v>
      </c>
      <c r="B21703" s="3" t="s">
        <v>20493</v>
      </c>
      <c r="C21703" s="3" t="str">
        <f>IFERROR(__xludf.DUMMYFUNCTION("GOOGLETRANSLATE(B21703,""id"",""en"")"),"['Sorry', 'given', 'star', 'enter', 'Telkomsel', 'screen', 'white', 'enter', 'please', 'repaired', 'lgi', 'trmksh']")</f>
        <v>['Sorry', 'given', 'star', 'enter', 'Telkomsel', 'screen', 'white', 'enter', 'please', 'repaired', 'lgi', 'trmksh']</v>
      </c>
      <c r="D21703" s="3">
        <v>2.0</v>
      </c>
    </row>
    <row r="21704" ht="15.75" customHeight="1">
      <c r="A21704" s="1">
        <v>23061.0</v>
      </c>
      <c r="B21704" s="3" t="s">
        <v>20494</v>
      </c>
      <c r="C21704" s="3" t="str">
        <f>IFERROR(__xludf.DUMMYFUNCTION("GOOGLETRANSLATE(B21704,""id"",""en"")"),"['Network', 'Telkomsel', 'Severe']")</f>
        <v>['Network', 'Telkomsel', 'Severe']</v>
      </c>
      <c r="D21704" s="3">
        <v>1.0</v>
      </c>
    </row>
    <row r="21705" ht="15.75" customHeight="1">
      <c r="A21705" s="1">
        <v>23062.0</v>
      </c>
      <c r="B21705" s="3" t="s">
        <v>20495</v>
      </c>
      <c r="C21705" s="3" t="str">
        <f>IFERROR(__xludf.DUMMYFUNCTION("GOOGLETRANSLATE(B21705,""id"",""en"")"),"['package', 'internet', 'special', 'youtube', 'signal', 'difficult', 'times',' ilang ',' package ',' expensive ',' signal ',' already ',' end ',' She ',' loss']")</f>
        <v>['package', 'internet', 'special', 'youtube', 'signal', 'difficult', 'times',' ilang ',' package ',' expensive ',' signal ',' already ',' end ',' She ',' loss']</v>
      </c>
      <c r="D21705" s="3">
        <v>4.0</v>
      </c>
    </row>
    <row r="21706" ht="15.75" customHeight="1">
      <c r="A21706" s="1">
        <v>23063.0</v>
      </c>
      <c r="B21706" s="3" t="s">
        <v>20496</v>
      </c>
      <c r="C21706" s="3" t="str">
        <f>IFERROR(__xludf.DUMMYFUNCTION("GOOGLETRANSLATE(B21706,""id"",""en"")"),"['APK', 'Open', 'Kenap']")</f>
        <v>['APK', 'Open', 'Kenap']</v>
      </c>
      <c r="D21706" s="3">
        <v>1.0</v>
      </c>
    </row>
    <row r="21707" ht="15.75" customHeight="1">
      <c r="A21707" s="1">
        <v>23064.0</v>
      </c>
      <c r="B21707" s="3" t="s">
        <v>20497</v>
      </c>
      <c r="C21707" s="3" t="str">
        <f>IFERROR(__xludf.DUMMYFUNCTION("GOOGLETRANSLATE(B21707,""id"",""en"")"),"['Telkomsel', 'network', 'worst', 'Gasesai', 'price', 'package', 'expensive', 'qualitations', 'network', ""]")</f>
        <v>['Telkomsel', 'network', 'worst', 'Gasesai', 'price', 'package', 'expensive', 'qualitations', 'network', "]</v>
      </c>
      <c r="D21707" s="3">
        <v>1.0</v>
      </c>
    </row>
    <row r="21708" ht="15.75" customHeight="1">
      <c r="A21708" s="1">
        <v>23065.0</v>
      </c>
      <c r="B21708" s="3" t="s">
        <v>20498</v>
      </c>
      <c r="C21708" s="3" t="str">
        <f>IFERROR(__xludf.DUMMYFUNCTION("GOOGLETRANSLATE(B21708,""id"",""en"")"),"['The application', 'help', 'really', 'just', 'sometimes',' Sinyal ',' fast ',' missing ',' right ',' play ',' game ',' jammed ',' slow ',' the application ',' please ',' repaired ', ""]")</f>
        <v>['The application', 'help', 'really', 'just', 'sometimes',' Sinyal ',' fast ',' missing ',' right ',' play ',' game ',' jammed ',' slow ',' the application ',' please ',' repaired ', "]</v>
      </c>
      <c r="D21708" s="3">
        <v>3.0</v>
      </c>
    </row>
    <row r="21709" ht="15.75" customHeight="1">
      <c r="A21709" s="1">
        <v>23066.0</v>
      </c>
      <c r="B21709" s="3" t="s">
        <v>20499</v>
      </c>
      <c r="C21709" s="3" t="str">
        <f>IFERROR(__xludf.DUMMYFUNCTION("GOOGLETRANSLATE(B21709,""id"",""en"")"),"['please', 'Telkomsel', 'signal', 'repay', 'signal', 'dumpered', 'bad', ""]")</f>
        <v>['please', 'Telkomsel', 'signal', 'repay', 'signal', 'dumpered', 'bad', "]</v>
      </c>
      <c r="D21709" s="3">
        <v>2.0</v>
      </c>
    </row>
    <row r="21710" ht="15.75" customHeight="1">
      <c r="A21710" s="1">
        <v>23067.0</v>
      </c>
      <c r="B21710" s="3" t="s">
        <v>20500</v>
      </c>
      <c r="C21710" s="3" t="str">
        <f>IFERROR(__xludf.DUMMYFUNCTION("GOOGLETRANSLATE(B21710,""id"",""en"")"),"['Open', 'Application', 'Loading', 'Seloading', 'Loading', 'Min', 'Wonder', 'Network', 'Ampe', 'Try', 'Uninstall', 'then', ' Install ',' Teruz ',' his writing ',' Salang ',' ']")</f>
        <v>['Open', 'Application', 'Loading', 'Seloading', 'Loading', 'Min', 'Wonder', 'Network', 'Ampe', 'Try', 'Uninstall', 'then', ' Install ',' Teruz ',' his writing ',' Salang ',' ']</v>
      </c>
      <c r="D21710" s="3">
        <v>2.0</v>
      </c>
    </row>
    <row r="21711" ht="15.75" customHeight="1">
      <c r="A21711" s="1">
        <v>23068.0</v>
      </c>
      <c r="B21711" s="3" t="s">
        <v>20501</v>
      </c>
      <c r="C21711" s="3" t="str">
        <f>IFERROR(__xludf.DUMMYFUNCTION("GOOGLETRANSLATE(B21711,""id"",""en"")"),"['No', 'Telkomsel', 'Yesterday', 'Buy', 'Package', 'Unlimited', 'YouTube', 'used', 'Bodo', 'just', 'thousands',' ehh ',' Buy ',' Package ',' Combo ',' Sakti ',' Thousands', 'Balance', 'Cut', 'Package', 'Enter', 'Contact', 'Telkomsel', 'Complaint', 'Slow' "&amp;", 'response', 'reply', 'just', 'Please', 'Waiting']")</f>
        <v>['No', 'Telkomsel', 'Yesterday', 'Buy', 'Package', 'Unlimited', 'YouTube', 'used', 'Bodo', 'just', 'thousands',' ehh ',' Buy ',' Package ',' Combo ',' Sakti ',' Thousands', 'Balance', 'Cut', 'Package', 'Enter', 'Contact', 'Telkomsel', 'Complaint', 'Slow' , 'response', 'reply', 'just', 'Please', 'Waiting']</v>
      </c>
      <c r="D21711" s="3">
        <v>1.0</v>
      </c>
    </row>
    <row r="21712" ht="15.75" customHeight="1">
      <c r="A21712" s="1">
        <v>23069.0</v>
      </c>
      <c r="B21712" s="3" t="s">
        <v>20502</v>
      </c>
      <c r="C21712" s="3" t="str">
        <f>IFERROR(__xludf.DUMMYFUNCTION("GOOGLETRANSLATE(B21712,""id"",""en"")"),"['Star', 'play', 'pubm', 'brp', 'minute', 'connection', 'lost', 'as a result', 'dead', ""]")</f>
        <v>['Star', 'play', 'pubm', 'brp', 'minute', 'connection', 'lost', 'as a result', 'dead', "]</v>
      </c>
      <c r="D21712" s="3">
        <v>1.0</v>
      </c>
    </row>
    <row r="21713" ht="15.75" customHeight="1">
      <c r="A21713" s="1">
        <v>23070.0</v>
      </c>
      <c r="B21713" s="3" t="s">
        <v>20503</v>
      </c>
      <c r="C21713" s="3" t="str">
        <f>IFERROR(__xludf.DUMMYFUNCTION("GOOGLETRANSLATE(B21713,""id"",""en"")"),"['Try', 'good', 'nnti', 'tmbah', 'star']")</f>
        <v>['Try', 'good', 'nnti', 'tmbah', 'star']</v>
      </c>
      <c r="D21713" s="3">
        <v>3.0</v>
      </c>
    </row>
    <row r="21714" ht="15.75" customHeight="1">
      <c r="A21714" s="1">
        <v>23071.0</v>
      </c>
      <c r="B21714" s="3" t="s">
        <v>859</v>
      </c>
      <c r="C21714" s="3" t="str">
        <f>IFERROR(__xludf.DUMMYFUNCTION("GOOGLETRANSLATE(B21714,""id"",""en"")"),"['help', '']")</f>
        <v>['help', '']</v>
      </c>
      <c r="D21714" s="3">
        <v>5.0</v>
      </c>
    </row>
    <row r="21715" ht="15.75" customHeight="1">
      <c r="A21715" s="1">
        <v>23072.0</v>
      </c>
      <c r="B21715" s="3" t="s">
        <v>20504</v>
      </c>
      <c r="C21715" s="3" t="str">
        <f>IFERROR(__xludf.DUMMYFUNCTION("GOOGLETRANSLATE(B21715,""id"",""en"")"),"['Application', 'Abis', 'Update', 'Like', 'Error', 'No', 'Login']")</f>
        <v>['Application', 'Abis', 'Update', 'Like', 'Error', 'No', 'Login']</v>
      </c>
      <c r="D21715" s="3">
        <v>1.0</v>
      </c>
    </row>
    <row r="21716" ht="15.75" customHeight="1">
      <c r="A21716" s="1">
        <v>23073.0</v>
      </c>
      <c r="B21716" s="3" t="s">
        <v>20505</v>
      </c>
      <c r="C21716" s="3" t="str">
        <f>IFERROR(__xludf.DUMMYFUNCTION("GOOGLETRANSLATE(B21716,""id"",""en"")"),"['Najis',' Network ',' Ngelag ',' Bangat ',' Mending ',' Indosat ',' Telkomsel ',' Kauta ',' Doang ',' Expensive ',' Network ',' Rich ',' Nge ',' Game ',' Ngelag ',' Ngelag ',' Mulu ',' ugly ',' Bat ',' Raying ',' Buy ',' Card ',' Telkomsel ']")</f>
        <v>['Najis',' Network ',' Ngelag ',' Bangat ',' Mending ',' Indosat ',' Telkomsel ',' Kauta ',' Doang ',' Expensive ',' Network ',' Rich ',' Nge ',' Game ',' Ngelag ',' Ngelag ',' Mulu ',' ugly ',' Bat ',' Raying ',' Buy ',' Card ',' Telkomsel ']</v>
      </c>
      <c r="D21716" s="3">
        <v>1.0</v>
      </c>
    </row>
    <row r="21717" ht="15.75" customHeight="1">
      <c r="A21717" s="1">
        <v>23074.0</v>
      </c>
      <c r="B21717" s="3" t="s">
        <v>1167</v>
      </c>
      <c r="C21717" s="3" t="str">
        <f>IFERROR(__xludf.DUMMYFUNCTION("GOOGLETRANSLATE(B21717,""id"",""en"")"),"['help']")</f>
        <v>['help']</v>
      </c>
      <c r="D21717" s="3">
        <v>3.0</v>
      </c>
    </row>
    <row r="21718" ht="15.75" customHeight="1">
      <c r="A21718" s="1">
        <v>23075.0</v>
      </c>
      <c r="B21718" s="3" t="s">
        <v>20506</v>
      </c>
      <c r="C21718" s="3" t="str">
        <f>IFERROR(__xludf.DUMMYFUNCTION("GOOGLETRANSLATE(B21718,""id"",""en"")"),"['dear', 'application', 'update', 'log', 'enter', 'application']")</f>
        <v>['dear', 'application', 'update', 'log', 'enter', 'application']</v>
      </c>
      <c r="D21718" s="3">
        <v>5.0</v>
      </c>
    </row>
    <row r="21719" ht="15.75" customHeight="1">
      <c r="A21719" s="1">
        <v>23076.0</v>
      </c>
      <c r="B21719" s="3" t="s">
        <v>20507</v>
      </c>
      <c r="C21719" s="3" t="str">
        <f>IFERROR(__xludf.DUMMYFUNCTION("GOOGLETRANSLATE(B21719,""id"",""en"")"),"['Help', 'Not bad']")</f>
        <v>['Help', 'Not bad']</v>
      </c>
      <c r="D21719" s="3">
        <v>4.0</v>
      </c>
    </row>
    <row r="21720" ht="15.75" customHeight="1">
      <c r="A21720" s="1">
        <v>23077.0</v>
      </c>
      <c r="B21720" s="3" t="s">
        <v>20508</v>
      </c>
      <c r="C21720" s="3" t="str">
        <f>IFERROR(__xludf.DUMMYFUNCTION("GOOGLETRANSLATE(B21720,""id"",""en"")"),"['Signl', 'bad', 'according to', 'promise', 'star']")</f>
        <v>['Signl', 'bad', 'according to', 'promise', 'star']</v>
      </c>
      <c r="D21720" s="3">
        <v>1.0</v>
      </c>
    </row>
    <row r="21721" ht="15.75" customHeight="1">
      <c r="A21721" s="1">
        <v>23078.0</v>
      </c>
      <c r="B21721" s="3" t="s">
        <v>20509</v>
      </c>
      <c r="C21721" s="3" t="str">
        <f>IFERROR(__xludf.DUMMYFUNCTION("GOOGLETRANSLATE(B21721,""id"",""en"")"),"['Price', 'expensive', 'ngelag', 'sweet', 'kayak', 'promise', 'government']")</f>
        <v>['Price', 'expensive', 'ngelag', 'sweet', 'kayak', 'promise', 'government']</v>
      </c>
      <c r="D21721" s="3">
        <v>1.0</v>
      </c>
    </row>
    <row r="21722" ht="15.75" customHeight="1">
      <c r="A21722" s="1">
        <v>23079.0</v>
      </c>
      <c r="B21722" s="3" t="s">
        <v>20510</v>
      </c>
      <c r="C21722" s="3" t="str">
        <f>IFERROR(__xludf.DUMMYFUNCTION("GOOGLETRANSLATE(B21722,""id"",""en"")"),"['signal', 'Telkom', 'ugly', 'already', 'application', 'transaction', 'propider', 'best', 'hold', 'telkom', 'indosat', 'boss']")</f>
        <v>['signal', 'Telkom', 'ugly', 'already', 'application', 'transaction', 'propider', 'best', 'hold', 'telkom', 'indosat', 'boss']</v>
      </c>
      <c r="D21722" s="3">
        <v>1.0</v>
      </c>
    </row>
    <row r="21723" ht="15.75" customHeight="1">
      <c r="A21723" s="1">
        <v>23080.0</v>
      </c>
      <c r="B21723" s="3" t="s">
        <v>20511</v>
      </c>
      <c r="C21723" s="3" t="str">
        <f>IFERROR(__xludf.DUMMYFUNCTION("GOOGLETRANSLATE(B21723,""id"",""en"")"),"['', 'application', 'skrg', 'notif', 'udh', 'logout', 'pdhl', 'pnh', 'trs',' login ',' notif ',' opsss', 'mslh ',' PDHL ',' Udan ',' Reinstall ',' Kykny ',' Didngkan ',' Service ',' Customer ',' Satisfied ',' Starny ',' Pull ',' Seeds', ""]")</f>
        <v>['', 'application', 'skrg', 'notif', 'udh', 'logout', 'pdhl', 'pnh', 'trs',' login ',' notif ',' opsss', 'mslh ',' PDHL ',' Udan ',' Reinstall ',' Kykny ',' Didngkan ',' Service ',' Customer ',' Satisfied ',' Starny ',' Pull ',' Seeds', "]</v>
      </c>
      <c r="D21723" s="3">
        <v>1.0</v>
      </c>
    </row>
    <row r="21724" ht="15.75" customHeight="1">
      <c r="A21724" s="1">
        <v>23081.0</v>
      </c>
      <c r="B21724" s="3" t="s">
        <v>20512</v>
      </c>
      <c r="C21724" s="3" t="str">
        <f>IFERROR(__xludf.DUMMYFUNCTION("GOOGLETRANSLATE(B21724,""id"",""en"")"),"['Network', 'iii', '']")</f>
        <v>['Network', 'iii', '']</v>
      </c>
      <c r="D21724" s="3">
        <v>1.0</v>
      </c>
    </row>
    <row r="21725" ht="15.75" customHeight="1">
      <c r="A21725" s="1">
        <v>23082.0</v>
      </c>
      <c r="B21725" s="3" t="s">
        <v>20513</v>
      </c>
      <c r="C21725" s="3" t="str">
        <f>IFERROR(__xludf.DUMMYFUNCTION("GOOGLETRANSLATE(B21725,""id"",""en"")"),"['Ribet', 'package', '']")</f>
        <v>['Ribet', 'package', '']</v>
      </c>
      <c r="D21725" s="3">
        <v>1.0</v>
      </c>
    </row>
    <row r="21726" ht="15.75" customHeight="1">
      <c r="A21726" s="1">
        <v>23083.0</v>
      </c>
      <c r="B21726" s="3" t="s">
        <v>20514</v>
      </c>
      <c r="C21726" s="3" t="str">
        <f>IFERROR(__xludf.DUMMYFUNCTION("GOOGLETRANSLATE(B21726,""id"",""en"")"),"['Download', 'APK', 'No', 'APK', 'Signal', 'Good', 'No', 'Law', 'APK', 'Lawak', ""]")</f>
        <v>['Download', 'APK', 'No', 'APK', 'Signal', 'Good', 'No', 'Law', 'APK', 'Lawak', "]</v>
      </c>
      <c r="D21726" s="3">
        <v>1.0</v>
      </c>
    </row>
    <row r="21727" ht="15.75" customHeight="1">
      <c r="A21727" s="1">
        <v>23084.0</v>
      </c>
      <c r="B21727" s="3" t="s">
        <v>20515</v>
      </c>
      <c r="C21727" s="3" t="str">
        <f>IFERROR(__xludf.DUMMYFUNCTION("GOOGLETRANSLATE(B21727,""id"",""en"")"),"['package', 'emergency', 'active', 'automatic', 'command', 'consumer', 'contents',' pulse ',' pulse ',' cut ',' continuous', 'benefits',' Package ',' emergency ',' detrimental ',' consumer ', ""]")</f>
        <v>['package', 'emergency', 'active', 'automatic', 'command', 'consumer', 'contents',' pulse ',' pulse ',' cut ',' continuous', 'benefits',' Package ',' emergency ',' detrimental ',' consumer ', "]</v>
      </c>
      <c r="D21727" s="3">
        <v>1.0</v>
      </c>
    </row>
    <row r="21728" ht="15.75" customHeight="1">
      <c r="A21728" s="1">
        <v>23085.0</v>
      </c>
      <c r="B21728" s="3" t="s">
        <v>20516</v>
      </c>
      <c r="C21728" s="3" t="str">
        <f>IFERROR(__xludf.DUMMYFUNCTION("GOOGLETRANSLATE(B21728,""id"",""en"")"),"['Simple', 'fast']")</f>
        <v>['Simple', 'fast']</v>
      </c>
      <c r="D21728" s="3">
        <v>5.0</v>
      </c>
    </row>
    <row r="21729" ht="15.75" customHeight="1">
      <c r="A21729" s="1">
        <v>23086.0</v>
      </c>
      <c r="B21729" s="3" t="s">
        <v>20517</v>
      </c>
      <c r="C21729" s="3" t="str">
        <f>IFERROR(__xludf.DUMMYFUNCTION("GOOGLETRANSLATE(B21729,""id"",""en"")"),"['quota', 'pulse', 'sumps', 'cuuu', 'lossiii', 'lossiii', 'times', 'event', '']")</f>
        <v>['quota', 'pulse', 'sumps', 'cuuu', 'lossiii', 'lossiii', 'times', 'event', '']</v>
      </c>
      <c r="D21729" s="3">
        <v>1.0</v>
      </c>
    </row>
    <row r="21730" ht="15.75" customHeight="1">
      <c r="A21730" s="1">
        <v>23087.0</v>
      </c>
      <c r="B21730" s="3" t="s">
        <v>20518</v>
      </c>
      <c r="C21730" s="3" t="str">
        <f>IFERROR(__xludf.DUMMYFUNCTION("GOOGLETRANSLATE(B21730,""id"",""en"")"),"['Level', 'steady']")</f>
        <v>['Level', 'steady']</v>
      </c>
      <c r="D21730" s="3">
        <v>5.0</v>
      </c>
    </row>
    <row r="21731" ht="15.75" customHeight="1">
      <c r="A21731" s="1">
        <v>23088.0</v>
      </c>
      <c r="B21731" s="3" t="s">
        <v>20519</v>
      </c>
      <c r="C21731" s="3" t="str">
        <f>IFERROR(__xludf.DUMMYFUNCTION("GOOGLETRANSLATE(B21731,""id"",""en"")"),"['bad', 'bad', 'quota', 'usually', 'pulse', 'sumps',' thousand ',' already ',' gausah ',' sorry ',' proof ',' negotia ',' pulses', 'solada', 'gabisa', 'love', 'proof', 'anything', 'except', 'testimony', 'sister', 'experience', 'thanks',' Telkomsel ',' rep"&amp;"lace ' , 'Operator', 'number', 'Telkomsel', 'accept', 'quota', 'Ministry of Education and Culture', 'Males', 'already', ""]")</f>
        <v>['bad', 'bad', 'quota', 'usually', 'pulse', 'sumps',' thousand ',' already ',' gausah ',' sorry ',' proof ',' negotia ',' pulses', 'solada', 'gabisa', 'love', 'proof', 'anything', 'except', 'testimony', 'sister', 'experience', 'thanks',' Telkomsel ',' replace ' , 'Operator', 'number', 'Telkomsel', 'accept', 'quota', 'Ministry of Education and Culture', 'Males', 'already', "]</v>
      </c>
      <c r="D21731" s="3">
        <v>1.0</v>
      </c>
    </row>
    <row r="21732" ht="15.75" customHeight="1">
      <c r="A21732" s="1">
        <v>23090.0</v>
      </c>
      <c r="B21732" s="3" t="s">
        <v>20520</v>
      </c>
      <c r="C21732" s="3" t="str">
        <f>IFERROR(__xludf.DUMMYFUNCTION("GOOGLETRANSLATE(B21732,""id"",""en"")"),"['suggestion', 'run out', 'package', 'quota', 'telkom', 'buy', 'pulse', 'buy', 'package', 'application', 'open', 'application', ' buy ',' package ',' sucked ',' pulses', 'ngotak', ""]")</f>
        <v>['suggestion', 'run out', 'package', 'quota', 'telkom', 'buy', 'pulse', 'buy', 'package', 'application', 'open', 'application', ' buy ',' package ',' sucked ',' pulses', 'ngotak', "]</v>
      </c>
      <c r="D21732" s="3">
        <v>1.0</v>
      </c>
    </row>
    <row r="21733" ht="15.75" customHeight="1">
      <c r="A21733" s="1">
        <v>23091.0</v>
      </c>
      <c r="B21733" s="3" t="s">
        <v>20521</v>
      </c>
      <c r="C21733" s="3" t="str">
        <f>IFERROR(__xludf.DUMMYFUNCTION("GOOGLETRANSLATE(B21733,""id"",""en"")"),"['It's easy', 'users', 'card', 'Telkomsel']")</f>
        <v>['It's easy', 'users', 'card', 'Telkomsel']</v>
      </c>
      <c r="D21733" s="3">
        <v>5.0</v>
      </c>
    </row>
    <row r="21734" ht="15.75" customHeight="1">
      <c r="A21734" s="1">
        <v>23092.0</v>
      </c>
      <c r="B21734" s="3" t="s">
        <v>20522</v>
      </c>
      <c r="C21734" s="3" t="str">
        <f>IFERROR(__xludf.DUMMYFUNCTION("GOOGLETRANSLATE(B21734,""id"",""en"")"),"['Network', 'ugly', 'please', 'repaired', ""]")</f>
        <v>['Network', 'ugly', 'please', 'repaired', "]</v>
      </c>
      <c r="D21734" s="3">
        <v>5.0</v>
      </c>
    </row>
    <row r="21735" ht="15.75" customHeight="1">
      <c r="A21735" s="1">
        <v>23093.0</v>
      </c>
      <c r="B21735" s="3" t="s">
        <v>20523</v>
      </c>
      <c r="C21735" s="3" t="str">
        <f>IFERROR(__xludf.DUMMYFUNCTION("GOOGLETRANSLATE(B21735,""id"",""en"")"),"['accept', 'message', 'unique', 'regret']")</f>
        <v>['accept', 'message', 'unique', 'regret']</v>
      </c>
      <c r="D21735" s="3">
        <v>1.0</v>
      </c>
    </row>
    <row r="21736" ht="15.75" customHeight="1">
      <c r="A21736" s="1">
        <v>23094.0</v>
      </c>
      <c r="B21736" s="3" t="s">
        <v>20524</v>
      </c>
      <c r="C21736" s="3" t="str">
        <f>IFERROR(__xludf.DUMMYFUNCTION("GOOGLETRANSLATE(B21736,""id"",""en"")"),"['Install', 'Samsung', 'Android']")</f>
        <v>['Install', 'Samsung', 'Android']</v>
      </c>
      <c r="D21736" s="3">
        <v>5.0</v>
      </c>
    </row>
    <row r="21737" ht="15.75" customHeight="1">
      <c r="A21737" s="1">
        <v>23095.0</v>
      </c>
      <c r="B21737" s="3" t="s">
        <v>20525</v>
      </c>
      <c r="C21737" s="3" t="str">
        <f>IFERROR(__xludf.DUMMYFUNCTION("GOOGLETRANSLATE(B21737,""id"",""en"")"),"['Package', 'Data', 'enter', 'application', 'difficult', 'login', 'verification', 'sms',' email ',' mensos', 'application', 'automatic', ' Account ',' Verification ',' Wait ',' Wait ',' Dtk ',' Sorry ',' Love ',' Bintang ',' Please ',' Imprecial ',' SERBA"&amp;" ',' HARD ',' RIBET ' , 'Login', 'use', 'number', 'cellphone', '']")</f>
        <v>['Package', 'Data', 'enter', 'application', 'difficult', 'login', 'verification', 'sms',' email ',' mensos', 'application', 'automatic', ' Account ',' Verification ',' Wait ',' Wait ',' Dtk ',' Sorry ',' Love ',' Bintang ',' Please ',' Imprecial ',' SERBA ',' HARD ',' RIBET ' , 'Login', 'use', 'number', 'cellphone', '']</v>
      </c>
      <c r="D21737" s="3">
        <v>1.0</v>
      </c>
    </row>
    <row r="21738" ht="15.75" customHeight="1">
      <c r="A21738" s="1">
        <v>23096.0</v>
      </c>
      <c r="B21738" s="3" t="s">
        <v>20526</v>
      </c>
      <c r="C21738" s="3" t="str">
        <f>IFERROR(__xludf.DUMMYFUNCTION("GOOGLETRANSLATE(B21738,""id"",""en"")"),"['mint', 'quota', 'Activate', 'data', 'take', 'pulses', 'loss']")</f>
        <v>['mint', 'quota', 'Activate', 'data', 'take', 'pulses', 'loss']</v>
      </c>
      <c r="D21738" s="3">
        <v>1.0</v>
      </c>
    </row>
    <row r="21739" ht="15.75" customHeight="1">
      <c r="A21739" s="1">
        <v>23097.0</v>
      </c>
      <c r="B21739" s="3" t="s">
        <v>20527</v>
      </c>
      <c r="C21739" s="3" t="str">
        <f>IFERROR(__xludf.DUMMYFUNCTION("GOOGLETRANSLATE(B21739,""id"",""en"")"),"['Disturbs', 'bought', 'pdhal', 'Yesterday']")</f>
        <v>['Disturbs', 'bought', 'pdhal', 'Yesterday']</v>
      </c>
      <c r="D21739" s="3">
        <v>1.0</v>
      </c>
    </row>
    <row r="21740" ht="15.75" customHeight="1">
      <c r="A21740" s="1">
        <v>23098.0</v>
      </c>
      <c r="B21740" s="3" t="s">
        <v>20528</v>
      </c>
      <c r="C21740" s="3" t="str">
        <f>IFERROR(__xludf.DUMMYFUNCTION("GOOGLETRANSLATE(B21740,""id"",""en"")"),"['Ban', 'Paketan', 'Boyyyyyy']")</f>
        <v>['Ban', 'Paketan', 'Boyyyyyy']</v>
      </c>
      <c r="D21740" s="3">
        <v>1.0</v>
      </c>
    </row>
    <row r="21741" ht="15.75" customHeight="1">
      <c r="A21741" s="1">
        <v>23099.0</v>
      </c>
      <c r="B21741" s="3" t="s">
        <v>20529</v>
      </c>
      <c r="C21741" s="3" t="str">
        <f>IFERROR(__xludf.DUMMYFUNCTION("GOOGLETRANSLATE(B21741,""id"",""en"")"),"['week', 'login', 'MyTelkomsel', 'failed', 'written', 'oops', 'error', 'ntah', 'causes', 'please', 'repair', ""]")</f>
        <v>['week', 'login', 'MyTelkomsel', 'failed', 'written', 'oops', 'error', 'ntah', 'causes', 'please', 'repair', "]</v>
      </c>
      <c r="D21741" s="3">
        <v>1.0</v>
      </c>
    </row>
    <row r="21742" ht="15.75" customHeight="1">
      <c r="A21742" s="1">
        <v>23100.0</v>
      </c>
      <c r="B21742" s="3" t="s">
        <v>20530</v>
      </c>
      <c r="C21742" s="3" t="str">
        <f>IFERROR(__xludf.DUMMYFUNCTION("GOOGLETRANSLATE(B21742,""id"",""en"")"),"['Lemot', 'really', 'network']")</f>
        <v>['Lemot', 'really', 'network']</v>
      </c>
      <c r="D21742" s="3">
        <v>1.0</v>
      </c>
    </row>
    <row r="21743" ht="15.75" customHeight="1">
      <c r="A21743" s="1">
        <v>23101.0</v>
      </c>
      <c r="B21743" s="3" t="s">
        <v>20531</v>
      </c>
      <c r="C21743" s="3" t="str">
        <f>IFERROR(__xludf.DUMMYFUNCTION("GOOGLETRANSLATE(B21743,""id"",""en"")"),"['beans', 'expensive', 'network', 'nya', 'kek', 'kntle']")</f>
        <v>['beans', 'expensive', 'network', 'nya', 'kek', 'kntle']</v>
      </c>
      <c r="D21743" s="3">
        <v>1.0</v>
      </c>
    </row>
    <row r="21744" ht="15.75" customHeight="1">
      <c r="A21744" s="1">
        <v>23102.0</v>
      </c>
      <c r="B21744" s="3" t="s">
        <v>20532</v>
      </c>
      <c r="C21744" s="3" t="str">
        <f>IFERROR(__xludf.DUMMYFUNCTION("GOOGLETRANSLATE(B21744,""id"",""en"")"),"['Bad', 'Application', 'Login', 'Ribet', 'Send', 'Link', 'Login', 'Error', 'Mulu', 'Please', 'Fix', 'Telkomsel']")</f>
        <v>['Bad', 'Application', 'Login', 'Ribet', 'Send', 'Link', 'Login', 'Error', 'Mulu', 'Please', 'Fix', 'Telkomsel']</v>
      </c>
      <c r="D21744" s="3">
        <v>1.0</v>
      </c>
    </row>
    <row r="21745" ht="15.75" customHeight="1">
      <c r="A21745" s="1">
        <v>23103.0</v>
      </c>
      <c r="B21745" s="3" t="s">
        <v>20533</v>
      </c>
      <c r="C21745" s="3" t="str">
        <f>IFERROR(__xludf.DUMMYFUNCTION("GOOGLETRANSLATE(B21745,""id"",""en"")"),"['Customer', 'disappointed', 'at home', 'Often', 'signal', 'down', 'sometimes', 'missing', ""]")</f>
        <v>['Customer', 'disappointed', 'at home', 'Often', 'signal', 'down', 'sometimes', 'missing', "]</v>
      </c>
      <c r="D21745" s="3">
        <v>1.0</v>
      </c>
    </row>
    <row r="21746" ht="15.75" customHeight="1">
      <c r="A21746" s="1">
        <v>23104.0</v>
      </c>
      <c r="B21746" s="3" t="s">
        <v>20534</v>
      </c>
      <c r="C21746" s="3" t="str">
        <f>IFERROR(__xludf.DUMMYFUNCTION("GOOGLETRANSLATE(B21746,""id"",""en"")"),"['already', 'times',' pkek ',' Telkomsel ',' pulses', 'thousand', 'cut', 'sampek', 'run out', 'quota', 'internet', 'pakek', ' Ryesel ',' Pakek ',' Telkomsel ',' Loss']")</f>
        <v>['already', 'times',' pkek ',' Telkomsel ',' pulses', 'thousand', 'cut', 'sampek', 'run out', 'quota', 'internet', 'pakek', ' Ryesel ',' Pakek ',' Telkomsel ',' Loss']</v>
      </c>
      <c r="D21746" s="3">
        <v>1.0</v>
      </c>
    </row>
    <row r="21747" ht="15.75" customHeight="1">
      <c r="A21747" s="1">
        <v>23105.0</v>
      </c>
      <c r="B21747" s="3" t="s">
        <v>20535</v>
      </c>
      <c r="C21747" s="3" t="str">
        <f>IFERROR(__xludf.DUMMYFUNCTION("GOOGLETRANSLATE(B21747,""id"",""en"")"),"['Need', 'improvement', 'network', 'PLN', 'go out', 'network', 'direct', 'missing', 'rain', 'heavy', 'network', 'disrupted']")</f>
        <v>['Need', 'improvement', 'network', 'PLN', 'go out', 'network', 'direct', 'missing', 'rain', 'heavy', 'network', 'disrupted']</v>
      </c>
      <c r="D21747" s="3">
        <v>4.0</v>
      </c>
    </row>
    <row r="21748" ht="15.75" customHeight="1">
      <c r="A21748" s="1">
        <v>23106.0</v>
      </c>
      <c r="B21748" s="3" t="s">
        <v>20536</v>
      </c>
      <c r="C21748" s="3" t="str">
        <f>IFERROR(__xludf.DUMMYFUNCTION("GOOGLETRANSLATE(B21748,""id"",""en"")"),"['Please', 'repaired', 'signal', 'internet', 'tsel', 'customers', 'complement', 'switch', 'package', 'expensive', 'quality', 'poor']")</f>
        <v>['Please', 'repaired', 'signal', 'internet', 'tsel', 'customers', 'complement', 'switch', 'package', 'expensive', 'quality', 'poor']</v>
      </c>
      <c r="D21748" s="3">
        <v>1.0</v>
      </c>
    </row>
    <row r="21749" ht="15.75" customHeight="1">
      <c r="A21749" s="1">
        <v>23107.0</v>
      </c>
      <c r="B21749" s="3" t="s">
        <v>20537</v>
      </c>
      <c r="C21749" s="3" t="str">
        <f>IFERROR(__xludf.DUMMYFUNCTION("GOOGLETRANSLATE(B21749,""id"",""en"")"),"['expensive', 'Paketan', 'Combo', 'Sakti', 'Option', 'Cheap', 'Customer', 'Telkomsel', 'Gold', 'Customer', 'Prioritized', 'Please', ' repaired ',' Telkomsel ',' thank ',' love ']")</f>
        <v>['expensive', 'Paketan', 'Combo', 'Sakti', 'Option', 'Cheap', 'Customer', 'Telkomsel', 'Gold', 'Customer', 'Prioritized', 'Please', ' repaired ',' Telkomsel ',' thank ',' love ']</v>
      </c>
      <c r="D21749" s="3">
        <v>1.0</v>
      </c>
    </row>
    <row r="21750" ht="15.75" customHeight="1">
      <c r="A21750" s="1">
        <v>23108.0</v>
      </c>
      <c r="B21750" s="3" t="s">
        <v>20538</v>
      </c>
      <c r="C21750" s="3" t="str">
        <f>IFERROR(__xludf.DUMMYFUNCTION("GOOGLETRANSLATE(B21750,""id"",""en"")"),"['Telkomsel', 'Heart', 'Amenities', 'Cool', 'Very']")</f>
        <v>['Telkomsel', 'Heart', 'Amenities', 'Cool', 'Very']</v>
      </c>
      <c r="D21750" s="3">
        <v>5.0</v>
      </c>
    </row>
    <row r="21751" ht="15.75" customHeight="1">
      <c r="A21751" s="1">
        <v>23109.0</v>
      </c>
      <c r="B21751" s="3" t="s">
        <v>20539</v>
      </c>
      <c r="C21751" s="3" t="str">
        <f>IFERROR(__xludf.DUMMYFUNCTION("GOOGLETRANSLATE(B21751,""id"",""en"")"),"['Min', 'apk', 'Telkomsel', 'opened', 'update', 'apk', 'please', 'min', '']")</f>
        <v>['Min', 'apk', 'Telkomsel', 'opened', 'update', 'apk', 'please', 'min', '']</v>
      </c>
      <c r="D21751" s="3">
        <v>4.0</v>
      </c>
    </row>
    <row r="21752" ht="15.75" customHeight="1">
      <c r="A21752" s="1">
        <v>23110.0</v>
      </c>
      <c r="B21752" s="3" t="s">
        <v>20540</v>
      </c>
      <c r="C21752" s="3" t="str">
        <f>IFERROR(__xludf.DUMMYFUNCTION("GOOGLETRANSLATE(B21752,""id"",""en"")"),"['signal', 'Severe', 'Ajh', 'Nii', 'Telkomsel']")</f>
        <v>['signal', 'Severe', 'Ajh', 'Nii', 'Telkomsel']</v>
      </c>
      <c r="D21752" s="3">
        <v>2.0</v>
      </c>
    </row>
    <row r="21753" ht="15.75" customHeight="1">
      <c r="A21753" s="1">
        <v>23111.0</v>
      </c>
      <c r="B21753" s="3" t="s">
        <v>20541</v>
      </c>
      <c r="C21753" s="3" t="str">
        <f>IFERROR(__xludf.DUMMYFUNCTION("GOOGLETRANSLATE(B21753,""id"",""en"")"),"['Network', 'really', 'slow', 'package', 'expensive', 'network', '']")</f>
        <v>['Network', 'really', 'slow', 'package', 'expensive', 'network', '']</v>
      </c>
      <c r="D21753" s="3">
        <v>1.0</v>
      </c>
    </row>
    <row r="21754" ht="15.75" customHeight="1">
      <c r="A21754" s="1">
        <v>23112.0</v>
      </c>
      <c r="B21754" s="3" t="s">
        <v>20542</v>
      </c>
      <c r="C21754" s="3" t="str">
        <f>IFERROR(__xludf.DUMMYFUNCTION("GOOGLETRANSLATE(B21754,""id"",""en"")"),"['What', 'Network', 'Telkomsel', 'Signal', 'Forji', 'Lemo', 'No "",' Rich ',' Network ',' Smooth ',' Lemot ',' Hadehh ',' Disappointed ',' Bngt ']")</f>
        <v>['What', 'Network', 'Telkomsel', 'Signal', 'Forji', 'Lemo', 'No ",' Rich ',' Network ',' Smooth ',' Lemot ',' Hadehh ',' Disappointed ',' Bngt ']</v>
      </c>
      <c r="D21754" s="3">
        <v>1.0</v>
      </c>
    </row>
    <row r="21755" ht="15.75" customHeight="1">
      <c r="A21755" s="1">
        <v>23113.0</v>
      </c>
      <c r="B21755" s="3" t="s">
        <v>20543</v>
      </c>
      <c r="C21755" s="3" t="str">
        <f>IFERROR(__xludf.DUMMYFUNCTION("GOOGLETRANSLATE(B21755,""id"",""en"")"),"['quota', 'game', 'quota', 'internet', 'function', 'quota', 'game', 'quota', 'internet', '']")</f>
        <v>['quota', 'game', 'quota', 'internet', 'function', 'quota', 'game', 'quota', 'internet', '']</v>
      </c>
      <c r="D21755" s="3">
        <v>1.0</v>
      </c>
    </row>
    <row r="21756" ht="15.75" customHeight="1">
      <c r="A21756" s="1">
        <v>23114.0</v>
      </c>
      <c r="B21756" s="3" t="s">
        <v>20544</v>
      </c>
      <c r="C21756" s="3" t="str">
        <f>IFERROR(__xludf.DUMMYFUNCTION("GOOGLETRANSLATE(B21756,""id"",""en"")"),"['makes it easier', 'really', '']")</f>
        <v>['makes it easier', 'really', '']</v>
      </c>
      <c r="D21756" s="3">
        <v>4.0</v>
      </c>
    </row>
    <row r="21757" ht="15.75" customHeight="1">
      <c r="A21757" s="1">
        <v>23115.0</v>
      </c>
      <c r="B21757" s="3" t="s">
        <v>20545</v>
      </c>
      <c r="C21757" s="3" t="str">
        <f>IFERROR(__xludf.DUMMYFUNCTION("GOOGLETRANSLATE(B21757,""id"",""en"")"),"['buy', 'package', 'data', 'unlimitedmak', 'load', 'game', 'online', 'fafariteku', 'what', 'boss']")</f>
        <v>['buy', 'package', 'data', 'unlimitedmak', 'load', 'game', 'online', 'fafariteku', 'what', 'boss']</v>
      </c>
      <c r="D21757" s="3">
        <v>4.0</v>
      </c>
    </row>
    <row r="21758" ht="15.75" customHeight="1">
      <c r="A21758" s="1">
        <v>23116.0</v>
      </c>
      <c r="B21758" s="3" t="s">
        <v>2112</v>
      </c>
      <c r="C21758" s="3" t="str">
        <f>IFERROR(__xludf.DUMMYFUNCTION("GOOGLETRANSLATE(B21758,""id"",""en"")"),"['Telkomsel', 'Best', ""]")</f>
        <v>['Telkomsel', 'Best', "]</v>
      </c>
      <c r="D21758" s="3">
        <v>5.0</v>
      </c>
    </row>
    <row r="21759" ht="15.75" customHeight="1">
      <c r="A21759" s="1">
        <v>23117.0</v>
      </c>
      <c r="B21759" s="3" t="s">
        <v>20546</v>
      </c>
      <c r="C21759" s="3" t="str">
        <f>IFERROR(__xludf.DUMMYFUNCTION("GOOGLETRANSLATE(B21759,""id"",""en"")"),"['woi', 'gave', 'promo', 'number', 'number', 'friend', 'dapet', 'promo', 'number', 'promo']")</f>
        <v>['woi', 'gave', 'promo', 'number', 'number', 'friend', 'dapet', 'promo', 'number', 'promo']</v>
      </c>
      <c r="D21759" s="3">
        <v>1.0</v>
      </c>
    </row>
    <row r="21760" ht="15.75" customHeight="1">
      <c r="A21760" s="1">
        <v>23118.0</v>
      </c>
      <c r="B21760" s="3" t="s">
        <v>20547</v>
      </c>
      <c r="C21760" s="3" t="str">
        <f>IFERROR(__xludf.DUMMYFUNCTION("GOOGLETRANSLATE(B21760,""id"",""en"")"),"['easy', 'fast', 'expensive', 'ketol-', 'really', 'package', 'magic', 'choice', 'buy', 'already', 'please', 'package', ' Sakti ',' Tuk ',' reproduced ',' Choice ',' ']")</f>
        <v>['easy', 'fast', 'expensive', 'ketol-', 'really', 'package', 'magic', 'choice', 'buy', 'already', 'please', 'package', ' Sakti ',' Tuk ',' reproduced ',' Choice ',' ']</v>
      </c>
      <c r="D21760" s="3">
        <v>5.0</v>
      </c>
    </row>
    <row r="21761" ht="15.75" customHeight="1">
      <c r="A21761" s="1">
        <v>23119.0</v>
      </c>
      <c r="B21761" s="3" t="s">
        <v>20548</v>
      </c>
      <c r="C21761" s="3" t="str">
        <f>IFERROR(__xludf.DUMMYFUNCTION("GOOGLETRANSLATE(B21761,""id"",""en"")"),"['buy', 'package', 'data', 'expensive', 'network', 'damaged', 'loss', 'package', 'cave', 'oyyyyy']")</f>
        <v>['buy', 'package', 'data', 'expensive', 'network', 'damaged', 'loss', 'package', 'cave', 'oyyyyy']</v>
      </c>
      <c r="D21761" s="3">
        <v>1.0</v>
      </c>
    </row>
    <row r="21762" ht="15.75" customHeight="1">
      <c r="A21762" s="1">
        <v>23120.0</v>
      </c>
      <c r="B21762" s="3" t="s">
        <v>20549</v>
      </c>
      <c r="C21762" s="3" t="str">
        <f>IFERROR(__xludf.DUMMYFUNCTION("GOOGLETRANSLATE(B21762,""id"",""en"")"),"['Telkom', 'improving', 'deteriorating', 'signal', 'slow', 'karuan', 'sucked', 'data', 'no', 'squeeze', 'poor']")</f>
        <v>['Telkom', 'improving', 'deteriorating', 'signal', 'slow', 'karuan', 'sucked', 'data', 'no', 'squeeze', 'poor']</v>
      </c>
      <c r="D21762" s="3">
        <v>1.0</v>
      </c>
    </row>
    <row r="21763" ht="15.75" customHeight="1">
      <c r="A21763" s="1">
        <v>23121.0</v>
      </c>
      <c r="B21763" s="3" t="s">
        <v>20550</v>
      </c>
      <c r="C21763" s="3" t="str">
        <f>IFERROR(__xludf.DUMMYFUNCTION("GOOGLETRANSLATE(B21763,""id"",""en"")"),"['The application', 'opened', 'version', 'newest', 'connection', 'internet', 'good', ""]")</f>
        <v>['The application', 'opened', 'version', 'newest', 'connection', 'internet', 'good', "]</v>
      </c>
      <c r="D21763" s="3">
        <v>2.0</v>
      </c>
    </row>
    <row r="21764" ht="15.75" customHeight="1">
      <c r="A21764" s="1">
        <v>23122.0</v>
      </c>
      <c r="B21764" s="3" t="s">
        <v>20551</v>
      </c>
      <c r="C21764" s="3" t="str">
        <f>IFERROR(__xludf.DUMMYFUNCTION("GOOGLETRANSLATE(B21764,""id"",""en"")"),"['update', 'enter', 'number']")</f>
        <v>['update', 'enter', 'number']</v>
      </c>
      <c r="D21764" s="3">
        <v>1.0</v>
      </c>
    </row>
    <row r="21765" ht="15.75" customHeight="1">
      <c r="A21765" s="1">
        <v>23123.0</v>
      </c>
      <c r="B21765" s="3" t="s">
        <v>20552</v>
      </c>
      <c r="C21765" s="3" t="str">
        <f>IFERROR(__xludf.DUMMYFUNCTION("GOOGLETRANSLATE(B21765,""id"",""en"")"),"['Network', 'like', 'missing', 'missing', 'play', 'game', 'njirr']")</f>
        <v>['Network', 'like', 'missing', 'missing', 'play', 'game', 'njirr']</v>
      </c>
      <c r="D21765" s="3">
        <v>3.0</v>
      </c>
    </row>
    <row r="21766" ht="15.75" customHeight="1">
      <c r="A21766" s="1">
        <v>23124.0</v>
      </c>
      <c r="B21766" s="3" t="s">
        <v>20553</v>
      </c>
      <c r="C21766" s="3" t="str">
        <f>IFERROR(__xludf.DUMMYFUNCTION("GOOGLETRANSLATE(B21766,""id"",""en"")"),"['contents',' reset ',' payment ',' BCA ',' Constrained ',' Method ',' Payment ',' Linkaja ',' Bring ',' Browser ',' APK ',' Linkaja ',' Results', 'complete', 'transaction', 'please', 'fix', '']")</f>
        <v>['contents',' reset ',' payment ',' BCA ',' Constrained ',' Method ',' Payment ',' Linkaja ',' Bring ',' Browser ',' APK ',' Linkaja ',' Results', 'complete', 'transaction', 'please', 'fix', '']</v>
      </c>
      <c r="D21766" s="3">
        <v>1.0</v>
      </c>
    </row>
    <row r="21767" ht="15.75" customHeight="1">
      <c r="A21767" s="1">
        <v>23125.0</v>
      </c>
      <c r="B21767" s="3" t="s">
        <v>20554</v>
      </c>
      <c r="C21767" s="3" t="str">
        <f>IFERROR(__xludf.DUMMYFUNCTION("GOOGLETRANSLATE(B21767,""id"",""en"")"),"['Gatau', 'disappointed', 'Telkomsel', 'turn', 'Chek', 'ilang', 'ngeghosting', 'doang', ""]")</f>
        <v>['Gatau', 'disappointed', 'Telkomsel', 'turn', 'Chek', 'ilang', 'ngeghosting', 'doang', "]</v>
      </c>
      <c r="D21767" s="3">
        <v>3.0</v>
      </c>
    </row>
    <row r="21768" ht="15.75" customHeight="1">
      <c r="A21768" s="1">
        <v>23126.0</v>
      </c>
      <c r="B21768" s="3" t="s">
        <v>20555</v>
      </c>
      <c r="C21768" s="3" t="str">
        <f>IFERROR(__xludf.DUMMYFUNCTION("GOOGLETRANSLATE(B21768,""id"",""en"")"),"['Application', 'Ancurrrr', 'Leet', 'Login', 'Error', 'Confirmation', 'Pekah', 'Bankrupt']")</f>
        <v>['Application', 'Ancurrrr', 'Leet', 'Login', 'Error', 'Confirmation', 'Pekah', 'Bankrupt']</v>
      </c>
      <c r="D21768" s="3">
        <v>1.0</v>
      </c>
    </row>
    <row r="21769" ht="15.75" customHeight="1">
      <c r="A21769" s="1">
        <v>23128.0</v>
      </c>
      <c r="B21769" s="3" t="s">
        <v>20556</v>
      </c>
      <c r="C21769" s="3" t="str">
        <f>IFERROR(__xludf.DUMMYFUNCTION("GOOGLETRANSLATE(B21769,""id"",""en"")"),"['Application', 'Cool', 'buy', 'Package']")</f>
        <v>['Application', 'Cool', 'buy', 'Package']</v>
      </c>
      <c r="D21769" s="3">
        <v>5.0</v>
      </c>
    </row>
    <row r="21770" ht="15.75" customHeight="1">
      <c r="A21770" s="1">
        <v>23129.0</v>
      </c>
      <c r="B21770" s="3" t="s">
        <v>859</v>
      </c>
      <c r="C21770" s="3" t="str">
        <f>IFERROR(__xludf.DUMMYFUNCTION("GOOGLETRANSLATE(B21770,""id"",""en"")"),"['help', '']")</f>
        <v>['help', '']</v>
      </c>
      <c r="D21770" s="3">
        <v>5.0</v>
      </c>
    </row>
    <row r="21771" ht="15.75" customHeight="1">
      <c r="A21771" s="1">
        <v>23130.0</v>
      </c>
      <c r="B21771" s="3" t="s">
        <v>20557</v>
      </c>
      <c r="C21771" s="3" t="str">
        <f>IFERROR(__xludf.DUMMYFUNCTION("GOOGLETRANSLATE(B21771,""id"",""en"")"),"['Help', 'Package', 'complete']")</f>
        <v>['Help', 'Package', 'complete']</v>
      </c>
      <c r="D21771" s="3">
        <v>5.0</v>
      </c>
    </row>
    <row r="21772" ht="15.75" customHeight="1">
      <c r="A21772" s="1">
        <v>23131.0</v>
      </c>
      <c r="B21772" s="3" t="s">
        <v>20558</v>
      </c>
      <c r="C21772" s="3" t="str">
        <f>IFERROR(__xludf.DUMMYFUNCTION("GOOGLETRANSLATE(B21772,""id"",""en"")"),"['application', 'toughest', 'world', 'marketplace', 'lost', 'heavy', 'application', 'network', 'slow', 'package', 'complete', 'really', ' His name is', 'love', 'rating', 'star', 'zero', '']")</f>
        <v>['application', 'toughest', 'world', 'marketplace', 'lost', 'heavy', 'application', 'network', 'slow', 'package', 'complete', 'really', ' His name is', 'love', 'rating', 'star', 'zero', '']</v>
      </c>
      <c r="D21772" s="3">
        <v>1.0</v>
      </c>
    </row>
    <row r="21773" ht="15.75" customHeight="1">
      <c r="A21773" s="1">
        <v>23132.0</v>
      </c>
      <c r="B21773" s="3" t="s">
        <v>20559</v>
      </c>
      <c r="C21773" s="3" t="str">
        <f>IFERROR(__xludf.DUMMYFUNCTION("GOOGLETRANSLATE(B21773,""id"",""en"")"),"['Telkomsel', 'bnyak', 'trap', 'sometimes', 'told', 'package', 'emergency', 'severe', 'intentionally', 'kpencet']")</f>
        <v>['Telkomsel', 'bnyak', 'trap', 'sometimes', 'told', 'package', 'emergency', 'severe', 'intentionally', 'kpencet']</v>
      </c>
      <c r="D21773" s="3">
        <v>1.0</v>
      </c>
    </row>
    <row r="21774" ht="15.75" customHeight="1">
      <c r="A21774" s="1">
        <v>23133.0</v>
      </c>
      <c r="B21774" s="3" t="s">
        <v>20560</v>
      </c>
      <c r="C21774" s="3" t="str">
        <f>IFERROR(__xludf.DUMMYFUNCTION("GOOGLETRANSLATE(B21774,""id"",""en"")"),"['signal', 'reduced', 'quality', 'slow', 'slow', '']")</f>
        <v>['signal', 'reduced', 'quality', 'slow', 'slow', '']</v>
      </c>
      <c r="D21774" s="3">
        <v>3.0</v>
      </c>
    </row>
    <row r="21775" ht="15.75" customHeight="1">
      <c r="A21775" s="1">
        <v>23134.0</v>
      </c>
      <c r="B21775" s="3" t="s">
        <v>20561</v>
      </c>
      <c r="C21775" s="3" t="str">
        <f>IFERROR(__xludf.DUMMYFUNCTION("GOOGLETRANSLATE(B21775,""id"",""en"")"),"['signal', 'stable', 'sometimes', 'sometimes']")</f>
        <v>['signal', 'stable', 'sometimes', 'sometimes']</v>
      </c>
      <c r="D21775" s="3">
        <v>2.0</v>
      </c>
    </row>
    <row r="21776" ht="15.75" customHeight="1">
      <c r="A21776" s="1">
        <v>23135.0</v>
      </c>
      <c r="B21776" s="3" t="s">
        <v>20562</v>
      </c>
      <c r="C21776" s="3" t="str">
        <f>IFERROR(__xludf.DUMMYFUNCTION("GOOGLETRANSLATE(B21776,""id"",""en"")"),"['sekrang', 'expensive', 'card', 'hello', 'package', 'rb', 'gb', 'phone', 'minute', 'card', 'hello', 'return', ' Prabyar ',' Telkomsel ',' offer ',' tasty ',' zonk ',' tasty ',' prepaid ',' choose ',' pketan ',' sweet ',' bitter ']")</f>
        <v>['sekrang', 'expensive', 'card', 'hello', 'package', 'rb', 'gb', 'phone', 'minute', 'card', 'hello', 'return', ' Prabyar ',' Telkomsel ',' offer ',' tasty ',' zonk ',' tasty ',' prepaid ',' choose ',' pketan ',' sweet ',' bitter ']</v>
      </c>
      <c r="D21776" s="3">
        <v>1.0</v>
      </c>
    </row>
    <row r="21777" ht="15.75" customHeight="1">
      <c r="A21777" s="1">
        <v>23136.0</v>
      </c>
      <c r="B21777" s="3" t="s">
        <v>2528</v>
      </c>
      <c r="C21777" s="3" t="str">
        <f>IFERROR(__xludf.DUMMYFUNCTION("GOOGLETRANSLATE(B21777,""id"",""en"")"),"['pulse', 'free']")</f>
        <v>['pulse', 'free']</v>
      </c>
      <c r="D21777" s="3">
        <v>5.0</v>
      </c>
    </row>
    <row r="21778" ht="15.75" customHeight="1">
      <c r="A21778" s="1">
        <v>23137.0</v>
      </c>
      <c r="B21778" s="3" t="s">
        <v>20563</v>
      </c>
      <c r="C21778" s="3" t="str">
        <f>IFERROR(__xludf.DUMMYFUNCTION("GOOGLETRANSLATE(B21778,""id"",""en"")"),"['Login', 'May', 'Telkomsel']")</f>
        <v>['Login', 'May', 'Telkomsel']</v>
      </c>
      <c r="D21778" s="3">
        <v>2.0</v>
      </c>
    </row>
    <row r="21779" ht="15.75" customHeight="1">
      <c r="A21779" s="1">
        <v>23138.0</v>
      </c>
      <c r="B21779" s="3" t="s">
        <v>20564</v>
      </c>
      <c r="C21779" s="3" t="str">
        <f>IFERROR(__xludf.DUMMYFUNCTION("GOOGLETRANSLATE(B21779,""id"",""en"")"),"['apk', 'difficult', 'open', 'signal', 'chaotic', '']")</f>
        <v>['apk', 'difficult', 'open', 'signal', 'chaotic', '']</v>
      </c>
      <c r="D21779" s="3">
        <v>3.0</v>
      </c>
    </row>
    <row r="21780" ht="15.75" customHeight="1">
      <c r="A21780" s="1">
        <v>23139.0</v>
      </c>
      <c r="B21780" s="3" t="s">
        <v>20565</v>
      </c>
      <c r="C21780" s="3" t="str">
        <f>IFERROR(__xludf.DUMMYFUNCTION("GOOGLETRANSLATE(B21780,""id"",""en"")"),"['mkasih', 'help']")</f>
        <v>['mkasih', 'help']</v>
      </c>
      <c r="D21780" s="3">
        <v>5.0</v>
      </c>
    </row>
    <row r="21781" ht="15.75" customHeight="1">
      <c r="A21781" s="1">
        <v>23140.0</v>
      </c>
      <c r="B21781" s="3" t="s">
        <v>20566</v>
      </c>
      <c r="C21781" s="3" t="str">
        <f>IFERROR(__xludf.DUMMYFUNCTION("GOOGLETRANSLATE(B21781,""id"",""en"")"),"['Network', 'Telkomsel', 'wrong', 'buy', 'kouta', 'knp', 'lag', 'net']")</f>
        <v>['Network', 'Telkomsel', 'wrong', 'buy', 'kouta', 'knp', 'lag', 'net']</v>
      </c>
      <c r="D21781" s="3">
        <v>1.0</v>
      </c>
    </row>
    <row r="21782" ht="15.75" customHeight="1">
      <c r="A21782" s="1">
        <v>23141.0</v>
      </c>
      <c r="B21782" s="3" t="s">
        <v>20567</v>
      </c>
      <c r="C21782" s="3" t="str">
        <f>IFERROR(__xludf.DUMMYFUNCTION("GOOGLETRANSLATE(B21782,""id"",""en"")"),"['Useful', 'psti', 'tmbh', 'reting', 'boss']")</f>
        <v>['Useful', 'psti', 'tmbh', 'reting', 'boss']</v>
      </c>
      <c r="D21782" s="3">
        <v>3.0</v>
      </c>
    </row>
    <row r="21783" ht="15.75" customHeight="1">
      <c r="A21783" s="1">
        <v>23142.0</v>
      </c>
      <c r="B21783" s="3" t="s">
        <v>20568</v>
      </c>
      <c r="C21783" s="3" t="str">
        <f>IFERROR(__xludf.DUMMYFUNCTION("GOOGLETRANSLATE(B21783,""id"",""en"")"),"['Operator', 'garbage', 'signal', 'difficult', 'already', 'price', 'quota', 'expensive', 'program', 'government', 'up', 'strong', ' Signal ',' ']")</f>
        <v>['Operator', 'garbage', 'signal', 'difficult', 'already', 'price', 'quota', 'expensive', 'program', 'government', 'up', 'strong', ' Signal ',' ']</v>
      </c>
      <c r="D21783" s="3">
        <v>1.0</v>
      </c>
    </row>
    <row r="21784" ht="15.75" customHeight="1">
      <c r="A21784" s="1">
        <v>23143.0</v>
      </c>
      <c r="B21784" s="3" t="s">
        <v>20569</v>
      </c>
      <c r="C21784" s="3" t="str">
        <f>IFERROR(__xludf.DUMMYFUNCTION("GOOGLETRANSLATE(B21784,""id"",""en"")"),"['Enter', 'PDL', 'UDH', 'Login', 'Many', 'Times']")</f>
        <v>['Enter', 'PDL', 'UDH', 'Login', 'Many', 'Times']</v>
      </c>
      <c r="D21784" s="3">
        <v>3.0</v>
      </c>
    </row>
    <row r="21785" ht="15.75" customHeight="1">
      <c r="A21785" s="1">
        <v>23144.0</v>
      </c>
      <c r="B21785" s="3" t="s">
        <v>20570</v>
      </c>
      <c r="C21785" s="3" t="str">
        <f>IFERROR(__xludf.DUMMYFUNCTION("GOOGLETRANSLATE(B21785,""id"",""en"")"),"['Use', 'Telkomsel', 'Network', 'Best', 'Need', 'Accessible', 'Telkomsel', 'Telkomsel']")</f>
        <v>['Use', 'Telkomsel', 'Network', 'Best', 'Need', 'Accessible', 'Telkomsel', 'Telkomsel']</v>
      </c>
      <c r="D21785" s="3">
        <v>5.0</v>
      </c>
    </row>
    <row r="21786" ht="15.75" customHeight="1">
      <c r="A21786" s="1">
        <v>23145.0</v>
      </c>
      <c r="B21786" s="3" t="s">
        <v>20571</v>
      </c>
      <c r="C21786" s="3" t="str">
        <f>IFERROR(__xludf.DUMMYFUNCTION("GOOGLETRANSLATE(B21786,""id"",""en"")"),"['signal', 'caught', 'here', 'December', ""]")</f>
        <v>['signal', 'caught', 'here', 'December', "]</v>
      </c>
      <c r="D21786" s="3">
        <v>1.0</v>
      </c>
    </row>
    <row r="21787" ht="15.75" customHeight="1">
      <c r="A21787" s="1">
        <v>23146.0</v>
      </c>
      <c r="B21787" s="3" t="s">
        <v>20572</v>
      </c>
      <c r="C21787" s="3" t="str">
        <f>IFERROR(__xludf.DUMMYFUNCTION("GOOGLETRANSLATE(B21787,""id"",""en"")"),"['Quality', 'Network', 'Telkomsel', 'Bad', 'Change', 'Signal', 'Full', 'Ngadat', 'Please', 'Fix', 'Postpaid', 'Prioritize', ' Prepaid ',' prioritized ',' ']")</f>
        <v>['Quality', 'Network', 'Telkomsel', 'Bad', 'Change', 'Signal', 'Full', 'Ngadat', 'Please', 'Fix', 'Postpaid', 'Prioritize', ' Prepaid ',' prioritized ',' ']</v>
      </c>
      <c r="D21787" s="3">
        <v>1.0</v>
      </c>
    </row>
    <row r="21788" ht="15.75" customHeight="1">
      <c r="A21788" s="1">
        <v>23147.0</v>
      </c>
      <c r="B21788" s="3" t="s">
        <v>20573</v>
      </c>
      <c r="C21788" s="3" t="str">
        <f>IFERROR(__xludf.DUMMYFUNCTION("GOOGLETRANSLATE(B21788,""id"",""en"")"),"['', 'Telkomsel', 'great']")</f>
        <v>['', 'Telkomsel', 'great']</v>
      </c>
      <c r="D21788" s="3">
        <v>5.0</v>
      </c>
    </row>
    <row r="21789" ht="15.75" customHeight="1">
      <c r="A21789" s="1">
        <v>23148.0</v>
      </c>
      <c r="B21789" s="3" t="s">
        <v>20574</v>
      </c>
      <c r="C21789" s="3" t="str">
        <f>IFERROR(__xludf.DUMMYFUNCTION("GOOGLETRANSLATE(B21789,""id"",""en"")"),"['price', 'increasingly', 'expensive', 'network', 'slow', 'watch', 'tub', 'default', 'game', 'laggg', 'severe', 'work', ' disappointing']")</f>
        <v>['price', 'increasingly', 'expensive', 'network', 'slow', 'watch', 'tub', 'default', 'game', 'laggg', 'severe', 'work', ' disappointing']</v>
      </c>
      <c r="D21789" s="3">
        <v>1.0</v>
      </c>
    </row>
    <row r="21790" ht="15.75" customHeight="1">
      <c r="A21790" s="1">
        <v>23149.0</v>
      </c>
      <c r="B21790" s="3" t="s">
        <v>20575</v>
      </c>
      <c r="C21790" s="3" t="str">
        <f>IFERROR(__xludf.DUMMYFUNCTION("GOOGLETRANSLATE(B21790,""id"",""en"")"),"['Sorry', 'before', 'Dri', 'MyTelkomsel', 'APK', 'Kerllu', 'ugly', 'enter', 'login', 'Please', 'repair', 'customer', ' disappointed']")</f>
        <v>['Sorry', 'before', 'Dri', 'MyTelkomsel', 'APK', 'Kerllu', 'ugly', 'enter', 'login', 'Please', 'repair', 'customer', ' disappointed']</v>
      </c>
      <c r="D21790" s="3">
        <v>1.0</v>
      </c>
    </row>
    <row r="21791" ht="15.75" customHeight="1">
      <c r="A21791" s="1">
        <v>23150.0</v>
      </c>
      <c r="B21791" s="3" t="s">
        <v>20576</v>
      </c>
      <c r="C21791" s="3" t="str">
        <f>IFERROR(__xludf.DUMMYFUNCTION("GOOGLETRANSLATE(B21791,""id"",""en"")"),"['Please', 'Optimize', 'Network', 'As', 'Star', 'Love', 'Optimal', ""]")</f>
        <v>['Please', 'Optimize', 'Network', 'As', 'Star', 'Love', 'Optimal', "]</v>
      </c>
      <c r="D21791" s="3">
        <v>5.0</v>
      </c>
    </row>
    <row r="21792" ht="15.75" customHeight="1">
      <c r="A21792" s="1">
        <v>23151.0</v>
      </c>
      <c r="B21792" s="3" t="s">
        <v>20577</v>
      </c>
      <c r="C21792" s="3" t="str">
        <f>IFERROR(__xludf.DUMMYFUNCTION("GOOGLETRANSLATE(B21792,""id"",""en"")"),"['', 'Telkomsel', 'slow', 'really', 'entered', 'application', 'Telkomsel']")</f>
        <v>['', 'Telkomsel', 'slow', 'really', 'entered', 'application', 'Telkomsel']</v>
      </c>
      <c r="D21792" s="3">
        <v>1.0</v>
      </c>
    </row>
    <row r="21793" ht="15.75" customHeight="1">
      <c r="A21793" s="1">
        <v>23152.0</v>
      </c>
      <c r="B21793" s="3" t="s">
        <v>20578</v>
      </c>
      <c r="C21793" s="3" t="str">
        <f>IFERROR(__xludf.DUMMYFUNCTION("GOOGLETRANSLATE(B21793,""id"",""en"")"),"['slow', 'kntle', 'kek', 'pig']")</f>
        <v>['slow', 'kntle', 'kek', 'pig']</v>
      </c>
      <c r="D21793" s="3">
        <v>1.0</v>
      </c>
    </row>
    <row r="21794" ht="15.75" customHeight="1">
      <c r="A21794" s="1">
        <v>23153.0</v>
      </c>
      <c r="B21794" s="3" t="s">
        <v>20579</v>
      </c>
      <c r="C21794" s="3" t="str">
        <f>IFERROR(__xludf.DUMMYFUNCTION("GOOGLETRANSLATE(B21794,""id"",""en"")"),"['Gimanah', 'chrch', 'iiiin', 'nyaaaaaaaaaaaaaaaaaaah', 'ASTAGAH', 'AKUH', 'LOOK', 'NO'S', '' already ',' Look ',' Astagah ',' Dancoooooooook ',' ']")</f>
        <v>['Gimanah', 'chrch', 'iiiin', 'nyaaaaaaaaaaaaaaaaaaah', 'ASTAGAH', 'AKUH', 'LOOK', 'NO'S', '' already ',' Look ',' Astagah ',' Dancoooooooook ',' ']</v>
      </c>
      <c r="D21794" s="3">
        <v>1.0</v>
      </c>
    </row>
    <row r="21795" ht="15.75" customHeight="1">
      <c r="A21795" s="1">
        <v>23154.0</v>
      </c>
      <c r="B21795" s="3" t="s">
        <v>20580</v>
      </c>
      <c r="C21795" s="3" t="str">
        <f>IFERROR(__xludf.DUMMYFUNCTION("GOOGLETRANSLATE(B21795,""id"",""en"")"),"['APK', 'good', 'help']")</f>
        <v>['APK', 'good', 'help']</v>
      </c>
      <c r="D21795" s="3">
        <v>5.0</v>
      </c>
    </row>
    <row r="21796" ht="15.75" customHeight="1">
      <c r="A21796" s="1">
        <v>23155.0</v>
      </c>
      <c r="B21796" s="3" t="s">
        <v>20581</v>
      </c>
      <c r="C21796" s="3" t="str">
        <f>IFERROR(__xludf.DUMMYFUNCTION("GOOGLETRANSLATE(B21796,""id"",""en"")"),"['Star', 'Suitable', 'Quality', 'Signal', 'Low', 'Credit', 'Suck', 'Data', 'turned off', ""]")</f>
        <v>['Star', 'Suitable', 'Quality', 'Signal', 'Low', 'Credit', 'Suck', 'Data', 'turned off', "]</v>
      </c>
      <c r="D21796" s="3">
        <v>1.0</v>
      </c>
    </row>
    <row r="21797" ht="15.75" customHeight="1">
      <c r="A21797" s="1">
        <v>23156.0</v>
      </c>
      <c r="B21797" s="3" t="s">
        <v>20582</v>
      </c>
      <c r="C21797" s="3" t="str">
        <f>IFERROR(__xludf.DUMMYFUNCTION("GOOGLETRANSLATE(B21797,""id"",""en"")"),"['Bug', 'repaired', 'pulse', 'buy', '']")</f>
        <v>['Bug', 'repaired', 'pulse', 'buy', '']</v>
      </c>
      <c r="D21797" s="3">
        <v>1.0</v>
      </c>
    </row>
    <row r="21798" ht="15.75" customHeight="1">
      <c r="A21798" s="1">
        <v>23157.0</v>
      </c>
      <c r="B21798" s="3" t="s">
        <v>20583</v>
      </c>
      <c r="C21798" s="3" t="str">
        <f>IFERROR(__xludf.DUMMYFUNCTION("GOOGLETRANSLATE(B21798,""id"",""en"")"),"['At the level']")</f>
        <v>['At the level']</v>
      </c>
      <c r="D21798" s="3">
        <v>4.0</v>
      </c>
    </row>
    <row r="21799" ht="15.75" customHeight="1">
      <c r="A21799" s="1">
        <v>23159.0</v>
      </c>
      <c r="B21799" s="3" t="s">
        <v>20584</v>
      </c>
      <c r="C21799" s="3" t="str">
        <f>IFERROR(__xludf.DUMMYFUNCTION("GOOGLETRANSLATE(B21799,""id"",""en"")"),"['application', 'open', 'color', 'white', 'closed', 'download', 'reset']")</f>
        <v>['application', 'open', 'color', 'white', 'closed', 'download', 'reset']</v>
      </c>
      <c r="D21799" s="3">
        <v>3.0</v>
      </c>
    </row>
    <row r="21800" ht="15.75" customHeight="1">
      <c r="A21800" s="1">
        <v>23160.0</v>
      </c>
      <c r="B21800" s="3" t="s">
        <v>20585</v>
      </c>
      <c r="C21800" s="3" t="str">
        <f>IFERROR(__xludf.DUMMYFUNCTION("GOOGLETRANSLATE(B21800,""id"",""en"")"),"['customer', 'loyal', 'Telkomsel', 'buy', 'package', 'combo', 'Sakti', 'max', 'watch', 'Disney', 'quota', 'main', ' reduced ',' blind ',' yaa ',' printed ',' subscription ',' Disney ',' hotstar ',' quota ',' main ',' NOT ',' corruption ',' yaa ',' mafia '"&amp;" , 'crazy', 'money', 'just', 'Indonesia', 'mafia', 'nest', 'biggest', 'mafia', 'support', 'Indonesia', 'law', 'Indonesia', ' Beautiful ',' Life ',' Mafia ',' Indonesia ',' Halal ']")</f>
        <v>['customer', 'loyal', 'Telkomsel', 'buy', 'package', 'combo', 'Sakti', 'max', 'watch', 'Disney', 'quota', 'main', ' reduced ',' blind ',' yaa ',' printed ',' subscription ',' Disney ',' hotstar ',' quota ',' main ',' NOT ',' corruption ',' yaa ',' mafia ' , 'crazy', 'money', 'just', 'Indonesia', 'mafia', 'nest', 'biggest', 'mafia', 'support', 'Indonesia', 'law', 'Indonesia', ' Beautiful ',' Life ',' Mafia ',' Indonesia ',' Halal ']</v>
      </c>
      <c r="D21800" s="3">
        <v>1.0</v>
      </c>
    </row>
    <row r="21801" ht="15.75" customHeight="1">
      <c r="A21801" s="1">
        <v>23161.0</v>
      </c>
      <c r="B21801" s="3" t="s">
        <v>20586</v>
      </c>
      <c r="C21801" s="3" t="str">
        <f>IFERROR(__xludf.DUMMYFUNCTION("GOOGLETRANSLATE(B21801,""id"",""en"")"),"['Agree', 'Package', 'Emergency']")</f>
        <v>['Agree', 'Package', 'Emergency']</v>
      </c>
      <c r="D21801" s="3">
        <v>1.0</v>
      </c>
    </row>
    <row r="21802" ht="15.75" customHeight="1">
      <c r="A21802" s="1">
        <v>23162.0</v>
      </c>
      <c r="B21802" s="3" t="s">
        <v>20587</v>
      </c>
      <c r="C21802" s="3" t="str">
        <f>IFERROR(__xludf.DUMMYFUNCTION("GOOGLETRANSLATE(B21802,""id"",""en"")"),"['Connected', 'Internet', 'ProvDR']")</f>
        <v>['Connected', 'Internet', 'ProvDR']</v>
      </c>
      <c r="D21802" s="3">
        <v>1.0</v>
      </c>
    </row>
    <row r="21803" ht="15.75" customHeight="1">
      <c r="A21803" s="1">
        <v>23163.0</v>
      </c>
      <c r="B21803" s="3" t="s">
        <v>20588</v>
      </c>
      <c r="C21803" s="3" t="str">
        <f>IFERROR(__xludf.DUMMYFUNCTION("GOOGLETRANSLATE(B21803,""id"",""en"")"),"['wkwkwkkk', 'plump', 'rating', 'star', 'love', 'because' bad ',' already ',' esmosi ',' the network ', ""]")</f>
        <v>['wkwkwkkk', 'plump', 'rating', 'star', 'love', 'because' bad ',' already ',' esmosi ',' the network ', "]</v>
      </c>
      <c r="D21803" s="3">
        <v>1.0</v>
      </c>
    </row>
    <row r="21804" ht="15.75" customHeight="1">
      <c r="A21804" s="1">
        <v>23164.0</v>
      </c>
      <c r="B21804" s="3" t="s">
        <v>20589</v>
      </c>
      <c r="C21804" s="3" t="str">
        <f>IFERROR(__xludf.DUMMYFUNCTION("GOOGLETRANSLATE(B21804,""id"",""en"")"),"['APK', 'SNGAT', 'Good', 'SAA', 'CRET', 'Bintang', 'Karna', 'APK', 'Good', 'Filling', 'Package', 'Easy', ' fast']")</f>
        <v>['APK', 'SNGAT', 'Good', 'SAA', 'CRET', 'Bintang', 'Karna', 'APK', 'Good', 'Filling', 'Package', 'Easy', ' fast']</v>
      </c>
      <c r="D21804" s="3">
        <v>5.0</v>
      </c>
    </row>
    <row r="21805" ht="15.75" customHeight="1">
      <c r="A21805" s="1">
        <v>23165.0</v>
      </c>
      <c r="B21805" s="3" t="s">
        <v>20590</v>
      </c>
      <c r="C21805" s="3" t="str">
        <f>IFERROR(__xludf.DUMMYFUNCTION("GOOGLETRANSLATE(B21805,""id"",""en"")"),"['GPP', 'price', 'open', 'application', 'ngebleng', 'application', 'rich', 'gini', 'heavy', 'gensin', 'inflacts', 'busyeet']")</f>
        <v>['GPP', 'price', 'open', 'application', 'ngebleng', 'application', 'rich', 'gini', 'heavy', 'gensin', 'inflacts', 'busyeet']</v>
      </c>
      <c r="D21805" s="3">
        <v>1.0</v>
      </c>
    </row>
    <row r="21806" ht="15.75" customHeight="1">
      <c r="A21806" s="1">
        <v>23166.0</v>
      </c>
      <c r="B21806" s="3" t="s">
        <v>20591</v>
      </c>
      <c r="C21806" s="3" t="str">
        <f>IFERROR(__xludf.DUMMYFUNCTION("GOOGLETRANSLATE(B21806,""id"",""en"")"),"['Severe', 'Update', 'Opened']")</f>
        <v>['Severe', 'Update', 'Opened']</v>
      </c>
      <c r="D21806" s="3">
        <v>1.0</v>
      </c>
    </row>
    <row r="21807" ht="15.75" customHeight="1">
      <c r="A21807" s="1">
        <v>23167.0</v>
      </c>
      <c r="B21807" s="3" t="s">
        <v>20592</v>
      </c>
      <c r="C21807" s="3" t="str">
        <f>IFERROR(__xludf.DUMMYFUNCTION("GOOGLETRANSLATE(B21807,""id"",""en"")"),"['Quality', 'Network', 'Information', 'ambiguous']")</f>
        <v>['Quality', 'Network', 'Information', 'ambiguous']</v>
      </c>
      <c r="D21807" s="3">
        <v>1.0</v>
      </c>
    </row>
    <row r="21808" ht="15.75" customHeight="1">
      <c r="A21808" s="1">
        <v>23168.0</v>
      </c>
      <c r="B21808" s="3" t="s">
        <v>20593</v>
      </c>
      <c r="C21808" s="3" t="str">
        <f>IFERROR(__xludf.DUMMYFUNCTION("GOOGLETRANSLATE(B21808,""id"",""en"")"),"['easy', 'smooth', 'Where', '']")</f>
        <v>['easy', 'smooth', 'Where', '']</v>
      </c>
      <c r="D21808" s="3">
        <v>5.0</v>
      </c>
    </row>
    <row r="21809" ht="15.75" customHeight="1">
      <c r="A21809" s="1">
        <v>23169.0</v>
      </c>
      <c r="B21809" s="3" t="s">
        <v>20594</v>
      </c>
      <c r="C21809" s="3" t="str">
        <f>IFERROR(__xludf.DUMMYFUNCTION("GOOGLETRANSLATE(B21809,""id"",""en"")"),"['application', 'signal', 'good', 'darling', 'klau', 'internet', 'run out', 'pulses',' direct ',' truncated ',' application ',' Telkomsel ',' his name ',' sharing ',' internet ',' intenet ',' operator ',' operator ',' my advice ',' please ',' the applicat"&amp;"ion ',' repaired ',' users', 'happy', 'thank' , 'love', '']")</f>
        <v>['application', 'signal', 'good', 'darling', 'klau', 'internet', 'run out', 'pulses',' direct ',' truncated ',' application ',' Telkomsel ',' his name ',' sharing ',' internet ',' intenet ',' operator ',' operator ',' my advice ',' please ',' the application ',' repaired ',' users', 'happy', 'thank' , 'love', '']</v>
      </c>
      <c r="D21809" s="3">
        <v>4.0</v>
      </c>
    </row>
    <row r="21810" ht="15.75" customHeight="1">
      <c r="A21810" s="1">
        <v>23170.0</v>
      </c>
      <c r="B21810" s="3" t="s">
        <v>20595</v>
      </c>
      <c r="C21810" s="3" t="str">
        <f>IFERROR(__xludf.DUMMYFUNCTION("GOOGLETRANSLATE(B21810,""id"",""en"")"),"['It seems', 'help']")</f>
        <v>['It seems', 'help']</v>
      </c>
      <c r="D21810" s="3">
        <v>4.0</v>
      </c>
    </row>
    <row r="21811" ht="15.75" customHeight="1">
      <c r="A21811" s="1">
        <v>23171.0</v>
      </c>
      <c r="B21811" s="3" t="s">
        <v>20596</v>
      </c>
      <c r="C21811" s="3" t="str">
        <f>IFERROR(__xludf.DUMMYFUNCTION("GOOGLETRANSLATE(B21811,""id"",""en"")"),"['Help', 'Purchase']")</f>
        <v>['Help', 'Purchase']</v>
      </c>
      <c r="D21811" s="3">
        <v>4.0</v>
      </c>
    </row>
    <row r="21812" ht="15.75" customHeight="1">
      <c r="A21812" s="1">
        <v>23172.0</v>
      </c>
      <c r="B21812" s="3" t="s">
        <v>20597</v>
      </c>
      <c r="C21812" s="3" t="str">
        <f>IFERROR(__xludf.DUMMYFUNCTION("GOOGLETRANSLATE(B21812,""id"",""en"")"),"['knapa', 'Open', 'Telkomsel', '']")</f>
        <v>['knapa', 'Open', 'Telkomsel', '']</v>
      </c>
      <c r="D21812" s="3">
        <v>1.0</v>
      </c>
    </row>
    <row r="21813" ht="15.75" customHeight="1">
      <c r="A21813" s="1">
        <v>23173.0</v>
      </c>
      <c r="B21813" s="3" t="s">
        <v>20598</v>
      </c>
      <c r="C21813" s="3" t="str">
        <f>IFERROR(__xludf.DUMMYFUNCTION("GOOGLETRANSLATE(B21813,""id"",""en"")"),"['Try', 'Telkomsel', 'package', 'intenet', 'expensive', 'quota']")</f>
        <v>['Try', 'Telkomsel', 'package', 'intenet', 'expensive', 'quota']</v>
      </c>
      <c r="D21813" s="3">
        <v>4.0</v>
      </c>
    </row>
    <row r="21814" ht="15.75" customHeight="1">
      <c r="A21814" s="1">
        <v>23174.0</v>
      </c>
      <c r="B21814" s="3" t="s">
        <v>20599</v>
      </c>
      <c r="C21814" s="3" t="str">
        <f>IFERROR(__xludf.DUMMYFUNCTION("GOOGLETRANSLATE(B21814,""id"",""en"")"),"['already', 'package', 'expensive', 'signal', 'kayak', 'gini', 'entry', 'sense']")</f>
        <v>['already', 'package', 'expensive', 'signal', 'kayak', 'gini', 'entry', 'sense']</v>
      </c>
      <c r="D21814" s="3">
        <v>1.0</v>
      </c>
    </row>
    <row r="21815" ht="15.75" customHeight="1">
      <c r="A21815" s="1">
        <v>23176.0</v>
      </c>
      <c r="B21815" s="3" t="s">
        <v>20600</v>
      </c>
      <c r="C21815" s="3" t="str">
        <f>IFERROR(__xludf.DUMMYFUNCTION("GOOGLETRANSLATE(B21815,""id"",""en"")"),"['Please', 'Increase', 'Quality', 'Network', 'Internet', '']")</f>
        <v>['Please', 'Increase', 'Quality', 'Network', 'Internet', '']</v>
      </c>
      <c r="D21815" s="3">
        <v>4.0</v>
      </c>
    </row>
    <row r="21816" ht="15.75" customHeight="1">
      <c r="A21816" s="1">
        <v>23177.0</v>
      </c>
      <c r="B21816" s="3" t="s">
        <v>20601</v>
      </c>
      <c r="C21816" s="3" t="str">
        <f>IFERROR(__xludf.DUMMYFUNCTION("GOOGLETRANSLATE(B21816,""id"",""en"")"),"['room', 'closed', 'meeting', 'access', 'suvarna', 'silk']")</f>
        <v>['room', 'closed', 'meeting', 'access', 'suvarna', 'silk']</v>
      </c>
      <c r="D21816" s="3">
        <v>3.0</v>
      </c>
    </row>
    <row r="21817" ht="15.75" customHeight="1">
      <c r="A21817" s="1">
        <v>23178.0</v>
      </c>
      <c r="B21817" s="3" t="s">
        <v>20602</v>
      </c>
      <c r="C21817" s="3" t="str">
        <f>IFERROR(__xludf.DUMMYFUNCTION("GOOGLETRANSLATE(B21817,""id"",""en"")"),"['Mantab', 'like']")</f>
        <v>['Mantab', 'like']</v>
      </c>
      <c r="D21817" s="3">
        <v>5.0</v>
      </c>
    </row>
    <row r="21818" ht="15.75" customHeight="1">
      <c r="A21818" s="1">
        <v>23179.0</v>
      </c>
      <c r="B21818" s="3" t="s">
        <v>20603</v>
      </c>
      <c r="C21818" s="3" t="str">
        <f>IFERROR(__xludf.DUMMYFUNCTION("GOOGLETRANSLATE(B21818,""id"",""en"")"),"['Good', 'service', 'fast']")</f>
        <v>['Good', 'service', 'fast']</v>
      </c>
      <c r="D21818" s="3">
        <v>5.0</v>
      </c>
    </row>
    <row r="21819" ht="15.75" customHeight="1">
      <c r="A21819" s="1">
        <v>23180.0</v>
      </c>
      <c r="B21819" s="3" t="s">
        <v>20604</v>
      </c>
      <c r="C21819" s="3" t="str">
        <f>IFERROR(__xludf.DUMMYFUNCTION("GOOGLETRANSLATE(B21819,""id"",""en"")"),"['buy', 'package', 'Aktiv', 'resignation', 'gabisa', 'direct', '']")</f>
        <v>['buy', 'package', 'Aktiv', 'resignation', 'gabisa', 'direct', '']</v>
      </c>
      <c r="D21819" s="3">
        <v>1.0</v>
      </c>
    </row>
    <row r="21820" ht="15.75" customHeight="1">
      <c r="A21820" s="1">
        <v>23182.0</v>
      </c>
      <c r="B21820" s="3" t="s">
        <v>20605</v>
      </c>
      <c r="C21820" s="3" t="str">
        <f>IFERROR(__xludf.DUMMYFUNCTION("GOOGLETRANSLATE(B21820,""id"",""en"")"),"['Hope', 'Slalu', 'Success', 'In the future']")</f>
        <v>['Hope', 'Slalu', 'Success', 'In the future']</v>
      </c>
      <c r="D21820" s="3">
        <v>5.0</v>
      </c>
    </row>
    <row r="21821" ht="15.75" customHeight="1">
      <c r="A21821" s="1">
        <v>23183.0</v>
      </c>
      <c r="B21821" s="3" t="s">
        <v>20606</v>
      </c>
      <c r="C21821" s="3" t="str">
        <f>IFERROR(__xludf.DUMMYFUNCTION("GOOGLETRANSLATE(B21821,""id"",""en"")"),"['already', 'login', 'until', 'prize', 'missing', 'kimakkkk', 'application', 'ngak']")</f>
        <v>['already', 'login', 'until', 'prize', 'missing', 'kimakkkk', 'application', 'ngak']</v>
      </c>
      <c r="D21821" s="3">
        <v>1.0</v>
      </c>
    </row>
    <row r="21822" ht="15.75" customHeight="1">
      <c r="A21822" s="1">
        <v>23184.0</v>
      </c>
      <c r="B21822" s="3" t="s">
        <v>20607</v>
      </c>
      <c r="C21822" s="3" t="str">
        <f>IFERROR(__xludf.DUMMYFUNCTION("GOOGLETRANSLATE(B21822,""id"",""en"")"),"['difficult', 'access', 'package', 'number', 'Different', ""]")</f>
        <v>['difficult', 'access', 'package', 'number', 'Different', "]</v>
      </c>
      <c r="D21822" s="3">
        <v>2.0</v>
      </c>
    </row>
    <row r="21823" ht="15.75" customHeight="1">
      <c r="A21823" s="1">
        <v>23185.0</v>
      </c>
      <c r="B21823" s="3" t="s">
        <v>20608</v>
      </c>
      <c r="C21823" s="3" t="str">
        <f>IFERROR(__xludf.DUMMYFUNCTION("GOOGLETRANSLATE(B21823,""id"",""en"")"),"['loading', 'pulse', 'regular', 'fast', 'reduced']")</f>
        <v>['loading', 'pulse', 'regular', 'fast', 'reduced']</v>
      </c>
      <c r="D21823" s="3">
        <v>4.0</v>
      </c>
    </row>
    <row r="21824" ht="15.75" customHeight="1">
      <c r="A21824" s="1">
        <v>23186.0</v>
      </c>
      <c r="B21824" s="3" t="s">
        <v>20609</v>
      </c>
      <c r="C21824" s="3" t="str">
        <f>IFERROR(__xludf.DUMMYFUNCTION("GOOGLETRANSLATE(B21824,""id"",""en"")"),"['Telkomsel', 'KePsih', 'smooth', 'right', 'play', 'like', 'NGLEG', 'how', 'Disturbs', 'people', 'play', ""]")</f>
        <v>['Telkomsel', 'KePsih', 'smooth', 'right', 'play', 'like', 'NGLEG', 'how', 'Disturbs', 'people', 'play', "]</v>
      </c>
      <c r="D21824" s="3">
        <v>1.0</v>
      </c>
    </row>
    <row r="21825" ht="15.75" customHeight="1">
      <c r="A21825" s="1">
        <v>23187.0</v>
      </c>
      <c r="B21825" s="3" t="s">
        <v>20610</v>
      </c>
      <c r="C21825" s="3" t="str">
        <f>IFERROR(__xludf.DUMMYFUNCTION("GOOGLETRANSLATE(B21825,""id"",""en"")"),"['Badkkkk', 'already', 'login', 'entry', 'difficult', 'many', 'times', 'tried', 'failed', ""]")</f>
        <v>['Badkkkk', 'already', 'login', 'entry', 'difficult', 'many', 'times', 'tried', 'failed', "]</v>
      </c>
      <c r="D21825" s="3">
        <v>1.0</v>
      </c>
    </row>
    <row r="21826" ht="15.75" customHeight="1">
      <c r="A21826" s="1">
        <v>23188.0</v>
      </c>
      <c r="B21826" s="3" t="s">
        <v>20611</v>
      </c>
      <c r="C21826" s="3" t="str">
        <f>IFERROR(__xludf.DUMMYFUNCTION("GOOGLETRANSLATE(B21826,""id"",""en"")"),"['update', 'opened', 'blank', 'color', 'white', '']")</f>
        <v>['update', 'opened', 'blank', 'color', 'white', '']</v>
      </c>
      <c r="D21826" s="3">
        <v>1.0</v>
      </c>
    </row>
    <row r="21827" ht="15.75" customHeight="1">
      <c r="A21827" s="1">
        <v>23189.0</v>
      </c>
      <c r="B21827" s="3" t="s">
        <v>20612</v>
      </c>
      <c r="C21827" s="3" t="str">
        <f>IFERROR(__xludf.DUMMYFUNCTION("GOOGLETRANSLATE(B21827,""id"",""en"")"),"['buy', 'pulse', 'buy', 'package', 'for', 'right', 'open', 'Telkomsel', 'buy', 'package', 'right', 'check', ' pulses', 'already', 'chips',' data ',' open ',' app ',' dancok ',' mouth ',' ']")</f>
        <v>['buy', 'pulse', 'buy', 'package', 'for', 'right', 'open', 'Telkomsel', 'buy', 'package', 'right', 'check', ' pulses', 'already', 'chips',' data ',' open ',' app ',' dancok ',' mouth ',' ']</v>
      </c>
      <c r="D21827" s="3">
        <v>2.0</v>
      </c>
    </row>
    <row r="21828" ht="15.75" customHeight="1">
      <c r="A21828" s="1">
        <v>23190.0</v>
      </c>
      <c r="B21828" s="3" t="s">
        <v>20613</v>
      </c>
      <c r="C21828" s="3" t="str">
        <f>IFERROR(__xludf.DUMMYFUNCTION("GOOGLETRANSLATE(B21828,""id"",""en"")"),"['Gabisa', 'opened', 'The application', 'Dri', 'Yesterday', 'Best', 'emang', ""]")</f>
        <v>['Gabisa', 'opened', 'The application', 'Dri', 'Yesterday', 'Best', 'emang', "]</v>
      </c>
      <c r="D21828" s="3">
        <v>1.0</v>
      </c>
    </row>
    <row r="21829" ht="15.75" customHeight="1">
      <c r="A21829" s="1">
        <v>23191.0</v>
      </c>
      <c r="B21829" s="3" t="s">
        <v>20614</v>
      </c>
      <c r="C21829" s="3" t="str">
        <f>IFERROR(__xludf.DUMMYFUNCTION("GOOGLETRANSLATE(B21829,""id"",""en"")"),"['Log', '']")</f>
        <v>['Log', '']</v>
      </c>
      <c r="D21829" s="3">
        <v>3.0</v>
      </c>
    </row>
    <row r="21830" ht="15.75" customHeight="1">
      <c r="A21830" s="1">
        <v>23193.0</v>
      </c>
      <c r="B21830" s="3" t="s">
        <v>20615</v>
      </c>
      <c r="C21830" s="3" t="str">
        <f>IFERROR(__xludf.DUMMYFUNCTION("GOOGLETRANSLATE(B21830,""id"",""en"")"),"['signal', 'slow', 'slow', 'Telkomsel', ""]")</f>
        <v>['signal', 'slow', 'slow', 'Telkomsel', "]</v>
      </c>
      <c r="D21830" s="3">
        <v>3.0</v>
      </c>
    </row>
    <row r="21831" ht="15.75" customHeight="1">
      <c r="A21831" s="1">
        <v>23194.0</v>
      </c>
      <c r="B21831" s="3" t="s">
        <v>20616</v>
      </c>
      <c r="C21831" s="3" t="str">
        <f>IFERROR(__xludf.DUMMYFUNCTION("GOOGLETRANSLATE(B21831,""id"",""en"")"),"['Application', 'Good', 'Package', 'Internet', 'Inverted', 'Free', 'Internet', 'GB', 'A month', ""]")</f>
        <v>['Application', 'Good', 'Package', 'Internet', 'Inverted', 'Free', 'Internet', 'GB', 'A month', "]</v>
      </c>
      <c r="D21831" s="3">
        <v>5.0</v>
      </c>
    </row>
    <row r="21832" ht="15.75" customHeight="1">
      <c r="A21832" s="1">
        <v>23195.0</v>
      </c>
      <c r="B21832" s="3" t="s">
        <v>20617</v>
      </c>
      <c r="C21832" s="3" t="str">
        <f>IFERROR(__xludf.DUMMYFUNCTION("GOOGLETRANSLATE(B21832,""id"",""en"")"),"['Ngellag', 'forgiveness', '']")</f>
        <v>['Ngellag', 'forgiveness', '']</v>
      </c>
      <c r="D21832" s="3">
        <v>1.0</v>
      </c>
    </row>
    <row r="21833" ht="15.75" customHeight="1">
      <c r="A21833" s="1">
        <v>23196.0</v>
      </c>
      <c r="B21833" s="3" t="s">
        <v>20618</v>
      </c>
      <c r="C21833" s="3" t="str">
        <f>IFERROR(__xludf.DUMMYFUNCTION("GOOGLETRANSLATE(B21833,""id"",""en"")"),"['expensive', 'slow', 'network', 'price', 'dripping']")</f>
        <v>['expensive', 'slow', 'network', 'price', 'dripping']</v>
      </c>
      <c r="D21833" s="3">
        <v>2.0</v>
      </c>
    </row>
    <row r="21834" ht="15.75" customHeight="1">
      <c r="A21834" s="1">
        <v>23197.0</v>
      </c>
      <c r="B21834" s="3" t="s">
        <v>20619</v>
      </c>
      <c r="C21834" s="3" t="str">
        <f>IFERROR(__xludf.DUMMYFUNCTION("GOOGLETRANSLATE(B21834,""id"",""en"")"),"['Satisfied', 'Service']")</f>
        <v>['Satisfied', 'Service']</v>
      </c>
      <c r="D21834" s="3">
        <v>1.0</v>
      </c>
    </row>
    <row r="21835" ht="15.75" customHeight="1">
      <c r="A21835" s="1">
        <v>23198.0</v>
      </c>
      <c r="B21835" s="3" t="s">
        <v>20620</v>
      </c>
      <c r="C21835" s="3" t="str">
        <f>IFERROR(__xludf.DUMMYFUNCTION("GOOGLETRANSLATE(B21835,""id"",""en"")"),"['application', 'parahhh', 'upgrade', 'likes',' like ',' log ',' out ',' open ',' slow ',' naudzubillah ',' chaotic ',' mending ',' uninstall ',' deh ',' it seems']")</f>
        <v>['application', 'parahhh', 'upgrade', 'likes',' like ',' log ',' out ',' open ',' slow ',' naudzubillah ',' chaotic ',' mending ',' uninstall ',' deh ',' it seems']</v>
      </c>
      <c r="D21835" s="3">
        <v>2.0</v>
      </c>
    </row>
    <row r="21836" ht="15.75" customHeight="1">
      <c r="A21836" s="1">
        <v>23199.0</v>
      </c>
      <c r="B21836" s="3" t="s">
        <v>20621</v>
      </c>
      <c r="C21836" s="3" t="str">
        <f>IFERROR(__xludf.DUMMYFUNCTION("GOOGLETRANSLATE(B21836,""id"",""en"")"),"['application', 'walk', 'open', 'white', 'login', 'pdhl', 'number', 'child', 'situ', 'child', 'cottage', 'clock', ' imo ',' number ',' telkomsel ',' login ',' sll ',' info ',' mistake ',' mending ',' closed ',' application ',' application ',' error ']")</f>
        <v>['application', 'walk', 'open', 'white', 'login', 'pdhl', 'number', 'child', 'situ', 'child', 'cottage', 'clock', ' imo ',' number ',' telkomsel ',' login ',' sll ',' info ',' mistake ',' mending ',' closed ',' application ',' application ',' error ']</v>
      </c>
      <c r="D21836" s="3">
        <v>1.0</v>
      </c>
    </row>
    <row r="21837" ht="15.75" customHeight="1">
      <c r="A21837" s="1">
        <v>23200.0</v>
      </c>
      <c r="B21837" s="3" t="s">
        <v>20622</v>
      </c>
      <c r="C21837" s="3" t="str">
        <f>IFERROR(__xludf.DUMMYFUNCTION("GOOGLETRANSLATE(B21837,""id"",""en"")"),"['application', 'SKR', 'slow', 'difficult', 'opened', '']")</f>
        <v>['application', 'SKR', 'slow', 'difficult', 'opened', '']</v>
      </c>
      <c r="D21837" s="3">
        <v>1.0</v>
      </c>
    </row>
    <row r="21838" ht="15.75" customHeight="1">
      <c r="A21838" s="1">
        <v>23202.0</v>
      </c>
      <c r="B21838" s="3" t="s">
        <v>20623</v>
      </c>
      <c r="C21838" s="3" t="str">
        <f>IFERROR(__xludf.DUMMYFUNCTION("GOOGLETRANSLATE(B21838,""id"",""en"")"),"['Abis', 'buy', 'Package', 'Telkomsel', 'buy', 'MyTelkomsel', 'appears', 'trolley', 'buy', 'package', 'because' amplication ',' MyTelkomsel ',' Delete ',' Download ',' Log ',' Error ',' SMS ',' Verification ',' Log ',' Enter ',' Mistake ',' Buy ',' Packag"&amp;"e ',' already ' , 'reply', 'congratulations', 'package', 'succeed', 'buy', 'try', 'youtube', 'google', 'open', 'what']")</f>
        <v>['Abis', 'buy', 'Package', 'Telkomsel', 'buy', 'MyTelkomsel', 'appears', 'trolley', 'buy', 'package', 'because' amplication ',' MyTelkomsel ',' Delete ',' Download ',' Log ',' Error ',' SMS ',' Verification ',' Log ',' Enter ',' Mistake ',' Buy ',' Package ',' already ' , 'reply', 'congratulations', 'package', 'succeed', 'buy', 'try', 'youtube', 'google', 'open', 'what']</v>
      </c>
      <c r="D21838" s="3">
        <v>1.0</v>
      </c>
    </row>
    <row r="21839" ht="15.75" customHeight="1">
      <c r="A21839" s="1">
        <v>23203.0</v>
      </c>
      <c r="B21839" s="3" t="s">
        <v>20624</v>
      </c>
      <c r="C21839" s="3" t="str">
        <f>IFERROR(__xludf.DUMMYFUNCTION("GOOGLETRANSLATE(B21839,""id"",""en"")"),"['Mass',' surprised ',' login ',' Rada ',' Nge ',' lag ',' that's', 'network', 'kah', 'application', 'kah', 'but', ' yahh ',' the application ',' help ',' times', '']")</f>
        <v>['Mass',' surprised ',' login ',' Rada ',' Nge ',' lag ',' that's', 'network', 'kah', 'application', 'kah', 'but', ' yahh ',' the application ',' help ',' times', '']</v>
      </c>
      <c r="D21839" s="3">
        <v>3.0</v>
      </c>
    </row>
    <row r="21840" ht="15.75" customHeight="1">
      <c r="A21840" s="1">
        <v>23204.0</v>
      </c>
      <c r="B21840" s="3" t="s">
        <v>20625</v>
      </c>
      <c r="C21840" s="3" t="str">
        <f>IFERROR(__xludf.DUMMYFUNCTION("GOOGLETRANSLATE(B21840,""id"",""en"")"),"['Application', 'Good', 'Help', 'Purchase', 'Package', 'Internet', 'Anyway', 'No', 'Rugilah', 'Make', 'Application', 'Telkomsel']")</f>
        <v>['Application', 'Good', 'Help', 'Purchase', 'Package', 'Internet', 'Anyway', 'No', 'Rugilah', 'Make', 'Application', 'Telkomsel']</v>
      </c>
      <c r="D21840" s="3">
        <v>4.0</v>
      </c>
    </row>
    <row r="21841" ht="15.75" customHeight="1">
      <c r="A21841" s="1">
        <v>23205.0</v>
      </c>
      <c r="B21841" s="3" t="s">
        <v>20626</v>
      </c>
      <c r="C21841" s="3" t="str">
        <f>IFERROR(__xludf.DUMMYFUNCTION("GOOGLETRANSLATE(B21841,""id"",""en"")"),"['Good', 'app', 'hope', 'signal', 'slalu', 'bgus', '']")</f>
        <v>['Good', 'app', 'hope', 'signal', 'slalu', 'bgus', '']</v>
      </c>
      <c r="D21841" s="3">
        <v>4.0</v>
      </c>
    </row>
    <row r="21842" ht="15.75" customHeight="1">
      <c r="A21842" s="1">
        <v>23206.0</v>
      </c>
      <c r="B21842" s="3" t="s">
        <v>20627</v>
      </c>
      <c r="C21842" s="3" t="str">
        <f>IFERROR(__xludf.DUMMYFUNCTION("GOOGLETRANSLATE(B21842,""id"",""en"")"),"['menu', 'daily', 'check', 'missing', 'claim', 'gift', '']")</f>
        <v>['menu', 'daily', 'check', 'missing', 'claim', 'gift', '']</v>
      </c>
      <c r="D21842" s="3">
        <v>4.0</v>
      </c>
    </row>
    <row r="21843" ht="15.75" customHeight="1">
      <c r="A21843" s="1">
        <v>23207.0</v>
      </c>
      <c r="B21843" s="3" t="s">
        <v>20628</v>
      </c>
      <c r="C21843" s="3" t="str">
        <f>IFERROR(__xludf.DUMMYFUNCTION("GOOGLETRANSLATE(B21843,""id"",""en"")"),"['Loading', 'Application', 'Error', '']")</f>
        <v>['Loading', 'Application', 'Error', '']</v>
      </c>
      <c r="D21843" s="3">
        <v>2.0</v>
      </c>
    </row>
    <row r="21844" ht="15.75" customHeight="1">
      <c r="A21844" s="1">
        <v>23208.0</v>
      </c>
      <c r="B21844" s="3" t="s">
        <v>20629</v>
      </c>
      <c r="C21844" s="3" t="str">
        <f>IFERROR(__xludf.DUMMYFUNCTION("GOOGLETRANSLATE(B21844,""id"",""en"")"),"['Date', 'Nov', 'Telkomsel', 'Open', 'Register', 'Package', 'Difficult', 'Customer', 'Faithful', 'Telkomsel', 'Please', 'Action', ' Services', 'bad', '']")</f>
        <v>['Date', 'Nov', 'Telkomsel', 'Open', 'Register', 'Package', 'Difficult', 'Customer', 'Faithful', 'Telkomsel', 'Please', 'Action', ' Services', 'bad', '']</v>
      </c>
      <c r="D21844" s="3">
        <v>1.0</v>
      </c>
    </row>
    <row r="21845" ht="15.75" customHeight="1">
      <c r="A21845" s="1">
        <v>23209.0</v>
      </c>
      <c r="B21845" s="3" t="s">
        <v>20630</v>
      </c>
      <c r="C21845" s="3" t="str">
        <f>IFERROR(__xludf.DUMMYFUNCTION("GOOGLETRANSLATE(B21845,""id"",""en"")"),"['customer', 'loyal', 'Telkomsel', 'Merauke', 'Papua', 'Telkomsel', 'accessed', 'service', 'satisfying', 'contents',' package ',' emergency ',' Enter ',' pulse ',' cut ',' notification ',' complain ',' slow ',' response ',' help ', ""]")</f>
        <v>['customer', 'loyal', 'Telkomsel', 'Merauke', 'Papua', 'Telkomsel', 'accessed', 'service', 'satisfying', 'contents',' package ',' emergency ',' Enter ',' pulse ',' cut ',' notification ',' complain ',' slow ',' response ',' help ', "]</v>
      </c>
      <c r="D21845" s="3">
        <v>1.0</v>
      </c>
    </row>
    <row r="21846" ht="15.75" customHeight="1">
      <c r="A21846" s="1">
        <v>23210.0</v>
      </c>
      <c r="B21846" s="3" t="s">
        <v>20631</v>
      </c>
      <c r="C21846" s="3" t="str">
        <f>IFERROR(__xludf.DUMMYFUNCTION("GOOGLETRANSLATE(B21846,""id"",""en"")"),"['loss', 'use', 'run out', '']")</f>
        <v>['loss', 'use', 'run out', '']</v>
      </c>
      <c r="D21846" s="3">
        <v>1.0</v>
      </c>
    </row>
    <row r="21847" ht="15.75" customHeight="1">
      <c r="A21847" s="1">
        <v>23211.0</v>
      </c>
      <c r="B21847" s="3" t="s">
        <v>20632</v>
      </c>
      <c r="C21847" s="3" t="str">
        <f>IFERROR(__xludf.DUMMYFUNCTION("GOOGLETRANSLATE(B21847,""id"",""en"")"),"['Good', 'petling', 'lais', 'muba', 'use', 'card', 'kart', 'telkomsel']")</f>
        <v>['Good', 'petling', 'lais', 'muba', 'use', 'card', 'kart', 'telkomsel']</v>
      </c>
      <c r="D21847" s="3">
        <v>2.0</v>
      </c>
    </row>
    <row r="21848" ht="15.75" customHeight="1">
      <c r="A21848" s="1">
        <v>23212.0</v>
      </c>
      <c r="B21848" s="3" t="s">
        <v>20633</v>
      </c>
      <c r="C21848" s="3" t="str">
        <f>IFERROR(__xludf.DUMMYFUNCTION("GOOGLETRANSLATE(B21848,""id"",""en"")"),"['steady', 'easy', 'save']")</f>
        <v>['steady', 'easy', 'save']</v>
      </c>
      <c r="D21848" s="3">
        <v>5.0</v>
      </c>
    </row>
    <row r="21849" ht="15.75" customHeight="1">
      <c r="A21849" s="1">
        <v>23213.0</v>
      </c>
      <c r="B21849" s="3" t="s">
        <v>471</v>
      </c>
      <c r="C21849" s="3" t="str">
        <f>IFERROR(__xludf.DUMMYFUNCTION("GOOGLETRANSLATE(B21849,""id"",""en"")"),"['']")</f>
        <v>['']</v>
      </c>
      <c r="D21849" s="3">
        <v>5.0</v>
      </c>
    </row>
    <row r="21850" ht="15.75" customHeight="1">
      <c r="A21850" s="1">
        <v>23214.0</v>
      </c>
      <c r="B21850" s="3" t="s">
        <v>17822</v>
      </c>
      <c r="C21850" s="3" t="str">
        <f>IFERROR(__xludf.DUMMYFUNCTION("GOOGLETRANSLATE(B21850,""id"",""en"")"),"['good luck']")</f>
        <v>['good luck']</v>
      </c>
      <c r="D21850" s="3">
        <v>5.0</v>
      </c>
    </row>
    <row r="21851" ht="15.75" customHeight="1">
      <c r="A21851" s="1">
        <v>23215.0</v>
      </c>
      <c r="B21851" s="3" t="s">
        <v>20634</v>
      </c>
      <c r="C21851" s="3" t="str">
        <f>IFERROR(__xludf.DUMMYFUNCTION("GOOGLETRANSLATE(B21851,""id"",""en"")"),"['Package', 'Loss']")</f>
        <v>['Package', 'Loss']</v>
      </c>
      <c r="D21851" s="3">
        <v>1.0</v>
      </c>
    </row>
    <row r="21852" ht="15.75" customHeight="1">
      <c r="A21852" s="1">
        <v>23216.0</v>
      </c>
      <c r="B21852" s="3" t="s">
        <v>284</v>
      </c>
      <c r="C21852" s="3" t="str">
        <f>IFERROR(__xludf.DUMMYFUNCTION("GOOGLETRANSLATE(B21852,""id"",""en"")"),"['', 'help']")</f>
        <v>['', 'help']</v>
      </c>
      <c r="D21852" s="3">
        <v>5.0</v>
      </c>
    </row>
    <row r="21853" ht="15.75" customHeight="1">
      <c r="A21853" s="1">
        <v>23217.0</v>
      </c>
      <c r="B21853" s="3" t="s">
        <v>20635</v>
      </c>
      <c r="C21853" s="3" t="str">
        <f>IFERROR(__xludf.DUMMYFUNCTION("GOOGLETRANSLATE(B21853,""id"",""en"")"),"['Sya', 'Download', 'PDA', 'Msuk', 'APK', 'Layr', 'White', 'Litu', 'msuk', 'msuk']")</f>
        <v>['Sya', 'Download', 'PDA', 'Msuk', 'APK', 'Layr', 'White', 'Litu', 'msuk', 'msuk']</v>
      </c>
      <c r="D21853" s="3">
        <v>1.0</v>
      </c>
    </row>
    <row r="21854" ht="15.75" customHeight="1">
      <c r="A21854" s="1">
        <v>23218.0</v>
      </c>
      <c r="B21854" s="3" t="s">
        <v>20636</v>
      </c>
      <c r="C21854" s="3" t="str">
        <f>IFERROR(__xludf.DUMMYFUNCTION("GOOGLETRANSLATE(B21854,""id"",""en"")"),"['Application', 'Ngak', 'Bukak', 'Please', 'Telkomsel', 'Current', 'Constraints', 'Please', 'Telkomsel', ""]")</f>
        <v>['Application', 'Ngak', 'Bukak', 'Please', 'Telkomsel', 'Current', 'Constraints', 'Please', 'Telkomsel', "]</v>
      </c>
      <c r="D21854" s="3">
        <v>1.0</v>
      </c>
    </row>
    <row r="21855" ht="15.75" customHeight="1">
      <c r="A21855" s="1">
        <v>23219.0</v>
      </c>
      <c r="B21855" s="3" t="s">
        <v>20637</v>
      </c>
      <c r="C21855" s="3" t="str">
        <f>IFERROR(__xludf.DUMMYFUNCTION("GOOGLETRANSLATE(B21855,""id"",""en"")"),"['Fix', 'The name', 'Satan']")</f>
        <v>['Fix', 'The name', 'Satan']</v>
      </c>
      <c r="D21855" s="3">
        <v>1.0</v>
      </c>
    </row>
    <row r="21856" ht="15.75" customHeight="1">
      <c r="A21856" s="1">
        <v>23220.0</v>
      </c>
      <c r="B21856" s="3" t="s">
        <v>20638</v>
      </c>
      <c r="C21856" s="3" t="str">
        <f>IFERROR(__xludf.DUMMYFUNCTION("GOOGLETRANSLATE(B21856,""id"",""en"")"),"['Jelekkkkkkkkk', 'bangetttttttt', 'disappointing']")</f>
        <v>['Jelekkkkkkkkk', 'bangetttttttt', 'disappointing']</v>
      </c>
      <c r="D21856" s="3">
        <v>1.0</v>
      </c>
    </row>
    <row r="21857" ht="15.75" customHeight="1">
      <c r="A21857" s="1">
        <v>23221.0</v>
      </c>
      <c r="B21857" s="3" t="s">
        <v>20639</v>
      </c>
      <c r="C21857" s="3" t="str">
        <f>IFERROR(__xludf.DUMMYFUNCTION("GOOGLETRANSLATE(B21857,""id"",""en"")"),"['Good', 'petrified', 'check', 'package', 'pulse', 'purchase', 'package', 'cheap', '']")</f>
        <v>['Good', 'petrified', 'check', 'package', 'pulse', 'purchase', 'package', 'cheap', '']</v>
      </c>
      <c r="D21857" s="3">
        <v>5.0</v>
      </c>
    </row>
    <row r="21858" ht="15.75" customHeight="1">
      <c r="A21858" s="1">
        <v>23222.0</v>
      </c>
      <c r="B21858" s="3" t="s">
        <v>20640</v>
      </c>
      <c r="C21858" s="3" t="str">
        <f>IFERROR(__xludf.DUMMYFUNCTION("GOOGLETRANSLATE(B21858,""id"",""en"")"),"['customer', 'loyal', 'Telkomsel', 'expensive', 'buy', 'package', 'then', 'application', 'difficult', 'customer', 'family', 'sya', ' All ',' PAKK ',' Telkomsel ', ""]")</f>
        <v>['customer', 'loyal', 'Telkomsel', 'expensive', 'buy', 'package', 'then', 'application', 'difficult', 'customer', 'family', 'sya', ' All ',' PAKK ',' Telkomsel ', "]</v>
      </c>
      <c r="D21858" s="3">
        <v>5.0</v>
      </c>
    </row>
    <row r="21859" ht="15.75" customHeight="1">
      <c r="A21859" s="1">
        <v>23223.0</v>
      </c>
      <c r="B21859" s="3" t="s">
        <v>20641</v>
      </c>
      <c r="C21859" s="3" t="str">
        <f>IFERROR(__xludf.DUMMYFUNCTION("GOOGLETRANSLATE(B21859,""id"",""en"")"),"['Please', 'card', 'sucking', 'pulse', 'notification', 'resulting in', 'comfortable', 'card', 'Telkomsel']")</f>
        <v>['Please', 'card', 'sucking', 'pulse', 'notification', 'resulting in', 'comfortable', 'card', 'Telkomsel']</v>
      </c>
      <c r="D21859" s="3">
        <v>5.0</v>
      </c>
    </row>
    <row r="21860" ht="15.75" customHeight="1">
      <c r="A21860" s="1">
        <v>23224.0</v>
      </c>
      <c r="B21860" s="3" t="s">
        <v>20642</v>
      </c>
      <c r="C21860" s="3" t="str">
        <f>IFERROR(__xludf.DUMMYFUNCTION("GOOGLETRANSLATE(B21860,""id"",""en"")"),"['Credit', 'buy', 'Package', 'Combo', 'Sakti', 'GB', 'Price', 'Credit', 'Adequate', 'Piye', 'iki', ""]")</f>
        <v>['Credit', 'buy', 'Package', 'Combo', 'Sakti', 'GB', 'Price', 'Credit', 'Adequate', 'Piye', 'iki', "]</v>
      </c>
      <c r="D21860" s="3">
        <v>1.0</v>
      </c>
    </row>
    <row r="21861" ht="15.75" customHeight="1">
      <c r="A21861" s="1">
        <v>23225.0</v>
      </c>
      <c r="B21861" s="3" t="s">
        <v>20643</v>
      </c>
      <c r="C21861" s="3" t="str">
        <f>IFERROR(__xludf.DUMMYFUNCTION("GOOGLETRANSLATE(B21861,""id"",""en"")"),"['bad', 'network', 'hrg', 'quota', 'expensive']")</f>
        <v>['bad', 'network', 'hrg', 'quota', 'expensive']</v>
      </c>
      <c r="D21861" s="3">
        <v>1.0</v>
      </c>
    </row>
    <row r="21862" ht="15.75" customHeight="1">
      <c r="A21862" s="1">
        <v>23226.0</v>
      </c>
      <c r="B21862" s="3" t="s">
        <v>20644</v>
      </c>
      <c r="C21862" s="3" t="str">
        <f>IFERROR(__xludf.DUMMYFUNCTION("GOOGLETRANSLATE(B21862,""id"",""en"")"),"['Buy', 'Package', 'Telkomsel', 'FAILURE', 'Credit', 'Buy', 'Package', ""]")</f>
        <v>['Buy', 'Package', 'Telkomsel', 'FAILURE', 'Credit', 'Buy', 'Package', "]</v>
      </c>
      <c r="D21862" s="3">
        <v>2.0</v>
      </c>
    </row>
    <row r="21863" ht="15.75" customHeight="1">
      <c r="A21863" s="1">
        <v>23227.0</v>
      </c>
      <c r="B21863" s="3" t="s">
        <v>12254</v>
      </c>
      <c r="C21863" s="3" t="str">
        <f>IFERROR(__xludf.DUMMYFUNCTION("GOOGLETRANSLATE(B21863,""id"",""en"")"),"['Best']")</f>
        <v>['Best']</v>
      </c>
      <c r="D21863" s="3">
        <v>5.0</v>
      </c>
    </row>
    <row r="21864" ht="15.75" customHeight="1">
      <c r="A21864" s="1">
        <v>23228.0</v>
      </c>
      <c r="B21864" s="3" t="s">
        <v>20645</v>
      </c>
      <c r="C21864" s="3" t="str">
        <f>IFERROR(__xludf.DUMMYFUNCTION("GOOGLETRANSLATE(B21864,""id"",""en"")"),"['error', 'see', 'leftover', 'quota', 'no', 'beg', 'fix', 'quality', 'thank', 'love', ""]")</f>
        <v>['error', 'see', 'leftover', 'quota', 'no', 'beg', 'fix', 'quality', 'thank', 'love', "]</v>
      </c>
      <c r="D21864" s="3">
        <v>5.0</v>
      </c>
    </row>
    <row r="21865" ht="15.75" customHeight="1">
      <c r="A21865" s="1">
        <v>23229.0</v>
      </c>
      <c r="B21865" s="3" t="s">
        <v>20646</v>
      </c>
      <c r="C21865" s="3" t="str">
        <f>IFERROR(__xludf.DUMMYFUNCTION("GOOGLETRANSLATE(B21865,""id"",""en"")"),"['Application', 'Severe', 'Lost', 'Application', 'Difficult', 'Open', 'Network', 'Good', '']")</f>
        <v>['Application', 'Severe', 'Lost', 'Application', 'Difficult', 'Open', 'Network', 'Good', '']</v>
      </c>
      <c r="D21865" s="3">
        <v>1.0</v>
      </c>
    </row>
    <row r="21866" ht="15.75" customHeight="1">
      <c r="A21866" s="1">
        <v>23230.0</v>
      </c>
      <c r="B21866" s="3" t="s">
        <v>20647</v>
      </c>
      <c r="C21866" s="3" t="str">
        <f>IFERROR(__xludf.DUMMYFUNCTION("GOOGLETRANSLATE(B21866,""id"",""en"")"),"['PKET', 'internet', 'complicated', 'lgi', 'unlimited', 'pmbgian', 'internet', 'expensive', 'TPI', 'Costumer', 'Kcewa']")</f>
        <v>['PKET', 'internet', 'complicated', 'lgi', 'unlimited', 'pmbgian', 'internet', 'expensive', 'TPI', 'Costumer', 'Kcewa']</v>
      </c>
      <c r="D21866" s="3">
        <v>1.0</v>
      </c>
    </row>
    <row r="21867" ht="15.75" customHeight="1">
      <c r="A21867" s="1">
        <v>23231.0</v>
      </c>
      <c r="B21867" s="3" t="s">
        <v>20648</v>
      </c>
      <c r="C21867" s="3" t="str">
        <f>IFERROR(__xludf.DUMMYFUNCTION("GOOGLETRANSLATE(B21867,""id"",""en"")"),"['BBRP', 'Network', 'Bad', 'Enter', 'APP', 'Mytsell', 'Send', 'Pending', 'Petting', 'Please', 'Repaired', 'Comfort', ' Customers', 'thank', 'love', ""]")</f>
        <v>['BBRP', 'Network', 'Bad', 'Enter', 'APP', 'Mytsell', 'Send', 'Pending', 'Petting', 'Please', 'Repaired', 'Comfort', ' Customers', 'thank', 'love', "]</v>
      </c>
      <c r="D21867" s="3">
        <v>2.0</v>
      </c>
    </row>
    <row r="21868" ht="15.75" customHeight="1">
      <c r="A21868" s="1">
        <v>23232.0</v>
      </c>
      <c r="B21868" s="3" t="s">
        <v>20649</v>
      </c>
      <c r="C21868" s="3" t="str">
        <f>IFERROR(__xludf.DUMMYFUNCTION("GOOGLETRANSLATE(B21868,""id"",""en"")"),"['steady', 'Bagus',' price ',' package ',' internet ',' right ',' pouch ',' please ',' repair ',' network ',' internet ',' bag ',' Sometimes', 'times',' likes', 'lose', 'connection', 'ngelagg', 'ber', 'internet', 'trmksih']")</f>
        <v>['steady', 'Bagus',' price ',' package ',' internet ',' right ',' pouch ',' please ',' repair ',' network ',' internet ',' bag ',' Sometimes', 'times',' likes', 'lose', 'connection', 'ngelagg', 'ber', 'internet', 'trmksih']</v>
      </c>
      <c r="D21868" s="3">
        <v>5.0</v>
      </c>
    </row>
    <row r="21869" ht="15.75" customHeight="1">
      <c r="A21869" s="1">
        <v>23233.0</v>
      </c>
      <c r="B21869" s="3" t="s">
        <v>348</v>
      </c>
      <c r="C21869" s="3" t="str">
        <f>IFERROR(__xludf.DUMMYFUNCTION("GOOGLETRANSLATE(B21869,""id"",""en"")"),"['Steady', 'help']")</f>
        <v>['Steady', 'help']</v>
      </c>
      <c r="D21869" s="3">
        <v>5.0</v>
      </c>
    </row>
    <row r="21870" ht="15.75" customHeight="1">
      <c r="A21870" s="1">
        <v>23234.0</v>
      </c>
      <c r="B21870" s="3" t="s">
        <v>20650</v>
      </c>
      <c r="C21870" s="3" t="str">
        <f>IFERROR(__xludf.DUMMYFUNCTION("GOOGLETRANSLATE(B21870,""id"",""en"")"),"['semalem', 'enter', 'APL', 'Ancuuurrrrr', 'Quality', 'APL']")</f>
        <v>['semalem', 'enter', 'APL', 'Ancuuurrrrr', 'Quality', 'APL']</v>
      </c>
      <c r="D21870" s="3">
        <v>1.0</v>
      </c>
    </row>
    <row r="21871" ht="15.75" customHeight="1">
      <c r="A21871" s="1">
        <v>23235.0</v>
      </c>
      <c r="B21871" s="3" t="s">
        <v>20651</v>
      </c>
      <c r="C21871" s="3" t="str">
        <f>IFERROR(__xludf.DUMMYFUNCTION("GOOGLETRANSLATE(B21871,""id"",""en"")"),"['Cave', 'Colorin', 'Star', 'Network', 'Bad', 'Bad', 'Worst', 'Fact', 'Expensive', 'Price', 'Package', 'Quality', ' Signal ',' super ',' bad ',' already ',' getting ',' sympathy ',' threat ',' fact ',' plus', 'omongkosong', 'advertisement', 'doank']")</f>
        <v>['Cave', 'Colorin', 'Star', 'Network', 'Bad', 'Bad', 'Worst', 'Fact', 'Expensive', 'Price', 'Package', 'Quality', ' Signal ',' super ',' bad ',' already ',' getting ',' sympathy ',' threat ',' fact ',' plus', 'omongkosong', 'advertisement', 'doank']</v>
      </c>
      <c r="D21871" s="3">
        <v>1.0</v>
      </c>
    </row>
    <row r="21872" ht="15.75" customHeight="1">
      <c r="A21872" s="1">
        <v>23236.0</v>
      </c>
      <c r="B21872" s="3" t="s">
        <v>20652</v>
      </c>
      <c r="C21872" s="3" t="str">
        <f>IFERROR(__xludf.DUMMYFUNCTION("GOOGLETRANSLATE(B21872,""id"",""en"")"),"['Can't', 'Download']")</f>
        <v>['Can't', 'Download']</v>
      </c>
      <c r="D21872" s="3">
        <v>1.0</v>
      </c>
    </row>
    <row r="21873" ht="15.75" customHeight="1">
      <c r="A21873" s="1">
        <v>23237.0</v>
      </c>
      <c r="B21873" s="3" t="s">
        <v>471</v>
      </c>
      <c r="C21873" s="3" t="str">
        <f>IFERROR(__xludf.DUMMYFUNCTION("GOOGLETRANSLATE(B21873,""id"",""en"")"),"['']")</f>
        <v>['']</v>
      </c>
      <c r="D21873" s="3">
        <v>4.0</v>
      </c>
    </row>
    <row r="21874" ht="15.75" customHeight="1">
      <c r="A21874" s="1">
        <v>23238.0</v>
      </c>
      <c r="B21874" s="3" t="s">
        <v>20653</v>
      </c>
      <c r="C21874" s="3" t="str">
        <f>IFERROR(__xludf.DUMMYFUNCTION("GOOGLETRANSLATE(B21874,""id"",""en"")"),"['Signal', 'Date', 'November', 'Down', 'Severe', 'Provider', 'Fast', 'Correction', 'Constrained', 'Weather', 'Smartfren', 'Current', ' Clearly ',' Weather ',' Bad ',' Package ',' Cheap ',' ']")</f>
        <v>['Signal', 'Date', 'November', 'Down', 'Severe', 'Provider', 'Fast', 'Correction', 'Constrained', 'Weather', 'Smartfren', 'Current', ' Clearly ',' Weather ',' Bad ',' Package ',' Cheap ',' ']</v>
      </c>
      <c r="D21874" s="3">
        <v>1.0</v>
      </c>
    </row>
    <row r="21875" ht="15.75" customHeight="1">
      <c r="A21875" s="1">
        <v>23239.0</v>
      </c>
      <c r="B21875" s="3" t="s">
        <v>20654</v>
      </c>
      <c r="C21875" s="3" t="str">
        <f>IFERROR(__xludf.DUMMYFUNCTION("GOOGLETRANSLATE(B21875,""id"",""en"")"),"['special', 'package', 'data', 'adjust', 'price', 'quality', 'thank', 'love', ""]")</f>
        <v>['special', 'package', 'data', 'adjust', 'price', 'quality', 'thank', 'love', "]</v>
      </c>
      <c r="D21875" s="3">
        <v>5.0</v>
      </c>
    </row>
    <row r="21876" ht="15.75" customHeight="1">
      <c r="A21876" s="1">
        <v>23240.0</v>
      </c>
      <c r="B21876" s="3" t="s">
        <v>20655</v>
      </c>
      <c r="C21876" s="3" t="str">
        <f>IFERROR(__xludf.DUMMYFUNCTION("GOOGLETRANSLATE(B21876,""id"",""en"")"),"['Telkomsel', 'okay', 'expensive', 'slow', 'entry', 'application', 'hard', 'forgiveness']")</f>
        <v>['Telkomsel', 'okay', 'expensive', 'slow', 'entry', 'application', 'hard', 'forgiveness']</v>
      </c>
      <c r="D21876" s="3">
        <v>2.0</v>
      </c>
    </row>
    <row r="21877" ht="15.75" customHeight="1">
      <c r="A21877" s="1">
        <v>23241.0</v>
      </c>
      <c r="B21877" s="3" t="s">
        <v>20656</v>
      </c>
      <c r="C21877" s="3" t="str">
        <f>IFERROR(__xludf.DUMMYFUNCTION("GOOGLETRANSLATE(B21877,""id"",""en"")"),"['', 'star', 'perfect', 'star', 'lbh', ""]")</f>
        <v>['', 'star', 'perfect', 'star', 'lbh', "]</v>
      </c>
      <c r="D21877" s="3">
        <v>4.0</v>
      </c>
    </row>
    <row r="21878" ht="15.75" customHeight="1">
      <c r="A21878" s="1">
        <v>23242.0</v>
      </c>
      <c r="B21878" s="3" t="s">
        <v>20657</v>
      </c>
      <c r="C21878" s="3" t="str">
        <f>IFERROR(__xludf.DUMMYFUNCTION("GOOGLETRANSLATE(B21878,""id"",""en"")"),"['signal', 'network', 'work', 'destroyed', 'many', 'reset', 'input', 'upload', 'data', 'please', 'price', 'package', ' expensive ',' quality ',' enhanced ',' dilapokan ']")</f>
        <v>['signal', 'network', 'work', 'destroyed', 'many', 'reset', 'input', 'upload', 'data', 'please', 'price', 'package', ' expensive ',' quality ',' enhanced ',' dilapokan ']</v>
      </c>
      <c r="D21878" s="3">
        <v>1.0</v>
      </c>
    </row>
    <row r="21879" ht="15.75" customHeight="1">
      <c r="A21879" s="1">
        <v>23243.0</v>
      </c>
      <c r="B21879" s="3" t="s">
        <v>20658</v>
      </c>
      <c r="C21879" s="3" t="str">
        <f>IFERROR(__xludf.DUMMYFUNCTION("GOOGLETRANSLATE(B21879,""id"",""en"")"),"['Method', 'Log', 'Ribet', 'Click', 'Link', 'UDH', 'clicked', 'Link', 'Stuck', 'Mistake', 'Kyk', 'That's']")</f>
        <v>['Method', 'Log', 'Ribet', 'Click', 'Link', 'UDH', 'clicked', 'Link', 'Stuck', 'Mistake', 'Kyk', 'That's']</v>
      </c>
      <c r="D21879" s="3">
        <v>2.0</v>
      </c>
    </row>
    <row r="21880" ht="15.75" customHeight="1">
      <c r="A21880" s="1">
        <v>23244.0</v>
      </c>
      <c r="B21880" s="3" t="s">
        <v>20659</v>
      </c>
      <c r="C21880" s="3" t="str">
        <f>IFERROR(__xludf.DUMMYFUNCTION("GOOGLETRANSLATE(B21880,""id"",""en"")"),"['Telkomsel', 'good', 'just', 'policy', 'price', 'package', 'increase', 'heavy', 'light', 'no', 'people', 'Indonesia', ' ']")</f>
        <v>['Telkomsel', 'good', 'just', 'policy', 'price', 'package', 'increase', 'heavy', 'light', 'no', 'people', 'Indonesia', ' ']</v>
      </c>
      <c r="D21880" s="3">
        <v>5.0</v>
      </c>
    </row>
    <row r="21881" ht="15.75" customHeight="1">
      <c r="A21881" s="1">
        <v>23245.0</v>
      </c>
      <c r="B21881" s="3" t="s">
        <v>20660</v>
      </c>
      <c r="C21881" s="3" t="str">
        <f>IFERROR(__xludf.DUMMYFUNCTION("GOOGLETRANSLATE(B21881,""id"",""en"")"),"['buy', 'pulses', 'cheap']")</f>
        <v>['buy', 'pulses', 'cheap']</v>
      </c>
      <c r="D21881" s="3">
        <v>5.0</v>
      </c>
    </row>
    <row r="21882" ht="15.75" customHeight="1">
      <c r="A21882" s="1">
        <v>23246.0</v>
      </c>
      <c r="B21882" s="3" t="s">
        <v>20661</v>
      </c>
      <c r="C21882" s="3" t="str">
        <f>IFERROR(__xludf.DUMMYFUNCTION("GOOGLETRANSLATE(B21882,""id"",""en"")"),"['Network', 'ugly', 'bang', 'Telkomsel', 'Different', 'like', 'play', 'game', 'access',' difficult ',' really ',' Please ',' Fix ',' the network ',' already ',' buy ',' quota ',' expensive ',' signal ',' supports', 'regret', 'buy', 'Telkomsel', 'please', "&amp;"'forgiveness' , 'card', 'like', 'watch', 'vidio', 'hardy', 'forgiveness',' yes', 'mode', 'aircraft', 'ampe', 'many', 'times',' Woe ',' please ',' Telkomsel ',' users', 'Disappointed', '']")</f>
        <v>['Network', 'ugly', 'bang', 'Telkomsel', 'Different', 'like', 'play', 'game', 'access',' difficult ',' really ',' Please ',' Fix ',' the network ',' already ',' buy ',' quota ',' expensive ',' signal ',' supports', 'regret', 'buy', 'Telkomsel', 'please', 'forgiveness' , 'card', 'like', 'watch', 'vidio', 'hardy', 'forgiveness',' yes', 'mode', 'aircraft', 'ampe', 'many', 'times',' Woe ',' please ',' Telkomsel ',' users', 'Disappointed', '']</v>
      </c>
      <c r="D21882" s="3">
        <v>1.0</v>
      </c>
    </row>
    <row r="21883" ht="15.75" customHeight="1">
      <c r="A21883" s="1">
        <v>23247.0</v>
      </c>
      <c r="B21883" s="3" t="s">
        <v>20662</v>
      </c>
      <c r="C21883" s="3" t="str">
        <f>IFERROR(__xludf.DUMMYFUNCTION("GOOGLETRANSLATE(B21883,""id"",""en"")"),"['down', 'star', 'the network', 'slow', 'really', 'no', 'please', 'the network', 'repaired']")</f>
        <v>['down', 'star', 'the network', 'slow', 'really', 'no', 'please', 'the network', 'repaired']</v>
      </c>
      <c r="D21883" s="3">
        <v>1.0</v>
      </c>
    </row>
    <row r="21884" ht="15.75" customHeight="1">
      <c r="A21884" s="1">
        <v>23248.0</v>
      </c>
      <c r="B21884" s="3" t="s">
        <v>20663</v>
      </c>
      <c r="C21884" s="3" t="str">
        <f>IFERROR(__xludf.DUMMYFUNCTION("GOOGLETRANSLATE(B21884,""id"",""en"")"),"['App', 'opened', 'blank', 'white', 'screen', 'signal', 'bad', 'please', 'repair', ""]")</f>
        <v>['App', 'opened', 'blank', 'white', 'screen', 'signal', 'bad', 'please', 'repair', "]</v>
      </c>
      <c r="D21884" s="3">
        <v>1.0</v>
      </c>
    </row>
    <row r="21885" ht="15.75" customHeight="1">
      <c r="A21885" s="1">
        <v>23249.0</v>
      </c>
      <c r="B21885" s="3" t="s">
        <v>20664</v>
      </c>
      <c r="C21885" s="3" t="str">
        <f>IFERROR(__xludf.DUMMYFUNCTION("GOOGLETRANSLATE(B21885,""id"",""en"")"),"['card', 'card', 'Haru', 'signal', 'labile']")</f>
        <v>['card', 'card', 'Haru', 'signal', 'labile']</v>
      </c>
      <c r="D21885" s="3">
        <v>1.0</v>
      </c>
    </row>
    <row r="21886" ht="15.75" customHeight="1">
      <c r="A21886" s="1">
        <v>23250.0</v>
      </c>
      <c r="B21886" s="3" t="s">
        <v>20665</v>
      </c>
      <c r="C21886" s="3" t="str">
        <f>IFERROR(__xludf.DUMMYFUNCTION("GOOGLETRANSLATE(B21886,""id"",""en"")"),"['What', 'already', 'gabisa', 'login', 'application', '']")</f>
        <v>['What', 'already', 'gabisa', 'login', 'application', '']</v>
      </c>
      <c r="D21886" s="3">
        <v>1.0</v>
      </c>
    </row>
    <row r="21887" ht="15.75" customHeight="1">
      <c r="A21887" s="1">
        <v>23251.0</v>
      </c>
      <c r="B21887" s="3" t="s">
        <v>3815</v>
      </c>
      <c r="C21887" s="3" t="str">
        <f>IFERROR(__xludf.DUMMYFUNCTION("GOOGLETRANSLATE(B21887,""id"",""en"")"),"['Good', 'cheap']")</f>
        <v>['Good', 'cheap']</v>
      </c>
      <c r="D21887" s="3">
        <v>5.0</v>
      </c>
    </row>
    <row r="21888" ht="15.75" customHeight="1">
      <c r="A21888" s="1">
        <v>23252.0</v>
      </c>
      <c r="B21888" s="3" t="s">
        <v>20666</v>
      </c>
      <c r="C21888" s="3" t="str">
        <f>IFERROR(__xludf.DUMMYFUNCTION("GOOGLETRANSLATE(B21888,""id"",""en"")"),"['Response', 'Bad', 'Telecommunications', 'Indonesia', ""]")</f>
        <v>['Response', 'Bad', 'Telecommunications', 'Indonesia', "]</v>
      </c>
      <c r="D21888" s="3">
        <v>1.0</v>
      </c>
    </row>
    <row r="21889" ht="15.75" customHeight="1">
      <c r="A21889" s="1">
        <v>23253.0</v>
      </c>
      <c r="B21889" s="3" t="s">
        <v>20667</v>
      </c>
      <c r="C21889" s="3" t="str">
        <f>IFERROR(__xludf.DUMMYFUNCTION("GOOGLETRANSLATE(B21889,""id"",""en"")"),"['', 'DPAT', 'Gift', 'Kasi', ""]")</f>
        <v>['', 'DPAT', 'Gift', 'Kasi', "]</v>
      </c>
      <c r="D21889" s="3">
        <v>4.0</v>
      </c>
    </row>
    <row r="21890" ht="15.75" customHeight="1">
      <c r="A21890" s="1">
        <v>23254.0</v>
      </c>
      <c r="B21890" s="3" t="s">
        <v>20668</v>
      </c>
      <c r="C21890" s="3" t="str">
        <f>IFERROR(__xludf.DUMMYFUNCTION("GOOGLETRANSLATE(B21890,""id"",""en"")"),"['Bad', 'enter', 'enter', 'difficult', 'enter', 'Telkomsel']")</f>
        <v>['Bad', 'enter', 'enter', 'difficult', 'enter', 'Telkomsel']</v>
      </c>
      <c r="D21890" s="3">
        <v>1.0</v>
      </c>
    </row>
    <row r="21891" ht="15.75" customHeight="1">
      <c r="A21891" s="1">
        <v>23255.0</v>
      </c>
      <c r="B21891" s="3" t="s">
        <v>10890</v>
      </c>
      <c r="C21891" s="3" t="str">
        <f>IFERROR(__xludf.DUMMYFUNCTION("GOOGLETRANSLATE(B21891,""id"",""en"")"),"['Exchange', 'Points', 'Credit']")</f>
        <v>['Exchange', 'Points', 'Credit']</v>
      </c>
      <c r="D21891" s="3">
        <v>5.0</v>
      </c>
    </row>
    <row r="21892" ht="15.75" customHeight="1">
      <c r="A21892" s="1">
        <v>23256.0</v>
      </c>
      <c r="B21892" s="3" t="s">
        <v>20669</v>
      </c>
      <c r="C21892" s="3" t="str">
        <f>IFERROR(__xludf.DUMMYFUNCTION("GOOGLETRANSLATE(B21892,""id"",""en"")"),"['APK', 'Error', 'Loading', 'Data', 'Update']")</f>
        <v>['APK', 'Error', 'Loading', 'Data', 'Update']</v>
      </c>
      <c r="D21892" s="3">
        <v>2.0</v>
      </c>
    </row>
    <row r="21893" ht="15.75" customHeight="1">
      <c r="A21893" s="1">
        <v>23257.0</v>
      </c>
      <c r="B21893" s="3" t="s">
        <v>20670</v>
      </c>
      <c r="C21893" s="3" t="str">
        <f>IFERROR(__xludf.DUMMYFUNCTION("GOOGLETRANSLATE(B21893,""id"",""en"")"),"['Log', 'times',' open ',' apps', 'complicated', 'already', 'check', 'stay', 'log', 'get', 'log', 'out', ' right ',' closed ',' apps', '']")</f>
        <v>['Log', 'times',' open ',' apps', 'complicated', 'already', 'check', 'stay', 'log', 'get', 'log', 'out', ' right ',' closed ',' apps', '']</v>
      </c>
      <c r="D21893" s="3">
        <v>1.0</v>
      </c>
    </row>
    <row r="21894" ht="15.75" customHeight="1">
      <c r="A21894" s="1">
        <v>23258.0</v>
      </c>
      <c r="B21894" s="3" t="s">
        <v>20671</v>
      </c>
      <c r="C21894" s="3" t="str">
        <f>IFERROR(__xludf.DUMMYFUNCTION("GOOGLETRANSLATE(B21894,""id"",""en"")"),"['Gabisa', 'enter', 'my APK']")</f>
        <v>['Gabisa', 'enter', 'my APK']</v>
      </c>
      <c r="D21894" s="3">
        <v>1.0</v>
      </c>
    </row>
    <row r="21895" ht="15.75" customHeight="1">
      <c r="A21895" s="1">
        <v>23259.0</v>
      </c>
      <c r="B21895" s="3" t="s">
        <v>311</v>
      </c>
      <c r="C21895" s="3" t="str">
        <f>IFERROR(__xludf.DUMMYFUNCTION("GOOGLETRANSLATE(B21895,""id"",""en"")"),"['expensive']")</f>
        <v>['expensive']</v>
      </c>
      <c r="D21895" s="3">
        <v>3.0</v>
      </c>
    </row>
    <row r="21896" ht="15.75" customHeight="1">
      <c r="A21896" s="1">
        <v>23260.0</v>
      </c>
      <c r="B21896" s="3" t="s">
        <v>20672</v>
      </c>
      <c r="C21896" s="3" t="str">
        <f>IFERROR(__xludf.DUMMYFUNCTION("GOOGLETRANSLATE(B21896,""id"",""en"")"),"['It's easy', 'Glooms',' buy ',' Package ',' Data ',' My Boss', 'Success',' Telkomsel ',' Serving ',' Fast ',' Response ',' Browse ',' Nusantara ',' Adhesive ',' Nation ',' Telkomsel ',' Heart ',' Customer ',' Indonesia ', ""]")</f>
        <v>['It's easy', 'Glooms',' buy ',' Package ',' Data ',' My Boss', 'Success',' Telkomsel ',' Serving ',' Fast ',' Response ',' Browse ',' Nusantara ',' Adhesive ',' Nation ',' Telkomsel ',' Heart ',' Customer ',' Indonesia ', "]</v>
      </c>
      <c r="D21896" s="3">
        <v>5.0</v>
      </c>
    </row>
    <row r="21897" ht="15.75" customHeight="1">
      <c r="A21897" s="1">
        <v>23261.0</v>
      </c>
      <c r="B21897" s="3" t="s">
        <v>20673</v>
      </c>
      <c r="C21897" s="3" t="str">
        <f>IFERROR(__xludf.DUMMYFUNCTION("GOOGLETRANSLATE(B21897,""id"",""en"")"),"['expensive', 'slow', 'love', 'comment', 'good', 'person', 'honest', 'sorry', ""]")</f>
        <v>['expensive', 'slow', 'love', 'comment', 'good', 'person', 'honest', 'sorry', "]</v>
      </c>
      <c r="D21897" s="3">
        <v>1.0</v>
      </c>
    </row>
    <row r="21898" ht="15.75" customHeight="1">
      <c r="A21898" s="1">
        <v>23262.0</v>
      </c>
      <c r="B21898" s="3" t="s">
        <v>20674</v>
      </c>
      <c r="C21898" s="3" t="str">
        <f>IFERROR(__xludf.DUMMYFUNCTION("GOOGLETRANSLATE(B21898,""id"",""en"")"),"['likes',' Telkomse ',' smnjak ',' old ',' until ',' present ',' always', 'loyal', 'Telkomsel', 'Telkomsel', 'aga', 'slow', ' TPI ',' Tetep ',' Hold ',' Telkomsel ',' Easy ',' Han ',' Telkomsel ',' Fix ']")</f>
        <v>['likes',' Telkomse ',' smnjak ',' old ',' until ',' present ',' always', 'loyal', 'Telkomsel', 'Telkomsel', 'aga', 'slow', ' TPI ',' Tetep ',' Hold ',' Telkomsel ',' Easy ',' Han ',' Telkomsel ',' Fix ']</v>
      </c>
      <c r="D21898" s="3">
        <v>5.0</v>
      </c>
    </row>
    <row r="21899" ht="15.75" customHeight="1">
      <c r="A21899" s="1">
        <v>23263.0</v>
      </c>
      <c r="B21899" s="3" t="s">
        <v>20675</v>
      </c>
      <c r="C21899" s="3" t="str">
        <f>IFERROR(__xludf.DUMMYFUNCTION("GOOGLETRANSLATE(B21899,""id"",""en"")"),"['satisfying', 'really']")</f>
        <v>['satisfying', 'really']</v>
      </c>
      <c r="D21899" s="3">
        <v>5.0</v>
      </c>
    </row>
    <row r="21900" ht="15.75" customHeight="1">
      <c r="A21900" s="1">
        <v>23264.0</v>
      </c>
      <c r="B21900" s="3" t="s">
        <v>20676</v>
      </c>
      <c r="C21900" s="3" t="str">
        <f>IFERROR(__xludf.DUMMYFUNCTION("GOOGLETRANSLATE(B21900,""id"",""en"")"),"['Nyesel', 'KLU', 'Download', 'APK', 'Telkomsel', 'Mantap', 'Network', 'Good', 'Thank you']")</f>
        <v>['Nyesel', 'KLU', 'Download', 'APK', 'Telkomsel', 'Mantap', 'Network', 'Good', 'Thank you']</v>
      </c>
      <c r="D21900" s="3">
        <v>5.0</v>
      </c>
    </row>
    <row r="21901" ht="15.75" customHeight="1">
      <c r="A21901" s="1">
        <v>23265.0</v>
      </c>
      <c r="B21901" s="3" t="s">
        <v>20677</v>
      </c>
      <c r="C21901" s="3" t="str">
        <f>IFERROR(__xludf.DUMMYFUNCTION("GOOGLETRANSLATE(B21901,""id"",""en"")"),"['knapa', 'Login', '']")</f>
        <v>['knapa', 'Login', '']</v>
      </c>
      <c r="D21901" s="3">
        <v>1.0</v>
      </c>
    </row>
    <row r="21902" ht="15.75" customHeight="1">
      <c r="A21902" s="1">
        <v>23266.0</v>
      </c>
      <c r="B21902" s="3" t="s">
        <v>20678</v>
      </c>
      <c r="C21902" s="3" t="str">
        <f>IFERROR(__xludf.DUMMYFUNCTION("GOOGLETRANSLATE(B21902,""id"",""en"")"),"['expensive', 'slow', '']")</f>
        <v>['expensive', 'slow', '']</v>
      </c>
      <c r="D21902" s="3">
        <v>1.0</v>
      </c>
    </row>
    <row r="21903" ht="15.75" customHeight="1">
      <c r="A21903" s="1">
        <v>23267.0</v>
      </c>
      <c r="B21903" s="3" t="s">
        <v>20679</v>
      </c>
      <c r="C21903" s="3" t="str">
        <f>IFERROR(__xludf.DUMMYFUNCTION("GOOGLETRANSLATE(B21903,""id"",""en"")"),"['Application', 'Error', 'Date', 'November', 'Severe', 'Try', 'Install', 'Reset', 'Error', 'Login', 'Number', 'Processor', ' Snapdragon ',' ']")</f>
        <v>['Application', 'Error', 'Date', 'November', 'Severe', 'Try', 'Install', 'Reset', 'Error', 'Login', 'Number', 'Processor', ' Snapdragon ',' ']</v>
      </c>
      <c r="D21903" s="3">
        <v>1.0</v>
      </c>
    </row>
    <row r="21904" ht="15.75" customHeight="1">
      <c r="A21904" s="1">
        <v>23268.0</v>
      </c>
      <c r="B21904" s="3" t="s">
        <v>20680</v>
      </c>
      <c r="C21904" s="3" t="str">
        <f>IFERROR(__xludf.DUMMYFUNCTION("GOOGLETRANSLATE(B21904,""id"",""en"")"),"['Season', 'Application', 'Error', 'then', '']")</f>
        <v>['Season', 'Application', 'Error', 'then', '']</v>
      </c>
      <c r="D21904" s="3">
        <v>3.0</v>
      </c>
    </row>
    <row r="21905" ht="15.75" customHeight="1">
      <c r="A21905" s="1">
        <v>23269.0</v>
      </c>
      <c r="B21905" s="3" t="s">
        <v>20681</v>
      </c>
      <c r="C21905" s="3" t="str">
        <f>IFERROR(__xludf.DUMMYFUNCTION("GOOGLETRANSLATE(B21905,""id"",""en"")"),"['Data', '']")</f>
        <v>['Data', '']</v>
      </c>
      <c r="D21905" s="3">
        <v>4.0</v>
      </c>
    </row>
    <row r="21906" ht="15.75" customHeight="1">
      <c r="A21906" s="1">
        <v>23270.0</v>
      </c>
      <c r="B21906" s="3" t="s">
        <v>20682</v>
      </c>
      <c r="C21906" s="3" t="str">
        <f>IFERROR(__xludf.DUMMYFUNCTION("GOOGLETRANSLATE(B21906,""id"",""en"")"),"['ugly', 'application', 'log', 'out', 'enter', 'difficult']")</f>
        <v>['ugly', 'application', 'log', 'out', 'enter', 'difficult']</v>
      </c>
      <c r="D21906" s="3">
        <v>1.0</v>
      </c>
    </row>
    <row r="21907" ht="15.75" customHeight="1">
      <c r="A21907" s="1">
        <v>23271.0</v>
      </c>
      <c r="B21907" s="3" t="s">
        <v>20683</v>
      </c>
      <c r="C21907" s="3" t="str">
        <f>IFERROR(__xludf.DUMMYFUNCTION("GOOGLETRANSLATE(B21907,""id"",""en"")"),"['Application', 'Open', 'Day', 'Try it']")</f>
        <v>['Application', 'Open', 'Day', 'Try it']</v>
      </c>
      <c r="D21907" s="3">
        <v>1.0</v>
      </c>
    </row>
    <row r="21908" ht="15.75" customHeight="1">
      <c r="A21908" s="1">
        <v>23272.0</v>
      </c>
      <c r="B21908" s="3" t="s">
        <v>20684</v>
      </c>
      <c r="C21908" s="3" t="str">
        <f>IFERROR(__xludf.DUMMYFUNCTION("GOOGLETRANSLATE(B21908,""id"",""en"")"),"['Difficulty', 'Different', ""]")</f>
        <v>['Difficulty', 'Different', "]</v>
      </c>
      <c r="D21908" s="3">
        <v>1.0</v>
      </c>
    </row>
    <row r="21909" ht="15.75" customHeight="1">
      <c r="A21909" s="1">
        <v>23273.0</v>
      </c>
      <c r="B21909" s="3" t="s">
        <v>3867</v>
      </c>
      <c r="C21909" s="3" t="str">
        <f>IFERROR(__xludf.DUMMYFUNCTION("GOOGLETRANSLATE(B21909,""id"",""en"")"),"['Enter', 'application']")</f>
        <v>['Enter', 'application']</v>
      </c>
      <c r="D21909" s="3">
        <v>1.0</v>
      </c>
    </row>
    <row r="21910" ht="15.75" customHeight="1">
      <c r="A21910" s="1">
        <v>23275.0</v>
      </c>
      <c r="B21910" s="3" t="s">
        <v>20685</v>
      </c>
      <c r="C21910" s="3" t="str">
        <f>IFERROR(__xludf.DUMMYFUNCTION("GOOGLETRANSLATE(B21910,""id"",""en"")"),"['Review', 'Delete', 'How', 'Application', 'Keheous',' Download ',' BSA ',' Install ',' BSA ',' Already ',' Gini ',' then ',' klah ',' lovider ',' next door ']")</f>
        <v>['Review', 'Delete', 'How', 'Application', 'Keheous',' Download ',' BSA ',' Install ',' BSA ',' Already ',' Gini ',' then ',' klah ',' lovider ',' next door ']</v>
      </c>
      <c r="D21910" s="3">
        <v>1.0</v>
      </c>
    </row>
    <row r="21911" ht="15.75" customHeight="1">
      <c r="A21911" s="1">
        <v>23276.0</v>
      </c>
      <c r="B21911" s="3" t="s">
        <v>20686</v>
      </c>
      <c r="C21911" s="3" t="str">
        <f>IFERROR(__xludf.DUMMYFUNCTION("GOOGLETRANSLATE(B21911,""id"",""en"")"),"['application', 'help', 'really']")</f>
        <v>['application', 'help', 'really']</v>
      </c>
      <c r="D21911" s="3">
        <v>5.0</v>
      </c>
    </row>
    <row r="21912" ht="15.75" customHeight="1">
      <c r="A21912" s="1">
        <v>23277.0</v>
      </c>
      <c r="B21912" s="3" t="s">
        <v>20687</v>
      </c>
      <c r="C21912" s="3" t="str">
        <f>IFERROR(__xludf.DUMMYFUNCTION("GOOGLETRANSLATE(B21912,""id"",""en"")"),"['Please', 'fix', 'difficult', 'enter', 'Telkomsel', 'Link', 'enter', 'complicated', 'number', 'listed', 'verification', 'automatic']")</f>
        <v>['Please', 'fix', 'difficult', 'enter', 'Telkomsel', 'Link', 'enter', 'complicated', 'number', 'listed', 'verification', 'automatic']</v>
      </c>
      <c r="D21912" s="3">
        <v>1.0</v>
      </c>
    </row>
    <row r="21913" ht="15.75" customHeight="1">
      <c r="A21913" s="1">
        <v>23278.0</v>
      </c>
      <c r="B21913" s="3" t="s">
        <v>20688</v>
      </c>
      <c r="C21913" s="3" t="str">
        <f>IFERROR(__xludf.DUMMYFUNCTION("GOOGLETRANSLATE(B21913,""id"",""en"")"),"['Perfect', 'login', 'difficult', '']")</f>
        <v>['Perfect', 'login', 'difficult', '']</v>
      </c>
      <c r="D21913" s="3">
        <v>5.0</v>
      </c>
    </row>
    <row r="21914" ht="15.75" customHeight="1">
      <c r="A21914" s="1">
        <v>23279.0</v>
      </c>
      <c r="B21914" s="3" t="s">
        <v>20689</v>
      </c>
      <c r="C21914" s="3" t="str">
        <f>IFERROR(__xludf.DUMMYFUNCTION("GOOGLETRANSLATE(B21914,""id"",""en"")"),"['signal', 'Telkomsel', 'already', 'Bener', 'dilapidated', 'lazy', 'Telkomsel']")</f>
        <v>['signal', 'Telkomsel', 'already', 'Bener', 'dilapidated', 'lazy', 'Telkomsel']</v>
      </c>
      <c r="D21914" s="3">
        <v>1.0</v>
      </c>
    </row>
    <row r="21915" ht="15.75" customHeight="1">
      <c r="A21915" s="1">
        <v>23280.0</v>
      </c>
      <c r="B21915" s="3" t="s">
        <v>20690</v>
      </c>
      <c r="C21915" s="3" t="str">
        <f>IFERROR(__xludf.DUMMYFUNCTION("GOOGLETRANSLATE(B21915,""id"",""en"")"),"['signal', 'bad', 'Nga', 'comparable', 'cost', 'expensive']")</f>
        <v>['signal', 'bad', 'Nga', 'comparable', 'cost', 'expensive']</v>
      </c>
      <c r="D21915" s="3">
        <v>1.0</v>
      </c>
    </row>
    <row r="21916" ht="15.75" customHeight="1">
      <c r="A21916" s="1">
        <v>23281.0</v>
      </c>
      <c r="B21916" s="3" t="s">
        <v>20691</v>
      </c>
      <c r="C21916" s="3" t="str">
        <f>IFERROR(__xludf.DUMMYFUNCTION("GOOGLETRANSLATE(B21916,""id"",""en"")"),"['Hopefully', 'Mendelek', 'Sinyal', '']")</f>
        <v>['Hopefully', 'Mendelek', 'Sinyal', '']</v>
      </c>
      <c r="D21916" s="3">
        <v>5.0</v>
      </c>
    </row>
    <row r="21917" ht="15.75" customHeight="1">
      <c r="A21917" s="1">
        <v>23283.0</v>
      </c>
      <c r="B21917" s="3" t="s">
        <v>20692</v>
      </c>
      <c r="C21917" s="3" t="str">
        <f>IFERROR(__xludf.DUMMYFUNCTION("GOOGLETRANSLATE(B21917,""id"",""en"")"),"['Supports', 'Gojek']")</f>
        <v>['Supports', 'Gojek']</v>
      </c>
      <c r="D21917" s="3">
        <v>5.0</v>
      </c>
    </row>
    <row r="21918" ht="15.75" customHeight="1">
      <c r="A21918" s="1">
        <v>23284.0</v>
      </c>
      <c r="B21918" s="3" t="s">
        <v>20693</v>
      </c>
      <c r="C21918" s="3" t="str">
        <f>IFERROR(__xludf.DUMMYFUNCTION("GOOGLETRANSLATE(B21918,""id"",""en"")"),"['Current', 'Network']")</f>
        <v>['Current', 'Network']</v>
      </c>
      <c r="D21918" s="3">
        <v>5.0</v>
      </c>
    </row>
    <row r="21919" ht="15.75" customHeight="1">
      <c r="A21919" s="1">
        <v>23285.0</v>
      </c>
      <c r="B21919" s="3" t="s">
        <v>20694</v>
      </c>
      <c r="C21919" s="3" t="str">
        <f>IFERROR(__xludf.DUMMYFUNCTION("GOOGLETRANSLATE(B21919,""id"",""en"")"),"['application', 'ugly', 'error', 'update', '']")</f>
        <v>['application', 'ugly', 'error', 'update', '']</v>
      </c>
      <c r="D21919" s="3">
        <v>1.0</v>
      </c>
    </row>
    <row r="21920" ht="15.75" customHeight="1">
      <c r="A21920" s="1">
        <v>23286.0</v>
      </c>
      <c r="B21920" s="3" t="s">
        <v>20695</v>
      </c>
      <c r="C21920" s="3" t="str">
        <f>IFERROR(__xludf.DUMMYFUNCTION("GOOGLETRANSLATE(B21920,""id"",""en"")"),"['customer', 'loyal', 'Telkomsel', 'disappointed', 'quality', 'signal', 'good', 'price', 'kuaota', 'internet', 'expensive', 'promo', ' according to ',' Telkomsel ',' gift ',' chec ',' check ',' check ',' closed ',' point ',' exchanged ',' pulse ',' paksta"&amp;"kn ',' rates', '']")</f>
        <v>['customer', 'loyal', 'Telkomsel', 'disappointed', 'quality', 'signal', 'good', 'price', 'kuaota', 'internet', 'expensive', 'promo', ' according to ',' Telkomsel ',' gift ',' chec ',' check ',' check ',' closed ',' point ',' exchanged ',' pulse ',' pakstakn ',' rates', '']</v>
      </c>
      <c r="D21920" s="3">
        <v>3.0</v>
      </c>
    </row>
    <row r="21921" ht="15.75" customHeight="1">
      <c r="A21921" s="1">
        <v>23287.0</v>
      </c>
      <c r="B21921" s="3" t="s">
        <v>20696</v>
      </c>
      <c r="C21921" s="3" t="str">
        <f>IFERROR(__xludf.DUMMYFUNCTION("GOOGLETRANSLATE(B21921,""id"",""en"")"),"['Yesterday', 'open', 'application', 'no', 'area', 'signal', 'Telkomsel', 'severe', 'package', 'data', 'expensive', ""]")</f>
        <v>['Yesterday', 'open', 'application', 'no', 'area', 'signal', 'Telkomsel', 'severe', 'package', 'data', 'expensive', "]</v>
      </c>
      <c r="D21921" s="3">
        <v>1.0</v>
      </c>
    </row>
    <row r="21922" ht="15.75" customHeight="1">
      <c r="A21922" s="1">
        <v>23288.0</v>
      </c>
      <c r="B21922" s="3" t="s">
        <v>20697</v>
      </c>
      <c r="C21922" s="3" t="str">
        <f>IFERROR(__xludf.DUMMYFUNCTION("GOOGLETRANSLATE(B21922,""id"",""en"")"),"['company', 'price', 'product', 'expensive', 'quality', 'application', 'bad', 'signal', 'bad']")</f>
        <v>['company', 'price', 'product', 'expensive', 'quality', 'application', 'bad', 'signal', 'bad']</v>
      </c>
      <c r="D21922" s="3">
        <v>1.0</v>
      </c>
    </row>
    <row r="21923" ht="15.75" customHeight="1">
      <c r="A21923" s="1">
        <v>23289.0</v>
      </c>
      <c r="B21923" s="3" t="s">
        <v>20698</v>
      </c>
      <c r="C21923" s="3" t="str">
        <f>IFERROR(__xludf.DUMMYFUNCTION("GOOGLETRANSLATE(B21923,""id"",""en"")"),"['ugly', 'slow', 'expensive']")</f>
        <v>['ugly', 'slow', 'expensive']</v>
      </c>
      <c r="D21923" s="3">
        <v>1.0</v>
      </c>
    </row>
    <row r="21924" ht="15.75" customHeight="1">
      <c r="A21924" s="1">
        <v>23290.0</v>
      </c>
      <c r="B21924" s="3" t="s">
        <v>20699</v>
      </c>
      <c r="C21924" s="3" t="str">
        <f>IFERROR(__xludf.DUMMYFUNCTION("GOOGLETRANSLATE(B21924,""id"",""en"")"),"['network', 'internet', 'slow', 'annoying', 'performance']")</f>
        <v>['network', 'internet', 'slow', 'annoying', 'performance']</v>
      </c>
      <c r="D21924" s="3">
        <v>1.0</v>
      </c>
    </row>
    <row r="21925" ht="15.75" customHeight="1">
      <c r="A21925" s="1">
        <v>23291.0</v>
      </c>
      <c r="B21925" s="3" t="s">
        <v>20700</v>
      </c>
      <c r="C21925" s="3" t="str">
        <f>IFERROR(__xludf.DUMMYFUNCTION("GOOGLETRANSLATE(B21925,""id"",""en"")"),"['application', 'TOD', 'ugly', 'Bngt', 'PDHL', 'Internet', 'CPT', 'Bukak', 'App', 'Telkom', 'Bet']")</f>
        <v>['application', 'TOD', 'ugly', 'Bngt', 'PDHL', 'Internet', 'CPT', 'Bukak', 'App', 'Telkom', 'Bet']</v>
      </c>
      <c r="D21925" s="3">
        <v>1.0</v>
      </c>
    </row>
    <row r="21926" ht="15.75" customHeight="1">
      <c r="A21926" s="1">
        <v>23292.0</v>
      </c>
      <c r="B21926" s="3" t="s">
        <v>20701</v>
      </c>
      <c r="C21926" s="3" t="str">
        <f>IFERROR(__xludf.DUMMYFUNCTION("GOOGLETRANSLATE(B21926,""id"",""en"")"),"['Package', 'given', 'cheap', 'Alhamdulillah']")</f>
        <v>['Package', 'given', 'cheap', 'Alhamdulillah']</v>
      </c>
      <c r="D21926" s="3">
        <v>5.0</v>
      </c>
    </row>
    <row r="21927" ht="15.75" customHeight="1">
      <c r="A21927" s="1">
        <v>23293.0</v>
      </c>
      <c r="B21927" s="3" t="s">
        <v>20702</v>
      </c>
      <c r="C21927" s="3" t="str">
        <f>IFERROR(__xludf.DUMMYFUNCTION("GOOGLETRANSLATE(B21927,""id"",""en"")"),"['Come', 'Telkomsel', 'garbage', 'signal', 'stable', 'price', 'expensive', 'poor', 'Telkomsel']")</f>
        <v>['Come', 'Telkomsel', 'garbage', 'signal', 'stable', 'price', 'expensive', 'poor', 'Telkomsel']</v>
      </c>
      <c r="D21927" s="3">
        <v>1.0</v>
      </c>
    </row>
    <row r="21928" ht="15.75" customHeight="1">
      <c r="A21928" s="1">
        <v>23294.0</v>
      </c>
      <c r="B21928" s="3" t="s">
        <v>20703</v>
      </c>
      <c r="C21928" s="3" t="str">
        <f>IFERROR(__xludf.DUMMYFUNCTION("GOOGLETRANSLATE(B21928,""id"",""en"")"),"['Yoh', 'good', 'slow', 'expensive', 'Jrgan', 'spacious',' spacious', 'hrinya', 'basics',' bugus', 'maybe', 'maybe', ' Mhal ',' Intrnet ',' a little ',' kataya ']")</f>
        <v>['Yoh', 'good', 'slow', 'expensive', 'Jrgan', 'spacious',' spacious', 'hrinya', 'basics',' bugus', 'maybe', 'maybe', ' Mhal ',' Intrnet ',' a little ',' kataya ']</v>
      </c>
      <c r="D21928" s="3">
        <v>5.0</v>
      </c>
    </row>
    <row r="21929" ht="15.75" customHeight="1">
      <c r="A21929" s="1">
        <v>23295.0</v>
      </c>
      <c r="B21929" s="3" t="s">
        <v>20704</v>
      </c>
      <c r="C21929" s="3" t="str">
        <f>IFERROR(__xludf.DUMMYFUNCTION("GOOGLETRANSLATE(B21929,""id"",""en"")"),"['bad', 'quality', 'signal', 'log', 'hard', 'forgiveness',' night ',' noon ',' entry ',' error ',' repeat ',' reset ',' expensive ',' TPI ',' bad ',' signal ',' ']")</f>
        <v>['bad', 'quality', 'signal', 'log', 'hard', 'forgiveness',' night ',' noon ',' entry ',' error ',' repeat ',' reset ',' expensive ',' TPI ',' bad ',' signal ',' ']</v>
      </c>
      <c r="D21929" s="3">
        <v>1.0</v>
      </c>
    </row>
    <row r="21930" ht="15.75" customHeight="1">
      <c r="A21930" s="1">
        <v>23296.0</v>
      </c>
      <c r="B21930" s="3" t="s">
        <v>20705</v>
      </c>
      <c r="C21930" s="3" t="str">
        <f>IFERROR(__xludf.DUMMYFUNCTION("GOOGLETRANSLATE(B21930,""id"",""en"")"),"['opinion']")</f>
        <v>['opinion']</v>
      </c>
      <c r="D21930" s="3">
        <v>5.0</v>
      </c>
    </row>
    <row r="21931" ht="15.75" customHeight="1">
      <c r="A21931" s="1">
        <v>23298.0</v>
      </c>
      <c r="B21931" s="3" t="s">
        <v>20706</v>
      </c>
      <c r="C21931" s="3" t="str">
        <f>IFERROR(__xludf.DUMMYFUNCTION("GOOGLETRANSLATE(B21931,""id"",""en"")"),"['Ngak', 'discount']")</f>
        <v>['Ngak', 'discount']</v>
      </c>
      <c r="D21931" s="3">
        <v>1.0</v>
      </c>
    </row>
    <row r="21932" ht="15.75" customHeight="1">
      <c r="A21932" s="1">
        <v>23299.0</v>
      </c>
      <c r="B21932" s="3" t="s">
        <v>20707</v>
      </c>
      <c r="C21932" s="3" t="str">
        <f>IFERROR(__xludf.DUMMYFUNCTION("GOOGLETRANSLATE(B21932,""id"",""en"")"),"['Package', 'Internet', 'Land', 'please', 'fast', 'biki']")</f>
        <v>['Package', 'Internet', 'Land', 'please', 'fast', 'biki']</v>
      </c>
      <c r="D21932" s="3">
        <v>3.0</v>
      </c>
    </row>
    <row r="21933" ht="15.75" customHeight="1">
      <c r="A21933" s="1">
        <v>23300.0</v>
      </c>
      <c r="B21933" s="3" t="s">
        <v>20708</v>
      </c>
      <c r="C21933" s="3" t="str">
        <f>IFERROR(__xludf.DUMMYFUNCTION("GOOGLETRANSLATE(B21933,""id"",""en"")"),"['Okay', 'Try', 'Optimal', '']")</f>
        <v>['Okay', 'Try', 'Optimal', '']</v>
      </c>
      <c r="D21933" s="3">
        <v>4.0</v>
      </c>
    </row>
    <row r="21934" ht="15.75" customHeight="1">
      <c r="A21934" s="1">
        <v>23301.0</v>
      </c>
      <c r="B21934" s="3" t="s">
        <v>15182</v>
      </c>
      <c r="C21934" s="3" t="str">
        <f>IFERROR(__xludf.DUMMYFUNCTION("GOOGLETRANSLATE(B21934,""id"",""en"")"),"['success']")</f>
        <v>['success']</v>
      </c>
      <c r="D21934" s="3">
        <v>5.0</v>
      </c>
    </row>
    <row r="21935" ht="15.75" customHeight="1">
      <c r="A21935" s="1">
        <v>23302.0</v>
      </c>
      <c r="B21935" s="3" t="s">
        <v>20709</v>
      </c>
      <c r="C21935" s="3" t="str">
        <f>IFERROR(__xludf.DUMMYFUNCTION("GOOGLETRANSLATE(B21935,""id"",""en"")"),"['Opened', 'Error', 'Sudden', '']")</f>
        <v>['Opened', 'Error', 'Sudden', '']</v>
      </c>
      <c r="D21935" s="3">
        <v>1.0</v>
      </c>
    </row>
    <row r="21936" ht="15.75" customHeight="1">
      <c r="A21936" s="1">
        <v>23303.0</v>
      </c>
      <c r="B21936" s="3" t="s">
        <v>20710</v>
      </c>
      <c r="C21936" s="3" t="str">
        <f>IFERROR(__xludf.DUMMYFUNCTION("GOOGLETRANSLATE(B21936,""id"",""en"")"),"['Ceklis', 'Daily', 'right', 'Ceklis', 'Lost', 'Daily', 'Ceklis', 'Kali', 'Please', ""]")</f>
        <v>['Ceklis', 'Daily', 'right', 'Ceklis', 'Lost', 'Daily', 'Ceklis', 'Kali', 'Please', "]</v>
      </c>
      <c r="D21936" s="3">
        <v>3.0</v>
      </c>
    </row>
    <row r="21937" ht="15.75" customHeight="1">
      <c r="A21937" s="1">
        <v>23304.0</v>
      </c>
      <c r="B21937" s="3" t="s">
        <v>20711</v>
      </c>
      <c r="C21937" s="3" t="str">
        <f>IFERROR(__xludf.DUMMYFUNCTION("GOOGLETRANSLATE(B21937,""id"",""en"")"),"['signal', 'Telkomsel', 'difficult', 'please', 'fix', 'udh', 'weekly', 'interest', 'sudden', 'difficult', 'contact "",' user ',' Faithful ',' Telkomsel ',' Please ',' Fix ']")</f>
        <v>['signal', 'Telkomsel', 'difficult', 'please', 'fix', 'udh', 'weekly', 'interest', 'sudden', 'difficult', 'contact ",' user ',' Faithful ',' Telkomsel ',' Please ',' Fix ']</v>
      </c>
      <c r="D21937" s="3">
        <v>3.0</v>
      </c>
    </row>
    <row r="21938" ht="15.75" customHeight="1">
      <c r="A21938" s="1">
        <v>23305.0</v>
      </c>
      <c r="B21938" s="3" t="s">
        <v>20712</v>
      </c>
      <c r="C21938" s="3" t="str">
        <f>IFERROR(__xludf.DUMMYFUNCTION("GOOGLETRANSLATE(B21938,""id"",""en"")"),"['Good', 'Signal', 'Telkomsel', 'Region', 'Makassar', ""]")</f>
        <v>['Good', 'Signal', 'Telkomsel', 'Region', 'Makassar', "]</v>
      </c>
      <c r="D21938" s="3">
        <v>3.0</v>
      </c>
    </row>
    <row r="21939" ht="15.75" customHeight="1">
      <c r="A21939" s="1">
        <v>23306.0</v>
      </c>
      <c r="B21939" s="3" t="s">
        <v>20713</v>
      </c>
      <c r="C21939" s="3" t="str">
        <f>IFERROR(__xludf.DUMMYFUNCTION("GOOGLETRANSLATE(B21939,""id"",""en"")"),"['area', 'bondowoso', 'signal', 'bad', 'application', 'Telkomsel', 'opened', 'diunistal', 'installed', 'lgi', 'thank', 'ksih']")</f>
        <v>['area', 'bondowoso', 'signal', 'bad', 'application', 'Telkomsel', 'opened', 'diunistal', 'installed', 'lgi', 'thank', 'ksih']</v>
      </c>
      <c r="D21939" s="3">
        <v>2.0</v>
      </c>
    </row>
    <row r="21940" ht="15.75" customHeight="1">
      <c r="A21940" s="1">
        <v>23307.0</v>
      </c>
      <c r="B21940" s="3" t="s">
        <v>20714</v>
      </c>
      <c r="C21940" s="3" t="str">
        <f>IFERROR(__xludf.DUMMYFUNCTION("GOOGLETRANSLATE(B21940,""id"",""en"")"),"['Good', 'Recommend', 'users',' Telkomsel ',' Download ',' application ',' transactions', 'easy', 'safe', 'comfortable', 'grasp', 'keep', ' MyTelkomsel ']")</f>
        <v>['Good', 'Recommend', 'users',' Telkomsel ',' Download ',' application ',' transactions', 'easy', 'safe', 'comfortable', 'grasp', 'keep', ' MyTelkomsel ']</v>
      </c>
      <c r="D21940" s="3">
        <v>5.0</v>
      </c>
    </row>
    <row r="21941" ht="15.75" customHeight="1">
      <c r="A21941" s="1">
        <v>23308.0</v>
      </c>
      <c r="B21941" s="3" t="s">
        <v>20715</v>
      </c>
      <c r="C21941" s="3" t="str">
        <f>IFERROR(__xludf.DUMMYFUNCTION("GOOGLETRANSLATE(B21941,""id"",""en"")"),"['Telkomsel', 'Network', 'Social', 'company', 'leading', 'Indonesia', 'darling', 'offer', 'myriad', 'rules',' people ',' lay ',' understand']")</f>
        <v>['Telkomsel', 'Network', 'Social', 'company', 'leading', 'Indonesia', 'darling', 'offer', 'myriad', 'rules',' people ',' lay ',' understand']</v>
      </c>
      <c r="D21941" s="3">
        <v>3.0</v>
      </c>
    </row>
    <row r="21942" ht="15.75" customHeight="1">
      <c r="A21942" s="1">
        <v>23309.0</v>
      </c>
      <c r="B21942" s="3" t="s">
        <v>20716</v>
      </c>
      <c r="C21942" s="3" t="str">
        <f>IFERROR(__xludf.DUMMYFUNCTION("GOOGLETRANSLATE(B21942,""id"",""en"")"),"['The application', 'slow', 'difficult', 'opened', 'quality', 'Please', 'repaired', ""]")</f>
        <v>['The application', 'slow', 'difficult', 'opened', 'quality', 'Please', 'repaired', "]</v>
      </c>
      <c r="D21942" s="3">
        <v>1.0</v>
      </c>
    </row>
    <row r="21943" ht="15.75" customHeight="1">
      <c r="A21943" s="1">
        <v>23310.0</v>
      </c>
      <c r="B21943" s="3" t="s">
        <v>20717</v>
      </c>
      <c r="C21943" s="3" t="str">
        <f>IFERROR(__xludf.DUMMYFUNCTION("GOOGLETRANSLATE(B21943,""id"",""en"")"),"['Application', 'Telkomsel', 'Lost', 'Download', 'Gag', '']")</f>
        <v>['Application', 'Telkomsel', 'Lost', 'Download', 'Gag', '']</v>
      </c>
      <c r="D21943" s="3">
        <v>1.0</v>
      </c>
    </row>
    <row r="21944" ht="15.75" customHeight="1">
      <c r="A21944" s="1">
        <v>23311.0</v>
      </c>
      <c r="B21944" s="3" t="s">
        <v>20718</v>
      </c>
      <c r="C21944" s="3" t="str">
        <f>IFERROR(__xludf.DUMMYFUNCTION("GOOGLETRANSLATE(B21944,""id"",""en"")"),"['Severe', 'Service', 'Telkomsel', 'Credit', 'Buy', 'Package', 'Internet', 'Thinking', 'Quota', 'Main', 'Cake', 'SMS', ' Credit ',' Mathematics', 'Where', 'Credit', 'Buy', 'Package', 'Price', '']")</f>
        <v>['Severe', 'Service', 'Telkomsel', 'Credit', 'Buy', 'Package', 'Internet', 'Thinking', 'Quota', 'Main', 'Cake', 'SMS', ' Credit ',' Mathematics', 'Where', 'Credit', 'Buy', 'Package', 'Price', '']</v>
      </c>
      <c r="D21944" s="3">
        <v>1.0</v>
      </c>
    </row>
    <row r="21945" ht="15.75" customHeight="1">
      <c r="A21945" s="1">
        <v>23312.0</v>
      </c>
      <c r="B21945" s="3" t="s">
        <v>20719</v>
      </c>
      <c r="C21945" s="3" t="str">
        <f>IFERROR(__xludf.DUMMYFUNCTION("GOOGLETRANSLATE(B21945,""id"",""en"")"),"['Error', 'Loading', 'Loading', 'Kick', 'Change', 'Move', 'Maunukar', 'Points',' Developer ',' Kick ',' Change ',' Developer ',' Design ',' Application ',' Heavy ',' Network ',' Telkomsel ',' AHIR ',' Disruption ',' Super ',' Lemot ', ""]")</f>
        <v>['Error', 'Loading', 'Loading', 'Kick', 'Change', 'Move', 'Maunukar', 'Points',' Developer ',' Kick ',' Change ',' Developer ',' Design ',' Application ',' Heavy ',' Network ',' Telkomsel ',' AHIR ',' Disruption ',' Super ',' Lemot ', "]</v>
      </c>
      <c r="D21945" s="3">
        <v>2.0</v>
      </c>
    </row>
    <row r="21946" ht="15.75" customHeight="1">
      <c r="A21946" s="1">
        <v>23313.0</v>
      </c>
      <c r="B21946" s="3" t="s">
        <v>20720</v>
      </c>
      <c r="C21946" s="3" t="str">
        <f>IFERROR(__xludf.DUMMYFUNCTION("GOOGLETRANSLATE(B21946,""id"",""en"")"),"['Dear', 'admin', 'contents',' pulse ',' pulses', 'reduced', 'call', 'sms',' please ',' sprti ',' love ',' explanation ',' Solution ',' enter ',' application ',' knp ',' jdi ',' poor ',' really ',' Telkomsel ', ""]")</f>
        <v>['Dear', 'admin', 'contents',' pulse ',' pulses', 'reduced', 'call', 'sms',' please ',' sprti ',' love ',' explanation ',' Solution ',' enter ',' application ',' knp ',' jdi ',' poor ',' really ',' Telkomsel ', "]</v>
      </c>
      <c r="D21946" s="3">
        <v>1.0</v>
      </c>
    </row>
    <row r="21947" ht="15.75" customHeight="1">
      <c r="A21947" s="1">
        <v>23314.0</v>
      </c>
      <c r="B21947" s="3" t="s">
        <v>20721</v>
      </c>
      <c r="C21947" s="3" t="str">
        <f>IFERROR(__xludf.DUMMYFUNCTION("GOOGLETRANSLATE(B21947,""id"",""en"")"),"['BasicX', 'Bgus', 'Simple']")</f>
        <v>['BasicX', 'Bgus', 'Simple']</v>
      </c>
      <c r="D21947" s="3">
        <v>5.0</v>
      </c>
    </row>
    <row r="21948" ht="15.75" customHeight="1">
      <c r="A21948" s="1">
        <v>23315.0</v>
      </c>
      <c r="B21948" s="3" t="s">
        <v>20722</v>
      </c>
      <c r="C21948" s="3" t="str">
        <f>IFERROR(__xludf.DUMMYFUNCTION("GOOGLETRANSLATE(B21948,""id"",""en"")"),"['Please', 'Fix', 'APK', 'APK', 'Damaged', 'Buy', 'Package', 'Very', 'UDH', 'Registered', 'Buy', 'Package', ' package ',' in ',' pulse ',' already ',' reduced ',' please ',' fix ',' apk ',' thisiiiiii ']")</f>
        <v>['Please', 'Fix', 'APK', 'APK', 'Damaged', 'Buy', 'Package', 'Very', 'UDH', 'Registered', 'Buy', 'Package', ' package ',' in ',' pulse ',' already ',' reduced ',' please ',' fix ',' apk ',' thisiiiiii ']</v>
      </c>
      <c r="D21948" s="3">
        <v>1.0</v>
      </c>
    </row>
    <row r="21949" ht="15.75" customHeight="1">
      <c r="A21949" s="1">
        <v>23316.0</v>
      </c>
      <c r="B21949" s="3" t="s">
        <v>20723</v>
      </c>
      <c r="C21949" s="3" t="str">
        <f>IFERROR(__xludf.DUMMYFUNCTION("GOOGLETRANSLATE(B21949,""id"",""en"")"),"['promo', 'buy', 'expensive']")</f>
        <v>['promo', 'buy', 'expensive']</v>
      </c>
      <c r="D21949" s="3">
        <v>4.0</v>
      </c>
    </row>
    <row r="21950" ht="15.75" customHeight="1">
      <c r="A21950" s="1">
        <v>23317.0</v>
      </c>
      <c r="B21950" s="3" t="s">
        <v>20724</v>
      </c>
      <c r="C21950" s="3" t="str">
        <f>IFERROR(__xludf.DUMMYFUNCTION("GOOGLETRANSLATE(B21950,""id"",""en"")"),"['APK', 'smakin', 'rotten', 'apk', 'dirty']")</f>
        <v>['APK', 'smakin', 'rotten', 'apk', 'dirty']</v>
      </c>
      <c r="D21950" s="3">
        <v>1.0</v>
      </c>
    </row>
    <row r="21951" ht="15.75" customHeight="1">
      <c r="A21951" s="1">
        <v>23318.0</v>
      </c>
      <c r="B21951" s="3" t="s">
        <v>20725</v>
      </c>
      <c r="C21951" s="3" t="str">
        <f>IFERROR(__xludf.DUMMYFUNCTION("GOOGLETRANSLATE(B21951,""id"",""en"")"),"['Update', 'Login', 'Rates', 'Network', 'Bad', 'contemplated', 'Defense', 'Telkomsel', 'Move', 'Haluan', ""]")</f>
        <v>['Update', 'Login', 'Rates', 'Network', 'Bad', 'contemplated', 'Defense', 'Telkomsel', 'Move', 'Haluan', "]</v>
      </c>
      <c r="D21951" s="3">
        <v>1.0</v>
      </c>
    </row>
    <row r="21952" ht="15.75" customHeight="1">
      <c r="A21952" s="1">
        <v>23319.0</v>
      </c>
      <c r="B21952" s="3" t="s">
        <v>20726</v>
      </c>
      <c r="C21952" s="3" t="str">
        <f>IFERROR(__xludf.DUMMYFUNCTION("GOOGLETRANSLATE(B21952,""id"",""en"")"),"['Cheap', 'package']")</f>
        <v>['Cheap', 'package']</v>
      </c>
      <c r="D21952" s="3">
        <v>5.0</v>
      </c>
    </row>
    <row r="21953" ht="15.75" customHeight="1">
      <c r="A21953" s="1">
        <v>23320.0</v>
      </c>
      <c r="B21953" s="3" t="s">
        <v>20727</v>
      </c>
      <c r="C21953" s="3" t="str">
        <f>IFERROR(__xludf.DUMMYFUNCTION("GOOGLETRANSLATE(B21953,""id"",""en"")"),"['The application', 'really', 'makes it easy', 'customers', 'Telkomsel', '']")</f>
        <v>['The application', 'really', 'makes it easy', 'customers', 'Telkomsel', '']</v>
      </c>
      <c r="D21953" s="3">
        <v>5.0</v>
      </c>
    </row>
    <row r="21954" ht="15.75" customHeight="1">
      <c r="A21954" s="1">
        <v>23321.0</v>
      </c>
      <c r="B21954" s="3" t="s">
        <v>20728</v>
      </c>
      <c r="C21954" s="3" t="str">
        <f>IFERROR(__xludf.DUMMYFUNCTION("GOOGLETRANSLATE(B21954,""id"",""en"")"),"['application', 'gabisa', 'enter', 'bad']")</f>
        <v>['application', 'gabisa', 'enter', 'bad']</v>
      </c>
      <c r="D21954" s="3">
        <v>1.0</v>
      </c>
    </row>
    <row r="21955" ht="15.75" customHeight="1">
      <c r="A21955" s="1">
        <v>23322.0</v>
      </c>
      <c r="B21955" s="3" t="s">
        <v>20729</v>
      </c>
      <c r="C21955" s="3" t="str">
        <f>IFERROR(__xludf.DUMMYFUNCTION("GOOGLETRANSLATE(B21955,""id"",""en"")"),"['Price', 'Quality', 'Nurun']")</f>
        <v>['Price', 'Quality', 'Nurun']</v>
      </c>
      <c r="D21955" s="3">
        <v>1.0</v>
      </c>
    </row>
    <row r="21956" ht="15.75" customHeight="1">
      <c r="A21956" s="1">
        <v>23323.0</v>
      </c>
      <c r="B21956" s="3" t="s">
        <v>20730</v>
      </c>
      <c r="C21956" s="3" t="str">
        <f>IFERROR(__xludf.DUMMYFUNCTION("GOOGLETRANSLATE(B21956,""id"",""en"")"),"['already', 'contents', 'pulse', 'right', 'take', 'package', 'alhasilpulsa', 'sucked', 'vain', ""]")</f>
        <v>['already', 'contents', 'pulse', 'right', 'take', 'package', 'alhasilpulsa', 'sucked', 'vain', "]</v>
      </c>
      <c r="D21956" s="3">
        <v>1.0</v>
      </c>
    </row>
    <row r="21957" ht="15.75" customHeight="1">
      <c r="A21957" s="1">
        <v>23324.0</v>
      </c>
      <c r="B21957" s="3" t="s">
        <v>20731</v>
      </c>
      <c r="C21957" s="3" t="str">
        <f>IFERROR(__xludf.DUMMYFUNCTION("GOOGLETRANSLATE(B21957,""id"",""en"")"),"['Love', 'star', 'because' signal ',' like ',' connection ',' signal ',' network ',' ']")</f>
        <v>['Love', 'star', 'because' signal ',' like ',' connection ',' signal ',' network ',' ']</v>
      </c>
      <c r="D21957" s="3">
        <v>5.0</v>
      </c>
    </row>
    <row r="21958" ht="15.75" customHeight="1">
      <c r="A21958" s="1">
        <v>23325.0</v>
      </c>
      <c r="B21958" s="3" t="s">
        <v>20732</v>
      </c>
      <c r="C21958" s="3" t="str">
        <f>IFERROR(__xludf.DUMMYFUNCTION("GOOGLETRANSLATE(B21958,""id"",""en"")"),"['Update', 'Latest', 'APK', 'Open', 'Gerangan', 'friend', ""]")</f>
        <v>['Update', 'Latest', 'APK', 'Open', 'Gerangan', 'friend', "]</v>
      </c>
      <c r="D21958" s="3">
        <v>2.0</v>
      </c>
    </row>
    <row r="21959" ht="15.75" customHeight="1">
      <c r="A21959" s="1">
        <v>23326.0</v>
      </c>
      <c r="B21959" s="3" t="s">
        <v>2981</v>
      </c>
      <c r="C21959" s="3" t="str">
        <f>IFERROR(__xludf.DUMMYFUNCTION("GOOGLETRANSLATE(B21959,""id"",""en"")"),"['APK', 'good']")</f>
        <v>['APK', 'good']</v>
      </c>
      <c r="D21959" s="3">
        <v>5.0</v>
      </c>
    </row>
    <row r="21960" ht="15.75" customHeight="1">
      <c r="A21960" s="1">
        <v>23327.0</v>
      </c>
      <c r="B21960" s="3" t="s">
        <v>20733</v>
      </c>
      <c r="C21960" s="3" t="str">
        <f>IFERROR(__xludf.DUMMYFUNCTION("GOOGLETRANSLATE(B21960,""id"",""en"")"),"['Alhamdulillah', 'Wear', 'Card', 'Telkomsel', 'Package', 'Call', 'Cheap', 'Package', 'Internet', 'Cheap', 'Customer', 'Telkomsel', ' Faithful ',' Hopefully ',' Telkomsel ',' Jaya ']")</f>
        <v>['Alhamdulillah', 'Wear', 'Card', 'Telkomsel', 'Package', 'Call', 'Cheap', 'Package', 'Internet', 'Cheap', 'Customer', 'Telkomsel', ' Faithful ',' Hopefully ',' Telkomsel ',' Jaya ']</v>
      </c>
      <c r="D21960" s="3">
        <v>5.0</v>
      </c>
    </row>
    <row r="21961" ht="15.75" customHeight="1">
      <c r="A21961" s="1">
        <v>23328.0</v>
      </c>
      <c r="B21961" s="3" t="s">
        <v>20734</v>
      </c>
      <c r="C21961" s="3" t="str">
        <f>IFERROR(__xludf.DUMMYFUNCTION("GOOGLETRANSLATE(B21961,""id"",""en"")"),"['Hopefully', 'in the future', 'signal', 'best', 'Indonesia', 'pelted', 'signal', 'satisfying']")</f>
        <v>['Hopefully', 'in the future', 'signal', 'best', 'Indonesia', 'pelted', 'signal', 'satisfying']</v>
      </c>
      <c r="D21961" s="3">
        <v>4.0</v>
      </c>
    </row>
    <row r="21962" ht="15.75" customHeight="1">
      <c r="A21962" s="1">
        <v>23330.0</v>
      </c>
      <c r="B21962" s="3" t="s">
        <v>20735</v>
      </c>
      <c r="C21962" s="3" t="str">
        <f>IFERROR(__xludf.DUMMYFUNCTION("GOOGLETRANSLATE(B21962,""id"",""en"")"),"['already', 'download', 'then' login ',' trs ',' appears ',' notif ',' update ',' application ',' udh ',' download ',' trs ',' Have ',' Update ',' Loganya ',' Masya ',' Allah ',' Difficult ',' Bener ',' Heranda ',' Loading ',' Page ',' Signal ',' Full ','"&amp;" Open ' , 'application', 'smooth', 'times', 'disappointed', 'Telkomsel', '']")</f>
        <v>['already', 'download', 'then' login ',' trs ',' appears ',' notif ',' update ',' application ',' udh ',' download ',' trs ',' Have ',' Update ',' Loganya ',' Masya ',' Allah ',' Difficult ',' Bener ',' Heranda ',' Loading ',' Page ',' Signal ',' Full ',' Open ' , 'application', 'smooth', 'times', 'disappointed', 'Telkomsel', '']</v>
      </c>
      <c r="D21962" s="3">
        <v>1.0</v>
      </c>
    </row>
    <row r="21963" ht="15.75" customHeight="1">
      <c r="A21963" s="1">
        <v>23331.0</v>
      </c>
      <c r="B21963" s="3" t="s">
        <v>20736</v>
      </c>
      <c r="C21963" s="3" t="str">
        <f>IFERROR(__xludf.DUMMYFUNCTION("GOOGLETRANSLATE(B21963,""id"",""en"")"),"['Network', 'Telkomsel', 'Satan', 'Good', 'Im', ""]")</f>
        <v>['Network', 'Telkomsel', 'Satan', 'Good', 'Im', "]</v>
      </c>
      <c r="D21963" s="3">
        <v>1.0</v>
      </c>
    </row>
    <row r="21964" ht="15.75" customHeight="1">
      <c r="A21964" s="1">
        <v>23332.0</v>
      </c>
      <c r="B21964" s="3" t="s">
        <v>20737</v>
      </c>
      <c r="C21964" s="3" t="str">
        <f>IFERROR(__xludf.DUMMYFUNCTION("GOOGLETRANSLATE(B21964,""id"",""en"")"),"['Login', 'Difficult', 'Use', 'Link', 'Magic', 'Seconds',' Weve ',' Think ',' Internet ',' Telkomsel ',' Fast ',' Tlaco ',' Thinking ',' use ',' brain ',' reach ',' the widest ',' weve ',' speed ',' kbps', 'kbps',' signal ',' OPR ',' collision ',' signal "&amp;"' , 'Internet', 'Telkomsel', 'Teremot', 'OPR', 'UPR', 'Project', 'Old', 'Bentar', 'Tumbang', 'Recommendations', 'Point', ""]")</f>
        <v>['Login', 'Difficult', 'Use', 'Link', 'Magic', 'Seconds',' Weve ',' Think ',' Internet ',' Telkomsel ',' Fast ',' Tlaco ',' Thinking ',' use ',' brain ',' reach ',' the widest ',' weve ',' speed ',' kbps', 'kbps',' signal ',' OPR ',' collision ',' signal ' , 'Internet', 'Telkomsel', 'Teremot', 'OPR', 'UPR', 'Project', 'Old', 'Bentar', 'Tumbang', 'Recommendations', 'Point', "]</v>
      </c>
      <c r="D21964" s="3">
        <v>1.0</v>
      </c>
    </row>
    <row r="21965" ht="15.75" customHeight="1">
      <c r="A21965" s="1">
        <v>23333.0</v>
      </c>
      <c r="B21965" s="3" t="s">
        <v>20738</v>
      </c>
      <c r="C21965" s="3" t="str">
        <f>IFERROR(__xludf.DUMMYFUNCTION("GOOGLETRANSLATE(B21965,""id"",""en"")"),"['Disruption', 'system', 'Terosss']")</f>
        <v>['Disruption', 'system', 'Terosss']</v>
      </c>
      <c r="D21965" s="3">
        <v>1.0</v>
      </c>
    </row>
    <row r="21966" ht="15.75" customHeight="1">
      <c r="A21966" s="1">
        <v>23334.0</v>
      </c>
      <c r="B21966" s="3" t="s">
        <v>20739</v>
      </c>
      <c r="C21966" s="3" t="str">
        <f>IFERROR(__xludf.DUMMYFUNCTION("GOOGLETRANSLATE(B21966,""id"",""en"")"),"['Application', 'Telkomsel', 'Blank', 'White', 'appears', 'interfacce']")</f>
        <v>['Application', 'Telkomsel', 'Blank', 'White', 'appears', 'interfacce']</v>
      </c>
      <c r="D21966" s="3">
        <v>3.0</v>
      </c>
    </row>
    <row r="21967" ht="15.75" customHeight="1">
      <c r="A21967" s="1">
        <v>23335.0</v>
      </c>
      <c r="B21967" s="3" t="s">
        <v>20740</v>
      </c>
      <c r="C21967" s="3" t="str">
        <f>IFERROR(__xludf.DUMMYFUNCTION("GOOGLETRANSLATE(B21967,""id"",""en"")"),"['urgent', 'really', 'open', 'application', 'blank', 'white', 'icon', 'menu', 'below', 'sorry', 'really', 'application', ' really ',' that's', 'network', 'open', 'smooth', 'Jaya', 'check', 'update', 'application', 'cba', 'uninstall', 'login', 'have' , 'Te"&amp;"lkomsel', 'You', 'Ribet', '']")</f>
        <v>['urgent', 'really', 'open', 'application', 'blank', 'white', 'icon', 'menu', 'below', 'sorry', 'really', 'application', ' really ',' that's', 'network', 'open', 'smooth', 'Jaya', 'check', 'update', 'application', 'cba', 'uninstall', 'login', 'have' , 'Telkomsel', 'You', 'Ribet', '']</v>
      </c>
      <c r="D21967" s="3">
        <v>1.0</v>
      </c>
    </row>
    <row r="21968" ht="15.75" customHeight="1">
      <c r="A21968" s="1">
        <v>23336.0</v>
      </c>
      <c r="B21968" s="3" t="s">
        <v>20741</v>
      </c>
      <c r="C21968" s="3" t="str">
        <f>IFERROR(__xludf.DUMMYFUNCTION("GOOGLETRANSLATE(B21968,""id"",""en"")"),"['already', 'App', 'Dbuka', 'Season', 'Dehhhhhhhh', 'Please', 'repaired', ""]")</f>
        <v>['already', 'App', 'Dbuka', 'Season', 'Dehhhhhhhh', 'Please', 'repaired', "]</v>
      </c>
      <c r="D21968" s="3">
        <v>1.0</v>
      </c>
    </row>
    <row r="21969" ht="15.75" customHeight="1">
      <c r="A21969" s="1">
        <v>23337.0</v>
      </c>
      <c r="B21969" s="3" t="s">
        <v>14050</v>
      </c>
      <c r="C21969" s="3" t="str">
        <f>IFERROR(__xludf.DUMMYFUNCTION("GOOGLETRANSLATE(B21969,""id"",""en"")"),"['Promo', '']")</f>
        <v>['Promo', '']</v>
      </c>
      <c r="D21969" s="3">
        <v>5.0</v>
      </c>
    </row>
    <row r="21970" ht="15.75" customHeight="1">
      <c r="A21970" s="1">
        <v>23338.0</v>
      </c>
      <c r="B21970" s="3" t="s">
        <v>20742</v>
      </c>
      <c r="C21970" s="3" t="str">
        <f>IFERROR(__xludf.DUMMYFUNCTION("GOOGLETRANSLATE(B21970,""id"",""en"")"),"['Good', 'Application', 'Please', 'Equipped', 'Details',' Info ',' Quota ',' Multimedia ',' Daily ',' APP ',' MaxStream ',' Gamemax ',' Music ',' Max ',' Application ',' Support ',' Quota ',' Multi ',' Media ',' Complete ']")</f>
        <v>['Good', 'Application', 'Please', 'Equipped', 'Details',' Info ',' Quota ',' Multimedia ',' Daily ',' APP ',' MaxStream ',' Gamemax ',' Music ',' Max ',' Application ',' Support ',' Quota ',' Multi ',' Media ',' Complete ']</v>
      </c>
      <c r="D21970" s="3">
        <v>5.0</v>
      </c>
    </row>
    <row r="21971" ht="15.75" customHeight="1">
      <c r="A21971" s="1">
        <v>23339.0</v>
      </c>
      <c r="B21971" s="3" t="s">
        <v>20743</v>
      </c>
      <c r="C21971" s="3" t="str">
        <f>IFERROR(__xludf.DUMMYFUNCTION("GOOGLETRANSLATE(B21971,""id"",""en"")"),"['application', 'broken', 'login', 'already', 'tired', 'tired', 'check', 'live', 'claim', 'bonus', 'gini']")</f>
        <v>['application', 'broken', 'login', 'already', 'tired', 'tired', 'check', 'live', 'claim', 'bonus', 'gini']</v>
      </c>
      <c r="D21971" s="3">
        <v>1.0</v>
      </c>
    </row>
    <row r="21972" ht="15.75" customHeight="1">
      <c r="A21972" s="1">
        <v>23341.0</v>
      </c>
      <c r="B21972" s="3" t="s">
        <v>20744</v>
      </c>
      <c r="C21972" s="3" t="str">
        <f>IFERROR(__xludf.DUMMYFUNCTION("GOOGLETRANSLATE(B21972,""id"",""en"")"),"['Come', 'ugly', 'signal', 'area', 'image', 'buset', 'mending', 'moved', 'network', ""]")</f>
        <v>['Come', 'ugly', 'signal', 'area', 'image', 'buset', 'mending', 'moved', 'network', "]</v>
      </c>
      <c r="D21972" s="3">
        <v>1.0</v>
      </c>
    </row>
    <row r="21973" ht="15.75" customHeight="1">
      <c r="A21973" s="1">
        <v>23342.0</v>
      </c>
      <c r="B21973" s="3" t="s">
        <v>20745</v>
      </c>
      <c r="C21973" s="3" t="str">
        <f>IFERROR(__xludf.DUMMYFUNCTION("GOOGLETRANSLATE(B21973,""id"",""en"")"),"['application', 'steady', '']")</f>
        <v>['application', 'steady', '']</v>
      </c>
      <c r="D21973" s="3">
        <v>5.0</v>
      </c>
    </row>
    <row r="21974" ht="15.75" customHeight="1">
      <c r="A21974" s="1">
        <v>23343.0</v>
      </c>
      <c r="B21974" s="3" t="s">
        <v>20746</v>
      </c>
      <c r="C21974" s="3" t="str">
        <f>IFERROR(__xludf.DUMMYFUNCTION("GOOGLETRANSLATE(B21974,""id"",""en"")"),"['knapa', 'network', 'internet', 'bad', 'Banter', '']")</f>
        <v>['knapa', 'network', 'internet', 'bad', 'Banter', '']</v>
      </c>
      <c r="D21974" s="3">
        <v>1.0</v>
      </c>
    </row>
    <row r="21975" ht="15.75" customHeight="1">
      <c r="A21975" s="1">
        <v>23344.0</v>
      </c>
      <c r="B21975" s="3" t="s">
        <v>20747</v>
      </c>
      <c r="C21975" s="3" t="str">
        <f>IFERROR(__xludf.DUMMYFUNCTION("GOOGLETRANSLATE(B21975,""id"",""en"")"),"['Recomended', 'Jir', 'Install', 'Quota', 'Free', 'Manep']")</f>
        <v>['Recomended', 'Jir', 'Install', 'Quota', 'Free', 'Manep']</v>
      </c>
      <c r="D21975" s="3">
        <v>5.0</v>
      </c>
    </row>
    <row r="21976" ht="15.75" customHeight="1">
      <c r="A21976" s="1">
        <v>23345.0</v>
      </c>
      <c r="B21976" s="3" t="s">
        <v>20748</v>
      </c>
      <c r="C21976" s="3" t="str">
        <f>IFERROR(__xludf.DUMMYFUNCTION("GOOGLETRANSLATE(B21976,""id"",""en"")"),"['Steady', 'smooth']")</f>
        <v>['Steady', 'smooth']</v>
      </c>
      <c r="D21976" s="3">
        <v>5.0</v>
      </c>
    </row>
    <row r="21977" ht="15.75" customHeight="1">
      <c r="A21977" s="1">
        <v>23346.0</v>
      </c>
      <c r="B21977" s="3" t="s">
        <v>20749</v>
      </c>
      <c r="C21977" s="3" t="str">
        <f>IFERROR(__xludf.DUMMYFUNCTION("GOOGLETRANSLATE(B21977,""id"",""en"")"),"['Dear', 'Telkomsel', 'Since', 'Following', 'Operator', 'Telkomsel', 'Card', 'Telkomsel', 'Moving', 'Card', 'Hallo', 'Data', ' Kaga ',' Kaga ',' Maukj ',' Telkomsel ',' Keep ',' Enter ',' Enter ',' Voucher ',' Kaga ',' Please ',' Fix ']")</f>
        <v>['Dear', 'Telkomsel', 'Since', 'Following', 'Operator', 'Telkomsel', 'Card', 'Telkomsel', 'Moving', 'Card', 'Hallo', 'Data', ' Kaga ',' Kaga ',' Maukj ',' Telkomsel ',' Keep ',' Enter ',' Enter ',' Voucher ',' Kaga ',' Please ',' Fix ']</v>
      </c>
      <c r="D21977" s="3">
        <v>2.0</v>
      </c>
    </row>
    <row r="21978" ht="15.75" customHeight="1">
      <c r="A21978" s="1">
        <v>23347.0</v>
      </c>
      <c r="B21978" s="3" t="s">
        <v>20750</v>
      </c>
      <c r="C21978" s="3" t="str">
        <f>IFERROR(__xludf.DUMMYFUNCTION("GOOGLETRANSLATE(B21978,""id"",""en"")"),"['Paraaah', 'Open']")</f>
        <v>['Paraaah', 'Open']</v>
      </c>
      <c r="D21978" s="3">
        <v>2.0</v>
      </c>
    </row>
    <row r="21979" ht="15.75" customHeight="1">
      <c r="A21979" s="1">
        <v>23348.0</v>
      </c>
      <c r="B21979" s="3" t="s">
        <v>20751</v>
      </c>
      <c r="C21979" s="3" t="str">
        <f>IFERROR(__xludf.DUMMYFUNCTION("GOOGLETRANSLATE(B21979,""id"",""en"")"),"['users',' Telkomsel ',' Kati ',' Notif ',' Price ',' Package ',' Unlimited ',' RB ',' check ',' Telkomsel ',' no ',' please ',' Help ',' admin ']")</f>
        <v>['users',' Telkomsel ',' Kati ',' Notif ',' Price ',' Package ',' Unlimited ',' RB ',' check ',' Telkomsel ',' no ',' please ',' Help ',' admin ']</v>
      </c>
      <c r="D21979" s="3">
        <v>1.0</v>
      </c>
    </row>
    <row r="21980" ht="15.75" customHeight="1">
      <c r="A21980" s="1">
        <v>23349.0</v>
      </c>
      <c r="B21980" s="3" t="s">
        <v>20752</v>
      </c>
      <c r="C21980" s="3" t="str">
        <f>IFERROR(__xludf.DUMMYFUNCTION("GOOGLETRANSLATE(B21980,""id"",""en"")"),"['Package', 'expensive', 'combo', '']")</f>
        <v>['Package', 'expensive', 'combo', '']</v>
      </c>
      <c r="D21980" s="3">
        <v>1.0</v>
      </c>
    </row>
    <row r="21981" ht="15.75" customHeight="1">
      <c r="A21981" s="1">
        <v>23350.0</v>
      </c>
      <c r="B21981" s="3" t="s">
        <v>20753</v>
      </c>
      <c r="C21981" s="3" t="str">
        <f>IFERROR(__xludf.DUMMYFUNCTION("GOOGLETRANSLATE(B21981,""id"",""en"")"),"['right', 'contents', 'pulse', 'pulse', 'cut']")</f>
        <v>['right', 'contents', 'pulse', 'pulse', 'cut']</v>
      </c>
      <c r="D21981" s="3">
        <v>1.0</v>
      </c>
    </row>
    <row r="21982" ht="15.75" customHeight="1">
      <c r="A21982" s="1">
        <v>23351.0</v>
      </c>
      <c r="B21982" s="3" t="s">
        <v>20754</v>
      </c>
      <c r="C21982" s="3" t="str">
        <f>IFERROR(__xludf.DUMMYFUNCTION("GOOGLETRANSLATE(B21982,""id"",""en"")"),"['disappointed', 'alternating', 'enter', 'MyTelkom', 'Entered', 'Safe', 'just', 'Error', 'really', 'Telkomsel', 'disappointed']")</f>
        <v>['disappointed', 'alternating', 'enter', 'MyTelkom', 'Entered', 'Safe', 'just', 'Error', 'really', 'Telkomsel', 'disappointed']</v>
      </c>
      <c r="D21982" s="3">
        <v>2.0</v>
      </c>
    </row>
    <row r="21983" ht="15.75" customHeight="1">
      <c r="A21983" s="1">
        <v>23352.0</v>
      </c>
      <c r="B21983" s="3" t="s">
        <v>20755</v>
      </c>
      <c r="C21983" s="3" t="str">
        <f>IFERROR(__xludf.DUMMYFUNCTION("GOOGLETRANSLATE(B21983,""id"",""en"")"),"['Telkomsel', 'bad', 'contents',' credit ',' rb ',' buy ',' package ',' process', 'maklum', 'process',' check ',' pulse ',' Reduced ',' anything ',' package ',' bought ',' check ',' History ',' Data ',' Reduced ',' Thinking ',' Data ',' Msh ',' Use ',' Ne"&amp;"twork ' , 'SIM', 'KNP', 'Gini', 'pulse', 'whole', '']")</f>
        <v>['Telkomsel', 'bad', 'contents',' credit ',' rb ',' buy ',' package ',' process', 'maklum', 'process',' check ',' pulse ',' Reduced ',' anything ',' package ',' bought ',' check ',' History ',' Data ',' Reduced ',' Thinking ',' Data ',' Msh ',' Use ',' Network ' , 'SIM', 'KNP', 'Gini', 'pulse', 'whole', '']</v>
      </c>
      <c r="D21983" s="3">
        <v>1.0</v>
      </c>
    </row>
    <row r="21984" ht="15.75" customHeight="1">
      <c r="A21984" s="1">
        <v>23353.0</v>
      </c>
      <c r="B21984" s="3" t="s">
        <v>20756</v>
      </c>
      <c r="C21984" s="3" t="str">
        <f>IFERROR(__xludf.DUMMYFUNCTION("GOOGLETRANSLATE(B21984,""id"",""en"")"),"['Accessible', 'DIRTING', 'Internet', 'Telkomsel', '']")</f>
        <v>['Accessible', 'DIRTING', 'Internet', 'Telkomsel', '']</v>
      </c>
      <c r="D21984" s="3">
        <v>1.0</v>
      </c>
    </row>
    <row r="21985" ht="15.75" customHeight="1">
      <c r="A21985" s="1">
        <v>23354.0</v>
      </c>
      <c r="B21985" s="3" t="s">
        <v>20757</v>
      </c>
      <c r="C21985" s="3" t="str">
        <f>IFERROR(__xludf.DUMMYFUNCTION("GOOGLETRANSLATE(B21985,""id"",""en"")"),"['already', 'list', 'internet', 'pulse', 'regular', 'reduced', 'access', 'internet', 'weird', 'dualkali', 'bangetttttttttt']")</f>
        <v>['already', 'list', 'internet', 'pulse', 'regular', 'reduced', 'access', 'internet', 'weird', 'dualkali', 'bangetttttttttt']</v>
      </c>
      <c r="D21985" s="3">
        <v>1.0</v>
      </c>
    </row>
    <row r="21986" ht="15.75" customHeight="1">
      <c r="A21986" s="1">
        <v>23355.0</v>
      </c>
      <c r="B21986" s="3" t="s">
        <v>20758</v>
      </c>
      <c r="C21986" s="3" t="str">
        <f>IFERROR(__xludf.DUMMYFUNCTION("GOOGLETRANSLATE(B21986,""id"",""en"")"),"['Steady', 'Telkomsel', 'cabbage', 'daitli', 'check', 'missing', 'Please', 'see', '']")</f>
        <v>['Steady', 'Telkomsel', 'cabbage', 'daitli', 'check', 'missing', 'Please', 'see', '']</v>
      </c>
      <c r="D21986" s="3">
        <v>5.0</v>
      </c>
    </row>
    <row r="21987" ht="15.75" customHeight="1">
      <c r="A21987" s="1">
        <v>23356.0</v>
      </c>
      <c r="B21987" s="3" t="s">
        <v>20759</v>
      </c>
      <c r="C21987" s="3" t="str">
        <f>IFERROR(__xludf.DUMMYFUNCTION("GOOGLETRANSLATE(B21987,""id"",""en"")"),"['APK', 'bgs']")</f>
        <v>['APK', 'bgs']</v>
      </c>
      <c r="D21987" s="3">
        <v>5.0</v>
      </c>
    </row>
    <row r="21988" ht="15.75" customHeight="1">
      <c r="A21988" s="1">
        <v>23357.0</v>
      </c>
      <c r="B21988" s="3" t="s">
        <v>20760</v>
      </c>
      <c r="C21988" s="3" t="str">
        <f>IFERROR(__xludf.DUMMYFUNCTION("GOOGLETRANSLATE(B21988,""id"",""en"")"),"['SANAGT', 'fast', 'contents', 'pulses', 'data']")</f>
        <v>['SANAGT', 'fast', 'contents', 'pulses', 'data']</v>
      </c>
      <c r="D21988" s="3">
        <v>5.0</v>
      </c>
    </row>
    <row r="21989" ht="15.75" customHeight="1">
      <c r="A21989" s="1">
        <v>23359.0</v>
      </c>
      <c r="B21989" s="3" t="s">
        <v>20761</v>
      </c>
      <c r="C21989" s="3" t="str">
        <f>IFERROR(__xludf.DUMMYFUNCTION("GOOGLETRANSLATE(B21989,""id"",""en"")"),"['BUMN', 'Wrapped', 'Rampok', 'Society', 'Robbed', 'Taught', 'Mending', 'Make', 'Im', 'Foreign', 'Cheap', 'Network', ' Stable ',' Hook ', ""]")</f>
        <v>['BUMN', 'Wrapped', 'Rampok', 'Society', 'Robbed', 'Taught', 'Mending', 'Make', 'Im', 'Foreign', 'Cheap', 'Network', ' Stable ',' Hook ', "]</v>
      </c>
      <c r="D21989" s="3">
        <v>1.0</v>
      </c>
    </row>
    <row r="21990" ht="15.75" customHeight="1">
      <c r="A21990" s="1">
        <v>23360.0</v>
      </c>
      <c r="B21990" s="3" t="s">
        <v>20762</v>
      </c>
      <c r="C21990" s="3" t="str">
        <f>IFERROR(__xludf.DUMMYFUNCTION("GOOGLETRANSLATE(B21990,""id"",""en"")"),"['package', 'super', 'cheap', 'easy', 'hopefully']")</f>
        <v>['package', 'super', 'cheap', 'easy', 'hopefully']</v>
      </c>
      <c r="D21990" s="3">
        <v>5.0</v>
      </c>
    </row>
    <row r="21991" ht="15.75" customHeight="1">
      <c r="A21991" s="1">
        <v>23361.0</v>
      </c>
      <c r="B21991" s="3" t="s">
        <v>20763</v>
      </c>
      <c r="C21991" s="3" t="str">
        <f>IFERROR(__xludf.DUMMYFUNCTION("GOOGLETRANSLATE(B21991,""id"",""en"")"),"['apps', 'open', 'after', 'update', 'please', 'fix', 'min']")</f>
        <v>['apps', 'open', 'after', 'update', 'please', 'fix', 'min']</v>
      </c>
      <c r="D21991" s="3">
        <v>5.0</v>
      </c>
    </row>
    <row r="21992" ht="15.75" customHeight="1">
      <c r="A21992" s="1">
        <v>23362.0</v>
      </c>
      <c r="B21992" s="3" t="s">
        <v>20764</v>
      </c>
      <c r="C21992" s="3" t="str">
        <f>IFERROR(__xludf.DUMMYFUNCTION("GOOGLETRANSLATE(B21992,""id"",""en"")"),"['Telkomsel', 'expensive', 'doang', 'signal', 'bad']")</f>
        <v>['Telkomsel', 'expensive', 'doang', 'signal', 'bad']</v>
      </c>
      <c r="D21992" s="3">
        <v>2.0</v>
      </c>
    </row>
    <row r="21993" ht="15.75" customHeight="1">
      <c r="A21993" s="1">
        <v>23363.0</v>
      </c>
      <c r="B21993" s="3" t="s">
        <v>20765</v>
      </c>
      <c r="C21993" s="3" t="str">
        <f>IFERROR(__xludf.DUMMYFUNCTION("GOOGLETRANSLATE(B21993,""id"",""en"")"),"['The network', 'Please', 'repaired', 'Min', 'Influence', 'Weather', 'Sometimes', 'Signal', 'ilang']")</f>
        <v>['The network', 'Please', 'repaired', 'Min', 'Influence', 'Weather', 'Sometimes', 'Signal', 'ilang']</v>
      </c>
      <c r="D21993" s="3">
        <v>5.0</v>
      </c>
    </row>
    <row r="21994" ht="15.75" customHeight="1">
      <c r="A21994" s="1">
        <v>23364.0</v>
      </c>
      <c r="B21994" s="3" t="s">
        <v>20766</v>
      </c>
      <c r="C21994" s="3" t="str">
        <f>IFERROR(__xludf.DUMMYFUNCTION("GOOGLETRANSLATE(B21994,""id"",""en"")"),"['Purchase', 'Package', 'Notification', 'Waiting', 'Quota', 'Enter', 'Oulsa', 'Cutting', 'Disturbing', 'User', 'Faithful', 'Telkomsel', ' ']")</f>
        <v>['Purchase', 'Package', 'Notification', 'Waiting', 'Quota', 'Enter', 'Oulsa', 'Cutting', 'Disturbing', 'User', 'Faithful', 'Telkomsel', ' ']</v>
      </c>
      <c r="D21994" s="3">
        <v>2.0</v>
      </c>
    </row>
    <row r="21995" ht="15.75" customHeight="1">
      <c r="A21995" s="1">
        <v>23365.0</v>
      </c>
      <c r="B21995" s="3" t="s">
        <v>20767</v>
      </c>
      <c r="C21995" s="3" t="str">
        <f>IFERROR(__xludf.DUMMYFUNCTION("GOOGLETRANSLATE(B21995,""id"",""en"")"),"['Use', 'SIM', 'Card', 'Telkomsel', '']")</f>
        <v>['Use', 'SIM', 'Card', 'Telkomsel', '']</v>
      </c>
      <c r="D21995" s="3">
        <v>5.0</v>
      </c>
    </row>
    <row r="21996" ht="15.75" customHeight="1">
      <c r="A21996" s="1">
        <v>23366.0</v>
      </c>
      <c r="B21996" s="3" t="s">
        <v>20768</v>
      </c>
      <c r="C21996" s="3" t="str">
        <f>IFERROR(__xludf.DUMMYFUNCTION("GOOGLETRANSLATE(B21996,""id"",""en"")"),"['Hang', '']")</f>
        <v>['Hang', '']</v>
      </c>
      <c r="D21996" s="3">
        <v>3.0</v>
      </c>
    </row>
    <row r="21997" ht="15.75" customHeight="1">
      <c r="A21997" s="1">
        <v>23367.0</v>
      </c>
      <c r="B21997" s="3" t="s">
        <v>20769</v>
      </c>
      <c r="C21997" s="3" t="str">
        <f>IFERROR(__xludf.DUMMYFUNCTION("GOOGLETRANSLATE(B21997,""id"",""en"")"),"['The review', 'easy', 'understand']")</f>
        <v>['The review', 'easy', 'understand']</v>
      </c>
      <c r="D21997" s="3">
        <v>5.0</v>
      </c>
    </row>
    <row r="21998" ht="15.75" customHeight="1">
      <c r="A21998" s="1">
        <v>23368.0</v>
      </c>
      <c r="B21998" s="3" t="s">
        <v>20770</v>
      </c>
      <c r="C21998" s="3" t="str">
        <f>IFERROR(__xludf.DUMMYFUNCTION("GOOGLETRANSLATE(B21998,""id"",""en"")"),"['Login', 'account', 'via', 'SMS', 'Try', 'SMS', 'enter', 'fucekk']")</f>
        <v>['Login', 'account', 'via', 'SMS', 'Try', 'SMS', 'enter', 'fucekk']</v>
      </c>
      <c r="D21998" s="3">
        <v>1.0</v>
      </c>
    </row>
    <row r="21999" ht="15.75" customHeight="1">
      <c r="A21999" s="1">
        <v>23369.0</v>
      </c>
      <c r="B21999" s="3" t="s">
        <v>17473</v>
      </c>
      <c r="C21999" s="3" t="str">
        <f>IFERROR(__xludf.DUMMYFUNCTION("GOOGLETRANSLATE(B21999,""id"",""en"")"),"['Application', 'Telkomsel', 'opened']")</f>
        <v>['Application', 'Telkomsel', 'opened']</v>
      </c>
      <c r="D21999" s="3">
        <v>1.0</v>
      </c>
    </row>
    <row r="22000" ht="15.75" customHeight="1">
      <c r="A22000" s="1">
        <v>23370.0</v>
      </c>
      <c r="B22000" s="3" t="s">
        <v>20771</v>
      </c>
      <c r="C22000" s="3" t="str">
        <f>IFERROR(__xludf.DUMMYFUNCTION("GOOGLETRANSLATE(B22000,""id"",""en"")"),"['kuranng', 'good', 'slow', 'Telkomsel']")</f>
        <v>['kuranng', 'good', 'slow', 'Telkomsel']</v>
      </c>
      <c r="D22000" s="3">
        <v>3.0</v>
      </c>
    </row>
    <row r="22001" ht="15.75" customHeight="1">
      <c r="A22001" s="1">
        <v>23371.0</v>
      </c>
      <c r="B22001" s="3" t="s">
        <v>20772</v>
      </c>
      <c r="C22001" s="3" t="str">
        <f>IFERROR(__xludf.DUMMYFUNCTION("GOOGLETRANSLATE(B22001,""id"",""en"")"),"['Cape', 'Collecting', 'Daily', 'Check', 'Giga', 'Ngga', 'Claimed', ""]")</f>
        <v>['Cape', 'Collecting', 'Daily', 'Check', 'Giga', 'Ngga', 'Claimed', "]</v>
      </c>
      <c r="D22001" s="3">
        <v>1.0</v>
      </c>
    </row>
    <row r="22002" ht="15.75" customHeight="1">
      <c r="A22002" s="1">
        <v>23372.0</v>
      </c>
      <c r="B22002" s="3" t="s">
        <v>20773</v>
      </c>
      <c r="C22002" s="3" t="str">
        <f>IFERROR(__xludf.DUMMYFUNCTION("GOOGLETRANSLATE(B22002,""id"",""en"")"),"['list', 'mytelkosel', 'reading', 'sorry', 'system', 'busy', 'cobalagi', 'please repair', 'unistal']")</f>
        <v>['list', 'mytelkosel', 'reading', 'sorry', 'system', 'busy', 'cobalagi', 'please repair', 'unistal']</v>
      </c>
      <c r="D22002" s="3">
        <v>1.0</v>
      </c>
    </row>
    <row r="22003" ht="15.75" customHeight="1">
      <c r="A22003" s="1">
        <v>23373.0</v>
      </c>
      <c r="B22003" s="3" t="s">
        <v>20774</v>
      </c>
      <c r="C22003" s="3" t="str">
        <f>IFERROR(__xludf.DUMMYFUNCTION("GOOGLETRANSLATE(B22003,""id"",""en"")"),"['Easy', 'gift']")</f>
        <v>['Easy', 'gift']</v>
      </c>
      <c r="D22003" s="3">
        <v>5.0</v>
      </c>
    </row>
    <row r="22004" ht="15.75" customHeight="1">
      <c r="A22004" s="1">
        <v>23374.0</v>
      </c>
      <c r="B22004" s="3" t="s">
        <v>20775</v>
      </c>
      <c r="C22004" s="3" t="str">
        <f>IFERROR(__xludf.DUMMYFUNCTION("GOOGLETRANSLATE(B22004,""id"",""en"")"),"['Difficult', 'really', 'Udh', 'buy', 'notification']")</f>
        <v>['Difficult', 'really', 'Udh', 'buy', 'notification']</v>
      </c>
      <c r="D22004" s="3">
        <v>2.0</v>
      </c>
    </row>
    <row r="22005" ht="15.75" customHeight="1">
      <c r="A22005" s="1">
        <v>23375.0</v>
      </c>
      <c r="B22005" s="3" t="s">
        <v>20776</v>
      </c>
      <c r="C22005" s="3" t="str">
        <f>IFERROR(__xludf.DUMMYFUNCTION("GOOGLETRANSLATE(B22005,""id"",""en"")"),"['Credit', 'Cut', 'Quota', 'Out', 'Bad', 'Provider', 'MOTH', 'Credit', 'Quota', 'Out', 'Heague', ' ']")</f>
        <v>['Credit', 'Cut', 'Quota', 'Out', 'Bad', 'Provider', 'MOTH', 'Credit', 'Quota', 'Out', 'Heague', ' ']</v>
      </c>
      <c r="D22005" s="3">
        <v>1.0</v>
      </c>
    </row>
    <row r="22006" ht="15.75" customHeight="1">
      <c r="A22006" s="1">
        <v>23376.0</v>
      </c>
      <c r="B22006" s="3" t="s">
        <v>20777</v>
      </c>
      <c r="C22006" s="3" t="str">
        <f>IFERROR(__xludf.DUMMYFUNCTION("GOOGLETRANSLATE(B22006,""id"",""en"")"),"['a week', 'buy', 'package', 'application', 'Telkomsel', 'times',' click ',' sllu ',' mncul ',' writing ',' check ',' kmbli ',' connection ',' repeat ',' transaction ',' minutes', 'already', 'uninstall', 'alternating', 'install', 'buy', 'packetan']")</f>
        <v>['a week', 'buy', 'package', 'application', 'Telkomsel', 'times',' click ',' sllu ',' mncul ',' writing ',' check ',' kmbli ',' connection ',' repeat ',' transaction ',' minutes', 'already', 'uninstall', 'alternating', 'install', 'buy', 'packetan']</v>
      </c>
      <c r="D22006" s="3">
        <v>1.0</v>
      </c>
    </row>
    <row r="22007" ht="15.75" customHeight="1">
      <c r="A22007" s="1">
        <v>23377.0</v>
      </c>
      <c r="B22007" s="3" t="s">
        <v>20778</v>
      </c>
      <c r="C22007" s="3" t="str">
        <f>IFERROR(__xludf.DUMMYFUNCTION("GOOGLETRANSLATE(B22007,""id"",""en"")"),"['Good', 'petrified']")</f>
        <v>['Good', 'petrified']</v>
      </c>
      <c r="D22007" s="3">
        <v>5.0</v>
      </c>
    </row>
    <row r="22008" ht="15.75" customHeight="1">
      <c r="A22008" s="1">
        <v>23378.0</v>
      </c>
      <c r="B22008" s="3" t="s">
        <v>20779</v>
      </c>
      <c r="C22008" s="3" t="str">
        <f>IFERROR(__xludf.DUMMYFUNCTION("GOOGLETRANSLATE(B22008,""id"",""en"")"),"['buy', 'pulse', 'easy', 'app', 'mytelkomsel']")</f>
        <v>['buy', 'pulse', 'easy', 'app', 'mytelkomsel']</v>
      </c>
      <c r="D22008" s="3">
        <v>5.0</v>
      </c>
    </row>
    <row r="22009" ht="15.75" customHeight="1">
      <c r="A22009" s="1">
        <v>23379.0</v>
      </c>
      <c r="B22009" s="3" t="s">
        <v>20780</v>
      </c>
      <c r="C22009" s="3" t="str">
        <f>IFERROR(__xludf.DUMMYFUNCTION("GOOGLETRANSLATE(B22009,""id"",""en"")"),"['Hopefully', 'Lucky', 'permission', 'Allah', 'Aamiin', ""]")</f>
        <v>['Hopefully', 'Lucky', 'permission', 'Allah', 'Aamiin', "]</v>
      </c>
      <c r="D22009" s="3">
        <v>5.0</v>
      </c>
    </row>
    <row r="22010" ht="15.75" customHeight="1">
      <c r="A22010" s="1">
        <v>23380.0</v>
      </c>
      <c r="B22010" s="3" t="s">
        <v>20781</v>
      </c>
      <c r="C22010" s="3" t="str">
        <f>IFERROR(__xludf.DUMMYFUNCTION("GOOGLETRANSLATE(B22010,""id"",""en"")"),"['Open', 'CMA', 'White', 'Doank', 'Login', '']")</f>
        <v>['Open', 'CMA', 'White', 'Doank', 'Login', '']</v>
      </c>
      <c r="D22010" s="3">
        <v>2.0</v>
      </c>
    </row>
    <row r="22011" ht="15.75" customHeight="1">
      <c r="A22011" s="1">
        <v>23381.0</v>
      </c>
      <c r="B22011" s="3" t="s">
        <v>20782</v>
      </c>
      <c r="C22011" s="3" t="str">
        <f>IFERROR(__xludf.DUMMYFUNCTION("GOOGLETRANSLATE(B22011,""id"",""en"")"),"['price', 'expensive', 'package', 'call', 'buy', 'change', 'package', 'expensive']")</f>
        <v>['price', 'expensive', 'package', 'call', 'buy', 'change', 'package', 'expensive']</v>
      </c>
      <c r="D22011" s="3">
        <v>1.0</v>
      </c>
    </row>
    <row r="22012" ht="15.75" customHeight="1">
      <c r="A22012" s="1">
        <v>23382.0</v>
      </c>
      <c r="B22012" s="3" t="s">
        <v>20783</v>
      </c>
      <c r="C22012" s="3" t="str">
        <f>IFERROR(__xludf.DUMMYFUNCTION("GOOGLETRANSLATE(B22012,""id"",""en"")"),"['package', 'UDH', 'expensive', 'network', 'bad', 'satisfaction']")</f>
        <v>['package', 'UDH', 'expensive', 'network', 'bad', 'satisfaction']</v>
      </c>
      <c r="D22012" s="3">
        <v>1.0</v>
      </c>
    </row>
    <row r="22013" ht="15.75" customHeight="1">
      <c r="A22013" s="1">
        <v>23383.0</v>
      </c>
      <c r="B22013" s="3" t="s">
        <v>20784</v>
      </c>
      <c r="C22013" s="3" t="str">
        <f>IFERROR(__xludf.DUMMYFUNCTION("GOOGLETRANSLATE(B22013,""id"",""en"")"),"['fast', 'reach', 'broad']")</f>
        <v>['fast', 'reach', 'broad']</v>
      </c>
      <c r="D22013" s="3">
        <v>5.0</v>
      </c>
    </row>
    <row r="22014" ht="15.75" customHeight="1">
      <c r="A22014" s="1">
        <v>23384.0</v>
      </c>
      <c r="B22014" s="3" t="s">
        <v>20785</v>
      </c>
      <c r="C22014" s="3" t="str">
        <f>IFERROR(__xludf.DUMMYFUNCTION("GOOGLETRANSLATE(B22014,""id"",""en"")"),"['signal', 'like', 'package', 'internet', 'cpt', 'abis',' blum ',' until ',' cpt ',' can ',' notif ',' package ',' Date ',' so ',' Lahh ',' list ',' BBRPA ',' UDH ',' Notif ',' then ',' Login ',' number ',' like ',' Lelatts', 'Bins' , 'Emotion', 'Emiratio"&amp;"n', 'Kesell']")</f>
        <v>['signal', 'like', 'package', 'internet', 'cpt', 'abis',' blum ',' until ',' cpt ',' can ',' notif ',' package ',' Date ',' so ',' Lahh ',' list ',' BBRPA ',' UDH ',' Notif ',' then ',' Login ',' number ',' like ',' Lelatts', 'Bins' , 'Emotion', 'Emiration', 'Kesell']</v>
      </c>
      <c r="D22014" s="3">
        <v>2.0</v>
      </c>
    </row>
    <row r="22015" ht="15.75" customHeight="1">
      <c r="A22015" s="1">
        <v>23385.0</v>
      </c>
      <c r="B22015" s="3" t="s">
        <v>20786</v>
      </c>
      <c r="C22015" s="3" t="str">
        <f>IFERROR(__xludf.DUMMYFUNCTION("GOOGLETRANSLATE(B22015,""id"",""en"")"),"['No', 'Rich', 'Telkomsel', 'Sinyal', 'Slow', 'Increase', 'Good', 'Kayak']")</f>
        <v>['No', 'Rich', 'Telkomsel', 'Sinyal', 'Slow', 'Increase', 'Good', 'Kayak']</v>
      </c>
      <c r="D22015" s="3">
        <v>5.0</v>
      </c>
    </row>
    <row r="22016" ht="15.75" customHeight="1">
      <c r="A22016" s="1">
        <v>23387.0</v>
      </c>
      <c r="B22016" s="3" t="s">
        <v>20787</v>
      </c>
      <c r="C22016" s="3" t="str">
        <f>IFERROR(__xludf.DUMMYFUNCTION("GOOGLETRANSLATE(B22016,""id"",""en"")"),"['It's easy', 'customers', 'Telkomsel', 'Thank you', 'Telkomsel', 'Hopefully', 'Growing', 'Forward', 'Amin']")</f>
        <v>['It's easy', 'customers', 'Telkomsel', 'Thank you', 'Telkomsel', 'Hopefully', 'Growing', 'Forward', 'Amin']</v>
      </c>
      <c r="D22016" s="3">
        <v>5.0</v>
      </c>
    </row>
    <row r="22017" ht="15.75" customHeight="1">
      <c r="A22017" s="1">
        <v>23388.0</v>
      </c>
      <c r="B22017" s="3" t="s">
        <v>20788</v>
      </c>
      <c r="C22017" s="3" t="str">
        <f>IFERROR(__xludf.DUMMYFUNCTION("GOOGLETRANSLATE(B22017,""id"",""en"")"),"['Disappointed', 'cutting', 'pulse', 'wonder', 'leftover', 'pulse', 'zero']")</f>
        <v>['Disappointed', 'cutting', 'pulse', 'wonder', 'leftover', 'pulse', 'zero']</v>
      </c>
      <c r="D22017" s="3">
        <v>2.0</v>
      </c>
    </row>
    <row r="22018" ht="15.75" customHeight="1">
      <c r="A22018" s="1">
        <v>23389.0</v>
      </c>
      <c r="B22018" s="3" t="s">
        <v>20789</v>
      </c>
      <c r="C22018" s="3" t="str">
        <f>IFERROR(__xludf.DUMMYFUNCTION("GOOGLETRANSLATE(B22018,""id"",""en"")"),"['quota', 'main', 'quota', 'social', 'media', 'makai', 'sosmed', 'knpa', 'reduced', 'quota', 'main', 'until', ' run out ',' quota ',' main ',' use ',' sosmed ',' kepungai ',' quota ',' sosmedby ',' aduuuuhhh ',' quota ',' already ',' usage ',' quota ' , '"&amp;"no', 'nyesuain', 'use', 'parahhh', 'fix', 'ngeecewain', '']")</f>
        <v>['quota', 'main', 'quota', 'social', 'media', 'makai', 'sosmed', 'knpa', 'reduced', 'quota', 'main', 'until', ' run out ',' quota ',' main ',' use ',' sosmed ',' kepungai ',' quota ',' sosmedby ',' aduuuuhhh ',' quota ',' already ',' usage ',' quota ' , 'no', 'nyesuain', 'use', 'parahhh', 'fix', 'ngeecewain', '']</v>
      </c>
      <c r="D22018" s="3">
        <v>1.0</v>
      </c>
    </row>
    <row r="22019" ht="15.75" customHeight="1">
      <c r="A22019" s="1">
        <v>23390.0</v>
      </c>
      <c r="B22019" s="3" t="s">
        <v>3507</v>
      </c>
      <c r="C22019" s="3" t="str">
        <f>IFERROR(__xludf.DUMMYFUNCTION("GOOGLETRANSLATE(B22019,""id"",""en"")"),"['like', 'application']")</f>
        <v>['like', 'application']</v>
      </c>
      <c r="D22019" s="3">
        <v>5.0</v>
      </c>
    </row>
    <row r="22020" ht="15.75" customHeight="1">
      <c r="A22020" s="1">
        <v>23391.0</v>
      </c>
      <c r="B22020" s="3" t="s">
        <v>20790</v>
      </c>
      <c r="C22020" s="3" t="str">
        <f>IFERROR(__xludf.DUMMYFUNCTION("GOOGLETRANSLATE(B22020,""id"",""en"")"),"['Bismillah', 'hope', 'sustenance']")</f>
        <v>['Bismillah', 'hope', 'sustenance']</v>
      </c>
      <c r="D22020" s="3">
        <v>5.0</v>
      </c>
    </row>
    <row r="22021" ht="15.75" customHeight="1">
      <c r="A22021" s="1">
        <v>23393.0</v>
      </c>
      <c r="B22021" s="3" t="s">
        <v>20791</v>
      </c>
      <c r="C22021" s="3" t="str">
        <f>IFERROR(__xludf.DUMMYFUNCTION("GOOGLETRANSLATE(B22021,""id"",""en"")"),"['Thank you', 'Telkomsel', 'Signal', 'Quality', 'Good', '']")</f>
        <v>['Thank you', 'Telkomsel', 'Signal', 'Quality', 'Good', '']</v>
      </c>
      <c r="D22021" s="3">
        <v>5.0</v>
      </c>
    </row>
    <row r="22022" ht="15.75" customHeight="1">
      <c r="A22022" s="1">
        <v>23394.0</v>
      </c>
      <c r="B22022" s="3" t="s">
        <v>20792</v>
      </c>
      <c r="C22022" s="3" t="str">
        <f>IFERROR(__xludf.DUMMYFUNCTION("GOOGLETRANSLATE(B22022,""id"",""en"")"),"['Telkomsel', 'taik', 'already', 'upgrade', 'ngelag', 'enter', 'apk', 'telkomsel', 'toq', 'taik']")</f>
        <v>['Telkomsel', 'taik', 'already', 'upgrade', 'ngelag', 'enter', 'apk', 'telkomsel', 'toq', 'taik']</v>
      </c>
      <c r="D22022" s="3">
        <v>1.0</v>
      </c>
    </row>
    <row r="22023" ht="15.75" customHeight="1">
      <c r="A22023" s="1">
        <v>23395.0</v>
      </c>
      <c r="B22023" s="3" t="s">
        <v>20793</v>
      </c>
      <c r="C22023" s="3" t="str">
        <f>IFERROR(__xludf.DUMMYFUNCTION("GOOGLETRANSLATE(B22023,""id"",""en"")"),"['Wear', 'pulse', 'Rp', 'access',' internet ',' non ',' package ',' enjoy ',' quota ',' GB ',' apply ',' access', ' Internet ',' ']")</f>
        <v>['Wear', 'pulse', 'Rp', 'access',' internet ',' non ',' package ',' enjoy ',' quota ',' GB ',' apply ',' access', ' Internet ',' ']</v>
      </c>
      <c r="D22023" s="3">
        <v>1.0</v>
      </c>
    </row>
    <row r="22024" ht="15.75" customHeight="1">
      <c r="A22024" s="1">
        <v>23396.0</v>
      </c>
      <c r="B22024" s="3" t="s">
        <v>20794</v>
      </c>
      <c r="C22024" s="3" t="str">
        <f>IFERROR(__xludf.DUMMYFUNCTION("GOOGLETRANSLATE(B22024,""id"",""en"")"),"['The network', 'downhill']")</f>
        <v>['The network', 'downhill']</v>
      </c>
      <c r="D22024" s="3">
        <v>3.0</v>
      </c>
    </row>
    <row r="22025" ht="15.75" customHeight="1">
      <c r="A22025" s="1">
        <v>23398.0</v>
      </c>
      <c r="B22025" s="3" t="s">
        <v>20795</v>
      </c>
      <c r="C22025" s="3" t="str">
        <f>IFERROR(__xludf.DUMMYFUNCTION("GOOGLETRANSLATE(B22025,""id"",""en"")"),"['Buy', 'Package', 'YouTube', 'Unlimited', 'KLU', 'Cut', 'Quota', 'Main']")</f>
        <v>['Buy', 'Package', 'YouTube', 'Unlimited', 'KLU', 'Cut', 'Quota', 'Main']</v>
      </c>
      <c r="D22025" s="3">
        <v>3.0</v>
      </c>
    </row>
    <row r="22026" ht="15.75" customHeight="1">
      <c r="A22026" s="1">
        <v>23399.0</v>
      </c>
      <c r="B22026" s="3" t="s">
        <v>9252</v>
      </c>
      <c r="C22026" s="3" t="str">
        <f>IFERROR(__xludf.DUMMYFUNCTION("GOOGLETRANSLATE(B22026,""id"",""en"")"),"['expensive', '']")</f>
        <v>['expensive', '']</v>
      </c>
      <c r="D22026" s="3">
        <v>5.0</v>
      </c>
    </row>
    <row r="22027" ht="15.75" customHeight="1">
      <c r="A22027" s="1">
        <v>23400.0</v>
      </c>
      <c r="B22027" s="3" t="s">
        <v>20796</v>
      </c>
      <c r="C22027" s="3" t="str">
        <f>IFERROR(__xludf.DUMMYFUNCTION("GOOGLETRANSLATE(B22027,""id"",""en"")"),"['Facilitates', 'Purpose', 'Telkomsel']")</f>
        <v>['Facilitates', 'Purpose', 'Telkomsel']</v>
      </c>
      <c r="D22027" s="3">
        <v>5.0</v>
      </c>
    </row>
    <row r="22028" ht="15.75" customHeight="1">
      <c r="A22028" s="1">
        <v>23401.0</v>
      </c>
      <c r="B22028" s="3" t="s">
        <v>20797</v>
      </c>
      <c r="C22028" s="3" t="str">
        <f>IFERROR(__xludf.DUMMYFUNCTION("GOOGLETRANSLATE(B22028,""id"",""en"")"),"['Kayak', 'take', 'Kaoin']")</f>
        <v>['Kayak', 'take', 'Kaoin']</v>
      </c>
      <c r="D22028" s="3">
        <v>5.0</v>
      </c>
    </row>
    <row r="22029" ht="15.75" customHeight="1">
      <c r="A22029" s="1">
        <v>23402.0</v>
      </c>
      <c r="B22029" s="3" t="s">
        <v>20798</v>
      </c>
      <c r="C22029" s="3" t="str">
        <f>IFERROR(__xludf.DUMMYFUNCTION("GOOGLETRANSLATE(B22029,""id"",""en"")"),"['Network', 'slow', 'quota', 'expensive']")</f>
        <v>['Network', 'slow', 'quota', 'expensive']</v>
      </c>
      <c r="D22029" s="3">
        <v>1.0</v>
      </c>
    </row>
    <row r="22030" ht="15.75" customHeight="1">
      <c r="A22030" s="1">
        <v>23403.0</v>
      </c>
      <c r="B22030" s="3" t="s">
        <v>20799</v>
      </c>
      <c r="C22030" s="3" t="str">
        <f>IFERROR(__xludf.DUMMYFUNCTION("GOOGLETRANSLATE(B22030,""id"",""en"")"),"['Errr', 'Difficult', 'Loading', 'Loading', 'Easy', 'Closed', 'Hadehhhh']")</f>
        <v>['Errr', 'Difficult', 'Loading', 'Loading', 'Easy', 'Closed', 'Hadehhhh']</v>
      </c>
      <c r="D22030" s="3">
        <v>1.0</v>
      </c>
    </row>
    <row r="22031" ht="15.75" customHeight="1">
      <c r="A22031" s="1">
        <v>23404.0</v>
      </c>
      <c r="B22031" s="3" t="s">
        <v>20800</v>
      </c>
      <c r="C22031" s="3" t="str">
        <f>IFERROR(__xludf.DUMMYFUNCTION("GOOGLETRANSLATE(B22031,""id"",""en"")"),"['admin', 'please', 'update', 'donk', 'used', 'road', 'android', '']")</f>
        <v>['admin', 'please', 'update', 'donk', 'used', 'road', 'android', '']</v>
      </c>
      <c r="D22031" s="3">
        <v>1.0</v>
      </c>
    </row>
    <row r="22032" ht="15.75" customHeight="1">
      <c r="A22032" s="1">
        <v>23405.0</v>
      </c>
      <c r="B22032" s="3" t="s">
        <v>20801</v>
      </c>
      <c r="C22032" s="3" t="str">
        <f>IFERROR(__xludf.DUMMYFUNCTION("GOOGLETRANSLATE(B22032,""id"",""en"")"),"['making easier', 'check', 'pulse', 'package', 'internet', 'easy', 'package', 'internet', 'contents',' reset ',' pulse ',' priority ',' Cheap ',' price ',' package ',' internet ',' thank you ']")</f>
        <v>['making easier', 'check', 'pulse', 'package', 'internet', 'easy', 'package', 'internet', 'contents',' reset ',' pulse ',' priority ',' Cheap ',' price ',' package ',' internet ',' thank you ']</v>
      </c>
      <c r="D22032" s="3">
        <v>5.0</v>
      </c>
    </row>
    <row r="22033" ht="15.75" customHeight="1">
      <c r="A22033" s="1">
        <v>23406.0</v>
      </c>
      <c r="B22033" s="3" t="s">
        <v>20802</v>
      </c>
      <c r="C22033" s="3" t="str">
        <f>IFERROR(__xludf.DUMMYFUNCTION("GOOGLETRANSLATE(B22033,""id"",""en"")"),"['Good', 'affordable', 'TOP', '']")</f>
        <v>['Good', 'affordable', 'TOP', '']</v>
      </c>
      <c r="D22033" s="3">
        <v>5.0</v>
      </c>
    </row>
    <row r="22034" ht="15.75" customHeight="1">
      <c r="A22034" s="1">
        <v>23407.0</v>
      </c>
      <c r="B22034" s="3" t="s">
        <v>20803</v>
      </c>
      <c r="C22034" s="3" t="str">
        <f>IFERROR(__xludf.DUMMYFUNCTION("GOOGLETRANSLATE(B22034,""id"",""en"")"),"['', 'Update', 'Application', 'Click', 'Update', 'Download', 'Install', 'Open', 'Application', 'Open', 'Delete', 'Return', 'Many ',' Times', 'Open']")</f>
        <v>['', 'Update', 'Application', 'Click', 'Update', 'Download', 'Install', 'Open', 'Application', 'Open', 'Delete', 'Return', 'Many ',' Times', 'Open']</v>
      </c>
      <c r="D22034" s="3">
        <v>3.0</v>
      </c>
    </row>
    <row r="22035" ht="15.75" customHeight="1">
      <c r="A22035" s="1">
        <v>23408.0</v>
      </c>
      <c r="B22035" s="3" t="s">
        <v>20804</v>
      </c>
      <c r="C22035" s="3" t="str">
        <f>IFERROR(__xludf.DUMMYFUNCTION("GOOGLETRANSLATE(B22035,""id"",""en"")"),"['Raying', 'package', 'Hello', 'signal', 'internet', 'ugly', 'no', 'change', ""]")</f>
        <v>['Raying', 'package', 'Hello', 'signal', 'internet', 'ugly', 'no', 'change', "]</v>
      </c>
      <c r="D22035" s="3">
        <v>2.0</v>
      </c>
    </row>
    <row r="22036" ht="15.75" customHeight="1">
      <c r="A22036" s="1">
        <v>23410.0</v>
      </c>
      <c r="B22036" s="3" t="s">
        <v>20805</v>
      </c>
      <c r="C22036" s="3" t="str">
        <f>IFERROR(__xludf.DUMMYFUNCTION("GOOGLETRANSLATE(B22036,""id"",""en"")"),"['', 'Telkomsel', 'enter', 'enter', 'already', 'screen', 'white', 'Please', 'Represented', '']")</f>
        <v>['', 'Telkomsel', 'enter', 'enter', 'already', 'screen', 'white', 'Please', 'Represented', '']</v>
      </c>
      <c r="D22036" s="3">
        <v>1.0</v>
      </c>
    </row>
    <row r="22037" ht="15.75" customHeight="1">
      <c r="A22037" s="1">
        <v>23411.0</v>
      </c>
      <c r="B22037" s="3" t="s">
        <v>20806</v>
      </c>
      <c r="C22037" s="3" t="str">
        <f>IFERROR(__xludf.DUMMYFUNCTION("GOOGLETRANSLATE(B22037,""id"",""en"")"),"['Good', 'fast', 'bbank', 'choice']")</f>
        <v>['Good', 'fast', 'bbank', 'choice']</v>
      </c>
      <c r="D22037" s="3">
        <v>5.0</v>
      </c>
    </row>
    <row r="22038" ht="15.75" customHeight="1">
      <c r="A22038" s="1">
        <v>23412.0</v>
      </c>
      <c r="B22038" s="3" t="s">
        <v>1346</v>
      </c>
      <c r="C22038" s="3" t="str">
        <f>IFERROR(__xludf.DUMMYFUNCTION("GOOGLETRANSLATE(B22038,""id"",""en"")"),"['Increase', 'promo']")</f>
        <v>['Increase', 'promo']</v>
      </c>
      <c r="D22038" s="3">
        <v>5.0</v>
      </c>
    </row>
    <row r="22039" ht="15.75" customHeight="1">
      <c r="A22039" s="1">
        <v>23413.0</v>
      </c>
      <c r="B22039" s="3" t="s">
        <v>20807</v>
      </c>
      <c r="C22039" s="3" t="str">
        <f>IFERROR(__xludf.DUMMYFUNCTION("GOOGLETRANSLATE(B22039,""id"",""en"")"),"['Telkomsel', 'okay', 'reach', 'broad', 'service', 'satisfied', 'heart', 'was', 'was', 'gemessss', ""]")</f>
        <v>['Telkomsel', 'okay', 'reach', 'broad', 'service', 'satisfied', 'heart', 'was', 'was', 'gemessss', "]</v>
      </c>
      <c r="D22039" s="3">
        <v>5.0</v>
      </c>
    </row>
    <row r="22040" ht="15.75" customHeight="1">
      <c r="A22040" s="1">
        <v>23414.0</v>
      </c>
      <c r="B22040" s="3" t="s">
        <v>846</v>
      </c>
      <c r="C22040" s="3" t="str">
        <f>IFERROR(__xludf.DUMMYFUNCTION("GOOGLETRANSLATE(B22040,""id"",""en"")"),"['application', 'good']")</f>
        <v>['application', 'good']</v>
      </c>
      <c r="D22040" s="3">
        <v>5.0</v>
      </c>
    </row>
    <row r="22041" ht="15.75" customHeight="1">
      <c r="A22041" s="1">
        <v>23415.0</v>
      </c>
      <c r="B22041" s="3" t="s">
        <v>3131</v>
      </c>
      <c r="C22041" s="3" t="str">
        <f>IFERROR(__xludf.DUMMYFUNCTION("GOOGLETRANSLATE(B22041,""id"",""en"")"),"['Telkomsel', 'ugly']")</f>
        <v>['Telkomsel', 'ugly']</v>
      </c>
      <c r="D22041" s="3">
        <v>1.0</v>
      </c>
    </row>
    <row r="22042" ht="15.75" customHeight="1">
      <c r="A22042" s="1">
        <v>23416.0</v>
      </c>
      <c r="B22042" s="3" t="s">
        <v>20808</v>
      </c>
      <c r="C22042" s="3" t="str">
        <f>IFERROR(__xludf.DUMMYFUNCTION("GOOGLETRANSLATE(B22042,""id"",""en"")"),"['network', 'Telkom', 'repaired', 'network', 'bad']")</f>
        <v>['network', 'Telkom', 'repaired', 'network', 'bad']</v>
      </c>
      <c r="D22042" s="3">
        <v>4.0</v>
      </c>
    </row>
    <row r="22043" ht="15.75" customHeight="1">
      <c r="A22043" s="1">
        <v>23417.0</v>
      </c>
      <c r="B22043" s="3" t="s">
        <v>20809</v>
      </c>
      <c r="C22043" s="3" t="str">
        <f>IFERROR(__xludf.DUMMYFUNCTION("GOOGLETRANSLATE(B22043,""id"",""en"")"),"['Enhanced', 'The network', 'Lemott']")</f>
        <v>['Enhanced', 'The network', 'Lemott']</v>
      </c>
      <c r="D22043" s="3">
        <v>4.0</v>
      </c>
    </row>
    <row r="22044" ht="15.75" customHeight="1">
      <c r="A22044" s="1">
        <v>23418.0</v>
      </c>
      <c r="B22044" s="3" t="s">
        <v>20810</v>
      </c>
      <c r="C22044" s="3" t="str">
        <f>IFERROR(__xludf.DUMMYFUNCTION("GOOGLETRANSLATE(B22044,""id"",""en"")"),"['Taggal', 'des', 'network', 'ugly', 'chat', 'please', 'fix', 'min']")</f>
        <v>['Taggal', 'des', 'network', 'ugly', 'chat', 'please', 'fix', 'min']</v>
      </c>
      <c r="D22044" s="3">
        <v>1.0</v>
      </c>
    </row>
    <row r="22045" ht="15.75" customHeight="1">
      <c r="A22045" s="1">
        <v>23419.0</v>
      </c>
      <c r="B22045" s="3" t="s">
        <v>20811</v>
      </c>
      <c r="C22045" s="3" t="str">
        <f>IFERROR(__xludf.DUMMYFUNCTION("GOOGLETRANSLATE(B22045,""id"",""en"")"),"['best', 'promonx', '']")</f>
        <v>['best', 'promonx', '']</v>
      </c>
      <c r="D22045" s="3">
        <v>3.0</v>
      </c>
    </row>
    <row r="22046" ht="15.75" customHeight="1">
      <c r="A22046" s="1">
        <v>23421.0</v>
      </c>
      <c r="B22046" s="3" t="s">
        <v>20812</v>
      </c>
      <c r="C22046" s="3" t="str">
        <f>IFERROR(__xludf.DUMMYFUNCTION("GOOGLETRANSLATE(B22046,""id"",""en"")"),"['Quota', 'Combo', 'Sakti', 'Unlomited', 'YouTube', 'Donk', ""]")</f>
        <v>['Quota', 'Combo', 'Sakti', 'Unlomited', 'YouTube', 'Donk', "]</v>
      </c>
      <c r="D22046" s="3">
        <v>4.0</v>
      </c>
    </row>
    <row r="22047" ht="15.75" customHeight="1">
      <c r="A22047" s="1">
        <v>23422.0</v>
      </c>
      <c r="B22047" s="3" t="s">
        <v>20813</v>
      </c>
      <c r="C22047" s="3" t="str">
        <f>IFERROR(__xludf.DUMMYFUNCTION("GOOGLETRANSLATE(B22047,""id"",""en"")"),"['buy', 'package', 'anything', 'mytsell', 'disorder', 'system', 'please', 'try', 'minute', 'already', 'try', 'for days',' TTP ',' Please ',' Maintenance ',' Customer ',' Easy ',' Access', 'Fast', 'TRIMS']")</f>
        <v>['buy', 'package', 'anything', 'mytsell', 'disorder', 'system', 'please', 'try', 'minute', 'already', 'try', 'for days',' TTP ',' Please ',' Maintenance ',' Customer ',' Easy ',' Access', 'Fast', 'TRIMS']</v>
      </c>
      <c r="D22047" s="3">
        <v>2.0</v>
      </c>
    </row>
    <row r="22048" ht="15.75" customHeight="1">
      <c r="A22048" s="1">
        <v>23423.0</v>
      </c>
      <c r="B22048" s="3" t="s">
        <v>20814</v>
      </c>
      <c r="C22048" s="3" t="str">
        <f>IFERROR(__xludf.DUMMYFUNCTION("GOOGLETRANSLATE(B22048,""id"",""en"")"),"['', 'PGI', 'Nakan', 'Paketan', 'Kombo', 'Saktiku', 'Price', 'Tmbah', 'Expensive']")</f>
        <v>['', 'PGI', 'Nakan', 'Paketan', 'Kombo', 'Saktiku', 'Price', 'Tmbah', 'Expensive']</v>
      </c>
      <c r="D22048" s="3">
        <v>1.0</v>
      </c>
    </row>
    <row r="22049" ht="15.75" customHeight="1">
      <c r="A22049" s="1">
        <v>23424.0</v>
      </c>
      <c r="B22049" s="3" t="s">
        <v>20815</v>
      </c>
      <c r="C22049" s="3" t="str">
        <f>IFERROR(__xludf.DUMMYFUNCTION("GOOGLETRANSLATE(B22049,""id"",""en"")"),"['', 'Telkomsel', 'simple', ""]")</f>
        <v>['', 'Telkomsel', 'simple', "]</v>
      </c>
      <c r="D22049" s="3">
        <v>4.0</v>
      </c>
    </row>
    <row r="22050" ht="15.75" customHeight="1">
      <c r="A22050" s="1">
        <v>23425.0</v>
      </c>
      <c r="B22050" s="3" t="s">
        <v>20816</v>
      </c>
      <c r="C22050" s="3" t="str">
        <f>IFERROR(__xludf.DUMMYFUNCTION("GOOGLETRANSLATE(B22050,""id"",""en"")"),"['promo', 'lottery', 'interesting']")</f>
        <v>['promo', 'lottery', 'interesting']</v>
      </c>
      <c r="D22050" s="3">
        <v>1.0</v>
      </c>
    </row>
    <row r="22051" ht="15.75" customHeight="1">
      <c r="A22051" s="1">
        <v>23426.0</v>
      </c>
      <c r="B22051" s="3" t="s">
        <v>20817</v>
      </c>
      <c r="C22051" s="3" t="str">
        <f>IFERROR(__xludf.DUMMYFUNCTION("GOOGLETRANSLATE(B22051,""id"",""en"")"),"['Easy', 'use', '']")</f>
        <v>['Easy', 'use', '']</v>
      </c>
      <c r="D22051" s="3">
        <v>5.0</v>
      </c>
    </row>
    <row r="22052" ht="15.75" customHeight="1">
      <c r="A22052" s="1">
        <v>23427.0</v>
      </c>
      <c r="B22052" s="3" t="s">
        <v>20818</v>
      </c>
      <c r="C22052" s="3" t="str">
        <f>IFERROR(__xludf.DUMMYFUNCTION("GOOGLETRANSLATE(B22052,""id"",""en"")"),"['Paketannya', 'expensive', 'expensive', 'Worth', '']")</f>
        <v>['Paketannya', 'expensive', 'expensive', 'Worth', '']</v>
      </c>
      <c r="D22052" s="3">
        <v>1.0</v>
      </c>
    </row>
    <row r="22053" ht="15.75" customHeight="1">
      <c r="A22053" s="1">
        <v>23428.0</v>
      </c>
      <c r="B22053" s="3" t="s">
        <v>20819</v>
      </c>
      <c r="C22053" s="3" t="str">
        <f>IFERROR(__xludf.DUMMYFUNCTION("GOOGLETRANSLATE(B22053,""id"",""en"")"),"['pulse', 'like', 'ilang']")</f>
        <v>['pulse', 'like', 'ilang']</v>
      </c>
      <c r="D22053" s="3">
        <v>2.0</v>
      </c>
    </row>
    <row r="22054" ht="15.75" customHeight="1">
      <c r="A22054" s="1">
        <v>23429.0</v>
      </c>
      <c r="B22054" s="3" t="s">
        <v>20820</v>
      </c>
      <c r="C22054" s="3" t="str">
        <f>IFERROR(__xludf.DUMMYFUNCTION("GOOGLETRANSLATE(B22054,""id"",""en"")"),"['Package', 'Tipu', 'Package', 'Game', 'Maen', 'Game', 'Package', 'YouTube', 'Open', 'YouTube', 'Expensive', 'Network', ' slow ',' need ',' quota ',' regular ',' adain ',' package ',' game ',' stream ',' giga ',' game ',' max ',' unlimited ',' use ' , 'qu"&amp;"ota', 'Regular', '']")</f>
        <v>['Package', 'Tipu', 'Package', 'Game', 'Maen', 'Game', 'Package', 'YouTube', 'Open', 'YouTube', 'Expensive', 'Network', ' slow ',' need ',' quota ',' regular ',' adain ',' package ',' game ',' stream ',' giga ',' game ',' max ',' unlimited ',' use ' , 'quota', 'Regular', '']</v>
      </c>
      <c r="D22054" s="3">
        <v>1.0</v>
      </c>
    </row>
    <row r="22055" ht="15.75" customHeight="1">
      <c r="A22055" s="1">
        <v>23430.0</v>
      </c>
      <c r="B22055" s="3" t="s">
        <v>20821</v>
      </c>
      <c r="C22055" s="3" t="str">
        <f>IFERROR(__xludf.DUMMYFUNCTION("GOOGLETRANSLATE(B22055,""id"",""en"")"),"['application', 'open', 'colored', 'white', 'uninstall', 'then', 'download', 'fit', 'enter', 'number', 'sent', 'link', ' Then ',' Link ',' click ',' Error ',' hope ',' repaired ',' as soon as possible ']")</f>
        <v>['application', 'open', 'colored', 'white', 'uninstall', 'then', 'download', 'fit', 'enter', 'number', 'sent', 'link', ' Then ',' Link ',' click ',' Error ',' hope ',' repaired ',' as soon as possible ']</v>
      </c>
      <c r="D22055" s="3">
        <v>1.0</v>
      </c>
    </row>
    <row r="22056" ht="15.75" customHeight="1">
      <c r="A22056" s="1">
        <v>23431.0</v>
      </c>
      <c r="B22056" s="3" t="s">
        <v>20822</v>
      </c>
      <c r="C22056" s="3" t="str">
        <f>IFERROR(__xludf.DUMMYFUNCTION("GOOGLETRANSLATE(B22056,""id"",""en"")"),"['Good', 'enhanced', 'minimal', 'keep']")</f>
        <v>['Good', 'enhanced', 'minimal', 'keep']</v>
      </c>
      <c r="D22056" s="3">
        <v>5.0</v>
      </c>
    </row>
    <row r="22057" ht="15.75" customHeight="1">
      <c r="A22057" s="1">
        <v>23432.0</v>
      </c>
      <c r="B22057" s="3" t="s">
        <v>20823</v>
      </c>
      <c r="C22057" s="3" t="str">
        <f>IFERROR(__xludf.DUMMYFUNCTION("GOOGLETRANSLATE(B22057,""id"",""en"")"),"['happy', 'application', 'please', 'inwardly', 'NTT', 'because', 'fees', 'buy', 'package', 'internet', 'expensive', '']")</f>
        <v>['happy', 'application', 'please', 'inwardly', 'NTT', 'because', 'fees', 'buy', 'package', 'internet', 'expensive', '']</v>
      </c>
      <c r="D22057" s="3">
        <v>5.0</v>
      </c>
    </row>
    <row r="22058" ht="15.75" customHeight="1">
      <c r="A22058" s="1">
        <v>23433.0</v>
      </c>
      <c r="B22058" s="3" t="s">
        <v>20824</v>
      </c>
      <c r="C22058" s="3" t="str">
        <f>IFERROR(__xludf.DUMMYFUNCTION("GOOGLETRANSLATE(B22058,""id"",""en"")"),"['Lally', 'promo', 'like', 'crash']")</f>
        <v>['Lally', 'promo', 'like', 'crash']</v>
      </c>
      <c r="D22058" s="3">
        <v>5.0</v>
      </c>
    </row>
    <row r="22059" ht="15.75" customHeight="1">
      <c r="A22059" s="1">
        <v>23434.0</v>
      </c>
      <c r="B22059" s="3" t="s">
        <v>20825</v>
      </c>
      <c r="C22059" s="3" t="str">
        <f>IFERROR(__xludf.DUMMYFUNCTION("GOOGLETRANSLATE(B22059,""id"",""en"")"),"['application', 'sometimes', 'like', 'difficult', 'opened', 'like', 'error']")</f>
        <v>['application', 'sometimes', 'like', 'difficult', 'opened', 'like', 'error']</v>
      </c>
      <c r="D22059" s="3">
        <v>3.0</v>
      </c>
    </row>
    <row r="22060" ht="15.75" customHeight="1">
      <c r="A22060" s="1">
        <v>23435.0</v>
      </c>
      <c r="B22060" s="3" t="s">
        <v>20826</v>
      </c>
      <c r="C22060" s="3" t="str">
        <f>IFERROR(__xludf.DUMMYFUNCTION("GOOGLETRANSLATE(B22060,""id"",""en"")"),"['steady', 'transaction', 'practical']")</f>
        <v>['steady', 'transaction', 'practical']</v>
      </c>
      <c r="D22060" s="3">
        <v>5.0</v>
      </c>
    </row>
    <row r="22061" ht="15.75" customHeight="1">
      <c r="A22061" s="1">
        <v>23436.0</v>
      </c>
      <c r="B22061" s="3" t="s">
        <v>20827</v>
      </c>
      <c r="C22061" s="3" t="str">
        <f>IFERROR(__xludf.DUMMYFUNCTION("GOOGLETRANSLATE(B22061,""id"",""en"")"),"['Application', 'Worst', 'Have']")</f>
        <v>['Application', 'Worst', 'Have']</v>
      </c>
      <c r="D22061" s="3">
        <v>1.0</v>
      </c>
    </row>
    <row r="22062" ht="15.75" customHeight="1">
      <c r="A22062" s="1">
        <v>23437.0</v>
      </c>
      <c r="B22062" s="3" t="s">
        <v>20828</v>
      </c>
      <c r="C22062" s="3" t="str">
        <f>IFERROR(__xludf.DUMMYFUNCTION("GOOGLETRANSLATE(B22062,""id"",""en"")"),"['Buy', 'Package', 'Gala', 'Multimedia', 'Manchester', 'Watch', 'Netflix', 'Etc', 'Should', 'Soon', 'right', 'check', ' The package ',' already ',' sold ',' description ',' right ',' run out ',' quota ',' teathring ',' hap ',' only ',' open ',' applicatio"&amp;"n ',' Telkomsel ' , 'Application', 'disappointed', 'love', 'star', 'dikasi', 'star', 'auto', 'uninstall', '']")</f>
        <v>['Buy', 'Package', 'Gala', 'Multimedia', 'Manchester', 'Watch', 'Netflix', 'Etc', 'Should', 'Soon', 'right', 'check', ' The package ',' already ',' sold ',' description ',' right ',' run out ',' quota ',' teathring ',' hap ',' only ',' open ',' application ',' Telkomsel ' , 'Application', 'disappointed', 'love', 'star', 'dikasi', 'star', 'auto', 'uninstall', '']</v>
      </c>
      <c r="D22062" s="3">
        <v>1.0</v>
      </c>
    </row>
    <row r="22063" ht="15.75" customHeight="1">
      <c r="A22063" s="1">
        <v>23438.0</v>
      </c>
      <c r="B22063" s="3" t="s">
        <v>20829</v>
      </c>
      <c r="C22063" s="3" t="str">
        <f>IFERROR(__xludf.DUMMYFUNCTION("GOOGLETRANSLATE(B22063,""id"",""en"")"),"['User', 'Ultra', 'Yesterday', 'Update', 'Android', 'Update', 'Restart', 'Application', 'Telkomsel', 'Lost', 'Try', 'Install', ' Playstore ',' Please ',' Help ',' ']")</f>
        <v>['User', 'Ultra', 'Yesterday', 'Update', 'Android', 'Update', 'Restart', 'Application', 'Telkomsel', 'Lost', 'Try', 'Install', ' Playstore ',' Please ',' Help ',' ']</v>
      </c>
      <c r="D22063" s="3">
        <v>4.0</v>
      </c>
    </row>
    <row r="22064" ht="15.75" customHeight="1">
      <c r="A22064" s="1">
        <v>23439.0</v>
      </c>
      <c r="B22064" s="3" t="s">
        <v>20830</v>
      </c>
      <c r="C22064" s="3" t="str">
        <f>IFERROR(__xludf.DUMMYFUNCTION("GOOGLETRANSLATE(B22064,""id"",""en"")"),"['Needs']")</f>
        <v>['Needs']</v>
      </c>
      <c r="D22064" s="3">
        <v>1.0</v>
      </c>
    </row>
    <row r="22065" ht="15.75" customHeight="1">
      <c r="A22065" s="1">
        <v>23440.0</v>
      </c>
      <c r="B22065" s="3" t="s">
        <v>20831</v>
      </c>
      <c r="C22065" s="3" t="str">
        <f>IFERROR(__xludf.DUMMYFUNCTION("GOOGLETRANSLATE(B22065,""id"",""en"")"),"['gini', 'klw', 'ksih', 'loan', 'plsa', 'fake']")</f>
        <v>['gini', 'klw', 'ksih', 'loan', 'plsa', 'fake']</v>
      </c>
      <c r="D22065" s="3">
        <v>3.0</v>
      </c>
    </row>
    <row r="22066" ht="15.75" customHeight="1">
      <c r="A22066" s="1">
        <v>23441.0</v>
      </c>
      <c r="B22066" s="3" t="s">
        <v>20832</v>
      </c>
      <c r="C22066" s="3" t="str">
        <f>IFERROR(__xludf.DUMMYFUNCTION("GOOGLETRANSLATE(B22066,""id"",""en"")"),"['Good', 'Helpful', '']")</f>
        <v>['Good', 'Helpful', '']</v>
      </c>
      <c r="D22066" s="3">
        <v>5.0</v>
      </c>
    </row>
    <row r="22067" ht="15.75" customHeight="1">
      <c r="A22067" s="1">
        <v>23442.0</v>
      </c>
      <c r="B22067" s="3" t="s">
        <v>20833</v>
      </c>
      <c r="C22067" s="3" t="str">
        <f>IFERROR(__xludf.DUMMYFUNCTION("GOOGLETRANSLATE(B22067,""id"",""en"")"),"['ugly', 'contents', 'ilang', 'bln', 'telkomsel', 'network', 'brp', 'ugly']")</f>
        <v>['ugly', 'contents', 'ilang', 'bln', 'telkomsel', 'network', 'brp', 'ugly']</v>
      </c>
      <c r="D22067" s="3">
        <v>1.0</v>
      </c>
    </row>
    <row r="22068" ht="15.75" customHeight="1">
      <c r="A22068" s="1">
        <v>23443.0</v>
      </c>
      <c r="B22068" s="3" t="s">
        <v>20834</v>
      </c>
      <c r="C22068" s="3" t="str">
        <f>IFERROR(__xludf.DUMMYFUNCTION("GOOGLETRANSLATE(B22068,""id"",""en"")"),"['signal', 'sometimes', 'disorder', 'vidio', 'com']")</f>
        <v>['signal', 'sometimes', 'disorder', 'vidio', 'com']</v>
      </c>
      <c r="D22068" s="3">
        <v>1.0</v>
      </c>
    </row>
    <row r="22069" ht="15.75" customHeight="1">
      <c r="A22069" s="1">
        <v>23444.0</v>
      </c>
      <c r="B22069" s="3" t="s">
        <v>20835</v>
      </c>
      <c r="C22069" s="3" t="str">
        <f>IFERROR(__xludf.DUMMYFUNCTION("GOOGLETRANSLATE(B22069,""id"",""en"")"),"['choice', 'best', 'wherever']")</f>
        <v>['choice', 'best', 'wherever']</v>
      </c>
      <c r="D22069" s="3">
        <v>5.0</v>
      </c>
    </row>
    <row r="22070" ht="15.75" customHeight="1">
      <c r="A22070" s="1">
        <v>23445.0</v>
      </c>
      <c r="B22070" s="3" t="s">
        <v>20836</v>
      </c>
      <c r="C22070" s="3" t="str">
        <f>IFERROR(__xludf.DUMMYFUNCTION("GOOGLETRANSLATE(B22070,""id"",""en"")"),"['Information', 'On', 'card', 'accurate', 'app', 'code', 'dial']")</f>
        <v>['Information', 'On', 'card', 'accurate', 'app', 'code', 'dial']</v>
      </c>
      <c r="D22070" s="3">
        <v>1.0</v>
      </c>
    </row>
    <row r="22071" ht="15.75" customHeight="1">
      <c r="A22071" s="1">
        <v>23446.0</v>
      </c>
      <c r="B22071" s="3" t="s">
        <v>5721</v>
      </c>
      <c r="C22071" s="3" t="str">
        <f>IFERROR(__xludf.DUMMYFUNCTION("GOOGLETRANSLATE(B22071,""id"",""en"")"),"['Error', 'Open']")</f>
        <v>['Error', 'Open']</v>
      </c>
      <c r="D22071" s="3">
        <v>1.0</v>
      </c>
    </row>
    <row r="22072" ht="15.75" customHeight="1">
      <c r="A22072" s="1">
        <v>23447.0</v>
      </c>
      <c r="B22072" s="3" t="s">
        <v>20837</v>
      </c>
      <c r="C22072" s="3" t="str">
        <f>IFERROR(__xludf.DUMMYFUNCTION("GOOGLETRANSLATE(B22072,""id"",""en"")"),"['cave', 'kouta']")</f>
        <v>['cave', 'kouta']</v>
      </c>
      <c r="D22072" s="3">
        <v>5.0</v>
      </c>
    </row>
    <row r="22073" ht="15.75" customHeight="1">
      <c r="A22073" s="1">
        <v>23448.0</v>
      </c>
      <c r="B22073" s="3" t="s">
        <v>20838</v>
      </c>
      <c r="C22073" s="3" t="str">
        <f>IFERROR(__xludf.DUMMYFUNCTION("GOOGLETRANSLATE(B22073,""id"",""en"")"),"['menu', 'login', 'daily', 'ilang', 'developer', 'pler']")</f>
        <v>['menu', 'login', 'daily', 'ilang', 'developer', 'pler']</v>
      </c>
      <c r="D22073" s="3">
        <v>1.0</v>
      </c>
    </row>
    <row r="22074" ht="15.75" customHeight="1">
      <c r="A22074" s="1">
        <v>23449.0</v>
      </c>
      <c r="B22074" s="3" t="s">
        <v>20839</v>
      </c>
      <c r="C22074" s="3" t="str">
        <f>IFERROR(__xludf.DUMMYFUNCTION("GOOGLETRANSLATE(B22074,""id"",""en"")"),"['Network', 'telephone', 'steady']")</f>
        <v>['Network', 'telephone', 'steady']</v>
      </c>
      <c r="D22074" s="3">
        <v>5.0</v>
      </c>
    </row>
    <row r="22075" ht="15.75" customHeight="1">
      <c r="A22075" s="1">
        <v>23450.0</v>
      </c>
      <c r="B22075" s="3" t="s">
        <v>11279</v>
      </c>
      <c r="C22075" s="3" t="str">
        <f>IFERROR(__xludf.DUMMYFUNCTION("GOOGLETRANSLATE(B22075,""id"",""en"")"),"['price']")</f>
        <v>['price']</v>
      </c>
      <c r="D22075" s="3">
        <v>1.0</v>
      </c>
    </row>
    <row r="22076" ht="15.75" customHeight="1">
      <c r="A22076" s="1">
        <v>23451.0</v>
      </c>
      <c r="B22076" s="3" t="s">
        <v>20840</v>
      </c>
      <c r="C22076" s="3" t="str">
        <f>IFERROR(__xludf.DUMMYFUNCTION("GOOGLETRANSLATE(B22076,""id"",""en"")"),"['Severe', 'buy', 'quota', 'GB', 'already', 'gabisa', 'leftover', 'GB']")</f>
        <v>['Severe', 'buy', 'quota', 'GB', 'already', 'gabisa', 'leftover', 'GB']</v>
      </c>
      <c r="D22076" s="3">
        <v>1.0</v>
      </c>
    </row>
    <row r="22077" ht="15.75" customHeight="1">
      <c r="A22077" s="1">
        <v>23452.0</v>
      </c>
      <c r="B22077" s="3" t="s">
        <v>20841</v>
      </c>
      <c r="C22077" s="3" t="str">
        <f>IFERROR(__xludf.DUMMYFUNCTION("GOOGLETRANSLATE(B22077,""id"",""en"")"),"['imgin', 'enter', 'website', 'binance', 'got', 'internet', 'annoying']")</f>
        <v>['imgin', 'enter', 'website', 'binance', 'got', 'internet', 'annoying']</v>
      </c>
      <c r="D22077" s="3">
        <v>1.0</v>
      </c>
    </row>
    <row r="22078" ht="15.75" customHeight="1">
      <c r="A22078" s="1">
        <v>23453.0</v>
      </c>
      <c r="B22078" s="3" t="s">
        <v>20842</v>
      </c>
      <c r="C22078" s="3" t="str">
        <f>IFERROR(__xludf.DUMMYFUNCTION("GOOGLETRANSLATE(B22078,""id"",""en"")"),"['already', 'login', 'until', 'get', 'quota', 'free', 'button', 'check', 'ilang', 'intention', 'gave', 'shown', ' Kek ',' That's']")</f>
        <v>['already', 'login', 'until', 'get', 'quota', 'free', 'button', 'check', 'ilang', 'intention', 'gave', 'shown', ' Kek ',' That's']</v>
      </c>
      <c r="D22078" s="3">
        <v>1.0</v>
      </c>
    </row>
    <row r="22079" ht="15.75" customHeight="1">
      <c r="A22079" s="1">
        <v>23454.0</v>
      </c>
      <c r="B22079" s="3" t="s">
        <v>20843</v>
      </c>
      <c r="C22079" s="3" t="str">
        <f>IFERROR(__xludf.DUMMYFUNCTION("GOOGLETRANSLATE(B22079,""id"",""en"")"),"['entry', 'how', 'boss']")</f>
        <v>['entry', 'how', 'boss']</v>
      </c>
      <c r="D22079" s="3">
        <v>2.0</v>
      </c>
    </row>
    <row r="22080" ht="15.75" customHeight="1">
      <c r="A22080" s="1">
        <v>23455.0</v>
      </c>
      <c r="B22080" s="3" t="s">
        <v>20844</v>
      </c>
      <c r="C22080" s="3" t="str">
        <f>IFERROR(__xludf.DUMMYFUNCTION("GOOGLETRANSLATE(B22080,""id"",""en"")"),"['Network', 'Dego', 'Beach', 'Tired']")</f>
        <v>['Network', 'Dego', 'Beach', 'Tired']</v>
      </c>
      <c r="D22080" s="3">
        <v>5.0</v>
      </c>
    </row>
    <row r="22081" ht="15.75" customHeight="1">
      <c r="A22081" s="1">
        <v>23456.0</v>
      </c>
      <c r="B22081" s="3" t="s">
        <v>20845</v>
      </c>
      <c r="C22081" s="3" t="str">
        <f>IFERROR(__xludf.DUMMYFUNCTION("GOOGLETRANSLATE(B22081,""id"",""en"")"),"['disappointing', 'network', 'slow', 'really', 'tariff', 'quota', 'increased', 'expensive', '']")</f>
        <v>['disappointing', 'network', 'slow', 'really', 'tariff', 'quota', 'increased', 'expensive', '']</v>
      </c>
      <c r="D22081" s="3">
        <v>3.0</v>
      </c>
    </row>
    <row r="22082" ht="15.75" customHeight="1">
      <c r="A22082" s="1">
        <v>23457.0</v>
      </c>
      <c r="B22082" s="3" t="s">
        <v>20846</v>
      </c>
      <c r="C22082" s="3" t="str">
        <f>IFERROR(__xludf.DUMMYFUNCTION("GOOGLETRANSLATE(B22082,""id"",""en"")"),"['Lower', 'star', 'smakin', 'here', 'tariff', 'smakin', 'expensive', 'network', 'bad']")</f>
        <v>['Lower', 'star', 'smakin', 'here', 'tariff', 'smakin', 'expensive', 'network', 'bad']</v>
      </c>
      <c r="D22082" s="3">
        <v>1.0</v>
      </c>
    </row>
    <row r="22083" ht="15.75" customHeight="1">
      <c r="A22083" s="1">
        <v>23458.0</v>
      </c>
      <c r="B22083" s="3" t="s">
        <v>20847</v>
      </c>
      <c r="C22083" s="3" t="str">
        <f>IFERROR(__xludf.DUMMYFUNCTION("GOOGLETRANSLATE(B22083,""id"",""en"")"),"['Addin', 'Mission']")</f>
        <v>['Addin', 'Mission']</v>
      </c>
      <c r="D22083" s="3">
        <v>5.0</v>
      </c>
    </row>
    <row r="22084" ht="15.75" customHeight="1">
      <c r="A22084" s="1">
        <v>23459.0</v>
      </c>
      <c r="B22084" s="3" t="s">
        <v>2583</v>
      </c>
      <c r="C22084" s="3" t="str">
        <f>IFERROR(__xludf.DUMMYFUNCTION("GOOGLETRANSLATE(B22084,""id"",""en"")"),"['Network', 'Good']")</f>
        <v>['Network', 'Good']</v>
      </c>
      <c r="D22084" s="3">
        <v>1.0</v>
      </c>
    </row>
    <row r="22085" ht="15.75" customHeight="1">
      <c r="A22085" s="1">
        <v>23460.0</v>
      </c>
      <c r="B22085" s="3" t="s">
        <v>20848</v>
      </c>
      <c r="C22085" s="3" t="str">
        <f>IFERROR(__xludf.DUMMYFUNCTION("GOOGLETRANSLATE(B22085,""id"",""en"")"),"['Satisfied', 'Promo', 'Telkomsel', '']")</f>
        <v>['Satisfied', 'Promo', 'Telkomsel', '']</v>
      </c>
      <c r="D22085" s="3">
        <v>5.0</v>
      </c>
    </row>
    <row r="22086" ht="15.75" customHeight="1">
      <c r="A22086" s="1">
        <v>23461.0</v>
      </c>
      <c r="B22086" s="3" t="s">
        <v>20849</v>
      </c>
      <c r="C22086" s="3" t="str">
        <f>IFERROR(__xludf.DUMMYFUNCTION("GOOGLETRANSLATE(B22086,""id"",""en"")"),"['Hadehhh', 'tired', 'deh']")</f>
        <v>['Hadehhh', 'tired', 'deh']</v>
      </c>
      <c r="D22086" s="3">
        <v>1.0</v>
      </c>
    </row>
    <row r="22087" ht="15.75" customHeight="1">
      <c r="A22087" s="1">
        <v>23462.0</v>
      </c>
      <c r="B22087" s="3" t="s">
        <v>20850</v>
      </c>
      <c r="C22087" s="3" t="str">
        <f>IFERROR(__xludf.DUMMYFUNCTION("GOOGLETRANSLATE(B22087,""id"",""en"")"),"['Steady', 'Telkomsel', 'Useful', 'Life', 'Hopefully', 'Cheap', 'Cheap', 'Purchase', 'Package', 'Data', 'expect', 'circles',' Medium ']")</f>
        <v>['Steady', 'Telkomsel', 'Useful', 'Life', 'Hopefully', 'Cheap', 'Cheap', 'Purchase', 'Package', 'Data', 'expect', 'circles',' Medium ']</v>
      </c>
      <c r="D22087" s="3">
        <v>5.0</v>
      </c>
    </row>
    <row r="22088" ht="15.75" customHeight="1">
      <c r="A22088" s="1">
        <v>23463.0</v>
      </c>
      <c r="B22088" s="3" t="s">
        <v>20851</v>
      </c>
      <c r="C22088" s="3" t="str">
        <f>IFERROR(__xludf.DUMMYFUNCTION("GOOGLETRANSLATE(B22088,""id"",""en"")"),"['Okay', 'steady', 'skli', 'telokomsel']")</f>
        <v>['Okay', 'steady', 'skli', 'telokomsel']</v>
      </c>
      <c r="D22088" s="3">
        <v>5.0</v>
      </c>
    </row>
    <row r="22089" ht="15.75" customHeight="1">
      <c r="A22089" s="1">
        <v>23464.0</v>
      </c>
      <c r="B22089" s="3" t="s">
        <v>20852</v>
      </c>
      <c r="C22089" s="3" t="str">
        <f>IFERROR(__xludf.DUMMYFUNCTION("GOOGLETRANSLATE(B22089,""id"",""en"")"),"['hard', 'open', 'screen', 'white', 'doang']")</f>
        <v>['hard', 'open', 'screen', 'white', 'doang']</v>
      </c>
      <c r="D22089" s="3">
        <v>1.0</v>
      </c>
    </row>
    <row r="22090" ht="15.75" customHeight="1">
      <c r="A22090" s="1">
        <v>23466.0</v>
      </c>
      <c r="B22090" s="3" t="s">
        <v>20853</v>
      </c>
      <c r="C22090" s="3" t="str">
        <f>IFERROR(__xludf.DUMMYFUNCTION("GOOGLETRANSLATE(B22090,""id"",""en"")"),"['signal', 'kayak', 'person', 'sick', 'progress', 'price', 'expensive', 'mending', 'moved', 'woi', ""]")</f>
        <v>['signal', 'kayak', 'person', 'sick', 'progress', 'price', 'expensive', 'mending', 'moved', 'woi', "]</v>
      </c>
      <c r="D22090" s="3">
        <v>1.0</v>
      </c>
    </row>
    <row r="22091" ht="15.75" customHeight="1">
      <c r="A22091" s="1">
        <v>23467.0</v>
      </c>
      <c r="B22091" s="3" t="s">
        <v>20854</v>
      </c>
      <c r="C22091" s="3" t="str">
        <f>IFERROR(__xludf.DUMMYFUNCTION("GOOGLETRANSLATE(B22091,""id"",""en"")"),"['Network', 'bad', 'signal', 'like', 'ilang', 'sudden']")</f>
        <v>['Network', 'bad', 'signal', 'like', 'ilang', 'sudden']</v>
      </c>
      <c r="D22091" s="3">
        <v>1.0</v>
      </c>
    </row>
    <row r="22092" ht="15.75" customHeight="1">
      <c r="A22092" s="1">
        <v>23468.0</v>
      </c>
      <c r="B22092" s="3" t="s">
        <v>20855</v>
      </c>
      <c r="C22092" s="3" t="str">
        <f>IFERROR(__xludf.DUMMYFUNCTION("GOOGLETRANSLATE(B22092,""id"",""en"")"),"['Application', 'open', 'White', 'Doang', 'Wait', 'Ampe', 'masutan', 'white', 'doang', 'already', 'kaga', 'network', ' Like ',' Moves', 'Move', 'Network', 'Stable', 'Region', 'Telkomsel', 'Kenceng', 'Lost', 'Sebel', 'Main', 'Game']")</f>
        <v>['Application', 'open', 'White', 'Doang', 'Wait', 'Ampe', 'masutan', 'white', 'doang', 'already', 'kaga', 'network', ' Like ',' Moves', 'Move', 'Network', 'Stable', 'Region', 'Telkomsel', 'Kenceng', 'Lost', 'Sebel', 'Main', 'Game']</v>
      </c>
      <c r="D22092" s="3">
        <v>1.0</v>
      </c>
    </row>
    <row r="22093" ht="15.75" customHeight="1">
      <c r="A22093" s="1">
        <v>23470.0</v>
      </c>
      <c r="B22093" s="3" t="s">
        <v>20856</v>
      </c>
      <c r="C22093" s="3" t="str">
        <f>IFERROR(__xludf.DUMMYFUNCTION("GOOGLETRANSLATE(B22093,""id"",""en"")"),"['Network', 'please', 'repaired', 'already', 'pket', 'expensive', 'network', 'slow', 'buy', 'pket', 'klau', 'bsa', ' Used ',' ']")</f>
        <v>['Network', 'please', 'repaired', 'already', 'pket', 'expensive', 'network', 'slow', 'buy', 'pket', 'klau', 'bsa', ' Used ',' ']</v>
      </c>
      <c r="D22093" s="3">
        <v>1.0</v>
      </c>
    </row>
    <row r="22094" ht="15.75" customHeight="1">
      <c r="A22094" s="1">
        <v>23471.0</v>
      </c>
      <c r="B22094" s="3" t="s">
        <v>20857</v>
      </c>
      <c r="C22094" s="3" t="str">
        <f>IFERROR(__xludf.DUMMYFUNCTION("GOOGLETRANSLATE(B22094,""id"",""en"")"),"['activate', 'sketch', 'local']")</f>
        <v>['activate', 'sketch', 'local']</v>
      </c>
      <c r="D22094" s="3">
        <v>5.0</v>
      </c>
    </row>
    <row r="22095" ht="15.75" customHeight="1">
      <c r="A22095" s="1">
        <v>23472.0</v>
      </c>
      <c r="B22095" s="3" t="s">
        <v>20858</v>
      </c>
      <c r="C22095" s="3" t="str">
        <f>IFERROR(__xludf.DUMMYFUNCTION("GOOGLETRANSLATE(B22095,""id"",""en"")"),"['siip', 'benefits']")</f>
        <v>['siip', 'benefits']</v>
      </c>
      <c r="D22095" s="3">
        <v>5.0</v>
      </c>
    </row>
    <row r="22096" ht="15.75" customHeight="1">
      <c r="A22096" s="1">
        <v>23473.0</v>
      </c>
      <c r="B22096" s="3" t="s">
        <v>20859</v>
      </c>
      <c r="C22096" s="3" t="str">
        <f>IFERROR(__xludf.DUMMYFUNCTION("GOOGLETRANSLATE(B22096,""id"",""en"")"),"['Sexos in', 'emang', 'cool']")</f>
        <v>['Sexos in', 'emang', 'cool']</v>
      </c>
      <c r="D22096" s="3">
        <v>5.0</v>
      </c>
    </row>
    <row r="22097" ht="15.75" customHeight="1">
      <c r="A22097" s="1">
        <v>23474.0</v>
      </c>
      <c r="B22097" s="3" t="s">
        <v>20860</v>
      </c>
      <c r="C22097" s="3" t="str">
        <f>IFERROR(__xludf.DUMMYFUNCTION("GOOGLETRANSLATE(B22097,""id"",""en"")"),"['', 'flexible', 'poor']")</f>
        <v>['', 'flexible', 'poor']</v>
      </c>
      <c r="D22097" s="3">
        <v>1.0</v>
      </c>
    </row>
    <row r="22098" ht="15.75" customHeight="1">
      <c r="A22098" s="1">
        <v>23475.0</v>
      </c>
      <c r="B22098" s="3" t="s">
        <v>20861</v>
      </c>
      <c r="C22098" s="3" t="str">
        <f>IFERROR(__xludf.DUMMYFUNCTION("GOOGLETRANSLATE(B22098,""id"",""en"")"),"['Likes', 'APK', 'Telkomsel', 'Features', 'Need', 'Jaya', 'TERSS', 'Telkomsel', ""]")</f>
        <v>['Likes', 'APK', 'Telkomsel', 'Features', 'Need', 'Jaya', 'TERSS', 'Telkomsel', "]</v>
      </c>
      <c r="D22098" s="3">
        <v>5.0</v>
      </c>
    </row>
    <row r="22099" ht="15.75" customHeight="1">
      <c r="A22099" s="1">
        <v>23476.0</v>
      </c>
      <c r="B22099" s="3" t="s">
        <v>20862</v>
      </c>
      <c r="C22099" s="3" t="str">
        <f>IFERROR(__xludf.DUMMYFUNCTION("GOOGLETRANSLATE(B22099,""id"",""en"")"),"['Wait', 'Progression']")</f>
        <v>['Wait', 'Progression']</v>
      </c>
      <c r="D22099" s="3">
        <v>4.0</v>
      </c>
    </row>
    <row r="22100" ht="15.75" customHeight="1">
      <c r="A22100" s="1">
        <v>23477.0</v>
      </c>
      <c r="B22100" s="3" t="s">
        <v>20863</v>
      </c>
      <c r="C22100" s="3" t="str">
        <f>IFERROR(__xludf.DUMMYFUNCTION("GOOGLETRANSLATE(B22100,""id"",""en"")"),"['Application', 'Kayak', 'eek']")</f>
        <v>['Application', 'Kayak', 'eek']</v>
      </c>
      <c r="D22100" s="3">
        <v>1.0</v>
      </c>
    </row>
    <row r="22101" ht="15.75" customHeight="1">
      <c r="A22101" s="1">
        <v>23478.0</v>
      </c>
      <c r="B22101" s="3" t="s">
        <v>20864</v>
      </c>
      <c r="C22101" s="3" t="str">
        <f>IFERROR(__xludf.DUMMYFUNCTION("GOOGLETRANSLATE(B22101,""id"",""en"")"),"['assalamualimum', 'sorry', 'donlodt', 'tafi', 'entered', 'yes',' knpa ',' yes', 'please', 'help', 'fix', 'trmkasih', ' ']")</f>
        <v>['assalamualimum', 'sorry', 'donlodt', 'tafi', 'entered', 'yes',' knpa ',' yes', 'please', 'help', 'fix', 'trmkasih', ' ']</v>
      </c>
      <c r="D22101" s="3">
        <v>5.0</v>
      </c>
    </row>
    <row r="22102" ht="15.75" customHeight="1">
      <c r="A22102" s="1">
        <v>23479.0</v>
      </c>
      <c r="B22102" s="3" t="s">
        <v>20865</v>
      </c>
      <c r="C22102" s="3" t="str">
        <f>IFERROR(__xludf.DUMMYFUNCTION("GOOGLETRANSLATE(B22102,""id"",""en"")"),"['Mari', 'replace', 'provider', 'Telkomsel', 'poor', 'already', 'rich', 'Telkomsel', 'era', 'cave', 'Stop', 'provider', ' Application ',' Telkomsel ',' Discard ',' Money ',' Waiting ',' Depok ',' Disappointed ',' Telkomsel ', ""]")</f>
        <v>['Mari', 'replace', 'provider', 'Telkomsel', 'poor', 'already', 'rich', 'Telkomsel', 'era', 'cave', 'Stop', 'provider', ' Application ',' Telkomsel ',' Discard ',' Money ',' Waiting ',' Depok ',' Disappointed ',' Telkomsel ', "]</v>
      </c>
      <c r="D22102" s="3">
        <v>1.0</v>
      </c>
    </row>
    <row r="22103" ht="15.75" customHeight="1">
      <c r="A22103" s="1">
        <v>23480.0</v>
      </c>
      <c r="B22103" s="3" t="s">
        <v>20866</v>
      </c>
      <c r="C22103" s="3" t="str">
        <f>IFERROR(__xludf.DUMMYFUNCTION("GOOGLETRANSLATE(B22103,""id"",""en"")"),"['', 'PKET', 'Weekly']")</f>
        <v>['', 'PKET', 'Weekly']</v>
      </c>
      <c r="D22103" s="3">
        <v>1.0</v>
      </c>
    </row>
    <row r="22104" ht="15.75" customHeight="1">
      <c r="A22104" s="1">
        <v>23481.0</v>
      </c>
      <c r="B22104" s="3" t="s">
        <v>2112</v>
      </c>
      <c r="C22104" s="3" t="str">
        <f>IFERROR(__xludf.DUMMYFUNCTION("GOOGLETRANSLATE(B22104,""id"",""en"")"),"['Telkomsel', 'Best', ""]")</f>
        <v>['Telkomsel', 'Best', "]</v>
      </c>
      <c r="D22104" s="3">
        <v>5.0</v>
      </c>
    </row>
    <row r="22105" ht="15.75" customHeight="1">
      <c r="A22105" s="1">
        <v>23482.0</v>
      </c>
      <c r="B22105" s="3" t="s">
        <v>20867</v>
      </c>
      <c r="C22105" s="3" t="str">
        <f>IFERROR(__xludf.DUMMYFUNCTION("GOOGLETRANSLATE(B22105,""id"",""en"")"),"['Give', 'VHOUCHER', 'Lawa']")</f>
        <v>['Give', 'VHOUCHER', 'Lawa']</v>
      </c>
      <c r="D22105" s="3">
        <v>1.0</v>
      </c>
    </row>
    <row r="22106" ht="15.75" customHeight="1">
      <c r="A22106" s="1">
        <v>23483.0</v>
      </c>
      <c r="B22106" s="3" t="s">
        <v>20868</v>
      </c>
      <c r="C22106" s="3" t="str">
        <f>IFERROR(__xludf.DUMMYFUNCTION("GOOGLETRANSLATE(B22106,""id"",""en"")"),"['give hand', '']")</f>
        <v>['give hand', '']</v>
      </c>
      <c r="D22106" s="3">
        <v>5.0</v>
      </c>
    </row>
    <row r="22107" ht="15.75" customHeight="1">
      <c r="A22107" s="1">
        <v>23484.0</v>
      </c>
      <c r="B22107" s="3" t="s">
        <v>20869</v>
      </c>
      <c r="C22107" s="3" t="str">
        <f>IFERROR(__xludf.DUMMYFUNCTION("GOOGLETRANSLATE(B22107,""id"",""en"")"),"['Anyway', 'steady', 'dear', 'signal', 'difficult', 'right', 'emergency']")</f>
        <v>['Anyway', 'steady', 'dear', 'signal', 'difficult', 'right', 'emergency']</v>
      </c>
      <c r="D22107" s="3">
        <v>4.0</v>
      </c>
    </row>
    <row r="22108" ht="15.75" customHeight="1">
      <c r="A22108" s="1">
        <v>23485.0</v>
      </c>
      <c r="B22108" s="3" t="s">
        <v>20870</v>
      </c>
      <c r="C22108" s="3" t="str">
        <f>IFERROR(__xludf.DUMMYFUNCTION("GOOGLETRANSLATE(B22108,""id"",""en"")"),"['Severe', 'Paska', 'Pay', 'Disight', 'Try', 'Love', 'Service', 'Severe', 'miserable', 'Paska', 'Pay', 'bother', ' Anjrit ',' ']")</f>
        <v>['Severe', 'Paska', 'Pay', 'Disight', 'Try', 'Love', 'Service', 'Severe', 'miserable', 'Paska', 'Pay', 'bother', ' Anjrit ',' ']</v>
      </c>
      <c r="D22108" s="3">
        <v>1.0</v>
      </c>
    </row>
    <row r="22109" ht="15.75" customHeight="1">
      <c r="A22109" s="1">
        <v>23486.0</v>
      </c>
      <c r="B22109" s="3" t="s">
        <v>20871</v>
      </c>
      <c r="C22109" s="3" t="str">
        <f>IFERROR(__xludf.DUMMYFUNCTION("GOOGLETRANSLATE(B22109,""id"",""en"")"),"['Telkomsel', 'Child', 'Business',' Telkom ',' BUMN ',' Try ',' Nationalists', 'Value', 'Benefits',' Customers', 'Convenience', 'Information', ' Products', 'Telkomsel', 'improved', 'satisfaction', 'customers',' fat ',' officials', 'Telkomsel', 'package', "&amp;"'deployed', 'ads',' reduced ',' duration ' , 'Lottery', 'multiplied', 'transparent', 'announcement', 'result', 'SPT', 'Telkomsel', 'pride', 'favorite', 'child', 'nation', 'value', ' star', '']")</f>
        <v>['Telkomsel', 'Child', 'Business',' Telkom ',' BUMN ',' Try ',' Nationalists', 'Value', 'Benefits',' Customers', 'Convenience', 'Information', ' Products', 'Telkomsel', 'improved', 'satisfaction', 'customers',' fat ',' officials', 'Telkomsel', 'package', 'deployed', 'ads',' reduced ',' duration ' , 'Lottery', 'multiplied', 'transparent', 'announcement', 'result', 'SPT', 'Telkomsel', 'pride', 'favorite', 'child', 'nation', 'value', ' star', '']</v>
      </c>
      <c r="D22109" s="3">
        <v>2.0</v>
      </c>
    </row>
    <row r="22110" ht="15.75" customHeight="1">
      <c r="A22110" s="1">
        <v>23488.0</v>
      </c>
      <c r="B22110" s="3" t="s">
        <v>20872</v>
      </c>
      <c r="C22110" s="3" t="str">
        <f>IFERROR(__xludf.DUMMYFUNCTION("GOOGLETRANSLATE(B22110,""id"",""en"")"),"['siallll', 'Sya', 'check', 'a month', 'nggk', 'claim', 'gnti', 'already', 'gini']")</f>
        <v>['siallll', 'Sya', 'check', 'a month', 'nggk', 'claim', 'gnti', 'already', 'gini']</v>
      </c>
      <c r="D22110" s="3">
        <v>1.0</v>
      </c>
    </row>
    <row r="22111" ht="15.75" customHeight="1">
      <c r="A22111" s="1">
        <v>23489.0</v>
      </c>
      <c r="B22111" s="3" t="s">
        <v>20873</v>
      </c>
      <c r="C22111" s="3" t="str">
        <f>IFERROR(__xludf.DUMMYFUNCTION("GOOGLETRANSLATE(B22111,""id"",""en"")"),"['like', 'like', 'really', 'mantul']")</f>
        <v>['like', 'like', 'really', 'mantul']</v>
      </c>
      <c r="D22111" s="3">
        <v>5.0</v>
      </c>
    </row>
    <row r="22112" ht="15.75" customHeight="1">
      <c r="A22112" s="1">
        <v>23490.0</v>
      </c>
      <c r="B22112" s="3" t="s">
        <v>20874</v>
      </c>
      <c r="C22112" s="3" t="str">
        <f>IFERROR(__xludf.DUMMYFUNCTION("GOOGLETRANSLATE(B22112,""id"",""en"")"),"['network', 'Telkomsel', 'according to', 'price', 'price', 'expensive', 'quality', 'bad', 'alarming', 'customers',' loyal ',' Telkomsel ',' Feel ',' Change ',' Significan ',' Quality ',' Network ',' Service ',' Call ',' Center ',' Help ',' Please ',' Terb"&amp;"unken ',' Repaired ',' Approved ' , 'price', '']")</f>
        <v>['network', 'Telkomsel', 'according to', 'price', 'price', 'expensive', 'quality', 'bad', 'alarming', 'customers',' loyal ',' Telkomsel ',' Feel ',' Change ',' Significan ',' Quality ',' Network ',' Service ',' Call ',' Center ',' Help ',' Please ',' Terbunken ',' Repaired ',' Approved ' , 'price', '']</v>
      </c>
      <c r="D22112" s="3">
        <v>1.0</v>
      </c>
    </row>
    <row r="22113" ht="15.75" customHeight="1">
      <c r="A22113" s="1">
        <v>23491.0</v>
      </c>
      <c r="B22113" s="3" t="s">
        <v>20875</v>
      </c>
      <c r="C22113" s="3" t="str">
        <f>IFERROR(__xludf.DUMMYFUNCTION("GOOGLETRANSLATE(B22113,""id"",""en"")"),"['already', 'application', 'opened', 'White', 'Screen', 'already', 'Loc', 'Many', 'Times',' Install ',' Many ',' times', ' White ',' Screen ',' already ',' report ',' email ',' response ',' Wait ',' disappointing ',' ']")</f>
        <v>['already', 'application', 'opened', 'White', 'Screen', 'already', 'Loc', 'Many', 'Times',' Install ',' Many ',' times', ' White ',' Screen ',' already ',' report ',' email ',' response ',' Wait ',' disappointing ',' ']</v>
      </c>
      <c r="D22113" s="3">
        <v>1.0</v>
      </c>
    </row>
    <row r="22114" ht="15.75" customHeight="1">
      <c r="A22114" s="1">
        <v>23492.0</v>
      </c>
      <c r="B22114" s="3" t="s">
        <v>20876</v>
      </c>
      <c r="C22114" s="3" t="str">
        <f>IFERROR(__xludf.DUMMYFUNCTION("GOOGLETRANSLATE(B22114,""id"",""en"")"),"['clock', 'and above', 'network', 'Errr', 'BURIK', 'MGKIN', 'Network']")</f>
        <v>['clock', 'and above', 'network', 'Errr', 'BURIK', 'MGKIN', 'Network']</v>
      </c>
      <c r="D22114" s="3">
        <v>1.0</v>
      </c>
    </row>
    <row r="22115" ht="15.75" customHeight="1">
      <c r="A22115" s="1">
        <v>23493.0</v>
      </c>
      <c r="B22115" s="3" t="s">
        <v>20877</v>
      </c>
      <c r="C22115" s="3" t="str">
        <f>IFERROR(__xludf.DUMMYFUNCTION("GOOGLETRANSLATE(B22115,""id"",""en"")"),"['strange', 'Network', 'Provide', 'Safe', 'Safe']")</f>
        <v>['strange', 'Network', 'Provide', 'Safe', 'Safe']</v>
      </c>
      <c r="D22115" s="3">
        <v>1.0</v>
      </c>
    </row>
    <row r="22116" ht="15.75" customHeight="1">
      <c r="A22116" s="1">
        <v>23494.0</v>
      </c>
      <c r="B22116" s="3" t="s">
        <v>20878</v>
      </c>
      <c r="C22116" s="3" t="str">
        <f>IFERROR(__xludf.DUMMYFUNCTION("GOOGLETRANSLATE(B22116,""id"",""en"")"),"['makes it easier', 'Kenama']")</f>
        <v>['makes it easier', 'Kenama']</v>
      </c>
      <c r="D22116" s="3">
        <v>5.0</v>
      </c>
    </row>
    <row r="22117" ht="15.75" customHeight="1">
      <c r="A22117" s="1">
        <v>23495.0</v>
      </c>
      <c r="B22117" s="3" t="s">
        <v>20879</v>
      </c>
      <c r="C22117" s="3" t="str">
        <f>IFERROR(__xludf.DUMMYFUNCTION("GOOGLETRANSLATE(B22117,""id"",""en"")"),"['Lost', 'network', 'woi']")</f>
        <v>['Lost', 'network', 'woi']</v>
      </c>
      <c r="D22117" s="3">
        <v>1.0</v>
      </c>
    </row>
    <row r="22118" ht="15.75" customHeight="1">
      <c r="A22118" s="1">
        <v>23496.0</v>
      </c>
      <c r="B22118" s="3" t="s">
        <v>20880</v>
      </c>
      <c r="C22118" s="3" t="str">
        <f>IFERROR(__xludf.DUMMYFUNCTION("GOOGLETRANSLATE(B22118,""id"",""en"")"),"['The application', 'Heavy', 'Bangett', 'Lemot', 'Jadinya']")</f>
        <v>['The application', 'Heavy', 'Bangett', 'Lemot', 'Jadinya']</v>
      </c>
      <c r="D22118" s="3">
        <v>4.0</v>
      </c>
    </row>
    <row r="22119" ht="15.75" customHeight="1">
      <c r="A22119" s="1">
        <v>23497.0</v>
      </c>
      <c r="B22119" s="3" t="s">
        <v>20881</v>
      </c>
      <c r="C22119" s="3" t="str">
        <f>IFERROR(__xludf.DUMMYFUNCTION("GOOGLETRANSLATE(B22119,""id"",""en"")"),"['Damn', 'njim']")</f>
        <v>['Damn', 'njim']</v>
      </c>
      <c r="D22119" s="3">
        <v>1.0</v>
      </c>
    </row>
    <row r="22120" ht="15.75" customHeight="1">
      <c r="A22120" s="1">
        <v>23498.0</v>
      </c>
      <c r="B22120" s="3" t="s">
        <v>20882</v>
      </c>
      <c r="C22120" s="3" t="str">
        <f>IFERROR(__xludf.DUMMYFUNCTION("GOOGLETRANSLATE(B22120,""id"",""en"")"),"['Min', 'Telkoml', 'missing', 'update', 'sofwer', 'skrng', 'Install', 'fail', 'Inundial', 'trs', 'Please']")</f>
        <v>['Min', 'Telkoml', 'missing', 'update', 'sofwer', 'skrng', 'Install', 'fail', 'Inundial', 'trs', 'Please']</v>
      </c>
      <c r="D22120" s="3">
        <v>2.0</v>
      </c>
    </row>
    <row r="22121" ht="15.75" customHeight="1">
      <c r="A22121" s="1">
        <v>23499.0</v>
      </c>
      <c r="B22121" s="3" t="s">
        <v>20883</v>
      </c>
      <c r="C22121" s="3" t="str">
        <f>IFERROR(__xludf.DUMMYFUNCTION("GOOGLETRANSLATE(B22121,""id"",""en"")"),"['Network', 'SLL', 'bad', 'expensive', 'doang', 'paeah', 'ugly', 'network', 'card', '']")</f>
        <v>['Network', 'SLL', 'bad', 'expensive', 'doang', 'paeah', 'ugly', 'network', 'card', '']</v>
      </c>
      <c r="D22121" s="3">
        <v>1.0</v>
      </c>
    </row>
    <row r="22122" ht="15.75" customHeight="1">
      <c r="A22122" s="1">
        <v>23500.0</v>
      </c>
      <c r="B22122" s="3" t="s">
        <v>20884</v>
      </c>
      <c r="C22122" s="3" t="str">
        <f>IFERROR(__xludf.DUMMYFUNCTION("GOOGLETRANSLATE(B22122,""id"",""en"")"),"['night', 'Sis', 'Need', 'Solution', 'Donk', 'Change', 'Install', 'Telkomsel', ""]")</f>
        <v>['night', 'Sis', 'Need', 'Solution', 'Donk', 'Change', 'Install', 'Telkomsel', "]</v>
      </c>
      <c r="D22122" s="3">
        <v>5.0</v>
      </c>
    </row>
    <row r="22123" ht="15.75" customHeight="1">
      <c r="A22123" s="1">
        <v>23501.0</v>
      </c>
      <c r="B22123" s="3" t="s">
        <v>20885</v>
      </c>
      <c r="C22123" s="3" t="str">
        <f>IFERROR(__xludf.DUMMYFUNCTION("GOOGLETRANSLATE(B22123,""id"",""en"")"),"['Price', 'expensive', 'min']")</f>
        <v>['Price', 'expensive', 'min']</v>
      </c>
      <c r="D22123" s="3">
        <v>3.0</v>
      </c>
    </row>
    <row r="22124" ht="15.75" customHeight="1">
      <c r="A22124" s="1">
        <v>23502.0</v>
      </c>
      <c r="B22124" s="3" t="s">
        <v>20886</v>
      </c>
      <c r="C22124" s="3" t="str">
        <f>IFERROR(__xludf.DUMMYFUNCTION("GOOGLETRANSLATE(B22124,""id"",""en"")"),"['already', 'package', 'expensive', 'signal', 'ugly', 'severe', 'rich', 'Telkomsel']")</f>
        <v>['already', 'package', 'expensive', 'signal', 'ugly', 'severe', 'rich', 'Telkomsel']</v>
      </c>
      <c r="D22124" s="3">
        <v>1.0</v>
      </c>
    </row>
    <row r="22125" ht="15.75" customHeight="1">
      <c r="A22125" s="1">
        <v>23503.0</v>
      </c>
      <c r="B22125" s="3" t="s">
        <v>20887</v>
      </c>
      <c r="C22125" s="3" t="str">
        <f>IFERROR(__xludf.DUMMYFUNCTION("GOOGLETRANSLATE(B22125,""id"",""en"")"),"['quata', 'doang', 'expensive', 'network', 'slow', 'laen', 'times']")</f>
        <v>['quata', 'doang', 'expensive', 'network', 'slow', 'laen', 'times']</v>
      </c>
      <c r="D22125" s="3">
        <v>1.0</v>
      </c>
    </row>
    <row r="22126" ht="15.75" customHeight="1">
      <c r="A22126" s="1">
        <v>23504.0</v>
      </c>
      <c r="B22126" s="3" t="s">
        <v>20888</v>
      </c>
      <c r="C22126" s="3" t="str">
        <f>IFERROR(__xludf.DUMMYFUNCTION("GOOGLETRANSLATE(B22126,""id"",""en"")"),"['Telkomsel', 'Taii', 'Package', 'Internet', 'Night', 'Clock', 'Sumpot', 'Credit', 'Consistent', 'squeeze', 'pulses',' heighted ',' ']")</f>
        <v>['Telkomsel', 'Taii', 'Package', 'Internet', 'Night', 'Clock', 'Sumpot', 'Credit', 'Consistent', 'squeeze', 'pulses',' heighted ',' ']</v>
      </c>
      <c r="D22126" s="3">
        <v>1.0</v>
      </c>
    </row>
    <row r="22127" ht="15.75" customHeight="1">
      <c r="A22127" s="1">
        <v>23505.0</v>
      </c>
      <c r="B22127" s="3" t="s">
        <v>20889</v>
      </c>
      <c r="C22127" s="3" t="str">
        <f>IFERROR(__xludf.DUMMYFUNCTION("GOOGLETRANSLATE(B22127,""id"",""en"")"),"['move', 'number', 'session', 'times']")</f>
        <v>['move', 'number', 'session', 'times']</v>
      </c>
      <c r="D22127" s="3">
        <v>1.0</v>
      </c>
    </row>
    <row r="22128" ht="15.75" customHeight="1">
      <c r="A22128" s="1">
        <v>23506.0</v>
      </c>
      <c r="B22128" s="3" t="s">
        <v>20890</v>
      </c>
      <c r="C22128" s="3" t="str">
        <f>IFERROR(__xludf.DUMMYFUNCTION("GOOGLETRANSLATE(B22128,""id"",""en"")"),"['Package', 'bad', 'already', 'expensive', 'Telkom', 'Pliss', 'package', 'Wort', 'cave', 'Disahal', 'rise']")</f>
        <v>['Package', 'bad', 'already', 'expensive', 'Telkom', 'Pliss', 'package', 'Wort', 'cave', 'Disahal', 'rise']</v>
      </c>
      <c r="D22128" s="3">
        <v>1.0</v>
      </c>
    </row>
    <row r="22129" ht="15.75" customHeight="1">
      <c r="A22129" s="1">
        <v>23507.0</v>
      </c>
      <c r="B22129" s="3" t="s">
        <v>20891</v>
      </c>
      <c r="C22129" s="3" t="str">
        <f>IFERROR(__xludf.DUMMYFUNCTION("GOOGLETRANSLATE(B22129,""id"",""en"")"),"['knp', 'wear', 'leftover', 'kouta', 'leftover', 'kouta']")</f>
        <v>['knp', 'wear', 'leftover', 'kouta', 'leftover', 'kouta']</v>
      </c>
      <c r="D22129" s="3">
        <v>1.0</v>
      </c>
    </row>
    <row r="22130" ht="15.75" customHeight="1">
      <c r="A22130" s="1">
        <v>23508.0</v>
      </c>
      <c r="B22130" s="3" t="s">
        <v>20892</v>
      </c>
      <c r="C22130" s="3" t="str">
        <f>IFERROR(__xludf.DUMMYFUNCTION("GOOGLETRANSLATE(B22130,""id"",""en"")"),"['Network', 'Telkomsel', 'destroyed', 'Lebur', 'Severe', 'Damaged', 'Heavy', 'Region', 'Java', 'East', 'Hancuuuuuuuurrrrrrrrrrrr']")</f>
        <v>['Network', 'Telkomsel', 'destroyed', 'Lebur', 'Severe', 'Damaged', 'Heavy', 'Region', 'Java', 'East', 'Hancuuuuuuuurrrrrrrrrrrr']</v>
      </c>
      <c r="D22130" s="3">
        <v>1.0</v>
      </c>
    </row>
    <row r="22131" ht="15.75" customHeight="1">
      <c r="A22131" s="1">
        <v>23509.0</v>
      </c>
      <c r="B22131" s="3" t="s">
        <v>20893</v>
      </c>
      <c r="C22131" s="3" t="str">
        <f>IFERROR(__xludf.DUMMYFUNCTION("GOOGLETRANSLATE(B22131,""id"",""en"")"),"['', 'Login', 'Most', 'expensive', 'Doang']")</f>
        <v>['', 'Login', 'Most', 'expensive', 'Doang']</v>
      </c>
      <c r="D22131" s="3">
        <v>1.0</v>
      </c>
    </row>
    <row r="22132" ht="15.75" customHeight="1">
      <c r="A22132" s="1">
        <v>23510.0</v>
      </c>
      <c r="B22132" s="3" t="s">
        <v>20894</v>
      </c>
      <c r="C22132" s="3" t="str">
        <f>IFERROR(__xludf.DUMMYFUNCTION("GOOGLETRANSLATE(B22132,""id"",""en"")"),"['', 'star', 'dlu', 'klu', 'signal', 'bonus', 'okay', 'bru', 'love', ""]")</f>
        <v>['', 'star', 'dlu', 'klu', 'signal', 'bonus', 'okay', 'bru', 'love', "]</v>
      </c>
      <c r="D22132" s="3">
        <v>2.0</v>
      </c>
    </row>
    <row r="22133" ht="15.75" customHeight="1">
      <c r="A22133" s="1">
        <v>23511.0</v>
      </c>
      <c r="B22133" s="3" t="s">
        <v>20895</v>
      </c>
      <c r="C22133" s="3" t="str">
        <f>IFERROR(__xludf.DUMMYFUNCTION("GOOGLETRANSLATE(B22133,""id"",""en"")"),"['Hopefully', 'Telkomsel', 'service', 'best', '']")</f>
        <v>['Hopefully', 'Telkomsel', 'service', 'best', '']</v>
      </c>
      <c r="D22133" s="3">
        <v>5.0</v>
      </c>
    </row>
    <row r="22134" ht="15.75" customHeight="1">
      <c r="A22134" s="1">
        <v>23512.0</v>
      </c>
      <c r="B22134" s="3" t="s">
        <v>20896</v>
      </c>
      <c r="C22134" s="3" t="str">
        <f>IFERROR(__xludf.DUMMYFUNCTION("GOOGLETRANSLATE(B22134,""id"",""en"")"),"['Simple', 'easy', 'type', 'transaction', 'Telkomsel', 'thank you']")</f>
        <v>['Simple', 'easy', 'type', 'transaction', 'Telkomsel', 'thank you']</v>
      </c>
      <c r="D22134" s="3">
        <v>5.0</v>
      </c>
    </row>
    <row r="22135" ht="15.75" customHeight="1">
      <c r="A22135" s="1">
        <v>23513.0</v>
      </c>
      <c r="B22135" s="3" t="s">
        <v>2583</v>
      </c>
      <c r="C22135" s="3" t="str">
        <f>IFERROR(__xludf.DUMMYFUNCTION("GOOGLETRANSLATE(B22135,""id"",""en"")"),"['Network', 'Good']")</f>
        <v>['Network', 'Good']</v>
      </c>
      <c r="D22135"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2022-02-26T07:40:50Z</dcterms:created>
  <dc:creator>openpyxl</dc:creator>
</cp:coreProperties>
</file>